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EC8C0216-12D8-4EC0-B14E-4A831B4BE437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</calcChain>
</file>

<file path=xl/sharedStrings.xml><?xml version="1.0" encoding="utf-8"?>
<sst xmlns="http://schemas.openxmlformats.org/spreadsheetml/2006/main" count="15044" uniqueCount="99">
  <si>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</si>
  <si>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</si>
  <si>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</si>
  <si>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</si>
  <si>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</si>
  <si>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</si>
  <si>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</si>
  <si>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</si>
  <si>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</si>
  <si>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</si>
  <si>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</si>
  <si>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</si>
  <si>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</si>
  <si>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</si>
  <si>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</si>
  <si>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</si>
  <si>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</si>
  <si>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</si>
  <si>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</si>
  <si>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</si>
  <si>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</si>
  <si>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</si>
  <si>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</si>
  <si>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</si>
  <si>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</si>
  <si>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</si>
  <si>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</si>
  <si>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</si>
  <si>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</si>
  <si>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</si>
  <si>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</si>
  <si>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</si>
  <si>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</si>
  <si>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</si>
  <si>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</si>
  <si>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</si>
  <si>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</si>
  <si>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</si>
  <si>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</si>
  <si>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</si>
  <si>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</si>
  <si>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</si>
  <si>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mcp_road_part_02</t>
  </si>
  <si>
    <t>Plane_01</t>
  </si>
  <si>
    <t>FAR</t>
  </si>
  <si>
    <t>Building 07 (16)</t>
  </si>
  <si>
    <t>Box001</t>
  </si>
  <si>
    <t>Plane_01 (1)</t>
  </si>
  <si>
    <t>mcp_roads_turn_01 (1)</t>
  </si>
  <si>
    <t>Building 18 (9)</t>
  </si>
  <si>
    <t>mcp_roads_T_cross_01</t>
  </si>
  <si>
    <t>Building 15 (35)</t>
  </si>
  <si>
    <t>mcp_road_part_01</t>
  </si>
  <si>
    <t>Floor 02</t>
  </si>
  <si>
    <t>Pilar Small (4)</t>
  </si>
  <si>
    <t>Wall Small 03 (1)</t>
  </si>
  <si>
    <t>Bannar Stand</t>
  </si>
  <si>
    <t>Building 19</t>
  </si>
  <si>
    <t>Building 07 (11)</t>
  </si>
  <si>
    <t>Building 02 (8)</t>
  </si>
  <si>
    <t>Building 15 (33)</t>
  </si>
  <si>
    <t>mcp_roads_cross_01</t>
  </si>
  <si>
    <t>Floor 01</t>
  </si>
  <si>
    <t>Building 01 (9)</t>
  </si>
  <si>
    <t>Building 15 (31)</t>
  </si>
  <si>
    <t>Building 02 (11)</t>
  </si>
  <si>
    <t>Building 24 (1)</t>
  </si>
  <si>
    <t>Tree 05 (15)</t>
  </si>
  <si>
    <t>Building 15 (9)</t>
  </si>
  <si>
    <t>Building 24</t>
  </si>
  <si>
    <t>Building 11 (3)</t>
  </si>
  <si>
    <t>Building 07 (18)</t>
  </si>
  <si>
    <t>Building 18 (5)</t>
  </si>
  <si>
    <t>Building 07 (4)</t>
  </si>
  <si>
    <t>Building 18 (4)</t>
  </si>
  <si>
    <t>Tree 02 (3)</t>
  </si>
  <si>
    <t>Bannar 14 (1)</t>
  </si>
  <si>
    <t>Tong (3)</t>
  </si>
  <si>
    <t>mcp_building_24_fountain_marble</t>
  </si>
  <si>
    <t>mcp_roads_cross_02</t>
  </si>
  <si>
    <t>Building 15 (30)</t>
  </si>
  <si>
    <t>Tree 02 (2)</t>
  </si>
  <si>
    <t>Building 15 (32)</t>
  </si>
  <si>
    <t>Building 15 (7)</t>
  </si>
  <si>
    <t>Stand 03 (2)</t>
  </si>
  <si>
    <t>mcp_roads_turn_01</t>
  </si>
  <si>
    <t>mcp_road_part_02 (1)</t>
  </si>
  <si>
    <t>mcp_road_part_02 (2)</t>
  </si>
  <si>
    <t>Building 07 (17)</t>
  </si>
  <si>
    <t>Building 23 (4)</t>
  </si>
  <si>
    <t>mcp_road_part_02 (3)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</si>
  <si>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</si>
  <si>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</si>
  <si>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</si>
  <si>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</si>
  <si>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</si>
  <si>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</si>
  <si>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</si>
  <si>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Canopi 01 (4)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</si>
</sst>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503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"20190312150945599"</f>
        <v>20190312150945599</v>
      </c>
      <c r="B2" t="str">
        <f>"1552374585590542"</f>
        <v>1552374585590542</v>
      </c>
      <c r="C2" t="s">
        <v>40</v>
      </c>
      <c r="D2">
        <v>5.2853240000000001</v>
      </c>
      <c r="E2">
        <v>0.55170750000000002</v>
      </c>
      <c r="F2" t="s">
        <v>41</v>
      </c>
      <c r="G2">
        <v>-475.9074</v>
      </c>
      <c r="H2">
        <v>0.98085</v>
      </c>
      <c r="I2">
        <v>367.12549999999999</v>
      </c>
      <c r="J2">
        <v>-476.59640000000002</v>
      </c>
      <c r="K2">
        <v>1.10972</v>
      </c>
      <c r="L2">
        <v>367.2149</v>
      </c>
      <c r="M2">
        <v>0.99997009999999997</v>
      </c>
      <c r="N2">
        <v>0</v>
      </c>
      <c r="O2">
        <v>-2.4655050000000001E-4</v>
      </c>
      <c r="P2">
        <v>0.997699</v>
      </c>
      <c r="Q2">
        <v>6.7390489999999997E-2</v>
      </c>
      <c r="R2">
        <v>7.447324E-3</v>
      </c>
      <c r="S2">
        <v>3.046173</v>
      </c>
      <c r="T2">
        <v>-0.56121279999999996</v>
      </c>
      <c r="U2">
        <v>-0.3887024</v>
      </c>
      <c r="V2">
        <v>-7.6846240000000001E-3</v>
      </c>
      <c r="W2">
        <v>7.5107649999999998E-2</v>
      </c>
      <c r="X2">
        <v>0.99714579999999997</v>
      </c>
      <c r="Y2">
        <v>0.124278399999999</v>
      </c>
      <c r="Z2">
        <v>-1.126312E-2</v>
      </c>
      <c r="AA2">
        <v>0.99218340000000005</v>
      </c>
      <c r="AB2">
        <v>1</v>
      </c>
      <c r="AC2">
        <v>0.68900000000002104</v>
      </c>
      <c r="AD2">
        <v>-0.12887000000000001</v>
      </c>
      <c r="AE2">
        <v>-8.9400000000011901E-2</v>
      </c>
      <c r="AF2">
        <v>8.6262313388666897E-2</v>
      </c>
      <c r="AG2">
        <v>-0.12887000000000001</v>
      </c>
      <c r="AH2">
        <v>0.66610505801331199</v>
      </c>
      <c r="AI2">
        <v>100.861108729796</v>
      </c>
      <c r="AJ2">
        <v>82.621116932512507</v>
      </c>
      <c r="AK2">
        <v>0.68391857111945897</v>
      </c>
      <c r="AL2">
        <v>85.692592270336107</v>
      </c>
      <c r="AM2">
        <v>90.441548072467597</v>
      </c>
      <c r="AN2">
        <v>0.99999997949609098</v>
      </c>
    </row>
    <row r="3" spans="1:40" x14ac:dyDescent="0.25">
      <c r="A3" t="str">
        <f>"20190312150945622"</f>
        <v>20190312150945622</v>
      </c>
      <c r="B3" t="str">
        <f>"1552374585610377"</f>
        <v>1552374585610377</v>
      </c>
      <c r="C3" t="s">
        <v>40</v>
      </c>
      <c r="D3">
        <v>5.4750059999999996</v>
      </c>
      <c r="E3">
        <v>0.55158200000000002</v>
      </c>
      <c r="F3" t="s">
        <v>41</v>
      </c>
      <c r="G3">
        <v>-475.88560000000001</v>
      </c>
      <c r="H3">
        <v>0.980522</v>
      </c>
      <c r="I3">
        <v>367.12450000000001</v>
      </c>
      <c r="J3">
        <v>-476.5831</v>
      </c>
      <c r="K3">
        <v>1.109661</v>
      </c>
      <c r="L3">
        <v>367.21480000000003</v>
      </c>
      <c r="M3">
        <v>0.99997599999999998</v>
      </c>
      <c r="N3">
        <v>0</v>
      </c>
      <c r="O3">
        <v>-3.0507869999999999E-4</v>
      </c>
      <c r="P3">
        <v>0.99762169999999895</v>
      </c>
      <c r="Q3">
        <v>6.8513450000000004E-2</v>
      </c>
      <c r="R3">
        <v>7.5664779999999997E-3</v>
      </c>
      <c r="S3">
        <v>3.04718</v>
      </c>
      <c r="T3">
        <v>-0.5538303</v>
      </c>
      <c r="U3">
        <v>-0.3868103</v>
      </c>
      <c r="V3">
        <v>-7.8627330000000002E-3</v>
      </c>
      <c r="W3">
        <v>7.5434299999999996E-2</v>
      </c>
      <c r="X3">
        <v>0.9971198</v>
      </c>
      <c r="Y3">
        <v>0.1236385</v>
      </c>
      <c r="Z3">
        <v>-1.1046210000000001E-2</v>
      </c>
      <c r="AA3">
        <v>0.99226579999999998</v>
      </c>
      <c r="AB3">
        <v>1</v>
      </c>
      <c r="AC3">
        <v>0.69749999999999002</v>
      </c>
      <c r="AD3">
        <v>-0.129139</v>
      </c>
      <c r="AE3">
        <v>-9.03000000000133E-2</v>
      </c>
      <c r="AF3">
        <v>8.7149071661755798E-2</v>
      </c>
      <c r="AG3">
        <v>-0.129139</v>
      </c>
      <c r="AH3">
        <v>0.67477817814845698</v>
      </c>
      <c r="AI3">
        <v>100.74709967622</v>
      </c>
      <c r="AJ3">
        <v>82.640862335364602</v>
      </c>
      <c r="AK3">
        <v>0.69252973345399105</v>
      </c>
      <c r="AL3">
        <v>85.673823559265699</v>
      </c>
      <c r="AM3">
        <v>90.451793334420003</v>
      </c>
      <c r="AN3">
        <v>1.00000002586937</v>
      </c>
    </row>
    <row r="4" spans="1:40" x14ac:dyDescent="0.25">
      <c r="A4" t="str">
        <f>"20190312150945644"</f>
        <v>20190312150945644</v>
      </c>
      <c r="B4" t="str">
        <f>"1552374585640633"</f>
        <v>1552374585640633</v>
      </c>
      <c r="C4" t="s">
        <v>40</v>
      </c>
      <c r="D4">
        <v>5.360131</v>
      </c>
      <c r="E4">
        <v>0.55213959999999995</v>
      </c>
      <c r="F4" t="s">
        <v>41</v>
      </c>
      <c r="G4">
        <v>-475.87529999999998</v>
      </c>
      <c r="H4">
        <v>0.98220529999999995</v>
      </c>
      <c r="I4">
        <v>367.12509999999997</v>
      </c>
      <c r="J4">
        <v>-476.5711</v>
      </c>
      <c r="K4">
        <v>1.1098440000000001</v>
      </c>
      <c r="L4">
        <v>367.21469999999999</v>
      </c>
      <c r="M4">
        <v>0.99997499999999995</v>
      </c>
      <c r="N4">
        <v>0</v>
      </c>
      <c r="O4">
        <v>-3.3785070000000002E-4</v>
      </c>
      <c r="P4">
        <v>0.9975849</v>
      </c>
      <c r="Q4">
        <v>6.8994849999999996E-2</v>
      </c>
      <c r="R4">
        <v>8.0202889999999999E-3</v>
      </c>
      <c r="S4">
        <v>3.0477599999999998</v>
      </c>
      <c r="T4">
        <v>-0.54888239999999999</v>
      </c>
      <c r="U4">
        <v>-0.38534550000000001</v>
      </c>
      <c r="V4">
        <v>-8.3506489999999999E-3</v>
      </c>
      <c r="W4">
        <v>7.6038159999999994E-2</v>
      </c>
      <c r="X4">
        <v>0.99707000000000001</v>
      </c>
      <c r="Y4">
        <v>0.1231568</v>
      </c>
      <c r="Z4">
        <v>-1.0898669999999999E-2</v>
      </c>
      <c r="AA4">
        <v>0.99232739999999997</v>
      </c>
      <c r="AB4">
        <v>1</v>
      </c>
      <c r="AC4">
        <v>0.69580000000001896</v>
      </c>
      <c r="AD4">
        <v>-0.12763869999999999</v>
      </c>
      <c r="AE4">
        <v>-8.9600000000018498E-2</v>
      </c>
      <c r="AF4">
        <v>8.6501544457424306E-2</v>
      </c>
      <c r="AG4">
        <v>-0.12763869999999999</v>
      </c>
      <c r="AH4">
        <v>0.67353492663867798</v>
      </c>
      <c r="AI4">
        <v>100.64521931244199</v>
      </c>
      <c r="AJ4">
        <v>82.681610676419695</v>
      </c>
      <c r="AK4">
        <v>0.69095835788662396</v>
      </c>
      <c r="AL4">
        <v>85.639125421979202</v>
      </c>
      <c r="AM4">
        <v>90.479851722988201</v>
      </c>
      <c r="AN4">
        <v>1.0000000600074499</v>
      </c>
    </row>
    <row r="5" spans="1:40" x14ac:dyDescent="0.25">
      <c r="A5" t="str">
        <f>"20190312150945666"</f>
        <v>20190312150945666</v>
      </c>
      <c r="B5" t="str">
        <f>"1552374585661129"</f>
        <v>1552374585661129</v>
      </c>
      <c r="C5" t="s">
        <v>40</v>
      </c>
      <c r="D5">
        <v>5.274896</v>
      </c>
      <c r="E5">
        <v>0.55223529999999998</v>
      </c>
      <c r="F5" t="s">
        <v>41</v>
      </c>
      <c r="G5">
        <v>-475.86270000000002</v>
      </c>
      <c r="H5">
        <v>0.98099340000000002</v>
      </c>
      <c r="I5">
        <v>367.12450000000001</v>
      </c>
      <c r="J5">
        <v>-476.55529999999999</v>
      </c>
      <c r="K5">
        <v>1.1097109999999999</v>
      </c>
      <c r="L5">
        <v>367.21460000000002</v>
      </c>
      <c r="M5">
        <v>0.99998069999999895</v>
      </c>
      <c r="N5">
        <v>0</v>
      </c>
      <c r="O5">
        <v>-3.8885349999999999E-4</v>
      </c>
      <c r="P5">
        <v>0.99752810000000003</v>
      </c>
      <c r="Q5">
        <v>6.9810159999999996E-2</v>
      </c>
      <c r="R5">
        <v>8.0208880000000003E-3</v>
      </c>
      <c r="S5">
        <v>3.0487060000000001</v>
      </c>
      <c r="T5">
        <v>-0.55462769999999995</v>
      </c>
      <c r="U5">
        <v>-0.38827509999999998</v>
      </c>
      <c r="V5">
        <v>-8.4024960000000006E-3</v>
      </c>
      <c r="W5">
        <v>7.6000600000000001E-2</v>
      </c>
      <c r="X5">
        <v>0.99707230000000002</v>
      </c>
      <c r="Y5">
        <v>0.1239552</v>
      </c>
      <c r="Z5">
        <v>-1.1069529999999999E-2</v>
      </c>
      <c r="AA5">
        <v>0.9922261</v>
      </c>
      <c r="AB5">
        <v>1</v>
      </c>
      <c r="AC5">
        <v>0.69259999999997002</v>
      </c>
      <c r="AD5">
        <v>-0.12871759999999999</v>
      </c>
      <c r="AE5">
        <v>-9.0100000000006703E-2</v>
      </c>
      <c r="AF5">
        <v>8.6879854408106305E-2</v>
      </c>
      <c r="AG5">
        <v>-0.12871759999999999</v>
      </c>
      <c r="AH5">
        <v>0.66988287917034905</v>
      </c>
      <c r="AI5">
        <v>100.78857140975001</v>
      </c>
      <c r="AJ5">
        <v>82.610324272108301</v>
      </c>
      <c r="AK5">
        <v>0.68764773064214402</v>
      </c>
      <c r="AL5">
        <v>85.641283138850696</v>
      </c>
      <c r="AM5">
        <v>90.482829742758994</v>
      </c>
      <c r="AN5">
        <v>0.99999993228333695</v>
      </c>
    </row>
    <row r="6" spans="1:40" x14ac:dyDescent="0.25">
      <c r="A6" t="str">
        <f>"20190312150945688"</f>
        <v>20190312150945688</v>
      </c>
      <c r="B6" t="str">
        <f>"1552374585680649"</f>
        <v>1552374585680649</v>
      </c>
      <c r="C6" t="s">
        <v>40</v>
      </c>
      <c r="D6">
        <v>5.341526</v>
      </c>
      <c r="E6">
        <v>0.55252080000000003</v>
      </c>
      <c r="F6" t="s">
        <v>41</v>
      </c>
      <c r="G6">
        <v>-475.84640000000002</v>
      </c>
      <c r="H6">
        <v>0.98079629999999995</v>
      </c>
      <c r="I6">
        <v>367.12389999999999</v>
      </c>
      <c r="J6">
        <v>-476.53559999999999</v>
      </c>
      <c r="K6">
        <v>1.1095170000000001</v>
      </c>
      <c r="L6">
        <v>367.21449999999999</v>
      </c>
      <c r="M6">
        <v>0.99998710000000002</v>
      </c>
      <c r="N6">
        <v>0</v>
      </c>
      <c r="O6">
        <v>-4.6051579999999999E-4</v>
      </c>
      <c r="P6">
        <v>0.99738199999999999</v>
      </c>
      <c r="Q6">
        <v>7.1908570000000005E-2</v>
      </c>
      <c r="R6">
        <v>7.659768E-3</v>
      </c>
      <c r="S6">
        <v>3.0493769999999998</v>
      </c>
      <c r="T6">
        <v>-0.55474400000000001</v>
      </c>
      <c r="U6">
        <v>-0.38842769999999999</v>
      </c>
      <c r="V6">
        <v>-8.1123419999999998E-3</v>
      </c>
      <c r="W6">
        <v>7.6978089999999999E-2</v>
      </c>
      <c r="X6">
        <v>0.99699979999999999</v>
      </c>
      <c r="Y6">
        <v>0.1239075</v>
      </c>
      <c r="Z6">
        <v>-1.105224E-2</v>
      </c>
      <c r="AA6">
        <v>0.99223220000000001</v>
      </c>
      <c r="AB6">
        <v>2</v>
      </c>
      <c r="AC6">
        <v>0.68919999999997095</v>
      </c>
      <c r="AD6">
        <v>-0.12872069999999999</v>
      </c>
      <c r="AE6">
        <v>-9.0599999999994907E-2</v>
      </c>
      <c r="AF6">
        <v>8.7289457933914197E-2</v>
      </c>
      <c r="AG6">
        <v>-0.12872069999999999</v>
      </c>
      <c r="AH6">
        <v>0.66639120717735301</v>
      </c>
      <c r="AI6">
        <v>100.842262162788</v>
      </c>
      <c r="AJ6">
        <v>82.537410014769307</v>
      </c>
      <c r="AK6">
        <v>0.68429942940073796</v>
      </c>
      <c r="AL6">
        <v>85.585112906525694</v>
      </c>
      <c r="AM6">
        <v>90.466191368618396</v>
      </c>
      <c r="AN6">
        <v>1.0000000188164</v>
      </c>
    </row>
    <row r="7" spans="1:40" x14ac:dyDescent="0.25">
      <c r="A7" t="str">
        <f>"20190312150945701"</f>
        <v>20190312150945701</v>
      </c>
      <c r="B7" t="str">
        <f>"1552374585690410"</f>
        <v>1552374585690410</v>
      </c>
      <c r="C7" t="s">
        <v>40</v>
      </c>
      <c r="D7">
        <v>6.4572399999999996</v>
      </c>
      <c r="E7">
        <v>0.55245299999999997</v>
      </c>
      <c r="F7" t="s">
        <v>41</v>
      </c>
      <c r="G7">
        <v>-475.82769999999999</v>
      </c>
      <c r="H7">
        <v>0.98075639999999997</v>
      </c>
      <c r="I7">
        <v>367.12389999999999</v>
      </c>
      <c r="J7">
        <v>-476.5231</v>
      </c>
      <c r="K7">
        <v>1.1094269999999999</v>
      </c>
      <c r="L7">
        <v>367.21449999999999</v>
      </c>
      <c r="M7">
        <v>0.99998969999999998</v>
      </c>
      <c r="N7">
        <v>0</v>
      </c>
      <c r="O7">
        <v>-5.0750250000000002E-4</v>
      </c>
      <c r="P7">
        <v>0.99731009999999998</v>
      </c>
      <c r="Q7">
        <v>7.2936790000000001E-2</v>
      </c>
      <c r="R7">
        <v>7.2784059999999899E-3</v>
      </c>
      <c r="S7">
        <v>3.0509029999999999</v>
      </c>
      <c r="T7">
        <v>-0.554953699999999</v>
      </c>
      <c r="U7">
        <v>-0.39056400000000002</v>
      </c>
      <c r="V7">
        <v>-7.7773879999999997E-3</v>
      </c>
      <c r="W7">
        <v>7.7423569999999997E-2</v>
      </c>
      <c r="X7">
        <v>0.99696799999999997</v>
      </c>
      <c r="Y7">
        <v>0.1244746</v>
      </c>
      <c r="Z7">
        <v>-1.109299E-2</v>
      </c>
      <c r="AA7">
        <v>0.99216079999999995</v>
      </c>
      <c r="AB7">
        <v>2</v>
      </c>
      <c r="AC7">
        <v>0.69540000000000601</v>
      </c>
      <c r="AD7">
        <v>-0.128670599999999</v>
      </c>
      <c r="AE7">
        <v>-9.0599999999994907E-2</v>
      </c>
      <c r="AF7">
        <v>8.7307843774967406E-2</v>
      </c>
      <c r="AG7">
        <v>-0.128670599999999</v>
      </c>
      <c r="AH7">
        <v>0.67279616782047302</v>
      </c>
      <c r="AI7">
        <v>100.739013896494</v>
      </c>
      <c r="AJ7">
        <v>82.606123899250306</v>
      </c>
      <c r="AK7">
        <v>0.69053129279049197</v>
      </c>
      <c r="AL7">
        <v>85.559512496218801</v>
      </c>
      <c r="AM7">
        <v>90.446957644530698</v>
      </c>
      <c r="AN7">
        <v>1.0000000449898201</v>
      </c>
    </row>
    <row r="8" spans="1:40" x14ac:dyDescent="0.25">
      <c r="A8" t="str">
        <f>"20190312150945720"</f>
        <v>20190312150945720</v>
      </c>
      <c r="B8" t="str">
        <f>"1552374585710905"</f>
        <v>1552374585710905</v>
      </c>
      <c r="C8" t="s">
        <v>40</v>
      </c>
      <c r="D8">
        <v>5.3277169999999998</v>
      </c>
      <c r="E8">
        <v>0.55240739999999999</v>
      </c>
      <c r="F8" t="s">
        <v>41</v>
      </c>
      <c r="G8">
        <v>-475.80700000000002</v>
      </c>
      <c r="H8">
        <v>0.9800352</v>
      </c>
      <c r="I8">
        <v>367.1223</v>
      </c>
      <c r="J8">
        <v>-476.50259999999997</v>
      </c>
      <c r="K8">
        <v>1.109372</v>
      </c>
      <c r="L8">
        <v>367.21440000000001</v>
      </c>
      <c r="M8">
        <v>0.99999249999999995</v>
      </c>
      <c r="N8">
        <v>0</v>
      </c>
      <c r="O8">
        <v>-5.8015689999999995E-4</v>
      </c>
      <c r="P8">
        <v>0.99723649999999997</v>
      </c>
      <c r="Q8">
        <v>7.3976739999999999E-2</v>
      </c>
      <c r="R8">
        <v>6.8821780000000001E-3</v>
      </c>
      <c r="S8">
        <v>3.0512700000000001</v>
      </c>
      <c r="T8">
        <v>-0.55135849999999997</v>
      </c>
      <c r="U8">
        <v>-0.39178469999999999</v>
      </c>
      <c r="V8">
        <v>-7.453416E-3</v>
      </c>
      <c r="W8">
        <v>7.7816720000000006E-2</v>
      </c>
      <c r="X8">
        <v>0.99693980000000004</v>
      </c>
      <c r="Y8">
        <v>0.1248002</v>
      </c>
      <c r="Z8">
        <v>-1.1036789999999999E-2</v>
      </c>
      <c r="AA8">
        <v>0.99212049999999996</v>
      </c>
      <c r="AB8">
        <v>2</v>
      </c>
      <c r="AC8">
        <v>0.69560000000001299</v>
      </c>
      <c r="AD8">
        <v>-0.1293368</v>
      </c>
      <c r="AE8">
        <v>-9.2100000000016197E-2</v>
      </c>
      <c r="AF8">
        <v>8.8683284410834104E-2</v>
      </c>
      <c r="AG8">
        <v>-0.1293368</v>
      </c>
      <c r="AH8">
        <v>0.67279418207318498</v>
      </c>
      <c r="AI8">
        <v>100.79057307446701</v>
      </c>
      <c r="AJ8">
        <v>82.490938578956403</v>
      </c>
      <c r="AK8">
        <v>0.69082902674949798</v>
      </c>
      <c r="AL8">
        <v>85.536918205078905</v>
      </c>
      <c r="AM8">
        <v>90.428352166684704</v>
      </c>
      <c r="AN8">
        <v>0.99999998007283297</v>
      </c>
    </row>
    <row r="9" spans="1:40" x14ac:dyDescent="0.25">
      <c r="A9" t="str">
        <f>"20190312150945744"</f>
        <v>20190312150945744</v>
      </c>
      <c r="B9" t="str">
        <f>"1552374585741162"</f>
        <v>1552374585741162</v>
      </c>
      <c r="C9" t="s">
        <v>40</v>
      </c>
      <c r="D9">
        <v>5.4810480000000004</v>
      </c>
      <c r="E9">
        <v>0.55274419999999902</v>
      </c>
      <c r="F9" t="s">
        <v>41</v>
      </c>
      <c r="G9">
        <v>-475.78660000000002</v>
      </c>
      <c r="H9">
        <v>0.98029480000000002</v>
      </c>
      <c r="I9">
        <v>367.1223</v>
      </c>
      <c r="J9">
        <v>-476.47840000000002</v>
      </c>
      <c r="K9">
        <v>1.109502</v>
      </c>
      <c r="L9">
        <v>367.21429999999998</v>
      </c>
      <c r="M9">
        <v>0.99999260000000001</v>
      </c>
      <c r="N9">
        <v>0</v>
      </c>
      <c r="O9">
        <v>-6.3650540000000002E-4</v>
      </c>
      <c r="P9">
        <v>0.9972008</v>
      </c>
      <c r="Q9">
        <v>7.4534649999999994E-2</v>
      </c>
      <c r="R9">
        <v>5.9376230000000004E-3</v>
      </c>
      <c r="S9">
        <v>3.0518800000000001</v>
      </c>
      <c r="T9">
        <v>-0.55028820000000001</v>
      </c>
      <c r="U9">
        <v>-0.3923645</v>
      </c>
      <c r="V9">
        <v>-6.5656279999999996E-3</v>
      </c>
      <c r="W9">
        <v>7.8310169999999998E-2</v>
      </c>
      <c r="X9">
        <v>0.9969074</v>
      </c>
      <c r="Y9">
        <v>0.1249123</v>
      </c>
      <c r="Z9">
        <v>-1.101337E-2</v>
      </c>
      <c r="AA9">
        <v>0.99210670000000001</v>
      </c>
      <c r="AB9">
        <v>2</v>
      </c>
      <c r="AC9">
        <v>0.69179999999999997</v>
      </c>
      <c r="AD9">
        <v>-0.129207199999999</v>
      </c>
      <c r="AE9">
        <v>-9.1999999999984497E-2</v>
      </c>
      <c r="AF9">
        <v>8.8525290515320404E-2</v>
      </c>
      <c r="AG9">
        <v>-0.129207199999999</v>
      </c>
      <c r="AH9">
        <v>0.668929727157201</v>
      </c>
      <c r="AI9">
        <v>100.84009759934401</v>
      </c>
      <c r="AJ9">
        <v>82.461356771257499</v>
      </c>
      <c r="AK9">
        <v>0.687021256925336</v>
      </c>
      <c r="AL9">
        <v>85.5085590478635</v>
      </c>
      <c r="AM9">
        <v>90.377344310390001</v>
      </c>
      <c r="AN9">
        <v>0.99999997718561096</v>
      </c>
    </row>
    <row r="10" spans="1:40" x14ac:dyDescent="0.25">
      <c r="A10" t="str">
        <f>"20190312150945756"</f>
        <v>20190312150945756</v>
      </c>
      <c r="B10" t="str">
        <f>"1552374585750921"</f>
        <v>1552374585750921</v>
      </c>
      <c r="C10" t="s">
        <v>40</v>
      </c>
      <c r="D10">
        <v>5.3121330000000002</v>
      </c>
      <c r="E10">
        <v>0.55277909999999997</v>
      </c>
      <c r="F10" t="s">
        <v>41</v>
      </c>
      <c r="G10">
        <v>-475.7638</v>
      </c>
      <c r="H10">
        <v>0.97915410000000003</v>
      </c>
      <c r="I10">
        <v>367.12079999999997</v>
      </c>
      <c r="J10">
        <v>-476.46319999999997</v>
      </c>
      <c r="K10">
        <v>1.1094809999999999</v>
      </c>
      <c r="L10">
        <v>367.21420000000001</v>
      </c>
      <c r="M10">
        <v>0.99999380000000004</v>
      </c>
      <c r="N10">
        <v>0</v>
      </c>
      <c r="O10">
        <v>-6.7458280000000002E-4</v>
      </c>
      <c r="P10">
        <v>0.99715790000000004</v>
      </c>
      <c r="Q10">
        <v>7.5162290000000007E-2</v>
      </c>
      <c r="R10">
        <v>5.1987600000000002E-3</v>
      </c>
      <c r="S10">
        <v>3.0524290000000001</v>
      </c>
      <c r="T10">
        <v>-0.55687089999999995</v>
      </c>
      <c r="U10">
        <v>-0.39746090000000001</v>
      </c>
      <c r="V10">
        <v>-5.8647869999999998E-3</v>
      </c>
      <c r="W10">
        <v>7.8644359999999996E-2</v>
      </c>
      <c r="X10">
        <v>0.99688549999999998</v>
      </c>
      <c r="Y10">
        <v>0.12641140000000001</v>
      </c>
      <c r="Z10">
        <v>-1.12681E-2</v>
      </c>
      <c r="AA10">
        <v>0.99191390000000002</v>
      </c>
      <c r="AB10">
        <v>2</v>
      </c>
      <c r="AC10">
        <v>0.69939999999996805</v>
      </c>
      <c r="AD10">
        <v>-0.1303269</v>
      </c>
      <c r="AE10">
        <v>-9.3400000000031E-2</v>
      </c>
      <c r="AF10">
        <v>8.9862549575757206E-2</v>
      </c>
      <c r="AG10">
        <v>-0.1303269</v>
      </c>
      <c r="AH10">
        <v>0.67638814957318805</v>
      </c>
      <c r="AI10">
        <v>100.81338547287601</v>
      </c>
      <c r="AJ10">
        <v>82.432202679592393</v>
      </c>
      <c r="AK10">
        <v>0.69466632822018004</v>
      </c>
      <c r="AL10">
        <v>85.489352308430995</v>
      </c>
      <c r="AM10">
        <v>90.337073481534105</v>
      </c>
      <c r="AN10">
        <v>1.0000000155983</v>
      </c>
    </row>
    <row r="11" spans="1:40" x14ac:dyDescent="0.25">
      <c r="A11" t="str">
        <f>"20190312150945776"</f>
        <v>20190312150945776</v>
      </c>
      <c r="B11" t="str">
        <f>"1552374585770441"</f>
        <v>1552374585770441</v>
      </c>
      <c r="C11" t="s">
        <v>40</v>
      </c>
      <c r="D11">
        <v>6.2851800000000004</v>
      </c>
      <c r="E11">
        <v>0.55272790000000005</v>
      </c>
      <c r="F11" t="s">
        <v>41</v>
      </c>
      <c r="G11">
        <v>-475.76249999999999</v>
      </c>
      <c r="H11">
        <v>0.98209290000000005</v>
      </c>
      <c r="I11">
        <v>367.12200000000001</v>
      </c>
      <c r="J11">
        <v>-476.43810000000002</v>
      </c>
      <c r="K11">
        <v>1.1093679999999999</v>
      </c>
      <c r="L11">
        <v>367.21409999999997</v>
      </c>
      <c r="M11">
        <v>0.99999579999999999</v>
      </c>
      <c r="N11">
        <v>0</v>
      </c>
      <c r="O11">
        <v>-7.4513149999999996E-4</v>
      </c>
      <c r="P11">
        <v>0.99707389999999996</v>
      </c>
      <c r="Q11">
        <v>7.6330770000000006E-2</v>
      </c>
      <c r="R11">
        <v>4.1486989999999996E-3</v>
      </c>
      <c r="S11">
        <v>3.0524900000000001</v>
      </c>
      <c r="T11">
        <v>-0.55507189999999995</v>
      </c>
      <c r="U11">
        <v>-0.39984130000000001</v>
      </c>
      <c r="V11">
        <v>-4.8848950000000002E-3</v>
      </c>
      <c r="W11">
        <v>7.9132060000000004E-2</v>
      </c>
      <c r="X11">
        <v>0.99685219999999997</v>
      </c>
      <c r="Y11">
        <v>0.12710279999999999</v>
      </c>
      <c r="Z11">
        <v>-1.128094E-2</v>
      </c>
      <c r="AA11">
        <v>0.99182539999999997</v>
      </c>
      <c r="AB11">
        <v>2</v>
      </c>
      <c r="AC11">
        <v>0.67560000000003095</v>
      </c>
      <c r="AD11">
        <v>-0.1272751</v>
      </c>
      <c r="AE11">
        <v>-9.2100000000016197E-2</v>
      </c>
      <c r="AF11">
        <v>8.8512552776258996E-2</v>
      </c>
      <c r="AG11">
        <v>-0.1272751</v>
      </c>
      <c r="AH11">
        <v>0.65291903254849903</v>
      </c>
      <c r="AI11">
        <v>100.932918313615</v>
      </c>
      <c r="AJ11">
        <v>82.279797756658695</v>
      </c>
      <c r="AK11">
        <v>0.67107129736194804</v>
      </c>
      <c r="AL11">
        <v>85.461321850279305</v>
      </c>
      <c r="AM11">
        <v>90.280765419989194</v>
      </c>
      <c r="AN11">
        <v>1.00000002688192</v>
      </c>
    </row>
    <row r="12" spans="1:40" x14ac:dyDescent="0.25">
      <c r="A12" t="str">
        <f>"20190312150945800"</f>
        <v>20190312150945800</v>
      </c>
      <c r="B12" t="str">
        <f>"1552374585790937"</f>
        <v>1552374585790937</v>
      </c>
      <c r="C12" t="s">
        <v>40</v>
      </c>
      <c r="D12">
        <v>5.3325889999999996</v>
      </c>
      <c r="E12">
        <v>0.55276859999999906</v>
      </c>
      <c r="F12" t="s">
        <v>41</v>
      </c>
      <c r="G12">
        <v>-475.73610000000002</v>
      </c>
      <c r="H12">
        <v>0.98239089999999996</v>
      </c>
      <c r="I12">
        <v>367.12180000000001</v>
      </c>
      <c r="J12">
        <v>-476.4033</v>
      </c>
      <c r="K12">
        <v>1.1092280000000001</v>
      </c>
      <c r="L12">
        <v>367.214</v>
      </c>
      <c r="M12">
        <v>0.99999769999999999</v>
      </c>
      <c r="N12">
        <v>0</v>
      </c>
      <c r="O12">
        <v>-8.5219419999999998E-4</v>
      </c>
      <c r="P12">
        <v>0.99696209999999996</v>
      </c>
      <c r="Q12">
        <v>7.7819570000000005E-2</v>
      </c>
      <c r="R12">
        <v>3.2668770000000001E-3</v>
      </c>
      <c r="S12">
        <v>3.0527039999999999</v>
      </c>
      <c r="T12">
        <v>-0.55217890000000003</v>
      </c>
      <c r="U12">
        <v>-0.40200809999999998</v>
      </c>
      <c r="V12">
        <v>-4.1084650000000004E-3</v>
      </c>
      <c r="W12">
        <v>7.97538E-2</v>
      </c>
      <c r="X12">
        <v>0.99680610000000003</v>
      </c>
      <c r="Y12">
        <v>0.12769359999999999</v>
      </c>
      <c r="Z12">
        <v>-1.125544E-2</v>
      </c>
      <c r="AA12">
        <v>0.99174980000000001</v>
      </c>
      <c r="AB12">
        <v>3</v>
      </c>
      <c r="AC12">
        <v>0.66719999999997903</v>
      </c>
      <c r="AD12">
        <v>-0.12683710000000001</v>
      </c>
      <c r="AE12">
        <v>-9.2199999999991095E-2</v>
      </c>
      <c r="AF12">
        <v>8.84932199129463E-2</v>
      </c>
      <c r="AG12">
        <v>-0.12683710000000001</v>
      </c>
      <c r="AH12">
        <v>0.64442560051421105</v>
      </c>
      <c r="AI12">
        <v>101.033769692116</v>
      </c>
      <c r="AJ12">
        <v>82.180984834092101</v>
      </c>
      <c r="AK12">
        <v>0.66272396554302504</v>
      </c>
      <c r="AL12">
        <v>85.425585586079805</v>
      </c>
      <c r="AM12">
        <v>90.236150613269402</v>
      </c>
      <c r="AN12">
        <v>0.99999997454815204</v>
      </c>
    </row>
    <row r="13" spans="1:40" x14ac:dyDescent="0.25">
      <c r="A13" t="str">
        <f>"20190312150945813"</f>
        <v>20190312150945813</v>
      </c>
      <c r="B13" t="str">
        <f>"1552374585810457"</f>
        <v>1552374585810457</v>
      </c>
      <c r="C13" t="s">
        <v>40</v>
      </c>
      <c r="D13">
        <v>5.431038</v>
      </c>
      <c r="E13">
        <v>0.55261740000000004</v>
      </c>
      <c r="F13" t="s">
        <v>41</v>
      </c>
      <c r="G13">
        <v>-475.678</v>
      </c>
      <c r="H13">
        <v>0.97895929999999998</v>
      </c>
      <c r="I13">
        <v>367.11770000000001</v>
      </c>
      <c r="J13">
        <v>-476.38200000000001</v>
      </c>
      <c r="K13">
        <v>1.1091770000000001</v>
      </c>
      <c r="L13">
        <v>367.21390000000002</v>
      </c>
      <c r="M13">
        <v>0.99999839999999995</v>
      </c>
      <c r="N13">
        <v>0</v>
      </c>
      <c r="O13">
        <v>-9.2121309999999997E-4</v>
      </c>
      <c r="P13">
        <v>0.99692239999999999</v>
      </c>
      <c r="Q13">
        <v>7.8348290000000001E-2</v>
      </c>
      <c r="R13">
        <v>2.688761E-3</v>
      </c>
      <c r="S13">
        <v>3.0532840000000001</v>
      </c>
      <c r="T13">
        <v>-0.54841219999999902</v>
      </c>
      <c r="U13">
        <v>-0.40487669999999998</v>
      </c>
      <c r="V13">
        <v>-3.5988890000000001E-3</v>
      </c>
      <c r="W13">
        <v>7.9885940000000003E-2</v>
      </c>
      <c r="X13">
        <v>0.9967975</v>
      </c>
      <c r="Y13">
        <v>0.1285327</v>
      </c>
      <c r="Z13">
        <v>-1.1239320000000001E-2</v>
      </c>
      <c r="AA13">
        <v>0.99164160000000001</v>
      </c>
      <c r="AB13">
        <v>3</v>
      </c>
      <c r="AC13">
        <v>0.70399999999989404</v>
      </c>
      <c r="AD13">
        <v>-0.13021769999999999</v>
      </c>
      <c r="AE13">
        <v>-9.6200000000010194E-2</v>
      </c>
      <c r="AF13">
        <v>9.2446503176754694E-2</v>
      </c>
      <c r="AG13">
        <v>-0.13021769999999999</v>
      </c>
      <c r="AH13">
        <v>0.68120913650336901</v>
      </c>
      <c r="AI13">
        <v>100.725911536417</v>
      </c>
      <c r="AJ13">
        <v>82.271636221697804</v>
      </c>
      <c r="AK13">
        <v>0.69967770651819805</v>
      </c>
      <c r="AL13">
        <v>85.4179903385334</v>
      </c>
      <c r="AM13">
        <v>90.206862732575402</v>
      </c>
      <c r="AN13">
        <v>0.99999998570898296</v>
      </c>
    </row>
    <row r="14" spans="1:40" x14ac:dyDescent="0.25">
      <c r="A14" t="str">
        <f>"20190312150945832"</f>
        <v>20190312150945832</v>
      </c>
      <c r="B14" t="str">
        <f>"1552374585821193"</f>
        <v>1552374585821193</v>
      </c>
      <c r="C14" t="s">
        <v>40</v>
      </c>
      <c r="D14">
        <v>6.0427299999999997</v>
      </c>
      <c r="E14">
        <v>0.51665329999999998</v>
      </c>
      <c r="F14" t="s">
        <v>41</v>
      </c>
      <c r="G14">
        <v>-475.67660000000001</v>
      </c>
      <c r="H14">
        <v>0.98204270000000005</v>
      </c>
      <c r="I14">
        <v>367.12009999999998</v>
      </c>
      <c r="J14">
        <v>-476.35160000000002</v>
      </c>
      <c r="K14">
        <v>1.1091310000000001</v>
      </c>
      <c r="L14">
        <v>367.21370000000002</v>
      </c>
      <c r="M14">
        <v>0.99999899999999997</v>
      </c>
      <c r="N14">
        <v>0</v>
      </c>
      <c r="O14">
        <v>-1.014956E-3</v>
      </c>
      <c r="P14">
        <v>0.99693549999999997</v>
      </c>
      <c r="Q14">
        <v>7.8199229999999995E-2</v>
      </c>
      <c r="R14">
        <v>2.1714210000000002E-3</v>
      </c>
      <c r="S14">
        <v>3.0535890000000001</v>
      </c>
      <c r="T14">
        <v>-0.55033969999999999</v>
      </c>
      <c r="U14">
        <v>-0.40524290000000002</v>
      </c>
      <c r="V14">
        <v>-3.1745879999999999E-3</v>
      </c>
      <c r="W14">
        <v>7.9293199999999994E-2</v>
      </c>
      <c r="X14">
        <v>0.99684629999999996</v>
      </c>
      <c r="Y14">
        <v>0.1285316</v>
      </c>
      <c r="Z14">
        <v>-1.126023E-2</v>
      </c>
      <c r="AA14">
        <v>0.99164149999999995</v>
      </c>
      <c r="AB14">
        <v>3</v>
      </c>
      <c r="AC14">
        <v>0.67500000000001104</v>
      </c>
      <c r="AD14">
        <v>-0.12708829999999899</v>
      </c>
      <c r="AE14">
        <v>-9.3600000000037598E-2</v>
      </c>
      <c r="AF14">
        <v>8.9791876832822401E-2</v>
      </c>
      <c r="AG14">
        <v>-0.12708829999999899</v>
      </c>
      <c r="AH14">
        <v>0.65240391443127499</v>
      </c>
      <c r="AI14">
        <v>100.922714146129</v>
      </c>
      <c r="AJ14">
        <v>82.163481842610196</v>
      </c>
      <c r="AK14">
        <v>0.67070476717204097</v>
      </c>
      <c r="AL14">
        <v>85.452060063974997</v>
      </c>
      <c r="AM14">
        <v>90.182465320072794</v>
      </c>
      <c r="AN14">
        <v>1.0000000176994399</v>
      </c>
    </row>
    <row r="15" spans="1:40" x14ac:dyDescent="0.25">
      <c r="A15" t="str">
        <f>"20190312150945847"</f>
        <v>20190312150945847</v>
      </c>
      <c r="B15" t="str">
        <f>"1552374585840713"</f>
        <v>1552374585840713</v>
      </c>
      <c r="C15" t="s">
        <v>40</v>
      </c>
      <c r="D15">
        <v>5.3667639999999999</v>
      </c>
      <c r="E15">
        <v>0.51625940000000003</v>
      </c>
      <c r="F15" t="s">
        <v>41</v>
      </c>
      <c r="G15">
        <v>-475.64530000000002</v>
      </c>
      <c r="H15">
        <v>0.97728340000000002</v>
      </c>
      <c r="I15">
        <v>367.18560000000002</v>
      </c>
      <c r="J15">
        <v>-476.32920000000001</v>
      </c>
      <c r="K15">
        <v>1.1092930000000001</v>
      </c>
      <c r="L15">
        <v>367.21359999999999</v>
      </c>
      <c r="M15">
        <v>0.99999850000000001</v>
      </c>
      <c r="N15">
        <v>0</v>
      </c>
      <c r="O15">
        <v>-1.0735969999999999E-3</v>
      </c>
      <c r="P15">
        <v>0.99698730000000002</v>
      </c>
      <c r="Q15">
        <v>7.755099E-2</v>
      </c>
      <c r="R15">
        <v>1.6148950000000001E-3</v>
      </c>
      <c r="S15">
        <v>3.0541990000000001</v>
      </c>
      <c r="T15">
        <v>-0.57024540000000001</v>
      </c>
      <c r="U15">
        <v>-0.1195374</v>
      </c>
      <c r="V15">
        <v>-2.676978E-3</v>
      </c>
      <c r="W15">
        <v>7.8988030000000001E-2</v>
      </c>
      <c r="X15">
        <v>0.99687190000000003</v>
      </c>
      <c r="Y15">
        <v>3.7408999999999998E-2</v>
      </c>
      <c r="Z15">
        <v>-3.262427E-3</v>
      </c>
      <c r="AA15">
        <v>0.99929469999999998</v>
      </c>
      <c r="AB15">
        <v>3</v>
      </c>
      <c r="AC15">
        <v>0.68389999999999396</v>
      </c>
      <c r="AD15">
        <v>-0.1320096</v>
      </c>
      <c r="AE15">
        <v>-2.79999999999631E-2</v>
      </c>
      <c r="AF15">
        <v>2.6287939018105801E-2</v>
      </c>
      <c r="AG15">
        <v>-0.1320096</v>
      </c>
      <c r="AH15">
        <v>0.659402409199775</v>
      </c>
      <c r="AI15">
        <v>101.31196604123301</v>
      </c>
      <c r="AJ15">
        <v>87.717037794472901</v>
      </c>
      <c r="AK15">
        <v>0.673000094716522</v>
      </c>
      <c r="AL15">
        <v>85.4695996336241</v>
      </c>
      <c r="AM15">
        <v>90.153860463480399</v>
      </c>
      <c r="AN15">
        <v>0.99999993005204901</v>
      </c>
    </row>
    <row r="16" spans="1:40" x14ac:dyDescent="0.25">
      <c r="A16" t="str">
        <f>"20190312150945866"</f>
        <v>20190312150945866</v>
      </c>
      <c r="B16" t="str">
        <f>"1552374585861211"</f>
        <v>1552374585861211</v>
      </c>
      <c r="C16" t="s">
        <v>40</v>
      </c>
      <c r="D16">
        <v>5.3665399999999996</v>
      </c>
      <c r="E16">
        <v>0.51665929999999904</v>
      </c>
      <c r="F16" t="s">
        <v>41</v>
      </c>
      <c r="G16">
        <v>-475.61739999999998</v>
      </c>
      <c r="H16">
        <v>0.9726207</v>
      </c>
      <c r="I16">
        <v>367.18599999999998</v>
      </c>
      <c r="J16">
        <v>-476.29849999999999</v>
      </c>
      <c r="K16">
        <v>1.109523</v>
      </c>
      <c r="L16">
        <v>367.21350000000001</v>
      </c>
      <c r="M16">
        <v>0.99999729999999998</v>
      </c>
      <c r="N16">
        <v>0</v>
      </c>
      <c r="O16">
        <v>-1.144443E-3</v>
      </c>
      <c r="P16">
        <v>0.99701110000000004</v>
      </c>
      <c r="Q16">
        <v>7.725899E-2</v>
      </c>
      <c r="R16">
        <v>1.237035E-4</v>
      </c>
      <c r="S16">
        <v>3.0549010000000001</v>
      </c>
      <c r="T16">
        <v>-0.58665610000000001</v>
      </c>
      <c r="U16">
        <v>-0.11788940000000001</v>
      </c>
      <c r="V16">
        <v>-1.2585160000000001E-3</v>
      </c>
      <c r="W16">
        <v>7.9276089999999994E-2</v>
      </c>
      <c r="X16">
        <v>0.99685190000000001</v>
      </c>
      <c r="Y16">
        <v>3.6767979999999999E-2</v>
      </c>
      <c r="Z16">
        <v>-3.2794830000000001E-3</v>
      </c>
      <c r="AA16">
        <v>0.99931840000000005</v>
      </c>
      <c r="AB16">
        <v>4</v>
      </c>
      <c r="AC16">
        <v>0.68110000000001403</v>
      </c>
      <c r="AD16">
        <v>-0.1369023</v>
      </c>
      <c r="AE16">
        <v>-2.7500000000031801E-2</v>
      </c>
      <c r="AF16">
        <v>2.5684491834900298E-2</v>
      </c>
      <c r="AG16">
        <v>-0.1369023</v>
      </c>
      <c r="AH16">
        <v>0.65472218352049005</v>
      </c>
      <c r="AI16">
        <v>101.801550193681</v>
      </c>
      <c r="AJ16">
        <v>87.7534612455744</v>
      </c>
      <c r="AK16">
        <v>0.66937513433047802</v>
      </c>
      <c r="AL16">
        <v>85.453043393598406</v>
      </c>
      <c r="AM16">
        <v>90.072335335809996</v>
      </c>
      <c r="AN16">
        <v>0.99999999642090998</v>
      </c>
    </row>
    <row r="17" spans="1:40" x14ac:dyDescent="0.25">
      <c r="A17" t="str">
        <f>"20190312150945901"</f>
        <v>20190312150945901</v>
      </c>
      <c r="B17" t="str">
        <f>"1552374585890489"</f>
        <v>1552374585890489</v>
      </c>
      <c r="C17" t="s">
        <v>40</v>
      </c>
      <c r="D17">
        <v>5.365094</v>
      </c>
      <c r="E17">
        <v>0.52547140000000003</v>
      </c>
      <c r="F17" t="s">
        <v>41</v>
      </c>
      <c r="G17">
        <v>-475.58530000000002</v>
      </c>
      <c r="H17">
        <v>0.96908209999999995</v>
      </c>
      <c r="I17">
        <v>367.1841</v>
      </c>
      <c r="J17">
        <v>-476.23559999999998</v>
      </c>
      <c r="K17">
        <v>1.1093459999999999</v>
      </c>
      <c r="L17">
        <v>367.21319999999997</v>
      </c>
      <c r="M17">
        <v>0.99999819999999995</v>
      </c>
      <c r="N17">
        <v>0</v>
      </c>
      <c r="O17">
        <v>-1.298703E-3</v>
      </c>
      <c r="P17">
        <v>0.99689190000000005</v>
      </c>
      <c r="Q17">
        <v>7.8778840000000003E-2</v>
      </c>
      <c r="R17">
        <v>-7.5638099999999998E-4</v>
      </c>
      <c r="S17">
        <v>3.055634</v>
      </c>
      <c r="T17">
        <v>-0.60176830000000003</v>
      </c>
      <c r="U17">
        <v>-0.12429809999999999</v>
      </c>
      <c r="V17">
        <v>-5.3169109999999997E-4</v>
      </c>
      <c r="W17">
        <v>8.0122159999999998E-2</v>
      </c>
      <c r="X17">
        <v>0.99678489999999997</v>
      </c>
      <c r="Y17">
        <v>3.8631169999999999E-2</v>
      </c>
      <c r="Z17">
        <v>-3.5130339999999999E-3</v>
      </c>
      <c r="AA17">
        <v>0.99924740000000001</v>
      </c>
      <c r="AB17">
        <v>3</v>
      </c>
      <c r="AC17">
        <v>0.65029999999995802</v>
      </c>
      <c r="AD17">
        <v>-0.1402639</v>
      </c>
      <c r="AE17">
        <v>-2.9099999999971201E-2</v>
      </c>
      <c r="AF17">
        <v>2.7001746107233101E-2</v>
      </c>
      <c r="AG17">
        <v>-0.1402639</v>
      </c>
      <c r="AH17">
        <v>0.62148204186284295</v>
      </c>
      <c r="AI17">
        <v>102.706551452</v>
      </c>
      <c r="AJ17">
        <v>87.512214956097907</v>
      </c>
      <c r="AK17">
        <v>0.63768564692492302</v>
      </c>
      <c r="AL17">
        <v>85.404412425690396</v>
      </c>
      <c r="AM17">
        <v>90.030561912751097</v>
      </c>
      <c r="AN17">
        <v>0.99999999004325002</v>
      </c>
    </row>
    <row r="18" spans="1:40" x14ac:dyDescent="0.25">
      <c r="A18" t="str">
        <f>"20190312150945921"</f>
        <v>20190312150945921</v>
      </c>
      <c r="B18" t="str">
        <f>"1552374585910985"</f>
        <v>1552374585910985</v>
      </c>
      <c r="C18" t="s">
        <v>40</v>
      </c>
      <c r="D18">
        <v>5.3461740000000004</v>
      </c>
      <c r="E18">
        <v>0.52504240000000002</v>
      </c>
      <c r="F18" t="s">
        <v>41</v>
      </c>
      <c r="G18">
        <v>-475.52659999999997</v>
      </c>
      <c r="H18">
        <v>0.93050219999999995</v>
      </c>
      <c r="I18">
        <v>367.1678</v>
      </c>
      <c r="J18">
        <v>-476.19319999999999</v>
      </c>
      <c r="K18">
        <v>1.1091839999999999</v>
      </c>
      <c r="L18">
        <v>367.2131</v>
      </c>
      <c r="M18">
        <v>0.99999870000000002</v>
      </c>
      <c r="N18">
        <v>0</v>
      </c>
      <c r="O18">
        <v>-1.412682E-3</v>
      </c>
      <c r="P18">
        <v>0.99685539999999995</v>
      </c>
      <c r="Q18">
        <v>7.9237210000000002E-2</v>
      </c>
      <c r="R18">
        <v>-9.912123000000001E-4</v>
      </c>
      <c r="S18">
        <v>3.0703740000000002</v>
      </c>
      <c r="T18">
        <v>-0.77455699999999905</v>
      </c>
      <c r="U18">
        <v>-0.19613649999999999</v>
      </c>
      <c r="V18">
        <v>-4.0954309999999999E-4</v>
      </c>
      <c r="W18">
        <v>7.9961019999999994E-2</v>
      </c>
      <c r="X18">
        <v>0.99679790000000001</v>
      </c>
      <c r="Y18">
        <v>6.0496939999999999E-2</v>
      </c>
      <c r="Z18">
        <v>-7.1551979999999998E-3</v>
      </c>
      <c r="AA18">
        <v>0.99814270000000005</v>
      </c>
      <c r="AB18">
        <v>4</v>
      </c>
      <c r="AC18">
        <v>0.66660000000001596</v>
      </c>
      <c r="AD18">
        <v>-0.1786818</v>
      </c>
      <c r="AE18">
        <v>-4.5299999999997398E-2</v>
      </c>
      <c r="AF18">
        <v>4.1397501159960999E-2</v>
      </c>
      <c r="AG18">
        <v>-0.1786818</v>
      </c>
      <c r="AH18">
        <v>0.62216587214252805</v>
      </c>
      <c r="AI18">
        <v>105.99016087391701</v>
      </c>
      <c r="AJ18">
        <v>86.193280402451705</v>
      </c>
      <c r="AK18">
        <v>0.648638043297186</v>
      </c>
      <c r="AL18">
        <v>85.413674799092107</v>
      </c>
      <c r="AM18">
        <v>90.023540468773405</v>
      </c>
      <c r="AN18">
        <v>0.99999999294469999</v>
      </c>
    </row>
    <row r="19" spans="1:40" x14ac:dyDescent="0.25">
      <c r="A19" t="str">
        <f>"20190312150945944"</f>
        <v>20190312150945944</v>
      </c>
      <c r="B19" t="str">
        <f>"1552374585941241"</f>
        <v>1552374585941241</v>
      </c>
      <c r="C19" t="s">
        <v>40</v>
      </c>
      <c r="D19">
        <v>5.3660589999999999</v>
      </c>
      <c r="E19">
        <v>0.52460119999999999</v>
      </c>
      <c r="F19" t="s">
        <v>41</v>
      </c>
      <c r="G19">
        <v>-475.4853</v>
      </c>
      <c r="H19">
        <v>0.92946300000000004</v>
      </c>
      <c r="I19">
        <v>367.16840000000002</v>
      </c>
      <c r="J19">
        <v>-476.14600000000002</v>
      </c>
      <c r="K19">
        <v>1.1090899999999999</v>
      </c>
      <c r="L19">
        <v>367.21280000000002</v>
      </c>
      <c r="M19">
        <v>0.99999879999999997</v>
      </c>
      <c r="N19">
        <v>0</v>
      </c>
      <c r="O19">
        <v>-1.5449870000000001E-3</v>
      </c>
      <c r="P19">
        <v>0.99689229999999995</v>
      </c>
      <c r="Q19">
        <v>7.8773070000000001E-2</v>
      </c>
      <c r="R19">
        <v>-9.6510539999999998E-4</v>
      </c>
      <c r="S19">
        <v>3.071259</v>
      </c>
      <c r="T19">
        <v>-0.77967869999999995</v>
      </c>
      <c r="U19">
        <v>-0.19409180000000001</v>
      </c>
      <c r="V19">
        <v>-5.6596249999999999E-4</v>
      </c>
      <c r="W19">
        <v>7.9028920000000002E-2</v>
      </c>
      <c r="X19">
        <v>0.99687219999999999</v>
      </c>
      <c r="Y19">
        <v>5.969124E-2</v>
      </c>
      <c r="Z19">
        <v>-7.0655939999999997E-3</v>
      </c>
      <c r="AA19">
        <v>0.99819190000000002</v>
      </c>
      <c r="AB19">
        <v>4</v>
      </c>
      <c r="AC19">
        <v>0.66069999999996298</v>
      </c>
      <c r="AD19">
        <v>-0.17962699999999901</v>
      </c>
      <c r="AE19">
        <v>-4.4399999999995998E-2</v>
      </c>
      <c r="AF19">
        <v>4.0405979175072798E-2</v>
      </c>
      <c r="AG19">
        <v>-0.17962699999999901</v>
      </c>
      <c r="AH19">
        <v>0.61547899157847197</v>
      </c>
      <c r="AI19">
        <v>106.236733726548</v>
      </c>
      <c r="AJ19">
        <v>86.243942101182</v>
      </c>
      <c r="AK19">
        <v>0.64242734325100803</v>
      </c>
      <c r="AL19">
        <v>85.467249947239097</v>
      </c>
      <c r="AM19">
        <v>90.032529003345203</v>
      </c>
      <c r="AN19">
        <v>1.00000003682137</v>
      </c>
    </row>
    <row r="20" spans="1:40" x14ac:dyDescent="0.25">
      <c r="A20" t="str">
        <f>"20190312150945966"</f>
        <v>20190312150945966</v>
      </c>
      <c r="B20" t="str">
        <f>"1552374585960761"</f>
        <v>1552374585960761</v>
      </c>
      <c r="C20" t="s">
        <v>40</v>
      </c>
      <c r="D20">
        <v>5.3349479999999998</v>
      </c>
      <c r="E20">
        <v>0.52447060000000001</v>
      </c>
      <c r="F20" t="s">
        <v>41</v>
      </c>
      <c r="G20">
        <v>-475.44170000000003</v>
      </c>
      <c r="H20">
        <v>0.92858960000000002</v>
      </c>
      <c r="I20">
        <v>367.16879999999998</v>
      </c>
      <c r="J20">
        <v>-476.09800000000001</v>
      </c>
      <c r="K20">
        <v>1.1091489999999999</v>
      </c>
      <c r="L20">
        <v>367.21260000000001</v>
      </c>
      <c r="M20">
        <v>0.99999870000000002</v>
      </c>
      <c r="N20">
        <v>0</v>
      </c>
      <c r="O20">
        <v>-1.6652839999999999E-3</v>
      </c>
      <c r="P20">
        <v>0.99692700000000001</v>
      </c>
      <c r="Q20">
        <v>7.8328999999999996E-2</v>
      </c>
      <c r="R20">
        <v>-1.2727470000000001E-3</v>
      </c>
      <c r="S20">
        <v>3.0713810000000001</v>
      </c>
      <c r="T20">
        <v>-0.78724069999999902</v>
      </c>
      <c r="U20">
        <v>-0.19107060000000001</v>
      </c>
      <c r="V20">
        <v>-3.7868750000000001E-4</v>
      </c>
      <c r="W20">
        <v>7.8655299999999997E-2</v>
      </c>
      <c r="X20">
        <v>0.99690179999999995</v>
      </c>
      <c r="Y20">
        <v>5.8594540000000001E-2</v>
      </c>
      <c r="Z20">
        <v>-6.9634249999999996E-3</v>
      </c>
      <c r="AA20">
        <v>0.99825759999999997</v>
      </c>
      <c r="AB20">
        <v>5</v>
      </c>
      <c r="AC20">
        <v>0.656299999999987</v>
      </c>
      <c r="AD20">
        <v>-0.18055939999999901</v>
      </c>
      <c r="AE20">
        <v>-4.3800000000032903E-2</v>
      </c>
      <c r="AF20">
        <v>3.9714382354451398E-2</v>
      </c>
      <c r="AG20">
        <v>-0.18055939999999901</v>
      </c>
      <c r="AH20">
        <v>0.61037772541726798</v>
      </c>
      <c r="AI20">
        <v>106.446160633151</v>
      </c>
      <c r="AJ20">
        <v>86.277282936242599</v>
      </c>
      <c r="AK20">
        <v>0.63776163006229303</v>
      </c>
      <c r="AL20">
        <v>85.488723470912504</v>
      </c>
      <c r="AM20">
        <v>90.021764625623803</v>
      </c>
      <c r="AN20">
        <v>0.99999999923277605</v>
      </c>
    </row>
    <row r="21" spans="1:40" x14ac:dyDescent="0.25">
      <c r="A21" t="str">
        <f>"20190312150945991"</f>
        <v>20190312150945991</v>
      </c>
      <c r="B21" t="str">
        <f>"1552374585981258"</f>
        <v>1552374585981258</v>
      </c>
      <c r="C21" t="s">
        <v>40</v>
      </c>
      <c r="D21">
        <v>5.3472499999999998</v>
      </c>
      <c r="E21">
        <v>0.52441139999999997</v>
      </c>
      <c r="F21" t="s">
        <v>41</v>
      </c>
      <c r="G21">
        <v>-475.39859999999999</v>
      </c>
      <c r="H21">
        <v>0.92953180000000002</v>
      </c>
      <c r="I21">
        <v>367.16930000000002</v>
      </c>
      <c r="J21">
        <v>-476.04790000000003</v>
      </c>
      <c r="K21">
        <v>1.1096109999999999</v>
      </c>
      <c r="L21">
        <v>367.2124</v>
      </c>
      <c r="M21">
        <v>0.99999680000000002</v>
      </c>
      <c r="N21">
        <v>0</v>
      </c>
      <c r="O21">
        <v>-1.753082E-3</v>
      </c>
      <c r="P21">
        <v>0.99704340000000002</v>
      </c>
      <c r="Q21">
        <v>7.6834890000000003E-2</v>
      </c>
      <c r="R21">
        <v>-1.154144E-3</v>
      </c>
      <c r="S21">
        <v>3.0709840000000002</v>
      </c>
      <c r="T21">
        <v>-0.78868159999999998</v>
      </c>
      <c r="U21">
        <v>-0.1908569</v>
      </c>
      <c r="V21">
        <v>-5.8736879999999995E-4</v>
      </c>
      <c r="W21">
        <v>7.8689510000000004E-2</v>
      </c>
      <c r="X21">
        <v>0.99689899999999998</v>
      </c>
      <c r="Y21">
        <v>5.8446249999999998E-2</v>
      </c>
      <c r="Z21">
        <v>-6.9357689999999996E-3</v>
      </c>
      <c r="AA21">
        <v>0.99826649999999995</v>
      </c>
      <c r="AB21">
        <v>5</v>
      </c>
      <c r="AC21">
        <v>0.64930000000003896</v>
      </c>
      <c r="AD21">
        <v>-0.18007919999999999</v>
      </c>
      <c r="AE21">
        <v>-4.3099999999981202E-2</v>
      </c>
      <c r="AF21">
        <v>3.8976737742847302E-2</v>
      </c>
      <c r="AG21">
        <v>-0.18007919999999999</v>
      </c>
      <c r="AH21">
        <v>0.60318167830415803</v>
      </c>
      <c r="AI21">
        <v>106.590241197656</v>
      </c>
      <c r="AJ21">
        <v>86.302768923440794</v>
      </c>
      <c r="AK21">
        <v>0.630694729167396</v>
      </c>
      <c r="AL21">
        <v>85.486757292048495</v>
      </c>
      <c r="AM21">
        <v>90.033758434267995</v>
      </c>
      <c r="AN21">
        <v>1.00000000009357</v>
      </c>
    </row>
    <row r="22" spans="1:40" x14ac:dyDescent="0.25">
      <c r="A22" t="str">
        <f>"20190312150946012"</f>
        <v>20190312150946012</v>
      </c>
      <c r="B22" t="str">
        <f>"1552374586000777"</f>
        <v>1552374586000777</v>
      </c>
      <c r="C22" t="s">
        <v>40</v>
      </c>
      <c r="D22">
        <v>6.0154620000000003</v>
      </c>
      <c r="E22">
        <v>0.52444290000000005</v>
      </c>
      <c r="F22" t="s">
        <v>41</v>
      </c>
      <c r="G22">
        <v>-475.35860000000002</v>
      </c>
      <c r="H22">
        <v>0.93091239999999997</v>
      </c>
      <c r="I22">
        <v>367.1694</v>
      </c>
      <c r="J22">
        <v>-476.0034</v>
      </c>
      <c r="K22">
        <v>1.1098209999999999</v>
      </c>
      <c r="L22">
        <v>367.2122</v>
      </c>
      <c r="M22">
        <v>0.99999450000000001</v>
      </c>
      <c r="N22">
        <v>0</v>
      </c>
      <c r="O22">
        <v>-1.8280519999999999E-3</v>
      </c>
      <c r="P22">
        <v>0.9971411</v>
      </c>
      <c r="Q22">
        <v>7.554951E-2</v>
      </c>
      <c r="R22">
        <v>-1.425939E-3</v>
      </c>
      <c r="S22">
        <v>3.0699770000000002</v>
      </c>
      <c r="T22">
        <v>-0.79580119999999999</v>
      </c>
      <c r="U22">
        <v>-0.19058230000000001</v>
      </c>
      <c r="V22">
        <v>-3.9248350000000001E-4</v>
      </c>
      <c r="W22">
        <v>7.8313019999999997E-2</v>
      </c>
      <c r="X22">
        <v>0.99692879999999995</v>
      </c>
      <c r="Y22">
        <v>5.8276840000000003E-2</v>
      </c>
      <c r="Z22">
        <v>-6.9579450000000001E-3</v>
      </c>
      <c r="AA22">
        <v>0.99827619999999895</v>
      </c>
      <c r="AB22">
        <v>5</v>
      </c>
      <c r="AC22">
        <v>0.64479999999997495</v>
      </c>
      <c r="AD22">
        <v>-0.178908599999999</v>
      </c>
      <c r="AE22">
        <v>-4.2799999999999699E-2</v>
      </c>
      <c r="AF22">
        <v>3.8658113396106003E-2</v>
      </c>
      <c r="AG22">
        <v>-0.178908599999999</v>
      </c>
      <c r="AH22">
        <v>0.59896727832781305</v>
      </c>
      <c r="AI22">
        <v>106.59799967803499</v>
      </c>
      <c r="AJ22">
        <v>86.307179080580298</v>
      </c>
      <c r="AK22">
        <v>0.62631025649651795</v>
      </c>
      <c r="AL22">
        <v>85.508395614272899</v>
      </c>
      <c r="AM22">
        <v>90.022556923740893</v>
      </c>
      <c r="AN22">
        <v>1.00000005770712</v>
      </c>
    </row>
    <row r="23" spans="1:40" x14ac:dyDescent="0.25">
      <c r="A23" t="str">
        <f>"20190312150946033"</f>
        <v>20190312150946033</v>
      </c>
      <c r="B23" t="str">
        <f>"1552374586031033"</f>
        <v>1552374586031033</v>
      </c>
      <c r="C23" t="s">
        <v>40</v>
      </c>
      <c r="D23">
        <v>5.5764709999999997</v>
      </c>
      <c r="E23">
        <v>0.53083210000000003</v>
      </c>
      <c r="F23" t="s">
        <v>41</v>
      </c>
      <c r="G23">
        <v>-475.3159</v>
      </c>
      <c r="H23">
        <v>0.93019870000000004</v>
      </c>
      <c r="I23">
        <v>367.1694</v>
      </c>
      <c r="J23">
        <v>-475.9529</v>
      </c>
      <c r="K23">
        <v>1.1096379999999999</v>
      </c>
      <c r="L23">
        <v>367.21199999999999</v>
      </c>
      <c r="M23">
        <v>0.99999519999999997</v>
      </c>
      <c r="N23">
        <v>0</v>
      </c>
      <c r="O23">
        <v>-1.92786E-3</v>
      </c>
      <c r="P23">
        <v>0.99713940000000001</v>
      </c>
      <c r="Q23">
        <v>7.5572360000000005E-2</v>
      </c>
      <c r="R23">
        <v>-1.4473369999999999E-3</v>
      </c>
      <c r="S23">
        <v>3.0690919999999999</v>
      </c>
      <c r="T23">
        <v>-0.80178859999999996</v>
      </c>
      <c r="U23">
        <v>-0.1921997</v>
      </c>
      <c r="V23">
        <v>-4.7045609999999999E-4</v>
      </c>
      <c r="W23">
        <v>7.8001650000000006E-2</v>
      </c>
      <c r="X23">
        <v>0.99695310000000004</v>
      </c>
      <c r="Y23">
        <v>5.8680320000000001E-2</v>
      </c>
      <c r="Z23">
        <v>-7.0366159999999999E-3</v>
      </c>
      <c r="AA23">
        <v>0.99825200000000003</v>
      </c>
      <c r="AB23">
        <v>4</v>
      </c>
      <c r="AC23">
        <v>0.63700000000000001</v>
      </c>
      <c r="AD23">
        <v>-0.179439299999999</v>
      </c>
      <c r="AE23">
        <v>-4.2599999999992998E-2</v>
      </c>
      <c r="AF23">
        <v>3.8342847069669901E-2</v>
      </c>
      <c r="AG23">
        <v>-0.179439299999999</v>
      </c>
      <c r="AH23">
        <v>0.59043734167822903</v>
      </c>
      <c r="AI23">
        <v>106.870993998412</v>
      </c>
      <c r="AJ23">
        <v>86.284444195097606</v>
      </c>
      <c r="AK23">
        <v>0.61829191386751303</v>
      </c>
      <c r="AL23">
        <v>85.526290196974301</v>
      </c>
      <c r="AM23">
        <v>90.027037527618205</v>
      </c>
      <c r="AN23">
        <v>0.99999998116563704</v>
      </c>
    </row>
    <row r="24" spans="1:40" x14ac:dyDescent="0.25">
      <c r="A24" t="str">
        <f>"20190312150946056"</f>
        <v>20190312150946056</v>
      </c>
      <c r="B24" t="str">
        <f>"1552374586050553"</f>
        <v>1552374586050553</v>
      </c>
      <c r="C24" t="s">
        <v>40</v>
      </c>
      <c r="D24">
        <v>5.5101550000000001</v>
      </c>
      <c r="E24">
        <v>0.53441609999999995</v>
      </c>
      <c r="F24" t="s">
        <v>41</v>
      </c>
      <c r="G24">
        <v>-475.26799999999997</v>
      </c>
      <c r="H24">
        <v>0.93294999999999995</v>
      </c>
      <c r="I24">
        <v>367.15769999999998</v>
      </c>
      <c r="J24">
        <v>-475.89769999999999</v>
      </c>
      <c r="K24">
        <v>1.1093679999999999</v>
      </c>
      <c r="L24">
        <v>367.21190000000001</v>
      </c>
      <c r="M24">
        <v>0.99999640000000001</v>
      </c>
      <c r="N24">
        <v>0</v>
      </c>
      <c r="O24">
        <v>-2.0504849999999999E-3</v>
      </c>
      <c r="P24">
        <v>0.99715229999999999</v>
      </c>
      <c r="Q24">
        <v>7.5401609999999994E-2</v>
      </c>
      <c r="R24">
        <v>-1.3387879999999901E-3</v>
      </c>
      <c r="S24">
        <v>3.068298</v>
      </c>
      <c r="T24">
        <v>-0.79164349999999994</v>
      </c>
      <c r="U24">
        <v>-0.24249270000000001</v>
      </c>
      <c r="V24">
        <v>-7.0011550000000002E-4</v>
      </c>
      <c r="W24">
        <v>7.7110269999999995E-2</v>
      </c>
      <c r="X24">
        <v>0.99702230000000003</v>
      </c>
      <c r="Y24">
        <v>7.4387419999999996E-2</v>
      </c>
      <c r="Z24">
        <v>-8.9079150000000006E-3</v>
      </c>
      <c r="AA24">
        <v>0.99718960000000001</v>
      </c>
      <c r="AB24">
        <v>5</v>
      </c>
      <c r="AC24">
        <v>0.62969999999995696</v>
      </c>
      <c r="AD24">
        <v>-0.17641799999999999</v>
      </c>
      <c r="AE24">
        <v>-5.42000000000371E-2</v>
      </c>
      <c r="AF24">
        <v>4.9084358901655599E-2</v>
      </c>
      <c r="AG24">
        <v>-0.17641799999999999</v>
      </c>
      <c r="AH24">
        <v>0.58428603526835798</v>
      </c>
      <c r="AI24">
        <v>106.74538053375301</v>
      </c>
      <c r="AJ24">
        <v>85.198004831668101</v>
      </c>
      <c r="AK24">
        <v>0.61230936300403205</v>
      </c>
      <c r="AL24">
        <v>85.577516780143696</v>
      </c>
      <c r="AM24">
        <v>90.040233459901899</v>
      </c>
      <c r="AN24">
        <v>0.99999997529923701</v>
      </c>
    </row>
    <row r="25" spans="1:40" x14ac:dyDescent="0.25">
      <c r="A25" t="str">
        <f>"20190312150946079"</f>
        <v>20190312150946079</v>
      </c>
      <c r="B25" t="str">
        <f>"1552374586071050"</f>
        <v>1552374586071050</v>
      </c>
      <c r="C25" t="s">
        <v>40</v>
      </c>
      <c r="D25">
        <v>5.3647989999999997</v>
      </c>
      <c r="E25">
        <v>0.53644380000000003</v>
      </c>
      <c r="F25" t="s">
        <v>41</v>
      </c>
      <c r="G25">
        <v>-475.21690000000001</v>
      </c>
      <c r="H25">
        <v>0.93641660000000004</v>
      </c>
      <c r="I25">
        <v>367.15159999999997</v>
      </c>
      <c r="J25">
        <v>-475.83859999999999</v>
      </c>
      <c r="K25">
        <v>1.1092420000000001</v>
      </c>
      <c r="L25">
        <v>367.21159999999998</v>
      </c>
      <c r="M25">
        <v>0.99999669999999896</v>
      </c>
      <c r="N25">
        <v>0</v>
      </c>
      <c r="O25">
        <v>-2.1913459999999998E-3</v>
      </c>
      <c r="P25">
        <v>0.99711539999999999</v>
      </c>
      <c r="Q25">
        <v>7.5899350000000004E-2</v>
      </c>
      <c r="R25">
        <v>-7.3899679999999996E-4</v>
      </c>
      <c r="S25">
        <v>3.0671390000000001</v>
      </c>
      <c r="T25">
        <v>-0.77926960000000001</v>
      </c>
      <c r="U25">
        <v>-0.27178960000000002</v>
      </c>
      <c r="V25">
        <v>-1.438424E-3</v>
      </c>
      <c r="W25">
        <v>7.7240059999999999E-2</v>
      </c>
      <c r="X25">
        <v>0.99701150000000005</v>
      </c>
      <c r="Y25">
        <v>8.3520529999999996E-2</v>
      </c>
      <c r="Z25">
        <v>-9.8776379999999993E-3</v>
      </c>
      <c r="AA25">
        <v>0.99645709999999998</v>
      </c>
      <c r="AB25">
        <v>5</v>
      </c>
      <c r="AC25">
        <v>0.62169999999997505</v>
      </c>
      <c r="AD25">
        <v>-0.17282539999999999</v>
      </c>
      <c r="AE25">
        <v>-6.0000000000002197E-2</v>
      </c>
      <c r="AF25">
        <v>5.4467241476002001E-2</v>
      </c>
      <c r="AG25">
        <v>-0.17282539999999999</v>
      </c>
      <c r="AH25">
        <v>0.57760591881907197</v>
      </c>
      <c r="AI25">
        <v>106.588182608525</v>
      </c>
      <c r="AJ25">
        <v>84.613036425372798</v>
      </c>
      <c r="AK25">
        <v>0.60536261590388096</v>
      </c>
      <c r="AL25">
        <v>85.570058285341204</v>
      </c>
      <c r="AM25">
        <v>90.082662604361204</v>
      </c>
      <c r="AN25">
        <v>1.0000000135323199</v>
      </c>
    </row>
    <row r="26" spans="1:40" x14ac:dyDescent="0.25">
      <c r="A26" t="str">
        <f>"20190312150946101"</f>
        <v>20190312150946101</v>
      </c>
      <c r="B26" t="str">
        <f>"1552374586090569"</f>
        <v>1552374586090569</v>
      </c>
      <c r="C26" t="s">
        <v>40</v>
      </c>
      <c r="D26">
        <v>5.3842970000000001</v>
      </c>
      <c r="E26">
        <v>0.53846859999999996</v>
      </c>
      <c r="F26" t="s">
        <v>41</v>
      </c>
      <c r="G26">
        <v>-475.12169999999998</v>
      </c>
      <c r="H26">
        <v>0.92862520000000004</v>
      </c>
      <c r="I26">
        <v>367.14449999999999</v>
      </c>
      <c r="J26">
        <v>-475.78640000000001</v>
      </c>
      <c r="K26">
        <v>1.109701</v>
      </c>
      <c r="L26">
        <v>367.21129999999999</v>
      </c>
      <c r="M26">
        <v>0.99999300000000002</v>
      </c>
      <c r="N26">
        <v>0</v>
      </c>
      <c r="O26">
        <v>-2.2955739999999999E-3</v>
      </c>
      <c r="P26">
        <v>0.99722520000000003</v>
      </c>
      <c r="Q26">
        <v>7.4445029999999995E-2</v>
      </c>
      <c r="R26">
        <v>1.7980660000000001E-4</v>
      </c>
      <c r="S26">
        <v>3.067291</v>
      </c>
      <c r="T26">
        <v>-0.7728199</v>
      </c>
      <c r="U26">
        <v>-0.28707890000000003</v>
      </c>
      <c r="V26">
        <v>-2.4624260000000002E-3</v>
      </c>
      <c r="W26">
        <v>7.7419769999999999E-2</v>
      </c>
      <c r="X26">
        <v>0.99699559999999998</v>
      </c>
      <c r="Y26">
        <v>8.823773E-2</v>
      </c>
      <c r="Z26">
        <v>-1.0353869999999999E-2</v>
      </c>
      <c r="AA26">
        <v>0.99604559999999998</v>
      </c>
      <c r="AB26">
        <v>6</v>
      </c>
      <c r="AC26">
        <v>0.66470000000003804</v>
      </c>
      <c r="AD26">
        <v>-0.18107579999999901</v>
      </c>
      <c r="AE26">
        <v>-6.6800000000000595E-2</v>
      </c>
      <c r="AF26">
        <v>6.0806541501639798E-2</v>
      </c>
      <c r="AG26">
        <v>-0.18107579999999901</v>
      </c>
      <c r="AH26">
        <v>0.61934855264484301</v>
      </c>
      <c r="AI26">
        <v>106.22319955690701</v>
      </c>
      <c r="AJ26">
        <v>84.392771952809994</v>
      </c>
      <c r="AK26">
        <v>0.64813463917483405</v>
      </c>
      <c r="AL26">
        <v>85.559730921851695</v>
      </c>
      <c r="AM26">
        <v>90.141511487394297</v>
      </c>
      <c r="AN26">
        <v>1.0000000553740001</v>
      </c>
    </row>
    <row r="27" spans="1:40" x14ac:dyDescent="0.25">
      <c r="A27" t="str">
        <f>"20190312150946123"</f>
        <v>20190312150946123</v>
      </c>
      <c r="B27" t="str">
        <f>"1552374586111069"</f>
        <v>1552374586111069</v>
      </c>
      <c r="C27" t="s">
        <v>40</v>
      </c>
      <c r="D27">
        <v>5.4125420000000002</v>
      </c>
      <c r="E27">
        <v>0.53986730000000005</v>
      </c>
      <c r="F27" t="s">
        <v>41</v>
      </c>
      <c r="G27">
        <v>-475.07740000000001</v>
      </c>
      <c r="H27">
        <v>0.92945909999999998</v>
      </c>
      <c r="I27">
        <v>367.14139999999998</v>
      </c>
      <c r="J27">
        <v>-475.7389</v>
      </c>
      <c r="K27">
        <v>1.1101840000000001</v>
      </c>
      <c r="L27">
        <v>367.21109999999999</v>
      </c>
      <c r="M27">
        <v>0.99998509999999996</v>
      </c>
      <c r="N27">
        <v>0</v>
      </c>
      <c r="O27">
        <v>-2.3799720000000002E-3</v>
      </c>
      <c r="P27">
        <v>0.99740740000000006</v>
      </c>
      <c r="Q27">
        <v>7.1956430000000002E-2</v>
      </c>
      <c r="R27">
        <v>1.156385E-3</v>
      </c>
      <c r="S27">
        <v>3.0665589999999998</v>
      </c>
      <c r="T27">
        <v>-0.77958229999999995</v>
      </c>
      <c r="U27">
        <v>-0.30075069999999998</v>
      </c>
      <c r="V27">
        <v>-3.5255719999999998E-3</v>
      </c>
      <c r="W27">
        <v>7.6898709999999995E-2</v>
      </c>
      <c r="X27">
        <v>0.99703269999999999</v>
      </c>
      <c r="Y27">
        <v>9.2400769999999993E-2</v>
      </c>
      <c r="Z27">
        <v>-1.094062E-2</v>
      </c>
      <c r="AA27">
        <v>0.99566180000000004</v>
      </c>
      <c r="AB27">
        <v>5</v>
      </c>
      <c r="AC27">
        <v>0.66149999999998899</v>
      </c>
      <c r="AD27">
        <v>-0.18072489999999999</v>
      </c>
      <c r="AE27">
        <v>-6.97000000000116E-2</v>
      </c>
      <c r="AF27">
        <v>6.3442061214416895E-2</v>
      </c>
      <c r="AG27">
        <v>-0.18072489999999999</v>
      </c>
      <c r="AH27">
        <v>0.61617706460340005</v>
      </c>
      <c r="AI27">
        <v>106.265021893216</v>
      </c>
      <c r="AJ27">
        <v>84.121496891516998</v>
      </c>
      <c r="AK27">
        <v>0.64526007125375895</v>
      </c>
      <c r="AL27">
        <v>85.589674585640097</v>
      </c>
      <c r="AM27">
        <v>90.202600731204498</v>
      </c>
      <c r="AN27">
        <v>1.00000002306344</v>
      </c>
    </row>
    <row r="28" spans="1:40" x14ac:dyDescent="0.25">
      <c r="A28" t="str">
        <f>"20190312150946146"</f>
        <v>20190312150946146</v>
      </c>
      <c r="B28" t="str">
        <f>"1552374586140345"</f>
        <v>1552374586140345</v>
      </c>
      <c r="C28" t="s">
        <v>40</v>
      </c>
      <c r="D28">
        <v>5.2727760000000004</v>
      </c>
      <c r="E28">
        <v>0.5408269</v>
      </c>
      <c r="F28" t="s">
        <v>41</v>
      </c>
      <c r="G28">
        <v>-475.03120000000001</v>
      </c>
      <c r="H28">
        <v>0.92911460000000001</v>
      </c>
      <c r="I28">
        <v>367.13959999999997</v>
      </c>
      <c r="J28">
        <v>-475.685</v>
      </c>
      <c r="K28">
        <v>1.110147</v>
      </c>
      <c r="L28">
        <v>367.21089999999998</v>
      </c>
      <c r="M28">
        <v>0.99998240000000005</v>
      </c>
      <c r="N28">
        <v>0</v>
      </c>
      <c r="O28">
        <v>-2.482111E-3</v>
      </c>
      <c r="P28">
        <v>0.99743289999999996</v>
      </c>
      <c r="Q28">
        <v>7.1562109999999998E-2</v>
      </c>
      <c r="R28">
        <v>2.550971E-3</v>
      </c>
      <c r="S28">
        <v>3.0646969999999998</v>
      </c>
      <c r="T28">
        <v>-0.78411249999999999</v>
      </c>
      <c r="U28">
        <v>-0.30911250000000001</v>
      </c>
      <c r="V28">
        <v>-5.0217040000000001E-3</v>
      </c>
      <c r="W28">
        <v>7.6942930000000007E-2</v>
      </c>
      <c r="X28">
        <v>0.99702290000000005</v>
      </c>
      <c r="Y28">
        <v>9.4934909999999997E-2</v>
      </c>
      <c r="Z28">
        <v>-1.129988E-2</v>
      </c>
      <c r="AA28">
        <v>0.99541930000000001</v>
      </c>
      <c r="AB28">
        <v>5</v>
      </c>
      <c r="AC28">
        <v>0.65379999999998895</v>
      </c>
      <c r="AD28">
        <v>-0.18103240000000001</v>
      </c>
      <c r="AE28">
        <v>-7.1300000000007899E-2</v>
      </c>
      <c r="AF28">
        <v>6.4769472179638896E-2</v>
      </c>
      <c r="AG28">
        <v>-0.18103240000000001</v>
      </c>
      <c r="AH28">
        <v>0.60791426116324498</v>
      </c>
      <c r="AI28">
        <v>106.49490125995401</v>
      </c>
      <c r="AJ28">
        <v>83.918434651270701</v>
      </c>
      <c r="AK28">
        <v>0.63759514058832201</v>
      </c>
      <c r="AL28">
        <v>85.5871335457242</v>
      </c>
      <c r="AM28">
        <v>90.288579141149</v>
      </c>
      <c r="AN28">
        <v>1.0000000475562201</v>
      </c>
    </row>
    <row r="29" spans="1:40" x14ac:dyDescent="0.25">
      <c r="A29" t="str">
        <f>"20190312150946167"</f>
        <v>20190312150946167</v>
      </c>
      <c r="B29" t="str">
        <f>"1552374586160841"</f>
        <v>1552374586160841</v>
      </c>
      <c r="C29" t="s">
        <v>40</v>
      </c>
      <c r="D29">
        <v>5.4202459999999997</v>
      </c>
      <c r="E29">
        <v>0.51738919999999999</v>
      </c>
      <c r="F29" t="s">
        <v>41</v>
      </c>
      <c r="G29">
        <v>-474.97989999999999</v>
      </c>
      <c r="H29">
        <v>0.93003190000000002</v>
      </c>
      <c r="I29">
        <v>367.1388</v>
      </c>
      <c r="J29">
        <v>-475.62720000000002</v>
      </c>
      <c r="K29">
        <v>1.109782</v>
      </c>
      <c r="L29">
        <v>367.2106</v>
      </c>
      <c r="M29">
        <v>0.99998609999999999</v>
      </c>
      <c r="N29">
        <v>0</v>
      </c>
      <c r="O29">
        <v>-2.6046239999999998E-3</v>
      </c>
      <c r="P29">
        <v>0.99735359999999995</v>
      </c>
      <c r="Q29">
        <v>7.2615399999999997E-2</v>
      </c>
      <c r="R29">
        <v>3.6559729999999999E-3</v>
      </c>
      <c r="S29">
        <v>3.0646969999999998</v>
      </c>
      <c r="T29">
        <v>-0.78289619999999904</v>
      </c>
      <c r="U29">
        <v>-0.31240839999999998</v>
      </c>
      <c r="V29">
        <v>-6.2467219999999997E-3</v>
      </c>
      <c r="W29">
        <v>7.7206769999999994E-2</v>
      </c>
      <c r="X29">
        <v>0.99699550000000003</v>
      </c>
      <c r="Y29">
        <v>9.5856579999999997E-2</v>
      </c>
      <c r="Z29">
        <v>-1.1367169999999999E-2</v>
      </c>
      <c r="AA29">
        <v>0.9953303</v>
      </c>
      <c r="AB29">
        <v>5</v>
      </c>
      <c r="AC29">
        <v>0.64730000000002896</v>
      </c>
      <c r="AD29">
        <v>-0.1797501</v>
      </c>
      <c r="AE29">
        <v>-7.1799999999996006E-2</v>
      </c>
      <c r="AF29">
        <v>6.5150856214499203E-2</v>
      </c>
      <c r="AG29">
        <v>-0.1797501</v>
      </c>
      <c r="AH29">
        <v>0.60165346883315796</v>
      </c>
      <c r="AI29">
        <v>106.542673497167</v>
      </c>
      <c r="AJ29">
        <v>83.819730745561301</v>
      </c>
      <c r="AK29">
        <v>0.63130153577705195</v>
      </c>
      <c r="AL29">
        <v>85.5719711679548</v>
      </c>
      <c r="AM29">
        <v>90.358984692499703</v>
      </c>
      <c r="AN29">
        <v>0.999999966944913</v>
      </c>
    </row>
    <row r="30" spans="1:40" x14ac:dyDescent="0.25">
      <c r="A30" t="str">
        <f>"20190312150946190"</f>
        <v>20190312150946190</v>
      </c>
      <c r="B30" t="str">
        <f>"1552374586180365"</f>
        <v>1552374586180365</v>
      </c>
      <c r="C30" t="s">
        <v>40</v>
      </c>
      <c r="D30">
        <v>5.4800950000000004</v>
      </c>
      <c r="E30">
        <v>0.51224959999999997</v>
      </c>
      <c r="F30" t="s">
        <v>41</v>
      </c>
      <c r="G30">
        <v>-474.875</v>
      </c>
      <c r="H30">
        <v>1.0346120000000001</v>
      </c>
      <c r="I30">
        <v>367.17950000000002</v>
      </c>
      <c r="J30">
        <v>-475.56490000000002</v>
      </c>
      <c r="K30">
        <v>1.10945</v>
      </c>
      <c r="L30">
        <v>367.21030000000002</v>
      </c>
      <c r="M30">
        <v>0.99998940000000003</v>
      </c>
      <c r="N30">
        <v>0</v>
      </c>
      <c r="O30">
        <v>-2.7497120000000001E-3</v>
      </c>
      <c r="P30">
        <v>0.9973128</v>
      </c>
      <c r="Q30">
        <v>7.3139910000000002E-2</v>
      </c>
      <c r="R30">
        <v>4.2089110000000001E-3</v>
      </c>
      <c r="S30">
        <v>3.0304869999999999</v>
      </c>
      <c r="T30">
        <v>-0.30299090000000001</v>
      </c>
      <c r="U30">
        <v>-0.1249695</v>
      </c>
      <c r="V30">
        <v>-6.9419750000000004E-3</v>
      </c>
      <c r="W30">
        <v>7.6813599999999996E-2</v>
      </c>
      <c r="X30">
        <v>0.9970213</v>
      </c>
      <c r="Y30">
        <v>3.8278039999999999E-2</v>
      </c>
      <c r="Z30">
        <v>-1.6338570000000001E-3</v>
      </c>
      <c r="AA30">
        <v>0.99926579999999998</v>
      </c>
      <c r="AB30">
        <v>6</v>
      </c>
      <c r="AC30">
        <v>0.68990000000002205</v>
      </c>
      <c r="AD30">
        <v>-7.4837999999999905E-2</v>
      </c>
      <c r="AE30">
        <v>-3.07999999999992E-2</v>
      </c>
      <c r="AF30">
        <v>2.8567356019938098E-2</v>
      </c>
      <c r="AG30">
        <v>-7.4837999999999905E-2</v>
      </c>
      <c r="AH30">
        <v>0.68197315160837202</v>
      </c>
      <c r="AI30">
        <v>96.2569917287572</v>
      </c>
      <c r="AJ30">
        <v>87.601324083080598</v>
      </c>
      <c r="AK30">
        <v>0.68666163398622004</v>
      </c>
      <c r="AL30">
        <v>85.594565378036904</v>
      </c>
      <c r="AM30">
        <v>90.398927727701306</v>
      </c>
      <c r="AN30">
        <v>0.99999999640777504</v>
      </c>
    </row>
    <row r="31" spans="1:40" x14ac:dyDescent="0.25">
      <c r="A31" t="str">
        <f>"20190312150946212"</f>
        <v>20190312150946212</v>
      </c>
      <c r="B31" t="str">
        <f>"1552374586200857"</f>
        <v>1552374586200857</v>
      </c>
      <c r="C31" t="s">
        <v>40</v>
      </c>
      <c r="D31">
        <v>5.3946449999999997</v>
      </c>
      <c r="E31">
        <v>0.51119999999999999</v>
      </c>
      <c r="F31" t="s">
        <v>41</v>
      </c>
      <c r="G31">
        <v>-474.80349999999999</v>
      </c>
      <c r="H31">
        <v>1.0531790000000001</v>
      </c>
      <c r="I31">
        <v>367.1891</v>
      </c>
      <c r="J31">
        <v>-475.5034</v>
      </c>
      <c r="K31">
        <v>1.1092820000000001</v>
      </c>
      <c r="L31">
        <v>367.21</v>
      </c>
      <c r="M31">
        <v>0.99999110000000002</v>
      </c>
      <c r="N31">
        <v>0</v>
      </c>
      <c r="O31">
        <v>-2.9019950000000001E-3</v>
      </c>
      <c r="P31">
        <v>0.99725870000000005</v>
      </c>
      <c r="Q31">
        <v>7.3879929999999996E-2</v>
      </c>
      <c r="R31">
        <v>4.1058860000000004E-3</v>
      </c>
      <c r="S31">
        <v>3.0248409999999999</v>
      </c>
      <c r="T31">
        <v>-0.22381139999999999</v>
      </c>
      <c r="U31">
        <v>-8.2611080000000003E-2</v>
      </c>
      <c r="V31">
        <v>-6.9884919999999998E-3</v>
      </c>
      <c r="W31">
        <v>7.6950550000000006E-2</v>
      </c>
      <c r="X31">
        <v>0.99701039999999996</v>
      </c>
      <c r="Y31">
        <v>2.4341100000000001E-2</v>
      </c>
      <c r="Z31">
        <v>-6.8472899999999905E-4</v>
      </c>
      <c r="AA31">
        <v>0.99970349999999997</v>
      </c>
      <c r="AB31">
        <v>6</v>
      </c>
      <c r="AC31">
        <v>0.69990000000001296</v>
      </c>
      <c r="AD31">
        <v>-5.6102999999999702E-2</v>
      </c>
      <c r="AE31">
        <v>-2.0899999999983199E-2</v>
      </c>
      <c r="AF31">
        <v>1.8748437280450801E-2</v>
      </c>
      <c r="AG31">
        <v>-5.6102999999999702E-2</v>
      </c>
      <c r="AH31">
        <v>0.69549286612421402</v>
      </c>
      <c r="AI31">
        <v>94.610198509179796</v>
      </c>
      <c r="AJ31">
        <v>88.455848662192196</v>
      </c>
      <c r="AK31">
        <v>0.69800385195150105</v>
      </c>
      <c r="AL31">
        <v>85.586695363472799</v>
      </c>
      <c r="AM31">
        <v>90.401605178081397</v>
      </c>
      <c r="AN31">
        <v>0.99999998193694795</v>
      </c>
    </row>
    <row r="32" spans="1:40" x14ac:dyDescent="0.25">
      <c r="A32" t="str">
        <f>"20190312150946235"</f>
        <v>20190312150946235</v>
      </c>
      <c r="B32" t="str">
        <f>"1552374586231114"</f>
        <v>1552374586231114</v>
      </c>
      <c r="C32" t="s">
        <v>40</v>
      </c>
      <c r="D32">
        <v>5.3871630000000001</v>
      </c>
      <c r="E32">
        <v>0.51089879999999999</v>
      </c>
      <c r="F32" t="s">
        <v>42</v>
      </c>
      <c r="G32">
        <v>-458.53590000000003</v>
      </c>
      <c r="H32" s="1">
        <v>-1.2358600000000001E-6</v>
      </c>
      <c r="I32">
        <v>366.79169999999999</v>
      </c>
      <c r="J32">
        <v>-475.44240000000002</v>
      </c>
      <c r="K32">
        <v>1.1095809999999999</v>
      </c>
      <c r="L32">
        <v>367.20960000000002</v>
      </c>
      <c r="M32">
        <v>0.99998739999999997</v>
      </c>
      <c r="N32">
        <v>0</v>
      </c>
      <c r="O32">
        <v>-3.039829E-3</v>
      </c>
      <c r="P32">
        <v>0.99731349999999996</v>
      </c>
      <c r="Q32">
        <v>7.3144009999999995E-2</v>
      </c>
      <c r="R32">
        <v>3.9895820000000002E-3</v>
      </c>
      <c r="S32">
        <v>3.0232239999999999</v>
      </c>
      <c r="T32">
        <v>-0.1976483</v>
      </c>
      <c r="U32">
        <v>-7.4523930000000002E-2</v>
      </c>
      <c r="V32">
        <v>-7.0112050000000004E-3</v>
      </c>
      <c r="W32">
        <v>7.7145439999999996E-2</v>
      </c>
      <c r="X32">
        <v>0.99699519999999997</v>
      </c>
      <c r="Y32">
        <v>2.1564429999999999E-2</v>
      </c>
      <c r="Z32">
        <v>-5.0555550000000004E-4</v>
      </c>
      <c r="AA32">
        <v>0.99976730000000003</v>
      </c>
      <c r="AB32">
        <v>6</v>
      </c>
      <c r="AC32">
        <v>16.906499999999902</v>
      </c>
      <c r="AD32">
        <v>-1.1095822358599901</v>
      </c>
      <c r="AE32">
        <v>-0.41790000000003102</v>
      </c>
      <c r="AF32">
        <v>0.36493384698718301</v>
      </c>
      <c r="AG32">
        <v>-1.1095822358599901</v>
      </c>
      <c r="AH32">
        <v>16.8352210949013</v>
      </c>
      <c r="AI32">
        <v>93.769935517429204</v>
      </c>
      <c r="AJ32">
        <v>88.758204892127793</v>
      </c>
      <c r="AK32">
        <v>16.875693134358102</v>
      </c>
      <c r="AL32">
        <v>85.575495787051693</v>
      </c>
      <c r="AM32">
        <v>90.402916517487299</v>
      </c>
      <c r="AN32">
        <v>1.0000000023656901</v>
      </c>
    </row>
    <row r="33" spans="1:40" x14ac:dyDescent="0.25">
      <c r="A33" t="str">
        <f>"20190312150946258"</f>
        <v>20190312150946258</v>
      </c>
      <c r="B33" t="str">
        <f>"1552374586250633"</f>
        <v>1552374586250633</v>
      </c>
      <c r="C33" t="s">
        <v>40</v>
      </c>
      <c r="D33">
        <v>5.3607509999999996</v>
      </c>
      <c r="E33">
        <v>0.51134709999999906</v>
      </c>
      <c r="F33" t="s">
        <v>42</v>
      </c>
      <c r="G33">
        <v>-458.52769999999998</v>
      </c>
      <c r="H33" s="1">
        <v>-1.2360229999999999E-6</v>
      </c>
      <c r="I33">
        <v>366.80160000000001</v>
      </c>
      <c r="J33">
        <v>-475.3843</v>
      </c>
      <c r="K33">
        <v>1.110182</v>
      </c>
      <c r="L33">
        <v>367.20929999999998</v>
      </c>
      <c r="M33">
        <v>0.99997590000000003</v>
      </c>
      <c r="N33">
        <v>0</v>
      </c>
      <c r="O33">
        <v>-3.154773E-3</v>
      </c>
      <c r="P33">
        <v>0.99746140000000005</v>
      </c>
      <c r="Q33">
        <v>7.1098599999999998E-2</v>
      </c>
      <c r="R33">
        <v>3.9788009999999997E-3</v>
      </c>
      <c r="S33">
        <v>3.0229490000000001</v>
      </c>
      <c r="T33">
        <v>-0.19830010000000001</v>
      </c>
      <c r="U33">
        <v>-7.2906490000000004E-2</v>
      </c>
      <c r="V33">
        <v>-7.1180899999999997E-3</v>
      </c>
      <c r="W33">
        <v>7.7291399999999996E-2</v>
      </c>
      <c r="X33">
        <v>0.99698310000000001</v>
      </c>
      <c r="Y33">
        <v>2.0918470000000002E-2</v>
      </c>
      <c r="Z33">
        <v>-4.7857420000000002E-4</v>
      </c>
      <c r="AA33">
        <v>0.99978109999999998</v>
      </c>
      <c r="AB33">
        <v>6</v>
      </c>
      <c r="AC33">
        <v>16.8566</v>
      </c>
      <c r="AD33">
        <v>-1.110183236023</v>
      </c>
      <c r="AE33">
        <v>-0.40769999999997703</v>
      </c>
      <c r="AF33">
        <v>0.35298798248789898</v>
      </c>
      <c r="AG33">
        <v>-1.110183236023</v>
      </c>
      <c r="AH33">
        <v>16.785038145112601</v>
      </c>
      <c r="AI33">
        <v>93.783268200227695</v>
      </c>
      <c r="AJ33">
        <v>88.795252014318393</v>
      </c>
      <c r="AK33">
        <v>16.825415681825302</v>
      </c>
      <c r="AL33">
        <v>85.567107683096296</v>
      </c>
      <c r="AM33">
        <v>90.409063689923997</v>
      </c>
      <c r="AN33">
        <v>0.99999996470240804</v>
      </c>
    </row>
    <row r="34" spans="1:40" x14ac:dyDescent="0.25">
      <c r="A34" t="str">
        <f>"20190312150946280"</f>
        <v>20190312150946280</v>
      </c>
      <c r="B34" t="str">
        <f>"1552374586271129"</f>
        <v>1552374586271129</v>
      </c>
      <c r="C34" t="s">
        <v>40</v>
      </c>
      <c r="D34">
        <v>5.3490789999999997</v>
      </c>
      <c r="E34">
        <v>0.51113819999999999</v>
      </c>
      <c r="F34" t="s">
        <v>42</v>
      </c>
      <c r="G34">
        <v>-458.42259999999999</v>
      </c>
      <c r="H34" s="1">
        <v>-1.278372E-6</v>
      </c>
      <c r="I34">
        <v>366.77690000000001</v>
      </c>
      <c r="J34">
        <v>-475.32909999999998</v>
      </c>
      <c r="K34">
        <v>1.1107370000000001</v>
      </c>
      <c r="L34">
        <v>367.209</v>
      </c>
      <c r="M34">
        <v>0.9999576</v>
      </c>
      <c r="N34">
        <v>0</v>
      </c>
      <c r="O34">
        <v>-3.2477999999999999E-3</v>
      </c>
      <c r="P34">
        <v>0.99763930000000001</v>
      </c>
      <c r="Q34">
        <v>6.8548620000000005E-2</v>
      </c>
      <c r="R34">
        <v>4.0797460000000004E-3</v>
      </c>
      <c r="S34">
        <v>3.0220030000000002</v>
      </c>
      <c r="T34">
        <v>-0.19779540000000001</v>
      </c>
      <c r="U34">
        <v>-7.7026369999999997E-2</v>
      </c>
      <c r="V34">
        <v>-7.3154580000000004E-3</v>
      </c>
      <c r="W34">
        <v>7.7153529999999998E-2</v>
      </c>
      <c r="X34">
        <v>0.9969924</v>
      </c>
      <c r="Y34">
        <v>2.2192730000000001E-2</v>
      </c>
      <c r="Z34">
        <v>-5.1306479999999998E-4</v>
      </c>
      <c r="AA34">
        <v>0.99975360000000002</v>
      </c>
      <c r="AB34">
        <v>6</v>
      </c>
      <c r="AC34">
        <v>16.906499999999902</v>
      </c>
      <c r="AD34">
        <v>-1.1107382783719999</v>
      </c>
      <c r="AE34">
        <v>-0.43209999999999099</v>
      </c>
      <c r="AF34">
        <v>0.37556673454835499</v>
      </c>
      <c r="AG34">
        <v>-1.1107382783719999</v>
      </c>
      <c r="AH34">
        <v>16.835195193880999</v>
      </c>
      <c r="AI34">
        <v>93.773805506668694</v>
      </c>
      <c r="AJ34">
        <v>88.722033218122107</v>
      </c>
      <c r="AK34">
        <v>16.875976626886398</v>
      </c>
      <c r="AL34">
        <v>85.575030931856006</v>
      </c>
      <c r="AM34">
        <v>90.420401746988006</v>
      </c>
      <c r="AN34">
        <v>1.0000000143874801</v>
      </c>
    </row>
    <row r="35" spans="1:40" x14ac:dyDescent="0.25">
      <c r="A35" t="str">
        <f>"20190312150946303"</f>
        <v>20190312150946303</v>
      </c>
      <c r="B35" t="str">
        <f>"1552374586300409"</f>
        <v>1552374586300409</v>
      </c>
      <c r="C35" t="s">
        <v>40</v>
      </c>
      <c r="D35">
        <v>5.2917809999999896</v>
      </c>
      <c r="E35">
        <v>0.51113540000000002</v>
      </c>
      <c r="F35" t="s">
        <v>42</v>
      </c>
      <c r="G35">
        <v>-459.1438</v>
      </c>
      <c r="H35" s="1">
        <v>-1.024543E-6</v>
      </c>
      <c r="I35">
        <v>366.80840000000001</v>
      </c>
      <c r="J35">
        <v>-475.274</v>
      </c>
      <c r="K35">
        <v>1.1107899999999999</v>
      </c>
      <c r="L35">
        <v>367.20859999999999</v>
      </c>
      <c r="M35">
        <v>0.99994910000000004</v>
      </c>
      <c r="N35">
        <v>0</v>
      </c>
      <c r="O35">
        <v>-3.328176E-3</v>
      </c>
      <c r="P35">
        <v>0.99768400000000002</v>
      </c>
      <c r="Q35">
        <v>6.7923259999999999E-2</v>
      </c>
      <c r="R35">
        <v>3.6418000000000002E-3</v>
      </c>
      <c r="S35">
        <v>3.021576</v>
      </c>
      <c r="T35">
        <v>-0.20735899999999999</v>
      </c>
      <c r="U35">
        <v>-7.4768070000000006E-2</v>
      </c>
      <c r="V35">
        <v>-6.9592319999999897E-3</v>
      </c>
      <c r="W35">
        <v>7.7430230000000003E-2</v>
      </c>
      <c r="X35">
        <v>0.99697349999999996</v>
      </c>
      <c r="Y35">
        <v>2.136731E-2</v>
      </c>
      <c r="Z35">
        <v>-5.0410020000000002E-4</v>
      </c>
      <c r="AA35">
        <v>0.99977159999999998</v>
      </c>
      <c r="AB35">
        <v>5</v>
      </c>
      <c r="AC35">
        <v>16.130199999999999</v>
      </c>
      <c r="AD35">
        <v>-1.1107910245429999</v>
      </c>
      <c r="AE35">
        <v>-0.40019999999998301</v>
      </c>
      <c r="AF35">
        <v>0.344876715141125</v>
      </c>
      <c r="AG35">
        <v>-1.1107910245429999</v>
      </c>
      <c r="AH35">
        <v>16.055350869127999</v>
      </c>
      <c r="AI35">
        <v>93.956797690112694</v>
      </c>
      <c r="AJ35">
        <v>88.769448137679902</v>
      </c>
      <c r="AK35">
        <v>16.0974248928101</v>
      </c>
      <c r="AL35">
        <v>85.559129626440793</v>
      </c>
      <c r="AM35">
        <v>90.399938560326703</v>
      </c>
      <c r="AN35">
        <v>1.0000000155650599</v>
      </c>
    </row>
    <row r="36" spans="1:40" x14ac:dyDescent="0.25">
      <c r="A36" t="str">
        <f>"20190312150946324"</f>
        <v>20190312150946324</v>
      </c>
      <c r="B36" t="str">
        <f>"1552374586320906"</f>
        <v>1552374586320906</v>
      </c>
      <c r="C36" t="s">
        <v>40</v>
      </c>
      <c r="D36">
        <v>5.3408660000000001</v>
      </c>
      <c r="E36">
        <v>0.51127179999999905</v>
      </c>
      <c r="F36" t="s">
        <v>42</v>
      </c>
      <c r="G36">
        <v>-459.12490000000003</v>
      </c>
      <c r="H36" s="1">
        <v>-1.0320499999999999E-6</v>
      </c>
      <c r="I36">
        <v>366.80439999999999</v>
      </c>
      <c r="J36">
        <v>-475.2192</v>
      </c>
      <c r="K36">
        <v>1.1103959999999999</v>
      </c>
      <c r="L36">
        <v>367.20839999999998</v>
      </c>
      <c r="M36">
        <v>0.99995579999999995</v>
      </c>
      <c r="N36">
        <v>0</v>
      </c>
      <c r="O36">
        <v>-3.4270210000000001E-3</v>
      </c>
      <c r="P36">
        <v>0.9976178</v>
      </c>
      <c r="Q36">
        <v>6.8896739999999998E-2</v>
      </c>
      <c r="R36">
        <v>3.4583320000000002E-3</v>
      </c>
      <c r="S36">
        <v>3.021423</v>
      </c>
      <c r="T36">
        <v>-0.2078226</v>
      </c>
      <c r="U36">
        <v>-7.5622560000000005E-2</v>
      </c>
      <c r="V36">
        <v>-6.8725979999999997E-3</v>
      </c>
      <c r="W36">
        <v>7.7638449999999998E-2</v>
      </c>
      <c r="X36">
        <v>0.99695789999999995</v>
      </c>
      <c r="Y36">
        <v>2.155193E-2</v>
      </c>
      <c r="Z36">
        <v>-5.0480119999999999E-4</v>
      </c>
      <c r="AA36">
        <v>0.99976759999999998</v>
      </c>
      <c r="AB36">
        <v>5</v>
      </c>
      <c r="AC36">
        <v>16.094299999999901</v>
      </c>
      <c r="AD36">
        <v>-1.1103970320499901</v>
      </c>
      <c r="AE36">
        <v>-0.40399999999999597</v>
      </c>
      <c r="AF36">
        <v>0.347188412414355</v>
      </c>
      <c r="AG36">
        <v>-1.1103970320499901</v>
      </c>
      <c r="AH36">
        <v>16.019384842152299</v>
      </c>
      <c r="AI36">
        <v>93.964234485899695</v>
      </c>
      <c r="AJ36">
        <v>88.758421925780397</v>
      </c>
      <c r="AK36">
        <v>16.061575641370901</v>
      </c>
      <c r="AL36">
        <v>85.547163443492096</v>
      </c>
      <c r="AM36">
        <v>90.394966148889296</v>
      </c>
      <c r="AN36">
        <v>1.0000000079470399</v>
      </c>
    </row>
    <row r="37" spans="1:40" x14ac:dyDescent="0.25">
      <c r="A37" t="str">
        <f>"20190312150946346"</f>
        <v>20190312150946346</v>
      </c>
      <c r="B37" t="str">
        <f>"1552374586340428"</f>
        <v>1552374586340428</v>
      </c>
      <c r="C37" t="s">
        <v>40</v>
      </c>
      <c r="D37">
        <v>5.3355360000000003</v>
      </c>
      <c r="E37">
        <v>0.51151820000000003</v>
      </c>
      <c r="F37" t="s">
        <v>42</v>
      </c>
      <c r="G37">
        <v>-458.8854</v>
      </c>
      <c r="H37" s="1">
        <v>-1.11735E-6</v>
      </c>
      <c r="I37">
        <v>366.7901</v>
      </c>
      <c r="J37">
        <v>-475.15629999999999</v>
      </c>
      <c r="K37">
        <v>1.109937</v>
      </c>
      <c r="L37">
        <v>367.20800000000003</v>
      </c>
      <c r="M37">
        <v>0.99996529999999995</v>
      </c>
      <c r="N37">
        <v>0</v>
      </c>
      <c r="O37">
        <v>-3.5642709999999999E-3</v>
      </c>
      <c r="P37">
        <v>0.9975328</v>
      </c>
      <c r="Q37">
        <v>7.0154759999999997E-2</v>
      </c>
      <c r="R37">
        <v>2.6159830000000001E-3</v>
      </c>
      <c r="S37">
        <v>3.0216059999999998</v>
      </c>
      <c r="T37">
        <v>-0.20541190000000001</v>
      </c>
      <c r="U37">
        <v>-7.7362059999999996E-2</v>
      </c>
      <c r="V37">
        <v>-6.1647339999999998E-3</v>
      </c>
      <c r="W37">
        <v>7.7662690000000006E-2</v>
      </c>
      <c r="X37">
        <v>0.99696059999999997</v>
      </c>
      <c r="Y37">
        <v>2.1988710000000002E-2</v>
      </c>
      <c r="Z37">
        <v>-5.0443639999999995E-4</v>
      </c>
      <c r="AA37">
        <v>0.99975809999999998</v>
      </c>
      <c r="AB37">
        <v>6</v>
      </c>
      <c r="AC37">
        <v>16.270899999999902</v>
      </c>
      <c r="AD37">
        <v>-1.10993811735</v>
      </c>
      <c r="AE37">
        <v>-0.41790000000003102</v>
      </c>
      <c r="AF37">
        <v>0.35823587308120702</v>
      </c>
      <c r="AG37">
        <v>-1.10993811735</v>
      </c>
      <c r="AH37">
        <v>16.196964232287201</v>
      </c>
      <c r="AI37">
        <v>93.919254522474404</v>
      </c>
      <c r="AJ37">
        <v>88.732968882557103</v>
      </c>
      <c r="AK37">
        <v>16.238902238362702</v>
      </c>
      <c r="AL37">
        <v>85.545770207845706</v>
      </c>
      <c r="AM37">
        <v>90.354285553813298</v>
      </c>
      <c r="AN37">
        <v>0.99999996765784205</v>
      </c>
    </row>
    <row r="38" spans="1:40" x14ac:dyDescent="0.25">
      <c r="A38" t="str">
        <f>"20190312150946368"</f>
        <v>20190312150946368</v>
      </c>
      <c r="B38" t="str">
        <f>"1552374586360922"</f>
        <v>1552374586360922</v>
      </c>
      <c r="C38" t="s">
        <v>40</v>
      </c>
      <c r="D38">
        <v>5.3656040000000003</v>
      </c>
      <c r="E38">
        <v>0.5114185</v>
      </c>
      <c r="F38" t="s">
        <v>42</v>
      </c>
      <c r="G38">
        <v>-458.39769999999999</v>
      </c>
      <c r="H38" s="1">
        <v>-1.2931559999999901E-6</v>
      </c>
      <c r="I38">
        <v>366.75319999999999</v>
      </c>
      <c r="J38">
        <v>-475.09089999999998</v>
      </c>
      <c r="K38">
        <v>1.109639</v>
      </c>
      <c r="L38">
        <v>367.20760000000001</v>
      </c>
      <c r="M38">
        <v>0.99997190000000002</v>
      </c>
      <c r="N38">
        <v>0</v>
      </c>
      <c r="O38">
        <v>-3.7189079999999999E-3</v>
      </c>
      <c r="P38">
        <v>0.99744109999999997</v>
      </c>
      <c r="Q38">
        <v>7.1470080000000005E-2</v>
      </c>
      <c r="R38">
        <v>1.858824E-3</v>
      </c>
      <c r="S38">
        <v>3.0216980000000002</v>
      </c>
      <c r="T38">
        <v>-0.2001281</v>
      </c>
      <c r="U38">
        <v>-8.2000729999999994E-2</v>
      </c>
      <c r="V38">
        <v>-5.5589480000000002E-3</v>
      </c>
      <c r="W38">
        <v>7.7988810000000006E-2</v>
      </c>
      <c r="X38">
        <v>0.99693880000000001</v>
      </c>
      <c r="Y38">
        <v>2.3366499999999998E-2</v>
      </c>
      <c r="Z38">
        <v>-5.2680559999999997E-4</v>
      </c>
      <c r="AA38">
        <v>0.99972680000000003</v>
      </c>
      <c r="AB38">
        <v>6</v>
      </c>
      <c r="AC38">
        <v>16.693199999999901</v>
      </c>
      <c r="AD38">
        <v>-1.1096402931559901</v>
      </c>
      <c r="AE38">
        <v>-0.45440000000002101</v>
      </c>
      <c r="AF38">
        <v>0.39059047996479201</v>
      </c>
      <c r="AG38">
        <v>-1.1096402931559901</v>
      </c>
      <c r="AH38">
        <v>16.621385497283601</v>
      </c>
      <c r="AI38">
        <v>93.818336060428393</v>
      </c>
      <c r="AJ38">
        <v>88.653838573950694</v>
      </c>
      <c r="AK38">
        <v>16.662962472278</v>
      </c>
      <c r="AL38">
        <v>85.5270284924934</v>
      </c>
      <c r="AM38">
        <v>90.319478946971898</v>
      </c>
      <c r="AN38">
        <v>1.0000000636667501</v>
      </c>
    </row>
    <row r="39" spans="1:40" x14ac:dyDescent="0.25">
      <c r="A39" t="str">
        <f>"20190312150946392"</f>
        <v>20190312150946392</v>
      </c>
      <c r="B39" t="str">
        <f>"1552374586380446"</f>
        <v>1552374586380446</v>
      </c>
      <c r="C39" t="s">
        <v>40</v>
      </c>
      <c r="D39">
        <v>5.8668310000000004</v>
      </c>
      <c r="E39">
        <v>0.51101419999999997</v>
      </c>
      <c r="F39" t="s">
        <v>42</v>
      </c>
      <c r="G39">
        <v>-457.93830000000003</v>
      </c>
      <c r="H39" s="1">
        <v>-1.4548719999999999E-6</v>
      </c>
      <c r="I39">
        <v>366.73289999999997</v>
      </c>
      <c r="J39">
        <v>-475.02080000000001</v>
      </c>
      <c r="K39">
        <v>1.1094569999999999</v>
      </c>
      <c r="L39">
        <v>367.2072</v>
      </c>
      <c r="M39">
        <v>0.99997619999999998</v>
      </c>
      <c r="N39">
        <v>0</v>
      </c>
      <c r="O39">
        <v>-3.8877999999999998E-3</v>
      </c>
      <c r="P39">
        <v>0.99743009999999999</v>
      </c>
      <c r="Q39">
        <v>7.1646210000000002E-2</v>
      </c>
      <c r="R39">
        <v>6.6179849999999996E-4</v>
      </c>
      <c r="S39">
        <v>3.02182</v>
      </c>
      <c r="T39">
        <v>-0.19548740000000001</v>
      </c>
      <c r="U39">
        <v>-8.3618159999999997E-2</v>
      </c>
      <c r="V39">
        <v>-4.5290199999999999E-3</v>
      </c>
      <c r="W39">
        <v>7.7370789999999995E-2</v>
      </c>
      <c r="X39">
        <v>0.99699210000000005</v>
      </c>
      <c r="Y39">
        <v>2.373283E-2</v>
      </c>
      <c r="Z39">
        <v>-5.1551449999999996E-4</v>
      </c>
      <c r="AA39">
        <v>0.9997182</v>
      </c>
      <c r="AB39">
        <v>6</v>
      </c>
      <c r="AC39">
        <v>17.0824999999999</v>
      </c>
      <c r="AD39">
        <v>-1.1094584548719999</v>
      </c>
      <c r="AE39">
        <v>-0.47430000000002698</v>
      </c>
      <c r="AF39">
        <v>0.40617003774807198</v>
      </c>
      <c r="AG39">
        <v>-1.1094584548719999</v>
      </c>
      <c r="AH39">
        <v>17.0125093311858</v>
      </c>
      <c r="AI39">
        <v>93.730159228630995</v>
      </c>
      <c r="AJ39">
        <v>88.632335283615802</v>
      </c>
      <c r="AK39">
        <v>17.053484861057999</v>
      </c>
      <c r="AL39">
        <v>85.562545462718106</v>
      </c>
      <c r="AM39">
        <v>90.260274827035701</v>
      </c>
      <c r="AN39">
        <v>0.99999999931489703</v>
      </c>
    </row>
    <row r="40" spans="1:40" x14ac:dyDescent="0.25">
      <c r="A40" t="str">
        <f>"20190312150946412"</f>
        <v>20190312150946412</v>
      </c>
      <c r="B40" t="str">
        <f>"1552374586400937"</f>
        <v>1552374586400937</v>
      </c>
      <c r="C40" t="s">
        <v>40</v>
      </c>
      <c r="D40">
        <v>5.3316970000000001</v>
      </c>
      <c r="E40">
        <v>0.51052699999999995</v>
      </c>
      <c r="F40" t="s">
        <v>42</v>
      </c>
      <c r="G40">
        <v>-458.06299999999999</v>
      </c>
      <c r="H40" s="1">
        <v>-1.4111999999999999E-6</v>
      </c>
      <c r="I40">
        <v>366.73759999999999</v>
      </c>
      <c r="J40">
        <v>-474.9599</v>
      </c>
      <c r="K40">
        <v>1.10968</v>
      </c>
      <c r="L40">
        <v>367.20679999999999</v>
      </c>
      <c r="M40">
        <v>0.99997210000000003</v>
      </c>
      <c r="N40">
        <v>0</v>
      </c>
      <c r="O40">
        <v>-4.019051E-3</v>
      </c>
      <c r="P40">
        <v>0.99747929999999996</v>
      </c>
      <c r="Q40">
        <v>7.0958289999999993E-2</v>
      </c>
      <c r="R40" s="1">
        <v>7.4516519999999904E-5</v>
      </c>
      <c r="S40">
        <v>3.0220030000000002</v>
      </c>
      <c r="T40">
        <v>-0.19771179999999999</v>
      </c>
      <c r="U40">
        <v>-8.3679199999999995E-2</v>
      </c>
      <c r="V40">
        <v>-4.073152E-3</v>
      </c>
      <c r="W40">
        <v>7.7231499999999995E-2</v>
      </c>
      <c r="X40">
        <v>0.99700489999999997</v>
      </c>
      <c r="Y40">
        <v>2.3619689999999999E-2</v>
      </c>
      <c r="Z40">
        <v>-5.0906309999999995E-4</v>
      </c>
      <c r="AA40">
        <v>0.99972090000000002</v>
      </c>
      <c r="AB40">
        <v>7</v>
      </c>
      <c r="AC40">
        <v>16.896899999999899</v>
      </c>
      <c r="AD40">
        <v>-1.1096814112</v>
      </c>
      <c r="AE40">
        <v>-0.46920000000000001</v>
      </c>
      <c r="AF40">
        <v>0.39956336007719001</v>
      </c>
      <c r="AG40">
        <v>-1.1096814112</v>
      </c>
      <c r="AH40">
        <v>16.826133588455399</v>
      </c>
      <c r="AI40">
        <v>93.772125164366898</v>
      </c>
      <c r="AJ40">
        <v>88.639676053097006</v>
      </c>
      <c r="AK40">
        <v>16.8674187488668</v>
      </c>
      <c r="AL40">
        <v>85.570550292569905</v>
      </c>
      <c r="AM40">
        <v>90.234074196182704</v>
      </c>
      <c r="AN40">
        <v>1.00000003289173</v>
      </c>
    </row>
    <row r="41" spans="1:40" x14ac:dyDescent="0.25">
      <c r="A41" t="str">
        <f>"20190312150946427"</f>
        <v>20190312150946427</v>
      </c>
      <c r="B41" t="str">
        <f>"1552374586420458"</f>
        <v>1552374586420458</v>
      </c>
      <c r="C41" t="s">
        <v>40</v>
      </c>
      <c r="D41">
        <v>5.255916</v>
      </c>
      <c r="E41">
        <v>0.50998220000000005</v>
      </c>
      <c r="F41" t="s">
        <v>42</v>
      </c>
      <c r="G41">
        <v>-457.92290000000003</v>
      </c>
      <c r="H41" s="1">
        <v>-1.456632E-6</v>
      </c>
      <c r="I41">
        <v>366.74590000000001</v>
      </c>
      <c r="J41">
        <v>-474.92129999999997</v>
      </c>
      <c r="K41">
        <v>1.1099859999999999</v>
      </c>
      <c r="L41">
        <v>367.20659999999998</v>
      </c>
      <c r="M41">
        <v>0.99996529999999995</v>
      </c>
      <c r="N41">
        <v>0</v>
      </c>
      <c r="O41">
        <v>-4.0940179999999996E-3</v>
      </c>
      <c r="P41">
        <v>0.99755199999999999</v>
      </c>
      <c r="Q41">
        <v>6.9931699999999999E-2</v>
      </c>
      <c r="R41">
        <v>-2.6794049999999999E-4</v>
      </c>
      <c r="S41">
        <v>3.0215450000000001</v>
      </c>
      <c r="T41">
        <v>-0.19680400000000001</v>
      </c>
      <c r="U41">
        <v>-8.1726069999999998E-2</v>
      </c>
      <c r="V41">
        <v>-3.8069369999999998E-3</v>
      </c>
      <c r="W41">
        <v>7.7185379999999998E-2</v>
      </c>
      <c r="X41">
        <v>0.99700949999999999</v>
      </c>
      <c r="Y41">
        <v>2.2905200000000001E-2</v>
      </c>
      <c r="Z41">
        <v>-4.7869340000000001E-4</v>
      </c>
      <c r="AA41">
        <v>0.99973749999999995</v>
      </c>
      <c r="AB41">
        <v>7</v>
      </c>
      <c r="AC41">
        <v>16.998399999999901</v>
      </c>
      <c r="AD41">
        <v>-1.109987456632</v>
      </c>
      <c r="AE41">
        <v>-0.46069999999997402</v>
      </c>
      <c r="AF41">
        <v>0.38944317394156802</v>
      </c>
      <c r="AG41">
        <v>-1.109987456632</v>
      </c>
      <c r="AH41">
        <v>16.928015151175298</v>
      </c>
      <c r="AI41">
        <v>93.750583383004496</v>
      </c>
      <c r="AJ41">
        <v>88.682095055166101</v>
      </c>
      <c r="AK41">
        <v>16.968837175777001</v>
      </c>
      <c r="AL41">
        <v>85.573200581005295</v>
      </c>
      <c r="AM41">
        <v>90.218774608389296</v>
      </c>
      <c r="AN41">
        <v>1.00000000937265</v>
      </c>
    </row>
    <row r="42" spans="1:40" x14ac:dyDescent="0.25">
      <c r="A42" t="str">
        <f>"20190312150946447"</f>
        <v>20190312150946447</v>
      </c>
      <c r="B42" t="str">
        <f>"1552374586440954"</f>
        <v>1552374586440954</v>
      </c>
      <c r="C42" t="s">
        <v>40</v>
      </c>
      <c r="D42">
        <v>5.2700959999999997</v>
      </c>
      <c r="E42">
        <v>0.50975890000000001</v>
      </c>
      <c r="F42" t="s">
        <v>42</v>
      </c>
      <c r="G42">
        <v>-458.55520000000001</v>
      </c>
      <c r="H42" s="1">
        <v>-1.231914E-6</v>
      </c>
      <c r="I42">
        <v>366.78190000000001</v>
      </c>
      <c r="J42">
        <v>-474.86700000000002</v>
      </c>
      <c r="K42">
        <v>1.1104799999999999</v>
      </c>
      <c r="L42">
        <v>367.20620000000002</v>
      </c>
      <c r="M42">
        <v>0.99995040000000002</v>
      </c>
      <c r="N42">
        <v>0</v>
      </c>
      <c r="O42">
        <v>-4.1911910000000004E-3</v>
      </c>
      <c r="P42">
        <v>0.99767749999999999</v>
      </c>
      <c r="Q42">
        <v>6.8110729999999994E-2</v>
      </c>
      <c r="R42">
        <v>-9.7782459999999996E-4</v>
      </c>
      <c r="S42">
        <v>3.0217290000000001</v>
      </c>
      <c r="T42">
        <v>-0.2049396</v>
      </c>
      <c r="U42">
        <v>-7.8399659999999996E-2</v>
      </c>
      <c r="V42">
        <v>-3.1974719999999998E-3</v>
      </c>
      <c r="W42">
        <v>7.7136410000000002E-2</v>
      </c>
      <c r="X42">
        <v>0.9970154</v>
      </c>
      <c r="Y42">
        <v>2.170619E-2</v>
      </c>
      <c r="Z42">
        <v>-4.512222E-4</v>
      </c>
      <c r="AA42">
        <v>0.99976430000000005</v>
      </c>
      <c r="AB42">
        <v>6</v>
      </c>
      <c r="AC42">
        <v>16.311799999999899</v>
      </c>
      <c r="AD42">
        <v>-1.1104812319139901</v>
      </c>
      <c r="AE42">
        <v>-0.424300000000016</v>
      </c>
      <c r="AF42">
        <v>0.35428672187372201</v>
      </c>
      <c r="AG42">
        <v>-1.1104812319139901</v>
      </c>
      <c r="AH42">
        <v>16.2382272031947</v>
      </c>
      <c r="AI42">
        <v>93.911258829347204</v>
      </c>
      <c r="AJ42">
        <v>88.750115170762598</v>
      </c>
      <c r="AK42">
        <v>16.280009531640399</v>
      </c>
      <c r="AL42">
        <v>85.576014609360499</v>
      </c>
      <c r="AM42">
        <v>90.183749441213095</v>
      </c>
      <c r="AN42">
        <v>0.99999997870601898</v>
      </c>
    </row>
    <row r="43" spans="1:40" x14ac:dyDescent="0.25">
      <c r="A43" t="str">
        <f>"20190312150946471"</f>
        <v>20190312150946471</v>
      </c>
      <c r="B43" t="str">
        <f>"1552374586461450"</f>
        <v>1552374586461450</v>
      </c>
      <c r="C43" t="s">
        <v>40</v>
      </c>
      <c r="D43">
        <v>5.2790889999999999</v>
      </c>
      <c r="E43">
        <v>0.50973190000000002</v>
      </c>
      <c r="F43" t="s">
        <v>42</v>
      </c>
      <c r="G43">
        <v>-459.2706</v>
      </c>
      <c r="H43" s="1">
        <v>-9.8360480000000004E-7</v>
      </c>
      <c r="I43">
        <v>366.80009999999999</v>
      </c>
      <c r="J43">
        <v>-474.8075</v>
      </c>
      <c r="K43">
        <v>1.1109370000000001</v>
      </c>
      <c r="L43">
        <v>367.20580000000001</v>
      </c>
      <c r="M43">
        <v>0.99993010000000004</v>
      </c>
      <c r="N43">
        <v>0</v>
      </c>
      <c r="O43">
        <v>-4.2774930000000003E-3</v>
      </c>
      <c r="P43">
        <v>0.99782159999999998</v>
      </c>
      <c r="Q43">
        <v>6.596378E-2</v>
      </c>
      <c r="R43">
        <v>-1.0697860000000001E-3</v>
      </c>
      <c r="S43">
        <v>3.0216059999999998</v>
      </c>
      <c r="T43">
        <v>-0.21514079999999999</v>
      </c>
      <c r="U43">
        <v>-7.8674320000000006E-2</v>
      </c>
      <c r="V43">
        <v>-3.195612E-3</v>
      </c>
      <c r="W43">
        <v>7.6966199999999999E-2</v>
      </c>
      <c r="X43">
        <v>0.99702860000000004</v>
      </c>
      <c r="Y43">
        <v>2.1707790000000001E-2</v>
      </c>
      <c r="Z43">
        <v>-4.6756070000000002E-4</v>
      </c>
      <c r="AA43">
        <v>0.99976430000000005</v>
      </c>
      <c r="AB43">
        <v>6</v>
      </c>
      <c r="AC43">
        <v>15.536899999999999</v>
      </c>
      <c r="AD43">
        <v>-1.1109379836047999</v>
      </c>
      <c r="AE43">
        <v>-0.40570000000002399</v>
      </c>
      <c r="AF43">
        <v>0.33750886122093399</v>
      </c>
      <c r="AG43">
        <v>-1.1109379836047999</v>
      </c>
      <c r="AH43">
        <v>15.459507254849999</v>
      </c>
      <c r="AI43">
        <v>94.109299355886805</v>
      </c>
      <c r="AJ43">
        <v>88.749328711345797</v>
      </c>
      <c r="AK43">
        <v>15.5030467972453</v>
      </c>
      <c r="AL43">
        <v>85.585796179252299</v>
      </c>
      <c r="AM43">
        <v>90.183640121851099</v>
      </c>
      <c r="AN43">
        <v>1.0000000185482201</v>
      </c>
    </row>
    <row r="44" spans="1:40" x14ac:dyDescent="0.25">
      <c r="A44" t="str">
        <f>"20190312150946493"</f>
        <v>20190312150946493</v>
      </c>
      <c r="B44" t="str">
        <f>"1552374586480971"</f>
        <v>1552374586480971</v>
      </c>
      <c r="C44" t="s">
        <v>40</v>
      </c>
      <c r="D44">
        <v>5.1879410000000004</v>
      </c>
      <c r="E44">
        <v>0.50939880000000004</v>
      </c>
      <c r="F44" t="s">
        <v>42</v>
      </c>
      <c r="G44">
        <v>-459.74200000000002</v>
      </c>
      <c r="H44" s="1">
        <v>-8.197144E-7</v>
      </c>
      <c r="I44">
        <v>366.81310000000002</v>
      </c>
      <c r="J44">
        <v>-474.74849999999998</v>
      </c>
      <c r="K44">
        <v>1.1108439999999999</v>
      </c>
      <c r="L44">
        <v>367.20549999999997</v>
      </c>
      <c r="M44">
        <v>0.99992709999999996</v>
      </c>
      <c r="N44">
        <v>0</v>
      </c>
      <c r="O44">
        <v>-4.3484439999999999E-3</v>
      </c>
      <c r="P44">
        <v>0.99784229999999996</v>
      </c>
      <c r="Q44">
        <v>6.5648219999999993E-2</v>
      </c>
      <c r="R44">
        <v>-1.2002670000000001E-3</v>
      </c>
      <c r="S44">
        <v>3.02121</v>
      </c>
      <c r="T44">
        <v>-0.2227845</v>
      </c>
      <c r="U44">
        <v>-7.8735349999999996E-2</v>
      </c>
      <c r="V44">
        <v>-3.1366749999999998E-3</v>
      </c>
      <c r="W44">
        <v>7.6901559999999994E-2</v>
      </c>
      <c r="X44">
        <v>0.99703379999999997</v>
      </c>
      <c r="Y44">
        <v>2.1657570000000001E-2</v>
      </c>
      <c r="Z44">
        <v>-4.7711800000000001E-4</v>
      </c>
      <c r="AA44">
        <v>0.99976529999999997</v>
      </c>
      <c r="AB44">
        <v>6</v>
      </c>
      <c r="AC44">
        <v>15.006500000000001</v>
      </c>
      <c r="AD44">
        <v>-1.1108448197144001</v>
      </c>
      <c r="AE44">
        <v>-0.39239999999995201</v>
      </c>
      <c r="AF44">
        <v>0.32535562747895902</v>
      </c>
      <c r="AG44">
        <v>-1.1108448197144001</v>
      </c>
      <c r="AH44">
        <v>14.926330275341799</v>
      </c>
      <c r="AI44">
        <v>94.255203478217396</v>
      </c>
      <c r="AJ44">
        <v>88.751297041768893</v>
      </c>
      <c r="AK44">
        <v>14.971144511573</v>
      </c>
      <c r="AL44">
        <v>85.589510898013302</v>
      </c>
      <c r="AM44">
        <v>90.1802523106997</v>
      </c>
      <c r="AN44">
        <v>1.00000004350146</v>
      </c>
    </row>
    <row r="45" spans="1:40" x14ac:dyDescent="0.25">
      <c r="A45" t="str">
        <f>"20190312150946515"</f>
        <v>20190312150946515</v>
      </c>
      <c r="B45" t="str">
        <f>"1552374586511226"</f>
        <v>1552374586511226</v>
      </c>
      <c r="C45" t="s">
        <v>40</v>
      </c>
      <c r="D45">
        <v>5.0693869999999999</v>
      </c>
      <c r="E45">
        <v>0.50909659999999901</v>
      </c>
      <c r="F45" t="s">
        <v>42</v>
      </c>
      <c r="G45">
        <v>-460.2867</v>
      </c>
      <c r="H45" s="1">
        <v>-4.641831E-6</v>
      </c>
      <c r="I45">
        <v>366.83940000000001</v>
      </c>
      <c r="J45">
        <v>-474.68630000000002</v>
      </c>
      <c r="K45">
        <v>1.110395</v>
      </c>
      <c r="L45">
        <v>367.20519999999999</v>
      </c>
      <c r="M45">
        <v>0.99993889999999996</v>
      </c>
      <c r="N45">
        <v>0</v>
      </c>
      <c r="O45">
        <v>-4.4369650000000002E-3</v>
      </c>
      <c r="P45">
        <v>0.99775579999999997</v>
      </c>
      <c r="Q45">
        <v>6.695458E-2</v>
      </c>
      <c r="R45">
        <v>-9.323065E-4</v>
      </c>
      <c r="S45">
        <v>3.0216669999999999</v>
      </c>
      <c r="T45">
        <v>-0.232102</v>
      </c>
      <c r="U45">
        <v>-7.6477050000000005E-2</v>
      </c>
      <c r="V45">
        <v>-3.4922489999999998E-3</v>
      </c>
      <c r="W45">
        <v>7.7059870000000003E-2</v>
      </c>
      <c r="X45">
        <v>0.99702040000000003</v>
      </c>
      <c r="Y45">
        <v>2.0817209999999999E-2</v>
      </c>
      <c r="Z45">
        <v>-4.5793750000000001E-4</v>
      </c>
      <c r="AA45">
        <v>0.99978319999999998</v>
      </c>
      <c r="AB45">
        <v>5</v>
      </c>
      <c r="AC45">
        <v>14.3996</v>
      </c>
      <c r="AD45">
        <v>-1.110399641831</v>
      </c>
      <c r="AE45">
        <v>-0.36579999999997798</v>
      </c>
      <c r="AF45">
        <v>0.30011911043823802</v>
      </c>
      <c r="AG45">
        <v>-1.110399641831</v>
      </c>
      <c r="AH45">
        <v>14.3160068529042</v>
      </c>
      <c r="AI45">
        <v>94.434211045519206</v>
      </c>
      <c r="AJ45">
        <v>88.799033825569893</v>
      </c>
      <c r="AK45">
        <v>14.3621415902166</v>
      </c>
      <c r="AL45">
        <v>85.5804134304733</v>
      </c>
      <c r="AM45">
        <v>90.200688281224402</v>
      </c>
      <c r="AN45">
        <v>1.0000000486918199</v>
      </c>
    </row>
    <row r="46" spans="1:40" x14ac:dyDescent="0.25">
      <c r="A46" t="str">
        <f>"20190312150946536"</f>
        <v>20190312150946536</v>
      </c>
      <c r="B46" t="str">
        <f>"1552374586530746"</f>
        <v>1552374586530746</v>
      </c>
      <c r="C46" t="s">
        <v>40</v>
      </c>
      <c r="D46">
        <v>5.0713869999999996</v>
      </c>
      <c r="E46">
        <v>0.50840920000000001</v>
      </c>
      <c r="F46" t="s">
        <v>42</v>
      </c>
      <c r="G46">
        <v>-459.49700000000001</v>
      </c>
      <c r="H46" s="1">
        <v>-8.9702130000000003E-7</v>
      </c>
      <c r="I46">
        <v>366.83600000000001</v>
      </c>
      <c r="J46">
        <v>-474.6232</v>
      </c>
      <c r="K46">
        <v>1.110012</v>
      </c>
      <c r="L46">
        <v>367.20479999999998</v>
      </c>
      <c r="M46">
        <v>0.99995020000000001</v>
      </c>
      <c r="N46">
        <v>0</v>
      </c>
      <c r="O46">
        <v>-4.5370100000000002E-3</v>
      </c>
      <c r="P46">
        <v>0.99766560000000004</v>
      </c>
      <c r="Q46">
        <v>6.8289760000000005E-2</v>
      </c>
      <c r="R46">
        <v>-4.7714289999999999E-4</v>
      </c>
      <c r="S46">
        <v>3.021515</v>
      </c>
      <c r="T46">
        <v>-0.2208821</v>
      </c>
      <c r="U46">
        <v>-7.3425290000000004E-2</v>
      </c>
      <c r="V46">
        <v>-4.046076E-3</v>
      </c>
      <c r="W46">
        <v>7.7165410000000004E-2</v>
      </c>
      <c r="X46">
        <v>0.99701010000000001</v>
      </c>
      <c r="Y46">
        <v>1.971707E-2</v>
      </c>
      <c r="Z46">
        <v>-3.8843679999999998E-4</v>
      </c>
      <c r="AA46">
        <v>0.99980550000000001</v>
      </c>
      <c r="AB46">
        <v>6</v>
      </c>
      <c r="AC46">
        <v>15.126200000000001</v>
      </c>
      <c r="AD46">
        <v>-1.1100128970212999</v>
      </c>
      <c r="AE46">
        <v>-0.36879999999996399</v>
      </c>
      <c r="AF46">
        <v>0.29855894761643897</v>
      </c>
      <c r="AG46">
        <v>-1.1100128970212999</v>
      </c>
      <c r="AH46">
        <v>15.0467370905242</v>
      </c>
      <c r="AI46">
        <v>94.218297206527595</v>
      </c>
      <c r="AJ46">
        <v>88.863280250732402</v>
      </c>
      <c r="AK46">
        <v>15.090578622044699</v>
      </c>
      <c r="AL46">
        <v>85.574348182685895</v>
      </c>
      <c r="AM46">
        <v>90.232517008368603</v>
      </c>
      <c r="AN46">
        <v>1.0000000053667299</v>
      </c>
    </row>
    <row r="47" spans="1:40" x14ac:dyDescent="0.25">
      <c r="A47" t="str">
        <f>"20190312150946559"</f>
        <v>20190312150946559</v>
      </c>
      <c r="B47" t="str">
        <f>"1552374586551242"</f>
        <v>1552374586551242</v>
      </c>
      <c r="C47" t="s">
        <v>40</v>
      </c>
      <c r="D47">
        <v>5.0550119999999996</v>
      </c>
      <c r="E47">
        <v>0.50774719999999995</v>
      </c>
      <c r="F47" t="s">
        <v>42</v>
      </c>
      <c r="G47">
        <v>-458.99169999999998</v>
      </c>
      <c r="H47" s="1">
        <v>-1.0626729999999999E-6</v>
      </c>
      <c r="I47">
        <v>366.8596</v>
      </c>
      <c r="J47">
        <v>-474.55439999999999</v>
      </c>
      <c r="K47">
        <v>1.1097939999999999</v>
      </c>
      <c r="L47">
        <v>367.20440000000002</v>
      </c>
      <c r="M47">
        <v>0.99995730000000005</v>
      </c>
      <c r="N47">
        <v>0</v>
      </c>
      <c r="O47">
        <v>-4.6476479999999999E-3</v>
      </c>
      <c r="P47">
        <v>0.99759620000000004</v>
      </c>
      <c r="Q47">
        <v>6.92966E-2</v>
      </c>
      <c r="R47" s="1">
        <v>-6.1111639999999996E-5</v>
      </c>
      <c r="S47">
        <v>3.0216980000000002</v>
      </c>
      <c r="T47">
        <v>-0.2145734</v>
      </c>
      <c r="U47">
        <v>-6.6711430000000002E-2</v>
      </c>
      <c r="V47">
        <v>-4.5708939999999998E-3</v>
      </c>
      <c r="W47">
        <v>7.7262890000000001E-2</v>
      </c>
      <c r="X47">
        <v>0.99700029999999995</v>
      </c>
      <c r="Y47">
        <v>1.7393099999999901E-2</v>
      </c>
      <c r="Z47">
        <v>-2.8711440000000002E-4</v>
      </c>
      <c r="AA47">
        <v>0.99984870000000003</v>
      </c>
      <c r="AB47">
        <v>7</v>
      </c>
      <c r="AC47">
        <v>15.5627</v>
      </c>
      <c r="AD47">
        <v>-1.109795062673</v>
      </c>
      <c r="AE47">
        <v>-0.34480000000001998</v>
      </c>
      <c r="AF47">
        <v>0.27108614175016199</v>
      </c>
      <c r="AG47">
        <v>-1.109795062673</v>
      </c>
      <c r="AH47">
        <v>15.485425231318899</v>
      </c>
      <c r="AI47">
        <v>94.098586347504906</v>
      </c>
      <c r="AJ47">
        <v>88.997088860566606</v>
      </c>
      <c r="AK47">
        <v>15.527508730384</v>
      </c>
      <c r="AL47">
        <v>85.568746342835198</v>
      </c>
      <c r="AM47">
        <v>90.2626790582881</v>
      </c>
      <c r="AN47">
        <v>1.0000000227215999</v>
      </c>
    </row>
    <row r="48" spans="1:40" x14ac:dyDescent="0.25">
      <c r="A48" t="str">
        <f>"20190312150946582"</f>
        <v>20190312150946582</v>
      </c>
      <c r="B48" t="str">
        <f>"1552374586570762"</f>
        <v>1552374586570762</v>
      </c>
      <c r="C48" t="s">
        <v>40</v>
      </c>
      <c r="D48">
        <v>4.9934529999999997</v>
      </c>
      <c r="E48">
        <v>0.50721810000000001</v>
      </c>
      <c r="F48" t="s">
        <v>42</v>
      </c>
      <c r="G48">
        <v>-458.59660000000002</v>
      </c>
      <c r="H48" s="1">
        <v>-1.18956E-6</v>
      </c>
      <c r="I48">
        <v>366.88810000000001</v>
      </c>
      <c r="J48">
        <v>-474.48899999999998</v>
      </c>
      <c r="K48">
        <v>1.1102129999999999</v>
      </c>
      <c r="L48">
        <v>367.20400000000001</v>
      </c>
      <c r="M48">
        <v>0.99994609999999995</v>
      </c>
      <c r="N48">
        <v>0</v>
      </c>
      <c r="O48">
        <v>-4.735029E-3</v>
      </c>
      <c r="P48">
        <v>0.9976583</v>
      </c>
      <c r="Q48">
        <v>6.8395319999999996E-2</v>
      </c>
      <c r="R48" s="1">
        <v>-3.9645009999999998E-5</v>
      </c>
      <c r="S48">
        <v>3.02182</v>
      </c>
      <c r="T48">
        <v>-0.2101536</v>
      </c>
      <c r="U48">
        <v>-5.9875490000000003E-2</v>
      </c>
      <c r="V48">
        <v>-4.6801109999999998E-3</v>
      </c>
      <c r="W48">
        <v>7.7608969999999999E-2</v>
      </c>
      <c r="X48">
        <v>0.99697290000000005</v>
      </c>
      <c r="Y48">
        <v>1.505106E-2</v>
      </c>
      <c r="Z48">
        <v>-1.93804E-4</v>
      </c>
      <c r="AA48">
        <v>0.99988670000000002</v>
      </c>
      <c r="AB48">
        <v>7</v>
      </c>
      <c r="AC48">
        <v>15.8924</v>
      </c>
      <c r="AD48">
        <v>-1.11021418956</v>
      </c>
      <c r="AE48">
        <v>-0.31589999999999901</v>
      </c>
      <c r="AF48">
        <v>0.23947405941022501</v>
      </c>
      <c r="AG48">
        <v>-1.11021418956</v>
      </c>
      <c r="AH48">
        <v>15.816560733200699</v>
      </c>
      <c r="AI48">
        <v>94.014726760795895</v>
      </c>
      <c r="AJ48">
        <v>89.132567135126493</v>
      </c>
      <c r="AK48">
        <v>15.857285921583699</v>
      </c>
      <c r="AL48">
        <v>85.548857641816795</v>
      </c>
      <c r="AM48">
        <v>90.268962815603999</v>
      </c>
      <c r="AN48">
        <v>1.0000000094989201</v>
      </c>
    </row>
    <row r="49" spans="1:40" x14ac:dyDescent="0.25">
      <c r="A49" t="str">
        <f>"20190312150946603"</f>
        <v>20190312150946603</v>
      </c>
      <c r="B49" t="str">
        <f>"1552374586601019"</f>
        <v>1552374586601019</v>
      </c>
      <c r="C49" t="s">
        <v>40</v>
      </c>
      <c r="D49">
        <v>4.9898360000000004</v>
      </c>
      <c r="E49">
        <v>0.50654460000000001</v>
      </c>
      <c r="F49" t="s">
        <v>42</v>
      </c>
      <c r="G49">
        <v>-458.59399999999999</v>
      </c>
      <c r="H49" s="1">
        <v>-1.1845010000000001E-6</v>
      </c>
      <c r="I49">
        <v>366.91039999999998</v>
      </c>
      <c r="J49">
        <v>-474.43209999999999</v>
      </c>
      <c r="K49">
        <v>1.11073</v>
      </c>
      <c r="L49">
        <v>367.20359999999999</v>
      </c>
      <c r="M49">
        <v>0.99992700000000001</v>
      </c>
      <c r="N49">
        <v>0</v>
      </c>
      <c r="O49">
        <v>-4.8002829999999998E-3</v>
      </c>
      <c r="P49">
        <v>0.99776790000000004</v>
      </c>
      <c r="Q49">
        <v>6.6780039999999999E-2</v>
      </c>
      <c r="R49" s="1">
        <v>6.5403290000000004E-5</v>
      </c>
      <c r="S49">
        <v>3.0215450000000001</v>
      </c>
      <c r="T49">
        <v>-0.2110437</v>
      </c>
      <c r="U49">
        <v>-5.5786130000000003E-2</v>
      </c>
      <c r="V49">
        <v>-4.8525909999999998E-3</v>
      </c>
      <c r="W49">
        <v>7.7844300000000005E-2</v>
      </c>
      <c r="X49">
        <v>0.99695370000000005</v>
      </c>
      <c r="Y49">
        <v>1.363814E-2</v>
      </c>
      <c r="Z49">
        <v>-1.408053E-4</v>
      </c>
      <c r="AA49">
        <v>0.99990699999999999</v>
      </c>
      <c r="AB49">
        <v>6</v>
      </c>
      <c r="AC49">
        <v>15.838099999999899</v>
      </c>
      <c r="AD49">
        <v>-1.1107311845009999</v>
      </c>
      <c r="AE49">
        <v>-0.29320000000001301</v>
      </c>
      <c r="AF49">
        <v>0.21610210212973499</v>
      </c>
      <c r="AG49">
        <v>-1.1107311845009999</v>
      </c>
      <c r="AH49">
        <v>15.761830754715801</v>
      </c>
      <c r="AI49">
        <v>94.030574018172203</v>
      </c>
      <c r="AJ49">
        <v>89.214497170484407</v>
      </c>
      <c r="AK49">
        <v>15.8023964202608</v>
      </c>
      <c r="AL49">
        <v>85.535333184986797</v>
      </c>
      <c r="AM49">
        <v>90.278880341521401</v>
      </c>
      <c r="AN49">
        <v>0.99999998131279599</v>
      </c>
    </row>
    <row r="50" spans="1:40" x14ac:dyDescent="0.25">
      <c r="A50" t="str">
        <f>"20190312150946628"</f>
        <v>20190312150946628</v>
      </c>
      <c r="B50" t="str">
        <f>"1552374586620538"</f>
        <v>1552374586620538</v>
      </c>
      <c r="C50" t="s">
        <v>40</v>
      </c>
      <c r="D50">
        <v>5.0576790000000003</v>
      </c>
      <c r="E50">
        <v>0.50614150000000002</v>
      </c>
      <c r="F50" t="s">
        <v>42</v>
      </c>
      <c r="G50">
        <v>-458.41640000000001</v>
      </c>
      <c r="H50" s="1">
        <v>-1.237669E-6</v>
      </c>
      <c r="I50">
        <v>366.93770000000001</v>
      </c>
      <c r="J50">
        <v>-474.3734</v>
      </c>
      <c r="K50">
        <v>1.111243</v>
      </c>
      <c r="L50">
        <v>367.20330000000001</v>
      </c>
      <c r="M50">
        <v>0.99990000000000001</v>
      </c>
      <c r="N50">
        <v>0</v>
      </c>
      <c r="O50">
        <v>-4.8556839999999999E-3</v>
      </c>
      <c r="P50">
        <v>0.99790990000000002</v>
      </c>
      <c r="Q50">
        <v>6.4620730000000001E-2</v>
      </c>
      <c r="R50" s="1">
        <v>-2.6938510000000002E-7</v>
      </c>
      <c r="S50">
        <v>3.0206909999999998</v>
      </c>
      <c r="T50">
        <v>-0.2094924</v>
      </c>
      <c r="U50">
        <v>-5.0140379999999998E-2</v>
      </c>
      <c r="V50">
        <v>-4.8440230000000003E-3</v>
      </c>
      <c r="W50">
        <v>7.7871869999999996E-2</v>
      </c>
      <c r="X50">
        <v>0.99695160000000005</v>
      </c>
      <c r="Y50">
        <v>1.172456E-2</v>
      </c>
      <c r="Z50" s="1">
        <v>-6.9696140000000001E-5</v>
      </c>
      <c r="AA50">
        <v>0.99993129999999997</v>
      </c>
      <c r="AB50">
        <v>6</v>
      </c>
      <c r="AC50">
        <v>15.956999999999899</v>
      </c>
      <c r="AD50">
        <v>-1.1112442376689999</v>
      </c>
      <c r="AE50">
        <v>-0.265600000000006</v>
      </c>
      <c r="AF50">
        <v>0.18720026622951899</v>
      </c>
      <c r="AG50">
        <v>-1.1112442376689999</v>
      </c>
      <c r="AH50">
        <v>15.8811040783555</v>
      </c>
      <c r="AI50">
        <v>94.002341063091905</v>
      </c>
      <c r="AJ50">
        <v>89.324650956723502</v>
      </c>
      <c r="AK50">
        <v>15.9210355958081</v>
      </c>
      <c r="AL50">
        <v>85.533748781676593</v>
      </c>
      <c r="AM50">
        <v>90.278388529291405</v>
      </c>
      <c r="AN50">
        <v>0.99999999271934004</v>
      </c>
    </row>
    <row r="51" spans="1:40" x14ac:dyDescent="0.25">
      <c r="A51" t="str">
        <f>"20190312150946648"</f>
        <v>20190312150946648</v>
      </c>
      <c r="B51" t="str">
        <f>"1552374586641034"</f>
        <v>1552374586641034</v>
      </c>
      <c r="C51" t="s">
        <v>40</v>
      </c>
      <c r="D51">
        <v>4.9702380000000002</v>
      </c>
      <c r="E51">
        <v>0.50578970000000001</v>
      </c>
      <c r="F51" t="s">
        <v>42</v>
      </c>
      <c r="G51">
        <v>-458.56400000000002</v>
      </c>
      <c r="H51" s="1">
        <v>-1.1824769999999999E-6</v>
      </c>
      <c r="I51">
        <v>366.95639999999997</v>
      </c>
      <c r="J51">
        <v>-474.3236</v>
      </c>
      <c r="K51">
        <v>1.111416</v>
      </c>
      <c r="L51">
        <v>367.20299999999997</v>
      </c>
      <c r="M51">
        <v>0.99988370000000004</v>
      </c>
      <c r="N51">
        <v>0</v>
      </c>
      <c r="O51">
        <v>-4.8969540000000002E-3</v>
      </c>
      <c r="P51">
        <v>0.99795149999999999</v>
      </c>
      <c r="Q51">
        <v>6.3977720000000002E-2</v>
      </c>
      <c r="R51" s="1">
        <v>7.566169E-5</v>
      </c>
      <c r="S51">
        <v>3.0199889999999998</v>
      </c>
      <c r="T51">
        <v>-0.21227499999999999</v>
      </c>
      <c r="U51">
        <v>-4.7149660000000003E-2</v>
      </c>
      <c r="V51">
        <v>-4.96219E-3</v>
      </c>
      <c r="W51">
        <v>7.8391920000000004E-2</v>
      </c>
      <c r="X51">
        <v>0.99691030000000003</v>
      </c>
      <c r="Y51">
        <v>1.069926E-2</v>
      </c>
      <c r="Z51" s="1">
        <v>-3.1745790000000003E-5</v>
      </c>
      <c r="AA51">
        <v>0.99994280000000002</v>
      </c>
      <c r="AB51">
        <v>6</v>
      </c>
      <c r="AC51">
        <v>15.759599999999899</v>
      </c>
      <c r="AD51">
        <v>-1.1114171824770001</v>
      </c>
      <c r="AE51">
        <v>-0.246600000000057</v>
      </c>
      <c r="AF51">
        <v>0.16857674110892801</v>
      </c>
      <c r="AG51">
        <v>-1.1114171824770001</v>
      </c>
      <c r="AH51">
        <v>15.6826398916489</v>
      </c>
      <c r="AI51">
        <v>94.053498964244099</v>
      </c>
      <c r="AJ51">
        <v>89.384136607679295</v>
      </c>
      <c r="AK51">
        <v>15.722876970907199</v>
      </c>
      <c r="AL51">
        <v>85.503860918212595</v>
      </c>
      <c r="AM51">
        <v>90.285191351835607</v>
      </c>
      <c r="AN51">
        <v>1.00000003134848</v>
      </c>
    </row>
    <row r="52" spans="1:40" x14ac:dyDescent="0.25">
      <c r="A52" t="str">
        <f>"20190312150946672"</f>
        <v>20190312150946672</v>
      </c>
      <c r="B52" t="str">
        <f>"1552374586660554"</f>
        <v>1552374586660554</v>
      </c>
      <c r="C52" t="s">
        <v>40</v>
      </c>
      <c r="D52">
        <v>4.9650100000000004</v>
      </c>
      <c r="E52">
        <v>0.50547659999999905</v>
      </c>
      <c r="F52" t="s">
        <v>42</v>
      </c>
      <c r="G52">
        <v>-458.40100000000001</v>
      </c>
      <c r="H52" s="1">
        <v>-1.2339580000000001E-6</v>
      </c>
      <c r="I52">
        <v>366.97129999999999</v>
      </c>
      <c r="J52">
        <v>-474.26130000000001</v>
      </c>
      <c r="K52">
        <v>1.11104</v>
      </c>
      <c r="L52">
        <v>367.20260000000002</v>
      </c>
      <c r="M52">
        <v>0.99989209999999995</v>
      </c>
      <c r="N52">
        <v>0</v>
      </c>
      <c r="O52">
        <v>-4.9569339999999996E-3</v>
      </c>
      <c r="P52">
        <v>0.99788600000000005</v>
      </c>
      <c r="Q52">
        <v>6.4989130000000006E-2</v>
      </c>
      <c r="R52">
        <v>1.6338670000000001E-4</v>
      </c>
      <c r="S52">
        <v>3.019714</v>
      </c>
      <c r="T52">
        <v>-0.2107791</v>
      </c>
      <c r="U52">
        <v>-4.3914790000000002E-2</v>
      </c>
      <c r="V52">
        <v>-5.1079690000000004E-3</v>
      </c>
      <c r="W52">
        <v>7.8784110000000004E-2</v>
      </c>
      <c r="X52">
        <v>0.99687859999999995</v>
      </c>
      <c r="Y52">
        <v>9.5728719999999996E-3</v>
      </c>
      <c r="Z52" s="1">
        <v>1.1914669999999999E-5</v>
      </c>
      <c r="AA52">
        <v>0.99995420000000002</v>
      </c>
      <c r="AB52">
        <v>5</v>
      </c>
      <c r="AC52">
        <v>15.860299999999899</v>
      </c>
      <c r="AD52">
        <v>-1.111041233958</v>
      </c>
      <c r="AE52">
        <v>-0.23130000000003201</v>
      </c>
      <c r="AF52">
        <v>0.15192580149381099</v>
      </c>
      <c r="AG52">
        <v>-1.111041233958</v>
      </c>
      <c r="AH52">
        <v>15.7838132204775</v>
      </c>
      <c r="AI52">
        <v>94.026290096663601</v>
      </c>
      <c r="AJ52">
        <v>89.4485211975353</v>
      </c>
      <c r="AK52">
        <v>15.823598005878299</v>
      </c>
      <c r="AL52">
        <v>85.481320164342804</v>
      </c>
      <c r="AM52">
        <v>90.293578881437796</v>
      </c>
      <c r="AN52">
        <v>0.99999998523687805</v>
      </c>
    </row>
    <row r="53" spans="1:40" x14ac:dyDescent="0.25">
      <c r="A53" t="str">
        <f>"20190312150946694"</f>
        <v>20190312150946694</v>
      </c>
      <c r="B53" t="str">
        <f>"1552374586690809"</f>
        <v>1552374586690809</v>
      </c>
      <c r="C53" t="s">
        <v>40</v>
      </c>
      <c r="D53">
        <v>4.9054390000000003</v>
      </c>
      <c r="E53">
        <v>0.50502559999999996</v>
      </c>
      <c r="F53" t="s">
        <v>42</v>
      </c>
      <c r="G53">
        <v>-457.87709999999998</v>
      </c>
      <c r="H53" s="1">
        <v>-1.410357E-6</v>
      </c>
      <c r="I53">
        <v>366.9785</v>
      </c>
      <c r="J53">
        <v>-474.19940000000003</v>
      </c>
      <c r="K53">
        <v>1.1105020000000001</v>
      </c>
      <c r="L53">
        <v>367.2022</v>
      </c>
      <c r="M53">
        <v>0.99991229999999998</v>
      </c>
      <c r="N53">
        <v>0</v>
      </c>
      <c r="O53">
        <v>-5.0301169999999997E-3</v>
      </c>
      <c r="P53">
        <v>0.99777420000000006</v>
      </c>
      <c r="Q53">
        <v>6.6682640000000001E-2</v>
      </c>
      <c r="R53">
        <v>-4.0428239999999998E-4</v>
      </c>
      <c r="S53">
        <v>3.0196839999999998</v>
      </c>
      <c r="T53">
        <v>-0.20476939999999999</v>
      </c>
      <c r="U53">
        <v>-4.1290279999999999E-2</v>
      </c>
      <c r="V53">
        <v>-4.6116610000000004E-3</v>
      </c>
      <c r="W53">
        <v>7.8902470000000002E-2</v>
      </c>
      <c r="X53">
        <v>0.99687170000000003</v>
      </c>
      <c r="Y53">
        <v>8.6339620000000002E-3</v>
      </c>
      <c r="Z53" s="1">
        <v>4.8322750000000001E-5</v>
      </c>
      <c r="AA53">
        <v>0.99996269999999998</v>
      </c>
      <c r="AB53">
        <v>5</v>
      </c>
      <c r="AC53">
        <v>16.322299999999998</v>
      </c>
      <c r="AD53">
        <v>-1.110503410357</v>
      </c>
      <c r="AE53">
        <v>-0.223700000000008</v>
      </c>
      <c r="AF53">
        <v>0.14093567512670899</v>
      </c>
      <c r="AG53">
        <v>-1.110503410357</v>
      </c>
      <c r="AH53">
        <v>16.248022572021402</v>
      </c>
      <c r="AI53">
        <v>93.909766779450294</v>
      </c>
      <c r="AJ53">
        <v>89.503027717794495</v>
      </c>
      <c r="AK53">
        <v>16.286537943647101</v>
      </c>
      <c r="AL53">
        <v>85.474517647252</v>
      </c>
      <c r="AM53">
        <v>90.265056001630299</v>
      </c>
      <c r="AN53">
        <v>1.0000000267250799</v>
      </c>
    </row>
    <row r="54" spans="1:40" x14ac:dyDescent="0.25">
      <c r="A54" t="str">
        <f>"20190312150946716"</f>
        <v>20190312150946716</v>
      </c>
      <c r="B54" t="str">
        <f>"1552374586710330"</f>
        <v>1552374586710330</v>
      </c>
      <c r="C54" t="s">
        <v>40</v>
      </c>
      <c r="D54">
        <v>4.8973979999999999</v>
      </c>
      <c r="E54">
        <v>0.50471379999999999</v>
      </c>
      <c r="F54" t="s">
        <v>42</v>
      </c>
      <c r="G54">
        <v>-457.03870000000001</v>
      </c>
      <c r="H54" s="1">
        <v>-1.720437E-6</v>
      </c>
      <c r="I54">
        <v>366.97949999999997</v>
      </c>
      <c r="J54">
        <v>-474.13799999999998</v>
      </c>
      <c r="K54">
        <v>1.1101399999999999</v>
      </c>
      <c r="L54">
        <v>367.20179999999999</v>
      </c>
      <c r="M54">
        <v>0.99992769999999997</v>
      </c>
      <c r="N54">
        <v>0</v>
      </c>
      <c r="O54">
        <v>-5.1087850000000002E-3</v>
      </c>
      <c r="P54">
        <v>0.99771980000000005</v>
      </c>
      <c r="Q54">
        <v>6.7485809999999993E-2</v>
      </c>
      <c r="R54">
        <v>-1.0718139999999999E-3</v>
      </c>
      <c r="S54">
        <v>3.019714</v>
      </c>
      <c r="T54">
        <v>-0.1954111</v>
      </c>
      <c r="U54">
        <v>-3.9184570000000002E-2</v>
      </c>
      <c r="V54">
        <v>-4.0205049999999997E-3</v>
      </c>
      <c r="W54">
        <v>7.8351519999999994E-2</v>
      </c>
      <c r="X54">
        <v>0.99691770000000002</v>
      </c>
      <c r="Y54">
        <v>7.8605769999999901E-3</v>
      </c>
      <c r="Z54" s="1">
        <v>7.6195490000000005E-5</v>
      </c>
      <c r="AA54">
        <v>0.99996910000000006</v>
      </c>
      <c r="AB54">
        <v>6</v>
      </c>
      <c r="AC54">
        <v>17.099299999999999</v>
      </c>
      <c r="AD54">
        <v>-1.1101417204370001</v>
      </c>
      <c r="AE54">
        <v>-0.22230000000001801</v>
      </c>
      <c r="AF54">
        <v>0.13436900214577199</v>
      </c>
      <c r="AG54">
        <v>-1.1101417204370001</v>
      </c>
      <c r="AH54">
        <v>17.0284493633898</v>
      </c>
      <c r="AI54">
        <v>93.729909777673399</v>
      </c>
      <c r="AJ54">
        <v>89.547896771312594</v>
      </c>
      <c r="AK54">
        <v>17.065126937404301</v>
      </c>
      <c r="AL54">
        <v>85.506182726034993</v>
      </c>
      <c r="AM54">
        <v>90.231068942935096</v>
      </c>
      <c r="AN54">
        <v>1.0000000128600199</v>
      </c>
    </row>
    <row r="55" spans="1:40" x14ac:dyDescent="0.25">
      <c r="A55" t="str">
        <f>"20190312150946737"</f>
        <v>20190312150946737</v>
      </c>
      <c r="B55" t="str">
        <f>"1552374586730826"</f>
        <v>1552374586730826</v>
      </c>
      <c r="C55" t="s">
        <v>40</v>
      </c>
      <c r="D55">
        <v>4.8588519999999997</v>
      </c>
      <c r="E55">
        <v>0.50440499999999999</v>
      </c>
      <c r="F55" t="s">
        <v>42</v>
      </c>
      <c r="G55">
        <v>-456.6225</v>
      </c>
      <c r="H55" s="1">
        <v>-1.8988820000000001E-6</v>
      </c>
      <c r="I55">
        <v>366.98</v>
      </c>
      <c r="J55">
        <v>-474.07979999999998</v>
      </c>
      <c r="K55">
        <v>1.110355</v>
      </c>
      <c r="L55">
        <v>367.20150000000001</v>
      </c>
      <c r="M55">
        <v>0.99992139999999996</v>
      </c>
      <c r="N55">
        <v>0</v>
      </c>
      <c r="O55">
        <v>-5.1757249999999999E-3</v>
      </c>
      <c r="P55">
        <v>0.99778730000000004</v>
      </c>
      <c r="Q55">
        <v>6.6468780000000005E-2</v>
      </c>
      <c r="R55">
        <v>-1.655669E-3</v>
      </c>
      <c r="S55">
        <v>3.0197750000000001</v>
      </c>
      <c r="T55">
        <v>-0.19139429999999999</v>
      </c>
      <c r="U55">
        <v>-3.823853E-2</v>
      </c>
      <c r="V55">
        <v>-3.5043909999999999E-3</v>
      </c>
      <c r="W55">
        <v>7.7857599999999999E-2</v>
      </c>
      <c r="X55">
        <v>0.99695829999999996</v>
      </c>
      <c r="Y55">
        <v>7.4812489999999997E-3</v>
      </c>
      <c r="Z55" s="1">
        <v>9.0879959999999994E-5</v>
      </c>
      <c r="AA55">
        <v>0.99997199999999997</v>
      </c>
      <c r="AB55">
        <v>6</v>
      </c>
      <c r="AC55">
        <v>17.457299999999901</v>
      </c>
      <c r="AD55">
        <v>-1.1103568988820001</v>
      </c>
      <c r="AE55">
        <v>-0.22149999999999101</v>
      </c>
      <c r="AF55">
        <v>0.13060866594738599</v>
      </c>
      <c r="AG55">
        <v>-1.1103568988820001</v>
      </c>
      <c r="AH55">
        <v>17.3878814782902</v>
      </c>
      <c r="AI55">
        <v>93.653735026166004</v>
      </c>
      <c r="AJ55">
        <v>89.569632183274805</v>
      </c>
      <c r="AK55">
        <v>17.423787572441899</v>
      </c>
      <c r="AL55">
        <v>85.534568777486797</v>
      </c>
      <c r="AM55">
        <v>90.201398581172995</v>
      </c>
      <c r="AN55">
        <v>0.99999996928646495</v>
      </c>
    </row>
    <row r="56" spans="1:40" x14ac:dyDescent="0.25">
      <c r="A56" t="str">
        <f>"20190312150946761"</f>
        <v>20190312150946761</v>
      </c>
      <c r="B56" t="str">
        <f>"1552374586750349"</f>
        <v>1552374586750349</v>
      </c>
      <c r="C56" t="s">
        <v>40</v>
      </c>
      <c r="D56">
        <v>4.91228</v>
      </c>
      <c r="E56">
        <v>0.50411430000000002</v>
      </c>
      <c r="F56" t="s">
        <v>42</v>
      </c>
      <c r="G56">
        <v>-456.69990000000001</v>
      </c>
      <c r="H56" s="1">
        <v>-1.8651599999999999E-6</v>
      </c>
      <c r="I56">
        <v>366.98309999999998</v>
      </c>
      <c r="J56">
        <v>-474.02330000000001</v>
      </c>
      <c r="K56">
        <v>1.110868</v>
      </c>
      <c r="L56">
        <v>367.2011</v>
      </c>
      <c r="M56">
        <v>0.99989989999999995</v>
      </c>
      <c r="N56">
        <v>0</v>
      </c>
      <c r="O56">
        <v>-5.2321370000000004E-3</v>
      </c>
      <c r="P56">
        <v>0.99790860000000003</v>
      </c>
      <c r="Q56">
        <v>6.4622780000000005E-2</v>
      </c>
      <c r="R56">
        <v>-1.616225E-3</v>
      </c>
      <c r="S56">
        <v>3.0194399999999999</v>
      </c>
      <c r="T56">
        <v>-0.19290299999999999</v>
      </c>
      <c r="U56">
        <v>-3.7933349999999998E-2</v>
      </c>
      <c r="V56">
        <v>-3.6013999999999998E-3</v>
      </c>
      <c r="W56">
        <v>7.7750150000000004E-2</v>
      </c>
      <c r="X56">
        <v>0.99696640000000003</v>
      </c>
      <c r="Y56">
        <v>7.3254369999999997E-3</v>
      </c>
      <c r="Z56">
        <v>1.001845E-4</v>
      </c>
      <c r="AA56">
        <v>0.99997320000000001</v>
      </c>
      <c r="AB56">
        <v>7</v>
      </c>
      <c r="AC56">
        <v>17.3233999999999</v>
      </c>
      <c r="AD56">
        <v>-1.11086986516</v>
      </c>
      <c r="AE56">
        <v>-0.21800000000001701</v>
      </c>
      <c r="AF56">
        <v>0.126829332571467</v>
      </c>
      <c r="AG56">
        <v>-1.11086986516</v>
      </c>
      <c r="AH56">
        <v>17.2533677873454</v>
      </c>
      <c r="AI56">
        <v>93.683843627924801</v>
      </c>
      <c r="AJ56">
        <v>89.578826888945699</v>
      </c>
      <c r="AK56">
        <v>17.289558049364</v>
      </c>
      <c r="AL56">
        <v>85.540744196258501</v>
      </c>
      <c r="AM56">
        <v>90.206971993042202</v>
      </c>
      <c r="AN56">
        <v>1.0000000293179701</v>
      </c>
    </row>
    <row r="57" spans="1:40" x14ac:dyDescent="0.25">
      <c r="A57" t="str">
        <f>"20190312150946773"</f>
        <v>20190312150946773</v>
      </c>
      <c r="B57" t="str">
        <f>"1552374586770842"</f>
        <v>1552374586770842</v>
      </c>
      <c r="C57" t="s">
        <v>40</v>
      </c>
      <c r="D57">
        <v>5.2048690000000004</v>
      </c>
      <c r="E57">
        <v>0.50383690000000003</v>
      </c>
      <c r="F57" t="s">
        <v>42</v>
      </c>
      <c r="G57">
        <v>-457.01589999999999</v>
      </c>
      <c r="H57" s="1">
        <v>-1.7267009999999999E-6</v>
      </c>
      <c r="I57">
        <v>366.99919999999997</v>
      </c>
      <c r="J57">
        <v>-473.99180000000001</v>
      </c>
      <c r="K57">
        <v>1.111162</v>
      </c>
      <c r="L57">
        <v>367.20089999999999</v>
      </c>
      <c r="M57">
        <v>0.99988390000000005</v>
      </c>
      <c r="N57">
        <v>0</v>
      </c>
      <c r="O57">
        <v>-5.260079E-3</v>
      </c>
      <c r="P57">
        <v>0.998</v>
      </c>
      <c r="Q57">
        <v>6.3195609999999999E-2</v>
      </c>
      <c r="R57">
        <v>-1.6096909999999999E-3</v>
      </c>
      <c r="S57">
        <v>3.0189819999999998</v>
      </c>
      <c r="T57">
        <v>-0.19719030000000001</v>
      </c>
      <c r="U57">
        <v>-3.5827640000000001E-2</v>
      </c>
      <c r="V57">
        <v>-3.6371350000000001E-3</v>
      </c>
      <c r="W57">
        <v>7.7467300000000003E-2</v>
      </c>
      <c r="X57">
        <v>0.99698819999999999</v>
      </c>
      <c r="Y57">
        <v>6.60335E-3</v>
      </c>
      <c r="Z57">
        <v>1.2780730000000001E-4</v>
      </c>
      <c r="AA57">
        <v>0.99997820000000004</v>
      </c>
      <c r="AB57">
        <v>5</v>
      </c>
      <c r="AC57">
        <v>16.975899999999999</v>
      </c>
      <c r="AD57">
        <v>-1.1111637267009999</v>
      </c>
      <c r="AE57">
        <v>-0.20170000000001601</v>
      </c>
      <c r="AF57">
        <v>0.11191408381842199</v>
      </c>
      <c r="AG57">
        <v>-1.1111637267009999</v>
      </c>
      <c r="AH57">
        <v>16.9043114785478</v>
      </c>
      <c r="AI57">
        <v>93.760706009450502</v>
      </c>
      <c r="AJ57">
        <v>89.620681919017898</v>
      </c>
      <c r="AK57">
        <v>16.941161593983299</v>
      </c>
      <c r="AL57">
        <v>85.556998941675502</v>
      </c>
      <c r="AM57">
        <v>90.209021090261899</v>
      </c>
      <c r="AN57">
        <v>0.99999994112976698</v>
      </c>
    </row>
    <row r="58" spans="1:40" x14ac:dyDescent="0.25">
      <c r="A58" t="str">
        <f>"20190312150946793"</f>
        <v>20190312150946793</v>
      </c>
      <c r="B58" t="str">
        <f>"1552374586790362"</f>
        <v>1552374586790362</v>
      </c>
      <c r="C58" t="s">
        <v>40</v>
      </c>
      <c r="D58">
        <v>4.8606410000000002</v>
      </c>
      <c r="E58">
        <v>0.50356089999999998</v>
      </c>
      <c r="F58" t="s">
        <v>42</v>
      </c>
      <c r="G58">
        <v>-457.23289999999997</v>
      </c>
      <c r="H58" s="1">
        <v>-1.6308089999999999E-6</v>
      </c>
      <c r="I58">
        <v>367.01499999999999</v>
      </c>
      <c r="J58">
        <v>-473.94990000000001</v>
      </c>
      <c r="K58">
        <v>1.1115219999999999</v>
      </c>
      <c r="L58">
        <v>367.20060000000001</v>
      </c>
      <c r="M58">
        <v>0.99985939999999995</v>
      </c>
      <c r="N58">
        <v>0</v>
      </c>
      <c r="O58">
        <v>-5.2923800000000002E-3</v>
      </c>
      <c r="P58">
        <v>0.99814700000000001</v>
      </c>
      <c r="Q58">
        <v>6.0821180000000002E-2</v>
      </c>
      <c r="R58">
        <v>-1.9004009999999999E-3</v>
      </c>
      <c r="S58">
        <v>3.0186160000000002</v>
      </c>
      <c r="T58">
        <v>-0.20014209999999999</v>
      </c>
      <c r="U58">
        <v>-3.3477779999999999E-2</v>
      </c>
      <c r="V58">
        <v>-3.3801439999999999E-3</v>
      </c>
      <c r="W58">
        <v>7.6701409999999998E-2</v>
      </c>
      <c r="X58">
        <v>0.99704839999999995</v>
      </c>
      <c r="Y58">
        <v>5.7957779999999997E-3</v>
      </c>
      <c r="Z58">
        <v>1.5862269999999999E-4</v>
      </c>
      <c r="AA58">
        <v>0.99998319999999996</v>
      </c>
      <c r="AB58">
        <v>5</v>
      </c>
      <c r="AC58">
        <v>16.716999999999999</v>
      </c>
      <c r="AD58">
        <v>-1.111523630809</v>
      </c>
      <c r="AE58">
        <v>-0.185600000000022</v>
      </c>
      <c r="AF58">
        <v>9.6686085416263196E-2</v>
      </c>
      <c r="AG58">
        <v>-1.111523630809</v>
      </c>
      <c r="AH58">
        <v>16.644173358353498</v>
      </c>
      <c r="AI58">
        <v>93.820563497805395</v>
      </c>
      <c r="AJ58">
        <v>89.667172276904793</v>
      </c>
      <c r="AK58">
        <v>16.6815269014525</v>
      </c>
      <c r="AL58">
        <v>85.601012523611402</v>
      </c>
      <c r="AM58">
        <v>90.194240563850002</v>
      </c>
      <c r="AN58">
        <v>1.0000000218059999</v>
      </c>
    </row>
    <row r="59" spans="1:40" x14ac:dyDescent="0.25">
      <c r="A59" t="str">
        <f>"20190312150946814"</f>
        <v>20190312150946814</v>
      </c>
      <c r="B59" t="str">
        <f>"1552374586810858"</f>
        <v>1552374586810858</v>
      </c>
      <c r="C59" t="s">
        <v>40</v>
      </c>
      <c r="D59">
        <v>4.8283889999999996</v>
      </c>
      <c r="E59">
        <v>0.50329740000000001</v>
      </c>
      <c r="F59" t="s">
        <v>42</v>
      </c>
      <c r="G59">
        <v>-457.67290000000003</v>
      </c>
      <c r="H59" s="1">
        <v>-1.4669709999999999E-6</v>
      </c>
      <c r="I59">
        <v>367.02690000000001</v>
      </c>
      <c r="J59">
        <v>-473.9033</v>
      </c>
      <c r="K59">
        <v>1.1118250000000001</v>
      </c>
      <c r="L59">
        <v>367.20030000000003</v>
      </c>
      <c r="M59">
        <v>0.99983100000000003</v>
      </c>
      <c r="N59">
        <v>0</v>
      </c>
      <c r="O59">
        <v>-5.3191810000000001E-3</v>
      </c>
      <c r="P59">
        <v>0.99829820000000002</v>
      </c>
      <c r="Q59">
        <v>5.8297399999999999E-2</v>
      </c>
      <c r="R59">
        <v>-1.568154E-3</v>
      </c>
      <c r="S59">
        <v>3.018097</v>
      </c>
      <c r="T59">
        <v>-0.20609839999999999</v>
      </c>
      <c r="U59">
        <v>-3.2196040000000002E-2</v>
      </c>
      <c r="V59">
        <v>-3.7417119999999999E-3</v>
      </c>
      <c r="W59">
        <v>7.5859850000000006E-2</v>
      </c>
      <c r="X59">
        <v>0.99711139999999998</v>
      </c>
      <c r="Y59">
        <v>5.3471419999999896E-3</v>
      </c>
      <c r="Z59">
        <v>1.804993E-4</v>
      </c>
      <c r="AA59">
        <v>0.99998569999999998</v>
      </c>
      <c r="AB59">
        <v>5</v>
      </c>
      <c r="AC59">
        <v>16.2303999999999</v>
      </c>
      <c r="AD59">
        <v>-1.1118264669710001</v>
      </c>
      <c r="AE59">
        <v>-0.17340000000001499</v>
      </c>
      <c r="AF59">
        <v>8.6645193399843307E-2</v>
      </c>
      <c r="AG59">
        <v>-1.1118264669710001</v>
      </c>
      <c r="AH59">
        <v>16.155290786686901</v>
      </c>
      <c r="AI59">
        <v>93.936899966932202</v>
      </c>
      <c r="AJ59">
        <v>89.692710186188293</v>
      </c>
      <c r="AK59">
        <v>16.193736007623698</v>
      </c>
      <c r="AL59">
        <v>85.649370861364105</v>
      </c>
      <c r="AM59">
        <v>90.2150043610648</v>
      </c>
      <c r="AN59">
        <v>0.99999993063033399</v>
      </c>
    </row>
    <row r="60" spans="1:40" x14ac:dyDescent="0.25">
      <c r="A60" t="str">
        <f>"20190312150946838"</f>
        <v>20190312150946838</v>
      </c>
      <c r="B60" t="str">
        <f>"1552374586830688"</f>
        <v>1552374586830688</v>
      </c>
      <c r="C60" t="s">
        <v>40</v>
      </c>
      <c r="D60">
        <v>5.1593210000000003</v>
      </c>
      <c r="E60">
        <v>0.50304729999999998</v>
      </c>
      <c r="F60" t="s">
        <v>42</v>
      </c>
      <c r="G60">
        <v>-458.27280000000002</v>
      </c>
      <c r="H60" s="1">
        <v>-1.256879E-6</v>
      </c>
      <c r="I60">
        <v>367.04919999999998</v>
      </c>
      <c r="J60">
        <v>-473.8544</v>
      </c>
      <c r="K60">
        <v>1.1116469999999901</v>
      </c>
      <c r="L60">
        <v>367.2</v>
      </c>
      <c r="M60">
        <v>0.99982969999999904</v>
      </c>
      <c r="N60">
        <v>0</v>
      </c>
      <c r="O60">
        <v>-5.3368340000000004E-3</v>
      </c>
      <c r="P60">
        <v>0.99835280000000004</v>
      </c>
      <c r="Q60">
        <v>5.7345880000000002E-2</v>
      </c>
      <c r="R60">
        <v>-1.7207730000000001E-3</v>
      </c>
      <c r="S60">
        <v>3.017639</v>
      </c>
      <c r="T60">
        <v>-0.21465029999999999</v>
      </c>
      <c r="U60">
        <v>-2.9174800000000001E-2</v>
      </c>
      <c r="V60">
        <v>-3.6073989999999998E-3</v>
      </c>
      <c r="W60">
        <v>7.4975470000000002E-2</v>
      </c>
      <c r="X60">
        <v>0.99717889999999998</v>
      </c>
      <c r="Y60">
        <v>4.332621E-3</v>
      </c>
      <c r="Z60">
        <v>2.2529080000000001E-4</v>
      </c>
      <c r="AA60">
        <v>0.99999059999999995</v>
      </c>
      <c r="AB60">
        <v>5</v>
      </c>
      <c r="AC60">
        <v>15.5815999999999</v>
      </c>
      <c r="AD60">
        <v>-1.11164825687899</v>
      </c>
      <c r="AE60">
        <v>-0.15080000000000299</v>
      </c>
      <c r="AF60">
        <v>6.7286011860996503E-2</v>
      </c>
      <c r="AG60">
        <v>-1.11164825687899</v>
      </c>
      <c r="AH60">
        <v>15.5032799393841</v>
      </c>
      <c r="AI60">
        <v>94.101282707729595</v>
      </c>
      <c r="AJ60">
        <v>89.751331311248904</v>
      </c>
      <c r="AK60">
        <v>15.543229334128799</v>
      </c>
      <c r="AL60">
        <v>85.700187329515501</v>
      </c>
      <c r="AM60">
        <v>90.207272572732194</v>
      </c>
      <c r="AN60">
        <v>1.0000000465172301</v>
      </c>
    </row>
    <row r="61" spans="1:40" x14ac:dyDescent="0.25">
      <c r="A61" t="str">
        <f>"20190312150946861"</f>
        <v>20190312150946861</v>
      </c>
      <c r="B61" t="str">
        <f>"1552374586850207"</f>
        <v>1552374586850207</v>
      </c>
      <c r="C61" t="s">
        <v>40</v>
      </c>
      <c r="D61">
        <v>4.9312269999999998</v>
      </c>
      <c r="E61">
        <v>0.50317400000000001</v>
      </c>
      <c r="F61" t="s">
        <v>42</v>
      </c>
      <c r="G61">
        <v>-458.40480000000002</v>
      </c>
      <c r="H61" s="1">
        <v>-1.209025E-6</v>
      </c>
      <c r="I61">
        <v>367.06029999999998</v>
      </c>
      <c r="J61">
        <v>-473.79739999999998</v>
      </c>
      <c r="K61">
        <v>1.1109990000000001</v>
      </c>
      <c r="L61">
        <v>367.19970000000001</v>
      </c>
      <c r="M61">
        <v>0.999861</v>
      </c>
      <c r="N61">
        <v>0</v>
      </c>
      <c r="O61">
        <v>-5.3624959999999996E-3</v>
      </c>
      <c r="P61">
        <v>0.99826680000000001</v>
      </c>
      <c r="Q61">
        <v>5.881612E-2</v>
      </c>
      <c r="R61">
        <v>-2.0979369999999998E-3</v>
      </c>
      <c r="S61">
        <v>3.0173649999999999</v>
      </c>
      <c r="T61">
        <v>-0.21710779999999999</v>
      </c>
      <c r="U61">
        <v>-2.7282710000000002E-2</v>
      </c>
      <c r="V61">
        <v>-3.2561069999999998E-3</v>
      </c>
      <c r="W61">
        <v>7.4576530000000002E-2</v>
      </c>
      <c r="X61">
        <v>0.99721000000000004</v>
      </c>
      <c r="Y61">
        <v>3.6828020000000002E-3</v>
      </c>
      <c r="Z61">
        <v>2.5306470000000002E-4</v>
      </c>
      <c r="AA61">
        <v>0.99999320000000003</v>
      </c>
      <c r="AB61">
        <v>5</v>
      </c>
      <c r="AC61">
        <v>15.3925999999999</v>
      </c>
      <c r="AD61">
        <v>-1.111000209025</v>
      </c>
      <c r="AE61">
        <v>-0.13940000000002301</v>
      </c>
      <c r="AF61">
        <v>5.6550370876371797E-2</v>
      </c>
      <c r="AG61">
        <v>-1.111000209025</v>
      </c>
      <c r="AH61">
        <v>15.313356343936601</v>
      </c>
      <c r="AI61">
        <v>94.149570748880393</v>
      </c>
      <c r="AJ61">
        <v>89.788414585301993</v>
      </c>
      <c r="AK61">
        <v>15.3537097121602</v>
      </c>
      <c r="AL61">
        <v>85.723108977054096</v>
      </c>
      <c r="AM61">
        <v>90.187082485866597</v>
      </c>
      <c r="AN61">
        <v>1.00000002257981</v>
      </c>
    </row>
    <row r="62" spans="1:40" x14ac:dyDescent="0.25">
      <c r="A62" t="str">
        <f>"20190312150946884"</f>
        <v>20190312150946884</v>
      </c>
      <c r="B62" t="str">
        <f>"1552374586880464"</f>
        <v>1552374586880464</v>
      </c>
      <c r="C62" t="s">
        <v>40</v>
      </c>
      <c r="D62">
        <v>4.8954149999999998</v>
      </c>
      <c r="E62">
        <v>0.53507559999999998</v>
      </c>
      <c r="F62" t="s">
        <v>42</v>
      </c>
      <c r="G62">
        <v>-458.04259999999999</v>
      </c>
      <c r="H62" s="1">
        <v>-1.336054E-6</v>
      </c>
      <c r="I62">
        <v>367.04610000000002</v>
      </c>
      <c r="J62">
        <v>-473.74160000000001</v>
      </c>
      <c r="K62">
        <v>1.110487</v>
      </c>
      <c r="L62">
        <v>367.19940000000003</v>
      </c>
      <c r="M62">
        <v>0.9998882</v>
      </c>
      <c r="N62">
        <v>0</v>
      </c>
      <c r="O62">
        <v>-5.3909559999999997E-3</v>
      </c>
      <c r="P62">
        <v>0.99817069999999997</v>
      </c>
      <c r="Q62">
        <v>6.0400460000000003E-2</v>
      </c>
      <c r="R62">
        <v>-2.6934400000000001E-3</v>
      </c>
      <c r="S62">
        <v>3.0177</v>
      </c>
      <c r="T62">
        <v>-0.2128013</v>
      </c>
      <c r="U62">
        <v>-2.9418949999999999E-2</v>
      </c>
      <c r="V62">
        <v>-2.686978E-3</v>
      </c>
      <c r="W62">
        <v>7.4316889999999997E-2</v>
      </c>
      <c r="X62">
        <v>0.99723110000000004</v>
      </c>
      <c r="Y62">
        <v>4.3595309999999998E-3</v>
      </c>
      <c r="Z62">
        <v>2.261927E-4</v>
      </c>
      <c r="AA62">
        <v>0.9999905</v>
      </c>
      <c r="AB62">
        <v>5</v>
      </c>
      <c r="AC62">
        <v>15.699</v>
      </c>
      <c r="AD62">
        <v>-1.1104883360539901</v>
      </c>
      <c r="AE62">
        <v>-0.15330000000000099</v>
      </c>
      <c r="AF62">
        <v>6.8315130757392706E-2</v>
      </c>
      <c r="AG62">
        <v>-1.1104883360539901</v>
      </c>
      <c r="AH62">
        <v>15.6214420882998</v>
      </c>
      <c r="AI62">
        <v>94.066131414890094</v>
      </c>
      <c r="AJ62">
        <v>89.749437747476307</v>
      </c>
      <c r="AK62">
        <v>15.661012234836701</v>
      </c>
      <c r="AL62">
        <v>85.738026738485502</v>
      </c>
      <c r="AM62">
        <v>90.154379588122595</v>
      </c>
      <c r="AN62">
        <v>1.00000004339862</v>
      </c>
    </row>
    <row r="63" spans="1:40" x14ac:dyDescent="0.25">
      <c r="A63" t="str">
        <f>"20190312150946906"</f>
        <v>20190312150946906</v>
      </c>
      <c r="B63" t="str">
        <f>"1552374586900961"</f>
        <v>1552374586900961</v>
      </c>
      <c r="C63" t="s">
        <v>40</v>
      </c>
      <c r="D63">
        <v>4.8785069999999999</v>
      </c>
      <c r="E63">
        <v>0.55570269999999899</v>
      </c>
      <c r="F63" t="s">
        <v>42</v>
      </c>
      <c r="G63">
        <v>-448.44639999999998</v>
      </c>
      <c r="H63" s="1">
        <v>-1.8633320000000001E-6</v>
      </c>
      <c r="I63">
        <v>364.7962</v>
      </c>
      <c r="J63">
        <v>-473.68529999999998</v>
      </c>
      <c r="K63">
        <v>1.1103449999999999</v>
      </c>
      <c r="L63">
        <v>367.19909999999999</v>
      </c>
      <c r="M63">
        <v>0.99990000000000001</v>
      </c>
      <c r="N63">
        <v>0</v>
      </c>
      <c r="O63">
        <v>-5.4182369999999898E-3</v>
      </c>
      <c r="P63">
        <v>0.99811890000000003</v>
      </c>
      <c r="Q63">
        <v>6.1245220000000003E-2</v>
      </c>
      <c r="R63">
        <v>-2.8335859999999999E-3</v>
      </c>
      <c r="S63">
        <v>3.0127259999999998</v>
      </c>
      <c r="T63">
        <v>-0.13226199999999999</v>
      </c>
      <c r="U63">
        <v>-0.28622439999999999</v>
      </c>
      <c r="V63">
        <v>-2.5733359999999999E-3</v>
      </c>
      <c r="W63">
        <v>7.4284550000000005E-2</v>
      </c>
      <c r="X63">
        <v>0.9972337</v>
      </c>
      <c r="Y63">
        <v>8.9103570000000007E-2</v>
      </c>
      <c r="Z63">
        <v>-1.7133230000000001E-3</v>
      </c>
      <c r="AA63">
        <v>0.99602089999999999</v>
      </c>
      <c r="AB63">
        <v>6</v>
      </c>
      <c r="AC63">
        <v>25.238900000000001</v>
      </c>
      <c r="AD63">
        <v>-1.1103468633319999</v>
      </c>
      <c r="AE63">
        <v>-2.4028999999999798</v>
      </c>
      <c r="AF63">
        <v>2.2617645568959199</v>
      </c>
      <c r="AG63">
        <v>-1.1103468633319999</v>
      </c>
      <c r="AH63">
        <v>25.203209287304801</v>
      </c>
      <c r="AI63">
        <v>92.512494810111406</v>
      </c>
      <c r="AJ63">
        <v>84.871948594107806</v>
      </c>
      <c r="AK63">
        <v>25.328841415418601</v>
      </c>
      <c r="AL63">
        <v>85.739884354758104</v>
      </c>
      <c r="AM63">
        <v>90.147849962157593</v>
      </c>
      <c r="AN63">
        <v>0.99999993442127799</v>
      </c>
    </row>
    <row r="64" spans="1:40" x14ac:dyDescent="0.25">
      <c r="A64" t="str">
        <f>"20190312150946928"</f>
        <v>20190312150946928</v>
      </c>
      <c r="B64" t="str">
        <f>"1552374586920480"</f>
        <v>1552374586920480</v>
      </c>
      <c r="C64" t="s">
        <v>40</v>
      </c>
      <c r="D64">
        <v>4.8715339999999996</v>
      </c>
      <c r="E64">
        <v>0.55533440000000001</v>
      </c>
      <c r="F64" t="s">
        <v>41</v>
      </c>
      <c r="G64">
        <v>-472.93400000000003</v>
      </c>
      <c r="H64">
        <v>1.029004</v>
      </c>
      <c r="I64">
        <v>367.08659999999998</v>
      </c>
      <c r="J64">
        <v>-473.63589999999999</v>
      </c>
      <c r="K64">
        <v>1.110697</v>
      </c>
      <c r="L64">
        <v>367.19880000000001</v>
      </c>
      <c r="M64">
        <v>0.99988790000000005</v>
      </c>
      <c r="N64">
        <v>0</v>
      </c>
      <c r="O64">
        <v>-5.4377449999999999E-3</v>
      </c>
      <c r="P64">
        <v>0.99814170000000002</v>
      </c>
      <c r="Q64">
        <v>6.0858059999999999E-2</v>
      </c>
      <c r="R64">
        <v>-3.1217599999999999E-3</v>
      </c>
      <c r="S64">
        <v>3.0244749999999998</v>
      </c>
      <c r="T64">
        <v>-0.32783010000000001</v>
      </c>
      <c r="U64">
        <v>-0.45013429999999999</v>
      </c>
      <c r="V64">
        <v>-2.3045840000000001E-3</v>
      </c>
      <c r="W64">
        <v>7.4772439999999996E-2</v>
      </c>
      <c r="X64">
        <v>0.99719800000000003</v>
      </c>
      <c r="Y64">
        <v>0.14105090000000001</v>
      </c>
      <c r="Z64">
        <v>-6.9962189999999997E-3</v>
      </c>
      <c r="AA64">
        <v>0.98997760000000001</v>
      </c>
      <c r="AB64">
        <v>6</v>
      </c>
      <c r="AC64">
        <v>0.701899999999966</v>
      </c>
      <c r="AD64">
        <v>-8.1693000000000002E-2</v>
      </c>
      <c r="AE64">
        <v>-0.112200000000029</v>
      </c>
      <c r="AF64">
        <v>0.106968300123449</v>
      </c>
      <c r="AG64">
        <v>-8.1693000000000002E-2</v>
      </c>
      <c r="AH64">
        <v>0.69334162844500202</v>
      </c>
      <c r="AI64">
        <v>96.6420267469599</v>
      </c>
      <c r="AJ64">
        <v>81.229592534215797</v>
      </c>
      <c r="AK64">
        <v>0.70628505379561002</v>
      </c>
      <c r="AL64">
        <v>85.711852808320202</v>
      </c>
      <c r="AM64">
        <v>90.132413724911004</v>
      </c>
      <c r="AN64">
        <v>1.00000004004748</v>
      </c>
    </row>
    <row r="65" spans="1:40" x14ac:dyDescent="0.25">
      <c r="A65" t="str">
        <f>"20190312150946961"</f>
        <v>20190312150946961</v>
      </c>
      <c r="B65" t="str">
        <f>"1552374586950735"</f>
        <v>1552374586950735</v>
      </c>
      <c r="C65" t="s">
        <v>40</v>
      </c>
      <c r="D65">
        <v>4.894393</v>
      </c>
      <c r="E65">
        <v>0.5550834</v>
      </c>
      <c r="F65" t="s">
        <v>41</v>
      </c>
      <c r="G65">
        <v>-472.8861</v>
      </c>
      <c r="H65">
        <v>1.0379</v>
      </c>
      <c r="I65">
        <v>367.0874</v>
      </c>
      <c r="J65">
        <v>-473.56779999999998</v>
      </c>
      <c r="K65">
        <v>1.11138</v>
      </c>
      <c r="L65">
        <v>367.19839999999999</v>
      </c>
      <c r="M65">
        <v>0.99985279999999999</v>
      </c>
      <c r="N65">
        <v>0</v>
      </c>
      <c r="O65">
        <v>-5.4576059999999899E-3</v>
      </c>
      <c r="P65">
        <v>0.99823729999999999</v>
      </c>
      <c r="Q65">
        <v>5.9244390000000001E-2</v>
      </c>
      <c r="R65">
        <v>-3.5515799999999999E-3</v>
      </c>
      <c r="S65">
        <v>3.0220639999999999</v>
      </c>
      <c r="T65">
        <v>-0.29353259999999998</v>
      </c>
      <c r="U65">
        <v>-0.4483337</v>
      </c>
      <c r="V65">
        <v>-1.8955510000000001E-3</v>
      </c>
      <c r="W65">
        <v>7.5476619999999994E-2</v>
      </c>
      <c r="X65">
        <v>0.99714579999999997</v>
      </c>
      <c r="Y65">
        <v>0.14072319999999999</v>
      </c>
      <c r="Z65">
        <v>-6.2553089999999997E-3</v>
      </c>
      <c r="AA65">
        <v>0.99002920000000005</v>
      </c>
      <c r="AB65">
        <v>5</v>
      </c>
      <c r="AC65">
        <v>0.68169999999997799</v>
      </c>
      <c r="AD65">
        <v>-7.3479999999999907E-2</v>
      </c>
      <c r="AE65">
        <v>-0.11099999999999</v>
      </c>
      <c r="AF65">
        <v>0.10607677864637501</v>
      </c>
      <c r="AG65">
        <v>-7.3479999999999907E-2</v>
      </c>
      <c r="AH65">
        <v>0.67465961319602097</v>
      </c>
      <c r="AI65">
        <v>96.140966358058094</v>
      </c>
      <c r="AJ65">
        <v>81.064533419839407</v>
      </c>
      <c r="AK65">
        <v>0.68688950133612903</v>
      </c>
      <c r="AL65">
        <v>85.6713918869591</v>
      </c>
      <c r="AM65">
        <v>90.108917814553394</v>
      </c>
      <c r="AN65">
        <v>1.00000002986892</v>
      </c>
    </row>
    <row r="66" spans="1:40" x14ac:dyDescent="0.25">
      <c r="A66" t="str">
        <f>"20190312150946984"</f>
        <v>20190312150946984</v>
      </c>
      <c r="B66" t="str">
        <f>"1552374586980992"</f>
        <v>1552374586980992</v>
      </c>
      <c r="C66" t="s">
        <v>40</v>
      </c>
      <c r="D66">
        <v>4.9898379999999998</v>
      </c>
      <c r="E66">
        <v>0.55432199999999998</v>
      </c>
      <c r="F66" t="s">
        <v>41</v>
      </c>
      <c r="G66">
        <v>-472.80770000000001</v>
      </c>
      <c r="H66">
        <v>1.03772999999999</v>
      </c>
      <c r="I66">
        <v>367.0856</v>
      </c>
      <c r="J66">
        <v>-473.52449999999999</v>
      </c>
      <c r="K66">
        <v>1.111753</v>
      </c>
      <c r="L66">
        <v>367.19819999999999</v>
      </c>
      <c r="M66">
        <v>0.99982470000000001</v>
      </c>
      <c r="N66">
        <v>0</v>
      </c>
      <c r="O66">
        <v>-5.4664680000000004E-3</v>
      </c>
      <c r="P66">
        <v>0.99829880000000004</v>
      </c>
      <c r="Q66">
        <v>5.8197970000000002E-2</v>
      </c>
      <c r="R66">
        <v>-3.6050539999999999E-3</v>
      </c>
      <c r="S66">
        <v>3.0210569999999999</v>
      </c>
      <c r="T66">
        <v>-0.29271940000000002</v>
      </c>
      <c r="U66">
        <v>-0.44805909999999899</v>
      </c>
      <c r="V66">
        <v>-1.851248E-3</v>
      </c>
      <c r="W66">
        <v>7.6073360000000007E-2</v>
      </c>
      <c r="X66">
        <v>0.99710049999999995</v>
      </c>
      <c r="Y66">
        <v>0.14067739999999901</v>
      </c>
      <c r="Z66">
        <v>-6.2370759999999898E-3</v>
      </c>
      <c r="AA66">
        <v>0.99003580000000002</v>
      </c>
      <c r="AB66">
        <v>4</v>
      </c>
      <c r="AC66">
        <v>0.71679999999997701</v>
      </c>
      <c r="AD66">
        <v>-7.4023000000000103E-2</v>
      </c>
      <c r="AE66">
        <v>-0.112599999999986</v>
      </c>
      <c r="AF66">
        <v>0.10755988395135101</v>
      </c>
      <c r="AG66">
        <v>-7.4023000000000103E-2</v>
      </c>
      <c r="AH66">
        <v>0.71001535273080196</v>
      </c>
      <c r="AI66">
        <v>95.885229801437703</v>
      </c>
      <c r="AJ66">
        <v>81.385787522592693</v>
      </c>
      <c r="AK66">
        <v>0.72192127983463195</v>
      </c>
      <c r="AL66">
        <v>85.637102468663898</v>
      </c>
      <c r="AM66">
        <v>90.106377015513004</v>
      </c>
      <c r="AN66">
        <v>0.99999999516054805</v>
      </c>
    </row>
    <row r="67" spans="1:40" x14ac:dyDescent="0.25">
      <c r="A67" t="str">
        <f>"20190312150947005"</f>
        <v>20190312150947005</v>
      </c>
      <c r="B67" t="str">
        <f>"1552374587000512"</f>
        <v>1552374587000512</v>
      </c>
      <c r="C67" t="s">
        <v>40</v>
      </c>
      <c r="D67">
        <v>4.9331399999999999</v>
      </c>
      <c r="E67">
        <v>0.5542279</v>
      </c>
      <c r="F67" t="s">
        <v>41</v>
      </c>
      <c r="G67">
        <v>-472.7715</v>
      </c>
      <c r="H67">
        <v>1.0387409999999999</v>
      </c>
      <c r="I67">
        <v>367.08760000000001</v>
      </c>
      <c r="J67">
        <v>-473.48719999999997</v>
      </c>
      <c r="K67">
        <v>1.111831</v>
      </c>
      <c r="L67">
        <v>367.19799999999998</v>
      </c>
      <c r="M67">
        <v>0.99981160000000002</v>
      </c>
      <c r="N67">
        <v>0</v>
      </c>
      <c r="O67">
        <v>-5.4737830000000003E-3</v>
      </c>
      <c r="P67">
        <v>0.99834610000000001</v>
      </c>
      <c r="Q67">
        <v>5.7404089999999998E-2</v>
      </c>
      <c r="R67">
        <v>-3.2086100000000002E-3</v>
      </c>
      <c r="S67">
        <v>3.0205989999999998</v>
      </c>
      <c r="T67">
        <v>-0.29314410000000002</v>
      </c>
      <c r="U67">
        <v>-0.44155879999999997</v>
      </c>
      <c r="V67">
        <v>-2.255398E-3</v>
      </c>
      <c r="W67">
        <v>7.5992989999999996E-2</v>
      </c>
      <c r="X67">
        <v>0.99710580000000004</v>
      </c>
      <c r="Y67">
        <v>0.1386136</v>
      </c>
      <c r="Z67">
        <v>-6.1478879999999998E-3</v>
      </c>
      <c r="AA67">
        <v>0.99032750000000003</v>
      </c>
      <c r="AB67">
        <v>4</v>
      </c>
      <c r="AC67">
        <v>0.71569999999996903</v>
      </c>
      <c r="AD67">
        <v>-7.3090000000000099E-2</v>
      </c>
      <c r="AE67">
        <v>-0.11040000000002601</v>
      </c>
      <c r="AF67">
        <v>0.10540631819943699</v>
      </c>
      <c r="AG67">
        <v>-7.3090000000000099E-2</v>
      </c>
      <c r="AH67">
        <v>0.70907047022210801</v>
      </c>
      <c r="AI67">
        <v>95.821658764550307</v>
      </c>
      <c r="AJ67">
        <v>81.544659967786998</v>
      </c>
      <c r="AK67">
        <v>0.72057863676170897</v>
      </c>
      <c r="AL67">
        <v>85.641720715135904</v>
      </c>
      <c r="AM67">
        <v>90.129599653451606</v>
      </c>
      <c r="AN67">
        <v>0.99999999887145896</v>
      </c>
    </row>
    <row r="68" spans="1:40" x14ac:dyDescent="0.25">
      <c r="A68" t="str">
        <f>"20190312150947039"</f>
        <v>20190312150947039</v>
      </c>
      <c r="B68" t="str">
        <f>"1552374587030767"</f>
        <v>1552374587030767</v>
      </c>
      <c r="C68" t="s">
        <v>40</v>
      </c>
      <c r="D68">
        <v>4.9131499999999999</v>
      </c>
      <c r="E68">
        <v>0.5436569</v>
      </c>
      <c r="F68" t="s">
        <v>41</v>
      </c>
      <c r="G68">
        <v>-472.73349999999999</v>
      </c>
      <c r="H68">
        <v>1.0387420000000001</v>
      </c>
      <c r="I68">
        <v>367.08789999999999</v>
      </c>
      <c r="J68">
        <v>-473.41930000000002</v>
      </c>
      <c r="K68">
        <v>1.1112200000000001</v>
      </c>
      <c r="L68">
        <v>367.19760000000002</v>
      </c>
      <c r="M68">
        <v>0.99983920000000004</v>
      </c>
      <c r="N68">
        <v>0</v>
      </c>
      <c r="O68">
        <v>-5.483127E-3</v>
      </c>
      <c r="P68">
        <v>0.99828479999999997</v>
      </c>
      <c r="Q68">
        <v>5.8524020000000003E-2</v>
      </c>
      <c r="R68">
        <v>-1.6641990000000001E-3</v>
      </c>
      <c r="S68">
        <v>3.0204469999999999</v>
      </c>
      <c r="T68">
        <v>-0.2929969</v>
      </c>
      <c r="U68">
        <v>-0.44058229999999998</v>
      </c>
      <c r="V68">
        <v>-3.8093129999999999E-3</v>
      </c>
      <c r="W68">
        <v>7.5562690000000002E-2</v>
      </c>
      <c r="X68">
        <v>0.99713379999999996</v>
      </c>
      <c r="Y68">
        <v>0.13830010000000001</v>
      </c>
      <c r="Z68">
        <v>-6.1292880000000001E-3</v>
      </c>
      <c r="AA68">
        <v>0.99037140000000001</v>
      </c>
      <c r="AB68">
        <v>4</v>
      </c>
      <c r="AC68">
        <v>0.68580000000002805</v>
      </c>
      <c r="AD68">
        <v>-7.2478000000000001E-2</v>
      </c>
      <c r="AE68">
        <v>-0.10970000000003199</v>
      </c>
      <c r="AF68">
        <v>0.104796198275311</v>
      </c>
      <c r="AG68">
        <v>-7.2478000000000001E-2</v>
      </c>
      <c r="AH68">
        <v>0.678996709490987</v>
      </c>
      <c r="AI68">
        <v>96.022070518450604</v>
      </c>
      <c r="AJ68">
        <v>81.226211398915694</v>
      </c>
      <c r="AK68">
        <v>0.69084863404116703</v>
      </c>
      <c r="AL68">
        <v>85.666446286730505</v>
      </c>
      <c r="AM68">
        <v>90.218883860895801</v>
      </c>
      <c r="AN68">
        <v>1.000000023044</v>
      </c>
    </row>
    <row r="69" spans="1:40" x14ac:dyDescent="0.25">
      <c r="A69" t="str">
        <f>"20190312150947062"</f>
        <v>20190312150947062</v>
      </c>
      <c r="B69" t="str">
        <f>"1552374587050291"</f>
        <v>1552374587050291</v>
      </c>
      <c r="C69" t="s">
        <v>40</v>
      </c>
      <c r="D69">
        <v>4.8902390000000002</v>
      </c>
      <c r="E69">
        <v>0.55147489999999999</v>
      </c>
      <c r="F69" t="s">
        <v>42</v>
      </c>
      <c r="G69">
        <v>-453.64620000000002</v>
      </c>
      <c r="H69" s="1">
        <v>-3.5471100000000002E-6</v>
      </c>
      <c r="I69">
        <v>364.8861</v>
      </c>
      <c r="J69">
        <v>-473.36989999999997</v>
      </c>
      <c r="K69">
        <v>1.1106990000000001</v>
      </c>
      <c r="L69">
        <v>367.19729999999998</v>
      </c>
      <c r="M69">
        <v>0.99986949999999997</v>
      </c>
      <c r="N69">
        <v>0</v>
      </c>
      <c r="O69">
        <v>-5.4876019999999899E-3</v>
      </c>
      <c r="P69">
        <v>0.99827489999999997</v>
      </c>
      <c r="Q69">
        <v>5.870537E-2</v>
      </c>
      <c r="R69">
        <v>-1.03557E-3</v>
      </c>
      <c r="S69">
        <v>3.0144959999999998</v>
      </c>
      <c r="T69">
        <v>-0.16941059999999999</v>
      </c>
      <c r="U69">
        <v>-0.35238649999999999</v>
      </c>
      <c r="V69">
        <v>-4.4413040000000001E-3</v>
      </c>
      <c r="W69">
        <v>7.3868950000000003E-2</v>
      </c>
      <c r="X69">
        <v>0.99725810000000004</v>
      </c>
      <c r="Y69">
        <v>0.1104904</v>
      </c>
      <c r="Z69">
        <v>-2.7846379999999999E-3</v>
      </c>
      <c r="AA69">
        <v>0.99387329999999996</v>
      </c>
      <c r="AB69">
        <v>5</v>
      </c>
      <c r="AC69">
        <v>19.723699999999901</v>
      </c>
      <c r="AD69">
        <v>-1.1107025471099901</v>
      </c>
      <c r="AE69">
        <v>-2.3111999999999799</v>
      </c>
      <c r="AF69">
        <v>2.1960471806672301</v>
      </c>
      <c r="AG69">
        <v>-1.1107025471099901</v>
      </c>
      <c r="AH69">
        <v>19.674541238923201</v>
      </c>
      <c r="AI69">
        <v>93.211234689878296</v>
      </c>
      <c r="AJ69">
        <v>83.631080486889502</v>
      </c>
      <c r="AK69">
        <v>19.827855565591602</v>
      </c>
      <c r="AL69">
        <v>85.763762501682393</v>
      </c>
      <c r="AM69">
        <v>90.255165931867793</v>
      </c>
      <c r="AN69">
        <v>1.0000000324854601</v>
      </c>
    </row>
    <row r="70" spans="1:40" x14ac:dyDescent="0.25">
      <c r="A70" t="str">
        <f>"20190312150947084"</f>
        <v>20190312150947084</v>
      </c>
      <c r="B70" t="str">
        <f>"1552374587080544"</f>
        <v>1552374587080544</v>
      </c>
      <c r="C70" t="s">
        <v>40</v>
      </c>
      <c r="D70">
        <v>4.8755240000000004</v>
      </c>
      <c r="E70">
        <v>0.55470629999999999</v>
      </c>
      <c r="F70" t="s">
        <v>42</v>
      </c>
      <c r="G70">
        <v>-455.17669999999998</v>
      </c>
      <c r="H70" s="1">
        <v>-2.9333790000000002E-6</v>
      </c>
      <c r="I70">
        <v>364.70819999999998</v>
      </c>
      <c r="J70">
        <v>-473.31880000000001</v>
      </c>
      <c r="K70">
        <v>1.1103080000000001</v>
      </c>
      <c r="L70">
        <v>367.197</v>
      </c>
      <c r="M70">
        <v>0.99989399999999995</v>
      </c>
      <c r="N70">
        <v>0</v>
      </c>
      <c r="O70">
        <v>-5.4916260000000003E-3</v>
      </c>
      <c r="P70">
        <v>0.99825980000000003</v>
      </c>
      <c r="Q70">
        <v>5.8968499999999903E-2</v>
      </c>
      <c r="R70">
        <v>-6.2703089999999997E-4</v>
      </c>
      <c r="S70">
        <v>3.0155639999999999</v>
      </c>
      <c r="T70">
        <v>-0.18410090000000001</v>
      </c>
      <c r="U70">
        <v>-0.41256710000000002</v>
      </c>
      <c r="V70">
        <v>-4.8531499999999997E-3</v>
      </c>
      <c r="W70">
        <v>7.2428010000000001E-2</v>
      </c>
      <c r="X70">
        <v>0.99736179999999997</v>
      </c>
      <c r="Y70">
        <v>0.1298791</v>
      </c>
      <c r="Z70">
        <v>-3.6091719999999999E-3</v>
      </c>
      <c r="AA70">
        <v>0.9915233</v>
      </c>
      <c r="AB70">
        <v>5</v>
      </c>
      <c r="AC70">
        <v>18.142099999999999</v>
      </c>
      <c r="AD70">
        <v>-1.110310933379</v>
      </c>
      <c r="AE70">
        <v>-2.4887999999999599</v>
      </c>
      <c r="AF70">
        <v>2.3803726924262398</v>
      </c>
      <c r="AG70">
        <v>-1.110310933379</v>
      </c>
      <c r="AH70">
        <v>18.088993701260399</v>
      </c>
      <c r="AI70">
        <v>93.482487132923396</v>
      </c>
      <c r="AJ70">
        <v>82.503389066102699</v>
      </c>
      <c r="AK70">
        <v>18.278694090330099</v>
      </c>
      <c r="AL70">
        <v>85.846543772280995</v>
      </c>
      <c r="AM70">
        <v>90.278798343505798</v>
      </c>
      <c r="AN70">
        <v>0.99999996489835996</v>
      </c>
    </row>
    <row r="71" spans="1:40" x14ac:dyDescent="0.25">
      <c r="A71" t="str">
        <f>"20190312150947108"</f>
        <v>20190312150947108</v>
      </c>
      <c r="B71" t="str">
        <f>"1552374587101039"</f>
        <v>1552374587101039</v>
      </c>
      <c r="C71" t="s">
        <v>40</v>
      </c>
      <c r="D71">
        <v>4.8610899999999999</v>
      </c>
      <c r="E71">
        <v>0.55530170000000001</v>
      </c>
      <c r="F71" t="s">
        <v>42</v>
      </c>
      <c r="G71">
        <v>-453.16930000000002</v>
      </c>
      <c r="H71" s="1">
        <v>-3.8597399999999999E-6</v>
      </c>
      <c r="I71">
        <v>364.27719999999999</v>
      </c>
      <c r="J71">
        <v>-473.26429999999999</v>
      </c>
      <c r="K71">
        <v>1.110252</v>
      </c>
      <c r="L71">
        <v>367.19670000000002</v>
      </c>
      <c r="M71">
        <v>0.99990500000000004</v>
      </c>
      <c r="N71">
        <v>0</v>
      </c>
      <c r="O71">
        <v>-5.4948879999999999E-3</v>
      </c>
      <c r="P71">
        <v>0.99821159999999998</v>
      </c>
      <c r="Q71">
        <v>5.9781760000000003E-2</v>
      </c>
      <c r="R71">
        <v>4.0899079999999997E-4</v>
      </c>
      <c r="S71">
        <v>3.0148320000000002</v>
      </c>
      <c r="T71">
        <v>-0.1661272</v>
      </c>
      <c r="U71">
        <v>-0.4368591</v>
      </c>
      <c r="V71">
        <v>-5.8922970000000003E-3</v>
      </c>
      <c r="W71">
        <v>7.2405650000000002E-2</v>
      </c>
      <c r="X71">
        <v>0.99735779999999996</v>
      </c>
      <c r="Y71">
        <v>0.13776840000000001</v>
      </c>
      <c r="Z71">
        <v>-3.4722310000000001E-3</v>
      </c>
      <c r="AA71">
        <v>0.99045839999999996</v>
      </c>
      <c r="AB71">
        <v>5</v>
      </c>
      <c r="AC71">
        <v>20.094999999999899</v>
      </c>
      <c r="AD71">
        <v>-1.1102558597399901</v>
      </c>
      <c r="AE71">
        <v>-2.9195000000000202</v>
      </c>
      <c r="AF71">
        <v>2.8006547616829298</v>
      </c>
      <c r="AG71">
        <v>-1.1102558597399901</v>
      </c>
      <c r="AH71">
        <v>20.050798320512499</v>
      </c>
      <c r="AI71">
        <v>93.138943561115696</v>
      </c>
      <c r="AJ71">
        <v>82.048486803234894</v>
      </c>
      <c r="AK71">
        <v>20.275868624009501</v>
      </c>
      <c r="AL71">
        <v>85.847828171878604</v>
      </c>
      <c r="AM71">
        <v>90.338494191336693</v>
      </c>
      <c r="AN71">
        <v>0.99999993926834696</v>
      </c>
    </row>
    <row r="72" spans="1:40" x14ac:dyDescent="0.25">
      <c r="A72" t="str">
        <f>"20190312150947131"</f>
        <v>20190312150947131</v>
      </c>
      <c r="B72" t="str">
        <f>"1552374587120560"</f>
        <v>1552374587120560</v>
      </c>
      <c r="C72" t="s">
        <v>40</v>
      </c>
      <c r="D72">
        <v>4.8756440000000003</v>
      </c>
      <c r="E72">
        <v>0.55600369999999999</v>
      </c>
      <c r="F72" t="s">
        <v>42</v>
      </c>
      <c r="G72">
        <v>-452.13630000000001</v>
      </c>
      <c r="H72" s="1">
        <v>-4.3303270000000004E-6</v>
      </c>
      <c r="I72">
        <v>364.1225</v>
      </c>
      <c r="J72">
        <v>-473.21769999999998</v>
      </c>
      <c r="K72">
        <v>1.11063</v>
      </c>
      <c r="L72">
        <v>367.19650000000001</v>
      </c>
      <c r="M72">
        <v>0.99989419999999996</v>
      </c>
      <c r="N72">
        <v>0</v>
      </c>
      <c r="O72">
        <v>-5.4969809999999997E-3</v>
      </c>
      <c r="P72">
        <v>0.99825450000000004</v>
      </c>
      <c r="Q72">
        <v>5.9054280000000001E-2</v>
      </c>
      <c r="R72">
        <v>6.7786859999999997E-4</v>
      </c>
      <c r="S72">
        <v>3.0150760000000001</v>
      </c>
      <c r="T72">
        <v>-0.15843860000000001</v>
      </c>
      <c r="U72">
        <v>-0.43869019999999997</v>
      </c>
      <c r="V72">
        <v>-6.1633360000000002E-3</v>
      </c>
      <c r="W72">
        <v>7.2491739999999999E-2</v>
      </c>
      <c r="X72">
        <v>0.99734999999999996</v>
      </c>
      <c r="Y72">
        <v>0.13836099999999901</v>
      </c>
      <c r="Z72">
        <v>-3.3267090000000002E-3</v>
      </c>
      <c r="AA72">
        <v>0.99037629999999999</v>
      </c>
      <c r="AB72">
        <v>5</v>
      </c>
      <c r="AC72">
        <v>21.081399999999899</v>
      </c>
      <c r="AD72">
        <v>-1.1106343303270001</v>
      </c>
      <c r="AE72">
        <v>-3.0740000000000101</v>
      </c>
      <c r="AF72">
        <v>2.9500415711183599</v>
      </c>
      <c r="AG72">
        <v>-1.1106343303270001</v>
      </c>
      <c r="AH72">
        <v>21.040797517230001</v>
      </c>
      <c r="AI72">
        <v>92.992328232524599</v>
      </c>
      <c r="AJ72">
        <v>82.018825872188998</v>
      </c>
      <c r="AK72">
        <v>21.275606079454001</v>
      </c>
      <c r="AL72">
        <v>85.842882962733995</v>
      </c>
      <c r="AM72">
        <v>90.354066922720506</v>
      </c>
      <c r="AN72">
        <v>1.0000000307894299</v>
      </c>
    </row>
    <row r="73" spans="1:40" x14ac:dyDescent="0.25">
      <c r="A73" t="str">
        <f>"20190312150947152"</f>
        <v>20190312150947152</v>
      </c>
      <c r="B73" t="str">
        <f>"1552374587141056"</f>
        <v>1552374587141056</v>
      </c>
      <c r="C73" t="s">
        <v>40</v>
      </c>
      <c r="D73">
        <v>4.8416509999999997</v>
      </c>
      <c r="E73">
        <v>0.55682989999999999</v>
      </c>
      <c r="F73" t="s">
        <v>42</v>
      </c>
      <c r="G73">
        <v>-452.31700000000001</v>
      </c>
      <c r="H73" s="1">
        <v>-4.2528509999999997E-6</v>
      </c>
      <c r="I73">
        <v>364.1223</v>
      </c>
      <c r="J73">
        <v>-473.17680000000001</v>
      </c>
      <c r="K73">
        <v>1.111067</v>
      </c>
      <c r="L73">
        <v>367.19619999999998</v>
      </c>
      <c r="M73">
        <v>0.99987530000000002</v>
      </c>
      <c r="N73">
        <v>0</v>
      </c>
      <c r="O73">
        <v>-5.4992579999999999E-3</v>
      </c>
      <c r="P73">
        <v>0.99836420000000003</v>
      </c>
      <c r="Q73">
        <v>5.7165479999999998E-2</v>
      </c>
      <c r="R73">
        <v>9.8150740000000009E-4</v>
      </c>
      <c r="S73">
        <v>3.015015</v>
      </c>
      <c r="T73">
        <v>-0.16021250000000001</v>
      </c>
      <c r="U73">
        <v>-0.44345089999999998</v>
      </c>
      <c r="V73">
        <v>-6.4703410000000001E-3</v>
      </c>
      <c r="W73">
        <v>7.1939080000000002E-2</v>
      </c>
      <c r="X73">
        <v>0.9973881</v>
      </c>
      <c r="Y73">
        <v>0.13988629999999999</v>
      </c>
      <c r="Z73">
        <v>-3.403746E-3</v>
      </c>
      <c r="AA73">
        <v>0.99016170000000003</v>
      </c>
      <c r="AB73">
        <v>5</v>
      </c>
      <c r="AC73">
        <v>20.8598</v>
      </c>
      <c r="AD73">
        <v>-1.1110712528510001</v>
      </c>
      <c r="AE73">
        <v>-3.0738999999999801</v>
      </c>
      <c r="AF73">
        <v>2.9509335675855599</v>
      </c>
      <c r="AG73">
        <v>-1.1110712528510001</v>
      </c>
      <c r="AH73">
        <v>20.818582929239099</v>
      </c>
      <c r="AI73">
        <v>93.024753953343605</v>
      </c>
      <c r="AJ73">
        <v>81.932344491173296</v>
      </c>
      <c r="AK73">
        <v>21.056017748634801</v>
      </c>
      <c r="AL73">
        <v>85.874631057522194</v>
      </c>
      <c r="AM73">
        <v>90.371688844923</v>
      </c>
      <c r="AN73">
        <v>1.00000005928275</v>
      </c>
    </row>
    <row r="74" spans="1:40" x14ac:dyDescent="0.25">
      <c r="A74" t="str">
        <f>"20190312150947175"</f>
        <v>20190312150947175</v>
      </c>
      <c r="B74" t="str">
        <f>"1552374587170336"</f>
        <v>1552374587170336</v>
      </c>
      <c r="C74" t="s">
        <v>40</v>
      </c>
      <c r="D74">
        <v>4.7464079999999997</v>
      </c>
      <c r="E74">
        <v>0.55749289999999996</v>
      </c>
      <c r="F74" t="s">
        <v>42</v>
      </c>
      <c r="G74">
        <v>-453.05130000000003</v>
      </c>
      <c r="H74" s="1">
        <v>-3.9244010000000003E-6</v>
      </c>
      <c r="I74">
        <v>364.1979</v>
      </c>
      <c r="J74">
        <v>-473.13850000000002</v>
      </c>
      <c r="K74">
        <v>1.1114649999999999</v>
      </c>
      <c r="L74">
        <v>367.19600000000003</v>
      </c>
      <c r="M74">
        <v>0.99985210000000002</v>
      </c>
      <c r="N74">
        <v>0</v>
      </c>
      <c r="O74">
        <v>-5.5006300000000003E-3</v>
      </c>
      <c r="P74">
        <v>0.99847790000000003</v>
      </c>
      <c r="Q74">
        <v>5.5151329999999998E-2</v>
      </c>
      <c r="R74">
        <v>8.23189E-4</v>
      </c>
      <c r="S74">
        <v>3.014923</v>
      </c>
      <c r="T74">
        <v>-0.1664447</v>
      </c>
      <c r="U74">
        <v>-0.44915769999999999</v>
      </c>
      <c r="V74">
        <v>-6.3141059999999999E-3</v>
      </c>
      <c r="W74">
        <v>7.1423050000000002E-2</v>
      </c>
      <c r="X74">
        <v>0.99742620000000004</v>
      </c>
      <c r="Y74">
        <v>0.14170559999999999</v>
      </c>
      <c r="Z74">
        <v>-3.585399E-3</v>
      </c>
      <c r="AA74">
        <v>0.98990239999999996</v>
      </c>
      <c r="AB74">
        <v>4</v>
      </c>
      <c r="AC74">
        <v>20.087199999999999</v>
      </c>
      <c r="AD74">
        <v>-1.1114689244010001</v>
      </c>
      <c r="AE74">
        <v>-2.99809999999996</v>
      </c>
      <c r="AF74">
        <v>2.8789255108433598</v>
      </c>
      <c r="AG74">
        <v>-1.1114689244010001</v>
      </c>
      <c r="AH74">
        <v>20.043361104134402</v>
      </c>
      <c r="AI74">
        <v>93.141806547120396</v>
      </c>
      <c r="AJ74">
        <v>81.826233291366805</v>
      </c>
      <c r="AK74">
        <v>20.279543871044599</v>
      </c>
      <c r="AL74">
        <v>85.904273702790505</v>
      </c>
      <c r="AM74">
        <v>90.362700310834597</v>
      </c>
      <c r="AN74">
        <v>1.0000000722261499</v>
      </c>
    </row>
    <row r="75" spans="1:40" x14ac:dyDescent="0.25">
      <c r="A75" t="str">
        <f>"20190312150947196"</f>
        <v>20190312150947196</v>
      </c>
      <c r="B75" t="str">
        <f>"1552374587190831"</f>
        <v>1552374587190831</v>
      </c>
      <c r="C75" t="s">
        <v>40</v>
      </c>
      <c r="D75">
        <v>4.761781</v>
      </c>
      <c r="E75">
        <v>0.55778549999999905</v>
      </c>
      <c r="F75" t="s">
        <v>42</v>
      </c>
      <c r="G75">
        <v>-453.8929</v>
      </c>
      <c r="H75" s="1">
        <v>-3.5469610000000001E-6</v>
      </c>
      <c r="I75">
        <v>364.29039999999998</v>
      </c>
      <c r="J75">
        <v>-473.09609999999998</v>
      </c>
      <c r="K75">
        <v>1.1112899999999999</v>
      </c>
      <c r="L75">
        <v>367.19580000000002</v>
      </c>
      <c r="M75">
        <v>0.99985760000000001</v>
      </c>
      <c r="N75">
        <v>0</v>
      </c>
      <c r="O75">
        <v>-5.5000689999999998E-3</v>
      </c>
      <c r="P75">
        <v>0.99847350000000001</v>
      </c>
      <c r="Q75">
        <v>5.5228630000000001E-2</v>
      </c>
      <c r="R75">
        <v>4.0862860000000001E-4</v>
      </c>
      <c r="S75">
        <v>3.0145870000000001</v>
      </c>
      <c r="T75">
        <v>-0.17409720000000001</v>
      </c>
      <c r="U75">
        <v>-0.45510859999999898</v>
      </c>
      <c r="V75">
        <v>-5.8990140000000002E-3</v>
      </c>
      <c r="W75">
        <v>7.1149560000000001E-2</v>
      </c>
      <c r="X75">
        <v>0.99744820000000001</v>
      </c>
      <c r="Y75">
        <v>0.14361090000000001</v>
      </c>
      <c r="Z75">
        <v>-3.8045449999999999E-3</v>
      </c>
      <c r="AA75">
        <v>0.98962689999999998</v>
      </c>
      <c r="AB75">
        <v>4</v>
      </c>
      <c r="AC75">
        <v>19.203199999999899</v>
      </c>
      <c r="AD75">
        <v>-1.1112935469609999</v>
      </c>
      <c r="AE75">
        <v>-2.9054000000000402</v>
      </c>
      <c r="AF75">
        <v>2.7905872421176601</v>
      </c>
      <c r="AG75">
        <v>-1.1112935469609999</v>
      </c>
      <c r="AH75">
        <v>19.1561737512218</v>
      </c>
      <c r="AI75">
        <v>93.285536651462806</v>
      </c>
      <c r="AJ75">
        <v>81.711704081576102</v>
      </c>
      <c r="AK75">
        <v>19.390238350530499</v>
      </c>
      <c r="AL75">
        <v>85.9199831351782</v>
      </c>
      <c r="AM75">
        <v>90.338849340749803</v>
      </c>
      <c r="AN75">
        <v>0.99999998496880205</v>
      </c>
    </row>
    <row r="76" spans="1:40" x14ac:dyDescent="0.25">
      <c r="A76" t="str">
        <f>"20190312150947219"</f>
        <v>20190312150947219</v>
      </c>
      <c r="B76" t="str">
        <f>"1552374587210352"</f>
        <v>1552374587210352</v>
      </c>
      <c r="C76" t="s">
        <v>40</v>
      </c>
      <c r="D76">
        <v>4.6287430000000001</v>
      </c>
      <c r="E76">
        <v>0.55789259999999996</v>
      </c>
      <c r="F76" t="s">
        <v>42</v>
      </c>
      <c r="G76">
        <v>-453.83359999999999</v>
      </c>
      <c r="H76" s="1">
        <v>-3.5764639999999998E-6</v>
      </c>
      <c r="I76">
        <v>364.26740000000001</v>
      </c>
      <c r="J76">
        <v>-473.04840000000002</v>
      </c>
      <c r="K76">
        <v>1.1107279999999999</v>
      </c>
      <c r="L76">
        <v>367.19549999999998</v>
      </c>
      <c r="M76">
        <v>0.99988589999999999</v>
      </c>
      <c r="N76">
        <v>0</v>
      </c>
      <c r="O76">
        <v>-5.4978839999999998E-3</v>
      </c>
      <c r="P76">
        <v>0.99842710000000001</v>
      </c>
      <c r="Q76">
        <v>5.6067209999999999E-2</v>
      </c>
      <c r="R76">
        <v>-1.134665E-4</v>
      </c>
      <c r="S76">
        <v>3.0143740000000001</v>
      </c>
      <c r="T76">
        <v>-0.173904799999999</v>
      </c>
      <c r="U76">
        <v>-0.45825199999999999</v>
      </c>
      <c r="V76">
        <v>-5.373844E-3</v>
      </c>
      <c r="W76">
        <v>7.0122180000000006E-2</v>
      </c>
      <c r="X76">
        <v>0.99752399999999997</v>
      </c>
      <c r="Y76">
        <v>0.14463119999999999</v>
      </c>
      <c r="Z76">
        <v>-3.8296900000000002E-3</v>
      </c>
      <c r="AA76">
        <v>0.98947819999999997</v>
      </c>
      <c r="AB76">
        <v>4</v>
      </c>
      <c r="AC76">
        <v>19.2148</v>
      </c>
      <c r="AD76">
        <v>-1.110731576464</v>
      </c>
      <c r="AE76">
        <v>-2.9280999999999699</v>
      </c>
      <c r="AF76">
        <v>2.8132174069344398</v>
      </c>
      <c r="AG76">
        <v>-1.110731576464</v>
      </c>
      <c r="AH76">
        <v>19.1680124613526</v>
      </c>
      <c r="AI76">
        <v>93.281343781834494</v>
      </c>
      <c r="AJ76">
        <v>81.650522655750805</v>
      </c>
      <c r="AK76">
        <v>19.4051698918665</v>
      </c>
      <c r="AL76">
        <v>85.9789953987502</v>
      </c>
      <c r="AM76">
        <v>90.308659844203902</v>
      </c>
      <c r="AN76">
        <v>1.00000006445164</v>
      </c>
    </row>
    <row r="77" spans="1:40" x14ac:dyDescent="0.25">
      <c r="A77" t="str">
        <f>"20190312150947240"</f>
        <v>20190312150947240</v>
      </c>
      <c r="B77" t="str">
        <f>"1552374587230848"</f>
        <v>1552374587230848</v>
      </c>
      <c r="C77" t="s">
        <v>40</v>
      </c>
      <c r="D77">
        <v>4.8249779999999998</v>
      </c>
      <c r="E77">
        <v>0.55447630000000003</v>
      </c>
      <c r="F77" t="s">
        <v>42</v>
      </c>
      <c r="G77">
        <v>-453.96530000000001</v>
      </c>
      <c r="H77" s="1">
        <v>-3.5178730000000001E-6</v>
      </c>
      <c r="I77">
        <v>364.27929999999998</v>
      </c>
      <c r="J77">
        <v>-472.99970000000002</v>
      </c>
      <c r="K77">
        <v>1.110344</v>
      </c>
      <c r="L77">
        <v>367.19529999999997</v>
      </c>
      <c r="M77">
        <v>0.99990699999999999</v>
      </c>
      <c r="N77">
        <v>0</v>
      </c>
      <c r="O77">
        <v>-5.4954610000000001E-3</v>
      </c>
      <c r="P77">
        <v>0.99842869999999995</v>
      </c>
      <c r="Q77">
        <v>5.6034319999999999E-2</v>
      </c>
      <c r="R77">
        <v>-7.4235479999999905E-4</v>
      </c>
      <c r="S77">
        <v>3.014526</v>
      </c>
      <c r="T77">
        <v>-0.17545959999999999</v>
      </c>
      <c r="U77">
        <v>-0.46066279999999998</v>
      </c>
      <c r="V77">
        <v>-4.7427069999999997E-3</v>
      </c>
      <c r="W77">
        <v>6.8501499999999896E-2</v>
      </c>
      <c r="X77">
        <v>0.99763970000000002</v>
      </c>
      <c r="Y77">
        <v>0.1453943</v>
      </c>
      <c r="Z77">
        <v>-3.8856590000000001E-3</v>
      </c>
      <c r="AA77">
        <v>0.98936619999999997</v>
      </c>
      <c r="AB77">
        <v>5</v>
      </c>
      <c r="AC77">
        <v>19.034400000000002</v>
      </c>
      <c r="AD77">
        <v>-1.110347517873</v>
      </c>
      <c r="AE77">
        <v>-2.9159999999999902</v>
      </c>
      <c r="AF77">
        <v>2.80202884077283</v>
      </c>
      <c r="AG77">
        <v>-1.110347517873</v>
      </c>
      <c r="AH77">
        <v>18.987010648291999</v>
      </c>
      <c r="AI77">
        <v>93.311027009507498</v>
      </c>
      <c r="AJ77">
        <v>81.605106084197303</v>
      </c>
      <c r="AK77">
        <v>19.2247447471565</v>
      </c>
      <c r="AL77">
        <v>86.072076973919096</v>
      </c>
      <c r="AM77">
        <v>90.272377941178803</v>
      </c>
      <c r="AN77">
        <v>0.99999995989401302</v>
      </c>
    </row>
    <row r="78" spans="1:40" x14ac:dyDescent="0.25">
      <c r="A78" t="str">
        <f>"20190312150947262"</f>
        <v>20190312150947262</v>
      </c>
      <c r="B78" t="str">
        <f>"1552374587250387"</f>
        <v>1552374587250387</v>
      </c>
      <c r="C78" t="s">
        <v>40</v>
      </c>
      <c r="D78">
        <v>4.6736149999999999</v>
      </c>
      <c r="E78">
        <v>0.55202050000000003</v>
      </c>
      <c r="F78" t="s">
        <v>41</v>
      </c>
      <c r="G78">
        <v>-472.26240000000001</v>
      </c>
      <c r="H78">
        <v>0.98342490000000005</v>
      </c>
      <c r="I78">
        <v>367.08960000000002</v>
      </c>
      <c r="J78">
        <v>-472.95580000000001</v>
      </c>
      <c r="K78">
        <v>1.1105799999999999</v>
      </c>
      <c r="L78">
        <v>367.19499999999999</v>
      </c>
      <c r="M78">
        <v>0.99990089999999998</v>
      </c>
      <c r="N78">
        <v>0</v>
      </c>
      <c r="O78">
        <v>-5.4936500000000001E-3</v>
      </c>
      <c r="P78">
        <v>0.99850190000000005</v>
      </c>
      <c r="Q78">
        <v>5.469185E-2</v>
      </c>
      <c r="R78">
        <v>-1.778211E-3</v>
      </c>
      <c r="S78">
        <v>3.033722</v>
      </c>
      <c r="T78">
        <v>-0.52230019999999999</v>
      </c>
      <c r="U78">
        <v>-0.43420409999999998</v>
      </c>
      <c r="V78">
        <v>-3.7053950000000002E-3</v>
      </c>
      <c r="W78">
        <v>6.7642800000000003E-2</v>
      </c>
      <c r="X78">
        <v>0.99770270000000005</v>
      </c>
      <c r="Y78">
        <v>0.13438320000000001</v>
      </c>
      <c r="Z78">
        <v>-1.0492349999999999E-2</v>
      </c>
      <c r="AA78">
        <v>0.99087389999999997</v>
      </c>
      <c r="AB78">
        <v>5</v>
      </c>
      <c r="AC78">
        <v>0.69339999999999602</v>
      </c>
      <c r="AD78">
        <v>-0.12715509999999899</v>
      </c>
      <c r="AE78">
        <v>-0.105399999999974</v>
      </c>
      <c r="AF78">
        <v>9.8355981453495694E-2</v>
      </c>
      <c r="AG78">
        <v>-0.12715509999999899</v>
      </c>
      <c r="AH78">
        <v>0.67188478772635596</v>
      </c>
      <c r="AI78">
        <v>100.606126302783</v>
      </c>
      <c r="AJ78">
        <v>81.671729962468305</v>
      </c>
      <c r="AK78">
        <v>0.69084838171756602</v>
      </c>
      <c r="AL78">
        <v>86.121391322864497</v>
      </c>
      <c r="AM78">
        <v>90.212791364419701</v>
      </c>
      <c r="AN78">
        <v>0.99999997796561702</v>
      </c>
    </row>
    <row r="79" spans="1:40" x14ac:dyDescent="0.25">
      <c r="A79" t="str">
        <f>"20190312150947284"</f>
        <v>20190312150947284</v>
      </c>
      <c r="B79" t="str">
        <f>"1552374587280624"</f>
        <v>1552374587280624</v>
      </c>
      <c r="C79" t="s">
        <v>40</v>
      </c>
      <c r="D79">
        <v>5.2612540000000001</v>
      </c>
      <c r="E79">
        <v>0.55498910000000001</v>
      </c>
      <c r="F79" t="s">
        <v>41</v>
      </c>
      <c r="G79">
        <v>-472.23309999999998</v>
      </c>
      <c r="H79">
        <v>0.96824790000000005</v>
      </c>
      <c r="I79">
        <v>367.09519999999998</v>
      </c>
      <c r="J79">
        <v>-472.91590000000002</v>
      </c>
      <c r="K79">
        <v>1.11107</v>
      </c>
      <c r="L79">
        <v>367.19479999999999</v>
      </c>
      <c r="M79">
        <v>0.99987890000000001</v>
      </c>
      <c r="N79">
        <v>0</v>
      </c>
      <c r="O79">
        <v>-5.4924869999999999E-3</v>
      </c>
      <c r="P79">
        <v>0.99863780000000002</v>
      </c>
      <c r="Q79">
        <v>5.2107750000000001E-2</v>
      </c>
      <c r="R79">
        <v>-2.6709220000000001E-3</v>
      </c>
      <c r="S79">
        <v>3.0364990000000001</v>
      </c>
      <c r="T79">
        <v>-0.59825550000000005</v>
      </c>
      <c r="U79">
        <v>-0.41732789999999997</v>
      </c>
      <c r="V79">
        <v>-2.8126169999999999E-3</v>
      </c>
      <c r="W79">
        <v>6.6641339999999993E-2</v>
      </c>
      <c r="X79">
        <v>0.99777309999999997</v>
      </c>
      <c r="Y79">
        <v>0.12839449999999999</v>
      </c>
      <c r="Z79">
        <v>-1.140387E-2</v>
      </c>
      <c r="AA79">
        <v>0.99165760000000003</v>
      </c>
      <c r="AB79">
        <v>5</v>
      </c>
      <c r="AC79">
        <v>0.68280000000004204</v>
      </c>
      <c r="AD79">
        <v>-0.14282210000000001</v>
      </c>
      <c r="AE79">
        <v>-9.9600000000009403E-2</v>
      </c>
      <c r="AF79">
        <v>9.1910298576791602E-2</v>
      </c>
      <c r="AG79">
        <v>-0.14282210000000001</v>
      </c>
      <c r="AH79">
        <v>0.65526460381168805</v>
      </c>
      <c r="AI79">
        <v>102.1803117062</v>
      </c>
      <c r="AJ79">
        <v>82.015532175475897</v>
      </c>
      <c r="AK79">
        <v>0.67691754020809203</v>
      </c>
      <c r="AL79">
        <v>86.178900880311105</v>
      </c>
      <c r="AM79">
        <v>90.1615103239848</v>
      </c>
      <c r="AN79">
        <v>1.0000000690474899</v>
      </c>
    </row>
    <row r="80" spans="1:40" x14ac:dyDescent="0.25">
      <c r="A80" t="str">
        <f>"20190312150947308"</f>
        <v>20190312150947308</v>
      </c>
      <c r="B80" t="str">
        <f>"1552374587301119"</f>
        <v>1552374587301119</v>
      </c>
      <c r="C80" t="s">
        <v>40</v>
      </c>
      <c r="D80">
        <v>4.6061420000000002</v>
      </c>
      <c r="E80">
        <v>0.5544019</v>
      </c>
      <c r="F80" t="s">
        <v>41</v>
      </c>
      <c r="G80">
        <v>-472.21010000000001</v>
      </c>
      <c r="H80">
        <v>0.94647599999999998</v>
      </c>
      <c r="I80">
        <v>367.09190000000001</v>
      </c>
      <c r="J80">
        <v>-472.87310000000002</v>
      </c>
      <c r="K80">
        <v>1.1112660000000001</v>
      </c>
      <c r="L80">
        <v>367.19450000000001</v>
      </c>
      <c r="M80">
        <v>0.99986600000000003</v>
      </c>
      <c r="N80">
        <v>0</v>
      </c>
      <c r="O80">
        <v>-5.4928669999999898E-3</v>
      </c>
      <c r="P80">
        <v>0.99869629999999998</v>
      </c>
      <c r="Q80">
        <v>5.090393E-2</v>
      </c>
      <c r="R80">
        <v>-3.802943E-3</v>
      </c>
      <c r="S80">
        <v>3.0398860000000001</v>
      </c>
      <c r="T80">
        <v>-0.70901669999999895</v>
      </c>
      <c r="U80">
        <v>-0.44287109999999902</v>
      </c>
      <c r="V80">
        <v>-1.6812589999999901E-3</v>
      </c>
      <c r="W80">
        <v>6.6300670000000006E-2</v>
      </c>
      <c r="X80">
        <v>0.99779830000000003</v>
      </c>
      <c r="Y80">
        <v>0.1353144</v>
      </c>
      <c r="Z80">
        <v>-1.423483E-2</v>
      </c>
      <c r="AA80">
        <v>0.99070049999999998</v>
      </c>
      <c r="AB80">
        <v>4</v>
      </c>
      <c r="AC80">
        <v>0.66300000000001003</v>
      </c>
      <c r="AD80">
        <v>-0.16478999999999999</v>
      </c>
      <c r="AE80">
        <v>-0.102599999999995</v>
      </c>
      <c r="AF80">
        <v>9.3325609704514798E-2</v>
      </c>
      <c r="AG80">
        <v>-0.16478999999999999</v>
      </c>
      <c r="AH80">
        <v>0.62579724360959399</v>
      </c>
      <c r="AI80">
        <v>104.59824871921199</v>
      </c>
      <c r="AJ80">
        <v>81.517949238619707</v>
      </c>
      <c r="AK80">
        <v>0.65382536172596195</v>
      </c>
      <c r="AL80">
        <v>86.198462934833103</v>
      </c>
      <c r="AM80">
        <v>90.096541509246194</v>
      </c>
      <c r="AN80">
        <v>1.00000002647858</v>
      </c>
    </row>
    <row r="81" spans="1:40" x14ac:dyDescent="0.25">
      <c r="A81" t="str">
        <f>"20190312150947330"</f>
        <v>20190312150947330</v>
      </c>
      <c r="B81" t="str">
        <f>"1552374587320640"</f>
        <v>1552374587320640</v>
      </c>
      <c r="C81" t="s">
        <v>40</v>
      </c>
      <c r="D81">
        <v>4.8550680000000002</v>
      </c>
      <c r="E81">
        <v>0.55492209999999997</v>
      </c>
      <c r="F81" t="s">
        <v>41</v>
      </c>
      <c r="G81">
        <v>-472.17509999999999</v>
      </c>
      <c r="H81">
        <v>0.94077120000000003</v>
      </c>
      <c r="I81">
        <v>367.0926</v>
      </c>
      <c r="J81">
        <v>-472.82929999999999</v>
      </c>
      <c r="K81">
        <v>1.1108530000000001</v>
      </c>
      <c r="L81">
        <v>367.1943</v>
      </c>
      <c r="M81">
        <v>0.99988480000000002</v>
      </c>
      <c r="N81">
        <v>0</v>
      </c>
      <c r="O81">
        <v>-5.4930219999999898E-3</v>
      </c>
      <c r="P81">
        <v>0.9986256</v>
      </c>
      <c r="Q81">
        <v>5.2225199999999902E-2</v>
      </c>
      <c r="R81">
        <v>-4.4472519999999996E-3</v>
      </c>
      <c r="S81">
        <v>3.0400999999999998</v>
      </c>
      <c r="T81">
        <v>-0.74275239999999998</v>
      </c>
      <c r="U81">
        <v>-0.44119259999999899</v>
      </c>
      <c r="V81">
        <v>-1.036564E-3</v>
      </c>
      <c r="W81">
        <v>6.6349210000000006E-2</v>
      </c>
      <c r="X81">
        <v>0.99779589999999996</v>
      </c>
      <c r="Y81">
        <v>0.13446549999999999</v>
      </c>
      <c r="Z81">
        <v>-1.479135E-2</v>
      </c>
      <c r="AA81">
        <v>0.99080789999999996</v>
      </c>
      <c r="AB81">
        <v>4</v>
      </c>
      <c r="AC81">
        <v>0.654200000000002</v>
      </c>
      <c r="AD81">
        <v>-0.17008180000000001</v>
      </c>
      <c r="AE81">
        <v>-0.101699999999993</v>
      </c>
      <c r="AF81">
        <v>9.2030817219757602E-2</v>
      </c>
      <c r="AG81">
        <v>-0.17008180000000001</v>
      </c>
      <c r="AH81">
        <v>0.61421266140582298</v>
      </c>
      <c r="AI81">
        <v>105.315148946197</v>
      </c>
      <c r="AJ81">
        <v>81.478456383734695</v>
      </c>
      <c r="AK81">
        <v>0.64393686293036601</v>
      </c>
      <c r="AL81">
        <v>86.195675464636594</v>
      </c>
      <c r="AM81">
        <v>90.059521913279099</v>
      </c>
      <c r="AN81">
        <v>0.99999997509467897</v>
      </c>
    </row>
    <row r="82" spans="1:40" x14ac:dyDescent="0.25">
      <c r="A82" t="str">
        <f>"20190312150947350"</f>
        <v>20190312150947350</v>
      </c>
      <c r="B82" t="str">
        <f>"1552374587341139"</f>
        <v>1552374587341139</v>
      </c>
      <c r="C82" t="s">
        <v>40</v>
      </c>
      <c r="D82">
        <v>4.6726779999999897</v>
      </c>
      <c r="E82">
        <v>0.55494180000000004</v>
      </c>
      <c r="F82" t="s">
        <v>41</v>
      </c>
      <c r="G82">
        <v>-472.13420000000002</v>
      </c>
      <c r="H82">
        <v>0.93759199999999998</v>
      </c>
      <c r="I82">
        <v>367.09230000000002</v>
      </c>
      <c r="J82">
        <v>-472.78230000000002</v>
      </c>
      <c r="K82">
        <v>1.1103449999999999</v>
      </c>
      <c r="L82">
        <v>367.19409999999999</v>
      </c>
      <c r="M82">
        <v>0.99990990000000002</v>
      </c>
      <c r="N82">
        <v>0</v>
      </c>
      <c r="O82">
        <v>-5.4919749999999996E-3</v>
      </c>
      <c r="P82">
        <v>0.99855720000000003</v>
      </c>
      <c r="Q82">
        <v>5.3561919999999999E-2</v>
      </c>
      <c r="R82">
        <v>-3.872103E-3</v>
      </c>
      <c r="S82">
        <v>3.0418090000000002</v>
      </c>
      <c r="T82">
        <v>-0.758301</v>
      </c>
      <c r="U82">
        <v>-0.44714359999999997</v>
      </c>
      <c r="V82">
        <v>-1.6099459999999999E-3</v>
      </c>
      <c r="W82">
        <v>6.5790139999999997E-2</v>
      </c>
      <c r="X82">
        <v>0.99783219999999995</v>
      </c>
      <c r="Y82">
        <v>0.13608729999999999</v>
      </c>
      <c r="Z82">
        <v>-1.5280200000000001E-2</v>
      </c>
      <c r="AA82">
        <v>0.99057899999999999</v>
      </c>
      <c r="AB82">
        <v>4</v>
      </c>
      <c r="AC82">
        <v>0.64809999999999901</v>
      </c>
      <c r="AD82">
        <v>-0.17275299999999999</v>
      </c>
      <c r="AE82">
        <v>-0.101799999999968</v>
      </c>
      <c r="AF82">
        <v>9.1868698262073903E-2</v>
      </c>
      <c r="AG82">
        <v>-0.17275299999999999</v>
      </c>
      <c r="AH82">
        <v>0.60658865902355397</v>
      </c>
      <c r="AI82">
        <v>105.72632838347501</v>
      </c>
      <c r="AJ82">
        <v>81.387922881131203</v>
      </c>
      <c r="AK82">
        <v>0.637364305546962</v>
      </c>
      <c r="AL82">
        <v>86.227778118820893</v>
      </c>
      <c r="AM82">
        <v>90.092443429868894</v>
      </c>
      <c r="AN82">
        <v>1.0000000169020899</v>
      </c>
    </row>
    <row r="83" spans="1:40" x14ac:dyDescent="0.25">
      <c r="A83" t="str">
        <f>"20190312150947373"</f>
        <v>20190312150947373</v>
      </c>
      <c r="B83" t="str">
        <f>"1552374587371392"</f>
        <v>1552374587371392</v>
      </c>
      <c r="C83" t="s">
        <v>40</v>
      </c>
      <c r="D83">
        <v>4.5659850000000004</v>
      </c>
      <c r="E83">
        <v>0.55401650000000002</v>
      </c>
      <c r="F83" t="s">
        <v>41</v>
      </c>
      <c r="G83">
        <v>-472.08980000000003</v>
      </c>
      <c r="H83">
        <v>0.93607850000000004</v>
      </c>
      <c r="I83">
        <v>367.0924</v>
      </c>
      <c r="J83">
        <v>-472.73070000000001</v>
      </c>
      <c r="K83">
        <v>1.10998</v>
      </c>
      <c r="L83">
        <v>367.19380000000001</v>
      </c>
      <c r="M83">
        <v>0.99992919999999996</v>
      </c>
      <c r="N83">
        <v>0</v>
      </c>
      <c r="O83">
        <v>-5.4911169999999898E-3</v>
      </c>
      <c r="P83">
        <v>0.99848250000000005</v>
      </c>
      <c r="Q83">
        <v>5.4953979999999999E-2</v>
      </c>
      <c r="R83">
        <v>-3.602283E-3</v>
      </c>
      <c r="S83">
        <v>3.043701</v>
      </c>
      <c r="T83">
        <v>-0.76611459999999998</v>
      </c>
      <c r="U83">
        <v>-0.4454651</v>
      </c>
      <c r="V83">
        <v>-1.8783370000000001E-3</v>
      </c>
      <c r="W83">
        <v>6.5481819999999996E-2</v>
      </c>
      <c r="X83">
        <v>0.99785199999999996</v>
      </c>
      <c r="Y83">
        <v>0.13541010000000001</v>
      </c>
      <c r="Z83">
        <v>-1.534109E-2</v>
      </c>
      <c r="AA83">
        <v>0.99067090000000002</v>
      </c>
      <c r="AB83">
        <v>5</v>
      </c>
      <c r="AC83">
        <v>0.64089999999998704</v>
      </c>
      <c r="AD83">
        <v>-0.17390149999999899</v>
      </c>
      <c r="AE83">
        <v>-0.10140000000001199</v>
      </c>
      <c r="AF83">
        <v>9.1319777820298001E-2</v>
      </c>
      <c r="AG83">
        <v>-0.17390149999999899</v>
      </c>
      <c r="AH83">
        <v>0.59846138526828496</v>
      </c>
      <c r="AI83">
        <v>106.02702948450801</v>
      </c>
      <c r="AJ83">
        <v>81.324107262150093</v>
      </c>
      <c r="AK83">
        <v>0.62987067178956102</v>
      </c>
      <c r="AL83">
        <v>86.245481685553997</v>
      </c>
      <c r="AM83">
        <v>90.107852322278802</v>
      </c>
      <c r="AN83">
        <v>1.00000000540219</v>
      </c>
    </row>
    <row r="84" spans="1:40" x14ac:dyDescent="0.25">
      <c r="A84" t="str">
        <f>"20190312150947395"</f>
        <v>20190312150947395</v>
      </c>
      <c r="B84" t="str">
        <f>"1552374587390912"</f>
        <v>1552374587390912</v>
      </c>
      <c r="C84" t="s">
        <v>40</v>
      </c>
      <c r="D84">
        <v>5.1835380000000004</v>
      </c>
      <c r="E84">
        <v>0.55328940000000004</v>
      </c>
      <c r="F84" t="s">
        <v>41</v>
      </c>
      <c r="G84">
        <v>-472.0428</v>
      </c>
      <c r="H84">
        <v>0.93698890000000001</v>
      </c>
      <c r="I84">
        <v>367.09469999999999</v>
      </c>
      <c r="J84">
        <v>-472.68380000000002</v>
      </c>
      <c r="K84">
        <v>1.110152</v>
      </c>
      <c r="L84">
        <v>367.19349999999997</v>
      </c>
      <c r="M84">
        <v>0.99992859999999995</v>
      </c>
      <c r="N84">
        <v>0</v>
      </c>
      <c r="O84">
        <v>-5.490679E-3</v>
      </c>
      <c r="P84">
        <v>0.99848539999999997</v>
      </c>
      <c r="Q84">
        <v>5.4946729999999999E-2</v>
      </c>
      <c r="R84">
        <v>-2.8429229999999998E-3</v>
      </c>
      <c r="S84">
        <v>3.0451350000000001</v>
      </c>
      <c r="T84">
        <v>-0.76580999999999999</v>
      </c>
      <c r="U84">
        <v>-0.43737789999999999</v>
      </c>
      <c r="V84">
        <v>-2.6372470000000001E-3</v>
      </c>
      <c r="W84">
        <v>6.5548889999999999E-2</v>
      </c>
      <c r="X84">
        <v>0.99784589999999995</v>
      </c>
      <c r="Y84">
        <v>0.13284939999999901</v>
      </c>
      <c r="Z84">
        <v>-1.501561E-2</v>
      </c>
      <c r="AA84">
        <v>0.99102250000000003</v>
      </c>
      <c r="AB84">
        <v>5</v>
      </c>
      <c r="AC84">
        <v>0.641000000000019</v>
      </c>
      <c r="AD84">
        <v>-0.17316309999999899</v>
      </c>
      <c r="AE84">
        <v>-9.8799999999982901E-2</v>
      </c>
      <c r="AF84">
        <v>8.8938793033393804E-2</v>
      </c>
      <c r="AG84">
        <v>-0.17316309999999899</v>
      </c>
      <c r="AH84">
        <v>0.59884428425151903</v>
      </c>
      <c r="AI84">
        <v>105.961846667077</v>
      </c>
      <c r="AJ84">
        <v>81.552330171439394</v>
      </c>
      <c r="AK84">
        <v>0.62969043576074901</v>
      </c>
      <c r="AL84">
        <v>86.241630661685306</v>
      </c>
      <c r="AM84">
        <v>90.1514289639411</v>
      </c>
      <c r="AN84">
        <v>1.00000002609939</v>
      </c>
    </row>
    <row r="85" spans="1:40" x14ac:dyDescent="0.25">
      <c r="A85" t="str">
        <f>"20190312150947418"</f>
        <v>20190312150947418</v>
      </c>
      <c r="B85" t="str">
        <f>"1552374587410432"</f>
        <v>1552374587410432</v>
      </c>
      <c r="C85" t="s">
        <v>40</v>
      </c>
      <c r="D85">
        <v>4.8951690000000001</v>
      </c>
      <c r="E85">
        <v>0.55439719999999904</v>
      </c>
      <c r="F85" t="s">
        <v>41</v>
      </c>
      <c r="G85">
        <v>-471.99950000000001</v>
      </c>
      <c r="H85">
        <v>0.93842700000000001</v>
      </c>
      <c r="I85">
        <v>367.0967</v>
      </c>
      <c r="J85">
        <v>-472.63810000000001</v>
      </c>
      <c r="K85">
        <v>1.110676</v>
      </c>
      <c r="L85">
        <v>367.19319999999999</v>
      </c>
      <c r="M85">
        <v>0.99991160000000001</v>
      </c>
      <c r="N85">
        <v>0</v>
      </c>
      <c r="O85">
        <v>-5.4910480000000001E-3</v>
      </c>
      <c r="P85">
        <v>0.99856840000000002</v>
      </c>
      <c r="Q85">
        <v>5.3457350000000001E-2</v>
      </c>
      <c r="R85">
        <v>-1.958506E-3</v>
      </c>
      <c r="S85">
        <v>3.0453489999999999</v>
      </c>
      <c r="T85">
        <v>-0.76434760000000002</v>
      </c>
      <c r="U85">
        <v>-0.42822270000000001</v>
      </c>
      <c r="V85">
        <v>-3.5222510000000001E-3</v>
      </c>
      <c r="W85">
        <v>6.5550800000000006E-2</v>
      </c>
      <c r="X85">
        <v>0.99784300000000004</v>
      </c>
      <c r="Y85">
        <v>0.13001750000000001</v>
      </c>
      <c r="Z85">
        <v>-1.4641360000000001E-2</v>
      </c>
      <c r="AA85">
        <v>0.99140360000000005</v>
      </c>
      <c r="AB85">
        <v>5</v>
      </c>
      <c r="AC85">
        <v>0.63859999999999595</v>
      </c>
      <c r="AD85">
        <v>-0.17224900000000001</v>
      </c>
      <c r="AE85">
        <v>-9.6499999999991801E-2</v>
      </c>
      <c r="AF85">
        <v>8.6816486362825698E-2</v>
      </c>
      <c r="AG85">
        <v>-0.17224900000000001</v>
      </c>
      <c r="AH85">
        <v>0.59667879756826803</v>
      </c>
      <c r="AI85">
        <v>105.94313433304799</v>
      </c>
      <c r="AJ85">
        <v>81.721583000241793</v>
      </c>
      <c r="AK85">
        <v>0.62708245691687203</v>
      </c>
      <c r="AL85">
        <v>86.241520829189199</v>
      </c>
      <c r="AM85">
        <v>90.202245522102103</v>
      </c>
      <c r="AN85">
        <v>0.99999998314087302</v>
      </c>
    </row>
    <row r="86" spans="1:40" x14ac:dyDescent="0.25">
      <c r="A86" t="str">
        <f>"20190312150947441"</f>
        <v>20190312150947441</v>
      </c>
      <c r="B86" t="str">
        <f>"1552374587431436"</f>
        <v>1552374587431436</v>
      </c>
      <c r="C86" t="s">
        <v>40</v>
      </c>
      <c r="D86">
        <v>4.8353260000000002</v>
      </c>
      <c r="E86">
        <v>0.55546689999999999</v>
      </c>
      <c r="F86" t="s">
        <v>41</v>
      </c>
      <c r="G86">
        <v>-471.9289</v>
      </c>
      <c r="H86">
        <v>0.9291121</v>
      </c>
      <c r="I86">
        <v>367.0917</v>
      </c>
      <c r="J86">
        <v>-472.5967</v>
      </c>
      <c r="K86">
        <v>1.111094</v>
      </c>
      <c r="L86">
        <v>367.19299999999998</v>
      </c>
      <c r="M86">
        <v>0.99989189999999994</v>
      </c>
      <c r="N86">
        <v>0</v>
      </c>
      <c r="O86">
        <v>-5.4923929999999999E-3</v>
      </c>
      <c r="P86">
        <v>0.99867459999999997</v>
      </c>
      <c r="Q86">
        <v>5.1443839999999998E-2</v>
      </c>
      <c r="R86">
        <v>-1.6815739999999999E-3</v>
      </c>
      <c r="S86">
        <v>3.0452270000000001</v>
      </c>
      <c r="T86">
        <v>-0.77965779999999996</v>
      </c>
      <c r="U86">
        <v>-0.43453979999999998</v>
      </c>
      <c r="V86">
        <v>-3.8011970000000001E-3</v>
      </c>
      <c r="W86">
        <v>6.5063099999999999E-2</v>
      </c>
      <c r="X86">
        <v>0.99787389999999998</v>
      </c>
      <c r="Y86">
        <v>0.13183029999999901</v>
      </c>
      <c r="Z86">
        <v>-1.5151110000000001E-2</v>
      </c>
      <c r="AA86">
        <v>0.9911565</v>
      </c>
      <c r="AB86">
        <v>4</v>
      </c>
      <c r="AC86">
        <v>0.66779999999999895</v>
      </c>
      <c r="AD86">
        <v>-0.1819819</v>
      </c>
      <c r="AE86">
        <v>-0.101300000000037</v>
      </c>
      <c r="AF86">
        <v>9.1022859634978803E-2</v>
      </c>
      <c r="AG86">
        <v>-0.1819819</v>
      </c>
      <c r="AH86">
        <v>0.62311382884828403</v>
      </c>
      <c r="AI86">
        <v>106.118522816175</v>
      </c>
      <c r="AJ86">
        <v>81.689161681521796</v>
      </c>
      <c r="AK86">
        <v>0.65549478762665103</v>
      </c>
      <c r="AL86">
        <v>86.269523780507598</v>
      </c>
      <c r="AM86">
        <v>90.218255524834902</v>
      </c>
      <c r="AN86">
        <v>0.999999988190726</v>
      </c>
    </row>
    <row r="87" spans="1:40" x14ac:dyDescent="0.25">
      <c r="A87" t="str">
        <f>"20190312150947462"</f>
        <v>20190312150947462</v>
      </c>
      <c r="B87" t="str">
        <f>"1552374587450956"</f>
        <v>1552374587450956</v>
      </c>
      <c r="C87" t="s">
        <v>40</v>
      </c>
      <c r="D87">
        <v>4.8924609999999999</v>
      </c>
      <c r="E87">
        <v>0.55636660000000004</v>
      </c>
      <c r="F87" t="s">
        <v>41</v>
      </c>
      <c r="G87">
        <v>-471.89030000000002</v>
      </c>
      <c r="H87">
        <v>0.92637659999999999</v>
      </c>
      <c r="I87">
        <v>367.09019999999998</v>
      </c>
      <c r="J87">
        <v>-472.55220000000003</v>
      </c>
      <c r="K87">
        <v>1.110862</v>
      </c>
      <c r="L87">
        <v>367.19279999999998</v>
      </c>
      <c r="M87">
        <v>0.99989989999999995</v>
      </c>
      <c r="N87">
        <v>0</v>
      </c>
      <c r="O87">
        <v>-5.4939849999999998E-3</v>
      </c>
      <c r="P87">
        <v>0.99868310000000005</v>
      </c>
      <c r="Q87">
        <v>5.1253590000000002E-2</v>
      </c>
      <c r="R87">
        <v>-2.2460129999999998E-3</v>
      </c>
      <c r="S87">
        <v>3.0442499999999999</v>
      </c>
      <c r="T87">
        <v>-0.79590450000000001</v>
      </c>
      <c r="U87">
        <v>-0.4422913</v>
      </c>
      <c r="V87">
        <v>-3.2384639999999999E-3</v>
      </c>
      <c r="W87">
        <v>6.4271780000000001E-2</v>
      </c>
      <c r="X87">
        <v>0.99792720000000001</v>
      </c>
      <c r="Y87">
        <v>0.13410429999999901</v>
      </c>
      <c r="Z87">
        <v>-1.5749409999999998E-2</v>
      </c>
      <c r="AA87">
        <v>0.990842</v>
      </c>
      <c r="AB87">
        <v>4</v>
      </c>
      <c r="AC87">
        <v>0.66190000000000204</v>
      </c>
      <c r="AD87">
        <v>-0.18448539999999999</v>
      </c>
      <c r="AE87">
        <v>-0.102599999999995</v>
      </c>
      <c r="AF87">
        <v>9.1983563330292395E-2</v>
      </c>
      <c r="AG87">
        <v>-0.18448539999999999</v>
      </c>
      <c r="AH87">
        <v>0.61574196735001396</v>
      </c>
      <c r="AI87">
        <v>106.505956015018</v>
      </c>
      <c r="AJ87">
        <v>81.503612588202799</v>
      </c>
      <c r="AK87">
        <v>0.64933351145013596</v>
      </c>
      <c r="AL87">
        <v>86.314958306751095</v>
      </c>
      <c r="AM87">
        <v>90.185935074171198</v>
      </c>
      <c r="AN87">
        <v>1.0000000229266399</v>
      </c>
    </row>
    <row r="88" spans="1:40" x14ac:dyDescent="0.25">
      <c r="A88" t="str">
        <f>"20190312150947485"</f>
        <v>20190312150947485</v>
      </c>
      <c r="B88" t="str">
        <f>"1552374587481212"</f>
        <v>1552374587481212</v>
      </c>
      <c r="C88" t="s">
        <v>40</v>
      </c>
      <c r="D88">
        <v>4.9202469999999998</v>
      </c>
      <c r="E88">
        <v>0.55755529999999998</v>
      </c>
      <c r="F88" t="s">
        <v>41</v>
      </c>
      <c r="G88">
        <v>-471.84699999999998</v>
      </c>
      <c r="H88">
        <v>0.9234772</v>
      </c>
      <c r="I88">
        <v>367.0881</v>
      </c>
      <c r="J88">
        <v>-472.5025</v>
      </c>
      <c r="K88">
        <v>1.1103689999999999</v>
      </c>
      <c r="L88">
        <v>367.19240000000002</v>
      </c>
      <c r="M88">
        <v>0.9999207</v>
      </c>
      <c r="N88">
        <v>0</v>
      </c>
      <c r="O88">
        <v>-5.4938699999999997E-3</v>
      </c>
      <c r="P88">
        <v>0.99862260000000003</v>
      </c>
      <c r="Q88">
        <v>5.2401940000000001E-2</v>
      </c>
      <c r="R88">
        <v>-2.6566020000000001E-3</v>
      </c>
      <c r="S88">
        <v>3.0444339999999999</v>
      </c>
      <c r="T88">
        <v>-0.80896659999999998</v>
      </c>
      <c r="U88">
        <v>-0.44952389999999998</v>
      </c>
      <c r="V88">
        <v>-2.827431E-3</v>
      </c>
      <c r="W88">
        <v>6.3715960000000002E-2</v>
      </c>
      <c r="X88">
        <v>0.99796410000000002</v>
      </c>
      <c r="Y88">
        <v>0.136193799999999</v>
      </c>
      <c r="Z88">
        <v>-1.6267420000000001E-2</v>
      </c>
      <c r="AA88">
        <v>0.99054869999999995</v>
      </c>
      <c r="AB88">
        <v>4</v>
      </c>
      <c r="AC88">
        <v>0.65550000000001696</v>
      </c>
      <c r="AD88">
        <v>-0.1868918</v>
      </c>
      <c r="AE88">
        <v>-0.104300000000023</v>
      </c>
      <c r="AF88">
        <v>9.3299922906974503E-2</v>
      </c>
      <c r="AG88">
        <v>-0.1868918</v>
      </c>
      <c r="AH88">
        <v>0.60786979073190195</v>
      </c>
      <c r="AI88">
        <v>106.903759692034</v>
      </c>
      <c r="AJ88">
        <v>81.273958310794498</v>
      </c>
      <c r="AK88">
        <v>0.642758977382761</v>
      </c>
      <c r="AL88">
        <v>86.346869886993701</v>
      </c>
      <c r="AM88">
        <v>90.162329917186298</v>
      </c>
      <c r="AN88">
        <v>1.0000000314067901</v>
      </c>
    </row>
    <row r="89" spans="1:40" x14ac:dyDescent="0.25">
      <c r="A89" t="str">
        <f>"20190312150947509"</f>
        <v>20190312150947509</v>
      </c>
      <c r="B89" t="str">
        <f>"1552374587500732"</f>
        <v>1552374587500732</v>
      </c>
      <c r="C89" t="s">
        <v>40</v>
      </c>
      <c r="D89">
        <v>4.6845879999999998</v>
      </c>
      <c r="E89">
        <v>0.55759749999999997</v>
      </c>
      <c r="F89" t="s">
        <v>41</v>
      </c>
      <c r="G89">
        <v>-471.80020000000002</v>
      </c>
      <c r="H89">
        <v>0.92234249999999995</v>
      </c>
      <c r="I89">
        <v>367.08620000000002</v>
      </c>
      <c r="J89">
        <v>-472.44779999999997</v>
      </c>
      <c r="K89">
        <v>1.1102099999999999</v>
      </c>
      <c r="L89">
        <v>367.19209999999998</v>
      </c>
      <c r="M89">
        <v>0.99992999999999999</v>
      </c>
      <c r="N89">
        <v>0</v>
      </c>
      <c r="O89">
        <v>-5.493314E-3</v>
      </c>
      <c r="P89">
        <v>0.99860539999999998</v>
      </c>
      <c r="Q89">
        <v>5.271373E-2</v>
      </c>
      <c r="R89">
        <v>-2.9858409999999999E-3</v>
      </c>
      <c r="S89">
        <v>3.0456850000000002</v>
      </c>
      <c r="T89">
        <v>-0.81537959999999998</v>
      </c>
      <c r="U89">
        <v>-0.46060180000000001</v>
      </c>
      <c r="V89">
        <v>-2.4972639999999999E-3</v>
      </c>
      <c r="W89">
        <v>6.3182500000000003E-2</v>
      </c>
      <c r="X89">
        <v>0.99799890000000002</v>
      </c>
      <c r="Y89">
        <v>0.13948279999999999</v>
      </c>
      <c r="Z89">
        <v>-1.6811949999999999E-2</v>
      </c>
      <c r="AA89">
        <v>0.99008180000000001</v>
      </c>
      <c r="AB89">
        <v>5</v>
      </c>
      <c r="AC89">
        <v>0.64759999999995399</v>
      </c>
      <c r="AD89">
        <v>-0.18786749999999999</v>
      </c>
      <c r="AE89">
        <v>-0.105899999999962</v>
      </c>
      <c r="AF89">
        <v>9.4587839412061003E-2</v>
      </c>
      <c r="AG89">
        <v>-0.18786749999999999</v>
      </c>
      <c r="AH89">
        <v>0.599069259376796</v>
      </c>
      <c r="AI89">
        <v>107.210973969626</v>
      </c>
      <c r="AJ89">
        <v>81.027564087995003</v>
      </c>
      <c r="AK89">
        <v>0.63492128209027199</v>
      </c>
      <c r="AL89">
        <v>86.377496614983599</v>
      </c>
      <c r="AM89">
        <v>90.143369285176803</v>
      </c>
      <c r="AN89">
        <v>1.00000003451747</v>
      </c>
    </row>
    <row r="90" spans="1:40" x14ac:dyDescent="0.25">
      <c r="A90" t="str">
        <f>"20190312150947531"</f>
        <v>20190312150947531</v>
      </c>
      <c r="B90" t="str">
        <f>"1552374587520758"</f>
        <v>1552374587520758</v>
      </c>
      <c r="C90" t="s">
        <v>40</v>
      </c>
      <c r="D90">
        <v>4.6663139999999999</v>
      </c>
      <c r="E90">
        <v>0.55806840000000002</v>
      </c>
      <c r="F90" t="s">
        <v>41</v>
      </c>
      <c r="G90">
        <v>-471.75670000000002</v>
      </c>
      <c r="H90">
        <v>0.92345980000000005</v>
      </c>
      <c r="I90">
        <v>367.08699999999999</v>
      </c>
      <c r="J90">
        <v>-472.40190000000001</v>
      </c>
      <c r="K90">
        <v>1.1106180000000001</v>
      </c>
      <c r="L90">
        <v>367.19189999999998</v>
      </c>
      <c r="M90">
        <v>0.99991680000000005</v>
      </c>
      <c r="N90">
        <v>0</v>
      </c>
      <c r="O90">
        <v>-5.4926430000000002E-3</v>
      </c>
      <c r="P90">
        <v>0.99867589999999995</v>
      </c>
      <c r="Q90">
        <v>5.1313259999999999E-2</v>
      </c>
      <c r="R90">
        <v>-3.6841740000000001E-3</v>
      </c>
      <c r="S90">
        <v>3.046265</v>
      </c>
      <c r="T90">
        <v>-0.82323809999999997</v>
      </c>
      <c r="U90">
        <v>-0.46194459999999998</v>
      </c>
      <c r="V90">
        <v>-1.798691E-3</v>
      </c>
      <c r="W90">
        <v>6.2974069999999993E-2</v>
      </c>
      <c r="X90">
        <v>0.99801359999999995</v>
      </c>
      <c r="Y90">
        <v>0.13978570000000001</v>
      </c>
      <c r="Z90">
        <v>-1.7005019999999999E-2</v>
      </c>
      <c r="AA90">
        <v>0.99003580000000002</v>
      </c>
      <c r="AB90">
        <v>5</v>
      </c>
      <c r="AC90">
        <v>0.64519999999998801</v>
      </c>
      <c r="AD90">
        <v>-0.1871582</v>
      </c>
      <c r="AE90">
        <v>-0.104899999999986</v>
      </c>
      <c r="AF90">
        <v>9.3675020089891495E-2</v>
      </c>
      <c r="AG90">
        <v>-0.1871582</v>
      </c>
      <c r="AH90">
        <v>0.59683876017131199</v>
      </c>
      <c r="AI90">
        <v>107.212461347559</v>
      </c>
      <c r="AJ90">
        <v>81.080083585356206</v>
      </c>
      <c r="AK90">
        <v>0.63247111148170998</v>
      </c>
      <c r="AL90">
        <v>86.389462685504597</v>
      </c>
      <c r="AM90">
        <v>90.103262411820097</v>
      </c>
      <c r="AN90">
        <v>1.0000000572833101</v>
      </c>
    </row>
    <row r="91" spans="1:40" x14ac:dyDescent="0.25">
      <c r="A91" t="str">
        <f>"20190312150947551"</f>
        <v>20190312150947551</v>
      </c>
      <c r="B91" t="str">
        <f>"1552374587541254"</f>
        <v>1552374587541254</v>
      </c>
      <c r="C91" t="s">
        <v>40</v>
      </c>
      <c r="D91">
        <v>4.8407679999999997</v>
      </c>
      <c r="E91">
        <v>0.55846189999999996</v>
      </c>
      <c r="F91" t="s">
        <v>41</v>
      </c>
      <c r="G91">
        <v>-471.71809999999999</v>
      </c>
      <c r="H91">
        <v>0.92313789999999996</v>
      </c>
      <c r="I91">
        <v>367.08670000000001</v>
      </c>
      <c r="J91">
        <v>-472.36439999999999</v>
      </c>
      <c r="K91">
        <v>1.111102</v>
      </c>
      <c r="L91">
        <v>367.19170000000003</v>
      </c>
      <c r="M91">
        <v>0.99989459999999997</v>
      </c>
      <c r="N91">
        <v>0</v>
      </c>
      <c r="O91">
        <v>-5.4928999999999898E-3</v>
      </c>
      <c r="P91">
        <v>0.99878699999999998</v>
      </c>
      <c r="Q91">
        <v>4.9079230000000001E-2</v>
      </c>
      <c r="R91">
        <v>-4.0374419999999996E-3</v>
      </c>
      <c r="S91">
        <v>3.045166</v>
      </c>
      <c r="T91">
        <v>-0.83500889999999905</v>
      </c>
      <c r="U91">
        <v>-0.46765139999999999</v>
      </c>
      <c r="V91">
        <v>-1.447051E-3</v>
      </c>
      <c r="W91">
        <v>6.2510540000000003E-2</v>
      </c>
      <c r="X91">
        <v>0.99804320000000002</v>
      </c>
      <c r="Y91">
        <v>0.141456</v>
      </c>
      <c r="Z91">
        <v>-1.7466849999999999E-2</v>
      </c>
      <c r="AA91">
        <v>0.98979039999999996</v>
      </c>
      <c r="AB91">
        <v>5</v>
      </c>
      <c r="AC91">
        <v>0.64629999999999599</v>
      </c>
      <c r="AD91">
        <v>-0.1879641</v>
      </c>
      <c r="AE91">
        <v>-0.105000000000018</v>
      </c>
      <c r="AF91">
        <v>9.3724428442959695E-2</v>
      </c>
      <c r="AG91">
        <v>-0.1879641</v>
      </c>
      <c r="AH91">
        <v>0.59761872884346601</v>
      </c>
      <c r="AI91">
        <v>107.261261339331</v>
      </c>
      <c r="AJ91">
        <v>81.086915081402793</v>
      </c>
      <c r="AK91">
        <v>0.63345316830863596</v>
      </c>
      <c r="AL91">
        <v>86.416073024621696</v>
      </c>
      <c r="AM91">
        <v>90.083072413040995</v>
      </c>
      <c r="AN91">
        <v>0.99999994531696201</v>
      </c>
    </row>
    <row r="92" spans="1:40" x14ac:dyDescent="0.25">
      <c r="A92" t="str">
        <f>"20190312150947565"</f>
        <v>20190312150947565</v>
      </c>
      <c r="B92" t="str">
        <f>"1552374587560774"</f>
        <v>1552374587560774</v>
      </c>
      <c r="C92" t="s">
        <v>40</v>
      </c>
      <c r="D92">
        <v>4.407902</v>
      </c>
      <c r="E92">
        <v>0.55827280000000001</v>
      </c>
      <c r="F92" t="s">
        <v>41</v>
      </c>
      <c r="G92">
        <v>-471.68340000000001</v>
      </c>
      <c r="H92">
        <v>0.9217244</v>
      </c>
      <c r="I92">
        <v>367.08569999999997</v>
      </c>
      <c r="J92">
        <v>-472.33929999999998</v>
      </c>
      <c r="K92">
        <v>1.111175</v>
      </c>
      <c r="L92">
        <v>367.19159999999999</v>
      </c>
      <c r="M92">
        <v>0.99988849999999996</v>
      </c>
      <c r="N92">
        <v>0</v>
      </c>
      <c r="O92">
        <v>-5.4938340000000004E-3</v>
      </c>
      <c r="P92">
        <v>0.99881600000000004</v>
      </c>
      <c r="Q92">
        <v>4.849792E-2</v>
      </c>
      <c r="R92">
        <v>-3.863446E-3</v>
      </c>
      <c r="S92">
        <v>3.0433349999999999</v>
      </c>
      <c r="T92">
        <v>-0.8463427</v>
      </c>
      <c r="U92">
        <v>-0.47158810000000001</v>
      </c>
      <c r="V92">
        <v>-1.6217229999999901E-3</v>
      </c>
      <c r="W92">
        <v>6.2363969999999998E-2</v>
      </c>
      <c r="X92">
        <v>0.99805219999999994</v>
      </c>
      <c r="Y92">
        <v>0.14261559999999901</v>
      </c>
      <c r="Z92">
        <v>-1.786105E-2</v>
      </c>
      <c r="AA92">
        <v>0.98961699999999997</v>
      </c>
      <c r="AB92">
        <v>4</v>
      </c>
      <c r="AC92">
        <v>0.65589999999997395</v>
      </c>
      <c r="AD92">
        <v>-0.189450599999999</v>
      </c>
      <c r="AE92">
        <v>-0.10590000000001901</v>
      </c>
      <c r="AF92">
        <v>9.4602577023997506E-2</v>
      </c>
      <c r="AG92">
        <v>-0.189450599999999</v>
      </c>
      <c r="AH92">
        <v>0.60710838218610297</v>
      </c>
      <c r="AI92">
        <v>107.136261043803</v>
      </c>
      <c r="AJ92">
        <v>81.1431207458713</v>
      </c>
      <c r="AK92">
        <v>0.64297882168899501</v>
      </c>
      <c r="AL92">
        <v>86.424487639121097</v>
      </c>
      <c r="AM92">
        <v>90.093099140168803</v>
      </c>
      <c r="AN92">
        <v>1.0000000443322401</v>
      </c>
    </row>
    <row r="93" spans="1:40" x14ac:dyDescent="0.25">
      <c r="A93" t="str">
        <f>"20190312150947586"</f>
        <v>20190312150947586</v>
      </c>
      <c r="B93" t="str">
        <f>"1552374587581270"</f>
        <v>1552374587581270</v>
      </c>
      <c r="C93" t="s">
        <v>40</v>
      </c>
      <c r="D93">
        <v>4.873964</v>
      </c>
      <c r="E93">
        <v>0.55822150000000004</v>
      </c>
      <c r="F93" t="s">
        <v>41</v>
      </c>
      <c r="G93">
        <v>-471.64600000000002</v>
      </c>
      <c r="H93">
        <v>0.91747639999999997</v>
      </c>
      <c r="I93">
        <v>367.08440000000002</v>
      </c>
      <c r="J93">
        <v>-472.2971</v>
      </c>
      <c r="K93">
        <v>1.1108789999999999</v>
      </c>
      <c r="L93">
        <v>367.19130000000001</v>
      </c>
      <c r="M93">
        <v>0.99989859999999997</v>
      </c>
      <c r="N93">
        <v>0</v>
      </c>
      <c r="O93">
        <v>-5.4952869999999997E-3</v>
      </c>
      <c r="P93">
        <v>0.99879039999999997</v>
      </c>
      <c r="Q93">
        <v>4.8965290000000002E-2</v>
      </c>
      <c r="R93">
        <v>-4.524798E-3</v>
      </c>
      <c r="S93">
        <v>3.042999</v>
      </c>
      <c r="T93">
        <v>-0.85033769999999997</v>
      </c>
      <c r="U93">
        <v>-0.46951290000000001</v>
      </c>
      <c r="V93">
        <v>-9.6212960000000003E-4</v>
      </c>
      <c r="W93">
        <v>6.209365E-2</v>
      </c>
      <c r="X93">
        <v>0.99806989999999995</v>
      </c>
      <c r="Y93">
        <v>0.14194770000000001</v>
      </c>
      <c r="Z93">
        <v>-1.785364E-2</v>
      </c>
      <c r="AA93">
        <v>0.98971310000000001</v>
      </c>
      <c r="AB93">
        <v>4</v>
      </c>
      <c r="AC93">
        <v>0.65110000000004198</v>
      </c>
      <c r="AD93">
        <v>-0.19340260000000001</v>
      </c>
      <c r="AE93">
        <v>-0.106899999999996</v>
      </c>
      <c r="AF93">
        <v>9.5145512951243003E-2</v>
      </c>
      <c r="AG93">
        <v>-0.19340260000000001</v>
      </c>
      <c r="AH93">
        <v>0.60011757984922998</v>
      </c>
      <c r="AI93">
        <v>107.656214974352</v>
      </c>
      <c r="AJ93">
        <v>80.991037946600798</v>
      </c>
      <c r="AK93">
        <v>0.63765064413486805</v>
      </c>
      <c r="AL93">
        <v>86.440005880332095</v>
      </c>
      <c r="AM93">
        <v>90.055232552698797</v>
      </c>
      <c r="AN93">
        <v>1.00000003617484</v>
      </c>
    </row>
    <row r="94" spans="1:40" x14ac:dyDescent="0.25">
      <c r="A94" t="str">
        <f>"20190312150947609"</f>
        <v>20190312150947609</v>
      </c>
      <c r="B94" t="str">
        <f>"1552374587600791"</f>
        <v>1552374587600791</v>
      </c>
      <c r="C94" t="s">
        <v>40</v>
      </c>
      <c r="D94">
        <v>4.9663440000000003</v>
      </c>
      <c r="E94">
        <v>0.55865200000000004</v>
      </c>
      <c r="F94" t="s">
        <v>41</v>
      </c>
      <c r="G94">
        <v>-471.60199999999998</v>
      </c>
      <c r="H94">
        <v>0.91725590000000001</v>
      </c>
      <c r="I94">
        <v>367.08330000000001</v>
      </c>
      <c r="J94">
        <v>-472.24380000000002</v>
      </c>
      <c r="K94">
        <v>1.110328</v>
      </c>
      <c r="L94">
        <v>367.19099999999997</v>
      </c>
      <c r="M94">
        <v>0.99992110000000001</v>
      </c>
      <c r="N94">
        <v>0</v>
      </c>
      <c r="O94">
        <v>-5.4956329999999998E-3</v>
      </c>
      <c r="P94">
        <v>0.99872070000000002</v>
      </c>
      <c r="Q94">
        <v>5.0336659999999998E-2</v>
      </c>
      <c r="R94">
        <v>-4.8192230000000001E-3</v>
      </c>
      <c r="S94">
        <v>3.0430299999999999</v>
      </c>
      <c r="T94">
        <v>-0.84758269999999902</v>
      </c>
      <c r="U94">
        <v>-0.4711304</v>
      </c>
      <c r="V94">
        <v>-6.6708130000000003E-4</v>
      </c>
      <c r="W94">
        <v>6.1607729999999999E-2</v>
      </c>
      <c r="X94">
        <v>0.99810019999999999</v>
      </c>
      <c r="Y94">
        <v>0.14247319999999999</v>
      </c>
      <c r="Z94">
        <v>-1.78684E-2</v>
      </c>
      <c r="AA94">
        <v>0.9896374</v>
      </c>
      <c r="AB94">
        <v>4</v>
      </c>
      <c r="AC94">
        <v>0.641800000000046</v>
      </c>
      <c r="AD94">
        <v>-0.193072099999999</v>
      </c>
      <c r="AE94">
        <v>-0.107699999999965</v>
      </c>
      <c r="AF94">
        <v>9.5743734813039397E-2</v>
      </c>
      <c r="AG94">
        <v>-0.193072099999999</v>
      </c>
      <c r="AH94">
        <v>0.59041425308474704</v>
      </c>
      <c r="AI94">
        <v>107.88979480850099</v>
      </c>
      <c r="AJ94">
        <v>80.788889969162796</v>
      </c>
      <c r="AK94">
        <v>0.62851625977374603</v>
      </c>
      <c r="AL94">
        <v>86.467900264418901</v>
      </c>
      <c r="AM94">
        <v>90.038293687738999</v>
      </c>
      <c r="AN94">
        <v>0.99999998331662598</v>
      </c>
    </row>
    <row r="95" spans="1:40" x14ac:dyDescent="0.25">
      <c r="A95" t="str">
        <f>"20190312150947632"</f>
        <v>20190312150947632</v>
      </c>
      <c r="B95" t="str">
        <f>"1552374587620816"</f>
        <v>1552374587620816</v>
      </c>
      <c r="C95" t="s">
        <v>40</v>
      </c>
      <c r="D95">
        <v>4.7561710000000001</v>
      </c>
      <c r="E95">
        <v>0.55892849999999905</v>
      </c>
      <c r="F95" t="s">
        <v>41</v>
      </c>
      <c r="G95">
        <v>-471.55459999999999</v>
      </c>
      <c r="H95">
        <v>0.91858600000000001</v>
      </c>
      <c r="I95">
        <v>367.08330000000001</v>
      </c>
      <c r="J95">
        <v>-472.18900000000002</v>
      </c>
      <c r="K95">
        <v>1.109944</v>
      </c>
      <c r="L95">
        <v>367.19069999999999</v>
      </c>
      <c r="M95">
        <v>0.99993840000000001</v>
      </c>
      <c r="N95">
        <v>0</v>
      </c>
      <c r="O95">
        <v>-5.495453E-3</v>
      </c>
      <c r="P95">
        <v>0.99867059999999996</v>
      </c>
      <c r="Q95">
        <v>5.1317139999999997E-2</v>
      </c>
      <c r="R95">
        <v>-4.8564589999999996E-3</v>
      </c>
      <c r="S95">
        <v>3.0442200000000001</v>
      </c>
      <c r="T95">
        <v>-0.846888999999999</v>
      </c>
      <c r="U95">
        <v>-0.47521970000000002</v>
      </c>
      <c r="V95">
        <v>-6.2950780000000002E-4</v>
      </c>
      <c r="W95">
        <v>6.0959970000000002E-2</v>
      </c>
      <c r="X95">
        <v>0.99814000000000003</v>
      </c>
      <c r="Y95">
        <v>0.14368139999999999</v>
      </c>
      <c r="Z95">
        <v>-1.800997E-2</v>
      </c>
      <c r="AA95">
        <v>0.98946009999999995</v>
      </c>
      <c r="AB95">
        <v>5</v>
      </c>
      <c r="AC95">
        <v>0.63440000000002705</v>
      </c>
      <c r="AD95">
        <v>-0.191358</v>
      </c>
      <c r="AE95">
        <v>-0.10739999999998399</v>
      </c>
      <c r="AF95">
        <v>9.5467828693376902E-2</v>
      </c>
      <c r="AG95">
        <v>-0.191358</v>
      </c>
      <c r="AH95">
        <v>0.58338096407194195</v>
      </c>
      <c r="AI95">
        <v>107.937269033831</v>
      </c>
      <c r="AJ95">
        <v>80.706166355974801</v>
      </c>
      <c r="AK95">
        <v>0.621341564456247</v>
      </c>
      <c r="AL95">
        <v>86.505084083902503</v>
      </c>
      <c r="AM95">
        <v>90.036135347073994</v>
      </c>
      <c r="AN95">
        <v>0.99999998691123504</v>
      </c>
    </row>
    <row r="96" spans="1:40" x14ac:dyDescent="0.25">
      <c r="A96" t="str">
        <f>"20190312150947653"</f>
        <v>20190312150947653</v>
      </c>
      <c r="B96" t="str">
        <f>"1552374587641365"</f>
        <v>1552374587641365</v>
      </c>
      <c r="C96" t="s">
        <v>40</v>
      </c>
      <c r="D96">
        <v>4.9919979999999997</v>
      </c>
      <c r="E96">
        <v>0.55923179999999995</v>
      </c>
      <c r="F96" t="s">
        <v>41</v>
      </c>
      <c r="G96">
        <v>-471.50580000000002</v>
      </c>
      <c r="H96">
        <v>0.91955290000000001</v>
      </c>
      <c r="I96">
        <v>367.0829</v>
      </c>
      <c r="J96">
        <v>-472.1422</v>
      </c>
      <c r="K96">
        <v>1.1100779999999999</v>
      </c>
      <c r="L96">
        <v>367.19040000000001</v>
      </c>
      <c r="M96">
        <v>0.99993770000000004</v>
      </c>
      <c r="N96">
        <v>0</v>
      </c>
      <c r="O96">
        <v>-5.4950540000000001E-3</v>
      </c>
      <c r="P96">
        <v>0.9986621</v>
      </c>
      <c r="Q96">
        <v>5.1443179999999998E-2</v>
      </c>
      <c r="R96">
        <v>-5.2827480000000003E-3</v>
      </c>
      <c r="S96">
        <v>3.0453489999999999</v>
      </c>
      <c r="T96">
        <v>-0.848653199999999</v>
      </c>
      <c r="U96">
        <v>-0.47738649999999999</v>
      </c>
      <c r="V96">
        <v>-2.030539E-4</v>
      </c>
      <c r="W96">
        <v>6.1150349999999999E-2</v>
      </c>
      <c r="X96">
        <v>0.99812849999999997</v>
      </c>
      <c r="Y96">
        <v>0.1442744</v>
      </c>
      <c r="Z96">
        <v>-1.8119550000000002E-2</v>
      </c>
      <c r="AA96">
        <v>0.98937180000000002</v>
      </c>
      <c r="AB96">
        <v>5</v>
      </c>
      <c r="AC96">
        <v>0.63639999999997998</v>
      </c>
      <c r="AD96">
        <v>-0.1905251</v>
      </c>
      <c r="AE96">
        <v>-0.107500000000015</v>
      </c>
      <c r="AF96">
        <v>9.5664776880829E-2</v>
      </c>
      <c r="AG96">
        <v>-0.1905251</v>
      </c>
      <c r="AH96">
        <v>0.585922875356363</v>
      </c>
      <c r="AI96">
        <v>107.792555983939</v>
      </c>
      <c r="AJ96">
        <v>80.727026824043506</v>
      </c>
      <c r="AK96">
        <v>0.62350395277939996</v>
      </c>
      <c r="AL96">
        <v>86.494155611535405</v>
      </c>
      <c r="AM96">
        <v>90.011655945425005</v>
      </c>
      <c r="AN96">
        <v>0.99999995452412804</v>
      </c>
    </row>
    <row r="97" spans="1:40" x14ac:dyDescent="0.25">
      <c r="A97" t="str">
        <f>"20190312150947665"</f>
        <v>20190312150947665</v>
      </c>
      <c r="B97" t="str">
        <f>"1552374587660885"</f>
        <v>1552374587660885</v>
      </c>
      <c r="C97" t="s">
        <v>40</v>
      </c>
      <c r="D97">
        <v>4.9633989999999999</v>
      </c>
      <c r="E97">
        <v>0.55941739999999995</v>
      </c>
      <c r="F97" t="s">
        <v>41</v>
      </c>
      <c r="G97">
        <v>-471.46129999999999</v>
      </c>
      <c r="H97">
        <v>0.92000479999999996</v>
      </c>
      <c r="I97">
        <v>367.08260000000001</v>
      </c>
      <c r="J97">
        <v>-472.11529999999999</v>
      </c>
      <c r="K97">
        <v>1.110339</v>
      </c>
      <c r="L97">
        <v>367.1902</v>
      </c>
      <c r="M97">
        <v>0.9999304</v>
      </c>
      <c r="N97">
        <v>0</v>
      </c>
      <c r="O97">
        <v>-5.4953839999999999E-3</v>
      </c>
      <c r="P97">
        <v>0.99870009999999998</v>
      </c>
      <c r="Q97">
        <v>5.06968E-2</v>
      </c>
      <c r="R97">
        <v>-5.3247119999999997E-3</v>
      </c>
      <c r="S97">
        <v>3.0452880000000002</v>
      </c>
      <c r="T97">
        <v>-0.85016510000000001</v>
      </c>
      <c r="U97">
        <v>-0.48117070000000001</v>
      </c>
      <c r="V97">
        <v>-1.616469E-4</v>
      </c>
      <c r="W97">
        <v>6.1130829999999997E-2</v>
      </c>
      <c r="X97">
        <v>0.99812970000000001</v>
      </c>
      <c r="Y97">
        <v>0.14541699999999999</v>
      </c>
      <c r="Z97">
        <v>-1.8304850000000001E-2</v>
      </c>
      <c r="AA97">
        <v>0.98920110000000006</v>
      </c>
      <c r="AB97">
        <v>5</v>
      </c>
      <c r="AC97">
        <v>0.65399999999999603</v>
      </c>
      <c r="AD97">
        <v>-0.19033419999999901</v>
      </c>
      <c r="AE97">
        <v>-0.10759999999999</v>
      </c>
      <c r="AF97">
        <v>9.6080736582494303E-2</v>
      </c>
      <c r="AG97">
        <v>-0.19033419999999901</v>
      </c>
      <c r="AH97">
        <v>0.604712789690242</v>
      </c>
      <c r="AI97">
        <v>107.267968788282</v>
      </c>
      <c r="AJ97">
        <v>80.9719367254161</v>
      </c>
      <c r="AK97">
        <v>0.641199012512363</v>
      </c>
      <c r="AL97">
        <v>86.495276110053197</v>
      </c>
      <c r="AM97">
        <v>90.009279039648206</v>
      </c>
      <c r="AN97">
        <v>0.99999995126414798</v>
      </c>
    </row>
    <row r="98" spans="1:40" x14ac:dyDescent="0.25">
      <c r="A98" t="str">
        <f>"20190312150947686"</f>
        <v>20190312150947686</v>
      </c>
      <c r="B98" t="str">
        <f>"1552374587681381"</f>
        <v>1552374587681381</v>
      </c>
      <c r="C98" t="s">
        <v>40</v>
      </c>
      <c r="D98">
        <v>5.1140720000000002</v>
      </c>
      <c r="E98">
        <v>0.55986449999999999</v>
      </c>
      <c r="F98" t="s">
        <v>41</v>
      </c>
      <c r="G98">
        <v>-471.42239999999998</v>
      </c>
      <c r="H98">
        <v>0.91642299999999999</v>
      </c>
      <c r="I98">
        <v>367.07990000000001</v>
      </c>
      <c r="J98">
        <v>-472.07549999999998</v>
      </c>
      <c r="K98">
        <v>1.1108209999999901</v>
      </c>
      <c r="L98">
        <v>367.19</v>
      </c>
      <c r="M98">
        <v>0.99991209999999997</v>
      </c>
      <c r="N98">
        <v>0</v>
      </c>
      <c r="O98">
        <v>-5.4956049999999998E-3</v>
      </c>
      <c r="P98">
        <v>0.99875550000000002</v>
      </c>
      <c r="Q98">
        <v>4.9531289999999999E-2</v>
      </c>
      <c r="R98">
        <v>-5.8309130000000001E-3</v>
      </c>
      <c r="S98">
        <v>3.044556</v>
      </c>
      <c r="T98">
        <v>-0.85197900000000004</v>
      </c>
      <c r="U98">
        <v>-0.48272710000000002</v>
      </c>
      <c r="V98">
        <v>3.4420369999999998E-4</v>
      </c>
      <c r="W98">
        <v>6.1573460000000003E-2</v>
      </c>
      <c r="X98">
        <v>0.9981025</v>
      </c>
      <c r="Y98">
        <v>0.14590449999999999</v>
      </c>
      <c r="Z98">
        <v>-1.841245E-2</v>
      </c>
      <c r="AA98">
        <v>0.98912730000000004</v>
      </c>
      <c r="AB98">
        <v>5</v>
      </c>
      <c r="AC98">
        <v>0.65309999999999402</v>
      </c>
      <c r="AD98">
        <v>-0.19439799999999899</v>
      </c>
      <c r="AE98">
        <v>-0.110099999999988</v>
      </c>
      <c r="AF98">
        <v>9.8060969645615101E-2</v>
      </c>
      <c r="AG98">
        <v>-0.19439799999999899</v>
      </c>
      <c r="AH98">
        <v>0.60184634319826702</v>
      </c>
      <c r="AI98">
        <v>107.68221894653399</v>
      </c>
      <c r="AJ98">
        <v>80.745913126369402</v>
      </c>
      <c r="AK98">
        <v>0.640019966089312</v>
      </c>
      <c r="AL98">
        <v>86.469867602236206</v>
      </c>
      <c r="AM98">
        <v>89.980241088945206</v>
      </c>
      <c r="AN98">
        <v>1.0000000049794</v>
      </c>
    </row>
    <row r="99" spans="1:40" x14ac:dyDescent="0.25">
      <c r="A99" t="str">
        <f>"20190312150947710"</f>
        <v>20190312150947710</v>
      </c>
      <c r="B99" t="str">
        <f>"1552374587700901"</f>
        <v>1552374587700901</v>
      </c>
      <c r="C99" t="s">
        <v>40</v>
      </c>
      <c r="D99">
        <v>4.8433390000000003</v>
      </c>
      <c r="E99">
        <v>0.56010119999999997</v>
      </c>
      <c r="F99" t="s">
        <v>41</v>
      </c>
      <c r="G99">
        <v>-471.38479999999998</v>
      </c>
      <c r="H99">
        <v>0.91639490000000001</v>
      </c>
      <c r="I99">
        <v>367.07889999999998</v>
      </c>
      <c r="J99">
        <v>-472.02730000000003</v>
      </c>
      <c r="K99">
        <v>1.1110089999999999</v>
      </c>
      <c r="L99">
        <v>367.18979999999999</v>
      </c>
      <c r="M99">
        <v>0.99990109999999999</v>
      </c>
      <c r="N99">
        <v>0</v>
      </c>
      <c r="O99">
        <v>-5.4975110000000001E-3</v>
      </c>
      <c r="P99">
        <v>0.99878630000000002</v>
      </c>
      <c r="Q99">
        <v>4.8843039999999997E-2</v>
      </c>
      <c r="R99">
        <v>-6.3861329999999996E-3</v>
      </c>
      <c r="S99">
        <v>3.0433349999999999</v>
      </c>
      <c r="T99">
        <v>-0.85672809999999899</v>
      </c>
      <c r="U99">
        <v>-0.4881897</v>
      </c>
      <c r="V99">
        <v>8.9720689999999998E-4</v>
      </c>
      <c r="W99">
        <v>6.178239E-2</v>
      </c>
      <c r="X99">
        <v>0.99808929999999996</v>
      </c>
      <c r="Y99">
        <v>0.14757200000000001</v>
      </c>
      <c r="Z99">
        <v>-1.8744239999999999E-2</v>
      </c>
      <c r="AA99">
        <v>0.98887369999999997</v>
      </c>
      <c r="AB99">
        <v>4</v>
      </c>
      <c r="AC99">
        <v>0.64250000000004004</v>
      </c>
      <c r="AD99">
        <v>-0.19461409999999901</v>
      </c>
      <c r="AE99">
        <v>-0.110900000000015</v>
      </c>
      <c r="AF99">
        <v>9.8582673998844905E-2</v>
      </c>
      <c r="AG99">
        <v>-0.19461409999999901</v>
      </c>
      <c r="AH99">
        <v>0.59049039408209103</v>
      </c>
      <c r="AI99">
        <v>108.00836918548799</v>
      </c>
      <c r="AJ99">
        <v>80.521854889895394</v>
      </c>
      <c r="AK99">
        <v>0.62950146706325905</v>
      </c>
      <c r="AL99">
        <v>86.4578741546147</v>
      </c>
      <c r="AM99">
        <v>89.948495435354801</v>
      </c>
      <c r="AN99">
        <v>1.0000000597344001</v>
      </c>
    </row>
    <row r="100" spans="1:40" x14ac:dyDescent="0.25">
      <c r="A100" t="str">
        <f>"20190312150947734"</f>
        <v>20190312150947734</v>
      </c>
      <c r="B100" t="str">
        <f>"1552374587721396"</f>
        <v>1552374587721396</v>
      </c>
      <c r="C100" t="s">
        <v>40</v>
      </c>
      <c r="D100">
        <v>4.9307109999999996</v>
      </c>
      <c r="E100">
        <v>0.56034390000000001</v>
      </c>
      <c r="F100" t="s">
        <v>41</v>
      </c>
      <c r="G100">
        <v>-471.34300000000002</v>
      </c>
      <c r="H100">
        <v>0.91689120000000002</v>
      </c>
      <c r="I100">
        <v>367.07889999999998</v>
      </c>
      <c r="J100">
        <v>-471.97640000000001</v>
      </c>
      <c r="K100">
        <v>1.110589</v>
      </c>
      <c r="L100">
        <v>367.18950000000001</v>
      </c>
      <c r="M100">
        <v>0.99991580000000002</v>
      </c>
      <c r="N100">
        <v>0</v>
      </c>
      <c r="O100">
        <v>-5.4982679999999997E-3</v>
      </c>
      <c r="P100">
        <v>0.99873129999999999</v>
      </c>
      <c r="Q100">
        <v>4.9874040000000001E-2</v>
      </c>
      <c r="R100">
        <v>-6.9663269999999996E-3</v>
      </c>
      <c r="S100">
        <v>3.0427249999999999</v>
      </c>
      <c r="T100">
        <v>-0.86310010000000004</v>
      </c>
      <c r="U100">
        <v>-0.49121090000000001</v>
      </c>
      <c r="V100">
        <v>1.4771109999999999E-3</v>
      </c>
      <c r="W100">
        <v>6.1602499999999998E-2</v>
      </c>
      <c r="X100">
        <v>0.99809970000000003</v>
      </c>
      <c r="Y100">
        <v>0.14844579999999999</v>
      </c>
      <c r="Z100">
        <v>-1.9001279999999999E-2</v>
      </c>
      <c r="AA100">
        <v>0.98873800000000001</v>
      </c>
      <c r="AB100">
        <v>4</v>
      </c>
      <c r="AC100">
        <v>0.63339999999999397</v>
      </c>
      <c r="AD100">
        <v>-0.1936978</v>
      </c>
      <c r="AE100">
        <v>-0.11060000000003301</v>
      </c>
      <c r="AF100">
        <v>9.8203460093366196E-2</v>
      </c>
      <c r="AG100">
        <v>-0.1936978</v>
      </c>
      <c r="AH100">
        <v>0.58124979860830195</v>
      </c>
      <c r="AI100">
        <v>108.189846080637</v>
      </c>
      <c r="AJ100">
        <v>80.410310349238799</v>
      </c>
      <c r="AK100">
        <v>0.62049503276121498</v>
      </c>
      <c r="AL100">
        <v>86.468200658461299</v>
      </c>
      <c r="AM100">
        <v>89.915206702911505</v>
      </c>
      <c r="AN100">
        <v>1.0000000305016199</v>
      </c>
    </row>
    <row r="101" spans="1:40" x14ac:dyDescent="0.25">
      <c r="A101" t="str">
        <f>"20190312150947753"</f>
        <v>20190312150947753</v>
      </c>
      <c r="B101" t="str">
        <f>"1552374587750678"</f>
        <v>1552374587750678</v>
      </c>
      <c r="C101" t="s">
        <v>40</v>
      </c>
      <c r="D101">
        <v>5.1292629999999999</v>
      </c>
      <c r="E101">
        <v>0.56010680000000002</v>
      </c>
      <c r="F101" t="s">
        <v>41</v>
      </c>
      <c r="G101">
        <v>-471.29610000000002</v>
      </c>
      <c r="H101">
        <v>0.91810009999999997</v>
      </c>
      <c r="I101">
        <v>367.0788</v>
      </c>
      <c r="J101">
        <v>-471.9271</v>
      </c>
      <c r="K101">
        <v>1.1101490000000001</v>
      </c>
      <c r="L101">
        <v>367.18920000000003</v>
      </c>
      <c r="M101">
        <v>0.99993339999999997</v>
      </c>
      <c r="N101">
        <v>0</v>
      </c>
      <c r="O101">
        <v>-5.4976969999999898E-3</v>
      </c>
      <c r="P101">
        <v>0.99865859999999995</v>
      </c>
      <c r="Q101">
        <v>5.1318299999999997E-2</v>
      </c>
      <c r="R101">
        <v>-6.908048E-3</v>
      </c>
      <c r="S101">
        <v>3.0433349999999999</v>
      </c>
      <c r="T101">
        <v>-0.86123799999999995</v>
      </c>
      <c r="U101">
        <v>-0.49468990000000002</v>
      </c>
      <c r="V101">
        <v>1.419855E-3</v>
      </c>
      <c r="W101">
        <v>6.1461139999999997E-2</v>
      </c>
      <c r="X101">
        <v>0.99810840000000001</v>
      </c>
      <c r="Y101">
        <v>0.14950260000000001</v>
      </c>
      <c r="Z101">
        <v>-1.910251E-2</v>
      </c>
      <c r="AA101">
        <v>0.98857680000000003</v>
      </c>
      <c r="AB101">
        <v>5</v>
      </c>
      <c r="AC101">
        <v>0.63099999999997103</v>
      </c>
      <c r="AD101">
        <v>-0.19204889999999999</v>
      </c>
      <c r="AE101">
        <v>-0.11040000000002601</v>
      </c>
      <c r="AF101">
        <v>9.8110767362397003E-2</v>
      </c>
      <c r="AG101">
        <v>-0.19204889999999999</v>
      </c>
      <c r="AH101">
        <v>0.57951021788073798</v>
      </c>
      <c r="AI101">
        <v>108.094753545201</v>
      </c>
      <c r="AJ101">
        <v>80.390969733895005</v>
      </c>
      <c r="AK101">
        <v>0.61833695934484501</v>
      </c>
      <c r="AL101">
        <v>86.476315021760499</v>
      </c>
      <c r="AM101">
        <v>89.918494179444593</v>
      </c>
      <c r="AN101">
        <v>0.99999993293443801</v>
      </c>
    </row>
    <row r="102" spans="1:40" x14ac:dyDescent="0.25">
      <c r="A102" t="str">
        <f>"20190312150947776"</f>
        <v>20190312150947776</v>
      </c>
      <c r="B102" t="str">
        <f>"1552374587771174"</f>
        <v>1552374587771174</v>
      </c>
      <c r="C102" t="s">
        <v>40</v>
      </c>
      <c r="D102">
        <v>5.149292</v>
      </c>
      <c r="E102">
        <v>0.559832199999999</v>
      </c>
      <c r="F102" t="s">
        <v>41</v>
      </c>
      <c r="G102">
        <v>-471.24639999999999</v>
      </c>
      <c r="H102">
        <v>0.91990530000000004</v>
      </c>
      <c r="I102">
        <v>367.07859999999999</v>
      </c>
      <c r="J102">
        <v>-471.87180000000001</v>
      </c>
      <c r="K102">
        <v>1.1098380000000001</v>
      </c>
      <c r="L102">
        <v>367.18889999999999</v>
      </c>
      <c r="M102">
        <v>0.99994649999999996</v>
      </c>
      <c r="N102">
        <v>0</v>
      </c>
      <c r="O102">
        <v>-5.4970569999999996E-3</v>
      </c>
      <c r="P102">
        <v>0.99853199999999998</v>
      </c>
      <c r="Q102">
        <v>5.380153E-2</v>
      </c>
      <c r="R102">
        <v>-6.2629110000000003E-3</v>
      </c>
      <c r="S102">
        <v>3.0443419999999999</v>
      </c>
      <c r="T102">
        <v>-0.85091949999999905</v>
      </c>
      <c r="U102">
        <v>-0.4931335</v>
      </c>
      <c r="V102">
        <v>7.7627130000000003E-4</v>
      </c>
      <c r="W102">
        <v>6.2548129999999993E-2</v>
      </c>
      <c r="X102">
        <v>0.99804159999999997</v>
      </c>
      <c r="Y102">
        <v>0.14910570000000001</v>
      </c>
      <c r="Z102">
        <v>-1.8822869999999998E-2</v>
      </c>
      <c r="AA102">
        <v>0.98864209999999997</v>
      </c>
      <c r="AB102">
        <v>5</v>
      </c>
      <c r="AC102">
        <v>0.62540000000001295</v>
      </c>
      <c r="AD102">
        <v>-0.18993269999999901</v>
      </c>
      <c r="AE102">
        <v>-0.110299999999995</v>
      </c>
      <c r="AF102">
        <v>9.80864978292878E-2</v>
      </c>
      <c r="AG102">
        <v>-0.18993269999999901</v>
      </c>
      <c r="AH102">
        <v>0.57459897986228503</v>
      </c>
      <c r="AI102">
        <v>108.047420102426</v>
      </c>
      <c r="AJ102">
        <v>80.312741115197795</v>
      </c>
      <c r="AK102">
        <v>0.613073714364336</v>
      </c>
      <c r="AL102">
        <v>86.413915081749707</v>
      </c>
      <c r="AM102">
        <v>89.955435664928004</v>
      </c>
      <c r="AN102">
        <v>0.99999995324709201</v>
      </c>
    </row>
    <row r="103" spans="1:40" x14ac:dyDescent="0.25">
      <c r="A103" t="str">
        <f>"20190312150947798"</f>
        <v>20190312150947798</v>
      </c>
      <c r="B103" t="str">
        <f>"1552374587790693"</f>
        <v>1552374587790693</v>
      </c>
      <c r="C103" t="s">
        <v>40</v>
      </c>
      <c r="D103">
        <v>5.1242470000000004</v>
      </c>
      <c r="E103">
        <v>0.55954780000000004</v>
      </c>
      <c r="F103" t="s">
        <v>41</v>
      </c>
      <c r="G103">
        <v>-471.1943</v>
      </c>
      <c r="H103">
        <v>0.92361649999999995</v>
      </c>
      <c r="I103">
        <v>367.07960000000003</v>
      </c>
      <c r="J103">
        <v>-471.81909999999999</v>
      </c>
      <c r="K103">
        <v>1.1101240000000001</v>
      </c>
      <c r="L103">
        <v>367.18860000000001</v>
      </c>
      <c r="M103">
        <v>0.99994130000000003</v>
      </c>
      <c r="N103">
        <v>0</v>
      </c>
      <c r="O103">
        <v>-5.496473E-3</v>
      </c>
      <c r="P103">
        <v>0.99852510000000005</v>
      </c>
      <c r="Q103">
        <v>5.406391E-2</v>
      </c>
      <c r="R103">
        <v>-5.0168309999999898E-3</v>
      </c>
      <c r="S103">
        <v>3.0464169999999999</v>
      </c>
      <c r="T103">
        <v>-0.83746949999999998</v>
      </c>
      <c r="U103">
        <v>-0.49029539999999999</v>
      </c>
      <c r="V103">
        <v>-4.6951719999999998E-4</v>
      </c>
      <c r="W103">
        <v>6.3392379999999998E-2</v>
      </c>
      <c r="X103">
        <v>0.9979886</v>
      </c>
      <c r="Y103">
        <v>0.1483025</v>
      </c>
      <c r="Z103">
        <v>-1.8417570000000001E-2</v>
      </c>
      <c r="AA103">
        <v>0.9887705</v>
      </c>
      <c r="AB103">
        <v>6</v>
      </c>
      <c r="AC103">
        <v>0.62479999999999303</v>
      </c>
      <c r="AD103">
        <v>-0.18650749999999899</v>
      </c>
      <c r="AE103">
        <v>-0.10899999999998</v>
      </c>
      <c r="AF103">
        <v>9.7161939109988896E-2</v>
      </c>
      <c r="AG103">
        <v>-0.18650749999999899</v>
      </c>
      <c r="AH103">
        <v>0.575613580660994</v>
      </c>
      <c r="AI103">
        <v>107.718445632702</v>
      </c>
      <c r="AJ103">
        <v>80.418949707992994</v>
      </c>
      <c r="AK103">
        <v>0.61282663470938803</v>
      </c>
      <c r="AL103">
        <v>86.365447205838294</v>
      </c>
      <c r="AM103">
        <v>90.026955570418394</v>
      </c>
      <c r="AN103">
        <v>1.00000003000921</v>
      </c>
    </row>
    <row r="104" spans="1:40" x14ac:dyDescent="0.25">
      <c r="A104" t="str">
        <f>"20190312150947820"</f>
        <v>20190312150947820</v>
      </c>
      <c r="B104" t="str">
        <f>"1552374587811192"</f>
        <v>1552374587811192</v>
      </c>
      <c r="C104" t="s">
        <v>40</v>
      </c>
      <c r="D104">
        <v>5.1540530000000002</v>
      </c>
      <c r="E104">
        <v>0.55971910000000002</v>
      </c>
      <c r="F104" t="s">
        <v>41</v>
      </c>
      <c r="G104">
        <v>-471.10910000000001</v>
      </c>
      <c r="H104">
        <v>0.91637170000000001</v>
      </c>
      <c r="I104">
        <v>367.0754</v>
      </c>
      <c r="J104">
        <v>-471.77100000000002</v>
      </c>
      <c r="K104">
        <v>1.1106130000000001</v>
      </c>
      <c r="L104">
        <v>367.1884</v>
      </c>
      <c r="M104">
        <v>0.99992550000000002</v>
      </c>
      <c r="N104">
        <v>0</v>
      </c>
      <c r="O104">
        <v>-5.4974519999999999E-3</v>
      </c>
      <c r="P104">
        <v>0.99865930000000003</v>
      </c>
      <c r="Q104">
        <v>5.1560309999999998E-2</v>
      </c>
      <c r="R104">
        <v>-4.6352479999999998E-3</v>
      </c>
      <c r="S104">
        <v>3.0469970000000002</v>
      </c>
      <c r="T104">
        <v>-0.83150429999999997</v>
      </c>
      <c r="U104">
        <v>-0.48547360000000001</v>
      </c>
      <c r="V104">
        <v>-8.5264979999999998E-4</v>
      </c>
      <c r="W104">
        <v>6.2450110000000003E-2</v>
      </c>
      <c r="X104">
        <v>0.99804769999999998</v>
      </c>
      <c r="Y104">
        <v>0.14686959999999999</v>
      </c>
      <c r="Z104">
        <v>-1.8098650000000001E-2</v>
      </c>
      <c r="AA104">
        <v>0.98899020000000004</v>
      </c>
      <c r="AB104">
        <v>5</v>
      </c>
      <c r="AC104">
        <v>0.66189999999994598</v>
      </c>
      <c r="AD104">
        <v>-0.19424129999999901</v>
      </c>
      <c r="AE104">
        <v>-0.112999999999999</v>
      </c>
      <c r="AF104">
        <v>0.10091476651612299</v>
      </c>
      <c r="AG104">
        <v>-0.19424129999999901</v>
      </c>
      <c r="AH104">
        <v>0.61135321772967599</v>
      </c>
      <c r="AI104">
        <v>107.40524039179201</v>
      </c>
      <c r="AJ104">
        <v>80.626829977505395</v>
      </c>
      <c r="AK104">
        <v>0.64935832138744698</v>
      </c>
      <c r="AL104">
        <v>86.419542301720895</v>
      </c>
      <c r="AM104">
        <v>90.048948785771799</v>
      </c>
      <c r="AN104">
        <v>0.99999997736299095</v>
      </c>
    </row>
    <row r="105" spans="1:40" x14ac:dyDescent="0.25">
      <c r="A105" t="str">
        <f>"20190312150947843"</f>
        <v>20190312150947843</v>
      </c>
      <c r="B105" t="str">
        <f>"1552374587830710"</f>
        <v>1552374587830710</v>
      </c>
      <c r="C105" t="s">
        <v>40</v>
      </c>
      <c r="D105">
        <v>5.1535849999999996</v>
      </c>
      <c r="E105">
        <v>0.56000509999999903</v>
      </c>
      <c r="F105" t="s">
        <v>41</v>
      </c>
      <c r="G105">
        <v>-471.06459999999998</v>
      </c>
      <c r="H105">
        <v>0.91573950000000004</v>
      </c>
      <c r="I105">
        <v>367.0752</v>
      </c>
      <c r="J105">
        <v>-471.72050000000002</v>
      </c>
      <c r="K105">
        <v>1.110581</v>
      </c>
      <c r="L105">
        <v>367.18810000000002</v>
      </c>
      <c r="M105">
        <v>0.99992590000000003</v>
      </c>
      <c r="N105">
        <v>0</v>
      </c>
      <c r="O105">
        <v>-5.5001119999999997E-3</v>
      </c>
      <c r="P105">
        <v>0.99864640000000005</v>
      </c>
      <c r="Q105">
        <v>5.1869400000000003E-2</v>
      </c>
      <c r="R105">
        <v>-3.9141690000000003E-3</v>
      </c>
      <c r="S105">
        <v>3.045166</v>
      </c>
      <c r="T105">
        <v>-0.84014449999999996</v>
      </c>
      <c r="U105">
        <v>-0.48522949999999998</v>
      </c>
      <c r="V105">
        <v>-1.576952E-3</v>
      </c>
      <c r="W105">
        <v>6.2723260000000003E-2</v>
      </c>
      <c r="X105">
        <v>0.99802970000000002</v>
      </c>
      <c r="Y105">
        <v>0.14677609999999999</v>
      </c>
      <c r="Z105">
        <v>-1.8277359999999999E-2</v>
      </c>
      <c r="AA105">
        <v>0.98900089999999996</v>
      </c>
      <c r="AB105">
        <v>5</v>
      </c>
      <c r="AC105">
        <v>0.65590000000003101</v>
      </c>
      <c r="AD105">
        <v>-0.1948415</v>
      </c>
      <c r="AE105">
        <v>-0.112900000000024</v>
      </c>
      <c r="AF105">
        <v>0.100663199168919</v>
      </c>
      <c r="AG105">
        <v>-0.1948415</v>
      </c>
      <c r="AH105">
        <v>0.60468633158817098</v>
      </c>
      <c r="AI105">
        <v>107.63259974922801</v>
      </c>
      <c r="AJ105">
        <v>80.548543524966206</v>
      </c>
      <c r="AK105">
        <v>0.64322768083994297</v>
      </c>
      <c r="AL105">
        <v>86.403861255543305</v>
      </c>
      <c r="AM105">
        <v>90.090530992116896</v>
      </c>
      <c r="AN105">
        <v>0.99999998810236301</v>
      </c>
    </row>
    <row r="106" spans="1:40" x14ac:dyDescent="0.25">
      <c r="A106" t="str">
        <f>"20190312150947864"</f>
        <v>20190312150947864</v>
      </c>
      <c r="B106" t="str">
        <f>"1552374587860966"</f>
        <v>1552374587860966</v>
      </c>
      <c r="C106" t="s">
        <v>40</v>
      </c>
      <c r="D106">
        <v>5.1641000000000004</v>
      </c>
      <c r="E106">
        <v>0.56018849999999998</v>
      </c>
      <c r="F106" t="s">
        <v>41</v>
      </c>
      <c r="G106">
        <v>-471.01519999999999</v>
      </c>
      <c r="H106">
        <v>0.91580839999999997</v>
      </c>
      <c r="I106">
        <v>367.07569999999998</v>
      </c>
      <c r="J106">
        <v>-471.66419999999999</v>
      </c>
      <c r="K106">
        <v>1.110179</v>
      </c>
      <c r="L106">
        <v>367.18779999999998</v>
      </c>
      <c r="M106">
        <v>0.99993989999999999</v>
      </c>
      <c r="N106">
        <v>0</v>
      </c>
      <c r="O106">
        <v>-5.5008000000000001E-3</v>
      </c>
      <c r="P106">
        <v>0.99859600000000004</v>
      </c>
      <c r="Q106">
        <v>5.2859820000000002E-2</v>
      </c>
      <c r="R106">
        <v>-3.4441860000000001E-3</v>
      </c>
      <c r="S106">
        <v>3.045868</v>
      </c>
      <c r="T106">
        <v>-0.84117869999999995</v>
      </c>
      <c r="U106">
        <v>-0.485321</v>
      </c>
      <c r="V106">
        <v>-2.0467129999999999E-3</v>
      </c>
      <c r="W106">
        <v>6.2325409999999998E-2</v>
      </c>
      <c r="X106">
        <v>0.99805379999999999</v>
      </c>
      <c r="Y106">
        <v>0.14675949999999999</v>
      </c>
      <c r="Z106">
        <v>-1.8292610000000001E-2</v>
      </c>
      <c r="AA106">
        <v>0.98900310000000002</v>
      </c>
      <c r="AB106">
        <v>5</v>
      </c>
      <c r="AC106">
        <v>0.64900000000000002</v>
      </c>
      <c r="AD106">
        <v>-0.19437059999999901</v>
      </c>
      <c r="AE106">
        <v>-0.11209999999999801</v>
      </c>
      <c r="AF106">
        <v>9.9832952677246595E-2</v>
      </c>
      <c r="AG106">
        <v>-0.19437059999999901</v>
      </c>
      <c r="AH106">
        <v>0.59756095678627896</v>
      </c>
      <c r="AI106">
        <v>107.787627624168</v>
      </c>
      <c r="AJ106">
        <v>80.515339718660599</v>
      </c>
      <c r="AK106">
        <v>0.63625910261461105</v>
      </c>
      <c r="AL106">
        <v>86.426701171748704</v>
      </c>
      <c r="AM106">
        <v>90.117496524124405</v>
      </c>
      <c r="AN106">
        <v>1.0000000167301</v>
      </c>
    </row>
    <row r="107" spans="1:40" x14ac:dyDescent="0.25">
      <c r="A107" t="str">
        <f>"20190312150947877"</f>
        <v>20190312150947877</v>
      </c>
      <c r="B107" t="str">
        <f>"1552374587870726"</f>
        <v>1552374587870726</v>
      </c>
      <c r="C107" t="s">
        <v>40</v>
      </c>
      <c r="D107">
        <v>5.1970999999999998</v>
      </c>
      <c r="E107">
        <v>0.56033750000000004</v>
      </c>
      <c r="F107" t="s">
        <v>41</v>
      </c>
      <c r="G107">
        <v>-470.9622</v>
      </c>
      <c r="H107">
        <v>0.91656979999999999</v>
      </c>
      <c r="I107">
        <v>367.07549999999998</v>
      </c>
      <c r="J107">
        <v>-471.63069999999999</v>
      </c>
      <c r="K107">
        <v>1.1099270000000001</v>
      </c>
      <c r="L107">
        <v>367.18759999999997</v>
      </c>
      <c r="M107">
        <v>0.99994850000000002</v>
      </c>
      <c r="N107">
        <v>0</v>
      </c>
      <c r="O107">
        <v>-5.5010619999999897E-3</v>
      </c>
      <c r="P107">
        <v>0.99856659999999997</v>
      </c>
      <c r="Q107">
        <v>5.3392099999999901E-2</v>
      </c>
      <c r="R107">
        <v>-3.7259319999999999E-3</v>
      </c>
      <c r="S107">
        <v>3.0469970000000002</v>
      </c>
      <c r="T107">
        <v>-0.84044719999999995</v>
      </c>
      <c r="U107">
        <v>-0.4859619</v>
      </c>
      <c r="V107">
        <v>-1.7650210000000001E-3</v>
      </c>
      <c r="W107">
        <v>6.1909939999999997E-2</v>
      </c>
      <c r="X107">
        <v>0.99808019999999997</v>
      </c>
      <c r="Y107">
        <v>0.1469124</v>
      </c>
      <c r="Z107">
        <v>-1.8291040000000001E-2</v>
      </c>
      <c r="AA107">
        <v>0.98898039999999998</v>
      </c>
      <c r="AB107">
        <v>6</v>
      </c>
      <c r="AC107">
        <v>0.66849999999999399</v>
      </c>
      <c r="AD107">
        <v>-0.19335720000000001</v>
      </c>
      <c r="AE107">
        <v>-0.11209999999999801</v>
      </c>
      <c r="AF107">
        <v>0.10026218897091201</v>
      </c>
      <c r="AG107">
        <v>-0.19335720000000001</v>
      </c>
      <c r="AH107">
        <v>0.61875715381129404</v>
      </c>
      <c r="AI107">
        <v>107.143397311407</v>
      </c>
      <c r="AJ107">
        <v>80.795903724098494</v>
      </c>
      <c r="AK107">
        <v>0.65597250607150603</v>
      </c>
      <c r="AL107">
        <v>86.450551923272698</v>
      </c>
      <c r="AM107">
        <v>90.101322667890599</v>
      </c>
      <c r="AN107">
        <v>1.00000002080098</v>
      </c>
    </row>
    <row r="108" spans="1:40" x14ac:dyDescent="0.25">
      <c r="A108" t="str">
        <f>"20190312150947900"</f>
        <v>20190312150947900</v>
      </c>
      <c r="B108" t="str">
        <f>"1552374587891222"</f>
        <v>1552374587891222</v>
      </c>
      <c r="C108" t="s">
        <v>40</v>
      </c>
      <c r="D108">
        <v>5.1052650000000002</v>
      </c>
      <c r="E108">
        <v>0.56050599999999995</v>
      </c>
      <c r="F108" t="s">
        <v>41</v>
      </c>
      <c r="G108">
        <v>-470.90980000000002</v>
      </c>
      <c r="H108">
        <v>0.91139950000000003</v>
      </c>
      <c r="I108">
        <v>367.07170000000002</v>
      </c>
      <c r="J108">
        <v>-471.57170000000002</v>
      </c>
      <c r="K108">
        <v>1.1097030000000001</v>
      </c>
      <c r="L108">
        <v>367.18729999999999</v>
      </c>
      <c r="M108">
        <v>0.9999574</v>
      </c>
      <c r="N108">
        <v>0</v>
      </c>
      <c r="O108">
        <v>-5.500591E-3</v>
      </c>
      <c r="P108">
        <v>0.99852320000000006</v>
      </c>
      <c r="Q108">
        <v>5.4172720000000001E-2</v>
      </c>
      <c r="R108">
        <v>-4.0959280000000004E-3</v>
      </c>
      <c r="S108">
        <v>3.0473940000000002</v>
      </c>
      <c r="T108">
        <v>-0.8391788</v>
      </c>
      <c r="U108">
        <v>-0.48828129999999997</v>
      </c>
      <c r="V108">
        <v>-1.3943060000000001E-3</v>
      </c>
      <c r="W108">
        <v>6.1585840000000003E-2</v>
      </c>
      <c r="X108">
        <v>0.99810080000000001</v>
      </c>
      <c r="Y108">
        <v>0.14761840000000001</v>
      </c>
      <c r="Z108">
        <v>-1.835612E-2</v>
      </c>
      <c r="AA108">
        <v>0.98887400000000003</v>
      </c>
      <c r="AB108">
        <v>6</v>
      </c>
      <c r="AC108">
        <v>0.66190000000000204</v>
      </c>
      <c r="AD108">
        <v>-0.19830349999999999</v>
      </c>
      <c r="AE108">
        <v>-0.115599999999972</v>
      </c>
      <c r="AF108">
        <v>0.102986961176358</v>
      </c>
      <c r="AG108">
        <v>-0.19830349999999999</v>
      </c>
      <c r="AH108">
        <v>0.60944235190550999</v>
      </c>
      <c r="AI108">
        <v>107.788136331053</v>
      </c>
      <c r="AJ108">
        <v>80.408454318819693</v>
      </c>
      <c r="AK108">
        <v>0.64911522288474399</v>
      </c>
      <c r="AL108">
        <v>86.469156855360396</v>
      </c>
      <c r="AM108">
        <v>90.080039808787703</v>
      </c>
      <c r="AN108">
        <v>0.99999998336918305</v>
      </c>
    </row>
    <row r="109" spans="1:40" x14ac:dyDescent="0.25">
      <c r="A109" t="str">
        <f>"20190312150947922"</f>
        <v>20190312150947922</v>
      </c>
      <c r="B109" t="str">
        <f>"1552374587910741"</f>
        <v>1552374587910741</v>
      </c>
      <c r="C109" t="s">
        <v>40</v>
      </c>
      <c r="D109">
        <v>5.2020650000000002</v>
      </c>
      <c r="E109">
        <v>0.56069919999999995</v>
      </c>
      <c r="F109" t="s">
        <v>41</v>
      </c>
      <c r="G109">
        <v>-470.8587</v>
      </c>
      <c r="H109">
        <v>0.91383639999999999</v>
      </c>
      <c r="I109">
        <v>367.0718</v>
      </c>
      <c r="J109">
        <v>-471.51569999999998</v>
      </c>
      <c r="K109">
        <v>1.1101129999999999</v>
      </c>
      <c r="L109">
        <v>367.18700000000001</v>
      </c>
      <c r="M109">
        <v>0.99994890000000003</v>
      </c>
      <c r="N109">
        <v>0</v>
      </c>
      <c r="O109">
        <v>-5.5000639999999998E-3</v>
      </c>
      <c r="P109">
        <v>0.99854730000000003</v>
      </c>
      <c r="Q109">
        <v>5.3713900000000002E-2</v>
      </c>
      <c r="R109">
        <v>-4.2559010000000003E-3</v>
      </c>
      <c r="S109">
        <v>3.047882</v>
      </c>
      <c r="T109">
        <v>-0.83733009999999997</v>
      </c>
      <c r="U109">
        <v>-0.49093629999999999</v>
      </c>
      <c r="V109">
        <v>-1.23387E-3</v>
      </c>
      <c r="W109">
        <v>6.2191690000000001E-2</v>
      </c>
      <c r="X109">
        <v>0.99806340000000004</v>
      </c>
      <c r="Y109">
        <v>0.14842929999999999</v>
      </c>
      <c r="Z109">
        <v>-1.8421940000000001E-2</v>
      </c>
      <c r="AA109">
        <v>0.98875139999999995</v>
      </c>
      <c r="AB109">
        <v>6</v>
      </c>
      <c r="AC109">
        <v>0.65699999999998204</v>
      </c>
      <c r="AD109">
        <v>-0.196276599999999</v>
      </c>
      <c r="AE109">
        <v>-0.115199999999958</v>
      </c>
      <c r="AF109">
        <v>0.10269268488901701</v>
      </c>
      <c r="AG109">
        <v>-0.196276599999999</v>
      </c>
      <c r="AH109">
        <v>0.60521928143989401</v>
      </c>
      <c r="AI109">
        <v>107.730976329638</v>
      </c>
      <c r="AJ109">
        <v>80.369860201605505</v>
      </c>
      <c r="AK109">
        <v>0.64448480964557797</v>
      </c>
      <c r="AL109">
        <v>86.434377379775597</v>
      </c>
      <c r="AM109">
        <v>90.070832682024005</v>
      </c>
      <c r="AN109">
        <v>0.99999993957989397</v>
      </c>
    </row>
    <row r="110" spans="1:40" x14ac:dyDescent="0.25">
      <c r="A110" t="str">
        <f>"20190312150947943"</f>
        <v>20190312150947943</v>
      </c>
      <c r="B110" t="str">
        <f>"1552374587940997"</f>
        <v>1552374587940997</v>
      </c>
      <c r="C110" t="s">
        <v>40</v>
      </c>
      <c r="D110">
        <v>5.1714589999999996</v>
      </c>
      <c r="E110">
        <v>0.561007699999999</v>
      </c>
      <c r="F110" t="s">
        <v>41</v>
      </c>
      <c r="G110">
        <v>-470.81150000000002</v>
      </c>
      <c r="H110">
        <v>0.91610599999999998</v>
      </c>
      <c r="I110">
        <v>367.0727</v>
      </c>
      <c r="J110">
        <v>-471.4667</v>
      </c>
      <c r="K110">
        <v>1.1105689999999999</v>
      </c>
      <c r="L110">
        <v>367.18669999999997</v>
      </c>
      <c r="M110">
        <v>0.99993480000000001</v>
      </c>
      <c r="N110">
        <v>0</v>
      </c>
      <c r="O110">
        <v>-5.5005430000000001E-3</v>
      </c>
      <c r="P110">
        <v>0.99863760000000001</v>
      </c>
      <c r="Q110">
        <v>5.202176E-2</v>
      </c>
      <c r="R110">
        <v>-4.118104E-3</v>
      </c>
      <c r="S110">
        <v>3.0474239999999999</v>
      </c>
      <c r="T110">
        <v>-0.83950360000000002</v>
      </c>
      <c r="U110">
        <v>-0.49343870000000001</v>
      </c>
      <c r="V110">
        <v>-1.3728519999999999E-3</v>
      </c>
      <c r="W110">
        <v>6.2020359999999997E-2</v>
      </c>
      <c r="X110">
        <v>0.99807389999999996</v>
      </c>
      <c r="Y110">
        <v>0.14918870000000001</v>
      </c>
      <c r="Z110">
        <v>-1.857149E-2</v>
      </c>
      <c r="AA110">
        <v>0.98863429999999997</v>
      </c>
      <c r="AB110">
        <v>6</v>
      </c>
      <c r="AC110">
        <v>0.65519999999997902</v>
      </c>
      <c r="AD110">
        <v>-0.194463</v>
      </c>
      <c r="AE110">
        <v>-0.113999999999975</v>
      </c>
      <c r="AF110">
        <v>0.10169874489441</v>
      </c>
      <c r="AG110">
        <v>-0.194463</v>
      </c>
      <c r="AH110">
        <v>0.60416055359976695</v>
      </c>
      <c r="AI110">
        <v>107.60983158786701</v>
      </c>
      <c r="AJ110">
        <v>80.444939838320707</v>
      </c>
      <c r="AK110">
        <v>0.64278181959983505</v>
      </c>
      <c r="AL110">
        <v>86.444212925161693</v>
      </c>
      <c r="AM110">
        <v>90.078810372547196</v>
      </c>
      <c r="AN110">
        <v>0.999999959819175</v>
      </c>
    </row>
    <row r="111" spans="1:40" x14ac:dyDescent="0.25">
      <c r="A111" t="str">
        <f>"20190312150947965"</f>
        <v>20190312150947965</v>
      </c>
      <c r="B111" t="str">
        <f>"1552374587960517"</f>
        <v>1552374587960517</v>
      </c>
      <c r="C111" t="s">
        <v>40</v>
      </c>
      <c r="D111">
        <v>5.1905849999999996</v>
      </c>
      <c r="E111">
        <v>0.56119649999999999</v>
      </c>
      <c r="F111" t="s">
        <v>41</v>
      </c>
      <c r="G111">
        <v>-470.7645</v>
      </c>
      <c r="H111">
        <v>0.91578689999999996</v>
      </c>
      <c r="I111">
        <v>367.07159999999999</v>
      </c>
      <c r="J111">
        <v>-471.41300000000001</v>
      </c>
      <c r="K111">
        <v>1.1106049999999901</v>
      </c>
      <c r="L111">
        <v>367.18639999999999</v>
      </c>
      <c r="M111">
        <v>0.99993160000000003</v>
      </c>
      <c r="N111">
        <v>0</v>
      </c>
      <c r="O111">
        <v>-5.5017540000000002E-3</v>
      </c>
      <c r="P111">
        <v>0.99864450000000005</v>
      </c>
      <c r="Q111">
        <v>5.1920529999999999E-2</v>
      </c>
      <c r="R111">
        <v>-3.6760069999999998E-3</v>
      </c>
      <c r="S111">
        <v>3.0460210000000001</v>
      </c>
      <c r="T111">
        <v>-0.84479729999999997</v>
      </c>
      <c r="U111">
        <v>-0.4968262</v>
      </c>
      <c r="V111">
        <v>-1.8163840000000001E-3</v>
      </c>
      <c r="W111">
        <v>6.2228329999999998E-2</v>
      </c>
      <c r="X111">
        <v>0.99806030000000001</v>
      </c>
      <c r="Y111">
        <v>0.150224</v>
      </c>
      <c r="Z111">
        <v>-1.883077E-2</v>
      </c>
      <c r="AA111">
        <v>0.98847260000000003</v>
      </c>
      <c r="AB111">
        <v>5</v>
      </c>
      <c r="AC111">
        <v>0.64850000000001196</v>
      </c>
      <c r="AD111">
        <v>-0.19481809999999899</v>
      </c>
      <c r="AE111">
        <v>-0.114800000000002</v>
      </c>
      <c r="AF111">
        <v>0.102280065023224</v>
      </c>
      <c r="AG111">
        <v>-0.19481809999999899</v>
      </c>
      <c r="AH111">
        <v>0.59689033122763502</v>
      </c>
      <c r="AI111">
        <v>107.83296511042001</v>
      </c>
      <c r="AJ111">
        <v>80.276523732798793</v>
      </c>
      <c r="AK111">
        <v>0.6361551471943</v>
      </c>
      <c r="AL111">
        <v>86.432274251794993</v>
      </c>
      <c r="AM111">
        <v>90.104273281161198</v>
      </c>
      <c r="AN111">
        <v>1.0000000133707501</v>
      </c>
    </row>
    <row r="112" spans="1:40" x14ac:dyDescent="0.25">
      <c r="A112" t="str">
        <f>"20190312150947979"</f>
        <v>20190312150947979</v>
      </c>
      <c r="B112" t="str">
        <f>"1552374587971253"</f>
        <v>1552374587971253</v>
      </c>
      <c r="C112" t="s">
        <v>40</v>
      </c>
      <c r="D112">
        <v>5.4912099999999997</v>
      </c>
      <c r="E112">
        <v>0.56141059999999998</v>
      </c>
      <c r="F112" t="s">
        <v>41</v>
      </c>
      <c r="G112">
        <v>-470.71260000000001</v>
      </c>
      <c r="H112">
        <v>0.91625540000000005</v>
      </c>
      <c r="I112">
        <v>367.0718</v>
      </c>
      <c r="J112">
        <v>-471.37880000000001</v>
      </c>
      <c r="K112">
        <v>1.1104149999999999</v>
      </c>
      <c r="L112">
        <v>367.18630000000002</v>
      </c>
      <c r="M112">
        <v>0.99993710000000002</v>
      </c>
      <c r="N112">
        <v>0</v>
      </c>
      <c r="O112">
        <v>-5.5022339999999999E-3</v>
      </c>
      <c r="P112">
        <v>0.99859739999999997</v>
      </c>
      <c r="Q112">
        <v>5.2834880000000001E-2</v>
      </c>
      <c r="R112">
        <v>-3.4188740000000001E-3</v>
      </c>
      <c r="S112">
        <v>3.046173</v>
      </c>
      <c r="T112">
        <v>-0.845356</v>
      </c>
      <c r="U112">
        <v>-0.49801640000000003</v>
      </c>
      <c r="V112">
        <v>-2.0738050000000002E-3</v>
      </c>
      <c r="W112">
        <v>6.2597150000000004E-2</v>
      </c>
      <c r="X112">
        <v>0.9980367</v>
      </c>
      <c r="Y112">
        <v>0.15057309999999999</v>
      </c>
      <c r="Z112">
        <v>-1.8888430000000001E-2</v>
      </c>
      <c r="AA112">
        <v>0.98841840000000003</v>
      </c>
      <c r="AB112">
        <v>5</v>
      </c>
      <c r="AC112">
        <v>0.66620000000000301</v>
      </c>
      <c r="AD112">
        <v>-0.19415959999999899</v>
      </c>
      <c r="AE112">
        <v>-0.11450000000002</v>
      </c>
      <c r="AF112">
        <v>0.102385476587442</v>
      </c>
      <c r="AG112">
        <v>-0.19415959999999899</v>
      </c>
      <c r="AH112">
        <v>0.61599870462208495</v>
      </c>
      <c r="AI112">
        <v>107.27199606953</v>
      </c>
      <c r="AJ112">
        <v>80.563107543876896</v>
      </c>
      <c r="AK112">
        <v>0.65393817764700302</v>
      </c>
      <c r="AL112">
        <v>86.411101021193105</v>
      </c>
      <c r="AM112">
        <v>90.119053841434095</v>
      </c>
      <c r="AN112">
        <v>0.99999997920109496</v>
      </c>
    </row>
    <row r="113" spans="1:40" x14ac:dyDescent="0.25">
      <c r="A113" t="str">
        <f>"20190312150947999"</f>
        <v>20190312150947999</v>
      </c>
      <c r="B113" t="str">
        <f>"1552374587990773"</f>
        <v>1552374587990773</v>
      </c>
      <c r="C113" t="s">
        <v>40</v>
      </c>
      <c r="D113">
        <v>5.2214</v>
      </c>
      <c r="E113">
        <v>0.56152049999999998</v>
      </c>
      <c r="F113" t="s">
        <v>41</v>
      </c>
      <c r="G113">
        <v>-470.65899999999999</v>
      </c>
      <c r="H113">
        <v>0.91149840000000004</v>
      </c>
      <c r="I113">
        <v>367.06779999999998</v>
      </c>
      <c r="J113">
        <v>-471.32100000000003</v>
      </c>
      <c r="K113">
        <v>1.1099939999999999</v>
      </c>
      <c r="L113">
        <v>367.1859</v>
      </c>
      <c r="M113">
        <v>0.99995009999999995</v>
      </c>
      <c r="N113">
        <v>0</v>
      </c>
      <c r="O113">
        <v>-5.5023160000000002E-3</v>
      </c>
      <c r="P113">
        <v>0.99847059999999999</v>
      </c>
      <c r="Q113">
        <v>5.521856E-2</v>
      </c>
      <c r="R113">
        <v>-2.7581239999999998E-3</v>
      </c>
      <c r="S113">
        <v>3.0470579999999998</v>
      </c>
      <c r="T113">
        <v>-0.84216069999999998</v>
      </c>
      <c r="U113">
        <v>-0.49945070000000003</v>
      </c>
      <c r="V113">
        <v>-2.7332379999999998E-3</v>
      </c>
      <c r="W113">
        <v>6.3551780000000002E-2</v>
      </c>
      <c r="X113">
        <v>0.99797480000000005</v>
      </c>
      <c r="Y113">
        <v>0.15100759999999999</v>
      </c>
      <c r="Z113">
        <v>-1.887227E-2</v>
      </c>
      <c r="AA113">
        <v>0.98835240000000002</v>
      </c>
      <c r="AB113">
        <v>6</v>
      </c>
      <c r="AC113">
        <v>0.66199999999997705</v>
      </c>
      <c r="AD113">
        <v>-0.19849559999999999</v>
      </c>
      <c r="AE113">
        <v>-0.118100000000026</v>
      </c>
      <c r="AF113">
        <v>0.105282080542767</v>
      </c>
      <c r="AG113">
        <v>-0.19849559999999999</v>
      </c>
      <c r="AH113">
        <v>0.60953005728930099</v>
      </c>
      <c r="AI113">
        <v>107.791524897787</v>
      </c>
      <c r="AJ113">
        <v>80.200186372092801</v>
      </c>
      <c r="AK113">
        <v>0.64962428406108097</v>
      </c>
      <c r="AL113">
        <v>86.356295698006093</v>
      </c>
      <c r="AM113">
        <v>90.156920405454997</v>
      </c>
      <c r="AN113">
        <v>1.00000000038308</v>
      </c>
    </row>
    <row r="114" spans="1:40" x14ac:dyDescent="0.25">
      <c r="A114" t="str">
        <f>"20190312150948022"</f>
        <v>20190312150948022</v>
      </c>
      <c r="B114" t="str">
        <f>"1552374588011272"</f>
        <v>1552374588011272</v>
      </c>
      <c r="C114" t="s">
        <v>40</v>
      </c>
      <c r="D114">
        <v>5.0414269999999997</v>
      </c>
      <c r="E114">
        <v>0.56128080000000002</v>
      </c>
      <c r="F114" t="s">
        <v>41</v>
      </c>
      <c r="G114">
        <v>-470.60120000000001</v>
      </c>
      <c r="H114">
        <v>0.91280519999999998</v>
      </c>
      <c r="I114">
        <v>367.06799999999998</v>
      </c>
      <c r="J114">
        <v>-471.2577</v>
      </c>
      <c r="K114">
        <v>1.1096170000000001</v>
      </c>
      <c r="L114">
        <v>367.18560000000002</v>
      </c>
      <c r="M114">
        <v>0.99995880000000004</v>
      </c>
      <c r="N114">
        <v>0</v>
      </c>
      <c r="O114">
        <v>-5.5018059999999997E-3</v>
      </c>
      <c r="P114">
        <v>0.99841179999999996</v>
      </c>
      <c r="Q114">
        <v>5.632363E-2</v>
      </c>
      <c r="R114">
        <v>-1.4059140000000001E-3</v>
      </c>
      <c r="S114">
        <v>3.0494690000000002</v>
      </c>
      <c r="T114">
        <v>-0.83551229999999999</v>
      </c>
      <c r="U114">
        <v>-0.49832149999999997</v>
      </c>
      <c r="V114">
        <v>-4.0851860000000002E-3</v>
      </c>
      <c r="W114">
        <v>6.3547980000000004E-2</v>
      </c>
      <c r="X114">
        <v>0.99797040000000004</v>
      </c>
      <c r="Y114">
        <v>0.15063029999999999</v>
      </c>
      <c r="Z114">
        <v>-1.866464E-2</v>
      </c>
      <c r="AA114">
        <v>0.98841389999999996</v>
      </c>
      <c r="AB114">
        <v>6</v>
      </c>
      <c r="AC114">
        <v>0.65649999999999398</v>
      </c>
      <c r="AD114">
        <v>-0.19681180000000001</v>
      </c>
      <c r="AE114">
        <v>-0.117599999999981</v>
      </c>
      <c r="AF114">
        <v>0.104855430290012</v>
      </c>
      <c r="AG114">
        <v>-0.19681180000000001</v>
      </c>
      <c r="AH114">
        <v>0.60449772429314796</v>
      </c>
      <c r="AI114">
        <v>107.78566344199599</v>
      </c>
      <c r="AJ114">
        <v>80.159458954350598</v>
      </c>
      <c r="AK114">
        <v>0.64431905493795405</v>
      </c>
      <c r="AL114">
        <v>86.356513777245894</v>
      </c>
      <c r="AM114">
        <v>90.234538628560401</v>
      </c>
      <c r="AN114">
        <v>0.99999997689144704</v>
      </c>
    </row>
    <row r="115" spans="1:40" x14ac:dyDescent="0.25">
      <c r="A115" t="str">
        <f>"20190312150948043"</f>
        <v>20190312150948043</v>
      </c>
      <c r="B115" t="str">
        <f>"1552374588040549"</f>
        <v>1552374588040549</v>
      </c>
      <c r="C115" t="s">
        <v>40</v>
      </c>
      <c r="D115">
        <v>5.0965850000000001</v>
      </c>
      <c r="E115">
        <v>0.51992759999999905</v>
      </c>
      <c r="F115" t="s">
        <v>41</v>
      </c>
      <c r="G115">
        <v>-470.54169999999999</v>
      </c>
      <c r="H115">
        <v>0.91473789999999999</v>
      </c>
      <c r="I115">
        <v>367.06939999999997</v>
      </c>
      <c r="J115">
        <v>-471.19380000000001</v>
      </c>
      <c r="K115">
        <v>1.1094759999999999</v>
      </c>
      <c r="L115">
        <v>367.18520000000001</v>
      </c>
      <c r="M115">
        <v>0.99996090000000004</v>
      </c>
      <c r="N115">
        <v>0</v>
      </c>
      <c r="O115">
        <v>-5.5012050000000003E-3</v>
      </c>
      <c r="P115">
        <v>0.99839809999999996</v>
      </c>
      <c r="Q115">
        <v>5.6578179999999999E-2</v>
      </c>
      <c r="R115">
        <v>-5.2301339999999896E-4</v>
      </c>
      <c r="S115">
        <v>3.050964</v>
      </c>
      <c r="T115">
        <v>-0.83039430000000003</v>
      </c>
      <c r="U115">
        <v>-0.49252319999999999</v>
      </c>
      <c r="V115">
        <v>-4.9669859999999996E-3</v>
      </c>
      <c r="W115">
        <v>6.3498499999999999E-2</v>
      </c>
      <c r="X115">
        <v>0.99796960000000001</v>
      </c>
      <c r="Y115">
        <v>0.14885190000000001</v>
      </c>
      <c r="Z115">
        <v>-1.8312169999999999E-2</v>
      </c>
      <c r="AA115">
        <v>0.98868999999999996</v>
      </c>
      <c r="AB115">
        <v>6</v>
      </c>
      <c r="AC115">
        <v>0.652100000000018</v>
      </c>
      <c r="AD115">
        <v>-0.1947381</v>
      </c>
      <c r="AE115">
        <v>-0.115800000000035</v>
      </c>
      <c r="AF115">
        <v>0.103281623443472</v>
      </c>
      <c r="AG115">
        <v>-0.1947381</v>
      </c>
      <c r="AH115">
        <v>0.60078626988594497</v>
      </c>
      <c r="AI115">
        <v>107.716219888067</v>
      </c>
      <c r="AJ115">
        <v>80.245585037990494</v>
      </c>
      <c r="AK115">
        <v>0.63994856310190795</v>
      </c>
      <c r="AL115">
        <v>86.359354690548102</v>
      </c>
      <c r="AM115">
        <v>90.2851639818048</v>
      </c>
      <c r="AN115">
        <v>1.0000000264881601</v>
      </c>
    </row>
    <row r="116" spans="1:40" x14ac:dyDescent="0.25">
      <c r="A116" t="str">
        <f>"20190312150948065"</f>
        <v>20190312150948065</v>
      </c>
      <c r="B116" t="str">
        <f>"1552374588061045"</f>
        <v>1552374588061045</v>
      </c>
      <c r="C116" t="s">
        <v>40</v>
      </c>
      <c r="D116">
        <v>5.0929339999999996</v>
      </c>
      <c r="E116">
        <v>0.51741150000000002</v>
      </c>
      <c r="F116" t="s">
        <v>41</v>
      </c>
      <c r="G116">
        <v>-470.44869999999997</v>
      </c>
      <c r="H116">
        <v>0.99581560000000002</v>
      </c>
      <c r="I116">
        <v>367.14589999999998</v>
      </c>
      <c r="J116">
        <v>-471.1343</v>
      </c>
      <c r="K116">
        <v>1.109836</v>
      </c>
      <c r="L116">
        <v>367.18490000000003</v>
      </c>
      <c r="M116">
        <v>0.99994959999999999</v>
      </c>
      <c r="N116">
        <v>0</v>
      </c>
      <c r="O116">
        <v>-5.5012500000000001E-3</v>
      </c>
      <c r="P116">
        <v>0.9985079</v>
      </c>
      <c r="Q116">
        <v>5.4603390000000002E-2</v>
      </c>
      <c r="R116">
        <v>9.5992660000000004E-4</v>
      </c>
      <c r="S116">
        <v>3.0309140000000001</v>
      </c>
      <c r="T116">
        <v>-0.46231939999999999</v>
      </c>
      <c r="U116">
        <v>-0.15978999999999999</v>
      </c>
      <c r="V116">
        <v>-6.4504719999999996E-3</v>
      </c>
      <c r="W116">
        <v>6.2995010000000004E-2</v>
      </c>
      <c r="X116">
        <v>0.99799300000000002</v>
      </c>
      <c r="Y116">
        <v>4.6677429999999999E-2</v>
      </c>
      <c r="Z116">
        <v>-2.7033449999999998E-3</v>
      </c>
      <c r="AA116">
        <v>0.99890639999999997</v>
      </c>
      <c r="AB116">
        <v>7</v>
      </c>
      <c r="AC116">
        <v>0.68560000000002197</v>
      </c>
      <c r="AD116">
        <v>-0.11402039999999999</v>
      </c>
      <c r="AE116">
        <v>-3.9000000000044097E-2</v>
      </c>
      <c r="AF116">
        <v>3.4282487101947902E-2</v>
      </c>
      <c r="AG116">
        <v>-0.11402039999999999</v>
      </c>
      <c r="AH116">
        <v>0.66740452898612301</v>
      </c>
      <c r="AI116">
        <v>99.682376476464995</v>
      </c>
      <c r="AJ116">
        <v>87.059479102526097</v>
      </c>
      <c r="AK116">
        <v>0.67794155046673799</v>
      </c>
      <c r="AL116">
        <v>86.388260332224107</v>
      </c>
      <c r="AM116">
        <v>90.370322913077402</v>
      </c>
      <c r="AN116">
        <v>1.00000000396146</v>
      </c>
    </row>
    <row r="117" spans="1:40" x14ac:dyDescent="0.25">
      <c r="A117" t="str">
        <f>"20190312150948089"</f>
        <v>20190312150948089</v>
      </c>
      <c r="B117" t="str">
        <f>"1552374588080565"</f>
        <v>1552374588080565</v>
      </c>
      <c r="C117" t="s">
        <v>40</v>
      </c>
      <c r="D117">
        <v>5.0551870000000001</v>
      </c>
      <c r="E117">
        <v>0.51659699999999997</v>
      </c>
      <c r="F117" t="s">
        <v>41</v>
      </c>
      <c r="G117">
        <v>-470.39460000000003</v>
      </c>
      <c r="H117">
        <v>1.0011810000000001</v>
      </c>
      <c r="I117">
        <v>367.15159999999997</v>
      </c>
      <c r="J117">
        <v>-471.07619999999997</v>
      </c>
      <c r="K117">
        <v>1.1102080000000001</v>
      </c>
      <c r="L117">
        <v>367.18459999999999</v>
      </c>
      <c r="M117">
        <v>0.99993370000000004</v>
      </c>
      <c r="N117">
        <v>0</v>
      </c>
      <c r="O117">
        <v>-5.5021519999999997E-3</v>
      </c>
      <c r="P117">
        <v>0.99859330000000002</v>
      </c>
      <c r="Q117">
        <v>5.3009710000000002E-2</v>
      </c>
      <c r="R117">
        <v>1.1879760000000001E-3</v>
      </c>
      <c r="S117">
        <v>3.0289609999999998</v>
      </c>
      <c r="T117">
        <v>-0.44520559999999998</v>
      </c>
      <c r="U117">
        <v>-0.13497919999999999</v>
      </c>
      <c r="V117">
        <v>-6.6802709999999998E-3</v>
      </c>
      <c r="W117">
        <v>6.3114459999999997E-2</v>
      </c>
      <c r="X117">
        <v>0.99798390000000003</v>
      </c>
      <c r="Y117">
        <v>3.8665459999999999E-2</v>
      </c>
      <c r="Z117">
        <v>-2.0209960000000002E-3</v>
      </c>
      <c r="AA117">
        <v>0.99925019999999998</v>
      </c>
      <c r="AB117">
        <v>6</v>
      </c>
      <c r="AC117">
        <v>0.68159999999994603</v>
      </c>
      <c r="AD117">
        <v>-0.109027</v>
      </c>
      <c r="AE117">
        <v>-3.3000000000015399E-2</v>
      </c>
      <c r="AF117">
        <v>2.8520999007927799E-2</v>
      </c>
      <c r="AG117">
        <v>-0.109027</v>
      </c>
      <c r="AH117">
        <v>0.66480118064674998</v>
      </c>
      <c r="AI117">
        <v>99.305156456171503</v>
      </c>
      <c r="AJ117">
        <v>87.543428832395193</v>
      </c>
      <c r="AK117">
        <v>0.67428550622323402</v>
      </c>
      <c r="AL117">
        <v>86.381402556298795</v>
      </c>
      <c r="AM117">
        <v>90.383518830187299</v>
      </c>
      <c r="AN117">
        <v>0.999999962870466</v>
      </c>
    </row>
    <row r="118" spans="1:40" x14ac:dyDescent="0.25">
      <c r="A118" t="str">
        <f>"20190312150948111"</f>
        <v>20190312150948111</v>
      </c>
      <c r="B118" t="str">
        <f>"1552374588101061"</f>
        <v>1552374588101061</v>
      </c>
      <c r="C118" t="s">
        <v>40</v>
      </c>
      <c r="D118">
        <v>5.0563570000000002</v>
      </c>
      <c r="E118">
        <v>0.51615549999999999</v>
      </c>
      <c r="F118" t="s">
        <v>41</v>
      </c>
      <c r="G118">
        <v>-470.34219999999999</v>
      </c>
      <c r="H118">
        <v>1.0039990000000001</v>
      </c>
      <c r="I118">
        <v>367.15339999999998</v>
      </c>
      <c r="J118">
        <v>-471.01389999999998</v>
      </c>
      <c r="K118">
        <v>1.110093</v>
      </c>
      <c r="L118">
        <v>367.18430000000001</v>
      </c>
      <c r="M118">
        <v>0.99993240000000005</v>
      </c>
      <c r="N118">
        <v>0</v>
      </c>
      <c r="O118">
        <v>-5.5034280000000003E-3</v>
      </c>
      <c r="P118">
        <v>0.99862209999999996</v>
      </c>
      <c r="Q118">
        <v>5.2472989999999997E-2</v>
      </c>
      <c r="R118">
        <v>9.3098370000000005E-4</v>
      </c>
      <c r="S118">
        <v>3.0276489999999998</v>
      </c>
      <c r="T118">
        <v>-0.43826789999999999</v>
      </c>
      <c r="U118">
        <v>-0.1281128</v>
      </c>
      <c r="V118">
        <v>-6.4248889999999996E-3</v>
      </c>
      <c r="W118">
        <v>6.2711370000000002E-2</v>
      </c>
      <c r="X118">
        <v>0.99801110000000004</v>
      </c>
      <c r="Y118">
        <v>3.6455010000000003E-2</v>
      </c>
      <c r="Z118">
        <v>-1.831505E-3</v>
      </c>
      <c r="AA118">
        <v>0.99933360000000004</v>
      </c>
      <c r="AB118">
        <v>6</v>
      </c>
      <c r="AC118">
        <v>0.67169999999998697</v>
      </c>
      <c r="AD118">
        <v>-0.10609399999999899</v>
      </c>
      <c r="AE118">
        <v>-3.0900000000031E-2</v>
      </c>
      <c r="AF118">
        <v>2.6541923225900099E-2</v>
      </c>
      <c r="AG118">
        <v>-0.10609399999999899</v>
      </c>
      <c r="AH118">
        <v>0.65554019155700005</v>
      </c>
      <c r="AI118">
        <v>99.185759496039907</v>
      </c>
      <c r="AJ118">
        <v>87.681438881781602</v>
      </c>
      <c r="AK118">
        <v>0.66460014540407597</v>
      </c>
      <c r="AL118">
        <v>86.404544160540595</v>
      </c>
      <c r="AM118">
        <v>90.368847539108799</v>
      </c>
      <c r="AN118">
        <v>1.0000000754245699</v>
      </c>
    </row>
    <row r="119" spans="1:40" x14ac:dyDescent="0.25">
      <c r="A119" t="str">
        <f>"20190312150948135"</f>
        <v>20190312150948135</v>
      </c>
      <c r="B119" t="str">
        <f>"1552374588131318"</f>
        <v>1552374588131318</v>
      </c>
      <c r="C119" t="s">
        <v>40</v>
      </c>
      <c r="D119">
        <v>5.0647909999999996</v>
      </c>
      <c r="E119">
        <v>0.51563930000000002</v>
      </c>
      <c r="F119" t="s">
        <v>41</v>
      </c>
      <c r="G119">
        <v>-470.28579999999999</v>
      </c>
      <c r="H119">
        <v>1.0056529999999999</v>
      </c>
      <c r="I119">
        <v>367.15370000000001</v>
      </c>
      <c r="J119">
        <v>-470.94749999999999</v>
      </c>
      <c r="K119">
        <v>1.109632</v>
      </c>
      <c r="L119">
        <v>367.18389999999999</v>
      </c>
      <c r="M119">
        <v>0.99994490000000003</v>
      </c>
      <c r="N119">
        <v>0</v>
      </c>
      <c r="O119">
        <v>-5.5030610000000001E-3</v>
      </c>
      <c r="P119">
        <v>0.9985579</v>
      </c>
      <c r="Q119">
        <v>5.3684719999999998E-2</v>
      </c>
      <c r="R119">
        <v>3.384948E-4</v>
      </c>
      <c r="S119">
        <v>3.0270999999999999</v>
      </c>
      <c r="T119">
        <v>-0.43448809999999899</v>
      </c>
      <c r="U119">
        <v>-0.12551880000000001</v>
      </c>
      <c r="V119">
        <v>-5.8314939999999996E-3</v>
      </c>
      <c r="W119">
        <v>6.2604300000000002E-2</v>
      </c>
      <c r="X119">
        <v>0.99802139999999995</v>
      </c>
      <c r="Y119">
        <v>3.5622130000000002E-2</v>
      </c>
      <c r="Z119">
        <v>-1.756847E-3</v>
      </c>
      <c r="AA119">
        <v>0.99936380000000002</v>
      </c>
      <c r="AB119">
        <v>6</v>
      </c>
      <c r="AC119">
        <v>0.66169999999999596</v>
      </c>
      <c r="AD119">
        <v>-0.103978999999999</v>
      </c>
      <c r="AE119">
        <v>-3.0199999999979299E-2</v>
      </c>
      <c r="AF119">
        <v>2.5919333160385898E-2</v>
      </c>
      <c r="AG119">
        <v>-0.103978999999999</v>
      </c>
      <c r="AH119">
        <v>0.64593933212561205</v>
      </c>
      <c r="AI119">
        <v>99.137414760926703</v>
      </c>
      <c r="AJ119">
        <v>87.702149356468595</v>
      </c>
      <c r="AK119">
        <v>0.654767947489308</v>
      </c>
      <c r="AL119">
        <v>86.410690661185001</v>
      </c>
      <c r="AM119">
        <v>90.334778585012501</v>
      </c>
      <c r="AN119">
        <v>1.00000000977936</v>
      </c>
    </row>
    <row r="120" spans="1:40" x14ac:dyDescent="0.25">
      <c r="A120" t="str">
        <f>"20190312150948155"</f>
        <v>20190312150948155</v>
      </c>
      <c r="B120" t="str">
        <f>"1552374588150838"</f>
        <v>1552374588150838</v>
      </c>
      <c r="C120" t="s">
        <v>40</v>
      </c>
      <c r="D120">
        <v>5.058319</v>
      </c>
      <c r="E120">
        <v>0.51559790000000005</v>
      </c>
      <c r="F120" t="s">
        <v>41</v>
      </c>
      <c r="G120">
        <v>-470.22559999999999</v>
      </c>
      <c r="H120">
        <v>1.0075099999999999</v>
      </c>
      <c r="I120">
        <v>367.15440000000001</v>
      </c>
      <c r="J120">
        <v>-470.88529999999997</v>
      </c>
      <c r="K120">
        <v>1.109291</v>
      </c>
      <c r="L120">
        <v>367.18360000000001</v>
      </c>
      <c r="M120">
        <v>0.9999555</v>
      </c>
      <c r="N120">
        <v>0</v>
      </c>
      <c r="O120">
        <v>-5.5024289999999997E-3</v>
      </c>
      <c r="P120">
        <v>0.9984672</v>
      </c>
      <c r="Q120">
        <v>5.5349259999999997E-2</v>
      </c>
      <c r="R120">
        <v>1.3838070000000001E-4</v>
      </c>
      <c r="S120">
        <v>3.0274350000000001</v>
      </c>
      <c r="T120">
        <v>-0.42837829999999899</v>
      </c>
      <c r="U120">
        <v>-0.1231995</v>
      </c>
      <c r="V120">
        <v>-5.6300400000000002E-3</v>
      </c>
      <c r="W120">
        <v>6.3027369999999999E-2</v>
      </c>
      <c r="X120">
        <v>0.99799590000000005</v>
      </c>
      <c r="Y120">
        <v>3.4869980000000002E-2</v>
      </c>
      <c r="Z120">
        <v>-1.679392E-3</v>
      </c>
      <c r="AA120">
        <v>0.99939040000000001</v>
      </c>
      <c r="AB120">
        <v>6</v>
      </c>
      <c r="AC120">
        <v>0.65969999999998596</v>
      </c>
      <c r="AD120">
        <v>-0.101780999999999</v>
      </c>
      <c r="AE120">
        <v>-2.9200000000002901E-2</v>
      </c>
      <c r="AF120">
        <v>2.4976142314596401E-2</v>
      </c>
      <c r="AG120">
        <v>-0.101780999999999</v>
      </c>
      <c r="AH120">
        <v>0.64453842978067799</v>
      </c>
      <c r="AI120">
        <v>98.967027391583599</v>
      </c>
      <c r="AJ120">
        <v>87.780874116039001</v>
      </c>
      <c r="AK120">
        <v>0.65300303759635103</v>
      </c>
      <c r="AL120">
        <v>86.386402468029999</v>
      </c>
      <c r="AM120">
        <v>90.3232218775333</v>
      </c>
      <c r="AN120">
        <v>0.99999998156816405</v>
      </c>
    </row>
    <row r="121" spans="1:40" x14ac:dyDescent="0.25">
      <c r="A121" t="str">
        <f>"20190312150948178"</f>
        <v>20190312150948178</v>
      </c>
      <c r="B121" t="str">
        <f>"1552374588171333"</f>
        <v>1552374588171333</v>
      </c>
      <c r="C121" t="s">
        <v>40</v>
      </c>
      <c r="D121">
        <v>5.7344989999999996</v>
      </c>
      <c r="E121">
        <v>0.51543799999999995</v>
      </c>
      <c r="F121" t="s">
        <v>41</v>
      </c>
      <c r="G121">
        <v>-470.16370000000001</v>
      </c>
      <c r="H121">
        <v>1.0089490000000001</v>
      </c>
      <c r="I121">
        <v>367.15350000000001</v>
      </c>
      <c r="J121">
        <v>-470.81439999999998</v>
      </c>
      <c r="K121">
        <v>1.1090869999999999</v>
      </c>
      <c r="L121">
        <v>367.1832</v>
      </c>
      <c r="M121">
        <v>0.99996280000000004</v>
      </c>
      <c r="N121">
        <v>0</v>
      </c>
      <c r="O121">
        <v>-5.5015180000000004E-3</v>
      </c>
      <c r="P121">
        <v>0.99838070000000001</v>
      </c>
      <c r="Q121">
        <v>5.6886779999999998E-2</v>
      </c>
      <c r="R121" s="1">
        <v>7.4628509999999999E-5</v>
      </c>
      <c r="S121">
        <v>3.0279850000000001</v>
      </c>
      <c r="T121">
        <v>-0.42134709999999997</v>
      </c>
      <c r="U121">
        <v>-0.12402340000000001</v>
      </c>
      <c r="V121">
        <v>-5.5646719999999997E-3</v>
      </c>
      <c r="W121">
        <v>6.3514199999999896E-2</v>
      </c>
      <c r="X121">
        <v>0.9979654</v>
      </c>
      <c r="Y121">
        <v>3.5142020000000003E-2</v>
      </c>
      <c r="Z121">
        <v>-1.670747E-3</v>
      </c>
      <c r="AA121">
        <v>0.99938090000000002</v>
      </c>
      <c r="AB121">
        <v>7</v>
      </c>
      <c r="AC121">
        <v>0.65069999999997197</v>
      </c>
      <c r="AD121">
        <v>-0.100138</v>
      </c>
      <c r="AE121">
        <v>-2.9699999999991102E-2</v>
      </c>
      <c r="AF121">
        <v>2.55165815921954E-2</v>
      </c>
      <c r="AG121">
        <v>-0.100138</v>
      </c>
      <c r="AH121">
        <v>0.63582659274345699</v>
      </c>
      <c r="AI121">
        <v>98.943064272816599</v>
      </c>
      <c r="AJ121">
        <v>87.701876032937506</v>
      </c>
      <c r="AK121">
        <v>0.64416936516719403</v>
      </c>
      <c r="AL121">
        <v>86.358453155619202</v>
      </c>
      <c r="AM121">
        <v>90.319478927488703</v>
      </c>
      <c r="AN121">
        <v>0.99999997938663299</v>
      </c>
    </row>
    <row r="122" spans="1:40" x14ac:dyDescent="0.25">
      <c r="A122" t="str">
        <f>"20190312150948200"</f>
        <v>20190312150948200</v>
      </c>
      <c r="B122" t="str">
        <f>"1552374588190853"</f>
        <v>1552374588190853</v>
      </c>
      <c r="C122" t="s">
        <v>40</v>
      </c>
      <c r="D122">
        <v>5.0983099999999997</v>
      </c>
      <c r="E122">
        <v>0.51544869999999998</v>
      </c>
      <c r="F122" t="s">
        <v>41</v>
      </c>
      <c r="G122">
        <v>-470.1001</v>
      </c>
      <c r="H122">
        <v>1.010826</v>
      </c>
      <c r="I122">
        <v>367.154</v>
      </c>
      <c r="J122">
        <v>-470.73989999999998</v>
      </c>
      <c r="K122">
        <v>1.108992</v>
      </c>
      <c r="L122">
        <v>367.18279999999999</v>
      </c>
      <c r="M122">
        <v>0.99996819999999997</v>
      </c>
      <c r="N122">
        <v>0</v>
      </c>
      <c r="O122">
        <v>-5.5016630000000004E-3</v>
      </c>
      <c r="P122">
        <v>0.99834979999999995</v>
      </c>
      <c r="Q122">
        <v>5.7424959999999997E-2</v>
      </c>
      <c r="R122">
        <v>-2.7737520000000002E-4</v>
      </c>
      <c r="S122">
        <v>3.0285950000000001</v>
      </c>
      <c r="T122">
        <v>-0.41664200000000001</v>
      </c>
      <c r="U122">
        <v>-0.12283330000000001</v>
      </c>
      <c r="V122">
        <v>-5.2126270000000001E-3</v>
      </c>
      <c r="W122">
        <v>6.3221059999999996E-2</v>
      </c>
      <c r="X122">
        <v>0.99798600000000004</v>
      </c>
      <c r="Y122">
        <v>3.4751650000000002E-2</v>
      </c>
      <c r="Z122">
        <v>-1.625217E-3</v>
      </c>
      <c r="AA122">
        <v>0.99939469999999997</v>
      </c>
      <c r="AB122">
        <v>7</v>
      </c>
      <c r="AC122">
        <v>0.63979999999997905</v>
      </c>
      <c r="AD122">
        <v>-9.8165999999999906E-2</v>
      </c>
      <c r="AE122">
        <v>-2.8799999999989698E-2</v>
      </c>
      <c r="AF122">
        <v>2.4699260191763901E-2</v>
      </c>
      <c r="AG122">
        <v>-9.8165999999999906E-2</v>
      </c>
      <c r="AH122">
        <v>0.62525901163850695</v>
      </c>
      <c r="AI122">
        <v>98.9157902966964</v>
      </c>
      <c r="AJ122">
        <v>87.737852739199099</v>
      </c>
      <c r="AK122">
        <v>0.63339991209754898</v>
      </c>
      <c r="AL122">
        <v>86.375282974829005</v>
      </c>
      <c r="AM122">
        <v>90.299261524075703</v>
      </c>
      <c r="AN122">
        <v>1.0000000650518801</v>
      </c>
    </row>
    <row r="123" spans="1:40" x14ac:dyDescent="0.25">
      <c r="A123" t="str">
        <f>"20190312150948223"</f>
        <v>20190312150948223</v>
      </c>
      <c r="B123" t="str">
        <f>"1552374588211354"</f>
        <v>1552374588211354</v>
      </c>
      <c r="C123" t="s">
        <v>40</v>
      </c>
      <c r="D123">
        <v>5.5667970000000002</v>
      </c>
      <c r="E123">
        <v>0.51544840000000003</v>
      </c>
      <c r="F123" t="s">
        <v>41</v>
      </c>
      <c r="G123">
        <v>-469.97269999999997</v>
      </c>
      <c r="H123">
        <v>1.0040469999999999</v>
      </c>
      <c r="I123">
        <v>367.15109999999999</v>
      </c>
      <c r="J123">
        <v>-470.66750000000002</v>
      </c>
      <c r="K123">
        <v>1.1090390000000001</v>
      </c>
      <c r="L123">
        <v>367.18239999999997</v>
      </c>
      <c r="M123">
        <v>0.99997000000000003</v>
      </c>
      <c r="N123">
        <v>0</v>
      </c>
      <c r="O123">
        <v>-5.5018580000000001E-3</v>
      </c>
      <c r="P123">
        <v>0.99843470000000001</v>
      </c>
      <c r="Q123">
        <v>5.5923540000000001E-2</v>
      </c>
      <c r="R123">
        <v>-9.9989169999999995E-4</v>
      </c>
      <c r="S123">
        <v>3.0288089999999999</v>
      </c>
      <c r="T123">
        <v>-0.41449560000000002</v>
      </c>
      <c r="U123">
        <v>-0.1239929</v>
      </c>
      <c r="V123">
        <v>-4.4912420000000003E-3</v>
      </c>
      <c r="W123">
        <v>6.1366900000000002E-2</v>
      </c>
      <c r="X123">
        <v>0.99810520000000003</v>
      </c>
      <c r="Y123">
        <v>3.5129960000000002E-2</v>
      </c>
      <c r="Z123">
        <v>-1.6425280000000001E-3</v>
      </c>
      <c r="AA123">
        <v>0.99938139999999998</v>
      </c>
      <c r="AB123">
        <v>7</v>
      </c>
      <c r="AC123">
        <v>0.69480000000004305</v>
      </c>
      <c r="AD123">
        <v>-0.104991999999999</v>
      </c>
      <c r="AE123">
        <v>-3.12999999999874E-2</v>
      </c>
      <c r="AF123">
        <v>2.6864579816535301E-2</v>
      </c>
      <c r="AG123">
        <v>-0.104991999999999</v>
      </c>
      <c r="AH123">
        <v>0.67947754194301802</v>
      </c>
      <c r="AI123">
        <v>98.777052172167799</v>
      </c>
      <c r="AJ123">
        <v>87.7358695953817</v>
      </c>
      <c r="AK123">
        <v>0.68806595302895501</v>
      </c>
      <c r="AL123">
        <v>86.481725126283905</v>
      </c>
      <c r="AM123">
        <v>90.257815984326896</v>
      </c>
      <c r="AN123">
        <v>1.0000000289686699</v>
      </c>
    </row>
    <row r="124" spans="1:40" x14ac:dyDescent="0.25">
      <c r="A124" t="str">
        <f>"20190312150948244"</f>
        <v>20190312150948244</v>
      </c>
      <c r="B124" t="str">
        <f>"1552374588240629"</f>
        <v>1552374588240629</v>
      </c>
      <c r="C124" t="s">
        <v>40</v>
      </c>
      <c r="D124">
        <v>5.0769380000000002</v>
      </c>
      <c r="E124">
        <v>0.51294459999999997</v>
      </c>
      <c r="F124" t="s">
        <v>41</v>
      </c>
      <c r="G124">
        <v>-469.90940000000001</v>
      </c>
      <c r="H124">
        <v>1.0043959999999901</v>
      </c>
      <c r="I124">
        <v>367.15050000000002</v>
      </c>
      <c r="J124">
        <v>-470.60059999999999</v>
      </c>
      <c r="K124">
        <v>1.109488</v>
      </c>
      <c r="L124">
        <v>367.18200000000002</v>
      </c>
      <c r="M124">
        <v>0.9999633</v>
      </c>
      <c r="N124">
        <v>0</v>
      </c>
      <c r="O124">
        <v>-5.5029950000000001E-3</v>
      </c>
      <c r="P124">
        <v>0.99853530000000001</v>
      </c>
      <c r="Q124">
        <v>5.4100189999999999E-2</v>
      </c>
      <c r="R124">
        <v>-9.5136319999999995E-4</v>
      </c>
      <c r="S124">
        <v>3.0279539999999998</v>
      </c>
      <c r="T124">
        <v>-0.41804829999999998</v>
      </c>
      <c r="U124">
        <v>-0.12640380000000001</v>
      </c>
      <c r="V124">
        <v>-4.5414080000000003E-3</v>
      </c>
      <c r="W124">
        <v>6.0671549999999998E-2</v>
      </c>
      <c r="X124">
        <v>0.99814740000000002</v>
      </c>
      <c r="Y124">
        <v>3.5922299999999997E-2</v>
      </c>
      <c r="Z124">
        <v>-1.711164E-3</v>
      </c>
      <c r="AA124">
        <v>0.99935309999999999</v>
      </c>
      <c r="AB124">
        <v>7</v>
      </c>
      <c r="AC124">
        <v>0.69119999999998005</v>
      </c>
      <c r="AD124">
        <v>-0.105092</v>
      </c>
      <c r="AE124">
        <v>-3.1499999999937203E-2</v>
      </c>
      <c r="AF124">
        <v>2.7071261020388499E-2</v>
      </c>
      <c r="AG124">
        <v>-0.105092</v>
      </c>
      <c r="AH124">
        <v>0.67577339216628296</v>
      </c>
      <c r="AI124">
        <v>98.832498930920295</v>
      </c>
      <c r="AJ124">
        <v>87.705976423907202</v>
      </c>
      <c r="AK124">
        <v>0.68443177833671598</v>
      </c>
      <c r="AL124">
        <v>86.5216398378425</v>
      </c>
      <c r="AM124">
        <v>90.260684660378601</v>
      </c>
      <c r="AN124">
        <v>0.99999994674639103</v>
      </c>
    </row>
    <row r="125" spans="1:40" x14ac:dyDescent="0.25">
      <c r="A125" t="str">
        <f>"20190312150948266"</f>
        <v>20190312150948266</v>
      </c>
      <c r="B125" t="str">
        <f>"1552374588261125"</f>
        <v>1552374588261125</v>
      </c>
      <c r="C125" t="s">
        <v>40</v>
      </c>
      <c r="D125">
        <v>5.0888070000000001</v>
      </c>
      <c r="E125">
        <v>0.51235969999999997</v>
      </c>
      <c r="F125" t="s">
        <v>41</v>
      </c>
      <c r="G125">
        <v>-469.83479999999997</v>
      </c>
      <c r="H125">
        <v>1.0331920000000001</v>
      </c>
      <c r="I125">
        <v>367.1549</v>
      </c>
      <c r="J125">
        <v>-470.5326</v>
      </c>
      <c r="K125">
        <v>1.11005</v>
      </c>
      <c r="L125">
        <v>367.1816</v>
      </c>
      <c r="M125">
        <v>0.9999498</v>
      </c>
      <c r="N125">
        <v>0</v>
      </c>
      <c r="O125">
        <v>-5.503969E-3</v>
      </c>
      <c r="P125">
        <v>0.99851999999999996</v>
      </c>
      <c r="Q125">
        <v>5.437649E-2</v>
      </c>
      <c r="R125">
        <v>-1.173547E-3</v>
      </c>
      <c r="S125">
        <v>3.0205690000000001</v>
      </c>
      <c r="T125">
        <v>-0.30099359999999997</v>
      </c>
      <c r="U125">
        <v>-0.10656740000000001</v>
      </c>
      <c r="V125">
        <v>-4.3200119999999998E-3</v>
      </c>
      <c r="W125">
        <v>6.2736589999999995E-2</v>
      </c>
      <c r="X125">
        <v>0.99802080000000004</v>
      </c>
      <c r="Y125">
        <v>2.9637980000000001E-2</v>
      </c>
      <c r="Z125">
        <v>-9.2564049999999999E-4</v>
      </c>
      <c r="AA125">
        <v>0.99956029999999996</v>
      </c>
      <c r="AB125">
        <v>7</v>
      </c>
      <c r="AC125">
        <v>0.69780000000002895</v>
      </c>
      <c r="AD125">
        <v>-7.6857999999999801E-2</v>
      </c>
      <c r="AE125">
        <v>-2.6700000000005199E-2</v>
      </c>
      <c r="AF125">
        <v>2.2585198484019599E-2</v>
      </c>
      <c r="AG125">
        <v>-7.6857999999999801E-2</v>
      </c>
      <c r="AH125">
        <v>0.68958291254304305</v>
      </c>
      <c r="AI125">
        <v>96.356317783287295</v>
      </c>
      <c r="AJ125">
        <v>88.124120934593904</v>
      </c>
      <c r="AK125">
        <v>0.69422030842226801</v>
      </c>
      <c r="AL125">
        <v>86.4030961455734</v>
      </c>
      <c r="AM125">
        <v>90.248007766149399</v>
      </c>
      <c r="AN125">
        <v>1.00000002973057</v>
      </c>
    </row>
    <row r="126" spans="1:40" x14ac:dyDescent="0.25">
      <c r="A126" t="str">
        <f>"20190312150948290"</f>
        <v>20190312150948290</v>
      </c>
      <c r="B126" t="str">
        <f>"1552374588280645"</f>
        <v>1552374588280645</v>
      </c>
      <c r="C126" t="s">
        <v>40</v>
      </c>
      <c r="D126">
        <v>5.1074129999999904</v>
      </c>
      <c r="E126">
        <v>0.51229740000000001</v>
      </c>
      <c r="F126" t="s">
        <v>41</v>
      </c>
      <c r="G126">
        <v>-469.77569999999997</v>
      </c>
      <c r="H126">
        <v>1.0346930000000001</v>
      </c>
      <c r="I126">
        <v>367.15570000000002</v>
      </c>
      <c r="J126">
        <v>-470.46280000000002</v>
      </c>
      <c r="K126">
        <v>1.110257</v>
      </c>
      <c r="L126">
        <v>367.18119999999999</v>
      </c>
      <c r="M126">
        <v>0.99994229999999995</v>
      </c>
      <c r="N126">
        <v>0</v>
      </c>
      <c r="O126">
        <v>-5.5045290000000002E-3</v>
      </c>
      <c r="P126">
        <v>0.99850070000000002</v>
      </c>
      <c r="Q126">
        <v>5.472055E-2</v>
      </c>
      <c r="R126">
        <v>-1.4522809999999999E-3</v>
      </c>
      <c r="S126">
        <v>3.020721</v>
      </c>
      <c r="T126">
        <v>-0.30089759999999999</v>
      </c>
      <c r="U126">
        <v>-0.1022339</v>
      </c>
      <c r="V126">
        <v>-4.0417830000000002E-3</v>
      </c>
      <c r="W126">
        <v>6.3937720000000003E-2</v>
      </c>
      <c r="X126">
        <v>0.99794570000000005</v>
      </c>
      <c r="Y126">
        <v>2.8210470000000001E-2</v>
      </c>
      <c r="Z126">
        <v>-8.5436009999999903E-4</v>
      </c>
      <c r="AA126">
        <v>0.99960170000000004</v>
      </c>
      <c r="AB126">
        <v>7</v>
      </c>
      <c r="AC126">
        <v>0.68710000000004301</v>
      </c>
      <c r="AD126">
        <v>-7.5563999999999895E-2</v>
      </c>
      <c r="AE126">
        <v>-2.5499999999965401E-2</v>
      </c>
      <c r="AF126">
        <v>2.1458121313122101E-2</v>
      </c>
      <c r="AG126">
        <v>-7.5563999999999895E-2</v>
      </c>
      <c r="AH126">
        <v>0.67902870520510294</v>
      </c>
      <c r="AI126">
        <v>96.3467482967324</v>
      </c>
      <c r="AJ126">
        <v>88.189987017779401</v>
      </c>
      <c r="AK126">
        <v>0.68355713115935501</v>
      </c>
      <c r="AL126">
        <v>86.334137877915197</v>
      </c>
      <c r="AM126">
        <v>90.232052546955003</v>
      </c>
      <c r="AN126">
        <v>0.999999994098553</v>
      </c>
    </row>
    <row r="127" spans="1:40" x14ac:dyDescent="0.25">
      <c r="A127" t="str">
        <f>"20190312150948313"</f>
        <v>20190312150948313</v>
      </c>
      <c r="B127" t="str">
        <f>"1552374588301143"</f>
        <v>1552374588301143</v>
      </c>
      <c r="C127" t="s">
        <v>40</v>
      </c>
      <c r="D127">
        <v>5.0894629999999896</v>
      </c>
      <c r="E127">
        <v>0.51282039999999995</v>
      </c>
      <c r="F127" t="s">
        <v>41</v>
      </c>
      <c r="G127">
        <v>-469.71319999999997</v>
      </c>
      <c r="H127">
        <v>1.0355620000000001</v>
      </c>
      <c r="I127">
        <v>367.15570000000002</v>
      </c>
      <c r="J127">
        <v>-470.38900000000001</v>
      </c>
      <c r="K127">
        <v>1.1099889999999999</v>
      </c>
      <c r="L127">
        <v>367.18090000000001</v>
      </c>
      <c r="M127">
        <v>0.99994919999999998</v>
      </c>
      <c r="N127">
        <v>0</v>
      </c>
      <c r="O127">
        <v>-5.503722E-3</v>
      </c>
      <c r="P127">
        <v>0.99842660000000005</v>
      </c>
      <c r="Q127">
        <v>5.606614E-2</v>
      </c>
      <c r="R127">
        <v>-1.1142179999999999E-3</v>
      </c>
      <c r="S127">
        <v>3.020813</v>
      </c>
      <c r="T127">
        <v>-0.3010467</v>
      </c>
      <c r="U127">
        <v>-0.1023254</v>
      </c>
      <c r="V127">
        <v>-4.3780520000000003E-3</v>
      </c>
      <c r="W127">
        <v>6.4506820000000006E-2</v>
      </c>
      <c r="X127">
        <v>0.99790760000000001</v>
      </c>
      <c r="Y127">
        <v>2.8240299999999999E-2</v>
      </c>
      <c r="Z127">
        <v>-8.5632190000000004E-4</v>
      </c>
      <c r="AA127">
        <v>0.99960079999999996</v>
      </c>
      <c r="AB127">
        <v>6</v>
      </c>
      <c r="AC127">
        <v>0.67580000000003704</v>
      </c>
      <c r="AD127">
        <v>-7.4426999999999799E-2</v>
      </c>
      <c r="AE127">
        <v>-2.5199999999983898E-2</v>
      </c>
      <c r="AF127">
        <v>2.1223014057544402E-2</v>
      </c>
      <c r="AG127">
        <v>-7.4426999999999799E-2</v>
      </c>
      <c r="AH127">
        <v>0.66783949138166498</v>
      </c>
      <c r="AI127">
        <v>96.355874396242001</v>
      </c>
      <c r="AJ127">
        <v>88.179832035899494</v>
      </c>
      <c r="AK127">
        <v>0.67230899213353401</v>
      </c>
      <c r="AL127">
        <v>86.301463187520397</v>
      </c>
      <c r="AM127">
        <v>90.251368255647407</v>
      </c>
      <c r="AN127">
        <v>0.99999993765179096</v>
      </c>
    </row>
    <row r="128" spans="1:40" x14ac:dyDescent="0.25">
      <c r="A128" t="str">
        <f>"20190312150948335"</f>
        <v>20190312150948335</v>
      </c>
      <c r="B128" t="str">
        <f>"1552374588331398"</f>
        <v>1552374588331398</v>
      </c>
      <c r="C128" t="s">
        <v>40</v>
      </c>
      <c r="D128">
        <v>5.0786670000000003</v>
      </c>
      <c r="E128">
        <v>0.51258139999999996</v>
      </c>
      <c r="F128" t="s">
        <v>41</v>
      </c>
      <c r="G128">
        <v>-469.65879999999999</v>
      </c>
      <c r="H128">
        <v>1.012453</v>
      </c>
      <c r="I128">
        <v>367.1549</v>
      </c>
      <c r="J128">
        <v>-470.31459999999998</v>
      </c>
      <c r="K128">
        <v>1.1096809999999999</v>
      </c>
      <c r="L128">
        <v>367.18049999999999</v>
      </c>
      <c r="M128">
        <v>0.99995789999999996</v>
      </c>
      <c r="N128">
        <v>0</v>
      </c>
      <c r="O128">
        <v>-5.5022129999999997E-3</v>
      </c>
      <c r="P128">
        <v>0.99830819999999998</v>
      </c>
      <c r="Q128">
        <v>5.8140900000000002E-2</v>
      </c>
      <c r="R128">
        <v>-5.0824140000000002E-4</v>
      </c>
      <c r="S128">
        <v>3.0273439999999998</v>
      </c>
      <c r="T128">
        <v>-0.40470109999999998</v>
      </c>
      <c r="U128">
        <v>-0.105896</v>
      </c>
      <c r="V128">
        <v>-4.9820510000000004E-3</v>
      </c>
      <c r="W128">
        <v>6.5476569999999998E-2</v>
      </c>
      <c r="X128">
        <v>0.99784170000000005</v>
      </c>
      <c r="Y128">
        <v>2.924796E-2</v>
      </c>
      <c r="Z128">
        <v>-1.2136499999999999E-3</v>
      </c>
      <c r="AA128">
        <v>0.9995714</v>
      </c>
      <c r="AB128">
        <v>7</v>
      </c>
      <c r="AC128">
        <v>0.65579999999999905</v>
      </c>
      <c r="AD128">
        <v>-9.7227999999999801E-2</v>
      </c>
      <c r="AE128">
        <v>-2.5599999999997101E-2</v>
      </c>
      <c r="AF128">
        <v>2.1518885185847599E-2</v>
      </c>
      <c r="AG128">
        <v>-9.7227999999999801E-2</v>
      </c>
      <c r="AH128">
        <v>0.64184426558933705</v>
      </c>
      <c r="AI128">
        <v>98.609039644081705</v>
      </c>
      <c r="AJ128">
        <v>88.079783957622695</v>
      </c>
      <c r="AK128">
        <v>0.64952321565403404</v>
      </c>
      <c r="AL128">
        <v>86.245783228386301</v>
      </c>
      <c r="AM128">
        <v>90.286065538973205</v>
      </c>
      <c r="AN128">
        <v>1.00000003015501</v>
      </c>
    </row>
    <row r="129" spans="1:40" x14ac:dyDescent="0.25">
      <c r="A129" t="str">
        <f>"20190312150948356"</f>
        <v>20190312150948356</v>
      </c>
      <c r="B129" t="str">
        <f>"1552374588350920"</f>
        <v>1552374588350920</v>
      </c>
      <c r="C129" t="s">
        <v>40</v>
      </c>
      <c r="D129">
        <v>5.0999679999999996</v>
      </c>
      <c r="E129">
        <v>0.51289499999999999</v>
      </c>
      <c r="F129" t="s">
        <v>41</v>
      </c>
      <c r="G129">
        <v>-469.59050000000002</v>
      </c>
      <c r="H129">
        <v>1.013414</v>
      </c>
      <c r="I129">
        <v>367.15559999999999</v>
      </c>
      <c r="J129">
        <v>-470.24250000000001</v>
      </c>
      <c r="K129">
        <v>1.1095060000000001</v>
      </c>
      <c r="L129">
        <v>367.18009999999998</v>
      </c>
      <c r="M129">
        <v>0.99996359999999995</v>
      </c>
      <c r="N129">
        <v>0</v>
      </c>
      <c r="O129">
        <v>-5.5011569999999996E-3</v>
      </c>
      <c r="P129">
        <v>0.99828110000000003</v>
      </c>
      <c r="Q129">
        <v>5.8607409999999999E-2</v>
      </c>
      <c r="R129">
        <v>-3.011798E-4</v>
      </c>
      <c r="S129">
        <v>3.028473</v>
      </c>
      <c r="T129">
        <v>-0.40289059999999999</v>
      </c>
      <c r="U129">
        <v>-0.10253909999999999</v>
      </c>
      <c r="V129">
        <v>-5.1881970000000003E-3</v>
      </c>
      <c r="W129">
        <v>6.5125420000000003E-2</v>
      </c>
      <c r="X129">
        <v>0.99786359999999996</v>
      </c>
      <c r="Y129">
        <v>2.8141090000000001E-2</v>
      </c>
      <c r="Z129">
        <v>-1.1347060000000001E-3</v>
      </c>
      <c r="AA129">
        <v>0.99960329999999997</v>
      </c>
      <c r="AB129">
        <v>7</v>
      </c>
      <c r="AC129">
        <v>0.65199999999998604</v>
      </c>
      <c r="AD129">
        <v>-9.6091999999999803E-2</v>
      </c>
      <c r="AE129">
        <v>-2.4499999999988999E-2</v>
      </c>
      <c r="AF129">
        <v>2.0468822766137498E-2</v>
      </c>
      <c r="AG129">
        <v>-9.6091999999999803E-2</v>
      </c>
      <c r="AH129">
        <v>0.63828039252857804</v>
      </c>
      <c r="AI129">
        <v>98.557150872173295</v>
      </c>
      <c r="AJ129">
        <v>88.163228278521999</v>
      </c>
      <c r="AK129">
        <v>0.64579757250694803</v>
      </c>
      <c r="AL129">
        <v>86.265945566174295</v>
      </c>
      <c r="AM129">
        <v>90.297895536847506</v>
      </c>
      <c r="AN129">
        <v>1.0000000009616199</v>
      </c>
    </row>
    <row r="130" spans="1:40" x14ac:dyDescent="0.25">
      <c r="A130" t="str">
        <f>"20190312150948379"</f>
        <v>20190312150948379</v>
      </c>
      <c r="B130" t="str">
        <f>"1552374588370441"</f>
        <v>1552374588370441</v>
      </c>
      <c r="C130" t="s">
        <v>40</v>
      </c>
      <c r="D130">
        <v>5.110995</v>
      </c>
      <c r="E130">
        <v>0.51287689999999997</v>
      </c>
      <c r="F130" t="s">
        <v>41</v>
      </c>
      <c r="G130">
        <v>-469.52140000000003</v>
      </c>
      <c r="H130">
        <v>1.013406</v>
      </c>
      <c r="I130">
        <v>367.15469999999999</v>
      </c>
      <c r="J130">
        <v>-470.16050000000001</v>
      </c>
      <c r="K130">
        <v>1.1094090000000001</v>
      </c>
      <c r="L130">
        <v>367.17959999999999</v>
      </c>
      <c r="M130">
        <v>0.99996779999999996</v>
      </c>
      <c r="N130">
        <v>0</v>
      </c>
      <c r="O130">
        <v>-5.5009849999999999E-3</v>
      </c>
      <c r="P130">
        <v>0.99822370000000005</v>
      </c>
      <c r="Q130">
        <v>5.957962E-2</v>
      </c>
      <c r="R130">
        <v>2.530559E-4</v>
      </c>
      <c r="S130">
        <v>3.02887</v>
      </c>
      <c r="T130">
        <v>-0.40377649999999998</v>
      </c>
      <c r="U130">
        <v>-0.10476679999999999</v>
      </c>
      <c r="V130">
        <v>-5.7419339999999998E-3</v>
      </c>
      <c r="W130">
        <v>6.5428990000000006E-2</v>
      </c>
      <c r="X130">
        <v>0.99784070000000002</v>
      </c>
      <c r="Y130">
        <v>2.8864009999999999E-2</v>
      </c>
      <c r="Z130">
        <v>-1.185003E-3</v>
      </c>
      <c r="AA130">
        <v>0.99958259999999999</v>
      </c>
      <c r="AB130">
        <v>8</v>
      </c>
      <c r="AC130">
        <v>0.63909999999998401</v>
      </c>
      <c r="AD130">
        <v>-9.6003000000000005E-2</v>
      </c>
      <c r="AE130">
        <v>-2.4900000000002299E-2</v>
      </c>
      <c r="AF130">
        <v>2.0912707354231199E-2</v>
      </c>
      <c r="AG130">
        <v>-9.6003000000000005E-2</v>
      </c>
      <c r="AH130">
        <v>0.62514245661490098</v>
      </c>
      <c r="AI130">
        <v>98.725887685197605</v>
      </c>
      <c r="AJ130">
        <v>88.084015585374502</v>
      </c>
      <c r="AK130">
        <v>0.63281672575904402</v>
      </c>
      <c r="AL130">
        <v>86.248515078542198</v>
      </c>
      <c r="AM130">
        <v>90.329696867733105</v>
      </c>
      <c r="AN130">
        <v>0.99999999255748495</v>
      </c>
    </row>
    <row r="131" spans="1:40" x14ac:dyDescent="0.25">
      <c r="A131" t="str">
        <f>"20190312150948401"</f>
        <v>20190312150948401</v>
      </c>
      <c r="B131" t="str">
        <f>"1552374588390933"</f>
        <v>1552374588390933</v>
      </c>
      <c r="C131" t="s">
        <v>40</v>
      </c>
      <c r="D131">
        <v>5.1171449999999998</v>
      </c>
      <c r="E131">
        <v>0.51308589999999998</v>
      </c>
      <c r="F131" t="s">
        <v>41</v>
      </c>
      <c r="G131">
        <v>-469.38260000000002</v>
      </c>
      <c r="H131">
        <v>1.00576</v>
      </c>
      <c r="I131">
        <v>367.15269999999998</v>
      </c>
      <c r="J131">
        <v>-470.08109999999999</v>
      </c>
      <c r="K131">
        <v>1.109362</v>
      </c>
      <c r="L131">
        <v>367.17919999999998</v>
      </c>
      <c r="M131">
        <v>0.99997069999999999</v>
      </c>
      <c r="N131">
        <v>0</v>
      </c>
      <c r="O131">
        <v>-5.5011969999999898E-3</v>
      </c>
      <c r="P131">
        <v>0.99818260000000003</v>
      </c>
      <c r="Q131">
        <v>6.026372E-2</v>
      </c>
      <c r="R131">
        <v>3.4066439999999999E-4</v>
      </c>
      <c r="S131">
        <v>3.0294490000000001</v>
      </c>
      <c r="T131">
        <v>-0.4038523</v>
      </c>
      <c r="U131">
        <v>-0.1028748</v>
      </c>
      <c r="V131">
        <v>-5.8294189999999997E-3</v>
      </c>
      <c r="W131">
        <v>6.5595529999999999E-2</v>
      </c>
      <c r="X131">
        <v>0.99782930000000003</v>
      </c>
      <c r="Y131">
        <v>2.8239139999999999E-2</v>
      </c>
      <c r="Z131">
        <v>-1.14353E-3</v>
      </c>
      <c r="AA131">
        <v>0.9996005</v>
      </c>
      <c r="AB131">
        <v>8</v>
      </c>
      <c r="AC131">
        <v>0.69849999999996704</v>
      </c>
      <c r="AD131">
        <v>-0.103602</v>
      </c>
      <c r="AE131">
        <v>-2.6499999999998601E-2</v>
      </c>
      <c r="AF131">
        <v>2.21699422836883E-2</v>
      </c>
      <c r="AG131">
        <v>-0.103602</v>
      </c>
      <c r="AH131">
        <v>0.68361790065254702</v>
      </c>
      <c r="AI131">
        <v>98.613115881975205</v>
      </c>
      <c r="AJ131">
        <v>88.142530953943805</v>
      </c>
      <c r="AK131">
        <v>0.69177909395807702</v>
      </c>
      <c r="AL131">
        <v>86.238952652037597</v>
      </c>
      <c r="AM131">
        <v>90.334723891107004</v>
      </c>
      <c r="AN131">
        <v>1.00000003381017</v>
      </c>
    </row>
    <row r="132" spans="1:40" x14ac:dyDescent="0.25">
      <c r="A132" t="str">
        <f>"20190312150948423"</f>
        <v>20190312150948423</v>
      </c>
      <c r="B132" t="str">
        <f>"1552374588421190"</f>
        <v>1552374588421190</v>
      </c>
      <c r="C132" t="s">
        <v>40</v>
      </c>
      <c r="D132">
        <v>5.3099059999999998</v>
      </c>
      <c r="E132">
        <v>0.51360629999999996</v>
      </c>
      <c r="F132" t="s">
        <v>41</v>
      </c>
      <c r="G132">
        <v>-469.30869999999999</v>
      </c>
      <c r="H132">
        <v>1.0068680000000001</v>
      </c>
      <c r="I132">
        <v>367.15230000000003</v>
      </c>
      <c r="J132">
        <v>-469.99959999999999</v>
      </c>
      <c r="K132">
        <v>1.109351</v>
      </c>
      <c r="L132">
        <v>367.17869999999999</v>
      </c>
      <c r="M132">
        <v>0.9999728</v>
      </c>
      <c r="N132">
        <v>0</v>
      </c>
      <c r="O132">
        <v>-5.500965E-3</v>
      </c>
      <c r="P132">
        <v>0.99818689999999999</v>
      </c>
      <c r="Q132">
        <v>6.01854E-2</v>
      </c>
      <c r="R132">
        <v>8.2343610000000002E-4</v>
      </c>
      <c r="S132">
        <v>3.0298159999999998</v>
      </c>
      <c r="T132">
        <v>-0.40205299999999999</v>
      </c>
      <c r="U132">
        <v>-0.1044312</v>
      </c>
      <c r="V132">
        <v>-6.3120850000000003E-3</v>
      </c>
      <c r="W132">
        <v>6.5104010000000004E-2</v>
      </c>
      <c r="X132">
        <v>0.99785849999999998</v>
      </c>
      <c r="Y132">
        <v>2.874556E-2</v>
      </c>
      <c r="Z132">
        <v>-1.1718099999999999E-3</v>
      </c>
      <c r="AA132">
        <v>0.99958599999999997</v>
      </c>
      <c r="AB132">
        <v>8</v>
      </c>
      <c r="AC132">
        <v>0.69089999999999896</v>
      </c>
      <c r="AD132">
        <v>-0.10248299999999901</v>
      </c>
      <c r="AE132">
        <v>-2.6399999999966801E-2</v>
      </c>
      <c r="AF132">
        <v>2.21131023868897E-2</v>
      </c>
      <c r="AG132">
        <v>-0.10248299999999901</v>
      </c>
      <c r="AH132">
        <v>0.67617879767057498</v>
      </c>
      <c r="AI132">
        <v>98.613735453309701</v>
      </c>
      <c r="AJ132">
        <v>88.126921375852405</v>
      </c>
      <c r="AK132">
        <v>0.68425837298888603</v>
      </c>
      <c r="AL132">
        <v>86.267174800360493</v>
      </c>
      <c r="AM132">
        <v>90.362427144554999</v>
      </c>
      <c r="AN132">
        <v>0.99999998027868797</v>
      </c>
    </row>
    <row r="133" spans="1:40" x14ac:dyDescent="0.25">
      <c r="A133" t="str">
        <f>"20190312150948445"</f>
        <v>20190312150948445</v>
      </c>
      <c r="B133" t="str">
        <f>"1552374588440710"</f>
        <v>1552374588440710</v>
      </c>
      <c r="C133" t="s">
        <v>40</v>
      </c>
      <c r="D133">
        <v>5.1389999999999896</v>
      </c>
      <c r="E133">
        <v>0.51561369999999995</v>
      </c>
      <c r="F133" t="s">
        <v>41</v>
      </c>
      <c r="G133">
        <v>-469.23379999999997</v>
      </c>
      <c r="H133">
        <v>1.0074559999999999</v>
      </c>
      <c r="I133">
        <v>367.15109999999999</v>
      </c>
      <c r="J133">
        <v>-469.91609999999997</v>
      </c>
      <c r="K133">
        <v>1.109389</v>
      </c>
      <c r="L133">
        <v>367.17829999999998</v>
      </c>
      <c r="M133">
        <v>0.99997380000000002</v>
      </c>
      <c r="N133">
        <v>0</v>
      </c>
      <c r="O133">
        <v>-5.5003600000000001E-3</v>
      </c>
      <c r="P133">
        <v>0.99818969999999996</v>
      </c>
      <c r="Q133">
        <v>6.01405E-2</v>
      </c>
      <c r="R133">
        <v>7.6764979999999997E-4</v>
      </c>
      <c r="S133">
        <v>3.0298769999999999</v>
      </c>
      <c r="T133">
        <v>-0.40353990000000001</v>
      </c>
      <c r="U133">
        <v>-0.1068115</v>
      </c>
      <c r="V133">
        <v>-6.2560380000000002E-3</v>
      </c>
      <c r="W133">
        <v>6.4858959999999993E-2</v>
      </c>
      <c r="X133">
        <v>0.99787490000000001</v>
      </c>
      <c r="Y133">
        <v>2.9521499999999999E-2</v>
      </c>
      <c r="Z133">
        <v>-1.2275770000000001E-3</v>
      </c>
      <c r="AA133">
        <v>0.99956339999999999</v>
      </c>
      <c r="AB133">
        <v>8</v>
      </c>
      <c r="AC133">
        <v>0.68229999999999702</v>
      </c>
      <c r="AD133">
        <v>-0.101933</v>
      </c>
      <c r="AE133">
        <v>-2.71999999999934E-2</v>
      </c>
      <c r="AF133">
        <v>2.2935559953439801E-2</v>
      </c>
      <c r="AG133">
        <v>-0.101933</v>
      </c>
      <c r="AH133">
        <v>0.66756344078288699</v>
      </c>
      <c r="AI133">
        <v>98.676628086162495</v>
      </c>
      <c r="AJ133">
        <v>88.032255801147599</v>
      </c>
      <c r="AK133">
        <v>0.67569025734375099</v>
      </c>
      <c r="AL133">
        <v>86.281245200759301</v>
      </c>
      <c r="AM133">
        <v>90.359203220540294</v>
      </c>
      <c r="AN133">
        <v>1.00000006937687</v>
      </c>
    </row>
    <row r="134" spans="1:40" x14ac:dyDescent="0.25">
      <c r="A134" t="str">
        <f>"20190312150948469"</f>
        <v>20190312150948469</v>
      </c>
      <c r="B134" t="str">
        <f>"1552374588461206"</f>
        <v>1552374588461206</v>
      </c>
      <c r="C134" t="s">
        <v>40</v>
      </c>
      <c r="D134">
        <v>5.1047060000000002</v>
      </c>
      <c r="E134">
        <v>0.51564319999999997</v>
      </c>
      <c r="F134" t="s">
        <v>41</v>
      </c>
      <c r="G134">
        <v>-469.14679999999998</v>
      </c>
      <c r="H134">
        <v>1.032186</v>
      </c>
      <c r="I134">
        <v>367.14690000000002</v>
      </c>
      <c r="J134">
        <v>-469.82990000000001</v>
      </c>
      <c r="K134">
        <v>1.10948</v>
      </c>
      <c r="L134">
        <v>367.17779999999999</v>
      </c>
      <c r="M134">
        <v>0.99997349999999996</v>
      </c>
      <c r="N134">
        <v>0</v>
      </c>
      <c r="O134">
        <v>-5.4988719999999897E-3</v>
      </c>
      <c r="P134">
        <v>0.99819599999999997</v>
      </c>
      <c r="Q134">
        <v>6.0032259999999997E-2</v>
      </c>
      <c r="R134">
        <v>6.8857969999999995E-4</v>
      </c>
      <c r="S134">
        <v>3.0238339999999999</v>
      </c>
      <c r="T134">
        <v>-0.30347679999999999</v>
      </c>
      <c r="U134">
        <v>-0.1226501</v>
      </c>
      <c r="V134">
        <v>-6.1751820000000004E-3</v>
      </c>
      <c r="W134">
        <v>6.4776639999999996E-2</v>
      </c>
      <c r="X134">
        <v>0.99788069999999895</v>
      </c>
      <c r="Y134">
        <v>3.4885399999999997E-2</v>
      </c>
      <c r="Z134">
        <v>-1.1952219999999999E-3</v>
      </c>
      <c r="AA134">
        <v>0.99939060000000002</v>
      </c>
      <c r="AB134">
        <v>8</v>
      </c>
      <c r="AC134">
        <v>0.68310000000002402</v>
      </c>
      <c r="AD134">
        <v>-7.7293999999999904E-2</v>
      </c>
      <c r="AE134">
        <v>-3.0899999999974101E-2</v>
      </c>
      <c r="AF134">
        <v>2.6800772125803202E-2</v>
      </c>
      <c r="AG134">
        <v>-7.7293999999999904E-2</v>
      </c>
      <c r="AH134">
        <v>0.67463959291938802</v>
      </c>
      <c r="AI134">
        <v>96.530818274394605</v>
      </c>
      <c r="AJ134">
        <v>87.725060731003197</v>
      </c>
      <c r="AK134">
        <v>0.67958165378192503</v>
      </c>
      <c r="AL134">
        <v>86.285971539855097</v>
      </c>
      <c r="AM134">
        <v>90.354558766411898</v>
      </c>
      <c r="AN134">
        <v>1.00000001869745</v>
      </c>
    </row>
    <row r="135" spans="1:40" x14ac:dyDescent="0.25">
      <c r="A135" t="str">
        <f>"20190312150948490"</f>
        <v>20190312150948490</v>
      </c>
      <c r="B135" t="str">
        <f>"1552374588480726"</f>
        <v>1552374588480726</v>
      </c>
      <c r="C135" t="s">
        <v>40</v>
      </c>
      <c r="D135">
        <v>5.3109739999999999</v>
      </c>
      <c r="E135">
        <v>0.51507539999999996</v>
      </c>
      <c r="F135" t="s">
        <v>41</v>
      </c>
      <c r="G135">
        <v>-469.07049999999998</v>
      </c>
      <c r="H135">
        <v>1.032891</v>
      </c>
      <c r="I135">
        <v>367.1463</v>
      </c>
      <c r="J135">
        <v>-469.7448</v>
      </c>
      <c r="K135">
        <v>1.109575</v>
      </c>
      <c r="L135">
        <v>367.1773</v>
      </c>
      <c r="M135">
        <v>0.99997290000000005</v>
      </c>
      <c r="N135">
        <v>0</v>
      </c>
      <c r="O135">
        <v>-5.4978869999999999E-3</v>
      </c>
      <c r="P135">
        <v>0.99818569999999995</v>
      </c>
      <c r="Q135">
        <v>6.02047E-2</v>
      </c>
      <c r="R135">
        <v>8.1434679999999905E-4</v>
      </c>
      <c r="S135">
        <v>3.023895</v>
      </c>
      <c r="T135">
        <v>-0.30538209999999999</v>
      </c>
      <c r="U135">
        <v>-0.1230774</v>
      </c>
      <c r="V135">
        <v>-6.2997219999999998E-3</v>
      </c>
      <c r="W135">
        <v>6.5083539999999995E-2</v>
      </c>
      <c r="X135">
        <v>0.99785999999999997</v>
      </c>
      <c r="Y135">
        <v>3.5023989999999998E-2</v>
      </c>
      <c r="Z135">
        <v>-1.2097360000000001E-3</v>
      </c>
      <c r="AA135">
        <v>0.99938570000000004</v>
      </c>
      <c r="AB135">
        <v>8</v>
      </c>
      <c r="AC135">
        <v>0.674300000000016</v>
      </c>
      <c r="AD135">
        <v>-7.6683999999999905E-2</v>
      </c>
      <c r="AE135">
        <v>-3.1000000000005901E-2</v>
      </c>
      <c r="AF135">
        <v>2.6944520181861099E-2</v>
      </c>
      <c r="AG135">
        <v>-7.6683999999999905E-2</v>
      </c>
      <c r="AH135">
        <v>0.66586667692715096</v>
      </c>
      <c r="AI135">
        <v>96.5641560510565</v>
      </c>
      <c r="AJ135">
        <v>87.6827711382237</v>
      </c>
      <c r="AK135">
        <v>0.67080911924767195</v>
      </c>
      <c r="AL135">
        <v>86.268350460422695</v>
      </c>
      <c r="AM135">
        <v>90.3617167612733</v>
      </c>
      <c r="AN135">
        <v>1.0000000666380999</v>
      </c>
    </row>
    <row r="136" spans="1:40" x14ac:dyDescent="0.25">
      <c r="A136" t="str">
        <f>"20190312150948514"</f>
        <v>20190312150948514</v>
      </c>
      <c r="B136" t="str">
        <f>"1552374588510982"</f>
        <v>1552374588510982</v>
      </c>
      <c r="C136" t="s">
        <v>40</v>
      </c>
      <c r="D136">
        <v>5.1213519999999999</v>
      </c>
      <c r="E136">
        <v>0.5142814</v>
      </c>
      <c r="F136" t="s">
        <v>41</v>
      </c>
      <c r="G136">
        <v>-468.99329999999998</v>
      </c>
      <c r="H136">
        <v>1.0340819999999999</v>
      </c>
      <c r="I136">
        <v>367.14760000000001</v>
      </c>
      <c r="J136">
        <v>-469.6549</v>
      </c>
      <c r="K136">
        <v>1.109656</v>
      </c>
      <c r="L136">
        <v>367.17680000000001</v>
      </c>
      <c r="M136">
        <v>0.99997230000000004</v>
      </c>
      <c r="N136">
        <v>0</v>
      </c>
      <c r="O136">
        <v>-5.4972700000000003E-3</v>
      </c>
      <c r="P136">
        <v>0.99818949999999995</v>
      </c>
      <c r="Q136">
        <v>6.0137469999999998E-2</v>
      </c>
      <c r="R136">
        <v>1.1756799999999999E-3</v>
      </c>
      <c r="S136">
        <v>3.023895</v>
      </c>
      <c r="T136">
        <v>-0.30406949999999999</v>
      </c>
      <c r="U136">
        <v>-0.1181946</v>
      </c>
      <c r="V136">
        <v>-6.6608369999999898E-3</v>
      </c>
      <c r="W136">
        <v>6.5151589999999995E-2</v>
      </c>
      <c r="X136">
        <v>0.9978532</v>
      </c>
      <c r="Y136">
        <v>3.34227E-2</v>
      </c>
      <c r="Z136">
        <v>-1.124386E-3</v>
      </c>
      <c r="AA136">
        <v>0.99944069999999996</v>
      </c>
      <c r="AB136">
        <v>8</v>
      </c>
      <c r="AC136">
        <v>0.66160000000002095</v>
      </c>
      <c r="AD136">
        <v>-7.5574000000000002E-2</v>
      </c>
      <c r="AE136">
        <v>-2.9200000000002901E-2</v>
      </c>
      <c r="AF136">
        <v>2.52338998680539E-2</v>
      </c>
      <c r="AG136">
        <v>-7.5574000000000002E-2</v>
      </c>
      <c r="AH136">
        <v>0.65324338305853402</v>
      </c>
      <c r="AI136">
        <v>96.594360283611195</v>
      </c>
      <c r="AJ136">
        <v>87.787842144915203</v>
      </c>
      <c r="AK136">
        <v>0.65808441456116296</v>
      </c>
      <c r="AL136">
        <v>86.264443137539601</v>
      </c>
      <c r="AM136">
        <v>90.3824532305498</v>
      </c>
      <c r="AN136">
        <v>1.00000005258965</v>
      </c>
    </row>
    <row r="137" spans="1:40" x14ac:dyDescent="0.25">
      <c r="A137" t="str">
        <f>"20190312150948536"</f>
        <v>20190312150948536</v>
      </c>
      <c r="B137" t="str">
        <f>"1552374588530502"</f>
        <v>1552374588530502</v>
      </c>
      <c r="C137" t="s">
        <v>40</v>
      </c>
      <c r="D137">
        <v>5.1000189999999996</v>
      </c>
      <c r="E137">
        <v>0.51335779999999998</v>
      </c>
      <c r="F137" t="s">
        <v>41</v>
      </c>
      <c r="G137">
        <v>-468.91469999999998</v>
      </c>
      <c r="H137">
        <v>1.035949</v>
      </c>
      <c r="I137">
        <v>367.149</v>
      </c>
      <c r="J137">
        <v>-469.56819999999999</v>
      </c>
      <c r="K137">
        <v>1.1096969999999999</v>
      </c>
      <c r="L137">
        <v>367.1764</v>
      </c>
      <c r="M137">
        <v>0.99997199999999997</v>
      </c>
      <c r="N137">
        <v>0</v>
      </c>
      <c r="O137">
        <v>-5.4973670000000004E-3</v>
      </c>
      <c r="P137">
        <v>0.99825540000000001</v>
      </c>
      <c r="Q137">
        <v>5.9029560000000002E-2</v>
      </c>
      <c r="R137">
        <v>1.402627E-3</v>
      </c>
      <c r="S137">
        <v>3.0237120000000002</v>
      </c>
      <c r="T137">
        <v>-0.30143920000000002</v>
      </c>
      <c r="U137">
        <v>-0.1109314</v>
      </c>
      <c r="V137">
        <v>-6.8882569999999897E-3</v>
      </c>
      <c r="W137">
        <v>6.4129019999999995E-2</v>
      </c>
      <c r="X137">
        <v>0.99791779999999997</v>
      </c>
      <c r="Y137">
        <v>3.104175E-2</v>
      </c>
      <c r="Z137">
        <v>-9.9646629999999999E-4</v>
      </c>
      <c r="AA137">
        <v>0.99951760000000001</v>
      </c>
      <c r="AB137">
        <v>9</v>
      </c>
      <c r="AC137">
        <v>0.65350000000000796</v>
      </c>
      <c r="AD137">
        <v>-7.3747999999999897E-2</v>
      </c>
      <c r="AE137">
        <v>-2.7400000000000001E-2</v>
      </c>
      <c r="AF137">
        <v>2.3508152238765099E-2</v>
      </c>
      <c r="AG137">
        <v>-7.3747999999999897E-2</v>
      </c>
      <c r="AH137">
        <v>0.64543536406443502</v>
      </c>
      <c r="AI137">
        <v>96.514113948278506</v>
      </c>
      <c r="AJ137">
        <v>87.914085808453805</v>
      </c>
      <c r="AK137">
        <v>0.65006015868584899</v>
      </c>
      <c r="AL137">
        <v>86.323154519947096</v>
      </c>
      <c r="AM137">
        <v>90.395485265743901</v>
      </c>
      <c r="AN137">
        <v>0.99999995742374803</v>
      </c>
    </row>
    <row r="138" spans="1:40" x14ac:dyDescent="0.25">
      <c r="A138" t="str">
        <f>"20190312150948558"</f>
        <v>20190312150948558</v>
      </c>
      <c r="B138" t="str">
        <f>"1552374588550999"</f>
        <v>1552374588550999</v>
      </c>
      <c r="C138" t="s">
        <v>40</v>
      </c>
      <c r="D138">
        <v>5.1357869999999997</v>
      </c>
      <c r="E138">
        <v>0.51444799999999902</v>
      </c>
      <c r="F138" t="s">
        <v>41</v>
      </c>
      <c r="G138">
        <v>-468.84739999999999</v>
      </c>
      <c r="H138">
        <v>1.0126649999999999</v>
      </c>
      <c r="I138">
        <v>367.15159999999997</v>
      </c>
      <c r="J138">
        <v>-469.48129999999998</v>
      </c>
      <c r="K138">
        <v>1.109721</v>
      </c>
      <c r="L138">
        <v>367.17590000000001</v>
      </c>
      <c r="M138">
        <v>0.99997170000000002</v>
      </c>
      <c r="N138">
        <v>0</v>
      </c>
      <c r="O138">
        <v>-5.4973890000000001E-3</v>
      </c>
      <c r="P138">
        <v>0.99830010000000002</v>
      </c>
      <c r="Q138">
        <v>5.827297E-2</v>
      </c>
      <c r="R138">
        <v>1.15759E-3</v>
      </c>
      <c r="S138">
        <v>3.0295100000000001</v>
      </c>
      <c r="T138">
        <v>-0.40809699999999999</v>
      </c>
      <c r="U138">
        <v>-0.10293579999999999</v>
      </c>
      <c r="V138">
        <v>-6.6434950000000001E-3</v>
      </c>
      <c r="W138">
        <v>6.3427590000000006E-2</v>
      </c>
      <c r="X138">
        <v>0.99796430000000003</v>
      </c>
      <c r="Y138">
        <v>2.825797E-2</v>
      </c>
      <c r="Z138">
        <v>-1.157192E-3</v>
      </c>
      <c r="AA138">
        <v>0.99960000000000004</v>
      </c>
      <c r="AB138">
        <v>9</v>
      </c>
      <c r="AC138">
        <v>0.63389999999998203</v>
      </c>
      <c r="AD138">
        <v>-9.7056000000000003E-2</v>
      </c>
      <c r="AE138">
        <v>-2.43000000000392E-2</v>
      </c>
      <c r="AF138">
        <v>2.0338702253372899E-2</v>
      </c>
      <c r="AG138">
        <v>-9.7056000000000003E-2</v>
      </c>
      <c r="AH138">
        <v>0.61952219261238695</v>
      </c>
      <c r="AI138">
        <v>98.899020839724798</v>
      </c>
      <c r="AJ138">
        <v>88.119674438992107</v>
      </c>
      <c r="AK138">
        <v>0.62740838142681099</v>
      </c>
      <c r="AL138">
        <v>86.363425533610396</v>
      </c>
      <c r="AM138">
        <v>90.381415048569195</v>
      </c>
      <c r="AN138">
        <v>0.99999996963675597</v>
      </c>
    </row>
    <row r="139" spans="1:40" x14ac:dyDescent="0.25">
      <c r="A139" t="str">
        <f>"20190312150948581"</f>
        <v>20190312150948581</v>
      </c>
      <c r="B139" t="str">
        <f>"1552374588570521"</f>
        <v>1552374588570521</v>
      </c>
      <c r="C139" t="s">
        <v>40</v>
      </c>
      <c r="D139">
        <v>5.1072340000000001</v>
      </c>
      <c r="E139">
        <v>0.51391359999999997</v>
      </c>
      <c r="F139" t="s">
        <v>41</v>
      </c>
      <c r="G139">
        <v>-468.69310000000002</v>
      </c>
      <c r="H139">
        <v>1.001377</v>
      </c>
      <c r="I139">
        <v>367.1463</v>
      </c>
      <c r="J139">
        <v>-469.38810000000001</v>
      </c>
      <c r="K139">
        <v>1.1097399999999999</v>
      </c>
      <c r="L139">
        <v>367.17540000000002</v>
      </c>
      <c r="M139">
        <v>0.99997139999999995</v>
      </c>
      <c r="N139">
        <v>0</v>
      </c>
      <c r="O139">
        <v>-5.4971509999999996E-3</v>
      </c>
      <c r="P139">
        <v>0.99827960000000004</v>
      </c>
      <c r="Q139">
        <v>5.8631320000000001E-2</v>
      </c>
      <c r="R139">
        <v>6.0708349999999997E-4</v>
      </c>
      <c r="S139">
        <v>3.0295719999999999</v>
      </c>
      <c r="T139">
        <v>-0.41663729999999899</v>
      </c>
      <c r="U139">
        <v>-0.11218259999999999</v>
      </c>
      <c r="V139">
        <v>-6.09276E-3</v>
      </c>
      <c r="W139">
        <v>6.3831600000000002E-2</v>
      </c>
      <c r="X139">
        <v>0.99794210000000005</v>
      </c>
      <c r="Y139">
        <v>3.1267620000000003E-2</v>
      </c>
      <c r="Z139">
        <v>-1.387042E-3</v>
      </c>
      <c r="AA139">
        <v>0.99951009999999996</v>
      </c>
      <c r="AB139">
        <v>9</v>
      </c>
      <c r="AC139">
        <v>0.69499999999999296</v>
      </c>
      <c r="AD139">
        <v>-0.108363</v>
      </c>
      <c r="AE139">
        <v>-2.91000000000281E-2</v>
      </c>
      <c r="AF139">
        <v>2.4680056337617998E-2</v>
      </c>
      <c r="AG139">
        <v>-0.108363</v>
      </c>
      <c r="AH139">
        <v>0.67867936311978805</v>
      </c>
      <c r="AI139">
        <v>99.065804857669704</v>
      </c>
      <c r="AJ139">
        <v>87.917366700740999</v>
      </c>
      <c r="AK139">
        <v>0.68771892723299999</v>
      </c>
      <c r="AL139">
        <v>86.340230627946099</v>
      </c>
      <c r="AM139">
        <v>90.349804959875797</v>
      </c>
      <c r="AN139">
        <v>1.00000001491769</v>
      </c>
    </row>
    <row r="140" spans="1:40" x14ac:dyDescent="0.25">
      <c r="A140" t="str">
        <f>"20190312150948603"</f>
        <v>20190312150948603</v>
      </c>
      <c r="B140" t="str">
        <f>"1552374588591014"</f>
        <v>1552374588591014</v>
      </c>
      <c r="C140" t="s">
        <v>40</v>
      </c>
      <c r="D140">
        <v>5.1080680000000003</v>
      </c>
      <c r="E140">
        <v>0.51366599999999996</v>
      </c>
      <c r="F140" t="s">
        <v>41</v>
      </c>
      <c r="G140">
        <v>-468.61110000000002</v>
      </c>
      <c r="H140">
        <v>1.002713</v>
      </c>
      <c r="I140">
        <v>367.14670000000001</v>
      </c>
      <c r="J140">
        <v>-469.2987</v>
      </c>
      <c r="K140">
        <v>1.109753</v>
      </c>
      <c r="L140">
        <v>367.17489999999998</v>
      </c>
      <c r="M140">
        <v>0.99997130000000001</v>
      </c>
      <c r="N140">
        <v>0</v>
      </c>
      <c r="O140">
        <v>-5.4970119999999999E-3</v>
      </c>
      <c r="P140">
        <v>0.99819239999999998</v>
      </c>
      <c r="Q140">
        <v>6.0096030000000002E-2</v>
      </c>
      <c r="R140">
        <v>9.2361519999999999E-4</v>
      </c>
      <c r="S140">
        <v>3.029785</v>
      </c>
      <c r="T140">
        <v>-0.41755959999999998</v>
      </c>
      <c r="U140">
        <v>-0.10983279999999999</v>
      </c>
      <c r="V140">
        <v>-6.4081040000000004E-3</v>
      </c>
      <c r="W140">
        <v>6.5333359999999993E-2</v>
      </c>
      <c r="X140">
        <v>0.99784289999999998</v>
      </c>
      <c r="Y140">
        <v>3.0497199999999999E-2</v>
      </c>
      <c r="Z140">
        <v>-1.3372029999999999E-3</v>
      </c>
      <c r="AA140">
        <v>0.99953400000000003</v>
      </c>
      <c r="AB140">
        <v>9</v>
      </c>
      <c r="AC140">
        <v>0.68759999999997401</v>
      </c>
      <c r="AD140">
        <v>-0.10704</v>
      </c>
      <c r="AE140">
        <v>-2.8199999999969801E-2</v>
      </c>
      <c r="AF140">
        <v>2.3842943611784399E-2</v>
      </c>
      <c r="AG140">
        <v>-0.10704</v>
      </c>
      <c r="AH140">
        <v>0.67149902052535504</v>
      </c>
      <c r="AI140">
        <v>99.051399255975298</v>
      </c>
      <c r="AJ140">
        <v>87.966450689080602</v>
      </c>
      <c r="AK140">
        <v>0.68039472523424604</v>
      </c>
      <c r="AL140">
        <v>86.254005984520305</v>
      </c>
      <c r="AM140">
        <v>90.367945962865903</v>
      </c>
      <c r="AN140">
        <v>0.99999998240308696</v>
      </c>
    </row>
    <row r="141" spans="1:40" x14ac:dyDescent="0.25">
      <c r="A141" t="str">
        <f>"20190312150948626"</f>
        <v>20190312150948626</v>
      </c>
      <c r="B141" t="str">
        <f>"1552374588621270"</f>
        <v>1552374588621270</v>
      </c>
      <c r="C141" t="s">
        <v>40</v>
      </c>
      <c r="D141">
        <v>5.1480459999999999</v>
      </c>
      <c r="E141">
        <v>0.51331859999999996</v>
      </c>
      <c r="F141" t="s">
        <v>41</v>
      </c>
      <c r="G141">
        <v>-468.52809999999999</v>
      </c>
      <c r="H141">
        <v>1.0044139999999999</v>
      </c>
      <c r="I141">
        <v>367.14760000000001</v>
      </c>
      <c r="J141">
        <v>-469.2045</v>
      </c>
      <c r="K141">
        <v>1.109764</v>
      </c>
      <c r="L141">
        <v>367.17430000000002</v>
      </c>
      <c r="M141">
        <v>0.99997100000000005</v>
      </c>
      <c r="N141">
        <v>0</v>
      </c>
      <c r="O141">
        <v>-5.4966210000000001E-3</v>
      </c>
      <c r="P141">
        <v>0.99802970000000002</v>
      </c>
      <c r="Q141">
        <v>6.274072E-2</v>
      </c>
      <c r="R141">
        <v>7.858117E-4</v>
      </c>
      <c r="S141">
        <v>3.0304869999999999</v>
      </c>
      <c r="T141">
        <v>-0.41439949999999998</v>
      </c>
      <c r="U141">
        <v>-0.1068115</v>
      </c>
      <c r="V141">
        <v>-6.2689950000000003E-3</v>
      </c>
      <c r="W141">
        <v>6.8009589999999995E-2</v>
      </c>
      <c r="X141">
        <v>0.99766500000000002</v>
      </c>
      <c r="Y141">
        <v>2.950682E-2</v>
      </c>
      <c r="Z141">
        <v>-1.259568E-3</v>
      </c>
      <c r="AA141">
        <v>0.9995638</v>
      </c>
      <c r="AB141">
        <v>9</v>
      </c>
      <c r="AC141">
        <v>0.676400000000001</v>
      </c>
      <c r="AD141">
        <v>-0.10535</v>
      </c>
      <c r="AE141">
        <v>-2.6700000000005199E-2</v>
      </c>
      <c r="AF141">
        <v>2.2438163747900999E-2</v>
      </c>
      <c r="AG141">
        <v>-0.10535</v>
      </c>
      <c r="AH141">
        <v>0.66053788977440997</v>
      </c>
      <c r="AI141">
        <v>99.056714631886607</v>
      </c>
      <c r="AJ141">
        <v>88.054437235174404</v>
      </c>
      <c r="AK141">
        <v>0.66926257740890305</v>
      </c>
      <c r="AL141">
        <v>86.100327493151198</v>
      </c>
      <c r="AM141">
        <v>90.360022881392396</v>
      </c>
      <c r="AN141">
        <v>1.00000002842763</v>
      </c>
    </row>
    <row r="142" spans="1:40" x14ac:dyDescent="0.25">
      <c r="A142" t="str">
        <f>"20190312150948646"</f>
        <v>20190312150948646</v>
      </c>
      <c r="B142" t="str">
        <f>"1552374588640837"</f>
        <v>1552374588640837</v>
      </c>
      <c r="C142" t="s">
        <v>40</v>
      </c>
      <c r="D142">
        <v>5.1200809999999999</v>
      </c>
      <c r="E142">
        <v>0.51293459999999902</v>
      </c>
      <c r="F142" t="s">
        <v>41</v>
      </c>
      <c r="G142">
        <v>-468.44310000000002</v>
      </c>
      <c r="H142">
        <v>1.008038</v>
      </c>
      <c r="I142">
        <v>367.14749999999998</v>
      </c>
      <c r="J142">
        <v>-469.1173</v>
      </c>
      <c r="K142">
        <v>1.109761</v>
      </c>
      <c r="L142">
        <v>367.1739</v>
      </c>
      <c r="M142">
        <v>0.99997100000000005</v>
      </c>
      <c r="N142">
        <v>0</v>
      </c>
      <c r="O142">
        <v>-5.496328E-3</v>
      </c>
      <c r="P142">
        <v>0.99798359999999997</v>
      </c>
      <c r="Q142">
        <v>6.3469269999999994E-2</v>
      </c>
      <c r="R142">
        <v>7.9980220000000002E-4</v>
      </c>
      <c r="S142">
        <v>3.0314329999999998</v>
      </c>
      <c r="T142">
        <v>-0.40528500000000001</v>
      </c>
      <c r="U142">
        <v>-0.10501099999999999</v>
      </c>
      <c r="V142">
        <v>-6.2824659999999996E-3</v>
      </c>
      <c r="W142">
        <v>6.8761710000000004E-2</v>
      </c>
      <c r="X142">
        <v>0.99761330000000004</v>
      </c>
      <c r="Y142">
        <v>2.891817E-2</v>
      </c>
      <c r="Z142">
        <v>-1.192619E-3</v>
      </c>
      <c r="AA142">
        <v>0.9995811</v>
      </c>
      <c r="AB142">
        <v>9</v>
      </c>
      <c r="AC142">
        <v>0.67419999999998403</v>
      </c>
      <c r="AD142">
        <v>-0.10172299999999999</v>
      </c>
      <c r="AE142">
        <v>-2.64000000000237E-2</v>
      </c>
      <c r="AF142">
        <v>2.2189561320887001E-2</v>
      </c>
      <c r="AG142">
        <v>-0.10172299999999999</v>
      </c>
      <c r="AH142">
        <v>0.65934807766360704</v>
      </c>
      <c r="AI142">
        <v>98.765454576750898</v>
      </c>
      <c r="AJ142">
        <v>88.072507363670596</v>
      </c>
      <c r="AK142">
        <v>0.66751766484439001</v>
      </c>
      <c r="AL142">
        <v>86.057132838101793</v>
      </c>
      <c r="AM142">
        <v>90.360815185981807</v>
      </c>
      <c r="AN142">
        <v>0.99999996923902701</v>
      </c>
    </row>
    <row r="143" spans="1:40" x14ac:dyDescent="0.25">
      <c r="A143" t="str">
        <f>"20190312150948671"</f>
        <v>20190312150948671</v>
      </c>
      <c r="B143" t="str">
        <f>"1552374588661333"</f>
        <v>1552374588661333</v>
      </c>
      <c r="C143" t="s">
        <v>40</v>
      </c>
      <c r="D143">
        <v>5.1875689999999999</v>
      </c>
      <c r="E143">
        <v>0.5127758</v>
      </c>
      <c r="F143" t="s">
        <v>41</v>
      </c>
      <c r="G143">
        <v>-468.34589999999997</v>
      </c>
      <c r="H143">
        <v>1.035266</v>
      </c>
      <c r="I143">
        <v>367.14780000000002</v>
      </c>
      <c r="J143">
        <v>-469.01530000000002</v>
      </c>
      <c r="K143">
        <v>1.109764</v>
      </c>
      <c r="L143">
        <v>367.17329999999998</v>
      </c>
      <c r="M143">
        <v>0.99997069999999999</v>
      </c>
      <c r="N143">
        <v>0</v>
      </c>
      <c r="O143">
        <v>-5.4955539999999997E-3</v>
      </c>
      <c r="P143">
        <v>0.9980078</v>
      </c>
      <c r="Q143">
        <v>6.3087480000000001E-2</v>
      </c>
      <c r="R143">
        <v>6.2103240000000001E-4</v>
      </c>
      <c r="S143">
        <v>3.02475</v>
      </c>
      <c r="T143">
        <v>-0.29208840000000003</v>
      </c>
      <c r="U143">
        <v>-0.10174560000000001</v>
      </c>
      <c r="V143">
        <v>-6.1028030000000004E-3</v>
      </c>
      <c r="W143">
        <v>6.8403030000000004E-2</v>
      </c>
      <c r="X143">
        <v>0.9976391</v>
      </c>
      <c r="Y143">
        <v>2.8020989999999999E-2</v>
      </c>
      <c r="Z143">
        <v>-8.2012350000000003E-4</v>
      </c>
      <c r="AA143">
        <v>0.99960700000000002</v>
      </c>
      <c r="AB143">
        <v>9</v>
      </c>
      <c r="AC143">
        <v>0.66940000000005195</v>
      </c>
      <c r="AD143">
        <v>-7.4497999999999898E-2</v>
      </c>
      <c r="AE143">
        <v>-2.5499999999965401E-2</v>
      </c>
      <c r="AF143">
        <v>2.15542627334534E-2</v>
      </c>
      <c r="AG143">
        <v>-7.4497999999999898E-2</v>
      </c>
      <c r="AH143">
        <v>0.66135066024658895</v>
      </c>
      <c r="AI143">
        <v>96.4236217813325</v>
      </c>
      <c r="AJ143">
        <v>88.133318101478196</v>
      </c>
      <c r="AK143">
        <v>0.66588229744796701</v>
      </c>
      <c r="AL143">
        <v>86.0777322973412</v>
      </c>
      <c r="AM143">
        <v>90.350487960657404</v>
      </c>
      <c r="AN143">
        <v>0.999999996283223</v>
      </c>
    </row>
    <row r="144" spans="1:40" x14ac:dyDescent="0.25">
      <c r="A144" t="str">
        <f>"20190312150948691"</f>
        <v>20190312150948691</v>
      </c>
      <c r="B144" t="str">
        <f>"1552374588680853"</f>
        <v>1552374588680853</v>
      </c>
      <c r="C144" t="s">
        <v>40</v>
      </c>
      <c r="D144">
        <v>5.2954910000000002</v>
      </c>
      <c r="E144">
        <v>0.49170150000000001</v>
      </c>
      <c r="F144" t="s">
        <v>41</v>
      </c>
      <c r="G144">
        <v>-468.26220000000001</v>
      </c>
      <c r="H144">
        <v>1.032527</v>
      </c>
      <c r="I144">
        <v>367.14780000000002</v>
      </c>
      <c r="J144">
        <v>-468.92669999999998</v>
      </c>
      <c r="K144">
        <v>1.1097629999999901</v>
      </c>
      <c r="L144">
        <v>367.17290000000003</v>
      </c>
      <c r="M144">
        <v>0.99997069999999999</v>
      </c>
      <c r="N144">
        <v>0</v>
      </c>
      <c r="O144">
        <v>-5.4947599999999996E-3</v>
      </c>
      <c r="P144">
        <v>0.99797009999999997</v>
      </c>
      <c r="Q144">
        <v>6.3685290000000006E-2</v>
      </c>
      <c r="R144">
        <v>4.6400320000000001E-4</v>
      </c>
      <c r="S144">
        <v>3.0256959999999999</v>
      </c>
      <c r="T144">
        <v>-0.31052740000000001</v>
      </c>
      <c r="U144">
        <v>-0.1014404</v>
      </c>
      <c r="V144">
        <v>-5.9455669999999997E-3</v>
      </c>
      <c r="W144">
        <v>6.9016220000000003E-2</v>
      </c>
      <c r="X144">
        <v>0.99759779999999998</v>
      </c>
      <c r="Y144">
        <v>2.7897700000000001E-2</v>
      </c>
      <c r="Z144">
        <v>-8.6513710000000001E-4</v>
      </c>
      <c r="AA144">
        <v>0.99961040000000001</v>
      </c>
      <c r="AB144">
        <v>9</v>
      </c>
      <c r="AC144">
        <v>0.664499999999975</v>
      </c>
      <c r="AD144">
        <v>-7.7235999999999805E-2</v>
      </c>
      <c r="AE144">
        <v>-2.5100000000009001E-2</v>
      </c>
      <c r="AF144">
        <v>2.1162802867223801E-2</v>
      </c>
      <c r="AG144">
        <v>-7.7235999999999805E-2</v>
      </c>
      <c r="AH144">
        <v>0.655781027258028</v>
      </c>
      <c r="AI144">
        <v>96.713723769351603</v>
      </c>
      <c r="AJ144">
        <v>88.1516412097466</v>
      </c>
      <c r="AK144">
        <v>0.66065272241382</v>
      </c>
      <c r="AL144">
        <v>86.042515804053394</v>
      </c>
      <c r="AM144">
        <v>90.341472146999394</v>
      </c>
      <c r="AN144">
        <v>0.99999997947743902</v>
      </c>
    </row>
    <row r="145" spans="1:40" x14ac:dyDescent="0.25">
      <c r="A145" t="str">
        <f>"20190312150948715"</f>
        <v>20190312150948715</v>
      </c>
      <c r="B145" t="str">
        <f>"1552374588711108"</f>
        <v>1552374588711108</v>
      </c>
      <c r="C145" t="s">
        <v>40</v>
      </c>
      <c r="D145">
        <v>5.1562659999999996</v>
      </c>
      <c r="E145">
        <v>0.48007939999999999</v>
      </c>
      <c r="F145" t="s">
        <v>41</v>
      </c>
      <c r="G145">
        <v>-468.18150000000003</v>
      </c>
      <c r="H145">
        <v>1.019293</v>
      </c>
      <c r="I145">
        <v>367.18900000000002</v>
      </c>
      <c r="J145">
        <v>-468.82459999999998</v>
      </c>
      <c r="K145">
        <v>1.1097570000000001</v>
      </c>
      <c r="L145">
        <v>367.17230000000001</v>
      </c>
      <c r="M145">
        <v>0.99997060000000004</v>
      </c>
      <c r="N145">
        <v>0</v>
      </c>
      <c r="O145">
        <v>-5.49264E-3</v>
      </c>
      <c r="P145">
        <v>0.99802100000000005</v>
      </c>
      <c r="Q145">
        <v>6.2880599999999995E-2</v>
      </c>
      <c r="R145">
        <v>1.8846229999999999E-4</v>
      </c>
      <c r="S145">
        <v>3.0295100000000001</v>
      </c>
      <c r="T145">
        <v>-0.3677241</v>
      </c>
      <c r="U145">
        <v>6.6192630000000002E-2</v>
      </c>
      <c r="V145">
        <v>-5.668073E-3</v>
      </c>
      <c r="W145">
        <v>6.8223679999999995E-2</v>
      </c>
      <c r="X145">
        <v>0.99765400000000004</v>
      </c>
      <c r="Y145">
        <v>-2.7096060000000002E-2</v>
      </c>
      <c r="Z145">
        <v>2.3024640000000002E-3</v>
      </c>
      <c r="AA145">
        <v>0.99963020000000002</v>
      </c>
      <c r="AB145">
        <v>10</v>
      </c>
      <c r="AC145">
        <v>0.64309999999994705</v>
      </c>
      <c r="AD145">
        <v>-9.0463999999999795E-2</v>
      </c>
      <c r="AE145">
        <v>1.6700000000014301E-2</v>
      </c>
      <c r="AF145">
        <v>-1.9839796727599199E-2</v>
      </c>
      <c r="AG145">
        <v>-9.0463999999999795E-2</v>
      </c>
      <c r="AH145">
        <v>0.63053025656203598</v>
      </c>
      <c r="AI145">
        <v>98.160689297820795</v>
      </c>
      <c r="AJ145">
        <v>91.802231824758096</v>
      </c>
      <c r="AK145">
        <v>0.63729565922762899</v>
      </c>
      <c r="AL145">
        <v>86.088032570247407</v>
      </c>
      <c r="AM145">
        <v>90.325516829220803</v>
      </c>
      <c r="AN145">
        <v>1.0000000506401301</v>
      </c>
    </row>
    <row r="146" spans="1:40" x14ac:dyDescent="0.25">
      <c r="A146" t="str">
        <f>"20190312150948739"</f>
        <v>20190312150948739</v>
      </c>
      <c r="B146" t="str">
        <f>"1552374588730631"</f>
        <v>1552374588730631</v>
      </c>
      <c r="C146" t="s">
        <v>40</v>
      </c>
      <c r="D146">
        <v>5.1725750000000001</v>
      </c>
      <c r="E146">
        <v>0.4768831</v>
      </c>
      <c r="F146" t="s">
        <v>41</v>
      </c>
      <c r="G146">
        <v>-468.09559999999999</v>
      </c>
      <c r="H146">
        <v>1.01355</v>
      </c>
      <c r="I146">
        <v>367.21010000000001</v>
      </c>
      <c r="J146">
        <v>-468.72359999999998</v>
      </c>
      <c r="K146">
        <v>1.1097079999999999</v>
      </c>
      <c r="L146">
        <v>367.17160000000001</v>
      </c>
      <c r="M146">
        <v>0.99997239999999998</v>
      </c>
      <c r="N146">
        <v>0</v>
      </c>
      <c r="O146">
        <v>-5.2668029999999996E-3</v>
      </c>
      <c r="P146">
        <v>0.99809289999999995</v>
      </c>
      <c r="Q146">
        <v>6.1729699999999998E-2</v>
      </c>
      <c r="R146" s="1">
        <v>-9.9834229999999996E-5</v>
      </c>
      <c r="S146">
        <v>3.0310969999999999</v>
      </c>
      <c r="T146">
        <v>-0.40011659999999999</v>
      </c>
      <c r="U146">
        <v>0.15789790000000001</v>
      </c>
      <c r="V146">
        <v>-5.1528260000000001E-3</v>
      </c>
      <c r="W146">
        <v>6.6984360000000007E-2</v>
      </c>
      <c r="X146">
        <v>0.99774070000000004</v>
      </c>
      <c r="Y146">
        <v>-5.6744629999999997E-2</v>
      </c>
      <c r="Z146">
        <v>4.4183900000000003E-3</v>
      </c>
      <c r="AA146">
        <v>0.99837889999999996</v>
      </c>
      <c r="AB146">
        <v>10</v>
      </c>
      <c r="AC146">
        <v>0.62799999999998501</v>
      </c>
      <c r="AD146">
        <v>-9.6157999999999896E-2</v>
      </c>
      <c r="AE146">
        <v>3.8499999999999E-2</v>
      </c>
      <c r="AF146">
        <v>-4.0852851978179602E-2</v>
      </c>
      <c r="AG146">
        <v>-9.6157999999999896E-2</v>
      </c>
      <c r="AH146">
        <v>0.61345976021397797</v>
      </c>
      <c r="AI146">
        <v>98.889083149780703</v>
      </c>
      <c r="AJ146">
        <v>93.809940223590502</v>
      </c>
      <c r="AK146">
        <v>0.62229269148893496</v>
      </c>
      <c r="AL146">
        <v>86.159202927976494</v>
      </c>
      <c r="AM146">
        <v>90.295901086895299</v>
      </c>
      <c r="AN146">
        <v>0.99999998026844195</v>
      </c>
    </row>
    <row r="147" spans="1:40" x14ac:dyDescent="0.25">
      <c r="A147" t="str">
        <f>"20190312150948759"</f>
        <v>20190312150948759</v>
      </c>
      <c r="B147" t="str">
        <f>"1552374588751126"</f>
        <v>1552374588751126</v>
      </c>
      <c r="C147" t="s">
        <v>40</v>
      </c>
      <c r="D147">
        <v>5.0362679999999997</v>
      </c>
      <c r="E147">
        <v>0.47532160000000001</v>
      </c>
      <c r="F147" t="s">
        <v>41</v>
      </c>
      <c r="G147">
        <v>-467.92430000000002</v>
      </c>
      <c r="H147">
        <v>1.002524</v>
      </c>
      <c r="I147">
        <v>367.21949999999998</v>
      </c>
      <c r="J147">
        <v>-468.62790000000001</v>
      </c>
      <c r="K147">
        <v>1.1097090000000001</v>
      </c>
      <c r="L147">
        <v>367.17110000000002</v>
      </c>
      <c r="M147">
        <v>0.9999728</v>
      </c>
      <c r="N147">
        <v>0</v>
      </c>
      <c r="O147">
        <v>-5.217434E-3</v>
      </c>
      <c r="P147">
        <v>0.99817560000000005</v>
      </c>
      <c r="Q147">
        <v>6.0375430000000001E-2</v>
      </c>
      <c r="R147">
        <v>-7.1010660000000005E-4</v>
      </c>
      <c r="S147">
        <v>3.0308839999999999</v>
      </c>
      <c r="T147">
        <v>-0.40661940000000002</v>
      </c>
      <c r="U147">
        <v>0.1828003</v>
      </c>
      <c r="V147">
        <v>-4.5066869999999997E-3</v>
      </c>
      <c r="W147">
        <v>6.5585539999999998E-2</v>
      </c>
      <c r="X147">
        <v>0.99783679999999997</v>
      </c>
      <c r="Y147">
        <v>-6.4785410000000002E-2</v>
      </c>
      <c r="Z147">
        <v>5.0187599999999997E-3</v>
      </c>
      <c r="AA147">
        <v>0.99788659999999996</v>
      </c>
      <c r="AB147">
        <v>10</v>
      </c>
      <c r="AC147">
        <v>0.70359999999999401</v>
      </c>
      <c r="AD147">
        <v>-0.107185</v>
      </c>
      <c r="AE147">
        <v>4.8399999999958199E-2</v>
      </c>
      <c r="AF147">
        <v>-5.0894831108053901E-2</v>
      </c>
      <c r="AG147">
        <v>-0.107185</v>
      </c>
      <c r="AH147">
        <v>0.68745926243368904</v>
      </c>
      <c r="AI147">
        <v>98.838100421730601</v>
      </c>
      <c r="AJ147">
        <v>94.234067486916203</v>
      </c>
      <c r="AK147">
        <v>0.697623928463173</v>
      </c>
      <c r="AL147">
        <v>86.239526244017796</v>
      </c>
      <c r="AM147">
        <v>90.258772164938094</v>
      </c>
      <c r="AN147">
        <v>1.0000000263595199</v>
      </c>
    </row>
    <row r="148" spans="1:40" x14ac:dyDescent="0.25">
      <c r="A148" t="str">
        <f>"20190312150948781"</f>
        <v>20190312150948781</v>
      </c>
      <c r="B148" t="str">
        <f>"1552374588770645"</f>
        <v>1552374588770645</v>
      </c>
      <c r="C148" t="s">
        <v>40</v>
      </c>
      <c r="D148">
        <v>5.0824470000000002</v>
      </c>
      <c r="E148">
        <v>0.47424050000000001</v>
      </c>
      <c r="F148" t="s">
        <v>41</v>
      </c>
      <c r="G148">
        <v>-467.83510000000001</v>
      </c>
      <c r="H148">
        <v>1.000891</v>
      </c>
      <c r="I148">
        <v>367.22160000000002</v>
      </c>
      <c r="J148">
        <v>-468.53050000000002</v>
      </c>
      <c r="K148">
        <v>1.109769</v>
      </c>
      <c r="L148">
        <v>367.1705</v>
      </c>
      <c r="M148">
        <v>0.99997170000000002</v>
      </c>
      <c r="N148">
        <v>0</v>
      </c>
      <c r="O148">
        <v>-5.3998400000000004E-3</v>
      </c>
      <c r="P148">
        <v>0.9983031</v>
      </c>
      <c r="Q148">
        <v>5.8219069999999998E-2</v>
      </c>
      <c r="R148">
        <v>-1.279468E-3</v>
      </c>
      <c r="S148">
        <v>3.0308229999999998</v>
      </c>
      <c r="T148">
        <v>-0.41608109999999998</v>
      </c>
      <c r="U148">
        <v>0.19351199999999999</v>
      </c>
      <c r="V148">
        <v>-4.139462E-3</v>
      </c>
      <c r="W148">
        <v>6.3454239999999995E-2</v>
      </c>
      <c r="X148">
        <v>0.99797619999999998</v>
      </c>
      <c r="Y148">
        <v>-6.8416660000000004E-2</v>
      </c>
      <c r="Z148">
        <v>5.4067660000000003E-3</v>
      </c>
      <c r="AA148">
        <v>0.99764219999999904</v>
      </c>
      <c r="AB148">
        <v>10</v>
      </c>
      <c r="AC148">
        <v>0.69540000000000601</v>
      </c>
      <c r="AD148">
        <v>-0.108878</v>
      </c>
      <c r="AE148">
        <v>5.1100000000019401E-2</v>
      </c>
      <c r="AF148">
        <v>-5.3548721873947699E-2</v>
      </c>
      <c r="AG148">
        <v>-0.108878</v>
      </c>
      <c r="AH148">
        <v>0.67856895075386903</v>
      </c>
      <c r="AI148">
        <v>99.087768101016295</v>
      </c>
      <c r="AJ148">
        <v>94.512099476542801</v>
      </c>
      <c r="AK148">
        <v>0.68933134661463003</v>
      </c>
      <c r="AL148">
        <v>86.361895759797804</v>
      </c>
      <c r="AM148">
        <v>90.237653304658295</v>
      </c>
      <c r="AN148">
        <v>1.0000000357430301</v>
      </c>
    </row>
    <row r="149" spans="1:40" x14ac:dyDescent="0.25">
      <c r="A149" t="str">
        <f>"20190312150948803"</f>
        <v>20190312150948803</v>
      </c>
      <c r="B149" t="str">
        <f>"1552374588800901"</f>
        <v>1552374588800901</v>
      </c>
      <c r="C149" t="s">
        <v>40</v>
      </c>
      <c r="D149">
        <v>5.218216</v>
      </c>
      <c r="E149">
        <v>0.4734643</v>
      </c>
      <c r="F149" t="s">
        <v>41</v>
      </c>
      <c r="G149">
        <v>-467.74549999999999</v>
      </c>
      <c r="H149">
        <v>0.99914860000000005</v>
      </c>
      <c r="I149">
        <v>367.22199999999998</v>
      </c>
      <c r="J149">
        <v>-468.42899999999997</v>
      </c>
      <c r="K149">
        <v>1.109766</v>
      </c>
      <c r="L149">
        <v>367.17</v>
      </c>
      <c r="M149">
        <v>0.99997040000000004</v>
      </c>
      <c r="N149">
        <v>0</v>
      </c>
      <c r="O149">
        <v>-5.6271569999999998E-3</v>
      </c>
      <c r="P149">
        <v>0.99830200000000002</v>
      </c>
      <c r="Q149">
        <v>5.8232249999999999E-2</v>
      </c>
      <c r="R149">
        <v>-1.402709E-3</v>
      </c>
      <c r="S149">
        <v>3.030243</v>
      </c>
      <c r="T149">
        <v>-0.42724609999999902</v>
      </c>
      <c r="U149">
        <v>0.2001038</v>
      </c>
      <c r="V149">
        <v>-4.2531899999999996E-3</v>
      </c>
      <c r="W149">
        <v>6.3467549999999998E-2</v>
      </c>
      <c r="X149">
        <v>0.99797480000000005</v>
      </c>
      <c r="Y149">
        <v>-7.0753739999999996E-2</v>
      </c>
      <c r="Z149">
        <v>5.7467500000000001E-3</v>
      </c>
      <c r="AA149">
        <v>0.99747719999999995</v>
      </c>
      <c r="AB149">
        <v>10</v>
      </c>
      <c r="AC149">
        <v>0.68350000000003697</v>
      </c>
      <c r="AD149">
        <v>-0.1106174</v>
      </c>
      <c r="AE149">
        <v>5.1999999999963999E-2</v>
      </c>
      <c r="AF149">
        <v>-5.4428012825603798E-2</v>
      </c>
      <c r="AG149">
        <v>-0.1106174</v>
      </c>
      <c r="AH149">
        <v>0.66585675691541002</v>
      </c>
      <c r="AI149">
        <v>99.401492245350298</v>
      </c>
      <c r="AJ149">
        <v>94.673043479018403</v>
      </c>
      <c r="AK149">
        <v>0.67717341833005495</v>
      </c>
      <c r="AL149">
        <v>86.361131338493195</v>
      </c>
      <c r="AM149">
        <v>90.244182880263295</v>
      </c>
      <c r="AN149">
        <v>0.999999960481608</v>
      </c>
    </row>
    <row r="150" spans="1:40" x14ac:dyDescent="0.25">
      <c r="A150" t="str">
        <f>"20190312150948825"</f>
        <v>20190312150948825</v>
      </c>
      <c r="B150" t="str">
        <f>"1552374588821397"</f>
        <v>1552374588821397</v>
      </c>
      <c r="C150" t="s">
        <v>40</v>
      </c>
      <c r="D150">
        <v>5.1621759999999997</v>
      </c>
      <c r="E150">
        <v>0.47271980000000002</v>
      </c>
      <c r="F150" t="s">
        <v>41</v>
      </c>
      <c r="G150">
        <v>-467.65320000000003</v>
      </c>
      <c r="H150">
        <v>0.99969629999999998</v>
      </c>
      <c r="I150">
        <v>367.22230000000002</v>
      </c>
      <c r="J150">
        <v>-468.33010000000002</v>
      </c>
      <c r="K150">
        <v>1.109696</v>
      </c>
      <c r="L150">
        <v>367.1694</v>
      </c>
      <c r="M150">
        <v>0.99997029999999998</v>
      </c>
      <c r="N150">
        <v>0</v>
      </c>
      <c r="O150">
        <v>-5.6982469999999896E-3</v>
      </c>
      <c r="P150">
        <v>0.9982782</v>
      </c>
      <c r="Q150">
        <v>5.8640539999999998E-2</v>
      </c>
      <c r="R150">
        <v>-1.36964799999999E-3</v>
      </c>
      <c r="S150">
        <v>3.0304869999999999</v>
      </c>
      <c r="T150">
        <v>-0.43011759999999899</v>
      </c>
      <c r="U150">
        <v>0.2056885</v>
      </c>
      <c r="V150">
        <v>-4.355406E-3</v>
      </c>
      <c r="W150">
        <v>6.3817799999999994E-2</v>
      </c>
      <c r="X150">
        <v>0.99795199999999995</v>
      </c>
      <c r="Y150">
        <v>-7.2620019999999993E-2</v>
      </c>
      <c r="Z150">
        <v>5.9258430000000001E-3</v>
      </c>
      <c r="AA150">
        <v>0.99734210000000001</v>
      </c>
      <c r="AB150">
        <v>10</v>
      </c>
      <c r="AC150">
        <v>0.67689999999998895</v>
      </c>
      <c r="AD150">
        <v>-0.10999970000000001</v>
      </c>
      <c r="AE150">
        <v>5.2900000000022297E-2</v>
      </c>
      <c r="AF150">
        <v>-5.53047203084839E-2</v>
      </c>
      <c r="AG150">
        <v>-0.10999970000000001</v>
      </c>
      <c r="AH150">
        <v>0.65928297324921603</v>
      </c>
      <c r="AI150">
        <v>99.439846006790404</v>
      </c>
      <c r="AJ150">
        <v>94.795096724827999</v>
      </c>
      <c r="AK150">
        <v>0.67068068773807399</v>
      </c>
      <c r="AL150">
        <v>86.341022642277693</v>
      </c>
      <c r="AM150">
        <v>90.250056914032399</v>
      </c>
      <c r="AN150">
        <v>0.99999993773113005</v>
      </c>
    </row>
    <row r="151" spans="1:40" x14ac:dyDescent="0.25">
      <c r="A151" t="str">
        <f>"20190312150948848"</f>
        <v>20190312150948848</v>
      </c>
      <c r="B151" t="str">
        <f>"1552374588840917"</f>
        <v>1552374588840917</v>
      </c>
      <c r="C151" t="s">
        <v>40</v>
      </c>
      <c r="D151">
        <v>5.1873449999999997</v>
      </c>
      <c r="E151">
        <v>0.47227760000000002</v>
      </c>
      <c r="F151" t="s">
        <v>41</v>
      </c>
      <c r="G151">
        <v>-467.55939999999998</v>
      </c>
      <c r="H151">
        <v>1.0005999999999999</v>
      </c>
      <c r="I151">
        <v>367.22300000000001</v>
      </c>
      <c r="J151">
        <v>-468.22390000000001</v>
      </c>
      <c r="K151">
        <v>1.1095889999999999</v>
      </c>
      <c r="L151">
        <v>367.16890000000001</v>
      </c>
      <c r="M151">
        <v>0.99997130000000001</v>
      </c>
      <c r="N151">
        <v>0</v>
      </c>
      <c r="O151">
        <v>-5.5884359999999996E-3</v>
      </c>
      <c r="P151">
        <v>0.99821499999999996</v>
      </c>
      <c r="Q151">
        <v>5.9720170000000003E-2</v>
      </c>
      <c r="R151">
        <v>-7.5030850000000005E-4</v>
      </c>
      <c r="S151">
        <v>3.0307010000000001</v>
      </c>
      <c r="T151">
        <v>-0.42905650000000001</v>
      </c>
      <c r="U151">
        <v>0.21151729999999999</v>
      </c>
      <c r="V151">
        <v>-4.8576000000000001E-3</v>
      </c>
      <c r="W151">
        <v>6.4818029999999999E-2</v>
      </c>
      <c r="X151">
        <v>0.99788529999999998</v>
      </c>
      <c r="Y151">
        <v>-7.4402239999999994E-2</v>
      </c>
      <c r="Z151">
        <v>6.0204999999999998E-3</v>
      </c>
      <c r="AA151">
        <v>0.99721009999999999</v>
      </c>
      <c r="AB151">
        <v>10</v>
      </c>
      <c r="AC151">
        <v>0.66450000000003195</v>
      </c>
      <c r="AD151">
        <v>-0.108989</v>
      </c>
      <c r="AE151">
        <v>5.4100000000005297E-2</v>
      </c>
      <c r="AF151">
        <v>-5.6307929916101097E-2</v>
      </c>
      <c r="AG151">
        <v>-0.108989</v>
      </c>
      <c r="AH151">
        <v>0.64689935740675097</v>
      </c>
      <c r="AI151">
        <v>99.527966934417407</v>
      </c>
      <c r="AJ151">
        <v>94.974646843951504</v>
      </c>
      <c r="AK151">
        <v>0.65842840438858896</v>
      </c>
      <c r="AL151">
        <v>86.283595087920006</v>
      </c>
      <c r="AM151">
        <v>90.278907586073004</v>
      </c>
      <c r="AN151">
        <v>1.00000002262346</v>
      </c>
    </row>
    <row r="152" spans="1:40" x14ac:dyDescent="0.25">
      <c r="A152" t="str">
        <f>"20190312150948870"</f>
        <v>20190312150948870</v>
      </c>
      <c r="B152" t="str">
        <f>"1552374588860440"</f>
        <v>1552374588860440</v>
      </c>
      <c r="C152" t="s">
        <v>40</v>
      </c>
      <c r="D152">
        <v>5.1689910000000001</v>
      </c>
      <c r="E152">
        <v>0.47200639999999999</v>
      </c>
      <c r="F152" t="s">
        <v>41</v>
      </c>
      <c r="G152">
        <v>-467.46390000000002</v>
      </c>
      <c r="H152">
        <v>1.0026459999999999</v>
      </c>
      <c r="I152">
        <v>367.22300000000001</v>
      </c>
      <c r="J152">
        <v>-468.11860000000001</v>
      </c>
      <c r="K152">
        <v>1.109526</v>
      </c>
      <c r="L152">
        <v>367.16829999999999</v>
      </c>
      <c r="M152">
        <v>0.99997250000000004</v>
      </c>
      <c r="N152">
        <v>0</v>
      </c>
      <c r="O152">
        <v>-5.412994E-3</v>
      </c>
      <c r="P152">
        <v>0.99825589999999997</v>
      </c>
      <c r="Q152">
        <v>5.9037480000000003E-2</v>
      </c>
      <c r="R152">
        <v>-3.1300160000000002E-4</v>
      </c>
      <c r="S152">
        <v>3.0310359999999998</v>
      </c>
      <c r="T152">
        <v>-0.42666150000000003</v>
      </c>
      <c r="U152">
        <v>0.2166138</v>
      </c>
      <c r="V152">
        <v>-5.1128839999999998E-3</v>
      </c>
      <c r="W152">
        <v>6.4094280000000003E-2</v>
      </c>
      <c r="X152">
        <v>0.99793080000000001</v>
      </c>
      <c r="Y152">
        <v>-7.5884190000000004E-2</v>
      </c>
      <c r="Z152">
        <v>6.0653310000000002E-3</v>
      </c>
      <c r="AA152">
        <v>0.99709820000000005</v>
      </c>
      <c r="AB152">
        <v>10</v>
      </c>
      <c r="AC152">
        <v>0.65469999999999096</v>
      </c>
      <c r="AD152">
        <v>-0.10688</v>
      </c>
      <c r="AE152">
        <v>5.4700000000025201E-2</v>
      </c>
      <c r="AF152">
        <v>-5.6741417064838699E-2</v>
      </c>
      <c r="AG152">
        <v>-0.10688</v>
      </c>
      <c r="AH152">
        <v>0.63752171001584101</v>
      </c>
      <c r="AI152">
        <v>99.480295524426793</v>
      </c>
      <c r="AJ152">
        <v>95.086101073260295</v>
      </c>
      <c r="AK152">
        <v>0.64890434853840195</v>
      </c>
      <c r="AL152">
        <v>86.325149419241995</v>
      </c>
      <c r="AM152">
        <v>90.293551527908306</v>
      </c>
      <c r="AN152">
        <v>1.0000000499500701</v>
      </c>
    </row>
    <row r="153" spans="1:40" x14ac:dyDescent="0.25">
      <c r="A153" t="str">
        <f>"20190312150948892"</f>
        <v>20190312150948892</v>
      </c>
      <c r="B153" t="str">
        <f>"1552374588880933"</f>
        <v>1552374588880933</v>
      </c>
      <c r="C153" t="s">
        <v>40</v>
      </c>
      <c r="D153">
        <v>5.1023509999999996</v>
      </c>
      <c r="E153">
        <v>0.4719931</v>
      </c>
      <c r="F153" t="s">
        <v>41</v>
      </c>
      <c r="G153">
        <v>-467.3689</v>
      </c>
      <c r="H153">
        <v>1.0031840000000001</v>
      </c>
      <c r="I153">
        <v>367.22219999999999</v>
      </c>
      <c r="J153">
        <v>-468.01220000000001</v>
      </c>
      <c r="K153">
        <v>1.109513</v>
      </c>
      <c r="L153">
        <v>367.16770000000002</v>
      </c>
      <c r="M153">
        <v>0.99997340000000001</v>
      </c>
      <c r="N153">
        <v>0</v>
      </c>
      <c r="O153">
        <v>-5.2862660000000004E-3</v>
      </c>
      <c r="P153">
        <v>0.99820949999999997</v>
      </c>
      <c r="Q153">
        <v>5.981624E-2</v>
      </c>
      <c r="R153">
        <v>1.6023709999999901E-4</v>
      </c>
      <c r="S153">
        <v>3.0307620000000002</v>
      </c>
      <c r="T153">
        <v>-0.4301507</v>
      </c>
      <c r="U153">
        <v>0.219696</v>
      </c>
      <c r="V153">
        <v>-5.4566500000000004E-3</v>
      </c>
      <c r="W153">
        <v>6.4871330000000005E-2</v>
      </c>
      <c r="X153">
        <v>0.99787870000000001</v>
      </c>
      <c r="Y153">
        <v>-7.6752539999999994E-2</v>
      </c>
      <c r="Z153">
        <v>6.158134E-3</v>
      </c>
      <c r="AA153">
        <v>0.99703120000000001</v>
      </c>
      <c r="AB153">
        <v>10</v>
      </c>
      <c r="AC153">
        <v>0.64330000000000997</v>
      </c>
      <c r="AD153">
        <v>-0.10632899999999899</v>
      </c>
      <c r="AE153">
        <v>5.4499999999961801E-2</v>
      </c>
      <c r="AF153">
        <v>-5.6370874109832499E-2</v>
      </c>
      <c r="AG153">
        <v>-0.10632899999999899</v>
      </c>
      <c r="AH153">
        <v>0.62602203327865602</v>
      </c>
      <c r="AI153">
        <v>99.601497347456402</v>
      </c>
      <c r="AJ153">
        <v>95.145387519338698</v>
      </c>
      <c r="AK153">
        <v>0.63748499420711802</v>
      </c>
      <c r="AL153">
        <v>86.280534631559206</v>
      </c>
      <c r="AM153">
        <v>90.313304512005502</v>
      </c>
      <c r="AN153">
        <v>0.99999998219943997</v>
      </c>
    </row>
    <row r="154" spans="1:40" x14ac:dyDescent="0.25">
      <c r="A154" t="str">
        <f>"20190312150948917"</f>
        <v>20190312150948917</v>
      </c>
      <c r="B154" t="str">
        <f>"1552374588911190"</f>
        <v>1552374588911190</v>
      </c>
      <c r="C154" t="s">
        <v>40</v>
      </c>
      <c r="D154">
        <v>5.0849729999999997</v>
      </c>
      <c r="E154">
        <v>0.47575430000000002</v>
      </c>
      <c r="F154" t="s">
        <v>41</v>
      </c>
      <c r="G154">
        <v>-467.2731</v>
      </c>
      <c r="H154">
        <v>1.003622</v>
      </c>
      <c r="I154">
        <v>367.22129999999999</v>
      </c>
      <c r="J154">
        <v>-467.89670000000001</v>
      </c>
      <c r="K154">
        <v>1.1095389999999901</v>
      </c>
      <c r="L154">
        <v>367.16719999999998</v>
      </c>
      <c r="M154">
        <v>0.99997340000000001</v>
      </c>
      <c r="N154">
        <v>0</v>
      </c>
      <c r="O154">
        <v>-5.2379059999999996E-3</v>
      </c>
      <c r="P154">
        <v>0.99807230000000002</v>
      </c>
      <c r="Q154">
        <v>6.2058420000000003E-2</v>
      </c>
      <c r="R154">
        <v>8.0225979999999999E-4</v>
      </c>
      <c r="S154">
        <v>3.0313720000000002</v>
      </c>
      <c r="T154">
        <v>-0.43446220000000002</v>
      </c>
      <c r="U154">
        <v>0.22109989999999999</v>
      </c>
      <c r="V154">
        <v>-6.0500500000000004E-3</v>
      </c>
      <c r="W154">
        <v>6.7125180000000007E-2</v>
      </c>
      <c r="X154">
        <v>0.99772620000000001</v>
      </c>
      <c r="Y154">
        <v>-7.712977E-2</v>
      </c>
      <c r="Z154">
        <v>6.2378729999999997E-3</v>
      </c>
      <c r="AA154">
        <v>0.99700149999999998</v>
      </c>
      <c r="AB154">
        <v>11</v>
      </c>
      <c r="AC154">
        <v>0.62360000000001004</v>
      </c>
      <c r="AD154">
        <v>-0.105916999999999</v>
      </c>
      <c r="AE154">
        <v>5.4100000000005297E-2</v>
      </c>
      <c r="AF154">
        <v>-5.5768843944596198E-2</v>
      </c>
      <c r="AG154">
        <v>-0.105916999999999</v>
      </c>
      <c r="AH154">
        <v>0.60595784459842394</v>
      </c>
      <c r="AI154">
        <v>99.873817393403797</v>
      </c>
      <c r="AJ154">
        <v>95.258357862691298</v>
      </c>
      <c r="AK154">
        <v>0.61766777823866204</v>
      </c>
      <c r="AL154">
        <v>86.151116340479405</v>
      </c>
      <c r="AM154">
        <v>90.347428064174494</v>
      </c>
      <c r="AN154">
        <v>0.99999998153073699</v>
      </c>
    </row>
    <row r="155" spans="1:40" x14ac:dyDescent="0.25">
      <c r="A155" t="str">
        <f>"20190312150948939"</f>
        <v>20190312150948939</v>
      </c>
      <c r="B155" t="str">
        <f>"1552374588930709"</f>
        <v>1552374588930709</v>
      </c>
      <c r="C155" t="s">
        <v>40</v>
      </c>
      <c r="D155">
        <v>5.2044990000000002</v>
      </c>
      <c r="E155">
        <v>0.53523359999999998</v>
      </c>
      <c r="F155" t="s">
        <v>41</v>
      </c>
      <c r="G155">
        <v>-467.17520000000002</v>
      </c>
      <c r="H155">
        <v>1.008321</v>
      </c>
      <c r="I155">
        <v>367.21260000000001</v>
      </c>
      <c r="J155">
        <v>-467.78859999999997</v>
      </c>
      <c r="K155">
        <v>1.1095569999999999</v>
      </c>
      <c r="L155">
        <v>367.16669999999999</v>
      </c>
      <c r="M155">
        <v>0.99997340000000001</v>
      </c>
      <c r="N155">
        <v>0</v>
      </c>
      <c r="O155">
        <v>-5.2343329999999999E-3</v>
      </c>
      <c r="P155">
        <v>0.99802959999999996</v>
      </c>
      <c r="Q155">
        <v>6.2736410000000006E-2</v>
      </c>
      <c r="R155">
        <v>1.1802099999999999E-3</v>
      </c>
      <c r="S155">
        <v>3.0321039999999999</v>
      </c>
      <c r="T155">
        <v>-0.4256588</v>
      </c>
      <c r="U155">
        <v>0.19232179999999999</v>
      </c>
      <c r="V155">
        <v>-6.4241719999999997E-3</v>
      </c>
      <c r="W155">
        <v>6.7804080000000003E-2</v>
      </c>
      <c r="X155">
        <v>0.99767799999999995</v>
      </c>
      <c r="Y155">
        <v>-6.7810860000000001E-2</v>
      </c>
      <c r="Z155">
        <v>5.462415E-3</v>
      </c>
      <c r="AA155">
        <v>0.99768319999999999</v>
      </c>
      <c r="AB155">
        <v>11</v>
      </c>
      <c r="AC155">
        <v>0.61339999999995598</v>
      </c>
      <c r="AD155">
        <v>-0.10123599999999899</v>
      </c>
      <c r="AE155">
        <v>4.5900000000017302E-2</v>
      </c>
      <c r="AF155">
        <v>-4.7814998005857097E-2</v>
      </c>
      <c r="AG155">
        <v>-0.10123599999999899</v>
      </c>
      <c r="AH155">
        <v>0.59698104186342404</v>
      </c>
      <c r="AI155">
        <v>99.594499149474004</v>
      </c>
      <c r="AJ155">
        <v>94.5793107699958</v>
      </c>
      <c r="AK155">
        <v>0.60738897427812999</v>
      </c>
      <c r="AL155">
        <v>86.112129587921402</v>
      </c>
      <c r="AM155">
        <v>90.368929509793404</v>
      </c>
      <c r="AN155">
        <v>1.00000002746726</v>
      </c>
    </row>
    <row r="156" spans="1:40" x14ac:dyDescent="0.25">
      <c r="A156" t="str">
        <f>"20190312150948960"</f>
        <v>20190312150948960</v>
      </c>
      <c r="B156" t="str">
        <f>"1552374588951205"</f>
        <v>1552374588951205</v>
      </c>
      <c r="C156" t="s">
        <v>40</v>
      </c>
      <c r="D156">
        <v>5.0602679999999998</v>
      </c>
      <c r="E156">
        <v>0.53660779999999997</v>
      </c>
      <c r="F156" t="s">
        <v>42</v>
      </c>
      <c r="G156">
        <v>-446.7543</v>
      </c>
      <c r="H156" s="1">
        <v>-2.4011880000000001E-6</v>
      </c>
      <c r="I156">
        <v>365.21690000000001</v>
      </c>
      <c r="J156">
        <v>-467.67959999999999</v>
      </c>
      <c r="K156">
        <v>1.1095520000000001</v>
      </c>
      <c r="L156">
        <v>367.16629999999998</v>
      </c>
      <c r="M156">
        <v>0.99997369999999997</v>
      </c>
      <c r="N156">
        <v>0</v>
      </c>
      <c r="O156">
        <v>-5.2101769999999999E-3</v>
      </c>
      <c r="P156">
        <v>0.9981738</v>
      </c>
      <c r="Q156">
        <v>6.0402539999999998E-2</v>
      </c>
      <c r="R156">
        <v>9.429719E-4</v>
      </c>
      <c r="S156">
        <v>3.016235</v>
      </c>
      <c r="T156">
        <v>-0.15910639999999901</v>
      </c>
      <c r="U156">
        <v>-0.27960210000000002</v>
      </c>
      <c r="V156">
        <v>-6.1615819999999996E-3</v>
      </c>
      <c r="W156">
        <v>6.5463240000000006E-2</v>
      </c>
      <c r="X156">
        <v>0.9978359</v>
      </c>
      <c r="Y156">
        <v>8.7001300000000004E-2</v>
      </c>
      <c r="Z156">
        <v>-2.0141239999999999E-3</v>
      </c>
      <c r="AA156">
        <v>0.99620620000000004</v>
      </c>
      <c r="AB156">
        <v>11</v>
      </c>
      <c r="AC156">
        <v>20.9253</v>
      </c>
      <c r="AD156">
        <v>-1.1095544011880001</v>
      </c>
      <c r="AE156">
        <v>-1.9493999999999601</v>
      </c>
      <c r="AF156">
        <v>1.8352320904731001</v>
      </c>
      <c r="AG156">
        <v>-1.1095544011880001</v>
      </c>
      <c r="AH156">
        <v>20.876980107100099</v>
      </c>
      <c r="AI156">
        <v>93.030586549947401</v>
      </c>
      <c r="AJ156">
        <v>84.976215655267396</v>
      </c>
      <c r="AK156">
        <v>20.986840786248699</v>
      </c>
      <c r="AL156">
        <v>86.246548292265103</v>
      </c>
      <c r="AM156">
        <v>90.353793801954396</v>
      </c>
      <c r="AN156">
        <v>0.99999994210642296</v>
      </c>
    </row>
    <row r="157" spans="1:40" x14ac:dyDescent="0.25">
      <c r="A157" t="str">
        <f>"20190312150948983"</f>
        <v>20190312150948983</v>
      </c>
      <c r="B157" t="str">
        <f>"1552374588970725"</f>
        <v>1552374588970725</v>
      </c>
      <c r="C157" t="s">
        <v>40</v>
      </c>
      <c r="D157">
        <v>5.080781</v>
      </c>
      <c r="E157">
        <v>0.53743960000000002</v>
      </c>
      <c r="F157" t="s">
        <v>41</v>
      </c>
      <c r="G157">
        <v>-466.84679999999997</v>
      </c>
      <c r="H157">
        <v>1.059026</v>
      </c>
      <c r="I157">
        <v>367.08550000000002</v>
      </c>
      <c r="J157">
        <v>-467.57150000000001</v>
      </c>
      <c r="K157">
        <v>1.109526</v>
      </c>
      <c r="L157">
        <v>367.16579999999999</v>
      </c>
      <c r="M157">
        <v>0.99997409999999998</v>
      </c>
      <c r="N157">
        <v>0</v>
      </c>
      <c r="O157">
        <v>-5.1525779999999997E-3</v>
      </c>
      <c r="P157">
        <v>0.99844929999999998</v>
      </c>
      <c r="Q157">
        <v>5.5668849999999999E-2</v>
      </c>
      <c r="R157">
        <v>4.7413140000000001E-4</v>
      </c>
      <c r="S157">
        <v>3.0168460000000001</v>
      </c>
      <c r="T157">
        <v>-0.1831932</v>
      </c>
      <c r="U157">
        <v>-0.29171750000000002</v>
      </c>
      <c r="V157">
        <v>-5.6322730000000001E-3</v>
      </c>
      <c r="W157">
        <v>6.0722470000000001E-2</v>
      </c>
      <c r="X157">
        <v>0.99813879999999999</v>
      </c>
      <c r="Y157">
        <v>9.0960730000000004E-2</v>
      </c>
      <c r="Z157">
        <v>-2.4409280000000002E-3</v>
      </c>
      <c r="AA157">
        <v>0.9958515</v>
      </c>
      <c r="AB157">
        <v>11</v>
      </c>
      <c r="AC157">
        <v>0.72470000000004098</v>
      </c>
      <c r="AD157">
        <v>-5.0499999999999899E-2</v>
      </c>
      <c r="AE157">
        <v>-8.0299999999965593E-2</v>
      </c>
      <c r="AF157">
        <v>7.6199288244845995E-2</v>
      </c>
      <c r="AG157">
        <v>-5.0499999999999899E-2</v>
      </c>
      <c r="AH157">
        <v>0.721642442986974</v>
      </c>
      <c r="AI157">
        <v>93.980930548338307</v>
      </c>
      <c r="AJ157">
        <v>83.972389780626003</v>
      </c>
      <c r="AK157">
        <v>0.72740937377052695</v>
      </c>
      <c r="AL157">
        <v>86.518717141682501</v>
      </c>
      <c r="AM157">
        <v>90.323303779947096</v>
      </c>
      <c r="AN157">
        <v>1.0000000024637401</v>
      </c>
    </row>
    <row r="158" spans="1:40" x14ac:dyDescent="0.25">
      <c r="A158" t="str">
        <f>"20190312150949015"</f>
        <v>20190312150949015</v>
      </c>
      <c r="B158" t="str">
        <f>"1552374589010742"</f>
        <v>1552374589010742</v>
      </c>
      <c r="C158" t="s">
        <v>40</v>
      </c>
      <c r="D158">
        <v>5.0740879999999997</v>
      </c>
      <c r="E158">
        <v>0.53874299999999997</v>
      </c>
      <c r="F158" t="s">
        <v>42</v>
      </c>
      <c r="G158">
        <v>-448.70429999999999</v>
      </c>
      <c r="H158" s="1">
        <v>-1.632574E-6</v>
      </c>
      <c r="I158">
        <v>365.2912</v>
      </c>
      <c r="J158">
        <v>-467.40530000000001</v>
      </c>
      <c r="K158">
        <v>1.1094900000000001</v>
      </c>
      <c r="L158">
        <v>367.16520000000003</v>
      </c>
      <c r="M158">
        <v>0.99997460000000005</v>
      </c>
      <c r="N158">
        <v>0</v>
      </c>
      <c r="O158">
        <v>-5.0336950000000004E-3</v>
      </c>
      <c r="P158">
        <v>0.99885310000000005</v>
      </c>
      <c r="Q158">
        <v>4.786675E-2</v>
      </c>
      <c r="R158">
        <v>-1.1053700000000001E-3</v>
      </c>
      <c r="S158">
        <v>3.0146790000000001</v>
      </c>
      <c r="T158">
        <v>-0.177285</v>
      </c>
      <c r="U158">
        <v>-0.29953000000000002</v>
      </c>
      <c r="V158">
        <v>-3.9296380000000001E-3</v>
      </c>
      <c r="W158">
        <v>5.2920229999999999E-2</v>
      </c>
      <c r="X158">
        <v>0.99859100000000001</v>
      </c>
      <c r="Y158">
        <v>9.3708340000000001E-2</v>
      </c>
      <c r="Z158">
        <v>-2.451221E-3</v>
      </c>
      <c r="AA158">
        <v>0.99559660000000005</v>
      </c>
      <c r="AB158">
        <v>11</v>
      </c>
      <c r="AC158">
        <v>18.701000000000001</v>
      </c>
      <c r="AD158">
        <v>-1.1094916325740001</v>
      </c>
      <c r="AE158">
        <v>-1.8740000000000201</v>
      </c>
      <c r="AF158">
        <v>1.7736590644094301</v>
      </c>
      <c r="AG158">
        <v>-1.1094916325740001</v>
      </c>
      <c r="AH158">
        <v>18.645221283974202</v>
      </c>
      <c r="AI158">
        <v>93.390125249085102</v>
      </c>
      <c r="AJ158">
        <v>84.565991031755203</v>
      </c>
      <c r="AK158">
        <v>18.762225744508001</v>
      </c>
      <c r="AL158">
        <v>86.966477089260593</v>
      </c>
      <c r="AM158">
        <v>90.225468194903996</v>
      </c>
      <c r="AN158">
        <v>0.99999998903953102</v>
      </c>
    </row>
    <row r="159" spans="1:40" x14ac:dyDescent="0.25">
      <c r="A159" t="str">
        <f>"20190312150949037"</f>
        <v>20190312150949037</v>
      </c>
      <c r="B159" t="str">
        <f>"1552374589030906"</f>
        <v>1552374589030906</v>
      </c>
      <c r="C159" t="s">
        <v>40</v>
      </c>
      <c r="D159">
        <v>5.1133509999999998</v>
      </c>
      <c r="E159">
        <v>0.53919499999999998</v>
      </c>
      <c r="F159" t="s">
        <v>42</v>
      </c>
      <c r="G159">
        <v>-448.8329</v>
      </c>
      <c r="H159" s="1">
        <v>-1.601621E-6</v>
      </c>
      <c r="I159">
        <v>365.22190000000001</v>
      </c>
      <c r="J159">
        <v>-467.29059999999998</v>
      </c>
      <c r="K159">
        <v>1.1094869999999999</v>
      </c>
      <c r="L159">
        <v>367.16469999999998</v>
      </c>
      <c r="M159">
        <v>0.9999749</v>
      </c>
      <c r="N159">
        <v>0</v>
      </c>
      <c r="O159">
        <v>-4.9594399999999999E-3</v>
      </c>
      <c r="P159">
        <v>0.99891070000000004</v>
      </c>
      <c r="Q159">
        <v>4.6574789999999998E-2</v>
      </c>
      <c r="R159">
        <v>-2.9037220000000001E-3</v>
      </c>
      <c r="S159">
        <v>3.0117189999999998</v>
      </c>
      <c r="T159">
        <v>-0.17991699999999999</v>
      </c>
      <c r="U159">
        <v>-0.31512449999999997</v>
      </c>
      <c r="V159">
        <v>-2.0546309999999999E-3</v>
      </c>
      <c r="W159">
        <v>5.1634050000000001E-2</v>
      </c>
      <c r="X159">
        <v>0.998664</v>
      </c>
      <c r="Y159">
        <v>9.8965059999999994E-2</v>
      </c>
      <c r="Z159">
        <v>-2.6501960000000001E-3</v>
      </c>
      <c r="AA159">
        <v>0.99508739999999996</v>
      </c>
      <c r="AB159">
        <v>11</v>
      </c>
      <c r="AC159">
        <v>18.4576999999999</v>
      </c>
      <c r="AD159">
        <v>-1.1094886016209999</v>
      </c>
      <c r="AE159">
        <v>-1.9427999999999701</v>
      </c>
      <c r="AF159">
        <v>1.84464307034984</v>
      </c>
      <c r="AG159">
        <v>-1.1094886016209999</v>
      </c>
      <c r="AH159">
        <v>18.401349338335098</v>
      </c>
      <c r="AI159">
        <v>93.433241463397195</v>
      </c>
      <c r="AJ159">
        <v>84.275509317000399</v>
      </c>
      <c r="AK159">
        <v>18.526827318393298</v>
      </c>
      <c r="AL159">
        <v>87.040270838343801</v>
      </c>
      <c r="AM159">
        <v>90.117879005009897</v>
      </c>
      <c r="AN159">
        <v>1.00000004076197</v>
      </c>
    </row>
    <row r="160" spans="1:40" x14ac:dyDescent="0.25">
      <c r="A160" t="str">
        <f>"20190312150949060"</f>
        <v>20190312150949060</v>
      </c>
      <c r="B160" t="str">
        <f>"1552374589050425"</f>
        <v>1552374589050425</v>
      </c>
      <c r="C160" t="s">
        <v>40</v>
      </c>
      <c r="D160">
        <v>5.1590199999999999</v>
      </c>
      <c r="E160">
        <v>0.53916009999999903</v>
      </c>
      <c r="F160" t="s">
        <v>42</v>
      </c>
      <c r="G160">
        <v>-449.05590000000001</v>
      </c>
      <c r="H160" s="1">
        <v>-1.5216730000000001E-6</v>
      </c>
      <c r="I160">
        <v>365.20060000000001</v>
      </c>
      <c r="J160">
        <v>-467.17360000000002</v>
      </c>
      <c r="K160">
        <v>1.10949599999999</v>
      </c>
      <c r="L160">
        <v>367.16419999999999</v>
      </c>
      <c r="M160">
        <v>0.99997519999999995</v>
      </c>
      <c r="N160">
        <v>0</v>
      </c>
      <c r="O160">
        <v>-4.8967350000000002E-3</v>
      </c>
      <c r="P160">
        <v>0.9988726</v>
      </c>
      <c r="Q160">
        <v>4.7330629999999999E-2</v>
      </c>
      <c r="R160">
        <v>-3.6909730000000002E-3</v>
      </c>
      <c r="S160">
        <v>3.0108640000000002</v>
      </c>
      <c r="T160">
        <v>-0.1831961</v>
      </c>
      <c r="U160">
        <v>-0.3243103</v>
      </c>
      <c r="V160">
        <v>-1.2026610000000001E-3</v>
      </c>
      <c r="W160">
        <v>5.2404060000000002E-2</v>
      </c>
      <c r="X160">
        <v>0.99862519999999999</v>
      </c>
      <c r="Y160">
        <v>0.1020464</v>
      </c>
      <c r="Z160">
        <v>-2.7959249999999999E-3</v>
      </c>
      <c r="AA160">
        <v>0.99477570000000004</v>
      </c>
      <c r="AB160">
        <v>11</v>
      </c>
      <c r="AC160">
        <v>18.117699999999999</v>
      </c>
      <c r="AD160">
        <v>-1.1094975216730001</v>
      </c>
      <c r="AE160">
        <v>-1.96359999999998</v>
      </c>
      <c r="AF160">
        <v>1.86793407350393</v>
      </c>
      <c r="AG160">
        <v>-1.1094975216730001</v>
      </c>
      <c r="AH160">
        <v>18.060156477398099</v>
      </c>
      <c r="AI160">
        <v>93.496851416945205</v>
      </c>
      <c r="AJ160">
        <v>84.094982540851603</v>
      </c>
      <c r="AK160">
        <v>18.190365978771801</v>
      </c>
      <c r="AL160">
        <v>86.996092462891994</v>
      </c>
      <c r="AM160">
        <v>90.069002230437405</v>
      </c>
      <c r="AN160">
        <v>0.99999996098650101</v>
      </c>
    </row>
    <row r="161" spans="1:40" x14ac:dyDescent="0.25">
      <c r="A161" t="str">
        <f>"20190312150949082"</f>
        <v>20190312150949082</v>
      </c>
      <c r="B161" t="str">
        <f>"1552374589080681"</f>
        <v>1552374589080681</v>
      </c>
      <c r="C161" t="s">
        <v>40</v>
      </c>
      <c r="D161">
        <v>5.0501399999999999</v>
      </c>
      <c r="E161">
        <v>0.53806519999999902</v>
      </c>
      <c r="F161" t="s">
        <v>42</v>
      </c>
      <c r="G161">
        <v>-448.64109999999999</v>
      </c>
      <c r="H161" s="1">
        <v>-1.693072E-6</v>
      </c>
      <c r="I161">
        <v>365.15519999999998</v>
      </c>
      <c r="J161">
        <v>-467.05540000000002</v>
      </c>
      <c r="K161">
        <v>1.109504</v>
      </c>
      <c r="L161">
        <v>367.16370000000001</v>
      </c>
      <c r="M161">
        <v>0.99997530000000001</v>
      </c>
      <c r="N161">
        <v>0</v>
      </c>
      <c r="O161">
        <v>-4.8393999999999998E-3</v>
      </c>
      <c r="P161">
        <v>0.99888500000000002</v>
      </c>
      <c r="Q161">
        <v>4.7032190000000001E-2</v>
      </c>
      <c r="R161">
        <v>-4.0824750000000003E-3</v>
      </c>
      <c r="S161">
        <v>3.0107119999999998</v>
      </c>
      <c r="T161">
        <v>-0.1802435</v>
      </c>
      <c r="U161">
        <v>-0.3263855</v>
      </c>
      <c r="V161">
        <v>-7.5315579999999998E-4</v>
      </c>
      <c r="W161">
        <v>5.213549E-2</v>
      </c>
      <c r="X161">
        <v>0.99863979999999997</v>
      </c>
      <c r="Y161">
        <v>0.1027908</v>
      </c>
      <c r="Z161">
        <v>-2.776597E-3</v>
      </c>
      <c r="AA161">
        <v>0.99469909999999995</v>
      </c>
      <c r="AB161">
        <v>12</v>
      </c>
      <c r="AC161">
        <v>18.414300000000001</v>
      </c>
      <c r="AD161">
        <v>-1.109505693072</v>
      </c>
      <c r="AE161">
        <v>-2.0085000000000202</v>
      </c>
      <c r="AF161">
        <v>1.91249974263511</v>
      </c>
      <c r="AG161">
        <v>-1.109505693072</v>
      </c>
      <c r="AH161">
        <v>18.357942202377501</v>
      </c>
      <c r="AI161">
        <v>93.440027037692403</v>
      </c>
      <c r="AJ161">
        <v>84.052475916626094</v>
      </c>
      <c r="AK161">
        <v>18.490611132528102</v>
      </c>
      <c r="AL161">
        <v>87.011501761320801</v>
      </c>
      <c r="AM161">
        <v>90.043211416643103</v>
      </c>
      <c r="AN161">
        <v>1.00000006335261</v>
      </c>
    </row>
    <row r="162" spans="1:40" x14ac:dyDescent="0.25">
      <c r="A162" t="str">
        <f>"20190312150949105"</f>
        <v>20190312150949105</v>
      </c>
      <c r="B162" t="str">
        <f>"1552374589101178"</f>
        <v>1552374589101178</v>
      </c>
      <c r="C162" t="s">
        <v>40</v>
      </c>
      <c r="D162">
        <v>5.0564260000000001</v>
      </c>
      <c r="E162">
        <v>0.53769019999999901</v>
      </c>
      <c r="F162" t="s">
        <v>41</v>
      </c>
      <c r="G162">
        <v>-466.23680000000002</v>
      </c>
      <c r="H162">
        <v>1.0580639999999999</v>
      </c>
      <c r="I162">
        <v>367.07670000000002</v>
      </c>
      <c r="J162">
        <v>-466.9393</v>
      </c>
      <c r="K162">
        <v>1.109526</v>
      </c>
      <c r="L162">
        <v>367.16320000000002</v>
      </c>
      <c r="M162">
        <v>0.99997550000000002</v>
      </c>
      <c r="N162">
        <v>0</v>
      </c>
      <c r="O162">
        <v>-4.782194E-3</v>
      </c>
      <c r="P162">
        <v>0.9988899</v>
      </c>
      <c r="Q162">
        <v>4.6895079999999999E-2</v>
      </c>
      <c r="R162">
        <v>-4.5047500000000001E-3</v>
      </c>
      <c r="S162">
        <v>3.0109859999999999</v>
      </c>
      <c r="T162">
        <v>-0.1893444</v>
      </c>
      <c r="U162">
        <v>-0.31954959999999999</v>
      </c>
      <c r="V162">
        <v>-2.7363529999999999E-4</v>
      </c>
      <c r="W162">
        <v>5.2041209999999997E-2</v>
      </c>
      <c r="X162">
        <v>0.99864489999999995</v>
      </c>
      <c r="Y162">
        <v>0.10059129999999999</v>
      </c>
      <c r="Z162">
        <v>-2.851302E-3</v>
      </c>
      <c r="AA162">
        <v>0.99492380000000002</v>
      </c>
      <c r="AB162">
        <v>12</v>
      </c>
      <c r="AC162">
        <v>0.70249999999998602</v>
      </c>
      <c r="AD162">
        <v>-5.1462000000000098E-2</v>
      </c>
      <c r="AE162">
        <v>-8.6500000000000896E-2</v>
      </c>
      <c r="AF162">
        <v>8.2702292842997696E-2</v>
      </c>
      <c r="AG162">
        <v>-5.1462000000000098E-2</v>
      </c>
      <c r="AH162">
        <v>0.69920945424597603</v>
      </c>
      <c r="AI162">
        <v>94.180358799315698</v>
      </c>
      <c r="AJ162">
        <v>83.254412325351694</v>
      </c>
      <c r="AK162">
        <v>0.70596166155992002</v>
      </c>
      <c r="AL162">
        <v>87.016910759069205</v>
      </c>
      <c r="AM162">
        <v>90.015699421709698</v>
      </c>
      <c r="AN162">
        <v>0.99999999935527495</v>
      </c>
    </row>
    <row r="163" spans="1:40" x14ac:dyDescent="0.25">
      <c r="A163" t="str">
        <f>"20190312150949128"</f>
        <v>20190312150949128</v>
      </c>
      <c r="B163" t="str">
        <f>"1552374589120699"</f>
        <v>1552374589120699</v>
      </c>
      <c r="C163" t="s">
        <v>40</v>
      </c>
      <c r="D163">
        <v>4.8655790000000003</v>
      </c>
      <c r="E163">
        <v>0.53732709999999995</v>
      </c>
      <c r="F163" t="s">
        <v>41</v>
      </c>
      <c r="G163">
        <v>-466.13229999999999</v>
      </c>
      <c r="H163">
        <v>1.0567820000000001</v>
      </c>
      <c r="I163">
        <v>367.07799999999997</v>
      </c>
      <c r="J163">
        <v>-466.81459999999998</v>
      </c>
      <c r="K163">
        <v>1.1095489999999999</v>
      </c>
      <c r="L163">
        <v>367.16269999999997</v>
      </c>
      <c r="M163">
        <v>0.99997539999999996</v>
      </c>
      <c r="N163">
        <v>0</v>
      </c>
      <c r="O163">
        <v>-4.7161950000000003E-3</v>
      </c>
      <c r="P163">
        <v>0.99894170000000004</v>
      </c>
      <c r="Q163">
        <v>4.5772970000000003E-2</v>
      </c>
      <c r="R163">
        <v>-4.5218000000000003E-3</v>
      </c>
      <c r="S163">
        <v>3.011139</v>
      </c>
      <c r="T163">
        <v>-0.19688749999999999</v>
      </c>
      <c r="U163">
        <v>-0.31738280000000002</v>
      </c>
      <c r="V163">
        <v>-1.903122E-4</v>
      </c>
      <c r="W163">
        <v>5.0981169999999999E-2</v>
      </c>
      <c r="X163">
        <v>0.99869960000000002</v>
      </c>
      <c r="Y163">
        <v>9.9929729999999994E-2</v>
      </c>
      <c r="Z163">
        <v>-2.947369E-3</v>
      </c>
      <c r="AA163">
        <v>0.99499009999999999</v>
      </c>
      <c r="AB163">
        <v>12</v>
      </c>
      <c r="AC163">
        <v>0.68229999999999702</v>
      </c>
      <c r="AD163">
        <v>-5.2767000000000001E-2</v>
      </c>
      <c r="AE163">
        <v>-8.46999999999411E-2</v>
      </c>
      <c r="AF163">
        <v>8.1004022268237302E-2</v>
      </c>
      <c r="AG163">
        <v>-5.2767000000000001E-2</v>
      </c>
      <c r="AH163">
        <v>0.67869421224033899</v>
      </c>
      <c r="AI163">
        <v>94.414473179014394</v>
      </c>
      <c r="AJ163">
        <v>83.193787500689794</v>
      </c>
      <c r="AK163">
        <v>0.68554492313864202</v>
      </c>
      <c r="AL163">
        <v>87.077727331157902</v>
      </c>
      <c r="AM163">
        <v>90.010918283854096</v>
      </c>
      <c r="AN163">
        <v>1.00000000347673</v>
      </c>
    </row>
    <row r="164" spans="1:40" x14ac:dyDescent="0.25">
      <c r="A164" t="str">
        <f>"20190312150949150"</f>
        <v>20190312150949150</v>
      </c>
      <c r="B164" t="str">
        <f>"1552374589141194"</f>
        <v>1552374589141194</v>
      </c>
      <c r="C164" t="s">
        <v>40</v>
      </c>
      <c r="D164">
        <v>4.9565739999999998</v>
      </c>
      <c r="E164">
        <v>0.53718659999999996</v>
      </c>
      <c r="F164" t="s">
        <v>41</v>
      </c>
      <c r="G164">
        <v>-466.0247</v>
      </c>
      <c r="H164">
        <v>1.057331</v>
      </c>
      <c r="I164">
        <v>367.08010000000002</v>
      </c>
      <c r="J164">
        <v>-466.69229999999999</v>
      </c>
      <c r="K164">
        <v>1.1095680000000001</v>
      </c>
      <c r="L164">
        <v>367.16219999999998</v>
      </c>
      <c r="M164">
        <v>0.99997530000000001</v>
      </c>
      <c r="N164">
        <v>0</v>
      </c>
      <c r="O164">
        <v>-4.646173E-3</v>
      </c>
      <c r="P164">
        <v>0.99904190000000004</v>
      </c>
      <c r="Q164">
        <v>4.359793E-2</v>
      </c>
      <c r="R164">
        <v>-3.855116E-3</v>
      </c>
      <c r="S164">
        <v>3.0108950000000001</v>
      </c>
      <c r="T164">
        <v>-0.19909779999999999</v>
      </c>
      <c r="U164">
        <v>-0.31469730000000001</v>
      </c>
      <c r="V164">
        <v>-7.8804709999999998E-4</v>
      </c>
      <c r="W164">
        <v>4.8887609999999998E-2</v>
      </c>
      <c r="X164">
        <v>0.99880400000000003</v>
      </c>
      <c r="Y164">
        <v>9.9126989999999998E-2</v>
      </c>
      <c r="Z164">
        <v>-2.9589350000000002E-3</v>
      </c>
      <c r="AA164">
        <v>0.99507040000000002</v>
      </c>
      <c r="AB164">
        <v>12</v>
      </c>
      <c r="AC164">
        <v>0.66759999999999298</v>
      </c>
      <c r="AD164">
        <v>-5.2236999999999999E-2</v>
      </c>
      <c r="AE164">
        <v>-8.2099999999968504E-2</v>
      </c>
      <c r="AF164">
        <v>7.8523692233091497E-2</v>
      </c>
      <c r="AG164">
        <v>-5.2236999999999999E-2</v>
      </c>
      <c r="AH164">
        <v>0.66396970531302502</v>
      </c>
      <c r="AI164">
        <v>94.467403648572599</v>
      </c>
      <c r="AJ164">
        <v>83.255301921871805</v>
      </c>
      <c r="AK164">
        <v>0.67063435938250404</v>
      </c>
      <c r="AL164">
        <v>87.197829392386595</v>
      </c>
      <c r="AM164">
        <v>90.045205829690701</v>
      </c>
      <c r="AN164">
        <v>1.00000002492287</v>
      </c>
    </row>
    <row r="165" spans="1:40" x14ac:dyDescent="0.25">
      <c r="A165" t="str">
        <f>"20190312150949173"</f>
        <v>20190312150949173</v>
      </c>
      <c r="B165" t="str">
        <f>"1552374589160713"</f>
        <v>1552374589160713</v>
      </c>
      <c r="C165" t="s">
        <v>40</v>
      </c>
      <c r="D165">
        <v>4.9950999999999999</v>
      </c>
      <c r="E165">
        <v>0.53684569999999998</v>
      </c>
      <c r="F165" t="s">
        <v>41</v>
      </c>
      <c r="G165">
        <v>-465.91789999999997</v>
      </c>
      <c r="H165">
        <v>1.0560909999999999</v>
      </c>
      <c r="I165">
        <v>367.08170000000001</v>
      </c>
      <c r="J165">
        <v>-466.57400000000001</v>
      </c>
      <c r="K165">
        <v>1.1095950000000001</v>
      </c>
      <c r="L165">
        <v>367.1617</v>
      </c>
      <c r="M165">
        <v>0.99997499999999995</v>
      </c>
      <c r="N165">
        <v>0</v>
      </c>
      <c r="O165">
        <v>-4.5732079999999996E-3</v>
      </c>
      <c r="P165">
        <v>0.99910889999999997</v>
      </c>
      <c r="Q165">
        <v>4.2069759999999998E-2</v>
      </c>
      <c r="R165">
        <v>-3.4363900000000001E-3</v>
      </c>
      <c r="S165">
        <v>3.0107729999999999</v>
      </c>
      <c r="T165">
        <v>-0.20827290000000001</v>
      </c>
      <c r="U165">
        <v>-0.3112183</v>
      </c>
      <c r="V165">
        <v>-1.1348479999999999E-3</v>
      </c>
      <c r="W165">
        <v>4.745829E-2</v>
      </c>
      <c r="X165">
        <v>0.9988726</v>
      </c>
      <c r="Y165">
        <v>9.8049280000000003E-2</v>
      </c>
      <c r="Z165">
        <v>-3.0631809999999999E-3</v>
      </c>
      <c r="AA165">
        <v>0.99517690000000003</v>
      </c>
      <c r="AB165">
        <v>12</v>
      </c>
      <c r="AC165">
        <v>0.65610000000003699</v>
      </c>
      <c r="AD165">
        <v>-5.3504000000000197E-2</v>
      </c>
      <c r="AE165">
        <v>-7.9999999999984001E-2</v>
      </c>
      <c r="AF165">
        <v>7.6497370482500604E-2</v>
      </c>
      <c r="AG165">
        <v>-5.3504000000000197E-2</v>
      </c>
      <c r="AH165">
        <v>0.65218539830869604</v>
      </c>
      <c r="AI165">
        <v>94.6581382075139</v>
      </c>
      <c r="AJ165">
        <v>83.310122142470604</v>
      </c>
      <c r="AK165">
        <v>0.65883254281631298</v>
      </c>
      <c r="AL165">
        <v>87.279818587390594</v>
      </c>
      <c r="AM165">
        <v>90.065095361322605</v>
      </c>
      <c r="AN165">
        <v>1.00000002410023</v>
      </c>
    </row>
    <row r="166" spans="1:40" x14ac:dyDescent="0.25">
      <c r="A166" t="str">
        <f>"20190312150949194"</f>
        <v>20190312150949194</v>
      </c>
      <c r="B166" t="str">
        <f>"1552374589190971"</f>
        <v>1552374589190971</v>
      </c>
      <c r="C166" t="s">
        <v>40</v>
      </c>
      <c r="D166">
        <v>4.8574599999999997</v>
      </c>
      <c r="E166">
        <v>0.53639910000000002</v>
      </c>
      <c r="F166" t="s">
        <v>41</v>
      </c>
      <c r="G166">
        <v>-465.81009999999998</v>
      </c>
      <c r="H166">
        <v>1.055086</v>
      </c>
      <c r="I166">
        <v>367.08390000000003</v>
      </c>
      <c r="J166">
        <v>-466.45609999999999</v>
      </c>
      <c r="K166">
        <v>1.109629</v>
      </c>
      <c r="L166">
        <v>367.16129999999998</v>
      </c>
      <c r="M166">
        <v>0.99997480000000005</v>
      </c>
      <c r="N166">
        <v>0</v>
      </c>
      <c r="O166">
        <v>-4.4932369999999998E-3</v>
      </c>
      <c r="P166">
        <v>0.99912100000000004</v>
      </c>
      <c r="Q166">
        <v>4.1811870000000001E-2</v>
      </c>
      <c r="R166">
        <v>-3.0605279999999999E-3</v>
      </c>
      <c r="S166">
        <v>3.0106809999999999</v>
      </c>
      <c r="T166">
        <v>-0.2148458</v>
      </c>
      <c r="U166">
        <v>-0.30694579999999999</v>
      </c>
      <c r="V166">
        <v>-1.431592E-3</v>
      </c>
      <c r="W166">
        <v>4.731254E-2</v>
      </c>
      <c r="X166">
        <v>0.99887910000000002</v>
      </c>
      <c r="Y166">
        <v>9.6723249999999997E-2</v>
      </c>
      <c r="Z166">
        <v>-3.1184870000000001E-3</v>
      </c>
      <c r="AA166">
        <v>0.99530640000000004</v>
      </c>
      <c r="AB166">
        <v>12</v>
      </c>
      <c r="AC166">
        <v>0.64600000000001501</v>
      </c>
      <c r="AD166">
        <v>-5.4543000000000001E-2</v>
      </c>
      <c r="AE166">
        <v>-7.7399999999954602E-2</v>
      </c>
      <c r="AF166">
        <v>7.3976646502890805E-2</v>
      </c>
      <c r="AG166">
        <v>-5.4543000000000001E-2</v>
      </c>
      <c r="AH166">
        <v>0.64183056781333103</v>
      </c>
      <c r="AI166">
        <v>94.825551686355695</v>
      </c>
      <c r="AJ166">
        <v>83.425167182099798</v>
      </c>
      <c r="AK166">
        <v>0.64837794599785503</v>
      </c>
      <c r="AL166">
        <v>87.288178748891596</v>
      </c>
      <c r="AM166">
        <v>90.082116167435998</v>
      </c>
      <c r="AN166">
        <v>0.999999991156858</v>
      </c>
    </row>
    <row r="167" spans="1:40" x14ac:dyDescent="0.25">
      <c r="A167" t="str">
        <f>"20190312150949216"</f>
        <v>20190312150949216</v>
      </c>
      <c r="B167" t="str">
        <f>"1552374589210490"</f>
        <v>1552374589210490</v>
      </c>
      <c r="C167" t="s">
        <v>40</v>
      </c>
      <c r="D167">
        <v>4.8592570000000004</v>
      </c>
      <c r="E167">
        <v>0.53625849999999997</v>
      </c>
      <c r="F167" t="s">
        <v>41</v>
      </c>
      <c r="G167">
        <v>-465.70089999999999</v>
      </c>
      <c r="H167">
        <v>1.0548599999999999</v>
      </c>
      <c r="I167">
        <v>367.08519999999999</v>
      </c>
      <c r="J167">
        <v>-466.3349</v>
      </c>
      <c r="K167">
        <v>1.1096710000000001</v>
      </c>
      <c r="L167">
        <v>367.16079999999999</v>
      </c>
      <c r="M167">
        <v>0.99997460000000005</v>
      </c>
      <c r="N167">
        <v>0</v>
      </c>
      <c r="O167">
        <v>-4.4011220000000004E-3</v>
      </c>
      <c r="P167">
        <v>0.99910100000000002</v>
      </c>
      <c r="Q167">
        <v>4.2323470000000002E-2</v>
      </c>
      <c r="R167">
        <v>-2.532093E-3</v>
      </c>
      <c r="S167">
        <v>3.0108950000000001</v>
      </c>
      <c r="T167">
        <v>-0.21862529999999999</v>
      </c>
      <c r="U167">
        <v>-0.3016663</v>
      </c>
      <c r="V167">
        <v>-1.8692579999999999E-3</v>
      </c>
      <c r="W167">
        <v>4.7942209999999999E-2</v>
      </c>
      <c r="X167">
        <v>0.99884839999999997</v>
      </c>
      <c r="Y167">
        <v>9.5075880000000002E-2</v>
      </c>
      <c r="Z167">
        <v>-3.1203400000000001E-3</v>
      </c>
      <c r="AA167">
        <v>0.99546520000000005</v>
      </c>
      <c r="AB167">
        <v>12</v>
      </c>
      <c r="AC167">
        <v>0.634000000000014</v>
      </c>
      <c r="AD167">
        <v>-5.48109999999997E-2</v>
      </c>
      <c r="AE167">
        <v>-7.5600000000008494E-2</v>
      </c>
      <c r="AF167">
        <v>7.2276288155120799E-2</v>
      </c>
      <c r="AG167">
        <v>-5.48109999999997E-2</v>
      </c>
      <c r="AH167">
        <v>0.62968625322610605</v>
      </c>
      <c r="AI167">
        <v>94.942479300806696</v>
      </c>
      <c r="AJ167">
        <v>83.452163627245596</v>
      </c>
      <c r="AK167">
        <v>0.63618620312956697</v>
      </c>
      <c r="AL167">
        <v>87.252060454867504</v>
      </c>
      <c r="AM167">
        <v>90.107223948291406</v>
      </c>
      <c r="AN167">
        <v>1.0000000379038501</v>
      </c>
    </row>
    <row r="168" spans="1:40" x14ac:dyDescent="0.25">
      <c r="A168" t="str">
        <f>"20190312150949239"</f>
        <v>20190312150949239</v>
      </c>
      <c r="B168" t="str">
        <f>"1552374589230986"</f>
        <v>1552374589230986</v>
      </c>
      <c r="C168" t="s">
        <v>40</v>
      </c>
      <c r="D168">
        <v>4.8883919999999996</v>
      </c>
      <c r="E168">
        <v>0.53609329999999999</v>
      </c>
      <c r="F168" t="s">
        <v>41</v>
      </c>
      <c r="G168">
        <v>-465.58980000000003</v>
      </c>
      <c r="H168">
        <v>1.0558240000000001</v>
      </c>
      <c r="I168">
        <v>367.08670000000001</v>
      </c>
      <c r="J168">
        <v>-466.20710000000003</v>
      </c>
      <c r="K168">
        <v>1.1097090000000001</v>
      </c>
      <c r="L168">
        <v>367.16039999999998</v>
      </c>
      <c r="M168">
        <v>0.99997429999999998</v>
      </c>
      <c r="N168">
        <v>0</v>
      </c>
      <c r="O168">
        <v>-4.2897029999999997E-3</v>
      </c>
      <c r="P168">
        <v>0.99901220000000002</v>
      </c>
      <c r="Q168">
        <v>4.4397829999999999E-2</v>
      </c>
      <c r="R168">
        <v>-1.88905E-3</v>
      </c>
      <c r="S168">
        <v>3.0112000000000001</v>
      </c>
      <c r="T168">
        <v>-0.2177665</v>
      </c>
      <c r="U168">
        <v>-0.29876710000000001</v>
      </c>
      <c r="V168">
        <v>-2.4014890000000001E-3</v>
      </c>
      <c r="W168">
        <v>5.0135869999999999E-2</v>
      </c>
      <c r="X168">
        <v>0.9987395</v>
      </c>
      <c r="Y168">
        <v>9.4231529999999994E-2</v>
      </c>
      <c r="Z168">
        <v>-3.0855600000000002E-3</v>
      </c>
      <c r="AA168">
        <v>0.99554549999999997</v>
      </c>
      <c r="AB168">
        <v>12</v>
      </c>
      <c r="AC168">
        <v>0.61729999999999996</v>
      </c>
      <c r="AD168">
        <v>-5.3885000000000099E-2</v>
      </c>
      <c r="AE168">
        <v>-7.3699999999973898E-2</v>
      </c>
      <c r="AF168">
        <v>7.0521437674730805E-2</v>
      </c>
      <c r="AG168">
        <v>-5.3885000000000099E-2</v>
      </c>
      <c r="AH168">
        <v>0.61300514882395396</v>
      </c>
      <c r="AI168">
        <v>94.990809845797401</v>
      </c>
      <c r="AJ168">
        <v>83.437419433480699</v>
      </c>
      <c r="AK168">
        <v>0.61939662485469604</v>
      </c>
      <c r="AL168">
        <v>87.126221408606995</v>
      </c>
      <c r="AM168">
        <v>90.137768576359704</v>
      </c>
      <c r="AN168">
        <v>0.99999998073516105</v>
      </c>
    </row>
    <row r="169" spans="1:40" x14ac:dyDescent="0.25">
      <c r="A169" t="str">
        <f>"20190312150949261"</f>
        <v>20190312150949261</v>
      </c>
      <c r="B169" t="str">
        <f>"1552374589250509"</f>
        <v>1552374589250509</v>
      </c>
      <c r="C169" t="s">
        <v>40</v>
      </c>
      <c r="D169">
        <v>4.8358699999999999</v>
      </c>
      <c r="E169">
        <v>0.53597859999999997</v>
      </c>
      <c r="F169" t="s">
        <v>41</v>
      </c>
      <c r="G169">
        <v>-465.37150000000003</v>
      </c>
      <c r="H169">
        <v>1.0505850000000001</v>
      </c>
      <c r="I169">
        <v>367.07830000000001</v>
      </c>
      <c r="J169">
        <v>-466.0847</v>
      </c>
      <c r="K169">
        <v>1.109731</v>
      </c>
      <c r="L169">
        <v>367.16</v>
      </c>
      <c r="M169">
        <v>0.99997429999999998</v>
      </c>
      <c r="N169">
        <v>0</v>
      </c>
      <c r="O169">
        <v>-4.1695600000000001E-3</v>
      </c>
      <c r="P169">
        <v>0.99898030000000004</v>
      </c>
      <c r="Q169">
        <v>4.5142929999999998E-2</v>
      </c>
      <c r="R169">
        <v>-8.4093570000000003E-4</v>
      </c>
      <c r="S169">
        <v>3.0118710000000002</v>
      </c>
      <c r="T169">
        <v>-0.21314379999999999</v>
      </c>
      <c r="U169">
        <v>-0.2955933</v>
      </c>
      <c r="V169">
        <v>-3.3304810000000002E-3</v>
      </c>
      <c r="W169">
        <v>5.098689E-2</v>
      </c>
      <c r="X169">
        <v>0.99869379999999996</v>
      </c>
      <c r="Y169">
        <v>9.330215E-2</v>
      </c>
      <c r="Z169">
        <v>-2.995415E-3</v>
      </c>
      <c r="AA169">
        <v>0.9956334</v>
      </c>
      <c r="AB169">
        <v>12</v>
      </c>
      <c r="AC169">
        <v>0.71319999999997197</v>
      </c>
      <c r="AD169">
        <v>-5.91459999999999E-2</v>
      </c>
      <c r="AE169">
        <v>-8.1700000000012096E-2</v>
      </c>
      <c r="AF169">
        <v>7.8194693820424502E-2</v>
      </c>
      <c r="AG169">
        <v>-5.91459999999999E-2</v>
      </c>
      <c r="AH169">
        <v>0.70872337632618898</v>
      </c>
      <c r="AI169">
        <v>94.741881652847795</v>
      </c>
      <c r="AJ169">
        <v>83.703921283856701</v>
      </c>
      <c r="AK169">
        <v>0.71547290906704697</v>
      </c>
      <c r="AL169">
        <v>87.077399251879498</v>
      </c>
      <c r="AM169">
        <v>90.191071375095603</v>
      </c>
      <c r="AN169">
        <v>1.000000030607</v>
      </c>
    </row>
    <row r="170" spans="1:40" x14ac:dyDescent="0.25">
      <c r="A170" t="str">
        <f>"20190312150949283"</f>
        <v>20190312150949283</v>
      </c>
      <c r="B170" t="str">
        <f>"1552374589280762"</f>
        <v>1552374589280762</v>
      </c>
      <c r="C170" t="s">
        <v>40</v>
      </c>
      <c r="D170">
        <v>4.8725180000000003</v>
      </c>
      <c r="E170">
        <v>0.53589880000000001</v>
      </c>
      <c r="F170" t="s">
        <v>41</v>
      </c>
      <c r="G170">
        <v>-465.2586</v>
      </c>
      <c r="H170">
        <v>1.051075</v>
      </c>
      <c r="I170">
        <v>367.07979999999998</v>
      </c>
      <c r="J170">
        <v>-465.95830000000001</v>
      </c>
      <c r="K170">
        <v>1.1097549999999901</v>
      </c>
      <c r="L170">
        <v>367.15960000000001</v>
      </c>
      <c r="M170">
        <v>0.99997420000000004</v>
      </c>
      <c r="N170">
        <v>0</v>
      </c>
      <c r="O170">
        <v>-4.0361820000000001E-3</v>
      </c>
      <c r="P170">
        <v>0.99894360000000004</v>
      </c>
      <c r="Q170">
        <v>4.5948999999999997E-2</v>
      </c>
      <c r="R170">
        <v>6.1106639999999998E-4</v>
      </c>
      <c r="S170">
        <v>3.0125120000000001</v>
      </c>
      <c r="T170">
        <v>-0.21407809999999999</v>
      </c>
      <c r="U170">
        <v>-0.29150389999999998</v>
      </c>
      <c r="V170">
        <v>-4.6493740000000004E-3</v>
      </c>
      <c r="W170">
        <v>5.1891680000000003E-2</v>
      </c>
      <c r="X170">
        <v>0.99864189999999997</v>
      </c>
      <c r="Y170">
        <v>9.2076309999999995E-2</v>
      </c>
      <c r="Z170">
        <v>-2.9741160000000002E-3</v>
      </c>
      <c r="AA170">
        <v>0.99574750000000001</v>
      </c>
      <c r="AB170">
        <v>12</v>
      </c>
      <c r="AC170">
        <v>0.69970000000000698</v>
      </c>
      <c r="AD170">
        <v>-5.8679999999999802E-2</v>
      </c>
      <c r="AE170">
        <v>-7.9800000000034205E-2</v>
      </c>
      <c r="AF170">
        <v>7.6444433789993105E-2</v>
      </c>
      <c r="AG170">
        <v>-5.8679999999999802E-2</v>
      </c>
      <c r="AH170">
        <v>0.69518972688508396</v>
      </c>
      <c r="AI170">
        <v>94.796047433183105</v>
      </c>
      <c r="AJ170">
        <v>83.724854273049203</v>
      </c>
      <c r="AK170">
        <v>0.701837481347377</v>
      </c>
      <c r="AL170">
        <v>87.025489801892505</v>
      </c>
      <c r="AM170">
        <v>90.266749855872305</v>
      </c>
      <c r="AN170">
        <v>1.00000000378371</v>
      </c>
    </row>
    <row r="171" spans="1:40" x14ac:dyDescent="0.25">
      <c r="A171" t="str">
        <f>"20190312150949305"</f>
        <v>20190312150949305</v>
      </c>
      <c r="B171" t="str">
        <f>"1552374589301258"</f>
        <v>1552374589301258</v>
      </c>
      <c r="C171" t="s">
        <v>40</v>
      </c>
      <c r="D171">
        <v>4.8337969999999997</v>
      </c>
      <c r="E171">
        <v>0.53582719999999995</v>
      </c>
      <c r="F171" t="s">
        <v>41</v>
      </c>
      <c r="G171">
        <v>-465.14460000000003</v>
      </c>
      <c r="H171">
        <v>1.0519559999999999</v>
      </c>
      <c r="I171">
        <v>367.08190000000002</v>
      </c>
      <c r="J171">
        <v>-465.83609999999999</v>
      </c>
      <c r="K171">
        <v>1.109775</v>
      </c>
      <c r="L171">
        <v>367.15929999999997</v>
      </c>
      <c r="M171">
        <v>0.99997409999999998</v>
      </c>
      <c r="N171">
        <v>0</v>
      </c>
      <c r="O171">
        <v>-3.9004080000000002E-3</v>
      </c>
      <c r="P171">
        <v>0.998861</v>
      </c>
      <c r="Q171">
        <v>4.7709389999999997E-2</v>
      </c>
      <c r="R171">
        <v>8.675725E-4</v>
      </c>
      <c r="S171">
        <v>3.013245</v>
      </c>
      <c r="T171">
        <v>-0.21421470000000001</v>
      </c>
      <c r="U171">
        <v>-0.28640749999999998</v>
      </c>
      <c r="V171">
        <v>-4.7703349999999997E-3</v>
      </c>
      <c r="W171">
        <v>5.3740650000000001E-2</v>
      </c>
      <c r="X171">
        <v>0.99854359999999998</v>
      </c>
      <c r="Y171">
        <v>9.0522710000000006E-2</v>
      </c>
      <c r="Z171">
        <v>-2.9301169999999999E-3</v>
      </c>
      <c r="AA171">
        <v>0.9958901</v>
      </c>
      <c r="AB171">
        <v>13</v>
      </c>
      <c r="AC171">
        <v>0.69149999999996203</v>
      </c>
      <c r="AD171">
        <v>-5.7819000000000002E-2</v>
      </c>
      <c r="AE171">
        <v>-7.7399999999954602E-2</v>
      </c>
      <c r="AF171">
        <v>7.4189964722739393E-2</v>
      </c>
      <c r="AG171">
        <v>-5.7819000000000002E-2</v>
      </c>
      <c r="AH171">
        <v>0.68705269251530399</v>
      </c>
      <c r="AI171">
        <v>94.782725406108796</v>
      </c>
      <c r="AJ171">
        <v>83.836914163254306</v>
      </c>
      <c r="AK171">
        <v>0.693461311047048</v>
      </c>
      <c r="AL171">
        <v>86.919403735880906</v>
      </c>
      <c r="AM171">
        <v>90.273716623998496</v>
      </c>
      <c r="AN171">
        <v>1.00000006732969</v>
      </c>
    </row>
    <row r="172" spans="1:40" x14ac:dyDescent="0.25">
      <c r="A172" t="str">
        <f>"20190312150949328"</f>
        <v>20190312150949328</v>
      </c>
      <c r="B172" t="str">
        <f>"1552374589320778"</f>
        <v>1552374589320778</v>
      </c>
      <c r="C172" t="s">
        <v>40</v>
      </c>
      <c r="D172">
        <v>4.8041619999999998</v>
      </c>
      <c r="E172">
        <v>0.53582269999999999</v>
      </c>
      <c r="F172" t="s">
        <v>41</v>
      </c>
      <c r="G172">
        <v>-465.0292</v>
      </c>
      <c r="H172">
        <v>1.0535159999999999</v>
      </c>
      <c r="I172">
        <v>367.08249999999998</v>
      </c>
      <c r="J172">
        <v>-465.70030000000003</v>
      </c>
      <c r="K172">
        <v>1.109785</v>
      </c>
      <c r="L172">
        <v>367.15899999999999</v>
      </c>
      <c r="M172">
        <v>0.99997429999999998</v>
      </c>
      <c r="N172">
        <v>0</v>
      </c>
      <c r="O172">
        <v>-3.7446350000000001E-3</v>
      </c>
      <c r="P172">
        <v>0.99883580000000005</v>
      </c>
      <c r="Q172">
        <v>4.822721E-2</v>
      </c>
      <c r="R172">
        <v>1.2397300000000001E-3</v>
      </c>
      <c r="S172">
        <v>3.0137019999999999</v>
      </c>
      <c r="T172">
        <v>-0.21050289999999999</v>
      </c>
      <c r="U172">
        <v>-0.284912099999999</v>
      </c>
      <c r="V172">
        <v>-4.9872919999999999E-3</v>
      </c>
      <c r="W172">
        <v>5.4349160000000001E-2</v>
      </c>
      <c r="X172">
        <v>0.99850950000000005</v>
      </c>
      <c r="Y172">
        <v>9.0181789999999998E-2</v>
      </c>
      <c r="Z172">
        <v>-2.8780780000000001E-3</v>
      </c>
      <c r="AA172">
        <v>0.9959211</v>
      </c>
      <c r="AB172">
        <v>13</v>
      </c>
      <c r="AC172">
        <v>0.67110000000002401</v>
      </c>
      <c r="AD172">
        <v>-5.6269000000000097E-2</v>
      </c>
      <c r="AE172">
        <v>-7.6500000000009893E-2</v>
      </c>
      <c r="AF172">
        <v>7.3476468353517399E-2</v>
      </c>
      <c r="AG172">
        <v>-5.6269000000000097E-2</v>
      </c>
      <c r="AH172">
        <v>0.666754514841155</v>
      </c>
      <c r="AI172">
        <v>94.795005749995596</v>
      </c>
      <c r="AJ172">
        <v>83.711369341253601</v>
      </c>
      <c r="AK172">
        <v>0.67314677064052597</v>
      </c>
      <c r="AL172">
        <v>86.8844873276866</v>
      </c>
      <c r="AM172">
        <v>90.286174950352603</v>
      </c>
      <c r="AN172">
        <v>0.99999996293222304</v>
      </c>
    </row>
    <row r="173" spans="1:40" x14ac:dyDescent="0.25">
      <c r="A173" t="str">
        <f>"20190312150949352"</f>
        <v>20190312150949352</v>
      </c>
      <c r="B173" t="str">
        <f>"1552374589340652"</f>
        <v>1552374589340652</v>
      </c>
      <c r="C173" t="s">
        <v>40</v>
      </c>
      <c r="D173">
        <v>4.8539320000000004</v>
      </c>
      <c r="E173">
        <v>0.53580749999999999</v>
      </c>
      <c r="F173" t="s">
        <v>41</v>
      </c>
      <c r="G173">
        <v>-464.9135</v>
      </c>
      <c r="H173">
        <v>1.0547930000000001</v>
      </c>
      <c r="I173">
        <v>367.0847</v>
      </c>
      <c r="J173">
        <v>-465.56920000000002</v>
      </c>
      <c r="K173">
        <v>1.109783</v>
      </c>
      <c r="L173">
        <v>367.15870000000001</v>
      </c>
      <c r="M173">
        <v>0.99997440000000004</v>
      </c>
      <c r="N173">
        <v>0</v>
      </c>
      <c r="O173">
        <v>-3.5918230000000001E-3</v>
      </c>
      <c r="P173">
        <v>0.99894079999999996</v>
      </c>
      <c r="Q173">
        <v>4.5994140000000003E-2</v>
      </c>
      <c r="R173">
        <v>1.4136929999999999E-3</v>
      </c>
      <c r="S173">
        <v>3.0140690000000001</v>
      </c>
      <c r="T173">
        <v>-0.21073130000000001</v>
      </c>
      <c r="U173">
        <v>-0.28399659999999999</v>
      </c>
      <c r="V173">
        <v>-5.0083419999999998E-3</v>
      </c>
      <c r="W173">
        <v>5.2195489999999997E-2</v>
      </c>
      <c r="X173">
        <v>0.99862430000000002</v>
      </c>
      <c r="Y173">
        <v>9.0022389999999994E-2</v>
      </c>
      <c r="Z173">
        <v>-2.8859799999999998E-3</v>
      </c>
      <c r="AA173">
        <v>0.99593560000000003</v>
      </c>
      <c r="AB173">
        <v>13</v>
      </c>
      <c r="AC173">
        <v>0.65570000000002404</v>
      </c>
      <c r="AD173">
        <v>-5.4989999999999803E-2</v>
      </c>
      <c r="AE173">
        <v>-7.4000000000012195E-2</v>
      </c>
      <c r="AF173">
        <v>7.1150194381664603E-2</v>
      </c>
      <c r="AG173">
        <v>-5.4989999999999803E-2</v>
      </c>
      <c r="AH173">
        <v>0.65143745866381197</v>
      </c>
      <c r="AI173">
        <v>94.796697240903498</v>
      </c>
      <c r="AJ173">
        <v>83.766844699346393</v>
      </c>
      <c r="AK173">
        <v>0.65761463853149904</v>
      </c>
      <c r="AL173">
        <v>87.008059055986905</v>
      </c>
      <c r="AM173">
        <v>90.287349760151201</v>
      </c>
      <c r="AN173">
        <v>0.99999997260820905</v>
      </c>
    </row>
    <row r="174" spans="1:40" x14ac:dyDescent="0.25">
      <c r="A174" t="str">
        <f>"20190312150949372"</f>
        <v>20190312150949372</v>
      </c>
      <c r="B174" t="str">
        <f>"1552374589361152"</f>
        <v>1552374589361152</v>
      </c>
      <c r="C174" t="s">
        <v>40</v>
      </c>
      <c r="D174">
        <v>4.7752759999999999</v>
      </c>
      <c r="E174">
        <v>0.53606279999999995</v>
      </c>
      <c r="F174" t="s">
        <v>41</v>
      </c>
      <c r="G174">
        <v>-464.79880000000003</v>
      </c>
      <c r="H174">
        <v>1.053958</v>
      </c>
      <c r="I174">
        <v>367.08580000000001</v>
      </c>
      <c r="J174">
        <v>-465.44720000000001</v>
      </c>
      <c r="K174">
        <v>1.1097760000000001</v>
      </c>
      <c r="L174">
        <v>367.15839999999997</v>
      </c>
      <c r="M174">
        <v>0.99997449999999999</v>
      </c>
      <c r="N174">
        <v>0</v>
      </c>
      <c r="O174">
        <v>-3.4498229999999999E-3</v>
      </c>
      <c r="P174">
        <v>0.99902930000000001</v>
      </c>
      <c r="Q174">
        <v>4.40452E-2</v>
      </c>
      <c r="R174">
        <v>9.6899119999999995E-4</v>
      </c>
      <c r="S174">
        <v>3.0137019999999999</v>
      </c>
      <c r="T174">
        <v>-0.21880050000000001</v>
      </c>
      <c r="U174">
        <v>-0.28335569999999999</v>
      </c>
      <c r="V174">
        <v>-4.421637E-3</v>
      </c>
      <c r="W174">
        <v>5.0312080000000002E-2</v>
      </c>
      <c r="X174">
        <v>0.99872369999999999</v>
      </c>
      <c r="Y174">
        <v>8.9948639999999996E-2</v>
      </c>
      <c r="Z174">
        <v>-3.0042020000000001E-3</v>
      </c>
      <c r="AA174">
        <v>0.99594190000000005</v>
      </c>
      <c r="AB174">
        <v>13</v>
      </c>
      <c r="AC174">
        <v>0.64839999999997999</v>
      </c>
      <c r="AD174">
        <v>-5.5818000000000097E-2</v>
      </c>
      <c r="AE174">
        <v>-7.2599999999965803E-2</v>
      </c>
      <c r="AF174">
        <v>6.9851416531514707E-2</v>
      </c>
      <c r="AG174">
        <v>-5.5818000000000097E-2</v>
      </c>
      <c r="AH174">
        <v>0.64393365351040099</v>
      </c>
      <c r="AI174">
        <v>94.925426648883303</v>
      </c>
      <c r="AJ174">
        <v>83.808984465155305</v>
      </c>
      <c r="AK174">
        <v>0.65011185163686502</v>
      </c>
      <c r="AL174">
        <v>87.1161124514649</v>
      </c>
      <c r="AM174">
        <v>90.2536632338076</v>
      </c>
      <c r="AN174">
        <v>0.99999994260468605</v>
      </c>
    </row>
    <row r="175" spans="1:40" x14ac:dyDescent="0.25">
      <c r="A175" t="str">
        <f>"20190312150949395"</f>
        <v>20190312150949395</v>
      </c>
      <c r="B175" t="str">
        <f>"1552374589390430"</f>
        <v>1552374589390430</v>
      </c>
      <c r="C175" t="s">
        <v>40</v>
      </c>
      <c r="D175">
        <v>4.9745689999999998</v>
      </c>
      <c r="E175">
        <v>0.5527704</v>
      </c>
      <c r="F175" t="s">
        <v>41</v>
      </c>
      <c r="G175">
        <v>-464.68299999999999</v>
      </c>
      <c r="H175">
        <v>1.0534289999999999</v>
      </c>
      <c r="I175">
        <v>367.0856</v>
      </c>
      <c r="J175">
        <v>-465.31670000000003</v>
      </c>
      <c r="K175">
        <v>1.1097709999999901</v>
      </c>
      <c r="L175">
        <v>367.15809999999999</v>
      </c>
      <c r="M175">
        <v>0.99997449999999999</v>
      </c>
      <c r="N175">
        <v>0</v>
      </c>
      <c r="O175">
        <v>-3.2991119999999999E-3</v>
      </c>
      <c r="P175">
        <v>0.99908059999999999</v>
      </c>
      <c r="Q175">
        <v>4.2870819999999997E-2</v>
      </c>
      <c r="R175" s="1">
        <v>-5.3119850000000003E-5</v>
      </c>
      <c r="S175">
        <v>3.0129999999999999</v>
      </c>
      <c r="T175">
        <v>-0.22231390000000001</v>
      </c>
      <c r="U175">
        <v>-0.28625489999999998</v>
      </c>
      <c r="V175">
        <v>-3.2483870000000001E-3</v>
      </c>
      <c r="W175">
        <v>4.9198140000000001E-2</v>
      </c>
      <c r="X175">
        <v>0.9987838</v>
      </c>
      <c r="Y175">
        <v>9.1059360000000006E-2</v>
      </c>
      <c r="Z175">
        <v>-3.104791E-3</v>
      </c>
      <c r="AA175">
        <v>0.99584059999999996</v>
      </c>
      <c r="AB175">
        <v>13</v>
      </c>
      <c r="AC175">
        <v>0.63369999999997595</v>
      </c>
      <c r="AD175">
        <v>-5.6341999999999601E-2</v>
      </c>
      <c r="AE175">
        <v>-7.2499999999990905E-2</v>
      </c>
      <c r="AF175">
        <v>6.9863784340684104E-2</v>
      </c>
      <c r="AG175">
        <v>-5.6341999999999601E-2</v>
      </c>
      <c r="AH175">
        <v>0.62902757653890695</v>
      </c>
      <c r="AI175">
        <v>95.087208995647202</v>
      </c>
      <c r="AJ175">
        <v>83.662342750236704</v>
      </c>
      <c r="AK175">
        <v>0.63539834857576705</v>
      </c>
      <c r="AL175">
        <v>87.180015952948807</v>
      </c>
      <c r="AM175">
        <v>90.186344841687301</v>
      </c>
      <c r="AN175">
        <v>1.0000000440699901</v>
      </c>
    </row>
    <row r="176" spans="1:40" x14ac:dyDescent="0.25">
      <c r="A176" t="str">
        <f>"20190312150949417"</f>
        <v>20190312150949417</v>
      </c>
      <c r="B176" t="str">
        <f>"1552374589410925"</f>
        <v>1552374589410925</v>
      </c>
      <c r="C176" t="s">
        <v>40</v>
      </c>
      <c r="D176">
        <v>4.9388909999999999</v>
      </c>
      <c r="E176">
        <v>0.55578249999999996</v>
      </c>
      <c r="F176" t="s">
        <v>42</v>
      </c>
      <c r="G176">
        <v>-447.77890000000002</v>
      </c>
      <c r="H176" s="1">
        <v>-2.1454810000000002E-6</v>
      </c>
      <c r="I176">
        <v>364.69920000000002</v>
      </c>
      <c r="J176">
        <v>-465.1857</v>
      </c>
      <c r="K176">
        <v>1.109769</v>
      </c>
      <c r="L176">
        <v>367.15780000000001</v>
      </c>
      <c r="M176">
        <v>0.99997469999999999</v>
      </c>
      <c r="N176">
        <v>0</v>
      </c>
      <c r="O176">
        <v>-3.1505180000000002E-3</v>
      </c>
      <c r="P176">
        <v>0.9991025</v>
      </c>
      <c r="Q176">
        <v>4.2336510000000001E-2</v>
      </c>
      <c r="R176">
        <v>-1.3040389999999999E-3</v>
      </c>
      <c r="S176">
        <v>3.0109249999999999</v>
      </c>
      <c r="T176">
        <v>-0.19052769999999999</v>
      </c>
      <c r="U176">
        <v>-0.42214970000000002</v>
      </c>
      <c r="V176">
        <v>-1.8487079999999999E-3</v>
      </c>
      <c r="W176">
        <v>4.871615E-2</v>
      </c>
      <c r="X176">
        <v>0.99881089999999995</v>
      </c>
      <c r="Y176">
        <v>0.13546759999999999</v>
      </c>
      <c r="Z176">
        <v>-4.0628649999999997E-3</v>
      </c>
      <c r="AA176">
        <v>0.99077340000000003</v>
      </c>
      <c r="AB176">
        <v>13</v>
      </c>
      <c r="AC176">
        <v>17.406799999999901</v>
      </c>
      <c r="AD176">
        <v>-1.109771145481</v>
      </c>
      <c r="AE176">
        <v>-2.4585999999999899</v>
      </c>
      <c r="AF176">
        <v>2.3942048588874401</v>
      </c>
      <c r="AG176">
        <v>-1.109771145481</v>
      </c>
      <c r="AH176">
        <v>17.345334988835301</v>
      </c>
      <c r="AI176">
        <v>93.626557154683894</v>
      </c>
      <c r="AJ176">
        <v>82.141030691612698</v>
      </c>
      <c r="AK176">
        <v>17.544926753240599</v>
      </c>
      <c r="AL176">
        <v>87.207664829471796</v>
      </c>
      <c r="AM176">
        <v>90.106049148034799</v>
      </c>
      <c r="AN176">
        <v>0.99999994747544896</v>
      </c>
    </row>
    <row r="177" spans="1:40" x14ac:dyDescent="0.25">
      <c r="A177" t="str">
        <f>"20190312150949440"</f>
        <v>20190312150949440</v>
      </c>
      <c r="B177" t="str">
        <f>"1552374589430444"</f>
        <v>1552374589430444</v>
      </c>
      <c r="C177" t="s">
        <v>40</v>
      </c>
      <c r="D177">
        <v>4.9296989999999896</v>
      </c>
      <c r="E177">
        <v>0.5572222</v>
      </c>
      <c r="F177" t="s">
        <v>42</v>
      </c>
      <c r="G177">
        <v>-444.7278</v>
      </c>
      <c r="H177" s="1">
        <v>-3.4774719999999998E-6</v>
      </c>
      <c r="I177">
        <v>364.09660000000002</v>
      </c>
      <c r="J177">
        <v>-465.0521</v>
      </c>
      <c r="K177">
        <v>1.1097699999999999</v>
      </c>
      <c r="L177">
        <v>367.1576</v>
      </c>
      <c r="M177">
        <v>0.99997480000000005</v>
      </c>
      <c r="N177">
        <v>0</v>
      </c>
      <c r="O177">
        <v>-3.0010800000000002E-3</v>
      </c>
      <c r="P177">
        <v>0.99911150000000004</v>
      </c>
      <c r="Q177">
        <v>4.2062380000000003E-2</v>
      </c>
      <c r="R177">
        <v>-2.6819119999999998E-3</v>
      </c>
      <c r="S177">
        <v>3.0090029999999999</v>
      </c>
      <c r="T177">
        <v>-0.16322890000000001</v>
      </c>
      <c r="U177">
        <v>-0.4502563</v>
      </c>
      <c r="V177">
        <v>-3.2131180000000002E-4</v>
      </c>
      <c r="W177">
        <v>4.8491359999999997E-2</v>
      </c>
      <c r="X177">
        <v>0.99882349999999998</v>
      </c>
      <c r="Y177">
        <v>0.1448161</v>
      </c>
      <c r="Z177">
        <v>-3.741566E-3</v>
      </c>
      <c r="AA177">
        <v>0.98945150000000004</v>
      </c>
      <c r="AB177">
        <v>13</v>
      </c>
      <c r="AC177">
        <v>20.324299999999901</v>
      </c>
      <c r="AD177">
        <v>-1.1097734774720001</v>
      </c>
      <c r="AE177">
        <v>-3.0609999999999702</v>
      </c>
      <c r="AF177">
        <v>2.9912693873837801</v>
      </c>
      <c r="AG177">
        <v>-1.1097734774720001</v>
      </c>
      <c r="AH177">
        <v>20.274287524734302</v>
      </c>
      <c r="AI177">
        <v>93.099639866713304</v>
      </c>
      <c r="AJ177">
        <v>81.607127186091105</v>
      </c>
      <c r="AK177">
        <v>20.523791666132102</v>
      </c>
      <c r="AL177">
        <v>87.220559594436594</v>
      </c>
      <c r="AM177">
        <v>90.018431494065396</v>
      </c>
      <c r="AN177">
        <v>0.99999994969408501</v>
      </c>
    </row>
    <row r="178" spans="1:40" x14ac:dyDescent="0.25">
      <c r="A178" t="str">
        <f>"20190312150949461"</f>
        <v>20190312150949461</v>
      </c>
      <c r="B178" t="str">
        <f>"1552374589450940"</f>
        <v>1552374589450940</v>
      </c>
      <c r="C178" t="s">
        <v>40</v>
      </c>
      <c r="D178">
        <v>5.1144069999999999</v>
      </c>
      <c r="E178">
        <v>0.55740029999999996</v>
      </c>
      <c r="F178" t="s">
        <v>42</v>
      </c>
      <c r="G178">
        <v>-444.67309999999998</v>
      </c>
      <c r="H178" s="1">
        <v>-3.5231339999999999E-6</v>
      </c>
      <c r="I178">
        <v>364.00400000000002</v>
      </c>
      <c r="J178">
        <v>-464.92239999999998</v>
      </c>
      <c r="K178">
        <v>1.1097760000000001</v>
      </c>
      <c r="L178">
        <v>367.15730000000002</v>
      </c>
      <c r="M178">
        <v>0.99997499999999995</v>
      </c>
      <c r="N178">
        <v>0</v>
      </c>
      <c r="O178">
        <v>-2.8585379999999999E-3</v>
      </c>
      <c r="P178">
        <v>0.99912529999999999</v>
      </c>
      <c r="Q178">
        <v>4.1590710000000003E-2</v>
      </c>
      <c r="R178">
        <v>-4.4255780000000003E-3</v>
      </c>
      <c r="S178">
        <v>3.0083009999999999</v>
      </c>
      <c r="T178">
        <v>-0.1638222</v>
      </c>
      <c r="U178">
        <v>-0.46551510000000001</v>
      </c>
      <c r="V178">
        <v>1.5643250000000001E-3</v>
      </c>
      <c r="W178">
        <v>4.8066039999999997E-2</v>
      </c>
      <c r="X178">
        <v>0.99884300000000004</v>
      </c>
      <c r="Y178">
        <v>0.14988509999999999</v>
      </c>
      <c r="Z178">
        <v>-3.8994049999999999E-3</v>
      </c>
      <c r="AA178">
        <v>0.98869569999999996</v>
      </c>
      <c r="AB178">
        <v>13</v>
      </c>
      <c r="AC178">
        <v>20.249300000000002</v>
      </c>
      <c r="AD178">
        <v>-1.109779523134</v>
      </c>
      <c r="AE178">
        <v>-3.1533000000000002</v>
      </c>
      <c r="AF178">
        <v>3.0863515897587601</v>
      </c>
      <c r="AG178">
        <v>-1.109779523134</v>
      </c>
      <c r="AH178">
        <v>20.198996439955799</v>
      </c>
      <c r="AI178">
        <v>93.108791561424496</v>
      </c>
      <c r="AJ178">
        <v>81.3125538596844</v>
      </c>
      <c r="AK178">
        <v>20.463544021183601</v>
      </c>
      <c r="AL178">
        <v>87.244957404486101</v>
      </c>
      <c r="AM178">
        <v>89.910267031949402</v>
      </c>
      <c r="AN178">
        <v>1.00000006498149</v>
      </c>
    </row>
    <row r="179" spans="1:40" x14ac:dyDescent="0.25">
      <c r="A179" t="str">
        <f>"20190312150949484"</f>
        <v>20190312150949484</v>
      </c>
      <c r="B179" t="str">
        <f>"1552374589481197"</f>
        <v>1552374589481197</v>
      </c>
      <c r="C179" t="s">
        <v>40</v>
      </c>
      <c r="D179">
        <v>4.9607890000000001</v>
      </c>
      <c r="E179">
        <v>0.55719099999999999</v>
      </c>
      <c r="F179" t="s">
        <v>42</v>
      </c>
      <c r="G179">
        <v>-443.32670000000002</v>
      </c>
      <c r="H179" s="1">
        <v>-4.1728299999999997E-6</v>
      </c>
      <c r="I179">
        <v>363.7654</v>
      </c>
      <c r="J179">
        <v>-464.78710000000001</v>
      </c>
      <c r="K179">
        <v>1.1097870000000001</v>
      </c>
      <c r="L179">
        <v>367.15710000000001</v>
      </c>
      <c r="M179">
        <v>0.99997510000000001</v>
      </c>
      <c r="N179">
        <v>0</v>
      </c>
      <c r="O179">
        <v>-2.7113409999999999E-3</v>
      </c>
      <c r="P179">
        <v>0.99911059999999996</v>
      </c>
      <c r="Q179">
        <v>4.1754909999999999E-2</v>
      </c>
      <c r="R179">
        <v>-5.9124260000000001E-3</v>
      </c>
      <c r="S179">
        <v>3.0069889999999999</v>
      </c>
      <c r="T179">
        <v>-0.15452639999999901</v>
      </c>
      <c r="U179">
        <v>-0.47228999999999999</v>
      </c>
      <c r="V179">
        <v>3.198504E-3</v>
      </c>
      <c r="W179">
        <v>4.8275119999999998E-2</v>
      </c>
      <c r="X179">
        <v>0.99882890000000002</v>
      </c>
      <c r="Y179">
        <v>0.15229019999999999</v>
      </c>
      <c r="Z179">
        <v>-3.7482790000000002E-3</v>
      </c>
      <c r="AA179">
        <v>0.98832869999999995</v>
      </c>
      <c r="AB179">
        <v>13</v>
      </c>
      <c r="AC179">
        <v>21.4604</v>
      </c>
      <c r="AD179">
        <v>-1.1097911728299901</v>
      </c>
      <c r="AE179">
        <v>-3.3917000000000099</v>
      </c>
      <c r="AF179">
        <v>3.3248250023641699</v>
      </c>
      <c r="AG179">
        <v>-1.1097911728299901</v>
      </c>
      <c r="AH179">
        <v>21.413646813524402</v>
      </c>
      <c r="AI179">
        <v>92.931711233829802</v>
      </c>
      <c r="AJ179">
        <v>81.174348666845503</v>
      </c>
      <c r="AK179">
        <v>21.698625938017301</v>
      </c>
      <c r="AL179">
        <v>87.232963747421607</v>
      </c>
      <c r="AM179">
        <v>89.8165249788549</v>
      </c>
      <c r="AN179">
        <v>0.99999994455702901</v>
      </c>
    </row>
    <row r="180" spans="1:40" x14ac:dyDescent="0.25">
      <c r="A180" t="str">
        <f>"20190312150949506"</f>
        <v>20190312150949506</v>
      </c>
      <c r="B180" t="str">
        <f>"1552374589500717"</f>
        <v>1552374589500717</v>
      </c>
      <c r="C180" t="s">
        <v>40</v>
      </c>
      <c r="D180">
        <v>5.0020610000000003</v>
      </c>
      <c r="E180">
        <v>0.55664340000000001</v>
      </c>
      <c r="F180" t="s">
        <v>43</v>
      </c>
      <c r="G180">
        <v>-436.10520000000002</v>
      </c>
      <c r="H180">
        <v>-0.05</v>
      </c>
      <c r="I180">
        <v>362.62090000000001</v>
      </c>
      <c r="J180">
        <v>-464.65260000000001</v>
      </c>
      <c r="K180">
        <v>1.1097889999999999</v>
      </c>
      <c r="L180">
        <v>367.15690000000001</v>
      </c>
      <c r="M180">
        <v>0.99997519999999995</v>
      </c>
      <c r="N180">
        <v>0</v>
      </c>
      <c r="O180">
        <v>-2.5657940000000001E-3</v>
      </c>
      <c r="P180">
        <v>0.99907250000000003</v>
      </c>
      <c r="Q180">
        <v>4.2567639999999997E-2</v>
      </c>
      <c r="R180">
        <v>-6.5083279999999999E-3</v>
      </c>
      <c r="S180">
        <v>3.0049440000000001</v>
      </c>
      <c r="T180">
        <v>-0.1215084</v>
      </c>
      <c r="U180">
        <v>-0.47525020000000001</v>
      </c>
      <c r="V180">
        <v>3.9398539999999996E-3</v>
      </c>
      <c r="W180">
        <v>4.9127160000000003E-2</v>
      </c>
      <c r="X180">
        <v>0.99878480000000003</v>
      </c>
      <c r="Y180">
        <v>0.15355920000000001</v>
      </c>
      <c r="Z180">
        <v>-2.9811939999999999E-3</v>
      </c>
      <c r="AA180">
        <v>0.98813490000000004</v>
      </c>
      <c r="AB180">
        <v>13</v>
      </c>
      <c r="AC180">
        <v>28.5473999999999</v>
      </c>
      <c r="AD180">
        <v>-1.159789</v>
      </c>
      <c r="AE180">
        <v>-4.5359999999999996</v>
      </c>
      <c r="AF180">
        <v>4.4555637767441301</v>
      </c>
      <c r="AG180">
        <v>-1.159789</v>
      </c>
      <c r="AH180">
        <v>28.513041852220098</v>
      </c>
      <c r="AI180">
        <v>92.301366176110804</v>
      </c>
      <c r="AJ180">
        <v>81.118554286914403</v>
      </c>
      <c r="AK180">
        <v>28.882359923656001</v>
      </c>
      <c r="AL180">
        <v>87.184087715168602</v>
      </c>
      <c r="AM180">
        <v>89.773989516793094</v>
      </c>
      <c r="AN180">
        <v>1.00000003850512</v>
      </c>
    </row>
    <row r="181" spans="1:40" x14ac:dyDescent="0.25">
      <c r="A181" t="str">
        <f>"20190312150949530"</f>
        <v>20190312150949530</v>
      </c>
      <c r="B181" t="str">
        <f>"1552374589521212"</f>
        <v>1552374589521212</v>
      </c>
      <c r="C181" t="s">
        <v>40</v>
      </c>
      <c r="D181">
        <v>5.2181709999999999</v>
      </c>
      <c r="E181">
        <v>0.5568999</v>
      </c>
      <c r="F181" t="s">
        <v>43</v>
      </c>
      <c r="G181">
        <v>-431.62130000000002</v>
      </c>
      <c r="H181">
        <v>-0.05</v>
      </c>
      <c r="I181">
        <v>361.96010000000001</v>
      </c>
      <c r="J181">
        <v>-464.50450000000001</v>
      </c>
      <c r="K181">
        <v>1.109793</v>
      </c>
      <c r="L181">
        <v>367.1567</v>
      </c>
      <c r="M181">
        <v>0.99997539999999996</v>
      </c>
      <c r="N181">
        <v>0</v>
      </c>
      <c r="O181">
        <v>-2.4064149999999999E-3</v>
      </c>
      <c r="P181">
        <v>0.99906950000000005</v>
      </c>
      <c r="Q181">
        <v>4.2451259999999998E-2</v>
      </c>
      <c r="R181">
        <v>-7.6149659999999999E-3</v>
      </c>
      <c r="S181">
        <v>3.0042110000000002</v>
      </c>
      <c r="T181">
        <v>-0.1054833</v>
      </c>
      <c r="U181">
        <v>-0.47265629999999997</v>
      </c>
      <c r="V181">
        <v>5.2058829999999997E-3</v>
      </c>
      <c r="W181">
        <v>4.9050490000000002E-2</v>
      </c>
      <c r="X181">
        <v>0.99878279999999997</v>
      </c>
      <c r="Y181">
        <v>0.15295129999999901</v>
      </c>
      <c r="Z181">
        <v>-2.584027E-3</v>
      </c>
      <c r="AA181">
        <v>0.98823030000000001</v>
      </c>
      <c r="AB181">
        <v>13</v>
      </c>
      <c r="AC181">
        <v>32.883199999999903</v>
      </c>
      <c r="AD181">
        <v>-1.1597930000000001</v>
      </c>
      <c r="AE181">
        <v>-5.1965999999999797</v>
      </c>
      <c r="AF181">
        <v>5.1112492499247404</v>
      </c>
      <c r="AG181">
        <v>-1.1597930000000001</v>
      </c>
      <c r="AH181">
        <v>32.855734278399098</v>
      </c>
      <c r="AI181">
        <v>91.997668070839794</v>
      </c>
      <c r="AJ181">
        <v>81.157577164002802</v>
      </c>
      <c r="AK181">
        <v>33.271147615771703</v>
      </c>
      <c r="AL181">
        <v>87.188485964055999</v>
      </c>
      <c r="AM181">
        <v>89.701364076882697</v>
      </c>
      <c r="AN181">
        <v>1.0000000666814399</v>
      </c>
    </row>
    <row r="182" spans="1:40" x14ac:dyDescent="0.25">
      <c r="A182" t="str">
        <f>"20190312150949553"</f>
        <v>20190312150949553</v>
      </c>
      <c r="B182" t="str">
        <f>"1552374589550492"</f>
        <v>1552374589550492</v>
      </c>
      <c r="C182" t="s">
        <v>40</v>
      </c>
      <c r="D182">
        <v>5.0745559999999896</v>
      </c>
      <c r="E182">
        <v>0.55657140000000005</v>
      </c>
      <c r="F182" t="s">
        <v>43</v>
      </c>
      <c r="G182">
        <v>-431.87020000000001</v>
      </c>
      <c r="H182">
        <v>-0.05</v>
      </c>
      <c r="I182">
        <v>361.96039999999999</v>
      </c>
      <c r="J182">
        <v>-464.36770000000001</v>
      </c>
      <c r="K182">
        <v>1.109796</v>
      </c>
      <c r="L182">
        <v>367.15649999999999</v>
      </c>
      <c r="M182">
        <v>0.99997539999999996</v>
      </c>
      <c r="N182">
        <v>0</v>
      </c>
      <c r="O182">
        <v>-2.2589490000000001E-3</v>
      </c>
      <c r="P182">
        <v>0.99905650000000001</v>
      </c>
      <c r="Q182">
        <v>4.2687139999999998E-2</v>
      </c>
      <c r="R182">
        <v>-7.9987189999999996E-3</v>
      </c>
      <c r="S182">
        <v>3.0036930000000002</v>
      </c>
      <c r="T182">
        <v>-0.1067483</v>
      </c>
      <c r="U182">
        <v>-0.47827150000000002</v>
      </c>
      <c r="V182">
        <v>5.7365319999999999E-3</v>
      </c>
      <c r="W182">
        <v>4.9322919999999999E-2</v>
      </c>
      <c r="X182">
        <v>0.99876640000000005</v>
      </c>
      <c r="Y182">
        <v>0.1549217</v>
      </c>
      <c r="Z182">
        <v>-2.655054E-3</v>
      </c>
      <c r="AA182">
        <v>0.9879232</v>
      </c>
      <c r="AB182">
        <v>14</v>
      </c>
      <c r="AC182">
        <v>32.497500000000002</v>
      </c>
      <c r="AD182">
        <v>-1.1597959999999901</v>
      </c>
      <c r="AE182">
        <v>-5.1961000000000004</v>
      </c>
      <c r="AF182">
        <v>5.1163207754371998</v>
      </c>
      <c r="AG182">
        <v>-1.1597959999999901</v>
      </c>
      <c r="AH182">
        <v>32.4688307930126</v>
      </c>
      <c r="AI182">
        <v>92.020837855134602</v>
      </c>
      <c r="AJ182">
        <v>81.045171148260906</v>
      </c>
      <c r="AK182">
        <v>32.889920007565699</v>
      </c>
      <c r="AL182">
        <v>87.172857742767405</v>
      </c>
      <c r="AM182">
        <v>89.670918586735297</v>
      </c>
      <c r="AN182">
        <v>0.99999999000283601</v>
      </c>
    </row>
    <row r="183" spans="1:40" x14ac:dyDescent="0.25">
      <c r="A183" t="str">
        <f>"20190312150949574"</f>
        <v>20190312150949574</v>
      </c>
      <c r="B183" t="str">
        <f>"1552374589570989"</f>
        <v>1552374589570989</v>
      </c>
      <c r="C183" t="s">
        <v>40</v>
      </c>
      <c r="D183">
        <v>5.0748389999999999</v>
      </c>
      <c r="E183">
        <v>0.55638959999999904</v>
      </c>
      <c r="F183" t="s">
        <v>43</v>
      </c>
      <c r="G183">
        <v>-426.94600000000003</v>
      </c>
      <c r="H183">
        <v>-0.05</v>
      </c>
      <c r="I183">
        <v>361.21510000000001</v>
      </c>
      <c r="J183">
        <v>-464.23899999999998</v>
      </c>
      <c r="K183">
        <v>1.109799</v>
      </c>
      <c r="L183">
        <v>367.15640000000002</v>
      </c>
      <c r="M183">
        <v>0.99997559999999996</v>
      </c>
      <c r="N183">
        <v>0</v>
      </c>
      <c r="O183">
        <v>-2.12006E-3</v>
      </c>
      <c r="P183">
        <v>0.99907259999999998</v>
      </c>
      <c r="Q183">
        <v>4.228034E-2</v>
      </c>
      <c r="R183">
        <v>-8.1583819999999901E-3</v>
      </c>
      <c r="S183">
        <v>3.0029910000000002</v>
      </c>
      <c r="T183">
        <v>-9.3070509999999995E-2</v>
      </c>
      <c r="U183">
        <v>-0.47677609999999898</v>
      </c>
      <c r="V183">
        <v>6.035108E-3</v>
      </c>
      <c r="W183">
        <v>4.8951439999999999E-2</v>
      </c>
      <c r="X183">
        <v>0.99878290000000003</v>
      </c>
      <c r="Y183">
        <v>0.15463750000000001</v>
      </c>
      <c r="Z183">
        <v>-2.315554E-3</v>
      </c>
      <c r="AA183">
        <v>0.98796859999999997</v>
      </c>
      <c r="AB183">
        <v>14</v>
      </c>
      <c r="AC183">
        <v>37.292999999999999</v>
      </c>
      <c r="AD183">
        <v>-1.159799</v>
      </c>
      <c r="AE183">
        <v>-5.9413000000000098</v>
      </c>
      <c r="AF183">
        <v>5.8566971845753004</v>
      </c>
      <c r="AG183">
        <v>-1.159799</v>
      </c>
      <c r="AH183">
        <v>37.270357215044903</v>
      </c>
      <c r="AI183">
        <v>91.760792244043401</v>
      </c>
      <c r="AJ183">
        <v>81.069519770649407</v>
      </c>
      <c r="AK183">
        <v>37.745536988752299</v>
      </c>
      <c r="AL183">
        <v>87.194167675031096</v>
      </c>
      <c r="AM183">
        <v>89.653796626850607</v>
      </c>
      <c r="AN183">
        <v>0.99999997366952698</v>
      </c>
    </row>
    <row r="184" spans="1:40" x14ac:dyDescent="0.25">
      <c r="A184" t="str">
        <f>"20190312150949597"</f>
        <v>20190312150949597</v>
      </c>
      <c r="B184" t="str">
        <f>"1552374589590510"</f>
        <v>1552374589590510</v>
      </c>
      <c r="C184" t="s">
        <v>40</v>
      </c>
      <c r="D184">
        <v>5.0683040000000004</v>
      </c>
      <c r="E184">
        <v>0.55608709999999995</v>
      </c>
      <c r="F184" t="s">
        <v>43</v>
      </c>
      <c r="G184">
        <v>-425.08100000000002</v>
      </c>
      <c r="H184">
        <v>-0.05</v>
      </c>
      <c r="I184">
        <v>360.95429999999999</v>
      </c>
      <c r="J184">
        <v>-464.09649999999999</v>
      </c>
      <c r="K184">
        <v>1.1098059999999901</v>
      </c>
      <c r="L184">
        <v>367.15629999999999</v>
      </c>
      <c r="M184">
        <v>0.99997559999999996</v>
      </c>
      <c r="N184">
        <v>0</v>
      </c>
      <c r="O184">
        <v>-1.9656909999999999E-3</v>
      </c>
      <c r="P184">
        <v>0.99907210000000002</v>
      </c>
      <c r="Q184">
        <v>4.2340460000000003E-2</v>
      </c>
      <c r="R184">
        <v>-7.8892019999999997E-3</v>
      </c>
      <c r="S184">
        <v>3.0026860000000002</v>
      </c>
      <c r="T184">
        <v>-8.8934780000000005E-2</v>
      </c>
      <c r="U184">
        <v>-0.47558590000000001</v>
      </c>
      <c r="V184">
        <v>5.9199669999999999E-3</v>
      </c>
      <c r="W184">
        <v>4.905002E-2</v>
      </c>
      <c r="X184">
        <v>0.99877879999999997</v>
      </c>
      <c r="Y184">
        <v>0.15442979999999901</v>
      </c>
      <c r="Z184">
        <v>-2.21448E-3</v>
      </c>
      <c r="AA184">
        <v>0.98800129999999997</v>
      </c>
      <c r="AB184">
        <v>14</v>
      </c>
      <c r="AC184">
        <v>39.015500000000003</v>
      </c>
      <c r="AD184">
        <v>-1.1598059999999999</v>
      </c>
      <c r="AE184">
        <v>-6.2019999999999902</v>
      </c>
      <c r="AF184">
        <v>6.1200190130054102</v>
      </c>
      <c r="AG184">
        <v>-1.1598059999999999</v>
      </c>
      <c r="AH184">
        <v>38.994007049667601</v>
      </c>
      <c r="AI184">
        <v>91.683065805512896</v>
      </c>
      <c r="AJ184">
        <v>81.080323455930298</v>
      </c>
      <c r="AK184">
        <v>39.488382702596397</v>
      </c>
      <c r="AL184">
        <v>87.188512796707499</v>
      </c>
      <c r="AM184">
        <v>89.660400128700601</v>
      </c>
      <c r="AN184">
        <v>1.0000000209003601</v>
      </c>
    </row>
    <row r="185" spans="1:40" x14ac:dyDescent="0.25">
      <c r="A185" t="str">
        <f>"20190312150949620"</f>
        <v>20190312150949620</v>
      </c>
      <c r="B185" t="str">
        <f>"1552374589611006"</f>
        <v>1552374589611006</v>
      </c>
      <c r="C185" t="s">
        <v>40</v>
      </c>
      <c r="D185">
        <v>5.0742190000000003</v>
      </c>
      <c r="E185">
        <v>0.55591800000000002</v>
      </c>
      <c r="F185" t="s">
        <v>43</v>
      </c>
      <c r="G185">
        <v>-422.99259999999998</v>
      </c>
      <c r="H185">
        <v>-0.05</v>
      </c>
      <c r="I185">
        <v>360.69310000000002</v>
      </c>
      <c r="J185">
        <v>-463.95429999999999</v>
      </c>
      <c r="K185">
        <v>1.1098129999999999</v>
      </c>
      <c r="L185">
        <v>367.15620000000001</v>
      </c>
      <c r="M185">
        <v>0.99997559999999996</v>
      </c>
      <c r="N185">
        <v>0</v>
      </c>
      <c r="O185">
        <v>-1.8113370000000001E-3</v>
      </c>
      <c r="P185">
        <v>0.99906329999999999</v>
      </c>
      <c r="Q185">
        <v>4.2619740000000003E-2</v>
      </c>
      <c r="R185">
        <v>-7.5191469999999899E-3</v>
      </c>
      <c r="S185">
        <v>3.0026549999999999</v>
      </c>
      <c r="T185">
        <v>-8.4724190000000005E-2</v>
      </c>
      <c r="U185">
        <v>-0.47213749999999999</v>
      </c>
      <c r="V185">
        <v>5.7040019999999997E-3</v>
      </c>
      <c r="W185">
        <v>4.9372920000000001E-2</v>
      </c>
      <c r="X185">
        <v>0.99876410000000004</v>
      </c>
      <c r="Y185">
        <v>0.15348290000000001</v>
      </c>
      <c r="Z185">
        <v>-2.1009409999999998E-3</v>
      </c>
      <c r="AA185">
        <v>0.98814900000000006</v>
      </c>
      <c r="AB185">
        <v>14</v>
      </c>
      <c r="AC185">
        <v>40.9617</v>
      </c>
      <c r="AD185">
        <v>-1.159813</v>
      </c>
      <c r="AE185">
        <v>-6.4630999999999901</v>
      </c>
      <c r="AF185">
        <v>6.3838985215798996</v>
      </c>
      <c r="AG185">
        <v>-1.159813</v>
      </c>
      <c r="AH185">
        <v>40.941313965448302</v>
      </c>
      <c r="AI185">
        <v>91.603315492877698</v>
      </c>
      <c r="AJ185">
        <v>81.137349487924297</v>
      </c>
      <c r="AK185">
        <v>41.452267920419203</v>
      </c>
      <c r="AL185">
        <v>87.169989414310905</v>
      </c>
      <c r="AM185">
        <v>89.672783905783604</v>
      </c>
      <c r="AN185">
        <v>0.99999997415847497</v>
      </c>
    </row>
    <row r="186" spans="1:40" x14ac:dyDescent="0.25">
      <c r="A186" t="str">
        <f>"20190312150949642"</f>
        <v>20190312150949642</v>
      </c>
      <c r="B186" t="str">
        <f>"1552374589630525"</f>
        <v>1552374589630525</v>
      </c>
      <c r="C186" t="s">
        <v>40</v>
      </c>
      <c r="D186">
        <v>5.0423539999999996</v>
      </c>
      <c r="E186">
        <v>0.55592259999999905</v>
      </c>
      <c r="F186" t="s">
        <v>43</v>
      </c>
      <c r="G186">
        <v>-420.83530000000002</v>
      </c>
      <c r="H186">
        <v>-0.05</v>
      </c>
      <c r="I186">
        <v>360.41050000000001</v>
      </c>
      <c r="J186">
        <v>-463.81439999999998</v>
      </c>
      <c r="K186">
        <v>1.1098239999999999</v>
      </c>
      <c r="L186">
        <v>367.15609999999998</v>
      </c>
      <c r="M186">
        <v>0.99997550000000002</v>
      </c>
      <c r="N186">
        <v>0</v>
      </c>
      <c r="O186">
        <v>-1.659499E-3</v>
      </c>
      <c r="P186">
        <v>0.99902769999999996</v>
      </c>
      <c r="Q186">
        <v>4.350627E-2</v>
      </c>
      <c r="R186">
        <v>-7.1378780000000003E-3</v>
      </c>
      <c r="S186">
        <v>3.0027159999999999</v>
      </c>
      <c r="T186">
        <v>-8.0767039999999998E-2</v>
      </c>
      <c r="U186">
        <v>-0.46975709999999998</v>
      </c>
      <c r="V186">
        <v>5.4743020000000003E-3</v>
      </c>
      <c r="W186">
        <v>5.0307310000000001E-2</v>
      </c>
      <c r="X186">
        <v>0.99871880000000002</v>
      </c>
      <c r="Y186">
        <v>0.152870899999999</v>
      </c>
      <c r="Z186">
        <v>-1.9988100000000002E-3</v>
      </c>
      <c r="AA186">
        <v>0.98824420000000002</v>
      </c>
      <c r="AB186">
        <v>14</v>
      </c>
      <c r="AC186">
        <v>42.979099999999903</v>
      </c>
      <c r="AD186">
        <v>-1.159824</v>
      </c>
      <c r="AE186">
        <v>-6.7455999999999596</v>
      </c>
      <c r="AF186">
        <v>6.6695250967286803</v>
      </c>
      <c r="AG186">
        <v>-1.159824</v>
      </c>
      <c r="AH186">
        <v>42.959702899306997</v>
      </c>
      <c r="AI186">
        <v>91.528194660165198</v>
      </c>
      <c r="AJ186">
        <v>81.175238997124595</v>
      </c>
      <c r="AK186">
        <v>43.489812944223999</v>
      </c>
      <c r="AL186">
        <v>87.116386314878596</v>
      </c>
      <c r="AM186">
        <v>89.685946375299807</v>
      </c>
      <c r="AN186">
        <v>1.00000001744763</v>
      </c>
    </row>
    <row r="187" spans="1:40" x14ac:dyDescent="0.25">
      <c r="A187" t="str">
        <f>"20190312150949663"</f>
        <v>20190312150949663</v>
      </c>
      <c r="B187" t="str">
        <f>"1552374589651021"</f>
        <v>1552374589651021</v>
      </c>
      <c r="C187" t="s">
        <v>40</v>
      </c>
      <c r="D187">
        <v>5.0748610000000003</v>
      </c>
      <c r="E187">
        <v>0.55589379999999999</v>
      </c>
      <c r="F187" t="s">
        <v>43</v>
      </c>
      <c r="G187">
        <v>-418.31290000000001</v>
      </c>
      <c r="H187">
        <v>-0.05</v>
      </c>
      <c r="I187">
        <v>360.0575</v>
      </c>
      <c r="J187">
        <v>-463.6823</v>
      </c>
      <c r="K187">
        <v>1.109836</v>
      </c>
      <c r="L187">
        <v>367.15609999999998</v>
      </c>
      <c r="M187">
        <v>0.99997550000000002</v>
      </c>
      <c r="N187">
        <v>0</v>
      </c>
      <c r="O187">
        <v>-1.5155259999999999E-3</v>
      </c>
      <c r="P187">
        <v>0.99899519999999997</v>
      </c>
      <c r="Q187">
        <v>4.4318049999999998E-2</v>
      </c>
      <c r="R187">
        <v>-6.6976350000000004E-3</v>
      </c>
      <c r="S187">
        <v>3.0028990000000002</v>
      </c>
      <c r="T187">
        <v>-7.6543330000000007E-2</v>
      </c>
      <c r="U187">
        <v>-0.46847529999999998</v>
      </c>
      <c r="V187">
        <v>5.1778900000000001E-3</v>
      </c>
      <c r="W187">
        <v>5.1164040000000001E-2</v>
      </c>
      <c r="X187">
        <v>0.99867680000000003</v>
      </c>
      <c r="Y187">
        <v>0.1525976</v>
      </c>
      <c r="Z187">
        <v>-1.8944509999999999E-3</v>
      </c>
      <c r="AA187">
        <v>0.98828660000000002</v>
      </c>
      <c r="AB187">
        <v>14</v>
      </c>
      <c r="AC187">
        <v>45.369399999999899</v>
      </c>
      <c r="AD187">
        <v>-1.1598360000000001</v>
      </c>
      <c r="AE187">
        <v>-7.09859999999997</v>
      </c>
      <c r="AF187">
        <v>7.0253501540221999</v>
      </c>
      <c r="AG187">
        <v>-1.1598360000000001</v>
      </c>
      <c r="AH187">
        <v>45.351176022926303</v>
      </c>
      <c r="AI187">
        <v>91.447734284404206</v>
      </c>
      <c r="AJ187">
        <v>81.194303367646796</v>
      </c>
      <c r="AK187">
        <v>45.906752564257502</v>
      </c>
      <c r="AL187">
        <v>87.067235833099303</v>
      </c>
      <c r="AM187">
        <v>89.702938342525201</v>
      </c>
      <c r="AN187">
        <v>0.99999996019610604</v>
      </c>
    </row>
    <row r="188" spans="1:40" x14ac:dyDescent="0.25">
      <c r="A188" t="str">
        <f>"20190312150949685"</f>
        <v>20190312150949685</v>
      </c>
      <c r="B188" t="str">
        <f>"1552374589681277"</f>
        <v>1552374589681277</v>
      </c>
      <c r="C188" t="s">
        <v>40</v>
      </c>
      <c r="D188">
        <v>5.1101289999999997</v>
      </c>
      <c r="E188">
        <v>0.55604119999999901</v>
      </c>
      <c r="F188" t="s">
        <v>43</v>
      </c>
      <c r="G188">
        <v>-418.8245</v>
      </c>
      <c r="H188">
        <v>-0.05</v>
      </c>
      <c r="I188">
        <v>360.18439999999998</v>
      </c>
      <c r="J188">
        <v>-463.54169999999999</v>
      </c>
      <c r="K188">
        <v>1.1098490000000001</v>
      </c>
      <c r="L188">
        <v>367.15600000000001</v>
      </c>
      <c r="M188">
        <v>0.99997530000000001</v>
      </c>
      <c r="N188">
        <v>0</v>
      </c>
      <c r="O188">
        <v>-1.3617929999999901E-3</v>
      </c>
      <c r="P188">
        <v>0.99894850000000002</v>
      </c>
      <c r="Q188">
        <v>4.5380190000000001E-2</v>
      </c>
      <c r="R188">
        <v>-6.5362199999999997E-3</v>
      </c>
      <c r="S188">
        <v>3.0032960000000002</v>
      </c>
      <c r="T188">
        <v>-7.7652810000000003E-2</v>
      </c>
      <c r="U188">
        <v>-0.46676640000000003</v>
      </c>
      <c r="V188">
        <v>5.1698480000000003E-3</v>
      </c>
      <c r="W188">
        <v>5.2275960000000003E-2</v>
      </c>
      <c r="X188">
        <v>0.99861929999999999</v>
      </c>
      <c r="Y188">
        <v>0.15217929999999999</v>
      </c>
      <c r="Z188">
        <v>-1.9203099999999999E-3</v>
      </c>
      <c r="AA188">
        <v>0.98835099999999998</v>
      </c>
      <c r="AB188">
        <v>14</v>
      </c>
      <c r="AC188">
        <v>44.717199999999899</v>
      </c>
      <c r="AD188">
        <v>-1.1598489999999999</v>
      </c>
      <c r="AE188">
        <v>-6.97160000000002</v>
      </c>
      <c r="AF188">
        <v>6.9061606476237403</v>
      </c>
      <c r="AG188">
        <v>-1.1598489999999999</v>
      </c>
      <c r="AH188">
        <v>44.697296074909303</v>
      </c>
      <c r="AI188">
        <v>91.469009368919998</v>
      </c>
      <c r="AJ188">
        <v>81.216708549672106</v>
      </c>
      <c r="AK188">
        <v>45.242552768402597</v>
      </c>
      <c r="AL188">
        <v>87.003442258051606</v>
      </c>
      <c r="AM188">
        <v>89.703382635512</v>
      </c>
      <c r="AN188">
        <v>1.0000000048273701</v>
      </c>
    </row>
    <row r="189" spans="1:40" x14ac:dyDescent="0.25">
      <c r="A189" t="str">
        <f>"20190312150949733"</f>
        <v>20190312150949733</v>
      </c>
      <c r="B189" t="str">
        <f>"1552374589721293"</f>
        <v>1552374589721293</v>
      </c>
      <c r="C189" t="s">
        <v>40</v>
      </c>
      <c r="D189">
        <v>5.0987359999999997</v>
      </c>
      <c r="E189">
        <v>0.55634949999999905</v>
      </c>
      <c r="F189" t="s">
        <v>43</v>
      </c>
      <c r="G189">
        <v>-421.67529999999999</v>
      </c>
      <c r="H189">
        <v>-0.05</v>
      </c>
      <c r="I189">
        <v>360.64100000000002</v>
      </c>
      <c r="J189">
        <v>-463.24090000000001</v>
      </c>
      <c r="K189">
        <v>1.1098699999999999</v>
      </c>
      <c r="L189">
        <v>367.15600000000001</v>
      </c>
      <c r="M189">
        <v>0.99997499999999995</v>
      </c>
      <c r="N189">
        <v>0</v>
      </c>
      <c r="O189">
        <v>-1.0336029999999999E-3</v>
      </c>
      <c r="P189">
        <v>0.99885639999999998</v>
      </c>
      <c r="Q189">
        <v>4.7356700000000002E-2</v>
      </c>
      <c r="R189">
        <v>-6.5835520000000003E-3</v>
      </c>
      <c r="S189">
        <v>3.0038450000000001</v>
      </c>
      <c r="T189">
        <v>-8.3217260000000001E-2</v>
      </c>
      <c r="U189">
        <v>-0.46743770000000001</v>
      </c>
      <c r="V189">
        <v>5.5446699999999998E-3</v>
      </c>
      <c r="W189">
        <v>5.4357259999999998E-2</v>
      </c>
      <c r="X189">
        <v>0.99850609999999995</v>
      </c>
      <c r="Y189">
        <v>0.1526843</v>
      </c>
      <c r="Z189">
        <v>-2.073447E-3</v>
      </c>
      <c r="AA189">
        <v>0.98827279999999995</v>
      </c>
      <c r="AB189">
        <v>14</v>
      </c>
      <c r="AC189">
        <v>41.565600000000003</v>
      </c>
      <c r="AD189">
        <v>-1.15987</v>
      </c>
      <c r="AE189">
        <v>-6.5150000000000396</v>
      </c>
      <c r="AF189">
        <v>6.4671181711098704</v>
      </c>
      <c r="AG189">
        <v>-1.15987</v>
      </c>
      <c r="AH189">
        <v>41.540741185450898</v>
      </c>
      <c r="AI189">
        <v>91.580328576579603</v>
      </c>
      <c r="AJ189">
        <v>81.151149035382005</v>
      </c>
      <c r="AK189">
        <v>42.057128933066899</v>
      </c>
      <c r="AL189">
        <v>86.884022483904999</v>
      </c>
      <c r="AM189">
        <v>89.681841778909998</v>
      </c>
      <c r="AN189">
        <v>0.99999994340866105</v>
      </c>
    </row>
    <row r="190" spans="1:40" x14ac:dyDescent="0.25">
      <c r="A190" t="str">
        <f>"20190312150949754"</f>
        <v>20190312150949754</v>
      </c>
      <c r="B190" t="str">
        <f>"1552374589750573"</f>
        <v>1552374589750573</v>
      </c>
      <c r="C190" t="s">
        <v>40</v>
      </c>
      <c r="D190">
        <v>4.9794210000000003</v>
      </c>
      <c r="E190">
        <v>0.55667060000000002</v>
      </c>
      <c r="F190" t="s">
        <v>43</v>
      </c>
      <c r="G190">
        <v>-421.07130000000001</v>
      </c>
      <c r="H190">
        <v>-0.05</v>
      </c>
      <c r="I190">
        <v>360.55070000000001</v>
      </c>
      <c r="J190">
        <v>-463.10090000000002</v>
      </c>
      <c r="K190">
        <v>1.1098779999999999</v>
      </c>
      <c r="L190">
        <v>367.15600000000001</v>
      </c>
      <c r="M190">
        <v>0.99997469999999999</v>
      </c>
      <c r="N190">
        <v>0</v>
      </c>
      <c r="O190">
        <v>-8.8106320000000003E-4</v>
      </c>
      <c r="P190">
        <v>0.99883350000000004</v>
      </c>
      <c r="Q190">
        <v>4.7833960000000002E-2</v>
      </c>
      <c r="R190">
        <v>-6.6021359999999998E-3</v>
      </c>
      <c r="S190">
        <v>3.0042719999999998</v>
      </c>
      <c r="T190">
        <v>-8.263218E-2</v>
      </c>
      <c r="U190">
        <v>-0.47058109999999997</v>
      </c>
      <c r="V190">
        <v>5.715454E-3</v>
      </c>
      <c r="W190">
        <v>5.4883849999999998E-2</v>
      </c>
      <c r="X190">
        <v>0.99847640000000004</v>
      </c>
      <c r="Y190">
        <v>0.1538234</v>
      </c>
      <c r="Z190">
        <v>-2.0781559999999998E-3</v>
      </c>
      <c r="AA190">
        <v>0.98809619999999998</v>
      </c>
      <c r="AB190">
        <v>14</v>
      </c>
      <c r="AC190">
        <v>42.029600000000002</v>
      </c>
      <c r="AD190">
        <v>-1.159878</v>
      </c>
      <c r="AE190">
        <v>-6.6052999999999997</v>
      </c>
      <c r="AF190">
        <v>6.56338773280675</v>
      </c>
      <c r="AG190">
        <v>-1.159878</v>
      </c>
      <c r="AH190">
        <v>42.004185129608203</v>
      </c>
      <c r="AI190">
        <v>91.562775260511501</v>
      </c>
      <c r="AJ190">
        <v>81.119029527066999</v>
      </c>
      <c r="AK190">
        <v>42.529694848522503</v>
      </c>
      <c r="AL190">
        <v>86.853806206835699</v>
      </c>
      <c r="AM190">
        <v>89.672032493097504</v>
      </c>
      <c r="AN190">
        <v>1.0000000123810999</v>
      </c>
    </row>
    <row r="191" spans="1:40" x14ac:dyDescent="0.25">
      <c r="A191" t="str">
        <f>"20190312150949774"</f>
        <v>20190312150949774</v>
      </c>
      <c r="B191" t="str">
        <f>"1552374589771069"</f>
        <v>1552374589771069</v>
      </c>
      <c r="C191" t="s">
        <v>40</v>
      </c>
      <c r="D191">
        <v>5.0210509999999999</v>
      </c>
      <c r="E191">
        <v>0.55684389999999995</v>
      </c>
      <c r="F191" t="s">
        <v>43</v>
      </c>
      <c r="G191">
        <v>-424.48809999999997</v>
      </c>
      <c r="H191">
        <v>-0.05</v>
      </c>
      <c r="I191">
        <v>361.07490000000001</v>
      </c>
      <c r="J191">
        <v>-462.96550000000002</v>
      </c>
      <c r="K191">
        <v>1.109888</v>
      </c>
      <c r="L191">
        <v>367.15609999999998</v>
      </c>
      <c r="M191">
        <v>0.99997449999999999</v>
      </c>
      <c r="N191">
        <v>0</v>
      </c>
      <c r="O191">
        <v>-7.3329639999999995E-4</v>
      </c>
      <c r="P191">
        <v>0.9987935</v>
      </c>
      <c r="Q191">
        <v>4.8629400000000003E-2</v>
      </c>
      <c r="R191">
        <v>-6.8648149999999998E-3</v>
      </c>
      <c r="S191">
        <v>3.0046689999999998</v>
      </c>
      <c r="T191">
        <v>-9.0256210000000003E-2</v>
      </c>
      <c r="U191">
        <v>-0.4732056</v>
      </c>
      <c r="V191">
        <v>6.1255019999999997E-3</v>
      </c>
      <c r="W191">
        <v>5.5728939999999998E-2</v>
      </c>
      <c r="X191">
        <v>0.99842719999999896</v>
      </c>
      <c r="Y191">
        <v>0.15478029999999901</v>
      </c>
      <c r="Z191">
        <v>-2.2880579999999999E-3</v>
      </c>
      <c r="AA191">
        <v>0.98794630000000005</v>
      </c>
      <c r="AB191">
        <v>14</v>
      </c>
      <c r="AC191">
        <v>38.477400000000003</v>
      </c>
      <c r="AD191">
        <v>-1.159888</v>
      </c>
      <c r="AE191">
        <v>-6.08119999999996</v>
      </c>
      <c r="AF191">
        <v>6.0476207629975001</v>
      </c>
      <c r="AG191">
        <v>-1.159888</v>
      </c>
      <c r="AH191">
        <v>38.447763015458499</v>
      </c>
      <c r="AI191">
        <v>91.706993696966194</v>
      </c>
      <c r="AJ191">
        <v>81.060932287235701</v>
      </c>
      <c r="AK191">
        <v>38.937764932754398</v>
      </c>
      <c r="AL191">
        <v>86.805312028386595</v>
      </c>
      <c r="AM191">
        <v>89.648486130343002</v>
      </c>
      <c r="AN191">
        <v>1.00000005511405</v>
      </c>
    </row>
    <row r="192" spans="1:40" x14ac:dyDescent="0.25">
      <c r="A192" t="str">
        <f>"20190312150949797"</f>
        <v>20190312150949797</v>
      </c>
      <c r="B192" t="str">
        <f>"1552374589790589"</f>
        <v>1552374589790589</v>
      </c>
      <c r="C192" t="s">
        <v>40</v>
      </c>
      <c r="D192">
        <v>5.1466209999999997</v>
      </c>
      <c r="E192">
        <v>0.55736680000000005</v>
      </c>
      <c r="F192" t="s">
        <v>43</v>
      </c>
      <c r="G192">
        <v>-423.89159999999998</v>
      </c>
      <c r="H192">
        <v>-0.05</v>
      </c>
      <c r="I192">
        <v>360.97309999999999</v>
      </c>
      <c r="J192">
        <v>-462.81670000000003</v>
      </c>
      <c r="K192">
        <v>1.1098920000000001</v>
      </c>
      <c r="L192">
        <v>367.15620000000001</v>
      </c>
      <c r="M192">
        <v>0.99997440000000004</v>
      </c>
      <c r="N192">
        <v>0</v>
      </c>
      <c r="O192">
        <v>-5.7196099999999995E-4</v>
      </c>
      <c r="P192">
        <v>0.99874419999999997</v>
      </c>
      <c r="Q192">
        <v>4.960767E-2</v>
      </c>
      <c r="R192">
        <v>-7.0126219999999996E-3</v>
      </c>
      <c r="S192">
        <v>3.0047000000000001</v>
      </c>
      <c r="T192">
        <v>-8.9192869999999994E-2</v>
      </c>
      <c r="U192">
        <v>-0.47546389999999999</v>
      </c>
      <c r="V192">
        <v>6.4344040000000003E-3</v>
      </c>
      <c r="W192">
        <v>5.6762989999999999E-2</v>
      </c>
      <c r="X192">
        <v>0.998367</v>
      </c>
      <c r="Y192">
        <v>0.15566369999999999</v>
      </c>
      <c r="Z192">
        <v>-2.2787459999999999E-3</v>
      </c>
      <c r="AA192">
        <v>0.98780749999999995</v>
      </c>
      <c r="AB192">
        <v>14</v>
      </c>
      <c r="AC192">
        <v>38.9251</v>
      </c>
      <c r="AD192">
        <v>-1.1598919999999999</v>
      </c>
      <c r="AE192">
        <v>-6.18310000000002</v>
      </c>
      <c r="AF192">
        <v>6.1555036805467402</v>
      </c>
      <c r="AG192">
        <v>-1.1598919999999999</v>
      </c>
      <c r="AH192">
        <v>38.8949444353293</v>
      </c>
      <c r="AI192">
        <v>91.687134767306404</v>
      </c>
      <c r="AJ192">
        <v>81.006970253342402</v>
      </c>
      <c r="AK192">
        <v>39.396094700366497</v>
      </c>
      <c r="AL192">
        <v>86.745971380485798</v>
      </c>
      <c r="AM192">
        <v>89.630737906406196</v>
      </c>
      <c r="AN192">
        <v>1.00000005263878</v>
      </c>
    </row>
    <row r="193" spans="1:40" x14ac:dyDescent="0.25">
      <c r="A193" t="str">
        <f>"20190312150949820"</f>
        <v>20190312150949820</v>
      </c>
      <c r="B193" t="str">
        <f>"1552374589811089"</f>
        <v>1552374589811089</v>
      </c>
      <c r="C193" t="s">
        <v>40</v>
      </c>
      <c r="D193">
        <v>5.0127160000000002</v>
      </c>
      <c r="E193">
        <v>0.55814049999999904</v>
      </c>
      <c r="F193" t="s">
        <v>43</v>
      </c>
      <c r="G193">
        <v>-421.35120000000001</v>
      </c>
      <c r="H193">
        <v>-0.05</v>
      </c>
      <c r="I193">
        <v>360.53160000000003</v>
      </c>
      <c r="J193">
        <v>-462.6687</v>
      </c>
      <c r="K193">
        <v>1.109893</v>
      </c>
      <c r="L193">
        <v>367.15629999999999</v>
      </c>
      <c r="M193">
        <v>0.99997380000000002</v>
      </c>
      <c r="N193">
        <v>0</v>
      </c>
      <c r="O193">
        <v>-4.102706E-4</v>
      </c>
      <c r="P193">
        <v>0.99883869999999997</v>
      </c>
      <c r="Q193">
        <v>4.761191E-2</v>
      </c>
      <c r="R193">
        <v>-7.3722309999999999E-3</v>
      </c>
      <c r="S193">
        <v>3.004578</v>
      </c>
      <c r="T193">
        <v>-8.4045289999999995E-2</v>
      </c>
      <c r="U193">
        <v>-0.48001100000000002</v>
      </c>
      <c r="V193">
        <v>6.9556050000000001E-3</v>
      </c>
      <c r="W193">
        <v>5.4823860000000002E-2</v>
      </c>
      <c r="X193">
        <v>0.99847180000000002</v>
      </c>
      <c r="Y193">
        <v>0.1572943</v>
      </c>
      <c r="Z193">
        <v>-2.1742689999999999E-3</v>
      </c>
      <c r="AA193">
        <v>0.98754940000000002</v>
      </c>
      <c r="AB193">
        <v>15</v>
      </c>
      <c r="AC193">
        <v>41.317500000000003</v>
      </c>
      <c r="AD193">
        <v>-1.1598930000000001</v>
      </c>
      <c r="AE193">
        <v>-6.6246999999999598</v>
      </c>
      <c r="AF193">
        <v>6.6026746538432599</v>
      </c>
      <c r="AG193">
        <v>-1.1598930000000001</v>
      </c>
      <c r="AH193">
        <v>41.288491593120597</v>
      </c>
      <c r="AI193">
        <v>91.5889743710853</v>
      </c>
      <c r="AJ193">
        <v>80.914437187931597</v>
      </c>
      <c r="AK193">
        <v>41.829178839550998</v>
      </c>
      <c r="AL193">
        <v>86.857248479600102</v>
      </c>
      <c r="AM193">
        <v>89.600869685060999</v>
      </c>
      <c r="AN193">
        <v>0.99999998573072701</v>
      </c>
    </row>
    <row r="194" spans="1:40" x14ac:dyDescent="0.25">
      <c r="A194" t="str">
        <f>"20190312150949832"</f>
        <v>20190312150949832</v>
      </c>
      <c r="B194" t="str">
        <f>"1552374589820846"</f>
        <v>1552374589820846</v>
      </c>
      <c r="C194" t="s">
        <v>40</v>
      </c>
      <c r="D194">
        <v>4.9781969999999998</v>
      </c>
      <c r="E194">
        <v>0.55848599999999904</v>
      </c>
      <c r="F194" t="s">
        <v>43</v>
      </c>
      <c r="G194">
        <v>-421.31290000000001</v>
      </c>
      <c r="H194">
        <v>-0.05</v>
      </c>
      <c r="I194">
        <v>360.44690000000003</v>
      </c>
      <c r="J194">
        <v>-462.58229999999998</v>
      </c>
      <c r="K194">
        <v>1.1098980000000001</v>
      </c>
      <c r="L194">
        <v>367.15629999999999</v>
      </c>
      <c r="M194">
        <v>0.99997369999999997</v>
      </c>
      <c r="N194">
        <v>0</v>
      </c>
      <c r="O194">
        <v>-3.1644680000000001E-4</v>
      </c>
      <c r="P194">
        <v>0.99884130000000004</v>
      </c>
      <c r="Q194">
        <v>4.7530790000000003E-2</v>
      </c>
      <c r="R194">
        <v>-7.5553879999999997E-3</v>
      </c>
      <c r="S194">
        <v>3.003876</v>
      </c>
      <c r="T194">
        <v>-8.4248779999999995E-2</v>
      </c>
      <c r="U194">
        <v>-0.48733520000000002</v>
      </c>
      <c r="V194">
        <v>7.2323369999999897E-3</v>
      </c>
      <c r="W194">
        <v>5.4775299999999999E-2</v>
      </c>
      <c r="X194">
        <v>0.99847249999999999</v>
      </c>
      <c r="Y194">
        <v>0.1597682</v>
      </c>
      <c r="Z194">
        <v>-2.2166880000000001E-3</v>
      </c>
      <c r="AA194">
        <v>0.98715209999999998</v>
      </c>
      <c r="AB194">
        <v>15</v>
      </c>
      <c r="AC194">
        <v>41.269399999999898</v>
      </c>
      <c r="AD194">
        <v>-1.1598979999999901</v>
      </c>
      <c r="AE194">
        <v>-6.7093999999999596</v>
      </c>
      <c r="AF194">
        <v>6.6911903475001004</v>
      </c>
      <c r="AG194">
        <v>-1.1598979999999901</v>
      </c>
      <c r="AH194">
        <v>41.239783857599697</v>
      </c>
      <c r="AI194">
        <v>91.590274089733796</v>
      </c>
      <c r="AJ194">
        <v>80.784021799237706</v>
      </c>
      <c r="AK194">
        <v>41.795181112879803</v>
      </c>
      <c r="AL194">
        <v>86.860034952832606</v>
      </c>
      <c r="AM194">
        <v>89.584990934422393</v>
      </c>
      <c r="AN194">
        <v>0.99999998672240997</v>
      </c>
    </row>
    <row r="195" spans="1:40" x14ac:dyDescent="0.25">
      <c r="A195" t="str">
        <f>"20190312150949854"</f>
        <v>20190312150949854</v>
      </c>
      <c r="B195" t="str">
        <f>"1552374589851100"</f>
        <v>1552374589851100</v>
      </c>
      <c r="C195" t="s">
        <v>40</v>
      </c>
      <c r="D195">
        <v>4.9972659999999998</v>
      </c>
      <c r="E195">
        <v>0.55960750000000004</v>
      </c>
      <c r="F195" t="s">
        <v>43</v>
      </c>
      <c r="G195">
        <v>-421.13029999999998</v>
      </c>
      <c r="H195">
        <v>-0.05</v>
      </c>
      <c r="I195">
        <v>360.38560000000001</v>
      </c>
      <c r="J195">
        <v>-462.44740000000002</v>
      </c>
      <c r="K195">
        <v>1.1099060000000001</v>
      </c>
      <c r="L195">
        <v>367.15649999999999</v>
      </c>
      <c r="M195">
        <v>0.99997329999999995</v>
      </c>
      <c r="N195">
        <v>0</v>
      </c>
      <c r="O195">
        <v>-1.6999610000000001E-4</v>
      </c>
      <c r="P195">
        <v>0.99882459999999995</v>
      </c>
      <c r="Q195">
        <v>4.7771899999999999E-2</v>
      </c>
      <c r="R195">
        <v>-8.2202290000000008E-3</v>
      </c>
      <c r="S195">
        <v>3.0037539999999998</v>
      </c>
      <c r="T195">
        <v>-8.4050180000000002E-2</v>
      </c>
      <c r="U195">
        <v>-0.49063109999999999</v>
      </c>
      <c r="V195">
        <v>8.0432439999999997E-3</v>
      </c>
      <c r="W195">
        <v>5.5067159999999997E-2</v>
      </c>
      <c r="X195">
        <v>0.99845030000000001</v>
      </c>
      <c r="Y195">
        <v>0.16097400000000001</v>
      </c>
      <c r="Z195">
        <v>-2.2321849999999998E-3</v>
      </c>
      <c r="AA195">
        <v>0.9869561</v>
      </c>
      <c r="AB195">
        <v>15</v>
      </c>
      <c r="AC195">
        <v>41.317100000000003</v>
      </c>
      <c r="AD195">
        <v>-1.1599059999999899</v>
      </c>
      <c r="AE195">
        <v>-6.7708999999999797</v>
      </c>
      <c r="AF195">
        <v>6.75868869663572</v>
      </c>
      <c r="AG195">
        <v>-1.1599059999999899</v>
      </c>
      <c r="AH195">
        <v>41.286563153482298</v>
      </c>
      <c r="AI195">
        <v>91.588118417675801</v>
      </c>
      <c r="AJ195">
        <v>80.703034589515298</v>
      </c>
      <c r="AK195">
        <v>41.852186942301401</v>
      </c>
      <c r="AL195">
        <v>86.843287509119307</v>
      </c>
      <c r="AM195">
        <v>89.538450770761798</v>
      </c>
      <c r="AN195">
        <v>1.00000004372729</v>
      </c>
    </row>
    <row r="196" spans="1:40" x14ac:dyDescent="0.25">
      <c r="A196" t="str">
        <f>"20190312150949875"</f>
        <v>20190312150949875</v>
      </c>
      <c r="B196" t="str">
        <f>"1552374589870621"</f>
        <v>1552374589870621</v>
      </c>
      <c r="C196" t="s">
        <v>40</v>
      </c>
      <c r="D196">
        <v>4.9884440000000003</v>
      </c>
      <c r="E196">
        <v>0.56023669999999903</v>
      </c>
      <c r="F196" t="s">
        <v>43</v>
      </c>
      <c r="G196">
        <v>-420.51949999999999</v>
      </c>
      <c r="H196">
        <v>-0.05</v>
      </c>
      <c r="I196">
        <v>360.15249999999997</v>
      </c>
      <c r="J196">
        <v>-462.30169999999998</v>
      </c>
      <c r="K196">
        <v>1.1099159999999999</v>
      </c>
      <c r="L196">
        <v>367.15660000000003</v>
      </c>
      <c r="M196">
        <v>0.99997309999999995</v>
      </c>
      <c r="N196">
        <v>0</v>
      </c>
      <c r="O196" s="1">
        <v>-1.1341929999999999E-5</v>
      </c>
      <c r="P196">
        <v>0.99879739999999995</v>
      </c>
      <c r="Q196">
        <v>4.8260230000000001E-2</v>
      </c>
      <c r="R196">
        <v>-8.6594979999999998E-3</v>
      </c>
      <c r="S196">
        <v>3.0033569999999998</v>
      </c>
      <c r="T196">
        <v>-8.3085889999999996E-2</v>
      </c>
      <c r="U196">
        <v>-0.50170899999999996</v>
      </c>
      <c r="V196">
        <v>8.6411230000000006E-3</v>
      </c>
      <c r="W196">
        <v>5.5608970000000001E-2</v>
      </c>
      <c r="X196">
        <v>0.99841519999999995</v>
      </c>
      <c r="Y196">
        <v>0.1646938</v>
      </c>
      <c r="Z196">
        <v>-2.2616630000000001E-3</v>
      </c>
      <c r="AA196">
        <v>0.9863421</v>
      </c>
      <c r="AB196">
        <v>15</v>
      </c>
      <c r="AC196">
        <v>41.782199999999897</v>
      </c>
      <c r="AD196">
        <v>-1.1599159999999999</v>
      </c>
      <c r="AE196">
        <v>-7.00410000000005</v>
      </c>
      <c r="AF196">
        <v>6.9983800486798904</v>
      </c>
      <c r="AG196">
        <v>-1.1599159999999999</v>
      </c>
      <c r="AH196">
        <v>41.7509825351638</v>
      </c>
      <c r="AI196">
        <v>91.569483512604606</v>
      </c>
      <c r="AJ196">
        <v>80.484433054357694</v>
      </c>
      <c r="AK196">
        <v>42.349347941666998</v>
      </c>
      <c r="AL196">
        <v>86.812196203952695</v>
      </c>
      <c r="AM196">
        <v>89.504126623187105</v>
      </c>
      <c r="AN196">
        <v>0.9999999690711</v>
      </c>
    </row>
    <row r="197" spans="1:40" x14ac:dyDescent="0.25">
      <c r="A197" t="str">
        <f>"20190312150949897"</f>
        <v>20190312150949897</v>
      </c>
      <c r="B197" t="str">
        <f>"1552374589891117"</f>
        <v>1552374589891117</v>
      </c>
      <c r="C197" t="s">
        <v>40</v>
      </c>
      <c r="D197">
        <v>4.9757300000000004</v>
      </c>
      <c r="E197">
        <v>0.56088850000000001</v>
      </c>
      <c r="F197" t="s">
        <v>43</v>
      </c>
      <c r="G197">
        <v>-419.23329999999999</v>
      </c>
      <c r="H197">
        <v>-0.05</v>
      </c>
      <c r="I197">
        <v>359.8741</v>
      </c>
      <c r="J197">
        <v>-462.15300000000002</v>
      </c>
      <c r="K197">
        <v>1.109928</v>
      </c>
      <c r="L197">
        <v>367.15679999999998</v>
      </c>
      <c r="M197">
        <v>0.99997250000000004</v>
      </c>
      <c r="N197">
        <v>0</v>
      </c>
      <c r="O197">
        <v>1.5028829999999999E-4</v>
      </c>
      <c r="P197">
        <v>0.99880679999999999</v>
      </c>
      <c r="Q197">
        <v>4.8067720000000001E-2</v>
      </c>
      <c r="R197">
        <v>-8.6381329999999992E-3</v>
      </c>
      <c r="S197">
        <v>3.0031430000000001</v>
      </c>
      <c r="T197">
        <v>-8.0880519999999997E-2</v>
      </c>
      <c r="U197">
        <v>-0.5078125</v>
      </c>
      <c r="V197">
        <v>8.7810509999999998E-3</v>
      </c>
      <c r="W197">
        <v>5.5471369999999999E-2</v>
      </c>
      <c r="X197">
        <v>0.99842169999999997</v>
      </c>
      <c r="Y197">
        <v>0.1668162</v>
      </c>
      <c r="Z197">
        <v>-2.234134E-3</v>
      </c>
      <c r="AA197">
        <v>0.98598549999999996</v>
      </c>
      <c r="AB197">
        <v>15</v>
      </c>
      <c r="AC197">
        <v>42.919699999999999</v>
      </c>
      <c r="AD197">
        <v>-1.1599280000000001</v>
      </c>
      <c r="AE197">
        <v>-7.28269999999997</v>
      </c>
      <c r="AF197">
        <v>7.2839792416167501</v>
      </c>
      <c r="AG197">
        <v>-1.1599280000000001</v>
      </c>
      <c r="AH197">
        <v>42.888156997870198</v>
      </c>
      <c r="AI197">
        <v>91.527349852568406</v>
      </c>
      <c r="AJ197">
        <v>80.361053474849399</v>
      </c>
      <c r="AK197">
        <v>43.517764157082503</v>
      </c>
      <c r="AL197">
        <v>86.820092502543204</v>
      </c>
      <c r="AM197">
        <v>89.496100505012507</v>
      </c>
      <c r="AN197">
        <v>1.00000003538861</v>
      </c>
    </row>
    <row r="198" spans="1:40" x14ac:dyDescent="0.25">
      <c r="A198" t="str">
        <f>"20190312150949910"</f>
        <v>20190312150949910</v>
      </c>
      <c r="B198" t="str">
        <f>"1552374589900877"</f>
        <v>1552374589900877</v>
      </c>
      <c r="C198" t="s">
        <v>40</v>
      </c>
      <c r="D198">
        <v>4.9296680000000004</v>
      </c>
      <c r="E198">
        <v>0.56122700000000003</v>
      </c>
      <c r="F198" t="s">
        <v>43</v>
      </c>
      <c r="G198">
        <v>-419.97669999999999</v>
      </c>
      <c r="H198">
        <v>-0.05</v>
      </c>
      <c r="I198">
        <v>359.94749999999999</v>
      </c>
      <c r="J198">
        <v>-462.06760000000003</v>
      </c>
      <c r="K198">
        <v>1.1099330000000001</v>
      </c>
      <c r="L198">
        <v>367.15690000000001</v>
      </c>
      <c r="M198">
        <v>0.99997219999999998</v>
      </c>
      <c r="N198">
        <v>0</v>
      </c>
      <c r="O198">
        <v>2.425548E-4</v>
      </c>
      <c r="P198">
        <v>0.99882099999999996</v>
      </c>
      <c r="Q198">
        <v>4.7737750000000002E-2</v>
      </c>
      <c r="R198">
        <v>-8.8187379999999996E-3</v>
      </c>
      <c r="S198">
        <v>3.0031430000000001</v>
      </c>
      <c r="T198">
        <v>-8.2592250000000006E-2</v>
      </c>
      <c r="U198">
        <v>-0.51333620000000002</v>
      </c>
      <c r="V198">
        <v>9.0537099999999995E-3</v>
      </c>
      <c r="W198">
        <v>5.5175710000000003E-2</v>
      </c>
      <c r="X198">
        <v>0.99843559999999998</v>
      </c>
      <c r="Y198">
        <v>0.16866629999999999</v>
      </c>
      <c r="Z198">
        <v>-2.308821E-3</v>
      </c>
      <c r="AA198">
        <v>0.9856705</v>
      </c>
      <c r="AB198">
        <v>15</v>
      </c>
      <c r="AC198">
        <v>42.090899999999998</v>
      </c>
      <c r="AD198">
        <v>-1.1599330000000001</v>
      </c>
      <c r="AE198">
        <v>-7.2094000000000102</v>
      </c>
      <c r="AF198">
        <v>7.2142868065626002</v>
      </c>
      <c r="AG198">
        <v>-1.1599330000000001</v>
      </c>
      <c r="AH198">
        <v>42.058120059576297</v>
      </c>
      <c r="AI198">
        <v>91.557047334396401</v>
      </c>
      <c r="AJ198">
        <v>80.266699966762204</v>
      </c>
      <c r="AK198">
        <v>42.6881346703925</v>
      </c>
      <c r="AL198">
        <v>86.837058405960505</v>
      </c>
      <c r="AM198">
        <v>89.480462080323093</v>
      </c>
      <c r="AN198">
        <v>0.999999987993064</v>
      </c>
    </row>
    <row r="199" spans="1:40" x14ac:dyDescent="0.25">
      <c r="A199" t="str">
        <f>"20190312150949933"</f>
        <v>20190312150949933</v>
      </c>
      <c r="B199" t="str">
        <f>"1552374589921376"</f>
        <v>1552374589921376</v>
      </c>
      <c r="C199" t="s">
        <v>40</v>
      </c>
      <c r="D199">
        <v>5.0659260000000002</v>
      </c>
      <c r="E199">
        <v>0.56179460000000003</v>
      </c>
      <c r="F199" t="s">
        <v>43</v>
      </c>
      <c r="G199">
        <v>-421.03210000000001</v>
      </c>
      <c r="H199">
        <v>-0.05</v>
      </c>
      <c r="I199">
        <v>360.10230000000001</v>
      </c>
      <c r="J199">
        <v>-461.9196</v>
      </c>
      <c r="K199">
        <v>1.1099460000000001</v>
      </c>
      <c r="L199">
        <v>367.15719999999999</v>
      </c>
      <c r="M199">
        <v>0.99997179999999997</v>
      </c>
      <c r="N199">
        <v>0</v>
      </c>
      <c r="O199">
        <v>4.0331509999999999E-4</v>
      </c>
      <c r="P199">
        <v>0.99880570000000002</v>
      </c>
      <c r="Q199">
        <v>4.796081E-2</v>
      </c>
      <c r="R199">
        <v>-9.3443120000000005E-3</v>
      </c>
      <c r="S199">
        <v>3.0030209999999999</v>
      </c>
      <c r="T199">
        <v>-8.4885119999999994E-2</v>
      </c>
      <c r="U199">
        <v>-0.51626590000000006</v>
      </c>
      <c r="V199">
        <v>9.7398659999999998E-3</v>
      </c>
      <c r="W199">
        <v>5.5462320000000002E-2</v>
      </c>
      <c r="X199">
        <v>0.99841329999999995</v>
      </c>
      <c r="Y199">
        <v>0.16976140000000001</v>
      </c>
      <c r="Z199">
        <v>-2.3926659999999999E-3</v>
      </c>
      <c r="AA199">
        <v>0.98548230000000003</v>
      </c>
      <c r="AB199">
        <v>15</v>
      </c>
      <c r="AC199">
        <v>40.887499999999903</v>
      </c>
      <c r="AD199">
        <v>-1.1599459999999999</v>
      </c>
      <c r="AE199">
        <v>-7.0548999999999698</v>
      </c>
      <c r="AF199">
        <v>7.0658681475221803</v>
      </c>
      <c r="AG199">
        <v>-1.1599459999999999</v>
      </c>
      <c r="AH199">
        <v>40.852723036486999</v>
      </c>
      <c r="AI199">
        <v>91.602601052141395</v>
      </c>
      <c r="AJ199">
        <v>80.187229486180001</v>
      </c>
      <c r="AK199">
        <v>41.475498151282103</v>
      </c>
      <c r="AL199">
        <v>86.820611798214301</v>
      </c>
      <c r="AM199">
        <v>89.441077644769194</v>
      </c>
      <c r="AN199">
        <v>1.00000002577318</v>
      </c>
    </row>
    <row r="200" spans="1:40" x14ac:dyDescent="0.25">
      <c r="A200" t="str">
        <f>"20190312150949955"</f>
        <v>20190312150949955</v>
      </c>
      <c r="B200" t="str">
        <f>"1552374589950653"</f>
        <v>1552374589950653</v>
      </c>
      <c r="C200" t="s">
        <v>40</v>
      </c>
      <c r="D200">
        <v>4.9880370000000003</v>
      </c>
      <c r="E200">
        <v>0.56242689999999995</v>
      </c>
      <c r="F200" t="s">
        <v>43</v>
      </c>
      <c r="G200">
        <v>-420.28</v>
      </c>
      <c r="H200">
        <v>-0.05</v>
      </c>
      <c r="I200">
        <v>359.916</v>
      </c>
      <c r="J200">
        <v>-461.76639999999998</v>
      </c>
      <c r="K200">
        <v>1.109961</v>
      </c>
      <c r="L200">
        <v>367.1574</v>
      </c>
      <c r="M200">
        <v>0.99997119999999995</v>
      </c>
      <c r="N200">
        <v>0</v>
      </c>
      <c r="O200">
        <v>5.6922039999999998E-4</v>
      </c>
      <c r="P200">
        <v>0.99876240000000005</v>
      </c>
      <c r="Q200">
        <v>4.8742969999999997E-2</v>
      </c>
      <c r="R200">
        <v>-9.9017010000000006E-3</v>
      </c>
      <c r="S200">
        <v>3.002777</v>
      </c>
      <c r="T200">
        <v>-8.3647849999999996E-2</v>
      </c>
      <c r="U200">
        <v>-0.52218629999999999</v>
      </c>
      <c r="V200">
        <v>1.046264E-2</v>
      </c>
      <c r="W200">
        <v>5.6318809999999997E-2</v>
      </c>
      <c r="X200">
        <v>0.99835799999999997</v>
      </c>
      <c r="Y200">
        <v>0.1718256</v>
      </c>
      <c r="Z200">
        <v>-2.3907189999999999E-3</v>
      </c>
      <c r="AA200">
        <v>0.98512449999999996</v>
      </c>
      <c r="AB200">
        <v>15</v>
      </c>
      <c r="AC200">
        <v>41.486400000000003</v>
      </c>
      <c r="AD200">
        <v>-1.159961</v>
      </c>
      <c r="AE200">
        <v>-7.2413999999999898</v>
      </c>
      <c r="AF200">
        <v>7.2595069882654499</v>
      </c>
      <c r="AG200">
        <v>-1.159961</v>
      </c>
      <c r="AH200">
        <v>41.450824568146203</v>
      </c>
      <c r="AI200">
        <v>91.578928864680293</v>
      </c>
      <c r="AJ200">
        <v>80.066227010689602</v>
      </c>
      <c r="AK200">
        <v>42.097705502953801</v>
      </c>
      <c r="AL200">
        <v>86.771461579720807</v>
      </c>
      <c r="AM200">
        <v>89.399570925309305</v>
      </c>
      <c r="AN200">
        <v>0.99999998567979198</v>
      </c>
    </row>
    <row r="201" spans="1:40" x14ac:dyDescent="0.25">
      <c r="A201" t="str">
        <f>"20190312150949977"</f>
        <v>20190312150949977</v>
      </c>
      <c r="B201" t="str">
        <f>"1552374589971149"</f>
        <v>1552374589971149</v>
      </c>
      <c r="C201" t="s">
        <v>40</v>
      </c>
      <c r="D201">
        <v>4.9269759999999998</v>
      </c>
      <c r="E201">
        <v>0.56257270000000004</v>
      </c>
      <c r="F201" t="s">
        <v>43</v>
      </c>
      <c r="G201">
        <v>-417.00819999999999</v>
      </c>
      <c r="H201">
        <v>-0.05</v>
      </c>
      <c r="I201">
        <v>359.27289999999999</v>
      </c>
      <c r="J201">
        <v>-461.61959999999999</v>
      </c>
      <c r="K201">
        <v>1.10997099999999</v>
      </c>
      <c r="L201">
        <v>367.15769999999998</v>
      </c>
      <c r="M201">
        <v>0.99997040000000004</v>
      </c>
      <c r="N201">
        <v>0</v>
      </c>
      <c r="O201">
        <v>7.2831640000000004E-4</v>
      </c>
      <c r="P201">
        <v>0.99878869999999997</v>
      </c>
      <c r="Q201">
        <v>4.8221439999999997E-2</v>
      </c>
      <c r="R201">
        <v>-9.8009550000000001E-3</v>
      </c>
      <c r="S201">
        <v>3.0022579999999999</v>
      </c>
      <c r="T201">
        <v>-7.7807189999999998E-2</v>
      </c>
      <c r="U201">
        <v>-0.52886959999999905</v>
      </c>
      <c r="V201">
        <v>1.052088E-2</v>
      </c>
      <c r="W201">
        <v>5.5875099999999997E-2</v>
      </c>
      <c r="X201">
        <v>0.99838229999999994</v>
      </c>
      <c r="Y201">
        <v>0.17414640000000001</v>
      </c>
      <c r="Z201">
        <v>-2.257729E-3</v>
      </c>
      <c r="AA201">
        <v>0.98471719999999896</v>
      </c>
      <c r="AB201">
        <v>15</v>
      </c>
      <c r="AC201">
        <v>44.611400000000003</v>
      </c>
      <c r="AD201">
        <v>-1.1599710000000001</v>
      </c>
      <c r="AE201">
        <v>-7.8847999999999798</v>
      </c>
      <c r="AF201">
        <v>7.91210284754795</v>
      </c>
      <c r="AG201">
        <v>-1.1599710000000001</v>
      </c>
      <c r="AH201">
        <v>44.5764207647712</v>
      </c>
      <c r="AI201">
        <v>91.467688823207695</v>
      </c>
      <c r="AJ201">
        <v>79.935094614585594</v>
      </c>
      <c r="AK201">
        <v>45.288013782776297</v>
      </c>
      <c r="AL201">
        <v>86.796924324215198</v>
      </c>
      <c r="AM201">
        <v>89.396243594313802</v>
      </c>
      <c r="AN201">
        <v>0.99999996633463595</v>
      </c>
    </row>
    <row r="202" spans="1:40" x14ac:dyDescent="0.25">
      <c r="A202" t="str">
        <f>"20190312150949999"</f>
        <v>20190312150949999</v>
      </c>
      <c r="B202" t="str">
        <f>"1552374589990669"</f>
        <v>1552374589990669</v>
      </c>
      <c r="C202" t="s">
        <v>40</v>
      </c>
      <c r="D202">
        <v>4.972251</v>
      </c>
      <c r="E202">
        <v>0.56301299999999999</v>
      </c>
      <c r="F202" t="s">
        <v>43</v>
      </c>
      <c r="G202">
        <v>-417.33359999999999</v>
      </c>
      <c r="H202">
        <v>-0.05</v>
      </c>
      <c r="I202">
        <v>359.34500000000003</v>
      </c>
      <c r="J202">
        <v>-461.46850000000001</v>
      </c>
      <c r="K202">
        <v>1.1099829999999999</v>
      </c>
      <c r="L202">
        <v>367.15800000000002</v>
      </c>
      <c r="M202">
        <v>0.99996969999999996</v>
      </c>
      <c r="N202">
        <v>0</v>
      </c>
      <c r="O202">
        <v>8.9233409999999998E-4</v>
      </c>
      <c r="P202">
        <v>0.99880469999999999</v>
      </c>
      <c r="Q202">
        <v>4.7924370000000001E-2</v>
      </c>
      <c r="R202">
        <v>-9.6290890000000004E-3</v>
      </c>
      <c r="S202">
        <v>3.0022280000000001</v>
      </c>
      <c r="T202">
        <v>-7.8636529999999996E-2</v>
      </c>
      <c r="U202">
        <v>-0.52963260000000001</v>
      </c>
      <c r="V202">
        <v>1.051268E-2</v>
      </c>
      <c r="W202">
        <v>5.5659899999999998E-2</v>
      </c>
      <c r="X202">
        <v>0.99839440000000002</v>
      </c>
      <c r="Y202">
        <v>0.17455090000000001</v>
      </c>
      <c r="Z202">
        <v>-2.2912779999999999E-3</v>
      </c>
      <c r="AA202">
        <v>0.98464549999999995</v>
      </c>
      <c r="AB202">
        <v>15</v>
      </c>
      <c r="AC202">
        <v>44.134900000000002</v>
      </c>
      <c r="AD202">
        <v>-1.159983</v>
      </c>
      <c r="AE202">
        <v>-7.8129999999999802</v>
      </c>
      <c r="AF202">
        <v>7.8471252259384698</v>
      </c>
      <c r="AG202">
        <v>-1.159983</v>
      </c>
      <c r="AH202">
        <v>44.098373812305297</v>
      </c>
      <c r="AI202">
        <v>91.483492392614195</v>
      </c>
      <c r="AJ202">
        <v>79.910064187375795</v>
      </c>
      <c r="AK202">
        <v>44.806132479401299</v>
      </c>
      <c r="AL202">
        <v>86.809273572509497</v>
      </c>
      <c r="AM202">
        <v>89.396721439720693</v>
      </c>
      <c r="AN202">
        <v>0.99999995943007502</v>
      </c>
    </row>
    <row r="203" spans="1:40" x14ac:dyDescent="0.25">
      <c r="A203" t="str">
        <f>"20190312150950032"</f>
        <v>20190312150950032</v>
      </c>
      <c r="B203" t="str">
        <f>"1552374590020925"</f>
        <v>1552374590020925</v>
      </c>
      <c r="C203" t="s">
        <v>40</v>
      </c>
      <c r="D203">
        <v>4.9714359999999997</v>
      </c>
      <c r="E203">
        <v>0.56351619999999902</v>
      </c>
      <c r="F203" t="s">
        <v>43</v>
      </c>
      <c r="G203">
        <v>-418.56389999999999</v>
      </c>
      <c r="H203">
        <v>-0.05</v>
      </c>
      <c r="I203">
        <v>359.54410000000001</v>
      </c>
      <c r="J203">
        <v>-461.23970000000003</v>
      </c>
      <c r="K203">
        <v>1.1100049999999999</v>
      </c>
      <c r="L203">
        <v>367.1585</v>
      </c>
      <c r="M203">
        <v>0.99996850000000004</v>
      </c>
      <c r="N203">
        <v>0</v>
      </c>
      <c r="O203">
        <v>1.1397320000000001E-3</v>
      </c>
      <c r="P203">
        <v>0.99876310000000001</v>
      </c>
      <c r="Q203">
        <v>4.8889879999999997E-2</v>
      </c>
      <c r="R203">
        <v>-9.0565160000000006E-3</v>
      </c>
      <c r="S203">
        <v>3.00238</v>
      </c>
      <c r="T203">
        <v>-8.1173419999999996E-2</v>
      </c>
      <c r="U203">
        <v>-0.53280640000000001</v>
      </c>
      <c r="V203">
        <v>1.0187170000000001E-2</v>
      </c>
      <c r="W203">
        <v>5.6756809999999998E-2</v>
      </c>
      <c r="X203">
        <v>0.99833609999999995</v>
      </c>
      <c r="Y203">
        <v>0.17579069999999999</v>
      </c>
      <c r="Z203">
        <v>-2.3881010000000001E-3</v>
      </c>
      <c r="AA203">
        <v>0.98442470000000004</v>
      </c>
      <c r="AB203">
        <v>15</v>
      </c>
      <c r="AC203">
        <v>42.675800000000002</v>
      </c>
      <c r="AD203">
        <v>-1.160005</v>
      </c>
      <c r="AE203">
        <v>-7.6143999999999803</v>
      </c>
      <c r="AF203">
        <v>7.6575523055127501</v>
      </c>
      <c r="AG203">
        <v>-1.160005</v>
      </c>
      <c r="AH203">
        <v>42.636563537934997</v>
      </c>
      <c r="AI203">
        <v>91.533920096312599</v>
      </c>
      <c r="AJ203">
        <v>79.818193698747805</v>
      </c>
      <c r="AK203">
        <v>43.334285147398703</v>
      </c>
      <c r="AL203">
        <v>86.746326003014005</v>
      </c>
      <c r="AM203">
        <v>89.415365637993204</v>
      </c>
      <c r="AN203">
        <v>1.0000000412385901</v>
      </c>
    </row>
    <row r="204" spans="1:40" x14ac:dyDescent="0.25">
      <c r="A204" t="str">
        <f>"20190312150950054"</f>
        <v>20190312150950054</v>
      </c>
      <c r="B204" t="str">
        <f>"1552374590051181"</f>
        <v>1552374590051181</v>
      </c>
      <c r="C204" t="s">
        <v>40</v>
      </c>
      <c r="D204">
        <v>4.9020169999999998</v>
      </c>
      <c r="E204">
        <v>0.56407369999999901</v>
      </c>
      <c r="F204" t="s">
        <v>43</v>
      </c>
      <c r="G204">
        <v>-417.00810000000001</v>
      </c>
      <c r="H204">
        <v>-0.05</v>
      </c>
      <c r="I204">
        <v>359.27859999999998</v>
      </c>
      <c r="J204">
        <v>-461.09</v>
      </c>
      <c r="K204">
        <v>1.1100179999999999</v>
      </c>
      <c r="L204">
        <v>367.15879999999999</v>
      </c>
      <c r="M204">
        <v>0.99996739999999995</v>
      </c>
      <c r="N204">
        <v>0</v>
      </c>
      <c r="O204">
        <v>1.3021230000000001E-3</v>
      </c>
      <c r="P204">
        <v>0.99872519999999998</v>
      </c>
      <c r="Q204">
        <v>4.9705449999999998E-2</v>
      </c>
      <c r="R204">
        <v>-8.7822179999999996E-3</v>
      </c>
      <c r="S204">
        <v>3.0027469999999998</v>
      </c>
      <c r="T204">
        <v>-7.8749299999999994E-2</v>
      </c>
      <c r="U204">
        <v>-0.53494259999999905</v>
      </c>
      <c r="V204">
        <v>1.007482E-2</v>
      </c>
      <c r="W204">
        <v>5.7657029999999998E-2</v>
      </c>
      <c r="X204">
        <v>0.9982856</v>
      </c>
      <c r="Y204">
        <v>0.1766122</v>
      </c>
      <c r="Z204">
        <v>-2.331297E-3</v>
      </c>
      <c r="AA204">
        <v>0.98427779999999998</v>
      </c>
      <c r="AB204">
        <v>15</v>
      </c>
      <c r="AC204">
        <v>44.081899999999898</v>
      </c>
      <c r="AD204">
        <v>-1.160018</v>
      </c>
      <c r="AE204">
        <v>-7.8802000000000003</v>
      </c>
      <c r="AF204">
        <v>7.9322723351779203</v>
      </c>
      <c r="AG204">
        <v>-1.160018</v>
      </c>
      <c r="AH204">
        <v>44.042047389303299</v>
      </c>
      <c r="AI204">
        <v>91.484877165120395</v>
      </c>
      <c r="AJ204">
        <v>79.790099094846298</v>
      </c>
      <c r="AK204">
        <v>44.765707013308699</v>
      </c>
      <c r="AL204">
        <v>86.694662410786904</v>
      </c>
      <c r="AM204">
        <v>89.421783636949996</v>
      </c>
      <c r="AN204">
        <v>0.99999998713690597</v>
      </c>
    </row>
    <row r="205" spans="1:40" x14ac:dyDescent="0.25">
      <c r="A205" t="str">
        <f>"20190312150950076"</f>
        <v>20190312150950076</v>
      </c>
      <c r="B205" t="str">
        <f>"1552374590070701"</f>
        <v>1552374590070701</v>
      </c>
      <c r="C205" t="s">
        <v>40</v>
      </c>
      <c r="D205">
        <v>5.0261909999999999</v>
      </c>
      <c r="E205">
        <v>0.56441869999999905</v>
      </c>
      <c r="F205" t="s">
        <v>43</v>
      </c>
      <c r="G205">
        <v>-416.03919999999999</v>
      </c>
      <c r="H205">
        <v>-0.05</v>
      </c>
      <c r="I205">
        <v>359.0804</v>
      </c>
      <c r="J205">
        <v>-460.93939999999998</v>
      </c>
      <c r="K205">
        <v>1.1100380000000001</v>
      </c>
      <c r="L205">
        <v>367.1592</v>
      </c>
      <c r="M205">
        <v>0.99996669999999999</v>
      </c>
      <c r="N205">
        <v>0</v>
      </c>
      <c r="O205">
        <v>1.4650659999999999E-3</v>
      </c>
      <c r="P205">
        <v>0.99868089999999998</v>
      </c>
      <c r="Q205">
        <v>5.0724079999999998E-2</v>
      </c>
      <c r="R205">
        <v>-8.0023769999999998E-3</v>
      </c>
      <c r="S205">
        <v>3.0029300000000001</v>
      </c>
      <c r="T205">
        <v>-7.7322719999999998E-2</v>
      </c>
      <c r="U205">
        <v>-0.53848269999999998</v>
      </c>
      <c r="V205">
        <v>9.4572509999999999E-3</v>
      </c>
      <c r="W205">
        <v>5.8754750000000001E-2</v>
      </c>
      <c r="X205">
        <v>0.99822770000000005</v>
      </c>
      <c r="Y205">
        <v>0.17788809999999999</v>
      </c>
      <c r="Z205">
        <v>-2.3091629999999999E-3</v>
      </c>
      <c r="AA205">
        <v>0.98404800000000003</v>
      </c>
      <c r="AB205">
        <v>15</v>
      </c>
      <c r="AC205">
        <v>44.900199999999899</v>
      </c>
      <c r="AD205">
        <v>-1.1600379999999999</v>
      </c>
      <c r="AE205">
        <v>-8.0787999999999993</v>
      </c>
      <c r="AF205">
        <v>8.1393126278351193</v>
      </c>
      <c r="AG205">
        <v>-1.1600379999999999</v>
      </c>
      <c r="AH205">
        <v>44.859311085562602</v>
      </c>
      <c r="AI205">
        <v>91.457521751196396</v>
      </c>
      <c r="AJ205">
        <v>79.716081263380602</v>
      </c>
      <c r="AK205">
        <v>45.6064895523253</v>
      </c>
      <c r="AL205">
        <v>86.631661085041799</v>
      </c>
      <c r="AM205">
        <v>89.457193627307802</v>
      </c>
      <c r="AN205">
        <v>1.0000000506456601</v>
      </c>
    </row>
    <row r="206" spans="1:40" x14ac:dyDescent="0.25">
      <c r="A206" t="str">
        <f>"20190312150950099"</f>
        <v>20190312150950099</v>
      </c>
      <c r="B206" t="str">
        <f>"1552374590091197"</f>
        <v>1552374590091197</v>
      </c>
      <c r="C206" t="s">
        <v>40</v>
      </c>
      <c r="D206">
        <v>4.9301529999999998</v>
      </c>
      <c r="E206">
        <v>0.56461749999999999</v>
      </c>
      <c r="F206" t="s">
        <v>43</v>
      </c>
      <c r="G206">
        <v>-413.44150000000002</v>
      </c>
      <c r="H206">
        <v>-0.05</v>
      </c>
      <c r="I206">
        <v>358.6345</v>
      </c>
      <c r="J206">
        <v>-460.78429999999997</v>
      </c>
      <c r="K206">
        <v>1.110052</v>
      </c>
      <c r="L206">
        <v>367.15960000000001</v>
      </c>
      <c r="M206">
        <v>0.99996569999999996</v>
      </c>
      <c r="N206">
        <v>0</v>
      </c>
      <c r="O206">
        <v>1.6322039999999999E-3</v>
      </c>
      <c r="P206">
        <v>0.99864280000000005</v>
      </c>
      <c r="Q206">
        <v>5.146891E-2</v>
      </c>
      <c r="R206">
        <v>-7.9674389999999998E-3</v>
      </c>
      <c r="S206">
        <v>3.0033569999999998</v>
      </c>
      <c r="T206">
        <v>-7.3350910000000005E-2</v>
      </c>
      <c r="U206">
        <v>-0.53903199999999996</v>
      </c>
      <c r="V206">
        <v>9.5891110000000009E-3</v>
      </c>
      <c r="W206">
        <v>5.9572989999999999E-2</v>
      </c>
      <c r="X206">
        <v>0.99817789999999995</v>
      </c>
      <c r="Y206">
        <v>0.17820829999999999</v>
      </c>
      <c r="Z206">
        <v>-2.1981700000000002E-3</v>
      </c>
      <c r="AA206">
        <v>0.98399029999999998</v>
      </c>
      <c r="AB206">
        <v>15</v>
      </c>
      <c r="AC206">
        <v>47.342799999999897</v>
      </c>
      <c r="AD206">
        <v>-1.1600520000000001</v>
      </c>
      <c r="AE206">
        <v>-8.5251000000000001</v>
      </c>
      <c r="AF206">
        <v>8.5973644884374103</v>
      </c>
      <c r="AG206">
        <v>-1.1600520000000001</v>
      </c>
      <c r="AH206">
        <v>47.301313622518997</v>
      </c>
      <c r="AI206">
        <v>91.382244738618795</v>
      </c>
      <c r="AJ206">
        <v>79.698523837649205</v>
      </c>
      <c r="AK206">
        <v>48.090276223012602</v>
      </c>
      <c r="AL206">
        <v>86.584696967683598</v>
      </c>
      <c r="AM206">
        <v>89.449598424085906</v>
      </c>
      <c r="AN206">
        <v>1.00000000611786</v>
      </c>
    </row>
    <row r="207" spans="1:40" x14ac:dyDescent="0.25">
      <c r="A207" t="str">
        <f>"20190312150950121"</f>
        <v>20190312150950121</v>
      </c>
      <c r="B207" t="str">
        <f>"1552374590110717"</f>
        <v>1552374590110717</v>
      </c>
      <c r="C207" t="s">
        <v>40</v>
      </c>
      <c r="D207">
        <v>4.9994449999999997</v>
      </c>
      <c r="E207">
        <v>0.56493470000000001</v>
      </c>
      <c r="F207" t="s">
        <v>43</v>
      </c>
      <c r="G207">
        <v>-409.738</v>
      </c>
      <c r="H207">
        <v>-0.05</v>
      </c>
      <c r="I207">
        <v>357.97609999999997</v>
      </c>
      <c r="J207">
        <v>-460.62369999999999</v>
      </c>
      <c r="K207">
        <v>1.110063</v>
      </c>
      <c r="L207">
        <v>367.1601</v>
      </c>
      <c r="M207">
        <v>0.99996499999999999</v>
      </c>
      <c r="N207">
        <v>0</v>
      </c>
      <c r="O207">
        <v>1.8046049999999999E-3</v>
      </c>
      <c r="P207">
        <v>0.9986024</v>
      </c>
      <c r="Q207">
        <v>5.2293409999999999E-2</v>
      </c>
      <c r="R207">
        <v>-7.6695280000000001E-3</v>
      </c>
      <c r="S207">
        <v>3.0033259999999999</v>
      </c>
      <c r="T207">
        <v>-6.8251969999999995E-2</v>
      </c>
      <c r="U207">
        <v>-0.54031370000000001</v>
      </c>
      <c r="V207">
        <v>9.4629929999999994E-3</v>
      </c>
      <c r="W207">
        <v>6.0464980000000002E-2</v>
      </c>
      <c r="X207">
        <v>0.99812540000000005</v>
      </c>
      <c r="Y207">
        <v>0.17879320000000001</v>
      </c>
      <c r="Z207">
        <v>-2.0558299999999998E-3</v>
      </c>
      <c r="AA207">
        <v>0.98388450000000005</v>
      </c>
      <c r="AB207">
        <v>15</v>
      </c>
      <c r="AC207">
        <v>50.8856999999999</v>
      </c>
      <c r="AD207">
        <v>-1.1600629999999901</v>
      </c>
      <c r="AE207">
        <v>-9.1840000000000206</v>
      </c>
      <c r="AF207">
        <v>9.2711502755631194</v>
      </c>
      <c r="AG207">
        <v>-1.1600629999999901</v>
      </c>
      <c r="AH207">
        <v>50.8434521980871</v>
      </c>
      <c r="AI207">
        <v>91.285859326895604</v>
      </c>
      <c r="AJ207">
        <v>79.665827549012903</v>
      </c>
      <c r="AK207">
        <v>51.694841183770102</v>
      </c>
      <c r="AL207">
        <v>86.533497167038007</v>
      </c>
      <c r="AM207">
        <v>89.456808416607799</v>
      </c>
      <c r="AN207">
        <v>0.99999993808403698</v>
      </c>
    </row>
    <row r="208" spans="1:40" x14ac:dyDescent="0.25">
      <c r="A208" t="str">
        <f>"20190312150950144"</f>
        <v>20190312150950144</v>
      </c>
      <c r="B208" t="str">
        <f>"1552374590140974"</f>
        <v>1552374590140974</v>
      </c>
      <c r="C208" t="s">
        <v>40</v>
      </c>
      <c r="D208">
        <v>4.92584</v>
      </c>
      <c r="E208">
        <v>0.56540630000000003</v>
      </c>
      <c r="F208" t="s">
        <v>43</v>
      </c>
      <c r="G208">
        <v>-407.03739999999999</v>
      </c>
      <c r="H208">
        <v>-0.05</v>
      </c>
      <c r="I208">
        <v>357.488</v>
      </c>
      <c r="J208">
        <v>-460.46280000000002</v>
      </c>
      <c r="K208">
        <v>1.1100730000000001</v>
      </c>
      <c r="L208">
        <v>367.16059999999999</v>
      </c>
      <c r="M208">
        <v>0.99996410000000002</v>
      </c>
      <c r="N208">
        <v>0</v>
      </c>
      <c r="O208">
        <v>1.9761330000000001E-3</v>
      </c>
      <c r="P208">
        <v>0.99854690000000002</v>
      </c>
      <c r="Q208">
        <v>5.3334640000000003E-2</v>
      </c>
      <c r="R208">
        <v>-7.7164909999999998E-3</v>
      </c>
      <c r="S208">
        <v>3.003479</v>
      </c>
      <c r="T208">
        <v>-6.5020800000000004E-2</v>
      </c>
      <c r="U208">
        <v>-0.54211430000000005</v>
      </c>
      <c r="V208">
        <v>9.6811559999999998E-3</v>
      </c>
      <c r="W208">
        <v>6.1566320000000001E-2</v>
      </c>
      <c r="X208">
        <v>0.9980561</v>
      </c>
      <c r="Y208">
        <v>0.17952850000000001</v>
      </c>
      <c r="Z208">
        <v>-1.9699019999999999E-3</v>
      </c>
      <c r="AA208">
        <v>0.98375080000000004</v>
      </c>
      <c r="AB208">
        <v>16</v>
      </c>
      <c r="AC208">
        <v>53.425400000000003</v>
      </c>
      <c r="AD208">
        <v>-1.1600729999999999</v>
      </c>
      <c r="AE208">
        <v>-9.6725999999999299</v>
      </c>
      <c r="AF208">
        <v>9.7736984213897795</v>
      </c>
      <c r="AG208">
        <v>-1.1600729999999999</v>
      </c>
      <c r="AH208">
        <v>53.381810370028603</v>
      </c>
      <c r="AI208">
        <v>91.224584144218198</v>
      </c>
      <c r="AJ208">
        <v>79.6246077352626</v>
      </c>
      <c r="AK208">
        <v>54.2815680372196</v>
      </c>
      <c r="AL208">
        <v>86.470277657839901</v>
      </c>
      <c r="AM208">
        <v>89.444247689444097</v>
      </c>
      <c r="AN208">
        <v>1.00000005764352</v>
      </c>
    </row>
    <row r="209" spans="1:40" x14ac:dyDescent="0.25">
      <c r="A209" t="str">
        <f>"20190312150950167"</f>
        <v>20190312150950167</v>
      </c>
      <c r="B209" t="str">
        <f>"1552374590161469"</f>
        <v>1552374590161469</v>
      </c>
      <c r="C209" t="s">
        <v>40</v>
      </c>
      <c r="D209">
        <v>4.9930879999999904</v>
      </c>
      <c r="E209">
        <v>0.56563819999999998</v>
      </c>
      <c r="F209" t="s">
        <v>43</v>
      </c>
      <c r="G209">
        <v>-404.7636</v>
      </c>
      <c r="H209">
        <v>-0.05</v>
      </c>
      <c r="I209">
        <v>357.03300000000002</v>
      </c>
      <c r="J209">
        <v>-460.30759999999998</v>
      </c>
      <c r="K209">
        <v>1.110077</v>
      </c>
      <c r="L209">
        <v>367.16109999999998</v>
      </c>
      <c r="M209">
        <v>0.99996339999999995</v>
      </c>
      <c r="N209">
        <v>0</v>
      </c>
      <c r="O209">
        <v>2.1402790000000001E-3</v>
      </c>
      <c r="P209">
        <v>0.99847920000000001</v>
      </c>
      <c r="Q209">
        <v>5.4562920000000001E-2</v>
      </c>
      <c r="R209">
        <v>-7.9085130000000007E-3</v>
      </c>
      <c r="S209">
        <v>3.003479</v>
      </c>
      <c r="T209">
        <v>-6.255484E-2</v>
      </c>
      <c r="U209">
        <v>-0.54611209999999999</v>
      </c>
      <c r="V209">
        <v>1.003679E-2</v>
      </c>
      <c r="W209">
        <v>6.2851290000000004E-2</v>
      </c>
      <c r="X209">
        <v>0.99797239999999998</v>
      </c>
      <c r="Y209">
        <v>0.18096039999999999</v>
      </c>
      <c r="Z209">
        <v>-1.913164E-3</v>
      </c>
      <c r="AA209">
        <v>0.98348860000000005</v>
      </c>
      <c r="AB209">
        <v>16</v>
      </c>
      <c r="AC209">
        <v>55.543999999999897</v>
      </c>
      <c r="AD209">
        <v>-1.160077</v>
      </c>
      <c r="AE209">
        <v>-10.1280999999999</v>
      </c>
      <c r="AF209">
        <v>10.2426363344713</v>
      </c>
      <c r="AG209">
        <v>-1.160077</v>
      </c>
      <c r="AH209">
        <v>55.4987647857862</v>
      </c>
      <c r="AI209">
        <v>91.177584021007107</v>
      </c>
      <c r="AJ209">
        <v>79.543374995107101</v>
      </c>
      <c r="AK209">
        <v>56.447943013666901</v>
      </c>
      <c r="AL209">
        <v>86.396511096593201</v>
      </c>
      <c r="AM209">
        <v>89.423785347841701</v>
      </c>
      <c r="AN209">
        <v>0.99999996648496303</v>
      </c>
    </row>
    <row r="210" spans="1:40" x14ac:dyDescent="0.25">
      <c r="A210" t="str">
        <f>"20190312150950188"</f>
        <v>20190312150950188</v>
      </c>
      <c r="B210" t="str">
        <f>"1552374590180990"</f>
        <v>1552374590180990</v>
      </c>
      <c r="C210" t="s">
        <v>40</v>
      </c>
      <c r="D210">
        <v>4.8907720000000001</v>
      </c>
      <c r="E210">
        <v>0.56587290000000001</v>
      </c>
      <c r="F210" t="s">
        <v>43</v>
      </c>
      <c r="G210">
        <v>-399.30779999999999</v>
      </c>
      <c r="H210">
        <v>-0.05</v>
      </c>
      <c r="I210">
        <v>356.01409999999998</v>
      </c>
      <c r="J210">
        <v>-460.15089999999998</v>
      </c>
      <c r="K210">
        <v>1.1100840000000001</v>
      </c>
      <c r="L210">
        <v>367.1617</v>
      </c>
      <c r="M210">
        <v>0.99996240000000003</v>
      </c>
      <c r="N210">
        <v>0</v>
      </c>
      <c r="O210">
        <v>2.3035260000000002E-3</v>
      </c>
      <c r="P210">
        <v>0.99840549999999995</v>
      </c>
      <c r="Q210">
        <v>5.5844579999999998E-2</v>
      </c>
      <c r="R210">
        <v>-8.2714559999999999E-3</v>
      </c>
      <c r="S210">
        <v>3.0033569999999998</v>
      </c>
      <c r="T210">
        <v>-5.7116989999999999E-2</v>
      </c>
      <c r="U210">
        <v>-0.54882810000000004</v>
      </c>
      <c r="V210">
        <v>1.0562459999999999E-2</v>
      </c>
      <c r="W210">
        <v>6.4189919999999998E-2</v>
      </c>
      <c r="X210">
        <v>0.99788180000000004</v>
      </c>
      <c r="Y210">
        <v>0.18199480000000001</v>
      </c>
      <c r="Z210">
        <v>-1.7596479999999999E-3</v>
      </c>
      <c r="AA210">
        <v>0.98329789999999995</v>
      </c>
      <c r="AB210">
        <v>16</v>
      </c>
      <c r="AC210">
        <v>60.8430999999999</v>
      </c>
      <c r="AD210">
        <v>-1.1600839999999999</v>
      </c>
      <c r="AE210">
        <v>-11.147600000000001</v>
      </c>
      <c r="AF210">
        <v>11.283760079552501</v>
      </c>
      <c r="AG210">
        <v>-1.1600839999999999</v>
      </c>
      <c r="AH210">
        <v>60.795874790073903</v>
      </c>
      <c r="AI210">
        <v>91.074812612547404</v>
      </c>
      <c r="AJ210">
        <v>79.485503940713897</v>
      </c>
      <c r="AK210">
        <v>61.845027511597898</v>
      </c>
      <c r="AL210">
        <v>86.319658156330604</v>
      </c>
      <c r="AM210">
        <v>89.393553646097601</v>
      </c>
      <c r="AN210">
        <v>0.99999999908104897</v>
      </c>
    </row>
    <row r="211" spans="1:40" x14ac:dyDescent="0.25">
      <c r="A211" t="str">
        <f>"20190312150950211"</f>
        <v>20190312150950211</v>
      </c>
      <c r="B211" t="str">
        <f>"1552374590201490"</f>
        <v>1552374590201490</v>
      </c>
      <c r="C211" t="s">
        <v>40</v>
      </c>
      <c r="D211">
        <v>4.7069210000000004</v>
      </c>
      <c r="E211">
        <v>0.56609209999999999</v>
      </c>
      <c r="F211" t="s">
        <v>43</v>
      </c>
      <c r="G211">
        <v>-392.404</v>
      </c>
      <c r="H211">
        <v>-0.05</v>
      </c>
      <c r="I211">
        <v>354.72089999999997</v>
      </c>
      <c r="J211">
        <v>-459.9948</v>
      </c>
      <c r="K211">
        <v>1.1100969999999999</v>
      </c>
      <c r="L211">
        <v>367.16219999999998</v>
      </c>
      <c r="M211">
        <v>0.99996169999999995</v>
      </c>
      <c r="N211">
        <v>0</v>
      </c>
      <c r="O211">
        <v>2.4610420000000001E-3</v>
      </c>
      <c r="P211">
        <v>0.99837109999999996</v>
      </c>
      <c r="Q211">
        <v>5.6444429999999997E-2</v>
      </c>
      <c r="R211">
        <v>-8.3396990000000008E-3</v>
      </c>
      <c r="S211">
        <v>3.0031430000000001</v>
      </c>
      <c r="T211">
        <v>-5.1425220000000001E-2</v>
      </c>
      <c r="U211">
        <v>-0.55148319999999995</v>
      </c>
      <c r="V211">
        <v>1.07882E-2</v>
      </c>
      <c r="W211">
        <v>6.4844689999999996E-2</v>
      </c>
      <c r="X211">
        <v>0.99783710000000003</v>
      </c>
      <c r="Y211">
        <v>0.18300900000000001</v>
      </c>
      <c r="Z211">
        <v>-1.5955959999999999E-3</v>
      </c>
      <c r="AA211">
        <v>0.98311000000000004</v>
      </c>
      <c r="AB211">
        <v>16</v>
      </c>
      <c r="AC211">
        <v>67.590800000000002</v>
      </c>
      <c r="AD211">
        <v>-1.1600969999999999</v>
      </c>
      <c r="AE211">
        <v>-12.4413</v>
      </c>
      <c r="AF211">
        <v>12.6040206830651</v>
      </c>
      <c r="AG211">
        <v>-1.1600969999999999</v>
      </c>
      <c r="AH211">
        <v>67.540731065227504</v>
      </c>
      <c r="AI211">
        <v>90.9673341736449</v>
      </c>
      <c r="AJ211">
        <v>79.4294133247448</v>
      </c>
      <c r="AK211">
        <v>68.716501040535604</v>
      </c>
      <c r="AL211">
        <v>86.282064458931004</v>
      </c>
      <c r="AM211">
        <v>89.380565979950006</v>
      </c>
      <c r="AN211">
        <v>1.00000004860842</v>
      </c>
    </row>
    <row r="212" spans="1:40" x14ac:dyDescent="0.25">
      <c r="A212" t="str">
        <f>"20190312150950233"</f>
        <v>20190312150950233</v>
      </c>
      <c r="B212" t="str">
        <f>"1552374590221009"</f>
        <v>1552374590221009</v>
      </c>
      <c r="C212" t="s">
        <v>40</v>
      </c>
      <c r="D212">
        <v>4.8043589999999998</v>
      </c>
      <c r="E212">
        <v>0.56626799999999999</v>
      </c>
      <c r="F212" t="s">
        <v>42</v>
      </c>
      <c r="G212">
        <v>-395.1943</v>
      </c>
      <c r="H212">
        <v>7.9986970000000004E-2</v>
      </c>
      <c r="I212">
        <v>355.2269</v>
      </c>
      <c r="J212">
        <v>-459.83629999999999</v>
      </c>
      <c r="K212">
        <v>1.110098</v>
      </c>
      <c r="L212">
        <v>367.1628</v>
      </c>
      <c r="M212">
        <v>0.99996070000000004</v>
      </c>
      <c r="N212">
        <v>0</v>
      </c>
      <c r="O212">
        <v>2.6129880000000001E-3</v>
      </c>
      <c r="P212">
        <v>0.9982972</v>
      </c>
      <c r="Q212">
        <v>5.7723959999999998E-2</v>
      </c>
      <c r="R212">
        <v>-8.4148250000000008E-3</v>
      </c>
      <c r="S212">
        <v>3.0029910000000002</v>
      </c>
      <c r="T212">
        <v>-4.773736E-2</v>
      </c>
      <c r="U212">
        <v>-0.55310059999999905</v>
      </c>
      <c r="V212">
        <v>1.101544E-2</v>
      </c>
      <c r="W212">
        <v>6.6179810000000006E-2</v>
      </c>
      <c r="X212">
        <v>0.99774689999999999</v>
      </c>
      <c r="Y212">
        <v>0.18368290000000001</v>
      </c>
      <c r="Z212">
        <v>-1.4888950000000001E-3</v>
      </c>
      <c r="AA212">
        <v>0.98298439999999998</v>
      </c>
      <c r="AB212">
        <v>16</v>
      </c>
      <c r="AC212">
        <v>64.641999999999996</v>
      </c>
      <c r="AD212">
        <v>-1.03011103</v>
      </c>
      <c r="AE212">
        <v>-11.9359</v>
      </c>
      <c r="AF212">
        <v>12.1018022208996</v>
      </c>
      <c r="AG212">
        <v>-1.03011103</v>
      </c>
      <c r="AH212">
        <v>64.594727182965798</v>
      </c>
      <c r="AI212">
        <v>90.898013577291096</v>
      </c>
      <c r="AJ212">
        <v>79.388664499383594</v>
      </c>
      <c r="AK212">
        <v>65.726657647941295</v>
      </c>
      <c r="AL212">
        <v>86.205402813157704</v>
      </c>
      <c r="AM212">
        <v>89.367462248679402</v>
      </c>
      <c r="AN212">
        <v>0.99999999181481902</v>
      </c>
    </row>
    <row r="213" spans="1:40" x14ac:dyDescent="0.25">
      <c r="A213" t="str">
        <f>"20190312150950256"</f>
        <v>20190312150950256</v>
      </c>
      <c r="B213" t="str">
        <f>"1552374590251263"</f>
        <v>1552374590251263</v>
      </c>
      <c r="C213" t="s">
        <v>40</v>
      </c>
      <c r="D213">
        <v>4.9199699999999904</v>
      </c>
      <c r="E213">
        <v>0.56637969999999904</v>
      </c>
      <c r="F213" t="s">
        <v>43</v>
      </c>
      <c r="G213">
        <v>-380.64789999999999</v>
      </c>
      <c r="H213">
        <v>-0.05</v>
      </c>
      <c r="I213">
        <v>352.52679999999998</v>
      </c>
      <c r="J213">
        <v>-459.67860000000002</v>
      </c>
      <c r="K213">
        <v>1.110098</v>
      </c>
      <c r="L213">
        <v>367.16329999999999</v>
      </c>
      <c r="M213">
        <v>0.99995979999999995</v>
      </c>
      <c r="N213">
        <v>0</v>
      </c>
      <c r="O213">
        <v>2.7527509999999999E-3</v>
      </c>
      <c r="P213">
        <v>0.99824239999999997</v>
      </c>
      <c r="Q213">
        <v>5.8759560000000002E-2</v>
      </c>
      <c r="R213">
        <v>-7.7103709999999997E-3</v>
      </c>
      <c r="S213">
        <v>3.0029599999999999</v>
      </c>
      <c r="T213">
        <v>-4.3992879999999998E-2</v>
      </c>
      <c r="U213">
        <v>-0.55502320000000005</v>
      </c>
      <c r="V213">
        <v>1.045131E-2</v>
      </c>
      <c r="W213">
        <v>6.7269330000000002E-2</v>
      </c>
      <c r="X213">
        <v>0.99768009999999996</v>
      </c>
      <c r="Y213">
        <v>0.18443399999999999</v>
      </c>
      <c r="Z213">
        <v>-1.3795400000000001E-3</v>
      </c>
      <c r="AA213">
        <v>0.98284389999999999</v>
      </c>
      <c r="AB213">
        <v>16</v>
      </c>
      <c r="AC213">
        <v>79.030699999999996</v>
      </c>
      <c r="AD213">
        <v>-1.1600979999999901</v>
      </c>
      <c r="AE213">
        <v>-14.6365</v>
      </c>
      <c r="AF213">
        <v>14.8509104125589</v>
      </c>
      <c r="AG213">
        <v>-1.1600979999999901</v>
      </c>
      <c r="AH213">
        <v>78.973655865823304</v>
      </c>
      <c r="AI213">
        <v>90.827101303615393</v>
      </c>
      <c r="AJ213">
        <v>79.349965285538403</v>
      </c>
      <c r="AK213">
        <v>80.366247195355299</v>
      </c>
      <c r="AL213">
        <v>86.1428384654929</v>
      </c>
      <c r="AM213">
        <v>89.399813577071498</v>
      </c>
      <c r="AN213">
        <v>0.99999998728768702</v>
      </c>
    </row>
    <row r="214" spans="1:40" x14ac:dyDescent="0.25">
      <c r="A214" t="str">
        <f>"20190312150950277"</f>
        <v>20190312150950277</v>
      </c>
      <c r="B214" t="str">
        <f>"1552374590270781"</f>
        <v>1552374590270781</v>
      </c>
      <c r="C214" t="s">
        <v>40</v>
      </c>
      <c r="D214">
        <v>5.0723279999999997</v>
      </c>
      <c r="E214">
        <v>0.56589480000000003</v>
      </c>
      <c r="F214" t="s">
        <v>43</v>
      </c>
      <c r="G214">
        <v>-374.03539999999998</v>
      </c>
      <c r="H214">
        <v>-0.05</v>
      </c>
      <c r="I214">
        <v>351.36649999999997</v>
      </c>
      <c r="J214">
        <v>-459.5231</v>
      </c>
      <c r="K214">
        <v>1.110104</v>
      </c>
      <c r="L214">
        <v>367.16390000000001</v>
      </c>
      <c r="M214">
        <v>0.99995909999999999</v>
      </c>
      <c r="N214">
        <v>0</v>
      </c>
      <c r="O214">
        <v>2.876352E-3</v>
      </c>
      <c r="P214">
        <v>0.99823059999999997</v>
      </c>
      <c r="Q214">
        <v>5.9053099999999997E-2</v>
      </c>
      <c r="R214">
        <v>-6.9629280000000002E-3</v>
      </c>
      <c r="S214">
        <v>3.0034480000000001</v>
      </c>
      <c r="T214">
        <v>-4.0683869999999997E-2</v>
      </c>
      <c r="U214">
        <v>-0.55398559999999997</v>
      </c>
      <c r="V214">
        <v>9.8287849999999996E-3</v>
      </c>
      <c r="W214">
        <v>6.7612829999999999E-2</v>
      </c>
      <c r="X214">
        <v>0.99766319999999997</v>
      </c>
      <c r="Y214">
        <v>0.18420149999999999</v>
      </c>
      <c r="Z214">
        <v>-1.275719E-3</v>
      </c>
      <c r="AA214">
        <v>0.98288770000000003</v>
      </c>
      <c r="AB214">
        <v>16</v>
      </c>
      <c r="AC214">
        <v>85.487700000000004</v>
      </c>
      <c r="AD214">
        <v>-1.160104</v>
      </c>
      <c r="AE214">
        <v>-15.7974</v>
      </c>
      <c r="AF214">
        <v>16.040380005846</v>
      </c>
      <c r="AG214">
        <v>-1.160104</v>
      </c>
      <c r="AH214">
        <v>85.4266933900021</v>
      </c>
      <c r="AI214">
        <v>90.764673678647696</v>
      </c>
      <c r="AJ214">
        <v>79.365524216673606</v>
      </c>
      <c r="AK214">
        <v>86.927323527025706</v>
      </c>
      <c r="AL214">
        <v>86.123112426389596</v>
      </c>
      <c r="AM214">
        <v>89.435551316367807</v>
      </c>
      <c r="AN214">
        <v>0.99999998021471204</v>
      </c>
    </row>
    <row r="215" spans="1:40" x14ac:dyDescent="0.25">
      <c r="A215" t="str">
        <f>"20190312150950301"</f>
        <v>20190312150950301</v>
      </c>
      <c r="B215" t="str">
        <f>"1552374590291281"</f>
        <v>1552374590291281</v>
      </c>
      <c r="C215" t="s">
        <v>40</v>
      </c>
      <c r="D215">
        <v>4.8764659999999997</v>
      </c>
      <c r="E215">
        <v>0.56531889999999996</v>
      </c>
      <c r="F215" t="s">
        <v>43</v>
      </c>
      <c r="G215">
        <v>-374.43770000000001</v>
      </c>
      <c r="H215">
        <v>-0.05</v>
      </c>
      <c r="I215">
        <v>351.65019999999998</v>
      </c>
      <c r="J215">
        <v>-459.35890000000001</v>
      </c>
      <c r="K215">
        <v>1.1100909999999999</v>
      </c>
      <c r="L215">
        <v>367.16449999999998</v>
      </c>
      <c r="M215">
        <v>0.99995829999999997</v>
      </c>
      <c r="N215">
        <v>0</v>
      </c>
      <c r="O215">
        <v>2.987118E-3</v>
      </c>
      <c r="P215">
        <v>0.99823110000000004</v>
      </c>
      <c r="Q215">
        <v>5.9169319999999997E-2</v>
      </c>
      <c r="R215">
        <v>-5.7968610000000004E-3</v>
      </c>
      <c r="S215">
        <v>3.003876</v>
      </c>
      <c r="T215">
        <v>-4.0956619999999999E-2</v>
      </c>
      <c r="U215">
        <v>-0.54769899999999905</v>
      </c>
      <c r="V215">
        <v>8.7756120000000003E-3</v>
      </c>
      <c r="W215">
        <v>6.7776489999999995E-2</v>
      </c>
      <c r="X215">
        <v>0.99766189999999999</v>
      </c>
      <c r="Y215">
        <v>0.18229490000000001</v>
      </c>
      <c r="Z215">
        <v>-1.2729389999999901E-3</v>
      </c>
      <c r="AA215">
        <v>0.98324310000000004</v>
      </c>
      <c r="AB215">
        <v>16</v>
      </c>
      <c r="AC215">
        <v>84.921199999999999</v>
      </c>
      <c r="AD215">
        <v>-1.160091</v>
      </c>
      <c r="AE215">
        <v>-15.514299999999899</v>
      </c>
      <c r="AF215">
        <v>15.7650628584637</v>
      </c>
      <c r="AG215">
        <v>-1.160091</v>
      </c>
      <c r="AH215">
        <v>84.859151620119803</v>
      </c>
      <c r="AI215">
        <v>90.770054899873401</v>
      </c>
      <c r="AJ215">
        <v>79.475622008966894</v>
      </c>
      <c r="AK215">
        <v>86.318935534134496</v>
      </c>
      <c r="AL215">
        <v>86.113713781454905</v>
      </c>
      <c r="AM215">
        <v>89.4960291026146</v>
      </c>
      <c r="AN215">
        <v>0.99999996533715096</v>
      </c>
    </row>
    <row r="216" spans="1:40" x14ac:dyDescent="0.25">
      <c r="A216" t="str">
        <f>"20190312150950321"</f>
        <v>20190312150950321</v>
      </c>
      <c r="B216" t="str">
        <f>"1552374590310797"</f>
        <v>1552374590310797</v>
      </c>
      <c r="C216" t="s">
        <v>40</v>
      </c>
      <c r="D216">
        <v>4.9394479999999996</v>
      </c>
      <c r="E216">
        <v>0.50403439999999999</v>
      </c>
      <c r="F216" t="s">
        <v>43</v>
      </c>
      <c r="G216">
        <v>-376.77339999999998</v>
      </c>
      <c r="H216">
        <v>-0.05</v>
      </c>
      <c r="I216">
        <v>352.3347</v>
      </c>
      <c r="J216">
        <v>-459.20569999999998</v>
      </c>
      <c r="K216">
        <v>1.1100840000000001</v>
      </c>
      <c r="L216">
        <v>367.1651</v>
      </c>
      <c r="M216">
        <v>0.99995789999999996</v>
      </c>
      <c r="N216">
        <v>0</v>
      </c>
      <c r="O216">
        <v>3.0730100000000002E-3</v>
      </c>
      <c r="P216">
        <v>0.99825949999999997</v>
      </c>
      <c r="Q216">
        <v>5.8758650000000003E-2</v>
      </c>
      <c r="R216">
        <v>-5.0599119999999997E-3</v>
      </c>
      <c r="S216">
        <v>3.0047000000000001</v>
      </c>
      <c r="T216">
        <v>-4.2207479999999999E-2</v>
      </c>
      <c r="U216">
        <v>-0.5395508</v>
      </c>
      <c r="V216">
        <v>8.1262799999999996E-3</v>
      </c>
      <c r="W216">
        <v>6.7406359999999999E-2</v>
      </c>
      <c r="X216">
        <v>0.99769249999999998</v>
      </c>
      <c r="Y216">
        <v>0.17974849999999901</v>
      </c>
      <c r="Z216">
        <v>-1.295228E-3</v>
      </c>
      <c r="AA216">
        <v>0.98371180000000003</v>
      </c>
      <c r="AB216">
        <v>16</v>
      </c>
      <c r="AC216">
        <v>82.432299999999998</v>
      </c>
      <c r="AD216">
        <v>-1.1600839999999999</v>
      </c>
      <c r="AE216">
        <v>-14.8303999999999</v>
      </c>
      <c r="AF216">
        <v>15.080761557787</v>
      </c>
      <c r="AG216">
        <v>-1.1600839999999999</v>
      </c>
      <c r="AH216">
        <v>82.370532733894393</v>
      </c>
      <c r="AI216">
        <v>90.793693805777295</v>
      </c>
      <c r="AJ216">
        <v>79.624940479897205</v>
      </c>
      <c r="AK216">
        <v>83.747715353407997</v>
      </c>
      <c r="AL216">
        <v>86.134969370987605</v>
      </c>
      <c r="AM216">
        <v>89.533331912186199</v>
      </c>
      <c r="AN216">
        <v>0.99999998917566801</v>
      </c>
    </row>
    <row r="217" spans="1:40" x14ac:dyDescent="0.25">
      <c r="A217" t="str">
        <f>"20190312150950345"</f>
        <v>20190312150950345</v>
      </c>
      <c r="B217" t="str">
        <f>"1552374590341054"</f>
        <v>1552374590341054</v>
      </c>
      <c r="C217" t="s">
        <v>40</v>
      </c>
      <c r="D217">
        <v>4.9734350000000003</v>
      </c>
      <c r="E217">
        <v>0.50383679999999997</v>
      </c>
      <c r="F217" t="s">
        <v>43</v>
      </c>
      <c r="G217">
        <v>-405.82510000000002</v>
      </c>
      <c r="H217">
        <v>-0.05</v>
      </c>
      <c r="I217">
        <v>366.30149999999998</v>
      </c>
      <c r="J217">
        <v>-459.03339999999997</v>
      </c>
      <c r="K217">
        <v>1.1100749999999999</v>
      </c>
      <c r="L217">
        <v>367.16570000000002</v>
      </c>
      <c r="M217">
        <v>0.99995719999999999</v>
      </c>
      <c r="N217">
        <v>0</v>
      </c>
      <c r="O217">
        <v>3.1518129999999998E-3</v>
      </c>
      <c r="P217">
        <v>0.99824460000000004</v>
      </c>
      <c r="Q217">
        <v>5.9052069999999998E-2</v>
      </c>
      <c r="R217">
        <v>-4.5769740000000001E-3</v>
      </c>
      <c r="S217">
        <v>3.0088499999999998</v>
      </c>
      <c r="T217">
        <v>-6.5389279999999994E-2</v>
      </c>
      <c r="U217">
        <v>-4.8675540000000003E-2</v>
      </c>
      <c r="V217">
        <v>7.7236249999999996E-3</v>
      </c>
      <c r="W217">
        <v>6.7739369999999993E-2</v>
      </c>
      <c r="X217">
        <v>0.99767320000000004</v>
      </c>
      <c r="Y217">
        <v>1.9321479999999999E-2</v>
      </c>
      <c r="Z217">
        <v>-2.7839819999999997E-4</v>
      </c>
      <c r="AA217">
        <v>0.99981330000000002</v>
      </c>
      <c r="AB217">
        <v>16</v>
      </c>
      <c r="AC217">
        <v>53.208299999999902</v>
      </c>
      <c r="AD217">
        <v>-1.160075</v>
      </c>
      <c r="AE217">
        <v>-0.86420000000003905</v>
      </c>
      <c r="AF217">
        <v>1.03141451032906</v>
      </c>
      <c r="AG217">
        <v>-1.160075</v>
      </c>
      <c r="AH217">
        <v>53.180039338514497</v>
      </c>
      <c r="AI217">
        <v>91.249423104614095</v>
      </c>
      <c r="AJ217">
        <v>88.888900966914605</v>
      </c>
      <c r="AK217">
        <v>53.202689536748899</v>
      </c>
      <c r="AL217">
        <v>86.115845811122099</v>
      </c>
      <c r="AM217">
        <v>89.556445663142895</v>
      </c>
      <c r="AN217">
        <v>1.00000004531468</v>
      </c>
    </row>
    <row r="218" spans="1:40" x14ac:dyDescent="0.25">
      <c r="A218" t="str">
        <f>"20190312150950367"</f>
        <v>20190312150950367</v>
      </c>
      <c r="B218" t="str">
        <f>"1552374590360575"</f>
        <v>1552374590360575</v>
      </c>
      <c r="C218" t="s">
        <v>40</v>
      </c>
      <c r="D218">
        <v>4.904452</v>
      </c>
      <c r="E218">
        <v>0.50428409999999901</v>
      </c>
      <c r="F218" t="s">
        <v>42</v>
      </c>
      <c r="G218">
        <v>-357</v>
      </c>
      <c r="H218" s="1">
        <v>-2.0684750000000001E-6</v>
      </c>
      <c r="I218">
        <v>365.62689999999998</v>
      </c>
      <c r="J218">
        <v>-458.87939999999998</v>
      </c>
      <c r="K218">
        <v>1.1100730000000001</v>
      </c>
      <c r="L218">
        <v>367.1662</v>
      </c>
      <c r="M218">
        <v>0.99995670000000003</v>
      </c>
      <c r="N218">
        <v>0</v>
      </c>
      <c r="O218">
        <v>3.2076219999999998E-3</v>
      </c>
      <c r="P218">
        <v>0.99823439999999997</v>
      </c>
      <c r="Q218">
        <v>5.9232109999999998E-2</v>
      </c>
      <c r="R218">
        <v>-4.4447209999999996E-3</v>
      </c>
      <c r="S218">
        <v>3.0070190000000001</v>
      </c>
      <c r="T218">
        <v>-3.2714960000000001E-2</v>
      </c>
      <c r="U218">
        <v>-4.534912E-2</v>
      </c>
      <c r="V218">
        <v>7.6484359999999998E-3</v>
      </c>
      <c r="W218">
        <v>6.7951079999999997E-2</v>
      </c>
      <c r="X218">
        <v>0.99765930000000003</v>
      </c>
      <c r="Y218">
        <v>1.8285409999999998E-2</v>
      </c>
      <c r="Z218">
        <v>-1.3435570000000001E-4</v>
      </c>
      <c r="AA218">
        <v>0.99983279999999997</v>
      </c>
      <c r="AB218">
        <v>16</v>
      </c>
      <c r="AC218">
        <v>101.87939999999899</v>
      </c>
      <c r="AD218">
        <v>-1.11007506847499</v>
      </c>
      <c r="AE218">
        <v>-1.5393000000000201</v>
      </c>
      <c r="AF218">
        <v>1.86587368457657</v>
      </c>
      <c r="AG218">
        <v>-1.11007506847499</v>
      </c>
      <c r="AH218">
        <v>101.861847664621</v>
      </c>
      <c r="AI218">
        <v>90.624271339405396</v>
      </c>
      <c r="AJ218">
        <v>88.950591070042705</v>
      </c>
      <c r="AK218">
        <v>101.884983000022</v>
      </c>
      <c r="AL218">
        <v>86.103687388368698</v>
      </c>
      <c r="AM218">
        <v>89.560757347029707</v>
      </c>
      <c r="AN218">
        <v>0.99999996336145003</v>
      </c>
    </row>
    <row r="219" spans="1:40" x14ac:dyDescent="0.25">
      <c r="A219" t="str">
        <f>"20190312150950389"</f>
        <v>20190312150950389</v>
      </c>
      <c r="B219" t="str">
        <f>"1552374590381073"</f>
        <v>1552374590381073</v>
      </c>
      <c r="C219" t="s">
        <v>40</v>
      </c>
      <c r="D219">
        <v>5.926132</v>
      </c>
      <c r="E219">
        <v>0.50428209999999996</v>
      </c>
      <c r="F219" t="s">
        <v>42</v>
      </c>
      <c r="G219">
        <v>-385.93220000000002</v>
      </c>
      <c r="H219" s="1">
        <v>-2.3711449999999998E-6</v>
      </c>
      <c r="I219">
        <v>365.9871</v>
      </c>
      <c r="J219">
        <v>-458.714</v>
      </c>
      <c r="K219">
        <v>1.1100669999999999</v>
      </c>
      <c r="L219">
        <v>367.16680000000002</v>
      </c>
      <c r="M219">
        <v>0.99995639999999997</v>
      </c>
      <c r="N219">
        <v>0</v>
      </c>
      <c r="O219">
        <v>3.2537529999999999E-3</v>
      </c>
      <c r="P219">
        <v>0.99824349999999995</v>
      </c>
      <c r="Q219">
        <v>5.9081670000000003E-2</v>
      </c>
      <c r="R219">
        <v>-4.3944129999999998E-3</v>
      </c>
      <c r="S219">
        <v>3.0078429999999998</v>
      </c>
      <c r="T219">
        <v>-4.5771840000000001E-2</v>
      </c>
      <c r="U219">
        <v>-4.8614499999999998E-2</v>
      </c>
      <c r="V219">
        <v>7.6451380000000001E-3</v>
      </c>
      <c r="W219">
        <v>6.782929E-2</v>
      </c>
      <c r="X219">
        <v>0.99766770000000005</v>
      </c>
      <c r="Y219">
        <v>1.9411210000000002E-2</v>
      </c>
      <c r="Z219">
        <v>-1.971869E-4</v>
      </c>
      <c r="AA219">
        <v>0.99981160000000002</v>
      </c>
      <c r="AB219">
        <v>16</v>
      </c>
      <c r="AC219">
        <v>72.781799999999905</v>
      </c>
      <c r="AD219">
        <v>-1.11006937114499</v>
      </c>
      <c r="AE219">
        <v>-1.17970000000002</v>
      </c>
      <c r="AF219">
        <v>1.41618747396506</v>
      </c>
      <c r="AG219">
        <v>-1.11006937114499</v>
      </c>
      <c r="AH219">
        <v>72.760654668677404</v>
      </c>
      <c r="AI219">
        <v>90.873896958790894</v>
      </c>
      <c r="AJ219">
        <v>88.884956140430305</v>
      </c>
      <c r="AK219">
        <v>72.782901211649204</v>
      </c>
      <c r="AL219">
        <v>86.110681916760001</v>
      </c>
      <c r="AM219">
        <v>89.560950437248295</v>
      </c>
      <c r="AN219">
        <v>1.0000000501701101</v>
      </c>
    </row>
    <row r="220" spans="1:40" x14ac:dyDescent="0.25">
      <c r="A220" t="str">
        <f>"20190312150950412"</f>
        <v>20190312150950412</v>
      </c>
      <c r="B220" t="str">
        <f>"1552374590401566"</f>
        <v>1552374590401566</v>
      </c>
      <c r="C220" t="s">
        <v>40</v>
      </c>
      <c r="D220">
        <v>4.8814580000000003</v>
      </c>
      <c r="E220">
        <v>0.50458630000000004</v>
      </c>
      <c r="F220" t="s">
        <v>42</v>
      </c>
      <c r="G220">
        <v>-386.38299999999998</v>
      </c>
      <c r="H220" s="1">
        <v>-2.1780039999999998E-6</v>
      </c>
      <c r="I220">
        <v>366.0043</v>
      </c>
      <c r="J220">
        <v>-458.55360000000002</v>
      </c>
      <c r="K220">
        <v>1.110063</v>
      </c>
      <c r="L220">
        <v>367.16739999999999</v>
      </c>
      <c r="M220">
        <v>0.99995599999999996</v>
      </c>
      <c r="N220">
        <v>0</v>
      </c>
      <c r="O220">
        <v>3.288151E-3</v>
      </c>
      <c r="P220">
        <v>0.99823530000000005</v>
      </c>
      <c r="Q220">
        <v>5.9222280000000002E-2</v>
      </c>
      <c r="R220">
        <v>-4.3567379999999998E-3</v>
      </c>
      <c r="S220">
        <v>3.0078429999999998</v>
      </c>
      <c r="T220">
        <v>-4.6161529999999999E-2</v>
      </c>
      <c r="U220">
        <v>-4.8339840000000002E-2</v>
      </c>
      <c r="V220">
        <v>7.6422319999999997E-3</v>
      </c>
      <c r="W220">
        <v>6.7989129999999995E-2</v>
      </c>
      <c r="X220">
        <v>0.99765680000000001</v>
      </c>
      <c r="Y220">
        <v>1.935429E-2</v>
      </c>
      <c r="Z220">
        <v>-1.989568E-4</v>
      </c>
      <c r="AA220">
        <v>0.9998127</v>
      </c>
      <c r="AB220">
        <v>16</v>
      </c>
      <c r="AC220">
        <v>72.170599999999894</v>
      </c>
      <c r="AD220">
        <v>-1.1100651780040001</v>
      </c>
      <c r="AE220">
        <v>-1.16309999999998</v>
      </c>
      <c r="AF220">
        <v>1.4000795578240199</v>
      </c>
      <c r="AG220">
        <v>-1.1100651780040001</v>
      </c>
      <c r="AH220">
        <v>72.149320633461997</v>
      </c>
      <c r="AI220">
        <v>90.881298150490494</v>
      </c>
      <c r="AJ220">
        <v>88.8882974640008</v>
      </c>
      <c r="AK220">
        <v>72.171441272415805</v>
      </c>
      <c r="AL220">
        <v>86.101502404866693</v>
      </c>
      <c r="AM220">
        <v>89.561112523357593</v>
      </c>
      <c r="AN220">
        <v>1.00000000804716</v>
      </c>
    </row>
    <row r="221" spans="1:40" x14ac:dyDescent="0.25">
      <c r="A221" t="str">
        <f>"20190312150950433"</f>
        <v>20190312150950433</v>
      </c>
      <c r="B221" t="str">
        <f>"1552374590430845"</f>
        <v>1552374590430845</v>
      </c>
      <c r="C221" t="s">
        <v>40</v>
      </c>
      <c r="D221">
        <v>4.8446930000000004</v>
      </c>
      <c r="E221">
        <v>0.50462620000000002</v>
      </c>
      <c r="F221" t="s">
        <v>42</v>
      </c>
      <c r="G221">
        <v>-394.5609</v>
      </c>
      <c r="H221" s="1">
        <v>-2.9408930000000001E-6</v>
      </c>
      <c r="I221">
        <v>366.09160000000003</v>
      </c>
      <c r="J221">
        <v>-458.39580000000001</v>
      </c>
      <c r="K221">
        <v>1.1100570000000001</v>
      </c>
      <c r="L221">
        <v>367.16789999999997</v>
      </c>
      <c r="M221">
        <v>0.99995590000000001</v>
      </c>
      <c r="N221">
        <v>0</v>
      </c>
      <c r="O221">
        <v>3.3158900000000002E-3</v>
      </c>
      <c r="P221">
        <v>0.99820390000000003</v>
      </c>
      <c r="Q221">
        <v>5.9715789999999998E-2</v>
      </c>
      <c r="R221">
        <v>-4.8081240000000004E-3</v>
      </c>
      <c r="S221">
        <v>3.0082089999999999</v>
      </c>
      <c r="T221">
        <v>-5.2182560000000003E-2</v>
      </c>
      <c r="U221">
        <v>-5.0567630000000002E-2</v>
      </c>
      <c r="V221">
        <v>8.1211180000000001E-3</v>
      </c>
      <c r="W221">
        <v>6.8489129999999995E-2</v>
      </c>
      <c r="X221">
        <v>0.99761880000000003</v>
      </c>
      <c r="Y221">
        <v>2.0119439999999999E-2</v>
      </c>
      <c r="Z221">
        <v>-2.3199160000000001E-4</v>
      </c>
      <c r="AA221">
        <v>0.99979759999999995</v>
      </c>
      <c r="AB221">
        <v>16</v>
      </c>
      <c r="AC221">
        <v>63.834899999999998</v>
      </c>
      <c r="AD221">
        <v>-1.1100599408930001</v>
      </c>
      <c r="AE221">
        <v>-1.0762999999999401</v>
      </c>
      <c r="AF221">
        <v>1.2875825107355801</v>
      </c>
      <c r="AG221">
        <v>-1.1100599408930001</v>
      </c>
      <c r="AH221">
        <v>63.811689069742698</v>
      </c>
      <c r="AI221">
        <v>90.996406714066893</v>
      </c>
      <c r="AJ221">
        <v>88.844051379314195</v>
      </c>
      <c r="AK221">
        <v>63.834330604525398</v>
      </c>
      <c r="AL221">
        <v>86.072787516695797</v>
      </c>
      <c r="AM221">
        <v>89.533593885282997</v>
      </c>
      <c r="AN221">
        <v>0.99999999179958299</v>
      </c>
    </row>
    <row r="222" spans="1:40" x14ac:dyDescent="0.25">
      <c r="A222" t="str">
        <f>"20190312150950456"</f>
        <v>20190312150950456</v>
      </c>
      <c r="B222" t="str">
        <f>"1552374590451342"</f>
        <v>1552374590451342</v>
      </c>
      <c r="C222" t="s">
        <v>40</v>
      </c>
      <c r="D222">
        <v>4.9130129999999896</v>
      </c>
      <c r="E222">
        <v>0.50484099999999998</v>
      </c>
      <c r="F222" t="s">
        <v>42</v>
      </c>
      <c r="G222">
        <v>-382.69450000000001</v>
      </c>
      <c r="H222" s="1">
        <v>-3.7825429999999999E-6</v>
      </c>
      <c r="I222">
        <v>365.86059999999998</v>
      </c>
      <c r="J222">
        <v>-458.23250000000002</v>
      </c>
      <c r="K222">
        <v>1.11005</v>
      </c>
      <c r="L222">
        <v>367.16849999999999</v>
      </c>
      <c r="M222">
        <v>0.99995590000000001</v>
      </c>
      <c r="N222">
        <v>0</v>
      </c>
      <c r="O222">
        <v>3.3415329999999998E-3</v>
      </c>
      <c r="P222">
        <v>0.99819760000000002</v>
      </c>
      <c r="Q222">
        <v>5.9826230000000001E-2</v>
      </c>
      <c r="R222">
        <v>-4.7632619999999999E-3</v>
      </c>
      <c r="S222">
        <v>3.0077820000000002</v>
      </c>
      <c r="T222">
        <v>-4.4105169999999999E-2</v>
      </c>
      <c r="U222">
        <v>-5.1940920000000002E-2</v>
      </c>
      <c r="V222">
        <v>8.1015930000000007E-3</v>
      </c>
      <c r="W222">
        <v>6.8586649999999999E-2</v>
      </c>
      <c r="X222">
        <v>0.99761219999999995</v>
      </c>
      <c r="Y222">
        <v>2.0604770000000001E-2</v>
      </c>
      <c r="Z222">
        <v>-2.0004659999999999E-4</v>
      </c>
      <c r="AA222">
        <v>0.99978769999999995</v>
      </c>
      <c r="AB222">
        <v>16</v>
      </c>
      <c r="AC222">
        <v>75.537999999999997</v>
      </c>
      <c r="AD222">
        <v>-1.1100537825429999</v>
      </c>
      <c r="AE222">
        <v>-1.3079000000000101</v>
      </c>
      <c r="AF222">
        <v>1.55997836041965</v>
      </c>
      <c r="AG222">
        <v>-1.1100537825429999</v>
      </c>
      <c r="AH222">
        <v>75.516904550943295</v>
      </c>
      <c r="AI222">
        <v>90.841973780587196</v>
      </c>
      <c r="AJ222">
        <v>88.816589922963701</v>
      </c>
      <c r="AK222">
        <v>75.541171720072001</v>
      </c>
      <c r="AL222">
        <v>86.067186630671699</v>
      </c>
      <c r="AM222">
        <v>89.534712103363006</v>
      </c>
      <c r="AN222">
        <v>0.99999993297809697</v>
      </c>
    </row>
    <row r="223" spans="1:40" x14ac:dyDescent="0.25">
      <c r="A223" t="str">
        <f>"20190312150950479"</f>
        <v>20190312150950479</v>
      </c>
      <c r="B223" t="str">
        <f>"1552374590470861"</f>
        <v>1552374590470861</v>
      </c>
      <c r="C223" t="s">
        <v>40</v>
      </c>
      <c r="D223">
        <v>5.0259390000000002</v>
      </c>
      <c r="E223">
        <v>0.50490479999999904</v>
      </c>
      <c r="F223" t="s">
        <v>42</v>
      </c>
      <c r="G223">
        <v>-393.7448</v>
      </c>
      <c r="H223" s="1">
        <v>-3.3028270000000001E-6</v>
      </c>
      <c r="I223">
        <v>366.0249</v>
      </c>
      <c r="J223">
        <v>-458.06229999999999</v>
      </c>
      <c r="K223">
        <v>1.1100490000000001</v>
      </c>
      <c r="L223">
        <v>367.16910000000001</v>
      </c>
      <c r="M223">
        <v>0.99995630000000002</v>
      </c>
      <c r="N223">
        <v>0</v>
      </c>
      <c r="O223">
        <v>3.3688110000000002E-3</v>
      </c>
      <c r="P223">
        <v>0.99819449999999998</v>
      </c>
      <c r="Q223">
        <v>5.9900479999999999E-2</v>
      </c>
      <c r="R223">
        <v>-4.4695749999999999E-3</v>
      </c>
      <c r="S223">
        <v>3.00827</v>
      </c>
      <c r="T223">
        <v>-5.178249E-2</v>
      </c>
      <c r="U223">
        <v>-5.334473E-2</v>
      </c>
      <c r="V223">
        <v>7.8346690000000007E-3</v>
      </c>
      <c r="W223">
        <v>6.861805E-2</v>
      </c>
      <c r="X223">
        <v>0.99761219999999995</v>
      </c>
      <c r="Y223">
        <v>2.109459E-2</v>
      </c>
      <c r="Z223">
        <v>-2.3950919999999999E-4</v>
      </c>
      <c r="AA223">
        <v>0.99977740000000004</v>
      </c>
      <c r="AB223">
        <v>16</v>
      </c>
      <c r="AC223">
        <v>64.317499999999995</v>
      </c>
      <c r="AD223">
        <v>-1.110052302827</v>
      </c>
      <c r="AE223">
        <v>-1.1442000000000101</v>
      </c>
      <c r="AF223">
        <v>1.3604701309609399</v>
      </c>
      <c r="AG223">
        <v>-1.110052302827</v>
      </c>
      <c r="AH223">
        <v>64.294134950419107</v>
      </c>
      <c r="AI223">
        <v>90.988904569052394</v>
      </c>
      <c r="AJ223">
        <v>88.787796648445394</v>
      </c>
      <c r="AK223">
        <v>64.318106969305006</v>
      </c>
      <c r="AL223">
        <v>86.065383401866697</v>
      </c>
      <c r="AM223">
        <v>89.550041349496098</v>
      </c>
      <c r="AN223">
        <v>0.99999996020648996</v>
      </c>
    </row>
    <row r="224" spans="1:40" x14ac:dyDescent="0.25">
      <c r="A224" t="str">
        <f>"20190312150950502"</f>
        <v>20190312150950502</v>
      </c>
      <c r="B224" t="str">
        <f>"1552374590491359"</f>
        <v>1552374590491359</v>
      </c>
      <c r="C224" t="s">
        <v>40</v>
      </c>
      <c r="D224">
        <v>4.8792339999999896</v>
      </c>
      <c r="E224">
        <v>0.50481949999999998</v>
      </c>
      <c r="F224" t="s">
        <v>42</v>
      </c>
      <c r="G224">
        <v>-395.89159999999998</v>
      </c>
      <c r="H224" s="1">
        <v>-2.3731280000000001E-6</v>
      </c>
      <c r="I224">
        <v>366.07420000000002</v>
      </c>
      <c r="J224">
        <v>-457.89609999999999</v>
      </c>
      <c r="K224">
        <v>1.1100410000000001</v>
      </c>
      <c r="L224">
        <v>367.16969999999998</v>
      </c>
      <c r="M224">
        <v>0.99995679999999998</v>
      </c>
      <c r="N224">
        <v>0</v>
      </c>
      <c r="O224">
        <v>3.3977690000000001E-3</v>
      </c>
      <c r="P224">
        <v>0.99819550000000001</v>
      </c>
      <c r="Q224">
        <v>5.9901839999999998E-2</v>
      </c>
      <c r="R224">
        <v>-4.2349149999999997E-3</v>
      </c>
      <c r="S224">
        <v>3.0084529999999998</v>
      </c>
      <c r="T224">
        <v>-5.3715470000000001E-2</v>
      </c>
      <c r="U224">
        <v>-5.2978520000000001E-2</v>
      </c>
      <c r="V224">
        <v>7.6286449999999999E-3</v>
      </c>
      <c r="W224">
        <v>6.8547650000000002E-2</v>
      </c>
      <c r="X224">
        <v>0.99761869999999997</v>
      </c>
      <c r="Y224">
        <v>2.100053E-2</v>
      </c>
      <c r="Z224">
        <v>-2.4811089999999999E-4</v>
      </c>
      <c r="AA224">
        <v>0.99977950000000004</v>
      </c>
      <c r="AB224">
        <v>16</v>
      </c>
      <c r="AC224">
        <v>62.0045</v>
      </c>
      <c r="AD224">
        <v>-1.1100433731279999</v>
      </c>
      <c r="AE224">
        <v>-1.09549999999995</v>
      </c>
      <c r="AF224">
        <v>1.30576015838424</v>
      </c>
      <c r="AG224">
        <v>-1.1100433731279999</v>
      </c>
      <c r="AH224">
        <v>61.980560841479999</v>
      </c>
      <c r="AI224">
        <v>91.025803833594395</v>
      </c>
      <c r="AJ224">
        <v>88.793113844557695</v>
      </c>
      <c r="AK224">
        <v>62.004250887385503</v>
      </c>
      <c r="AL224">
        <v>86.069426794228505</v>
      </c>
      <c r="AM224">
        <v>89.561876052748303</v>
      </c>
      <c r="AN224">
        <v>1.0000000235673701</v>
      </c>
    </row>
    <row r="225" spans="1:40" x14ac:dyDescent="0.25">
      <c r="A225" t="str">
        <f>"20190312150950523"</f>
        <v>20190312150950523</v>
      </c>
      <c r="B225" t="str">
        <f>"1552374590510877"</f>
        <v>1552374590510877</v>
      </c>
      <c r="C225" t="s">
        <v>40</v>
      </c>
      <c r="D225">
        <v>5.1542120000000002</v>
      </c>
      <c r="E225">
        <v>0.50484289999999998</v>
      </c>
      <c r="F225" t="s">
        <v>42</v>
      </c>
      <c r="G225">
        <v>-393.96870000000001</v>
      </c>
      <c r="H225" s="1">
        <v>-3.197667E-6</v>
      </c>
      <c r="I225">
        <v>366.07619999999997</v>
      </c>
      <c r="J225">
        <v>-457.73599999999999</v>
      </c>
      <c r="K225">
        <v>1.1100270000000001</v>
      </c>
      <c r="L225">
        <v>367.1703</v>
      </c>
      <c r="M225">
        <v>0.9999574</v>
      </c>
      <c r="N225">
        <v>0</v>
      </c>
      <c r="O225">
        <v>3.4279670000000001E-3</v>
      </c>
      <c r="P225">
        <v>0.99817319999999998</v>
      </c>
      <c r="Q225">
        <v>6.0298190000000002E-2</v>
      </c>
      <c r="R225">
        <v>-3.8376619999999999E-3</v>
      </c>
      <c r="S225">
        <v>3.0083310000000001</v>
      </c>
      <c r="T225">
        <v>-5.2237029999999997E-2</v>
      </c>
      <c r="U225">
        <v>-5.1452640000000001E-2</v>
      </c>
      <c r="V225">
        <v>7.2607840000000002E-3</v>
      </c>
      <c r="W225">
        <v>6.8860179999999993E-2</v>
      </c>
      <c r="X225">
        <v>0.99759989999999998</v>
      </c>
      <c r="Y225">
        <v>2.0524770000000001E-2</v>
      </c>
      <c r="Z225">
        <v>-2.3768819999999999E-4</v>
      </c>
      <c r="AA225">
        <v>0.99978929999999999</v>
      </c>
      <c r="AB225">
        <v>17</v>
      </c>
      <c r="AC225">
        <v>63.767299999999899</v>
      </c>
      <c r="AD225">
        <v>-1.110030197667</v>
      </c>
      <c r="AE225">
        <v>-1.0941000000000201</v>
      </c>
      <c r="AF225">
        <v>1.3122962621332099</v>
      </c>
      <c r="AG225">
        <v>-1.110030197667</v>
      </c>
      <c r="AH225">
        <v>63.743864550862298</v>
      </c>
      <c r="AI225">
        <v>90.997431658682899</v>
      </c>
      <c r="AJ225">
        <v>88.820617196976102</v>
      </c>
      <c r="AK225">
        <v>63.767033460856702</v>
      </c>
      <c r="AL225">
        <v>86.051477647085207</v>
      </c>
      <c r="AM225">
        <v>89.582994210816395</v>
      </c>
      <c r="AN225">
        <v>1.0000000019269599</v>
      </c>
    </row>
    <row r="226" spans="1:40" x14ac:dyDescent="0.25">
      <c r="A226" t="str">
        <f>"20190312150950546"</f>
        <v>20190312150950546</v>
      </c>
      <c r="B226" t="str">
        <f>"1552374590541134"</f>
        <v>1552374590541134</v>
      </c>
      <c r="C226" t="s">
        <v>40</v>
      </c>
      <c r="D226">
        <v>4.9679250000000001</v>
      </c>
      <c r="E226">
        <v>0.50484340000000005</v>
      </c>
      <c r="F226" t="s">
        <v>42</v>
      </c>
      <c r="G226">
        <v>-390.4511</v>
      </c>
      <c r="H226" s="1">
        <v>-4.7131349999999997E-6</v>
      </c>
      <c r="I226">
        <v>366.03989999999999</v>
      </c>
      <c r="J226">
        <v>-457.56349999999998</v>
      </c>
      <c r="K226">
        <v>1.1100030000000001</v>
      </c>
      <c r="L226">
        <v>367.17090000000002</v>
      </c>
      <c r="M226">
        <v>0.99995820000000002</v>
      </c>
      <c r="N226">
        <v>0</v>
      </c>
      <c r="O226">
        <v>3.4619189999999999E-3</v>
      </c>
      <c r="P226">
        <v>0.99818130000000005</v>
      </c>
      <c r="Q226">
        <v>6.0195079999999998E-2</v>
      </c>
      <c r="R226">
        <v>-3.3166430000000002E-3</v>
      </c>
      <c r="S226">
        <v>3.0083009999999999</v>
      </c>
      <c r="T226">
        <v>-4.9629329999999999E-2</v>
      </c>
      <c r="U226">
        <v>-5.0537110000000003E-2</v>
      </c>
      <c r="V226">
        <v>6.7731759999999997E-3</v>
      </c>
      <c r="W226">
        <v>6.8657529999999994E-2</v>
      </c>
      <c r="X226">
        <v>0.99761730000000004</v>
      </c>
      <c r="Y226">
        <v>2.0255080000000002E-2</v>
      </c>
      <c r="Z226">
        <v>-2.2416290000000001E-4</v>
      </c>
      <c r="AA226">
        <v>0.99979479999999998</v>
      </c>
      <c r="AB226">
        <v>17</v>
      </c>
      <c r="AC226">
        <v>67.112399999999894</v>
      </c>
      <c r="AD226">
        <v>-1.1100077131349999</v>
      </c>
      <c r="AE226">
        <v>-1.13100000000002</v>
      </c>
      <c r="AF226">
        <v>1.3629664924459299</v>
      </c>
      <c r="AG226">
        <v>-1.1100077131349999</v>
      </c>
      <c r="AH226">
        <v>67.089734634726597</v>
      </c>
      <c r="AI226">
        <v>90.947683555807203</v>
      </c>
      <c r="AJ226">
        <v>88.836163427312002</v>
      </c>
      <c r="AK226">
        <v>67.112758013218198</v>
      </c>
      <c r="AL226">
        <v>86.0631161929375</v>
      </c>
      <c r="AM226">
        <v>89.611004704849705</v>
      </c>
      <c r="AN226">
        <v>1.00000000479905</v>
      </c>
    </row>
    <row r="227" spans="1:40" x14ac:dyDescent="0.25">
      <c r="A227" t="str">
        <f>"20190312150950569"</f>
        <v>20190312150950569</v>
      </c>
      <c r="B227" t="str">
        <f>"1552374590560654"</f>
        <v>1552374590560654</v>
      </c>
      <c r="C227" t="s">
        <v>40</v>
      </c>
      <c r="D227">
        <v>4.9678909999999998</v>
      </c>
      <c r="E227">
        <v>0.50488770000000005</v>
      </c>
      <c r="F227" t="s">
        <v>42</v>
      </c>
      <c r="G227">
        <v>-391.0403</v>
      </c>
      <c r="H227" s="1">
        <v>-4.4514159999999999E-6</v>
      </c>
      <c r="I227">
        <v>366.09039999999999</v>
      </c>
      <c r="J227">
        <v>-457.39609999999999</v>
      </c>
      <c r="K227">
        <v>1.109979</v>
      </c>
      <c r="L227">
        <v>367.17149999999998</v>
      </c>
      <c r="M227">
        <v>0.99995889999999998</v>
      </c>
      <c r="N227">
        <v>0</v>
      </c>
      <c r="O227">
        <v>3.4950530000000001E-3</v>
      </c>
      <c r="P227">
        <v>0.99820050000000005</v>
      </c>
      <c r="Q227">
        <v>5.9922400000000001E-2</v>
      </c>
      <c r="R227">
        <v>-2.2601890000000001E-3</v>
      </c>
      <c r="S227">
        <v>3.0083310000000001</v>
      </c>
      <c r="T227">
        <v>-5.019701E-2</v>
      </c>
      <c r="U227">
        <v>-4.8858640000000002E-2</v>
      </c>
      <c r="V227">
        <v>5.7496860000000004E-3</v>
      </c>
      <c r="W227">
        <v>6.827743E-2</v>
      </c>
      <c r="X227">
        <v>0.99764980000000003</v>
      </c>
      <c r="Y227">
        <v>1.9730350000000001E-2</v>
      </c>
      <c r="Z227">
        <v>-2.2290090000000001E-4</v>
      </c>
      <c r="AA227">
        <v>0.99980530000000001</v>
      </c>
      <c r="AB227">
        <v>17</v>
      </c>
      <c r="AC227">
        <v>66.355799999999903</v>
      </c>
      <c r="AD227">
        <v>-1.1099834514160001</v>
      </c>
      <c r="AE227">
        <v>-1.08109999999999</v>
      </c>
      <c r="AF227">
        <v>1.31265134423764</v>
      </c>
      <c r="AG227">
        <v>-1.1099834514160001</v>
      </c>
      <c r="AH227">
        <v>66.333059814643406</v>
      </c>
      <c r="AI227">
        <v>90.958481143513197</v>
      </c>
      <c r="AJ227">
        <v>88.866333510446793</v>
      </c>
      <c r="AK227">
        <v>66.355330917621203</v>
      </c>
      <c r="AL227">
        <v>86.084945505773604</v>
      </c>
      <c r="AM227">
        <v>89.669794857827398</v>
      </c>
      <c r="AN227">
        <v>0.99999999488827096</v>
      </c>
    </row>
    <row r="228" spans="1:40" x14ac:dyDescent="0.25">
      <c r="A228" t="str">
        <f>"20190312150950592"</f>
        <v>20190312150950592</v>
      </c>
      <c r="B228" t="str">
        <f>"1552374590581149"</f>
        <v>1552374590581149</v>
      </c>
      <c r="C228" t="s">
        <v>40</v>
      </c>
      <c r="D228">
        <v>5.026783</v>
      </c>
      <c r="E228">
        <v>0.50488379999999999</v>
      </c>
      <c r="F228" t="s">
        <v>42</v>
      </c>
      <c r="G228">
        <v>-391.90370000000001</v>
      </c>
      <c r="H228" s="1">
        <v>-4.0671030000000003E-6</v>
      </c>
      <c r="I228">
        <v>366.16890000000001</v>
      </c>
      <c r="J228">
        <v>-457.21890000000002</v>
      </c>
      <c r="K228">
        <v>1.1099479999999999</v>
      </c>
      <c r="L228">
        <v>367.17219999999998</v>
      </c>
      <c r="M228">
        <v>0.99995990000000001</v>
      </c>
      <c r="N228">
        <v>0</v>
      </c>
      <c r="O228">
        <v>3.5278929999999998E-3</v>
      </c>
      <c r="P228">
        <v>0.99820200000000003</v>
      </c>
      <c r="Q228">
        <v>5.9917930000000001E-2</v>
      </c>
      <c r="R228">
        <v>-1.614744E-3</v>
      </c>
      <c r="S228">
        <v>3.0083920000000002</v>
      </c>
      <c r="T228">
        <v>-5.0987009999999999E-2</v>
      </c>
      <c r="U228">
        <v>-4.605103E-2</v>
      </c>
      <c r="V228">
        <v>5.1371669999999998E-3</v>
      </c>
      <c r="W228">
        <v>6.8142789999999995E-2</v>
      </c>
      <c r="X228">
        <v>0.99766239999999995</v>
      </c>
      <c r="Y228">
        <v>1.8830019999999999E-2</v>
      </c>
      <c r="Z228">
        <v>-2.193334E-4</v>
      </c>
      <c r="AA228">
        <v>0.99982269999999895</v>
      </c>
      <c r="AB228">
        <v>17</v>
      </c>
      <c r="AC228">
        <v>65.315200000000004</v>
      </c>
      <c r="AD228">
        <v>-1.1099520671030001</v>
      </c>
      <c r="AE228">
        <v>-1.0032999999999599</v>
      </c>
      <c r="AF228">
        <v>1.2333704999792401</v>
      </c>
      <c r="AG228">
        <v>-1.1099520671030001</v>
      </c>
      <c r="AH228">
        <v>65.292402610500005</v>
      </c>
      <c r="AI228">
        <v>90.973744281999103</v>
      </c>
      <c r="AJ228">
        <v>88.917814051397698</v>
      </c>
      <c r="AK228">
        <v>65.313482796686898</v>
      </c>
      <c r="AL228">
        <v>86.092678023575502</v>
      </c>
      <c r="AM228">
        <v>89.704974963066903</v>
      </c>
      <c r="AN228">
        <v>1.00000004734376</v>
      </c>
    </row>
    <row r="229" spans="1:40" x14ac:dyDescent="0.25">
      <c r="A229" t="str">
        <f>"20190312150950613"</f>
        <v>20190312150950613</v>
      </c>
      <c r="B229" t="str">
        <f>"1552374590611406"</f>
        <v>1552374590611406</v>
      </c>
      <c r="C229" t="s">
        <v>40</v>
      </c>
      <c r="D229">
        <v>4.7839549999999997</v>
      </c>
      <c r="E229">
        <v>0.51676009999999895</v>
      </c>
      <c r="F229" t="s">
        <v>42</v>
      </c>
      <c r="G229">
        <v>-391.99400000000003</v>
      </c>
      <c r="H229" s="1">
        <v>-4.0197550000000003E-6</v>
      </c>
      <c r="I229">
        <v>366.21730000000002</v>
      </c>
      <c r="J229">
        <v>-457.05689999999998</v>
      </c>
      <c r="K229">
        <v>1.1099220000000001</v>
      </c>
      <c r="L229">
        <v>367.1728</v>
      </c>
      <c r="M229">
        <v>0.99996090000000004</v>
      </c>
      <c r="N229">
        <v>0</v>
      </c>
      <c r="O229">
        <v>3.5536080000000002E-3</v>
      </c>
      <c r="P229">
        <v>0.99822710000000003</v>
      </c>
      <c r="Q229">
        <v>5.9504870000000001E-2</v>
      </c>
      <c r="R229">
        <v>-1.3383529999999901E-3</v>
      </c>
      <c r="S229">
        <v>3.0083920000000002</v>
      </c>
      <c r="T229">
        <v>-5.1194669999999998E-2</v>
      </c>
      <c r="U229">
        <v>-4.4036869999999999E-2</v>
      </c>
      <c r="V229">
        <v>4.8872350000000002E-3</v>
      </c>
      <c r="W229">
        <v>6.7600939999999998E-2</v>
      </c>
      <c r="X229">
        <v>0.99770049999999999</v>
      </c>
      <c r="Y229">
        <v>1.8186549999999999E-2</v>
      </c>
      <c r="Z229">
        <v>-2.1519080000000001E-4</v>
      </c>
      <c r="AA229">
        <v>0.99983460000000002</v>
      </c>
      <c r="AB229">
        <v>17</v>
      </c>
      <c r="AC229">
        <v>65.0628999999999</v>
      </c>
      <c r="AD229">
        <v>-1.1099260197549901</v>
      </c>
      <c r="AE229">
        <v>-0.95549999999997204</v>
      </c>
      <c r="AF229">
        <v>1.1863644089587899</v>
      </c>
      <c r="AG229">
        <v>-1.1099260197549901</v>
      </c>
      <c r="AH229">
        <v>65.040169737720007</v>
      </c>
      <c r="AI229">
        <v>90.977508681994294</v>
      </c>
      <c r="AJ229">
        <v>88.955012928971797</v>
      </c>
      <c r="AK229">
        <v>65.060457082559793</v>
      </c>
      <c r="AL229">
        <v>86.123795428454997</v>
      </c>
      <c r="AM229">
        <v>89.719338920531101</v>
      </c>
      <c r="AN229">
        <v>1.00000002992753</v>
      </c>
    </row>
    <row r="230" spans="1:40" x14ac:dyDescent="0.25">
      <c r="A230" t="str">
        <f>"20190312150950635"</f>
        <v>20190312150950635</v>
      </c>
      <c r="B230" t="str">
        <f>"1552374590630926"</f>
        <v>1552374590630926</v>
      </c>
      <c r="C230" t="s">
        <v>40</v>
      </c>
      <c r="D230">
        <v>4.825774</v>
      </c>
      <c r="E230">
        <v>0.53518580000000004</v>
      </c>
      <c r="F230" t="s">
        <v>43</v>
      </c>
      <c r="G230">
        <v>-436.19760000000002</v>
      </c>
      <c r="H230">
        <v>-0.05</v>
      </c>
      <c r="I230">
        <v>366.21600000000001</v>
      </c>
      <c r="J230">
        <v>-456.88830000000002</v>
      </c>
      <c r="K230">
        <v>1.1099019999999999</v>
      </c>
      <c r="L230">
        <v>367.17340000000002</v>
      </c>
      <c r="M230">
        <v>0.99996200000000002</v>
      </c>
      <c r="N230">
        <v>0</v>
      </c>
      <c r="O230">
        <v>3.5730190000000002E-3</v>
      </c>
      <c r="P230">
        <v>0.99822529999999998</v>
      </c>
      <c r="Q230">
        <v>5.9534589999999998E-2</v>
      </c>
      <c r="R230">
        <v>-1.455512E-3</v>
      </c>
      <c r="S230">
        <v>3.0151979999999998</v>
      </c>
      <c r="T230">
        <v>-0.1676657</v>
      </c>
      <c r="U230">
        <v>-0.1383057</v>
      </c>
      <c r="V230">
        <v>5.0243659999999997E-3</v>
      </c>
      <c r="W230">
        <v>6.7491029999999994E-2</v>
      </c>
      <c r="X230">
        <v>0.99770720000000002</v>
      </c>
      <c r="Y230">
        <v>4.9308900000000003E-2</v>
      </c>
      <c r="Z230">
        <v>-1.5676170000000001E-3</v>
      </c>
      <c r="AA230">
        <v>0.99878230000000001</v>
      </c>
      <c r="AB230">
        <v>17</v>
      </c>
      <c r="AC230">
        <v>20.6907</v>
      </c>
      <c r="AD230">
        <v>-1.159902</v>
      </c>
      <c r="AE230">
        <v>-0.95740000000000602</v>
      </c>
      <c r="AF230">
        <v>1.0281004611750599</v>
      </c>
      <c r="AG230">
        <v>-1.159902</v>
      </c>
      <c r="AH230">
        <v>20.622476805025101</v>
      </c>
      <c r="AI230">
        <v>93.215199226780896</v>
      </c>
      <c r="AJ230">
        <v>87.145973793423096</v>
      </c>
      <c r="AK230">
        <v>20.6806410147672</v>
      </c>
      <c r="AL230">
        <v>86.130106990856206</v>
      </c>
      <c r="AM230">
        <v>89.711465916028899</v>
      </c>
      <c r="AN230">
        <v>0.99999997015800002</v>
      </c>
    </row>
    <row r="231" spans="1:40" x14ac:dyDescent="0.25">
      <c r="A231" t="str">
        <f>"20190312150950658"</f>
        <v>20190312150950658</v>
      </c>
      <c r="B231" t="str">
        <f>"1552374590651422"</f>
        <v>1552374590651422</v>
      </c>
      <c r="C231" t="s">
        <v>40</v>
      </c>
      <c r="D231">
        <v>4.8100120000000004</v>
      </c>
      <c r="E231">
        <v>0.53687980000000002</v>
      </c>
      <c r="F231" t="s">
        <v>41</v>
      </c>
      <c r="G231">
        <v>-456.15219999999999</v>
      </c>
      <c r="H231">
        <v>1.022645</v>
      </c>
      <c r="I231">
        <v>367.10340000000002</v>
      </c>
      <c r="J231">
        <v>-456.71660000000003</v>
      </c>
      <c r="K231">
        <v>1.1098749999999999</v>
      </c>
      <c r="L231">
        <v>367.17399999999998</v>
      </c>
      <c r="M231">
        <v>0.99996300000000005</v>
      </c>
      <c r="N231">
        <v>0</v>
      </c>
      <c r="O231">
        <v>3.5848E-3</v>
      </c>
      <c r="P231">
        <v>0.99822509999999998</v>
      </c>
      <c r="Q231">
        <v>5.95223E-2</v>
      </c>
      <c r="R231">
        <v>-1.941119E-3</v>
      </c>
      <c r="S231">
        <v>3.026367</v>
      </c>
      <c r="T231">
        <v>-0.35908449999999997</v>
      </c>
      <c r="U231">
        <v>-0.2858887</v>
      </c>
      <c r="V231">
        <v>5.5227409999999899E-3</v>
      </c>
      <c r="W231">
        <v>6.7336409999999999E-2</v>
      </c>
      <c r="X231">
        <v>0.99771509999999997</v>
      </c>
      <c r="Y231">
        <v>9.6916849999999999E-2</v>
      </c>
      <c r="Z231">
        <v>-6.1399549999999999E-3</v>
      </c>
      <c r="AA231">
        <v>0.99527350000000003</v>
      </c>
      <c r="AB231">
        <v>17</v>
      </c>
      <c r="AC231">
        <v>0.56440000000003399</v>
      </c>
      <c r="AD231">
        <v>-8.7229999999999905E-2</v>
      </c>
      <c r="AE231">
        <v>-7.0600000000013097E-2</v>
      </c>
      <c r="AF231">
        <v>7.0954114763656206E-2</v>
      </c>
      <c r="AG231">
        <v>-8.7229999999999905E-2</v>
      </c>
      <c r="AH231">
        <v>0.55118019036955501</v>
      </c>
      <c r="AI231">
        <v>98.920653685331501</v>
      </c>
      <c r="AJ231">
        <v>82.664585351486593</v>
      </c>
      <c r="AK231">
        <v>0.56253280931667704</v>
      </c>
      <c r="AL231">
        <v>86.138986598882298</v>
      </c>
      <c r="AM231">
        <v>89.682848822429406</v>
      </c>
      <c r="AN231">
        <v>1.00000005677392</v>
      </c>
    </row>
    <row r="232" spans="1:40" x14ac:dyDescent="0.25">
      <c r="A232" t="str">
        <f>"20190312150950680"</f>
        <v>20190312150950680</v>
      </c>
      <c r="B232" t="str">
        <f>"1552374590670942"</f>
        <v>1552374590670942</v>
      </c>
      <c r="C232" t="s">
        <v>40</v>
      </c>
      <c r="D232">
        <v>4.9548649999999999</v>
      </c>
      <c r="E232">
        <v>0.54066359999999902</v>
      </c>
      <c r="F232" t="s">
        <v>41</v>
      </c>
      <c r="G232">
        <v>-455.8596</v>
      </c>
      <c r="H232">
        <v>0.99228970000000005</v>
      </c>
      <c r="I232">
        <v>367.08850000000001</v>
      </c>
      <c r="J232">
        <v>-456.54259999999999</v>
      </c>
      <c r="K232">
        <v>1.1098509999999999</v>
      </c>
      <c r="L232">
        <v>367.17469999999997</v>
      </c>
      <c r="M232">
        <v>0.99996419999999997</v>
      </c>
      <c r="N232">
        <v>0</v>
      </c>
      <c r="O232">
        <v>3.5894970000000001E-3</v>
      </c>
      <c r="P232">
        <v>0.99821729999999997</v>
      </c>
      <c r="Q232">
        <v>5.9636979999999999E-2</v>
      </c>
      <c r="R232">
        <v>-2.4280769999999998E-3</v>
      </c>
      <c r="S232">
        <v>3.029541</v>
      </c>
      <c r="T232">
        <v>-0.41597630000000002</v>
      </c>
      <c r="U232">
        <v>-0.30047610000000002</v>
      </c>
      <c r="V232">
        <v>6.0151340000000001E-3</v>
      </c>
      <c r="W232">
        <v>6.7306909999999998E-2</v>
      </c>
      <c r="X232">
        <v>0.9977142</v>
      </c>
      <c r="Y232">
        <v>0.1012946</v>
      </c>
      <c r="Z232">
        <v>-7.3944529999999996E-3</v>
      </c>
      <c r="AA232">
        <v>0.99482899999999996</v>
      </c>
      <c r="AB232">
        <v>17</v>
      </c>
      <c r="AC232">
        <v>0.68299999999999195</v>
      </c>
      <c r="AD232">
        <v>-0.11756129999999899</v>
      </c>
      <c r="AE232">
        <v>-8.6199999999962501E-2</v>
      </c>
      <c r="AF232">
        <v>8.6139114137810502E-2</v>
      </c>
      <c r="AG232">
        <v>-0.11756129999999899</v>
      </c>
      <c r="AH232">
        <v>0.66334150235752598</v>
      </c>
      <c r="AI232">
        <v>99.967951379393099</v>
      </c>
      <c r="AJ232">
        <v>82.601181108579397</v>
      </c>
      <c r="AK232">
        <v>0.67916312841030801</v>
      </c>
      <c r="AL232">
        <v>86.140680500029106</v>
      </c>
      <c r="AM232">
        <v>89.654572806683404</v>
      </c>
      <c r="AN232">
        <v>1.0000000134262099</v>
      </c>
    </row>
    <row r="233" spans="1:40" x14ac:dyDescent="0.25">
      <c r="A233" t="str">
        <f>"20190312150950702"</f>
        <v>20190312150950702</v>
      </c>
      <c r="B233" t="str">
        <f>"1552374590691445"</f>
        <v>1552374590691445</v>
      </c>
      <c r="C233" t="s">
        <v>40</v>
      </c>
      <c r="D233">
        <v>5.1137449999999998</v>
      </c>
      <c r="E233">
        <v>0.5440313</v>
      </c>
      <c r="F233" t="s">
        <v>41</v>
      </c>
      <c r="G233">
        <v>-455.71039999999999</v>
      </c>
      <c r="H233">
        <v>0.98047410000000002</v>
      </c>
      <c r="I233">
        <v>367.08370000000002</v>
      </c>
      <c r="J233">
        <v>-456.3759</v>
      </c>
      <c r="K233">
        <v>1.109828</v>
      </c>
      <c r="L233">
        <v>367.17529999999999</v>
      </c>
      <c r="M233">
        <v>0.99996510000000005</v>
      </c>
      <c r="N233">
        <v>0</v>
      </c>
      <c r="O233">
        <v>3.5895160000000001E-3</v>
      </c>
      <c r="P233">
        <v>0.99823720000000005</v>
      </c>
      <c r="Q233">
        <v>5.9279419999999999E-2</v>
      </c>
      <c r="R233">
        <v>-2.8901270000000001E-3</v>
      </c>
      <c r="S233">
        <v>3.032715</v>
      </c>
      <c r="T233">
        <v>-0.47133419999999998</v>
      </c>
      <c r="U233">
        <v>-0.3321228</v>
      </c>
      <c r="V233">
        <v>6.4774580000000002E-3</v>
      </c>
      <c r="W233">
        <v>6.6815940000000004E-2</v>
      </c>
      <c r="X233">
        <v>0.99774430000000003</v>
      </c>
      <c r="Y233">
        <v>0.11106969999999999</v>
      </c>
      <c r="Z233">
        <v>-9.1073760000000004E-3</v>
      </c>
      <c r="AA233">
        <v>0.99377090000000001</v>
      </c>
      <c r="AB233">
        <v>17</v>
      </c>
      <c r="AC233">
        <v>0.66550000000000797</v>
      </c>
      <c r="AD233">
        <v>-0.12935389999999999</v>
      </c>
      <c r="AE233">
        <v>-9.1599999999971204E-2</v>
      </c>
      <c r="AF233">
        <v>9.0628026575258994E-2</v>
      </c>
      <c r="AG233">
        <v>-0.12935389999999999</v>
      </c>
      <c r="AH233">
        <v>0.64138582491122498</v>
      </c>
      <c r="AI233">
        <v>101.29313289533999</v>
      </c>
      <c r="AJ233">
        <v>81.957331652208097</v>
      </c>
      <c r="AK233">
        <v>0.66054647606598305</v>
      </c>
      <c r="AL233">
        <v>86.168874455899797</v>
      </c>
      <c r="AM233">
        <v>89.628035167490097</v>
      </c>
      <c r="AN233">
        <v>1.00000000774135</v>
      </c>
    </row>
    <row r="234" spans="1:40" x14ac:dyDescent="0.25">
      <c r="A234" t="str">
        <f>"20190312150950714"</f>
        <v>20190312150950714</v>
      </c>
      <c r="B234" t="str">
        <f>"1552374590710958"</f>
        <v>1552374590710958</v>
      </c>
      <c r="C234" t="s">
        <v>40</v>
      </c>
      <c r="D234">
        <v>4.7752299999999996</v>
      </c>
      <c r="E234">
        <v>0.54336660000000003</v>
      </c>
      <c r="F234" t="s">
        <v>41</v>
      </c>
      <c r="G234">
        <v>-455.55880000000002</v>
      </c>
      <c r="H234">
        <v>0.97178969999999998</v>
      </c>
      <c r="I234">
        <v>367.07769999999999</v>
      </c>
      <c r="J234">
        <v>-456.27769999999998</v>
      </c>
      <c r="K234">
        <v>1.1098190000000001</v>
      </c>
      <c r="L234">
        <v>367.17559999999997</v>
      </c>
      <c r="M234">
        <v>0.99996569999999996</v>
      </c>
      <c r="N234">
        <v>0</v>
      </c>
      <c r="O234">
        <v>3.587771E-3</v>
      </c>
      <c r="P234">
        <v>0.99824740000000001</v>
      </c>
      <c r="Q234">
        <v>5.9088300000000003E-2</v>
      </c>
      <c r="R234">
        <v>-3.2924439999999998E-3</v>
      </c>
      <c r="S234">
        <v>3.0346679999999999</v>
      </c>
      <c r="T234">
        <v>-0.51282859999999997</v>
      </c>
      <c r="U234">
        <v>-0.36068729999999999</v>
      </c>
      <c r="V234">
        <v>6.8782060000000004E-3</v>
      </c>
      <c r="W234">
        <v>6.6549510000000006E-2</v>
      </c>
      <c r="X234">
        <v>0.99775939999999996</v>
      </c>
      <c r="Y234">
        <v>0.1198606</v>
      </c>
      <c r="Z234">
        <v>-1.0621810000000001E-2</v>
      </c>
      <c r="AA234">
        <v>0.99273389999999995</v>
      </c>
      <c r="AB234">
        <v>17</v>
      </c>
      <c r="AC234">
        <v>0.71889999999996201</v>
      </c>
      <c r="AD234">
        <v>-0.13802929999999999</v>
      </c>
      <c r="AE234">
        <v>-9.7899999999981405E-2</v>
      </c>
      <c r="AF234">
        <v>9.6969082095563403E-2</v>
      </c>
      <c r="AG234">
        <v>-0.13802929999999999</v>
      </c>
      <c r="AH234">
        <v>0.69344617819518795</v>
      </c>
      <c r="AI234">
        <v>101.15174716928</v>
      </c>
      <c r="AJ234">
        <v>82.039577948050706</v>
      </c>
      <c r="AK234">
        <v>0.71366847527017596</v>
      </c>
      <c r="AL234">
        <v>86.184173731145805</v>
      </c>
      <c r="AM234">
        <v>89.605029096333794</v>
      </c>
      <c r="AN234">
        <v>0.99999998364368903</v>
      </c>
    </row>
    <row r="235" spans="1:40" x14ac:dyDescent="0.25">
      <c r="A235" t="str">
        <f>"20190312150950736"</f>
        <v>20190312150950736</v>
      </c>
      <c r="B235" t="str">
        <f>"1552374590731454"</f>
        <v>1552374590731454</v>
      </c>
      <c r="C235" t="s">
        <v>40</v>
      </c>
      <c r="D235">
        <v>4.952788</v>
      </c>
      <c r="E235">
        <v>0.54394140000000002</v>
      </c>
      <c r="F235" t="s">
        <v>41</v>
      </c>
      <c r="G235">
        <v>-455.55250000000001</v>
      </c>
      <c r="H235">
        <v>0.98538780000000004</v>
      </c>
      <c r="I235">
        <v>367.0899</v>
      </c>
      <c r="J235">
        <v>-456.11250000000001</v>
      </c>
      <c r="K235">
        <v>1.109812</v>
      </c>
      <c r="L235">
        <v>367.17610000000002</v>
      </c>
      <c r="M235">
        <v>0.99996660000000004</v>
      </c>
      <c r="N235">
        <v>0</v>
      </c>
      <c r="O235">
        <v>3.582979E-3</v>
      </c>
      <c r="P235">
        <v>0.99826369999999998</v>
      </c>
      <c r="Q235">
        <v>5.8734219999999997E-2</v>
      </c>
      <c r="R235">
        <v>-4.4809029999999996E-3</v>
      </c>
      <c r="S235">
        <v>3.0348820000000001</v>
      </c>
      <c r="T235">
        <v>-0.52089149999999995</v>
      </c>
      <c r="U235">
        <v>-0.35656739999999998</v>
      </c>
      <c r="V235">
        <v>8.0617069999999996E-3</v>
      </c>
      <c r="W235">
        <v>6.6076099999999999E-2</v>
      </c>
      <c r="X235">
        <v>0.99778199999999995</v>
      </c>
      <c r="Y235">
        <v>0.11848400000000001</v>
      </c>
      <c r="Z235">
        <v>-1.0668840000000001E-2</v>
      </c>
      <c r="AA235">
        <v>0.99289859999999996</v>
      </c>
      <c r="AB235">
        <v>17</v>
      </c>
      <c r="AC235">
        <v>0.56000000000000205</v>
      </c>
      <c r="AD235">
        <v>-0.124424199999999</v>
      </c>
      <c r="AE235">
        <v>-8.6200000000019303E-2</v>
      </c>
      <c r="AF235">
        <v>8.4148012754444904E-2</v>
      </c>
      <c r="AG235">
        <v>-0.124424199999999</v>
      </c>
      <c r="AH235">
        <v>0.53393886051646799</v>
      </c>
      <c r="AI235">
        <v>102.963086279002</v>
      </c>
      <c r="AJ235">
        <v>81.043929245185694</v>
      </c>
      <c r="AK235">
        <v>0.55466474231357699</v>
      </c>
      <c r="AL235">
        <v>86.211357951765805</v>
      </c>
      <c r="AM235">
        <v>89.537081510667605</v>
      </c>
      <c r="AN235">
        <v>0.99999998081748098</v>
      </c>
    </row>
    <row r="236" spans="1:40" x14ac:dyDescent="0.25">
      <c r="A236" t="str">
        <f>"20190312150950759"</f>
        <v>20190312150950759</v>
      </c>
      <c r="B236" t="str">
        <f>"1552374590750866"</f>
        <v>1552374590750866</v>
      </c>
      <c r="C236" t="s">
        <v>40</v>
      </c>
      <c r="D236">
        <v>4.9627600000000003</v>
      </c>
      <c r="E236">
        <v>0.54315040000000003</v>
      </c>
      <c r="F236" t="s">
        <v>41</v>
      </c>
      <c r="G236">
        <v>-455.39710000000002</v>
      </c>
      <c r="H236">
        <v>0.98315790000000003</v>
      </c>
      <c r="I236">
        <v>367.09019999999998</v>
      </c>
      <c r="J236">
        <v>-455.92939999999999</v>
      </c>
      <c r="K236">
        <v>1.109801</v>
      </c>
      <c r="L236">
        <v>367.17680000000001</v>
      </c>
      <c r="M236">
        <v>0.99996759999999996</v>
      </c>
      <c r="N236">
        <v>0</v>
      </c>
      <c r="O236">
        <v>3.576592E-3</v>
      </c>
      <c r="P236">
        <v>0.99828939999999999</v>
      </c>
      <c r="Q236">
        <v>5.8237740000000003E-2</v>
      </c>
      <c r="R236">
        <v>-5.1750829999999996E-3</v>
      </c>
      <c r="S236">
        <v>3.0352169999999998</v>
      </c>
      <c r="T236">
        <v>-0.53746369999999999</v>
      </c>
      <c r="U236">
        <v>-0.36340329999999998</v>
      </c>
      <c r="V236">
        <v>8.7492750000000008E-3</v>
      </c>
      <c r="W236">
        <v>6.5458009999999997E-2</v>
      </c>
      <c r="X236">
        <v>0.99781699999999995</v>
      </c>
      <c r="Y236">
        <v>0.1205267</v>
      </c>
      <c r="Z236">
        <v>-1.11783E-2</v>
      </c>
      <c r="AA236">
        <v>0.99264719999999995</v>
      </c>
      <c r="AB236">
        <v>17</v>
      </c>
      <c r="AC236">
        <v>0.53229999999996302</v>
      </c>
      <c r="AD236">
        <v>-0.12664310000000001</v>
      </c>
      <c r="AE236">
        <v>-8.6600000000032595E-2</v>
      </c>
      <c r="AF236">
        <v>8.3877885154909099E-2</v>
      </c>
      <c r="AG236">
        <v>-0.12664310000000001</v>
      </c>
      <c r="AH236">
        <v>0.50418373610170997</v>
      </c>
      <c r="AI236">
        <v>103.91640983658201</v>
      </c>
      <c r="AJ236">
        <v>80.554566703447705</v>
      </c>
      <c r="AK236">
        <v>0.52656928712672602</v>
      </c>
      <c r="AL236">
        <v>86.246848935640401</v>
      </c>
      <c r="AM236">
        <v>89.497619619152502</v>
      </c>
      <c r="AN236">
        <v>1.00000003318759</v>
      </c>
    </row>
    <row r="237" spans="1:40" x14ac:dyDescent="0.25">
      <c r="A237" t="str">
        <f>"20190312150950783"</f>
        <v>20190312150950783</v>
      </c>
      <c r="B237" t="str">
        <f>"1552374590771362"</f>
        <v>1552374590771362</v>
      </c>
      <c r="C237" t="s">
        <v>40</v>
      </c>
      <c r="D237">
        <v>4.9445129999999997</v>
      </c>
      <c r="E237">
        <v>0.5440431</v>
      </c>
      <c r="F237" t="s">
        <v>41</v>
      </c>
      <c r="G237">
        <v>-455.09109999999998</v>
      </c>
      <c r="H237">
        <v>0.96295359999999997</v>
      </c>
      <c r="I237">
        <v>367.07749999999999</v>
      </c>
      <c r="J237">
        <v>-455.74250000000001</v>
      </c>
      <c r="K237">
        <v>1.109793</v>
      </c>
      <c r="L237">
        <v>367.17739999999998</v>
      </c>
      <c r="M237">
        <v>0.99996830000000003</v>
      </c>
      <c r="N237">
        <v>0</v>
      </c>
      <c r="O237">
        <v>3.5701019999999999E-3</v>
      </c>
      <c r="P237">
        <v>0.99828950000000005</v>
      </c>
      <c r="Q237">
        <v>5.82038E-2</v>
      </c>
      <c r="R237">
        <v>-5.5485329999999996E-3</v>
      </c>
      <c r="S237">
        <v>3.0342709999999999</v>
      </c>
      <c r="T237">
        <v>-0.53150589999999998</v>
      </c>
      <c r="U237">
        <v>-0.35964970000000002</v>
      </c>
      <c r="V237">
        <v>9.1156589999999999E-3</v>
      </c>
      <c r="W237">
        <v>6.5312910000000002E-2</v>
      </c>
      <c r="X237">
        <v>0.99782320000000002</v>
      </c>
      <c r="Y237">
        <v>0.119403</v>
      </c>
      <c r="Z237">
        <v>-1.096194E-2</v>
      </c>
      <c r="AA237">
        <v>0.99278529999999998</v>
      </c>
      <c r="AB237">
        <v>18</v>
      </c>
      <c r="AC237">
        <v>0.65140000000002296</v>
      </c>
      <c r="AD237">
        <v>-0.14683940000000001</v>
      </c>
      <c r="AE237">
        <v>-9.9899999999990996E-2</v>
      </c>
      <c r="AF237">
        <v>9.7389867541587502E-2</v>
      </c>
      <c r="AG237">
        <v>-0.14683940000000001</v>
      </c>
      <c r="AH237">
        <v>0.62024581451768701</v>
      </c>
      <c r="AI237">
        <v>103.163632583347</v>
      </c>
      <c r="AJ237">
        <v>81.076381484690501</v>
      </c>
      <c r="AK237">
        <v>0.64478792336615398</v>
      </c>
      <c r="AL237">
        <v>86.255180275719098</v>
      </c>
      <c r="AM237">
        <v>89.476586374069498</v>
      </c>
      <c r="AN237">
        <v>1.00000000495495</v>
      </c>
    </row>
    <row r="238" spans="1:40" x14ac:dyDescent="0.25">
      <c r="A238" t="str">
        <f>"20190312150950802"</f>
        <v>20190312150950802</v>
      </c>
      <c r="B238" t="str">
        <f>"1552374590790882"</f>
        <v>1552374590790882</v>
      </c>
      <c r="C238" t="s">
        <v>40</v>
      </c>
      <c r="D238">
        <v>5.0743479999999996</v>
      </c>
      <c r="E238">
        <v>0.54416030000000004</v>
      </c>
      <c r="F238" t="s">
        <v>41</v>
      </c>
      <c r="G238">
        <v>-454.93049999999999</v>
      </c>
      <c r="H238">
        <v>0.96646149999999997</v>
      </c>
      <c r="I238">
        <v>367.07850000000002</v>
      </c>
      <c r="J238">
        <v>-455.58629999999999</v>
      </c>
      <c r="K238">
        <v>1.109782</v>
      </c>
      <c r="L238">
        <v>367.178</v>
      </c>
      <c r="M238">
        <v>0.99996890000000005</v>
      </c>
      <c r="N238">
        <v>0</v>
      </c>
      <c r="O238">
        <v>3.565885E-3</v>
      </c>
      <c r="P238">
        <v>0.9983031</v>
      </c>
      <c r="Q238">
        <v>5.7942510000000003E-2</v>
      </c>
      <c r="R238">
        <v>-5.840858E-3</v>
      </c>
      <c r="S238">
        <v>3.0343019999999998</v>
      </c>
      <c r="T238">
        <v>-0.53584639999999994</v>
      </c>
      <c r="U238">
        <v>-0.36801149999999999</v>
      </c>
      <c r="V238">
        <v>9.4035890000000004E-3</v>
      </c>
      <c r="W238">
        <v>6.4968410000000004E-2</v>
      </c>
      <c r="X238">
        <v>0.99784300000000004</v>
      </c>
      <c r="Y238">
        <v>0.1220251</v>
      </c>
      <c r="Z238">
        <v>-1.127643E-2</v>
      </c>
      <c r="AA238">
        <v>0.99246290000000004</v>
      </c>
      <c r="AB238">
        <v>18</v>
      </c>
      <c r="AC238">
        <v>0.65579999999999905</v>
      </c>
      <c r="AD238">
        <v>-0.14332049999999999</v>
      </c>
      <c r="AE238">
        <v>-9.9500000000034505E-2</v>
      </c>
      <c r="AF238">
        <v>9.7295560096994305E-2</v>
      </c>
      <c r="AG238">
        <v>-0.14332049999999999</v>
      </c>
      <c r="AH238">
        <v>0.62620576761622104</v>
      </c>
      <c r="AI238">
        <v>102.7435039316</v>
      </c>
      <c r="AJ238">
        <v>81.168390104804004</v>
      </c>
      <c r="AK238">
        <v>0.64972367598130398</v>
      </c>
      <c r="AL238">
        <v>86.274960617364798</v>
      </c>
      <c r="AM238">
        <v>89.460065348026504</v>
      </c>
      <c r="AN238">
        <v>0.99999998721650396</v>
      </c>
    </row>
    <row r="239" spans="1:40" x14ac:dyDescent="0.25">
      <c r="A239" t="str">
        <f>"20190312150950826"</f>
        <v>20190312150950826</v>
      </c>
      <c r="B239" t="str">
        <f>"1552374590821138"</f>
        <v>1552374590821138</v>
      </c>
      <c r="C239" t="s">
        <v>40</v>
      </c>
      <c r="D239">
        <v>5.0319269999999996</v>
      </c>
      <c r="E239">
        <v>0.54427479999999995</v>
      </c>
      <c r="F239" t="s">
        <v>41</v>
      </c>
      <c r="G239">
        <v>-454.77080000000001</v>
      </c>
      <c r="H239">
        <v>0.96645239999999999</v>
      </c>
      <c r="I239">
        <v>367.07830000000001</v>
      </c>
      <c r="J239">
        <v>-455.4033</v>
      </c>
      <c r="K239">
        <v>1.1097760000000001</v>
      </c>
      <c r="L239">
        <v>367.17869999999999</v>
      </c>
      <c r="M239">
        <v>0.99996949999999996</v>
      </c>
      <c r="N239">
        <v>0</v>
      </c>
      <c r="O239">
        <v>3.5629770000000002E-3</v>
      </c>
      <c r="P239">
        <v>0.99830810000000003</v>
      </c>
      <c r="Q239">
        <v>5.7841299999999998E-2</v>
      </c>
      <c r="R239">
        <v>-5.9662550000000002E-3</v>
      </c>
      <c r="S239">
        <v>3.0338440000000002</v>
      </c>
      <c r="T239">
        <v>-0.53322179999999997</v>
      </c>
      <c r="U239">
        <v>-0.37002560000000001</v>
      </c>
      <c r="V239">
        <v>9.5260299999999996E-3</v>
      </c>
      <c r="W239">
        <v>6.4782350000000002E-2</v>
      </c>
      <c r="X239">
        <v>0.99785389999999996</v>
      </c>
      <c r="Y239">
        <v>0.1226975</v>
      </c>
      <c r="Z239">
        <v>-1.128116E-2</v>
      </c>
      <c r="AA239">
        <v>0.99238000000000004</v>
      </c>
      <c r="AB239">
        <v>18</v>
      </c>
      <c r="AC239">
        <v>0.63249999999999296</v>
      </c>
      <c r="AD239">
        <v>-0.1433236</v>
      </c>
      <c r="AE239">
        <v>-0.10039999999997901</v>
      </c>
      <c r="AF239">
        <v>9.7756854628128095E-2</v>
      </c>
      <c r="AG239">
        <v>-0.1433236</v>
      </c>
      <c r="AH239">
        <v>0.60198773842307096</v>
      </c>
      <c r="AI239">
        <v>103.224848232005</v>
      </c>
      <c r="AJ239">
        <v>80.776248153784294</v>
      </c>
      <c r="AK239">
        <v>0.62648806385714095</v>
      </c>
      <c r="AL239">
        <v>86.285643444011995</v>
      </c>
      <c r="AM239">
        <v>89.453041437523893</v>
      </c>
      <c r="AN239">
        <v>0.99999995193214497</v>
      </c>
    </row>
    <row r="240" spans="1:40" x14ac:dyDescent="0.25">
      <c r="A240" t="str">
        <f>"20190312150950839"</f>
        <v>20190312150950839</v>
      </c>
      <c r="B240" t="str">
        <f>"1552374590830899"</f>
        <v>1552374590830899</v>
      </c>
      <c r="C240" t="s">
        <v>40</v>
      </c>
      <c r="D240">
        <v>6.0633119999999998</v>
      </c>
      <c r="E240">
        <v>0.54429890000000003</v>
      </c>
      <c r="F240" t="s">
        <v>41</v>
      </c>
      <c r="G240">
        <v>-454.60849999999999</v>
      </c>
      <c r="H240">
        <v>0.97019290000000002</v>
      </c>
      <c r="I240">
        <v>367.08109999999999</v>
      </c>
      <c r="J240">
        <v>-455.2955</v>
      </c>
      <c r="K240">
        <v>1.1097709999999901</v>
      </c>
      <c r="L240">
        <v>367.17910000000001</v>
      </c>
      <c r="M240">
        <v>0.99996980000000002</v>
      </c>
      <c r="N240">
        <v>0</v>
      </c>
      <c r="O240">
        <v>3.5621260000000001E-3</v>
      </c>
      <c r="P240">
        <v>0.99828799999999995</v>
      </c>
      <c r="Q240">
        <v>5.8188869999999997E-2</v>
      </c>
      <c r="R240">
        <v>-5.9203179999999999E-3</v>
      </c>
      <c r="S240">
        <v>3.0337830000000001</v>
      </c>
      <c r="T240">
        <v>-0.53289989999999998</v>
      </c>
      <c r="U240">
        <v>-0.37121579999999998</v>
      </c>
      <c r="V240">
        <v>9.4791519999999994E-3</v>
      </c>
      <c r="W240">
        <v>6.5084980000000001E-2</v>
      </c>
      <c r="X240">
        <v>0.99783469999999996</v>
      </c>
      <c r="Y240">
        <v>0.1230792</v>
      </c>
      <c r="Z240">
        <v>-1.130741E-2</v>
      </c>
      <c r="AA240">
        <v>0.99233249999999995</v>
      </c>
      <c r="AB240">
        <v>18</v>
      </c>
      <c r="AC240">
        <v>0.68700000000001105</v>
      </c>
      <c r="AD240">
        <v>-0.13957809999999901</v>
      </c>
      <c r="AE240">
        <v>-9.8000000000013202E-2</v>
      </c>
      <c r="AF240">
        <v>9.6541047042190395E-2</v>
      </c>
      <c r="AG240">
        <v>-0.13957809999999901</v>
      </c>
      <c r="AH240">
        <v>0.65994832109564305</v>
      </c>
      <c r="AI240">
        <v>101.819781484148</v>
      </c>
      <c r="AJ240">
        <v>81.677473894993398</v>
      </c>
      <c r="AK240">
        <v>0.68142057958398194</v>
      </c>
      <c r="AL240">
        <v>86.268267525444401</v>
      </c>
      <c r="AM240">
        <v>89.455722409650605</v>
      </c>
      <c r="AN240">
        <v>0.99999999873416401</v>
      </c>
    </row>
    <row r="241" spans="1:40" x14ac:dyDescent="0.25">
      <c r="A241" t="str">
        <f>"20190312150950858"</f>
        <v>20190312150950858</v>
      </c>
      <c r="B241" t="str">
        <f>"1552374590851025"</f>
        <v>1552374590851025</v>
      </c>
      <c r="C241" t="s">
        <v>40</v>
      </c>
      <c r="D241">
        <v>5.1138190000000003</v>
      </c>
      <c r="E241">
        <v>0.54418500000000003</v>
      </c>
      <c r="F241" t="s">
        <v>41</v>
      </c>
      <c r="G241">
        <v>-454.4511</v>
      </c>
      <c r="H241">
        <v>0.96168909999999996</v>
      </c>
      <c r="I241">
        <v>367.07560000000001</v>
      </c>
      <c r="J241">
        <v>-455.13229999999999</v>
      </c>
      <c r="K241">
        <v>1.109766</v>
      </c>
      <c r="L241">
        <v>367.17970000000003</v>
      </c>
      <c r="M241">
        <v>0.99997020000000003</v>
      </c>
      <c r="N241">
        <v>0</v>
      </c>
      <c r="O241">
        <v>3.561678E-3</v>
      </c>
      <c r="P241">
        <v>0.99830140000000001</v>
      </c>
      <c r="Q241">
        <v>5.797078E-2</v>
      </c>
      <c r="R241">
        <v>-5.8099240000000002E-3</v>
      </c>
      <c r="S241">
        <v>3.0339659999999999</v>
      </c>
      <c r="T241">
        <v>-0.53201960000000004</v>
      </c>
      <c r="U241">
        <v>-0.3713379</v>
      </c>
      <c r="V241">
        <v>9.368187E-3</v>
      </c>
      <c r="W241">
        <v>6.4808519999999994E-2</v>
      </c>
      <c r="X241">
        <v>0.99785380000000001</v>
      </c>
      <c r="Y241">
        <v>0.1231168</v>
      </c>
      <c r="Z241">
        <v>-1.1291499999999999E-2</v>
      </c>
      <c r="AA241">
        <v>0.99232790000000004</v>
      </c>
      <c r="AB241">
        <v>18</v>
      </c>
      <c r="AC241">
        <v>0.68119999999998904</v>
      </c>
      <c r="AD241">
        <v>-0.14807690000000001</v>
      </c>
      <c r="AE241">
        <v>-0.104100000000016</v>
      </c>
      <c r="AF241">
        <v>0.101823968283383</v>
      </c>
      <c r="AG241">
        <v>-0.14807690000000001</v>
      </c>
      <c r="AH241">
        <v>0.65077582677130696</v>
      </c>
      <c r="AI241">
        <v>102.66968900759301</v>
      </c>
      <c r="AJ241">
        <v>81.107287995960306</v>
      </c>
      <c r="AK241">
        <v>0.67513262811129504</v>
      </c>
      <c r="AL241">
        <v>86.284141245589794</v>
      </c>
      <c r="AM241">
        <v>89.462103759556499</v>
      </c>
      <c r="AN241">
        <v>1.00000005668334</v>
      </c>
    </row>
    <row r="242" spans="1:40" x14ac:dyDescent="0.25">
      <c r="A242" t="str">
        <f>"20190312150950880"</f>
        <v>20190312150950880</v>
      </c>
      <c r="B242" t="str">
        <f>"1552374590870548"</f>
        <v>1552374590870548</v>
      </c>
      <c r="C242" t="s">
        <v>40</v>
      </c>
      <c r="D242">
        <v>5.158741</v>
      </c>
      <c r="E242">
        <v>0.54416739999999997</v>
      </c>
      <c r="F242" t="s">
        <v>41</v>
      </c>
      <c r="G242">
        <v>-454.28879999999998</v>
      </c>
      <c r="H242">
        <v>0.96193839999999997</v>
      </c>
      <c r="I242">
        <v>367.0763</v>
      </c>
      <c r="J242">
        <v>-454.95749999999998</v>
      </c>
      <c r="K242">
        <v>1.1097629999999901</v>
      </c>
      <c r="L242">
        <v>367.18029999999999</v>
      </c>
      <c r="M242">
        <v>0.99997060000000004</v>
      </c>
      <c r="N242">
        <v>0</v>
      </c>
      <c r="O242">
        <v>3.5623149999999999E-3</v>
      </c>
      <c r="P242">
        <v>0.99832650000000001</v>
      </c>
      <c r="Q242">
        <v>5.7531289999999999E-2</v>
      </c>
      <c r="R242">
        <v>-5.8859639999999996E-3</v>
      </c>
      <c r="S242">
        <v>3.0338440000000002</v>
      </c>
      <c r="T242">
        <v>-0.53200159999999996</v>
      </c>
      <c r="U242">
        <v>-0.36965940000000003</v>
      </c>
      <c r="V242">
        <v>9.4449129999999992E-3</v>
      </c>
      <c r="W242">
        <v>6.4323630000000007E-2</v>
      </c>
      <c r="X242">
        <v>0.9978844</v>
      </c>
      <c r="Y242">
        <v>0.12258910000000001</v>
      </c>
      <c r="Z242">
        <v>-1.1246290000000001E-2</v>
      </c>
      <c r="AA242">
        <v>0.99239379999999999</v>
      </c>
      <c r="AB242">
        <v>18</v>
      </c>
      <c r="AC242">
        <v>0.66870000000000096</v>
      </c>
      <c r="AD242">
        <v>-0.147824599999999</v>
      </c>
      <c r="AE242">
        <v>-0.10399999999998499</v>
      </c>
      <c r="AF242">
        <v>0.101536733626802</v>
      </c>
      <c r="AG242">
        <v>-0.147824599999999</v>
      </c>
      <c r="AH242">
        <v>0.637888684327517</v>
      </c>
      <c r="AI242">
        <v>102.890673088792</v>
      </c>
      <c r="AJ242">
        <v>80.955747855586296</v>
      </c>
      <c r="AK242">
        <v>0.66261889064065405</v>
      </c>
      <c r="AL242">
        <v>86.311981297244401</v>
      </c>
      <c r="AM242">
        <v>89.457715248498801</v>
      </c>
      <c r="AN242">
        <v>1.00000000576065</v>
      </c>
    </row>
    <row r="243" spans="1:40" x14ac:dyDescent="0.25">
      <c r="A243" t="str">
        <f>"20190312150950892"</f>
        <v>20190312150950892</v>
      </c>
      <c r="B243" t="str">
        <f>"1552374590881281"</f>
        <v>1552374590881281</v>
      </c>
      <c r="C243" t="s">
        <v>40</v>
      </c>
      <c r="D243">
        <v>5.1571170000000004</v>
      </c>
      <c r="E243">
        <v>0.54425509999999999</v>
      </c>
      <c r="F243" t="s">
        <v>41</v>
      </c>
      <c r="G243">
        <v>-454.12520000000001</v>
      </c>
      <c r="H243">
        <v>0.96357490000000001</v>
      </c>
      <c r="I243">
        <v>367.0788</v>
      </c>
      <c r="J243">
        <v>-454.85539999999997</v>
      </c>
      <c r="K243">
        <v>1.1097649999999999</v>
      </c>
      <c r="L243">
        <v>367.18060000000003</v>
      </c>
      <c r="M243">
        <v>0.99997060000000004</v>
      </c>
      <c r="N243">
        <v>0</v>
      </c>
      <c r="O243">
        <v>3.563091E-3</v>
      </c>
      <c r="P243">
        <v>0.99833320000000003</v>
      </c>
      <c r="Q243">
        <v>5.7407779999999999E-2</v>
      </c>
      <c r="R243">
        <v>-5.9289969999999897E-3</v>
      </c>
      <c r="S243">
        <v>3.033569</v>
      </c>
      <c r="T243">
        <v>-0.53285439999999995</v>
      </c>
      <c r="U243">
        <v>-0.36978149999999999</v>
      </c>
      <c r="V243">
        <v>9.4887289999999996E-3</v>
      </c>
      <c r="W243">
        <v>6.4182779999999995E-2</v>
      </c>
      <c r="X243">
        <v>0.99789300000000003</v>
      </c>
      <c r="Y243">
        <v>0.1226329</v>
      </c>
      <c r="Z243">
        <v>-1.126897E-2</v>
      </c>
      <c r="AA243">
        <v>0.9923881</v>
      </c>
      <c r="AB243">
        <v>18</v>
      </c>
      <c r="AC243">
        <v>0.73019999999996799</v>
      </c>
      <c r="AD243">
        <v>-0.14619009999999899</v>
      </c>
      <c r="AE243">
        <v>-0.101800000000025</v>
      </c>
      <c r="AF243">
        <v>0.100451618858953</v>
      </c>
      <c r="AG243">
        <v>-0.14619009999999899</v>
      </c>
      <c r="AH243">
        <v>0.70222259539409804</v>
      </c>
      <c r="AI243">
        <v>101.644725287212</v>
      </c>
      <c r="AJ243">
        <v>81.859174850638396</v>
      </c>
      <c r="AK243">
        <v>0.72427801744317499</v>
      </c>
      <c r="AL243">
        <v>86.320067921266897</v>
      </c>
      <c r="AM243">
        <v>89.455204375506099</v>
      </c>
      <c r="AN243">
        <v>0.99999995233778005</v>
      </c>
    </row>
    <row r="244" spans="1:40" x14ac:dyDescent="0.25">
      <c r="A244" t="str">
        <f>"20190312150950915"</f>
        <v>20190312150950915</v>
      </c>
      <c r="B244" t="str">
        <f>"1552374590911536"</f>
        <v>1552374590911536</v>
      </c>
      <c r="C244" t="s">
        <v>40</v>
      </c>
      <c r="D244">
        <v>4.8360399999999997</v>
      </c>
      <c r="E244">
        <v>0.54392359999999995</v>
      </c>
      <c r="F244" t="s">
        <v>41</v>
      </c>
      <c r="G244">
        <v>-454.11759999999998</v>
      </c>
      <c r="H244">
        <v>0.97987170000000001</v>
      </c>
      <c r="I244">
        <v>367.09050000000002</v>
      </c>
      <c r="J244">
        <v>-454.68020000000001</v>
      </c>
      <c r="K244">
        <v>1.1097729999999999</v>
      </c>
      <c r="L244">
        <v>367.18119999999999</v>
      </c>
      <c r="M244">
        <v>0.99997069999999999</v>
      </c>
      <c r="N244">
        <v>0</v>
      </c>
      <c r="O244">
        <v>3.5641729999999999E-3</v>
      </c>
      <c r="P244">
        <v>0.99832120000000002</v>
      </c>
      <c r="Q244">
        <v>5.757777E-2</v>
      </c>
      <c r="R244">
        <v>-6.2915360000000004E-3</v>
      </c>
      <c r="S244">
        <v>3.0335079999999999</v>
      </c>
      <c r="T244">
        <v>-0.53400429999999999</v>
      </c>
      <c r="U244">
        <v>-0.37045289999999997</v>
      </c>
      <c r="V244">
        <v>9.8523450000000002E-3</v>
      </c>
      <c r="W244">
        <v>6.4333150000000006E-2</v>
      </c>
      <c r="X244">
        <v>0.99787990000000004</v>
      </c>
      <c r="Y244">
        <v>0.1228414</v>
      </c>
      <c r="Z244">
        <v>-1.131133E-2</v>
      </c>
      <c r="AA244">
        <v>0.99236179999999996</v>
      </c>
      <c r="AB244">
        <v>18</v>
      </c>
      <c r="AC244">
        <v>0.56260000000003096</v>
      </c>
      <c r="AD244">
        <v>-0.1299013</v>
      </c>
      <c r="AE244">
        <v>-9.0699999999969805E-2</v>
      </c>
      <c r="AF244">
        <v>8.8125513321446802E-2</v>
      </c>
      <c r="AG244">
        <v>-0.1299013</v>
      </c>
      <c r="AH244">
        <v>0.53449958777170703</v>
      </c>
      <c r="AI244">
        <v>103.484684862714</v>
      </c>
      <c r="AJ244">
        <v>80.637598283126096</v>
      </c>
      <c r="AK244">
        <v>0.55707294241237704</v>
      </c>
      <c r="AL244">
        <v>86.311434905447101</v>
      </c>
      <c r="AM244">
        <v>89.4343212593391</v>
      </c>
      <c r="AN244">
        <v>1.00000005885746</v>
      </c>
    </row>
    <row r="245" spans="1:40" x14ac:dyDescent="0.25">
      <c r="A245" t="str">
        <f>"20190312150950935"</f>
        <v>20190312150950935</v>
      </c>
      <c r="B245" t="str">
        <f>"1552374590931057"</f>
        <v>1552374590931057</v>
      </c>
      <c r="C245" t="s">
        <v>40</v>
      </c>
      <c r="D245">
        <v>5.1629860000000001</v>
      </c>
      <c r="E245">
        <v>0.54391179999999995</v>
      </c>
      <c r="F245" t="s">
        <v>41</v>
      </c>
      <c r="G245">
        <v>-453.9529</v>
      </c>
      <c r="H245">
        <v>0.98229809999999995</v>
      </c>
      <c r="I245">
        <v>367.0924</v>
      </c>
      <c r="J245">
        <v>-454.50220000000002</v>
      </c>
      <c r="K245">
        <v>1.109782</v>
      </c>
      <c r="L245">
        <v>367.18189999999998</v>
      </c>
      <c r="M245">
        <v>0.9999709</v>
      </c>
      <c r="N245">
        <v>0</v>
      </c>
      <c r="O245">
        <v>3.5653310000000001E-3</v>
      </c>
      <c r="P245">
        <v>0.99826530000000002</v>
      </c>
      <c r="Q245">
        <v>5.8495690000000003E-2</v>
      </c>
      <c r="R245">
        <v>-6.7020300000000003E-3</v>
      </c>
      <c r="S245">
        <v>3.0333860000000001</v>
      </c>
      <c r="T245">
        <v>-0.53180959999999999</v>
      </c>
      <c r="U245">
        <v>-0.36856080000000002</v>
      </c>
      <c r="V245">
        <v>1.026372E-2</v>
      </c>
      <c r="W245">
        <v>6.5243899999999994E-2</v>
      </c>
      <c r="X245">
        <v>0.99781660000000005</v>
      </c>
      <c r="Y245">
        <v>0.12226140000000001</v>
      </c>
      <c r="Z245">
        <v>-1.121631E-2</v>
      </c>
      <c r="AA245">
        <v>0.99243459999999994</v>
      </c>
      <c r="AB245">
        <v>18</v>
      </c>
      <c r="AC245">
        <v>0.549300000000016</v>
      </c>
      <c r="AD245">
        <v>-0.12748390000000001</v>
      </c>
      <c r="AE245">
        <v>-8.9499999999986798E-2</v>
      </c>
      <c r="AF245">
        <v>8.6898342458771399E-2</v>
      </c>
      <c r="AG245">
        <v>-0.12748390000000001</v>
      </c>
      <c r="AH245">
        <v>0.521608523907508</v>
      </c>
      <c r="AI245">
        <v>103.554371967031</v>
      </c>
      <c r="AJ245">
        <v>80.541569341152695</v>
      </c>
      <c r="AK245">
        <v>0.54394753321828804</v>
      </c>
      <c r="AL245">
        <v>86.259142835879501</v>
      </c>
      <c r="AM245">
        <v>89.410666149315503</v>
      </c>
      <c r="AN245">
        <v>1.0000000388354999</v>
      </c>
    </row>
    <row r="246" spans="1:40" x14ac:dyDescent="0.25">
      <c r="A246" t="str">
        <f>"20190312150950949"</f>
        <v>20190312150950949</v>
      </c>
      <c r="B246" t="str">
        <f>"1552374590940817"</f>
        <v>1552374590940817</v>
      </c>
      <c r="C246" t="s">
        <v>40</v>
      </c>
      <c r="D246">
        <v>5.1816370000000003</v>
      </c>
      <c r="E246">
        <v>0.54390819999999995</v>
      </c>
      <c r="F246" t="s">
        <v>41</v>
      </c>
      <c r="G246">
        <v>-453.78710000000001</v>
      </c>
      <c r="H246">
        <v>0.98510410000000004</v>
      </c>
      <c r="I246">
        <v>367.09460000000001</v>
      </c>
      <c r="J246">
        <v>-454.39139999999998</v>
      </c>
      <c r="K246">
        <v>1.1097900000000001</v>
      </c>
      <c r="L246">
        <v>367.1823</v>
      </c>
      <c r="M246">
        <v>0.9999709</v>
      </c>
      <c r="N246">
        <v>0</v>
      </c>
      <c r="O246">
        <v>3.566035E-3</v>
      </c>
      <c r="P246">
        <v>0.99826009999999998</v>
      </c>
      <c r="Q246">
        <v>5.855925E-2</v>
      </c>
      <c r="R246">
        <v>-6.9238520000000003E-3</v>
      </c>
      <c r="S246">
        <v>3.033722</v>
      </c>
      <c r="T246">
        <v>-0.52904510000000005</v>
      </c>
      <c r="U246">
        <v>-0.36950680000000002</v>
      </c>
      <c r="V246">
        <v>1.048617E-2</v>
      </c>
      <c r="W246">
        <v>6.5310519999999997E-2</v>
      </c>
      <c r="X246">
        <v>0.99780990000000003</v>
      </c>
      <c r="Y246">
        <v>0.12256930000000001</v>
      </c>
      <c r="Z246">
        <v>-1.118413E-2</v>
      </c>
      <c r="AA246">
        <v>0.99239699999999997</v>
      </c>
      <c r="AB246">
        <v>18</v>
      </c>
      <c r="AC246">
        <v>0.60429999999996598</v>
      </c>
      <c r="AD246">
        <v>-0.1246859</v>
      </c>
      <c r="AE246">
        <v>-8.7699999999983902E-2</v>
      </c>
      <c r="AF246">
        <v>8.6257973721728595E-2</v>
      </c>
      <c r="AG246">
        <v>-0.1246859</v>
      </c>
      <c r="AH246">
        <v>0.57980864800517995</v>
      </c>
      <c r="AI246">
        <v>102.00817385475899</v>
      </c>
      <c r="AJ246">
        <v>81.5381851925424</v>
      </c>
      <c r="AK246">
        <v>0.59930382944795402</v>
      </c>
      <c r="AL246">
        <v>86.255317525152293</v>
      </c>
      <c r="AM246">
        <v>89.397890152038997</v>
      </c>
      <c r="AN246">
        <v>1.0000000101609701</v>
      </c>
    </row>
    <row r="247" spans="1:40" x14ac:dyDescent="0.25">
      <c r="A247" t="str">
        <f>"20190312150950972"</f>
        <v>20190312150950972</v>
      </c>
      <c r="B247" t="str">
        <f>"1552374590961314"</f>
        <v>1552374590961314</v>
      </c>
      <c r="C247" t="s">
        <v>40</v>
      </c>
      <c r="D247">
        <v>4.8688359999999999</v>
      </c>
      <c r="E247">
        <v>0.56244349999999999</v>
      </c>
      <c r="F247" t="s">
        <v>41</v>
      </c>
      <c r="G247">
        <v>-453.62610000000001</v>
      </c>
      <c r="H247">
        <v>0.97646739999999999</v>
      </c>
      <c r="I247">
        <v>367.08839999999998</v>
      </c>
      <c r="J247">
        <v>-454.20780000000002</v>
      </c>
      <c r="K247">
        <v>1.1098059999999901</v>
      </c>
      <c r="L247">
        <v>367.18290000000002</v>
      </c>
      <c r="M247">
        <v>0.99997080000000005</v>
      </c>
      <c r="N247">
        <v>0</v>
      </c>
      <c r="O247">
        <v>3.566994E-3</v>
      </c>
      <c r="P247">
        <v>0.9982219</v>
      </c>
      <c r="Q247">
        <v>5.9136929999999997E-2</v>
      </c>
      <c r="R247">
        <v>-7.4989890000000002E-3</v>
      </c>
      <c r="S247">
        <v>3.0336910000000001</v>
      </c>
      <c r="T247">
        <v>-0.52871780000000002</v>
      </c>
      <c r="U247">
        <v>-0.37048340000000002</v>
      </c>
      <c r="V247">
        <v>1.10621E-2</v>
      </c>
      <c r="W247">
        <v>6.5904329999999997E-2</v>
      </c>
      <c r="X247">
        <v>0.9977646</v>
      </c>
      <c r="Y247">
        <v>0.1228839</v>
      </c>
      <c r="Z247">
        <v>-1.1204479999999999E-2</v>
      </c>
      <c r="AA247">
        <v>0.99235779999999996</v>
      </c>
      <c r="AB247">
        <v>18</v>
      </c>
      <c r="AC247">
        <v>0.58170000000001199</v>
      </c>
      <c r="AD247">
        <v>-0.133338599999999</v>
      </c>
      <c r="AE247">
        <v>-9.4500000000039094E-2</v>
      </c>
      <c r="AF247">
        <v>9.1871307156790594E-2</v>
      </c>
      <c r="AG247">
        <v>-0.133338599999999</v>
      </c>
      <c r="AH247">
        <v>0.55304769258277897</v>
      </c>
      <c r="AI247">
        <v>103.378579104463</v>
      </c>
      <c r="AJ247">
        <v>80.568254002920796</v>
      </c>
      <c r="AK247">
        <v>0.576264930045021</v>
      </c>
      <c r="AL247">
        <v>86.2212211209049</v>
      </c>
      <c r="AM247">
        <v>89.364794386065796</v>
      </c>
      <c r="AN247">
        <v>0.99999997389115902</v>
      </c>
    </row>
    <row r="248" spans="1:40" x14ac:dyDescent="0.25">
      <c r="A248" t="str">
        <f>"20190312150950994"</f>
        <v>20190312150950994</v>
      </c>
      <c r="B248" t="str">
        <f>"1552374590990593"</f>
        <v>1552374590990593</v>
      </c>
      <c r="C248" t="s">
        <v>40</v>
      </c>
      <c r="D248">
        <v>5.0935709999999998</v>
      </c>
      <c r="E248">
        <v>0.56053529999999996</v>
      </c>
      <c r="F248" t="s">
        <v>41</v>
      </c>
      <c r="G248">
        <v>-453.50529999999998</v>
      </c>
      <c r="H248">
        <v>0.87424059999999904</v>
      </c>
      <c r="I248">
        <v>367.0634</v>
      </c>
      <c r="J248">
        <v>-454.02199999999999</v>
      </c>
      <c r="K248">
        <v>1.10982</v>
      </c>
      <c r="L248">
        <v>367.18360000000001</v>
      </c>
      <c r="M248">
        <v>0.99997040000000004</v>
      </c>
      <c r="N248">
        <v>0</v>
      </c>
      <c r="O248">
        <v>3.5680130000000001E-3</v>
      </c>
      <c r="P248">
        <v>0.99813529999999995</v>
      </c>
      <c r="Q248">
        <v>6.044422E-2</v>
      </c>
      <c r="R248">
        <v>-8.4995149999999992E-3</v>
      </c>
      <c r="S248">
        <v>3.0622859999999998</v>
      </c>
      <c r="T248">
        <v>-1.0268729999999999</v>
      </c>
      <c r="U248">
        <v>-0.51934809999999998</v>
      </c>
      <c r="V248">
        <v>1.2063529999999999E-2</v>
      </c>
      <c r="W248">
        <v>6.7244109999999996E-2</v>
      </c>
      <c r="X248">
        <v>0.99766359999999998</v>
      </c>
      <c r="Y248">
        <v>0.16191349999999999</v>
      </c>
      <c r="Z248">
        <v>-2.740809E-2</v>
      </c>
      <c r="AA248">
        <v>0.98642430000000003</v>
      </c>
      <c r="AB248">
        <v>18</v>
      </c>
      <c r="AC248">
        <v>0.51670000000001404</v>
      </c>
      <c r="AD248">
        <v>-0.23557939999999999</v>
      </c>
      <c r="AE248">
        <v>-0.12020000000001101</v>
      </c>
      <c r="AF248">
        <v>0.101940172648034</v>
      </c>
      <c r="AG248">
        <v>-0.23557939999999999</v>
      </c>
      <c r="AH248">
        <v>0.43122905326504402</v>
      </c>
      <c r="AI248">
        <v>117.99711088668199</v>
      </c>
      <c r="AJ248">
        <v>76.699755367878296</v>
      </c>
      <c r="AK248">
        <v>0.50184454653182897</v>
      </c>
      <c r="AL248">
        <v>86.144286712112304</v>
      </c>
      <c r="AM248">
        <v>89.307225730748499</v>
      </c>
      <c r="AN248">
        <v>0.99999997892535597</v>
      </c>
    </row>
    <row r="249" spans="1:40" x14ac:dyDescent="0.25">
      <c r="A249" t="str">
        <f>"20190312150951026"</f>
        <v>20190312150951026</v>
      </c>
      <c r="B249" t="str">
        <f>"1552374591020849"</f>
        <v>1552374591020849</v>
      </c>
      <c r="C249" t="s">
        <v>40</v>
      </c>
      <c r="D249">
        <v>5.1741989999999998</v>
      </c>
      <c r="E249">
        <v>0.55971419999999905</v>
      </c>
      <c r="F249" t="s">
        <v>41</v>
      </c>
      <c r="G249">
        <v>-453.30590000000001</v>
      </c>
      <c r="H249">
        <v>0.94931909999999997</v>
      </c>
      <c r="I249">
        <v>367.0634</v>
      </c>
      <c r="J249">
        <v>-453.75279999999998</v>
      </c>
      <c r="K249">
        <v>1.10985</v>
      </c>
      <c r="L249">
        <v>367.18450000000001</v>
      </c>
      <c r="M249">
        <v>0.99997000000000003</v>
      </c>
      <c r="N249">
        <v>0</v>
      </c>
      <c r="O249">
        <v>3.5687620000000001E-3</v>
      </c>
      <c r="P249">
        <v>0.99810449999999995</v>
      </c>
      <c r="Q249">
        <v>6.0962620000000002E-2</v>
      </c>
      <c r="R249">
        <v>-8.4653630000000001E-3</v>
      </c>
      <c r="S249">
        <v>3.0426030000000002</v>
      </c>
      <c r="T249">
        <v>-0.6821258</v>
      </c>
      <c r="U249">
        <v>-0.50726320000000003</v>
      </c>
      <c r="V249">
        <v>1.2029730000000001E-2</v>
      </c>
      <c r="W249">
        <v>6.7838809999999999E-2</v>
      </c>
      <c r="X249">
        <v>0.9976237</v>
      </c>
      <c r="Y249">
        <v>0.1639224</v>
      </c>
      <c r="Z249">
        <v>-1.8814910000000001E-2</v>
      </c>
      <c r="AA249">
        <v>0.9862938</v>
      </c>
      <c r="AB249">
        <v>19</v>
      </c>
      <c r="AC249">
        <v>0.44689999999997099</v>
      </c>
      <c r="AD249">
        <v>-0.1605309</v>
      </c>
      <c r="AE249">
        <v>-0.121100000000012</v>
      </c>
      <c r="AF249">
        <v>0.109528277836608</v>
      </c>
      <c r="AG249">
        <v>-0.1605309</v>
      </c>
      <c r="AH249">
        <v>0.39855641383249402</v>
      </c>
      <c r="AI249">
        <v>111.225278961897</v>
      </c>
      <c r="AJ249">
        <v>74.6337377605131</v>
      </c>
      <c r="AK249">
        <v>0.443411579131264</v>
      </c>
      <c r="AL249">
        <v>86.110134743924803</v>
      </c>
      <c r="AM249">
        <v>89.309138953146302</v>
      </c>
      <c r="AN249">
        <v>0.99999993267388698</v>
      </c>
    </row>
    <row r="250" spans="1:40" x14ac:dyDescent="0.25">
      <c r="A250" t="str">
        <f>"20190312150951049"</f>
        <v>20190312150951049</v>
      </c>
      <c r="B250" t="str">
        <f>"1552374591041346"</f>
        <v>1552374591041346</v>
      </c>
      <c r="C250" t="s">
        <v>40</v>
      </c>
      <c r="D250">
        <v>5.2724289999999998</v>
      </c>
      <c r="E250">
        <v>0.54848580000000002</v>
      </c>
      <c r="F250" t="s">
        <v>41</v>
      </c>
      <c r="G250">
        <v>-453.00380000000001</v>
      </c>
      <c r="H250">
        <v>0.87423259999999903</v>
      </c>
      <c r="I250">
        <v>367.06139999999999</v>
      </c>
      <c r="J250">
        <v>-453.56580000000002</v>
      </c>
      <c r="K250">
        <v>1.1098840000000001</v>
      </c>
      <c r="L250">
        <v>367.18520000000001</v>
      </c>
      <c r="M250">
        <v>0.99996949999999996</v>
      </c>
      <c r="N250">
        <v>0</v>
      </c>
      <c r="O250">
        <v>3.569362E-3</v>
      </c>
      <c r="P250">
        <v>0.99803450000000005</v>
      </c>
      <c r="Q250">
        <v>6.210123E-2</v>
      </c>
      <c r="R250">
        <v>-8.4323039999999998E-3</v>
      </c>
      <c r="S250">
        <v>3.0602109999999998</v>
      </c>
      <c r="T250">
        <v>-0.96261019999999997</v>
      </c>
      <c r="U250">
        <v>-0.50103759999999997</v>
      </c>
      <c r="V250">
        <v>1.199718E-2</v>
      </c>
      <c r="W250">
        <v>6.9043809999999997E-2</v>
      </c>
      <c r="X250">
        <v>0.99754149999999997</v>
      </c>
      <c r="Y250">
        <v>0.15751289999999901</v>
      </c>
      <c r="Z250">
        <v>-2.512961E-2</v>
      </c>
      <c r="AA250">
        <v>0.9871972</v>
      </c>
      <c r="AB250">
        <v>19</v>
      </c>
      <c r="AC250">
        <v>0.56200000000001105</v>
      </c>
      <c r="AD250">
        <v>-0.23565140000000001</v>
      </c>
      <c r="AE250">
        <v>-0.12380000000001699</v>
      </c>
      <c r="AF250">
        <v>0.10773922728931</v>
      </c>
      <c r="AG250">
        <v>-0.23565140000000001</v>
      </c>
      <c r="AH250">
        <v>0.480913590912523</v>
      </c>
      <c r="AI250">
        <v>115.555049759261</v>
      </c>
      <c r="AJ250">
        <v>77.372508740895199</v>
      </c>
      <c r="AK250">
        <v>0.54627575943220796</v>
      </c>
      <c r="AL250">
        <v>86.040931363062398</v>
      </c>
      <c r="AM250">
        <v>89.310951332782906</v>
      </c>
      <c r="AN250">
        <v>1.0000000121247501</v>
      </c>
    </row>
    <row r="251" spans="1:40" x14ac:dyDescent="0.25">
      <c r="A251" t="str">
        <f>"20190312150951070"</f>
        <v>20190312150951070</v>
      </c>
      <c r="B251" t="str">
        <f>"1552374591060864"</f>
        <v>1552374591060864</v>
      </c>
      <c r="C251" t="s">
        <v>40</v>
      </c>
      <c r="D251">
        <v>4.6889949999999896</v>
      </c>
      <c r="E251">
        <v>0.54391630000000002</v>
      </c>
      <c r="F251" t="s">
        <v>41</v>
      </c>
      <c r="G251">
        <v>-452.79750000000001</v>
      </c>
      <c r="H251">
        <v>0.96133729999999995</v>
      </c>
      <c r="I251">
        <v>367.08100000000002</v>
      </c>
      <c r="J251">
        <v>-453.38029999999998</v>
      </c>
      <c r="K251">
        <v>1.1099270000000001</v>
      </c>
      <c r="L251">
        <v>367.1859</v>
      </c>
      <c r="M251">
        <v>0.99996910000000006</v>
      </c>
      <c r="N251">
        <v>0</v>
      </c>
      <c r="O251">
        <v>3.569647E-3</v>
      </c>
      <c r="P251">
        <v>0.99781980000000003</v>
      </c>
      <c r="Q251">
        <v>6.5484000000000001E-2</v>
      </c>
      <c r="R251">
        <v>-8.2478410000000005E-3</v>
      </c>
      <c r="S251">
        <v>3.0389710000000001</v>
      </c>
      <c r="T251">
        <v>-0.58771989999999996</v>
      </c>
      <c r="U251">
        <v>-0.4113464</v>
      </c>
      <c r="V251">
        <v>1.1812349999999999E-2</v>
      </c>
      <c r="W251">
        <v>7.2496489999999997E-2</v>
      </c>
      <c r="X251">
        <v>0.99729869999999998</v>
      </c>
      <c r="Y251">
        <v>0.13514579999999901</v>
      </c>
      <c r="Z251">
        <v>-1.357212E-2</v>
      </c>
      <c r="AA251">
        <v>0.99073279999999997</v>
      </c>
      <c r="AB251">
        <v>19</v>
      </c>
      <c r="AC251">
        <v>0.58279999999996301</v>
      </c>
      <c r="AD251">
        <v>-0.14858969999999999</v>
      </c>
      <c r="AE251">
        <v>-0.104900000000043</v>
      </c>
      <c r="AF251">
        <v>0.10064290668595099</v>
      </c>
      <c r="AG251">
        <v>-0.14858969999999999</v>
      </c>
      <c r="AH251">
        <v>0.54792250376108598</v>
      </c>
      <c r="AI251">
        <v>104.934552646917</v>
      </c>
      <c r="AJ251">
        <v>79.5918760236233</v>
      </c>
      <c r="AK251">
        <v>0.57656479578630604</v>
      </c>
      <c r="AL251">
        <v>85.842609898486202</v>
      </c>
      <c r="AM251">
        <v>89.3214007450228</v>
      </c>
      <c r="AN251">
        <v>0.99999998484826602</v>
      </c>
    </row>
    <row r="252" spans="1:40" x14ac:dyDescent="0.25">
      <c r="A252" t="str">
        <f>"20190312150951093"</f>
        <v>20190312150951093</v>
      </c>
      <c r="B252" t="str">
        <f>"1552374591081364"</f>
        <v>1552374591081364</v>
      </c>
      <c r="C252" t="s">
        <v>40</v>
      </c>
      <c r="D252">
        <v>6.8959590000000004</v>
      </c>
      <c r="E252">
        <v>0.54281619999999997</v>
      </c>
      <c r="F252" t="s">
        <v>41</v>
      </c>
      <c r="G252">
        <v>-452.62689999999998</v>
      </c>
      <c r="H252">
        <v>0.96552159999999998</v>
      </c>
      <c r="I252">
        <v>367.09280000000001</v>
      </c>
      <c r="J252">
        <v>-453.19310000000002</v>
      </c>
      <c r="K252">
        <v>1.1099600000000001</v>
      </c>
      <c r="L252">
        <v>367.1866</v>
      </c>
      <c r="M252">
        <v>0.99996850000000004</v>
      </c>
      <c r="N252">
        <v>0</v>
      </c>
      <c r="O252">
        <v>3.569872E-3</v>
      </c>
      <c r="P252">
        <v>0.99775670000000005</v>
      </c>
      <c r="Q252">
        <v>6.6487399999999905E-2</v>
      </c>
      <c r="R252">
        <v>-7.8323899999999998E-3</v>
      </c>
      <c r="S252">
        <v>3.0417480000000001</v>
      </c>
      <c r="T252">
        <v>-0.58318230000000004</v>
      </c>
      <c r="U252">
        <v>-0.37417600000000001</v>
      </c>
      <c r="V252">
        <v>1.1397060000000001E-2</v>
      </c>
      <c r="W252">
        <v>7.356936E-2</v>
      </c>
      <c r="X252">
        <v>0.99722500000000003</v>
      </c>
      <c r="Y252">
        <v>0.1233578</v>
      </c>
      <c r="Z252">
        <v>-1.235173E-2</v>
      </c>
      <c r="AA252">
        <v>0.99228539999999998</v>
      </c>
      <c r="AB252">
        <v>19</v>
      </c>
      <c r="AC252">
        <v>0.56620000000003701</v>
      </c>
      <c r="AD252">
        <v>-0.14443839999999999</v>
      </c>
      <c r="AE252">
        <v>-9.3799999999987393E-2</v>
      </c>
      <c r="AF252">
        <v>9.0113096997731595E-2</v>
      </c>
      <c r="AG252">
        <v>-0.14443839999999999</v>
      </c>
      <c r="AH252">
        <v>0.53215565255169395</v>
      </c>
      <c r="AI252">
        <v>104.98195259261099</v>
      </c>
      <c r="AJ252">
        <v>80.388935849854306</v>
      </c>
      <c r="AK252">
        <v>0.55872395705554101</v>
      </c>
      <c r="AL252">
        <v>85.780974533502302</v>
      </c>
      <c r="AM252">
        <v>89.345207944053101</v>
      </c>
      <c r="AN252">
        <v>1.00000002216622</v>
      </c>
    </row>
    <row r="253" spans="1:40" x14ac:dyDescent="0.25">
      <c r="A253" t="str">
        <f>"20190312150951114"</f>
        <v>20190312150951114</v>
      </c>
      <c r="B253" t="str">
        <f>"1552374591110641"</f>
        <v>1552374591110641</v>
      </c>
      <c r="C253" t="s">
        <v>40</v>
      </c>
      <c r="D253">
        <v>5.2423270000000004</v>
      </c>
      <c r="E253">
        <v>0.54142919999999894</v>
      </c>
      <c r="F253" t="s">
        <v>41</v>
      </c>
      <c r="G253">
        <v>-452.45460000000003</v>
      </c>
      <c r="H253">
        <v>0.97128950000000003</v>
      </c>
      <c r="I253">
        <v>367.09769999999997</v>
      </c>
      <c r="J253">
        <v>-453.00869999999998</v>
      </c>
      <c r="K253">
        <v>1.109969</v>
      </c>
      <c r="L253">
        <v>367.18720000000002</v>
      </c>
      <c r="M253">
        <v>0.99996810000000003</v>
      </c>
      <c r="N253">
        <v>0</v>
      </c>
      <c r="O253">
        <v>3.5699949999999999E-3</v>
      </c>
      <c r="P253">
        <v>0.99769960000000002</v>
      </c>
      <c r="Q253">
        <v>6.7450140000000006E-2</v>
      </c>
      <c r="R253">
        <v>-6.8073519999999896E-3</v>
      </c>
      <c r="S253">
        <v>3.0419309999999999</v>
      </c>
      <c r="T253">
        <v>-0.57125499999999996</v>
      </c>
      <c r="U253">
        <v>-0.36514279999999999</v>
      </c>
      <c r="V253">
        <v>1.037189E-2</v>
      </c>
      <c r="W253">
        <v>7.4596490000000001E-2</v>
      </c>
      <c r="X253">
        <v>0.99715980000000004</v>
      </c>
      <c r="Y253">
        <v>0.12058489999999999</v>
      </c>
      <c r="Z253">
        <v>-1.1847659999999999E-2</v>
      </c>
      <c r="AA253">
        <v>0.99263230000000002</v>
      </c>
      <c r="AB253">
        <v>19</v>
      </c>
      <c r="AC253">
        <v>0.55409999999994797</v>
      </c>
      <c r="AD253">
        <v>-0.13867949999999901</v>
      </c>
      <c r="AE253">
        <v>-8.95000000000436E-2</v>
      </c>
      <c r="AF253">
        <v>8.6214495485311807E-2</v>
      </c>
      <c r="AG253">
        <v>-0.13867949999999901</v>
      </c>
      <c r="AH253">
        <v>0.52191566597396299</v>
      </c>
      <c r="AI253">
        <v>104.690063209133</v>
      </c>
      <c r="AJ253">
        <v>80.620098059349402</v>
      </c>
      <c r="AK253">
        <v>0.54686461335606895</v>
      </c>
      <c r="AL253">
        <v>85.721961803171993</v>
      </c>
      <c r="AM253">
        <v>89.404063327852896</v>
      </c>
      <c r="AN253">
        <v>0.99999993957926403</v>
      </c>
    </row>
    <row r="254" spans="1:40" x14ac:dyDescent="0.25">
      <c r="A254" t="str">
        <f>"20190312150951136"</f>
        <v>20190312150951136</v>
      </c>
      <c r="B254" t="str">
        <f>"1552374591131137"</f>
        <v>1552374591131137</v>
      </c>
      <c r="C254" t="s">
        <v>40</v>
      </c>
      <c r="D254">
        <v>5.1575220000000002</v>
      </c>
      <c r="E254">
        <v>0.54056899999999997</v>
      </c>
      <c r="F254" t="s">
        <v>41</v>
      </c>
      <c r="G254">
        <v>-452.28109999999998</v>
      </c>
      <c r="H254">
        <v>0.97808419999999896</v>
      </c>
      <c r="I254">
        <v>367.1026</v>
      </c>
      <c r="J254">
        <v>-452.8134</v>
      </c>
      <c r="K254">
        <v>1.1099760000000001</v>
      </c>
      <c r="L254">
        <v>367.18790000000001</v>
      </c>
      <c r="M254">
        <v>0.99996750000000001</v>
      </c>
      <c r="N254">
        <v>0</v>
      </c>
      <c r="O254">
        <v>3.5704199999999999E-3</v>
      </c>
      <c r="P254">
        <v>0.99745790000000001</v>
      </c>
      <c r="Q254">
        <v>7.1061280000000004E-2</v>
      </c>
      <c r="R254">
        <v>-5.2951269999999898E-3</v>
      </c>
      <c r="S254">
        <v>3.0418699999999999</v>
      </c>
      <c r="T254">
        <v>-0.55151819999999996</v>
      </c>
      <c r="U254">
        <v>-0.35174559999999999</v>
      </c>
      <c r="V254">
        <v>8.8594169999999996E-3</v>
      </c>
      <c r="W254">
        <v>7.8269279999999997E-2</v>
      </c>
      <c r="X254">
        <v>0.99689289999999997</v>
      </c>
      <c r="Y254">
        <v>0.1164835</v>
      </c>
      <c r="Z254">
        <v>-1.108049E-2</v>
      </c>
      <c r="AA254">
        <v>0.99313079999999998</v>
      </c>
      <c r="AB254">
        <v>19</v>
      </c>
      <c r="AC254">
        <v>0.53230000000001998</v>
      </c>
      <c r="AD254">
        <v>-0.1318918</v>
      </c>
      <c r="AE254">
        <v>-8.5300000000017903E-2</v>
      </c>
      <c r="AF254">
        <v>8.2275330568760505E-2</v>
      </c>
      <c r="AG254">
        <v>-0.1318918</v>
      </c>
      <c r="AH254">
        <v>0.50194725693696596</v>
      </c>
      <c r="AI254">
        <v>104.536643703129</v>
      </c>
      <c r="AJ254">
        <v>80.691294256720298</v>
      </c>
      <c r="AK254">
        <v>0.52546714994753296</v>
      </c>
      <c r="AL254">
        <v>85.510909240984105</v>
      </c>
      <c r="AM254">
        <v>89.490824099366705</v>
      </c>
      <c r="AN254">
        <v>1.0000000117658501</v>
      </c>
    </row>
    <row r="255" spans="1:40" x14ac:dyDescent="0.25">
      <c r="A255" t="str">
        <f>"20190312150951162"</f>
        <v>20190312150951162</v>
      </c>
      <c r="B255" t="str">
        <f>"1552374591150657"</f>
        <v>1552374591150657</v>
      </c>
      <c r="C255" t="s">
        <v>40</v>
      </c>
      <c r="D255">
        <v>5.1601499999999998</v>
      </c>
      <c r="E255">
        <v>0.54057659999999996</v>
      </c>
      <c r="F255" t="s">
        <v>41</v>
      </c>
      <c r="G255">
        <v>-452.1071</v>
      </c>
      <c r="H255">
        <v>0.98467910000000003</v>
      </c>
      <c r="I255">
        <v>367.10849999999999</v>
      </c>
      <c r="J255">
        <v>-452.60500000000002</v>
      </c>
      <c r="K255">
        <v>1.1099909999999999</v>
      </c>
      <c r="L255">
        <v>367.18860000000001</v>
      </c>
      <c r="M255">
        <v>0.99996719999999895</v>
      </c>
      <c r="N255">
        <v>0</v>
      </c>
      <c r="O255">
        <v>3.570733E-3</v>
      </c>
      <c r="P255">
        <v>0.99695619999999996</v>
      </c>
      <c r="Q255">
        <v>7.7818029999999996E-2</v>
      </c>
      <c r="R255">
        <v>-4.8111439999999998E-3</v>
      </c>
      <c r="S255">
        <v>3.0442809999999998</v>
      </c>
      <c r="T255">
        <v>-0.54013009999999995</v>
      </c>
      <c r="U255">
        <v>-0.34207149999999997</v>
      </c>
      <c r="V255">
        <v>8.3741909999999996E-3</v>
      </c>
      <c r="W255">
        <v>8.5082840000000007E-2</v>
      </c>
      <c r="X255">
        <v>0.99633870000000002</v>
      </c>
      <c r="Y255">
        <v>0.1134059</v>
      </c>
      <c r="Z255">
        <v>-1.057869E-2</v>
      </c>
      <c r="AA255">
        <v>0.99349240000000005</v>
      </c>
      <c r="AB255">
        <v>19</v>
      </c>
      <c r="AC255">
        <v>0.497900000000015</v>
      </c>
      <c r="AD255">
        <v>-0.1253119</v>
      </c>
      <c r="AE255">
        <v>-8.0100000000015797E-2</v>
      </c>
      <c r="AF255">
        <v>7.7115867462316801E-2</v>
      </c>
      <c r="AG255">
        <v>-0.1253119</v>
      </c>
      <c r="AH255">
        <v>0.46867251139821398</v>
      </c>
      <c r="AI255">
        <v>104.779501256196</v>
      </c>
      <c r="AJ255">
        <v>80.656215715885907</v>
      </c>
      <c r="AK255">
        <v>0.49122688468403702</v>
      </c>
      <c r="AL255">
        <v>85.119211544796698</v>
      </c>
      <c r="AM255">
        <v>89.518442369807701</v>
      </c>
      <c r="AN255">
        <v>1.00000001092753</v>
      </c>
    </row>
    <row r="256" spans="1:40" x14ac:dyDescent="0.25">
      <c r="A256" t="str">
        <f>"20190312150951183"</f>
        <v>20190312150951183</v>
      </c>
      <c r="B256" t="str">
        <f>"1552374591171153"</f>
        <v>1552374591171153</v>
      </c>
      <c r="C256" t="s">
        <v>40</v>
      </c>
      <c r="D256">
        <v>5.1080990000000002</v>
      </c>
      <c r="E256">
        <v>0.54050900000000002</v>
      </c>
      <c r="F256" t="s">
        <v>41</v>
      </c>
      <c r="G256">
        <v>-451.7697</v>
      </c>
      <c r="H256">
        <v>0.97153750000000005</v>
      </c>
      <c r="I256">
        <v>367.0949</v>
      </c>
      <c r="J256">
        <v>-452.41899999999998</v>
      </c>
      <c r="K256">
        <v>1.109988</v>
      </c>
      <c r="L256">
        <v>367.1893</v>
      </c>
      <c r="M256">
        <v>0.99996660000000004</v>
      </c>
      <c r="N256">
        <v>0</v>
      </c>
      <c r="O256">
        <v>3.5712069999999999E-3</v>
      </c>
      <c r="P256">
        <v>0.99670650000000005</v>
      </c>
      <c r="Q256">
        <v>8.0933850000000002E-2</v>
      </c>
      <c r="R256">
        <v>-5.0615460000000001E-3</v>
      </c>
      <c r="S256">
        <v>3.0469360000000001</v>
      </c>
      <c r="T256">
        <v>-0.50508750000000002</v>
      </c>
      <c r="U256">
        <v>-0.34133909999999901</v>
      </c>
      <c r="V256">
        <v>8.6246650000000001E-3</v>
      </c>
      <c r="W256">
        <v>8.8245669999999998E-2</v>
      </c>
      <c r="X256">
        <v>0.99606139999999999</v>
      </c>
      <c r="Y256">
        <v>0.1133035</v>
      </c>
      <c r="Z256">
        <v>-9.8851890000000008E-3</v>
      </c>
      <c r="AA256">
        <v>0.99351129999999999</v>
      </c>
      <c r="AB256">
        <v>19</v>
      </c>
      <c r="AC256">
        <v>0.64930000000003896</v>
      </c>
      <c r="AD256">
        <v>-0.138450499999999</v>
      </c>
      <c r="AE256">
        <v>-9.4400000000007298E-2</v>
      </c>
      <c r="AF256">
        <v>9.2595341826260405E-2</v>
      </c>
      <c r="AG256">
        <v>-0.138450499999999</v>
      </c>
      <c r="AH256">
        <v>0.62129492784393403</v>
      </c>
      <c r="AI256">
        <v>102.429684522494</v>
      </c>
      <c r="AJ256">
        <v>81.523256953575697</v>
      </c>
      <c r="AK256">
        <v>0.64323388098169298</v>
      </c>
      <c r="AL256">
        <v>84.937310202424996</v>
      </c>
      <c r="AM256">
        <v>89.503901511407605</v>
      </c>
      <c r="AN256">
        <v>0.99999999784503502</v>
      </c>
    </row>
    <row r="257" spans="1:40" x14ac:dyDescent="0.25">
      <c r="A257" t="str">
        <f>"20190312150951205"</f>
        <v>20190312150951205</v>
      </c>
      <c r="B257" t="str">
        <f>"1552374591201409"</f>
        <v>1552374591201409</v>
      </c>
      <c r="C257" t="s">
        <v>40</v>
      </c>
      <c r="D257">
        <v>5.2635779999999999</v>
      </c>
      <c r="E257">
        <v>0.54109130000000005</v>
      </c>
      <c r="F257" t="s">
        <v>41</v>
      </c>
      <c r="G257">
        <v>-451.5933</v>
      </c>
      <c r="H257">
        <v>0.97924089999999997</v>
      </c>
      <c r="I257">
        <v>367.09629999999999</v>
      </c>
      <c r="J257">
        <v>-452.22669999999999</v>
      </c>
      <c r="K257">
        <v>1.109977</v>
      </c>
      <c r="L257">
        <v>367.19</v>
      </c>
      <c r="M257">
        <v>0.99996640000000003</v>
      </c>
      <c r="N257">
        <v>0</v>
      </c>
      <c r="O257">
        <v>3.571215E-3</v>
      </c>
      <c r="P257">
        <v>0.99690120000000004</v>
      </c>
      <c r="Q257">
        <v>7.8503219999999999E-2</v>
      </c>
      <c r="R257">
        <v>-5.0424900000000002E-3</v>
      </c>
      <c r="S257">
        <v>3.0473629999999998</v>
      </c>
      <c r="T257">
        <v>-0.48273929999999998</v>
      </c>
      <c r="U257">
        <v>-0.3415222</v>
      </c>
      <c r="V257">
        <v>8.6061530000000001E-3</v>
      </c>
      <c r="W257">
        <v>8.5862469999999996E-2</v>
      </c>
      <c r="X257">
        <v>0.99626979999999998</v>
      </c>
      <c r="Y257">
        <v>0.11348080000000001</v>
      </c>
      <c r="Z257">
        <v>-9.4658490000000001E-3</v>
      </c>
      <c r="AA257">
        <v>0.99349509999999996</v>
      </c>
      <c r="AB257">
        <v>19</v>
      </c>
      <c r="AC257">
        <v>0.63339999999999397</v>
      </c>
      <c r="AD257">
        <v>-0.13073609999999999</v>
      </c>
      <c r="AE257">
        <v>-9.3700000000012496E-2</v>
      </c>
      <c r="AF257">
        <v>9.2120936376393195E-2</v>
      </c>
      <c r="AG257">
        <v>-0.13073609999999999</v>
      </c>
      <c r="AH257">
        <v>0.60772517764561595</v>
      </c>
      <c r="AI257">
        <v>102.00753463227601</v>
      </c>
      <c r="AJ257">
        <v>81.380539610331795</v>
      </c>
      <c r="AK257">
        <v>0.62841712763614999</v>
      </c>
      <c r="AL257">
        <v>85.074377775639704</v>
      </c>
      <c r="AM257">
        <v>89.505069831392106</v>
      </c>
      <c r="AN257">
        <v>0.99999997200799895</v>
      </c>
    </row>
    <row r="258" spans="1:40" x14ac:dyDescent="0.25">
      <c r="A258" t="str">
        <f>"20190312150951226"</f>
        <v>20190312150951226</v>
      </c>
      <c r="B258" t="str">
        <f>"1552374591220929"</f>
        <v>1552374591220929</v>
      </c>
      <c r="C258" t="s">
        <v>40</v>
      </c>
      <c r="D258">
        <v>5.2048350000000001</v>
      </c>
      <c r="E258">
        <v>0.54148940000000001</v>
      </c>
      <c r="F258" t="s">
        <v>41</v>
      </c>
      <c r="G258">
        <v>-451.41930000000002</v>
      </c>
      <c r="H258">
        <v>0.98084349999999998</v>
      </c>
      <c r="I258">
        <v>367.09780000000001</v>
      </c>
      <c r="J258">
        <v>-452.04329999999999</v>
      </c>
      <c r="K258">
        <v>1.1099650000000001</v>
      </c>
      <c r="L258">
        <v>367.19060000000002</v>
      </c>
      <c r="M258">
        <v>0.99996609999999997</v>
      </c>
      <c r="N258">
        <v>0</v>
      </c>
      <c r="O258">
        <v>3.571364E-3</v>
      </c>
      <c r="P258">
        <v>0.99702760000000001</v>
      </c>
      <c r="Q258">
        <v>7.6830809999999999E-2</v>
      </c>
      <c r="R258">
        <v>-5.7383989999999999E-3</v>
      </c>
      <c r="S258">
        <v>3.0459290000000001</v>
      </c>
      <c r="T258">
        <v>-0.48728539999999998</v>
      </c>
      <c r="U258">
        <v>-0.34643550000000001</v>
      </c>
      <c r="V258">
        <v>9.3025810000000007E-3</v>
      </c>
      <c r="W258">
        <v>8.4230940000000004E-2</v>
      </c>
      <c r="X258">
        <v>0.99640289999999998</v>
      </c>
      <c r="Y258">
        <v>0.1150669</v>
      </c>
      <c r="Z258">
        <v>-9.6831550000000006E-3</v>
      </c>
      <c r="AA258">
        <v>0.99331060000000004</v>
      </c>
      <c r="AB258">
        <v>19</v>
      </c>
      <c r="AC258">
        <v>0.62399999999996603</v>
      </c>
      <c r="AD258">
        <v>-0.129121499999999</v>
      </c>
      <c r="AE258">
        <v>-9.2800000000011096E-2</v>
      </c>
      <c r="AF258">
        <v>9.12071825233816E-2</v>
      </c>
      <c r="AG258">
        <v>-0.129121499999999</v>
      </c>
      <c r="AH258">
        <v>0.59858872747903802</v>
      </c>
      <c r="AI258">
        <v>102.037932182029</v>
      </c>
      <c r="AJ258">
        <v>81.336457448582095</v>
      </c>
      <c r="AK258">
        <v>0.61911192572189799</v>
      </c>
      <c r="AL258">
        <v>85.168197930609296</v>
      </c>
      <c r="AM258">
        <v>89.465092740498903</v>
      </c>
      <c r="AN258">
        <v>1.00000006419747</v>
      </c>
    </row>
    <row r="259" spans="1:40" x14ac:dyDescent="0.25">
      <c r="A259" t="str">
        <f>"20190312150951249"</f>
        <v>20190312150951249</v>
      </c>
      <c r="B259" t="str">
        <f>"1552374591241425"</f>
        <v>1552374591241425</v>
      </c>
      <c r="C259" t="s">
        <v>40</v>
      </c>
      <c r="D259">
        <v>5.2531610000000004</v>
      </c>
      <c r="E259">
        <v>0.54217689999999996</v>
      </c>
      <c r="F259" t="s">
        <v>41</v>
      </c>
      <c r="G259">
        <v>-451.2441</v>
      </c>
      <c r="H259">
        <v>0.983348</v>
      </c>
      <c r="I259">
        <v>367.09780000000001</v>
      </c>
      <c r="J259">
        <v>-451.84699999999998</v>
      </c>
      <c r="K259">
        <v>1.109961</v>
      </c>
      <c r="L259">
        <v>367.19130000000001</v>
      </c>
      <c r="M259">
        <v>0.99996580000000002</v>
      </c>
      <c r="N259">
        <v>0</v>
      </c>
      <c r="O259">
        <v>3.5717539999999999E-3</v>
      </c>
      <c r="P259">
        <v>0.99695109999999998</v>
      </c>
      <c r="Q259">
        <v>7.7673000000000006E-2</v>
      </c>
      <c r="R259">
        <v>-7.435573E-3</v>
      </c>
      <c r="S259">
        <v>3.0441280000000002</v>
      </c>
      <c r="T259">
        <v>-0.48237989999999997</v>
      </c>
      <c r="U259">
        <v>-0.35272219999999999</v>
      </c>
      <c r="V259">
        <v>1.099991E-2</v>
      </c>
      <c r="W259">
        <v>8.5110870000000005E-2</v>
      </c>
      <c r="X259">
        <v>0.99631080000000005</v>
      </c>
      <c r="Y259">
        <v>0.1171603</v>
      </c>
      <c r="Z259">
        <v>-9.7556840000000006E-3</v>
      </c>
      <c r="AA259">
        <v>0.99306510000000003</v>
      </c>
      <c r="AB259">
        <v>19</v>
      </c>
      <c r="AC259">
        <v>0.60289999999997601</v>
      </c>
      <c r="AD259">
        <v>-0.126612999999999</v>
      </c>
      <c r="AE259">
        <v>-9.3500000000005898E-2</v>
      </c>
      <c r="AF259">
        <v>9.1703481605641707E-2</v>
      </c>
      <c r="AG259">
        <v>-0.126612999999999</v>
      </c>
      <c r="AH259">
        <v>0.57768311639617298</v>
      </c>
      <c r="AI259">
        <v>102.213996770221</v>
      </c>
      <c r="AJ259">
        <v>80.979927911961695</v>
      </c>
      <c r="AK259">
        <v>0.59846316785311904</v>
      </c>
      <c r="AL259">
        <v>85.117599811357593</v>
      </c>
      <c r="AM259">
        <v>89.367443561091605</v>
      </c>
      <c r="AN259">
        <v>1.0000000342044</v>
      </c>
    </row>
    <row r="260" spans="1:40" x14ac:dyDescent="0.25">
      <c r="A260" t="str">
        <f>"20190312150951271"</f>
        <v>20190312150951271</v>
      </c>
      <c r="B260" t="str">
        <f>"1552374591260944"</f>
        <v>1552374591260944</v>
      </c>
      <c r="C260" t="s">
        <v>40</v>
      </c>
      <c r="D260">
        <v>4.9610200000000004</v>
      </c>
      <c r="E260">
        <v>0.55859130000000001</v>
      </c>
      <c r="F260" t="s">
        <v>41</v>
      </c>
      <c r="G260">
        <v>-451.0675</v>
      </c>
      <c r="H260">
        <v>0.98759479999999999</v>
      </c>
      <c r="I260">
        <v>367.09780000000001</v>
      </c>
      <c r="J260">
        <v>-451.65190000000001</v>
      </c>
      <c r="K260">
        <v>1.1099810000000001</v>
      </c>
      <c r="L260">
        <v>367.19200000000001</v>
      </c>
      <c r="M260">
        <v>0.99996549999999995</v>
      </c>
      <c r="N260">
        <v>0</v>
      </c>
      <c r="O260">
        <v>3.5719789999999999E-3</v>
      </c>
      <c r="P260">
        <v>0.99679770000000001</v>
      </c>
      <c r="Q260">
        <v>7.9464190000000004E-2</v>
      </c>
      <c r="R260">
        <v>-8.9336880000000004E-3</v>
      </c>
      <c r="S260">
        <v>3.043701</v>
      </c>
      <c r="T260">
        <v>-0.47790939999999998</v>
      </c>
      <c r="U260">
        <v>-0.36434939999999999</v>
      </c>
      <c r="V260">
        <v>1.2497680000000001E-2</v>
      </c>
      <c r="W260">
        <v>8.6935620000000005E-2</v>
      </c>
      <c r="X260">
        <v>0.99613549999999995</v>
      </c>
      <c r="Y260">
        <v>0.1208997</v>
      </c>
      <c r="Z260">
        <v>-9.9563849999999999E-3</v>
      </c>
      <c r="AA260">
        <v>0.99261480000000002</v>
      </c>
      <c r="AB260">
        <v>19</v>
      </c>
      <c r="AC260">
        <v>0.58440000000001602</v>
      </c>
      <c r="AD260">
        <v>-0.122386199999999</v>
      </c>
      <c r="AE260">
        <v>-9.4199999999943801E-2</v>
      </c>
      <c r="AF260">
        <v>9.2339687783841995E-2</v>
      </c>
      <c r="AG260">
        <v>-0.122386199999999</v>
      </c>
      <c r="AH260">
        <v>0.56011654161677604</v>
      </c>
      <c r="AI260">
        <v>102.16625653513</v>
      </c>
      <c r="AJ260">
        <v>80.638535954093996</v>
      </c>
      <c r="AK260">
        <v>0.58071984646918595</v>
      </c>
      <c r="AL260">
        <v>85.012659979314805</v>
      </c>
      <c r="AM260">
        <v>89.281195429483304</v>
      </c>
      <c r="AN260">
        <v>0.99999996419520698</v>
      </c>
    </row>
    <row r="261" spans="1:40" x14ac:dyDescent="0.25">
      <c r="A261" t="str">
        <f>"20190312150951293"</f>
        <v>20190312150951293</v>
      </c>
      <c r="B261" t="str">
        <f>"1552374591291201"</f>
        <v>1552374591291201</v>
      </c>
      <c r="C261" t="s">
        <v>40</v>
      </c>
      <c r="D261">
        <v>4.9595209999999996</v>
      </c>
      <c r="E261">
        <v>0.553896099999999</v>
      </c>
      <c r="F261" t="s">
        <v>41</v>
      </c>
      <c r="G261">
        <v>-450.93459999999999</v>
      </c>
      <c r="H261">
        <v>0.89399910000000005</v>
      </c>
      <c r="I261">
        <v>367.0736</v>
      </c>
      <c r="J261">
        <v>-451.45909999999998</v>
      </c>
      <c r="K261">
        <v>1.1099939999999999</v>
      </c>
      <c r="L261">
        <v>367.1927</v>
      </c>
      <c r="M261">
        <v>0.99996529999999995</v>
      </c>
      <c r="N261">
        <v>0</v>
      </c>
      <c r="O261">
        <v>3.5721580000000002E-3</v>
      </c>
      <c r="P261">
        <v>0.9966931</v>
      </c>
      <c r="Q261">
        <v>8.0721539999999994E-2</v>
      </c>
      <c r="R261">
        <v>-9.3193059999999994E-3</v>
      </c>
      <c r="S261">
        <v>3.0790099999999998</v>
      </c>
      <c r="T261">
        <v>-0.92712300000000003</v>
      </c>
      <c r="U261">
        <v>-0.50610350000000004</v>
      </c>
      <c r="V261">
        <v>1.288314E-2</v>
      </c>
      <c r="W261">
        <v>8.8223360000000001E-2</v>
      </c>
      <c r="X261">
        <v>0.99601740000000005</v>
      </c>
      <c r="Y261">
        <v>0.15870680000000001</v>
      </c>
      <c r="Z261">
        <v>-2.4275519999999998E-2</v>
      </c>
      <c r="AA261">
        <v>0.98702730000000005</v>
      </c>
      <c r="AB261">
        <v>20</v>
      </c>
      <c r="AC261">
        <v>0.52449999999998898</v>
      </c>
      <c r="AD261">
        <v>-0.21599489999999999</v>
      </c>
      <c r="AE261">
        <v>-0.119100000000003</v>
      </c>
      <c r="AF261">
        <v>0.10417267616959</v>
      </c>
      <c r="AG261">
        <v>-0.21599489999999999</v>
      </c>
      <c r="AH261">
        <v>0.45129036039327097</v>
      </c>
      <c r="AI261">
        <v>115.002131537735</v>
      </c>
      <c r="AJ261">
        <v>77.001918094702802</v>
      </c>
      <c r="AK261">
        <v>0.51104670302256405</v>
      </c>
      <c r="AL261">
        <v>84.938593481354502</v>
      </c>
      <c r="AM261">
        <v>89.258940267937703</v>
      </c>
      <c r="AN261">
        <v>0.99999999882435398</v>
      </c>
    </row>
    <row r="262" spans="1:40" x14ac:dyDescent="0.25">
      <c r="A262" t="str">
        <f>"20190312150951316"</f>
        <v>20190312150951316</v>
      </c>
      <c r="B262" t="str">
        <f>"1552374591310721"</f>
        <v>1552374591310721</v>
      </c>
      <c r="C262" t="s">
        <v>40</v>
      </c>
      <c r="D262">
        <v>5.1833830000000001</v>
      </c>
      <c r="E262">
        <v>0.55181040000000003</v>
      </c>
      <c r="F262" t="s">
        <v>41</v>
      </c>
      <c r="G262">
        <v>-450.70089999999999</v>
      </c>
      <c r="H262">
        <v>1.0191669999999999</v>
      </c>
      <c r="I262">
        <v>367.07619999999997</v>
      </c>
      <c r="J262">
        <v>-451.25779999999997</v>
      </c>
      <c r="K262">
        <v>1.1100049999999999</v>
      </c>
      <c r="L262">
        <v>367.1934</v>
      </c>
      <c r="M262">
        <v>0.99996499999999999</v>
      </c>
      <c r="N262">
        <v>0</v>
      </c>
      <c r="O262">
        <v>3.5723999999999999E-3</v>
      </c>
      <c r="P262">
        <v>0.99661149999999998</v>
      </c>
      <c r="Q262">
        <v>8.1664509999999996E-2</v>
      </c>
      <c r="R262">
        <v>-9.8411999999999996E-3</v>
      </c>
      <c r="S262">
        <v>3.0350649999999999</v>
      </c>
      <c r="T262">
        <v>-0.36365540000000002</v>
      </c>
      <c r="U262">
        <v>-0.46542359999999999</v>
      </c>
      <c r="V262">
        <v>1.3404940000000001E-2</v>
      </c>
      <c r="W262">
        <v>8.91956E-2</v>
      </c>
      <c r="X262">
        <v>0.99592389999999997</v>
      </c>
      <c r="Y262">
        <v>0.1540058</v>
      </c>
      <c r="Z262">
        <v>-9.5646949999999998E-3</v>
      </c>
      <c r="AA262">
        <v>0.9880236</v>
      </c>
      <c r="AB262">
        <v>20</v>
      </c>
      <c r="AC262">
        <v>0.55689999999998396</v>
      </c>
      <c r="AD262">
        <v>-9.0837999999999905E-2</v>
      </c>
      <c r="AE262">
        <v>-0.11720000000002501</v>
      </c>
      <c r="AF262">
        <v>0.116227570423656</v>
      </c>
      <c r="AG262">
        <v>-9.0837999999999905E-2</v>
      </c>
      <c r="AH262">
        <v>0.54265223215261005</v>
      </c>
      <c r="AI262">
        <v>99.295964033333703</v>
      </c>
      <c r="AJ262">
        <v>77.910800372542894</v>
      </c>
      <c r="AK262">
        <v>0.56234494345623498</v>
      </c>
      <c r="AL262">
        <v>84.882667654234595</v>
      </c>
      <c r="AM262">
        <v>89.228856632234198</v>
      </c>
      <c r="AN262">
        <v>0.99999998103348597</v>
      </c>
    </row>
    <row r="263" spans="1:40" x14ac:dyDescent="0.25">
      <c r="A263" t="str">
        <f>"20190312150951338"</f>
        <v>20190312150951338</v>
      </c>
      <c r="B263" t="str">
        <f>"1552374591331217"</f>
        <v>1552374591331217</v>
      </c>
      <c r="C263" t="s">
        <v>40</v>
      </c>
      <c r="D263">
        <v>5.0796979999999996</v>
      </c>
      <c r="E263">
        <v>0.55085189999999995</v>
      </c>
      <c r="F263" t="s">
        <v>41</v>
      </c>
      <c r="G263">
        <v>-450.51900000000001</v>
      </c>
      <c r="H263">
        <v>1.0309440000000001</v>
      </c>
      <c r="I263">
        <v>367.08300000000003</v>
      </c>
      <c r="J263">
        <v>-451.06549999999999</v>
      </c>
      <c r="K263">
        <v>1.1099909999999999</v>
      </c>
      <c r="L263">
        <v>367.19409999999999</v>
      </c>
      <c r="M263">
        <v>0.99996499999999999</v>
      </c>
      <c r="N263">
        <v>0</v>
      </c>
      <c r="O263">
        <v>3.5724799999999998E-3</v>
      </c>
      <c r="P263">
        <v>0.99638990000000005</v>
      </c>
      <c r="Q263">
        <v>8.4300169999999994E-2</v>
      </c>
      <c r="R263">
        <v>-1.0036929999999999E-2</v>
      </c>
      <c r="S263">
        <v>3.032349</v>
      </c>
      <c r="T263">
        <v>-0.32480540000000002</v>
      </c>
      <c r="U263">
        <v>-0.45077509999999998</v>
      </c>
      <c r="V263">
        <v>1.360019E-2</v>
      </c>
      <c r="W263">
        <v>9.1855389999999995E-2</v>
      </c>
      <c r="X263">
        <v>0.99567950000000005</v>
      </c>
      <c r="Y263">
        <v>0.1497144</v>
      </c>
      <c r="Z263">
        <v>-8.3315609999999995E-3</v>
      </c>
      <c r="AA263">
        <v>0.98869419999999997</v>
      </c>
      <c r="AB263">
        <v>20</v>
      </c>
      <c r="AC263">
        <v>0.54649999999998</v>
      </c>
      <c r="AD263">
        <v>-7.9046999999999798E-2</v>
      </c>
      <c r="AE263">
        <v>-0.11109999999996401</v>
      </c>
      <c r="AF263">
        <v>0.110825113591628</v>
      </c>
      <c r="AG263">
        <v>-7.9046999999999798E-2</v>
      </c>
      <c r="AH263">
        <v>0.53534397261992805</v>
      </c>
      <c r="AI263">
        <v>98.227416986869798</v>
      </c>
      <c r="AJ263">
        <v>78.304032548582001</v>
      </c>
      <c r="AK263">
        <v>0.55238012548614002</v>
      </c>
      <c r="AL263">
        <v>84.729644789904995</v>
      </c>
      <c r="AM263">
        <v>89.217433891664399</v>
      </c>
      <c r="AN263">
        <v>1.0000000222801599</v>
      </c>
    </row>
    <row r="264" spans="1:40" x14ac:dyDescent="0.25">
      <c r="A264" t="str">
        <f>"20190312150951362"</f>
        <v>20190312150951362</v>
      </c>
      <c r="B264" t="str">
        <f>"1552374591350747"</f>
        <v>1552374591350747</v>
      </c>
      <c r="C264" t="s">
        <v>40</v>
      </c>
      <c r="D264">
        <v>4.9791249999999998</v>
      </c>
      <c r="E264">
        <v>0.54884169999999999</v>
      </c>
      <c r="F264" t="s">
        <v>41</v>
      </c>
      <c r="G264">
        <v>-450.16919999999999</v>
      </c>
      <c r="H264">
        <v>1.020311</v>
      </c>
      <c r="I264">
        <v>367.06240000000003</v>
      </c>
      <c r="J264">
        <v>-450.85079999999999</v>
      </c>
      <c r="K264">
        <v>1.1099749999999999</v>
      </c>
      <c r="L264">
        <v>367.19490000000002</v>
      </c>
      <c r="M264">
        <v>0.99996470000000004</v>
      </c>
      <c r="N264">
        <v>0</v>
      </c>
      <c r="O264">
        <v>3.5726759999999999E-3</v>
      </c>
      <c r="P264">
        <v>0.99644319999999997</v>
      </c>
      <c r="Q264">
        <v>8.3713750000000003E-2</v>
      </c>
      <c r="R264">
        <v>-9.6661679999999993E-3</v>
      </c>
      <c r="S264">
        <v>3.0320740000000002</v>
      </c>
      <c r="T264">
        <v>-0.30363430000000002</v>
      </c>
      <c r="U264">
        <v>-0.44384770000000001</v>
      </c>
      <c r="V264">
        <v>1.322954E-2</v>
      </c>
      <c r="W264">
        <v>9.1296039999999995E-2</v>
      </c>
      <c r="X264">
        <v>0.99573590000000001</v>
      </c>
      <c r="Y264">
        <v>0.14763419999999999</v>
      </c>
      <c r="Z264">
        <v>-7.6899000000000004E-3</v>
      </c>
      <c r="AA264">
        <v>0.98901209999999995</v>
      </c>
      <c r="AB264">
        <v>20</v>
      </c>
      <c r="AC264">
        <v>0.68160000000000298</v>
      </c>
      <c r="AD264">
        <v>-8.9663999999999897E-2</v>
      </c>
      <c r="AE264">
        <v>-0.13249999999999301</v>
      </c>
      <c r="AF264">
        <v>0.132721224675376</v>
      </c>
      <c r="AG264">
        <v>-8.9663999999999897E-2</v>
      </c>
      <c r="AH264">
        <v>0.66995077871421704</v>
      </c>
      <c r="AI264">
        <v>97.479317556127498</v>
      </c>
      <c r="AJ264">
        <v>78.794453503982496</v>
      </c>
      <c r="AK264">
        <v>0.68883133078796399</v>
      </c>
      <c r="AL264">
        <v>84.761828220432307</v>
      </c>
      <c r="AM264">
        <v>89.238801965112003</v>
      </c>
      <c r="AN264">
        <v>0.99999998509855104</v>
      </c>
    </row>
    <row r="265" spans="1:40" x14ac:dyDescent="0.25">
      <c r="A265" t="str">
        <f>"20190312150951384"</f>
        <v>20190312150951384</v>
      </c>
      <c r="B265" t="str">
        <f>"1552374591380993"</f>
        <v>1552374591380993</v>
      </c>
      <c r="C265" t="s">
        <v>40</v>
      </c>
      <c r="D265">
        <v>5.1488860000000001</v>
      </c>
      <c r="E265">
        <v>0.55747159999999996</v>
      </c>
      <c r="F265" t="s">
        <v>41</v>
      </c>
      <c r="G265">
        <v>-449.99090000000001</v>
      </c>
      <c r="H265">
        <v>1.021242</v>
      </c>
      <c r="I265">
        <v>367.07350000000002</v>
      </c>
      <c r="J265">
        <v>-450.65010000000001</v>
      </c>
      <c r="K265">
        <v>1.109952</v>
      </c>
      <c r="L265">
        <v>367.19560000000001</v>
      </c>
      <c r="M265">
        <v>0.99996439999999998</v>
      </c>
      <c r="N265">
        <v>0</v>
      </c>
      <c r="O265">
        <v>3.572946E-3</v>
      </c>
      <c r="P265">
        <v>0.99664649999999999</v>
      </c>
      <c r="Q265">
        <v>8.127202E-2</v>
      </c>
      <c r="R265">
        <v>-9.5177360000000006E-3</v>
      </c>
      <c r="S265">
        <v>3.0328369999999998</v>
      </c>
      <c r="T265">
        <v>-0.31312190000000001</v>
      </c>
      <c r="U265">
        <v>-0.4269714</v>
      </c>
      <c r="V265">
        <v>1.308228E-2</v>
      </c>
      <c r="W265">
        <v>8.8878330000000005E-2</v>
      </c>
      <c r="X265">
        <v>0.99595659999999997</v>
      </c>
      <c r="Y265">
        <v>0.14218549999999999</v>
      </c>
      <c r="Z265">
        <v>-7.6509509999999996E-3</v>
      </c>
      <c r="AA265">
        <v>0.98981050000000004</v>
      </c>
      <c r="AB265">
        <v>20</v>
      </c>
      <c r="AC265">
        <v>0.65919999999999801</v>
      </c>
      <c r="AD265">
        <v>-8.8709999999999997E-2</v>
      </c>
      <c r="AE265">
        <v>-0.122099999999989</v>
      </c>
      <c r="AF265">
        <v>0.12231299964468501</v>
      </c>
      <c r="AG265">
        <v>-8.8709999999999997E-2</v>
      </c>
      <c r="AH265">
        <v>0.64742379291461405</v>
      </c>
      <c r="AI265">
        <v>97.668094616619896</v>
      </c>
      <c r="AJ265">
        <v>79.301623167624498</v>
      </c>
      <c r="AK265">
        <v>0.664821405803112</v>
      </c>
      <c r="AL265">
        <v>84.900918604223904</v>
      </c>
      <c r="AM265">
        <v>89.247440776454795</v>
      </c>
      <c r="AN265">
        <v>1.00000002633857</v>
      </c>
    </row>
    <row r="266" spans="1:40" x14ac:dyDescent="0.25">
      <c r="A266" t="str">
        <f>"20190312150951405"</f>
        <v>20190312150951405</v>
      </c>
      <c r="B266" t="str">
        <f>"1552374591400514"</f>
        <v>1552374591400514</v>
      </c>
      <c r="C266" t="s">
        <v>40</v>
      </c>
      <c r="D266">
        <v>5.1491989999999896</v>
      </c>
      <c r="E266">
        <v>0.52037670000000003</v>
      </c>
      <c r="F266" t="s">
        <v>41</v>
      </c>
      <c r="G266">
        <v>-449.86939999999998</v>
      </c>
      <c r="H266">
        <v>0.89695859999999905</v>
      </c>
      <c r="I266">
        <v>367.06729999999999</v>
      </c>
      <c r="J266">
        <v>-450.46390000000002</v>
      </c>
      <c r="K266">
        <v>1.109945</v>
      </c>
      <c r="L266">
        <v>367.19630000000001</v>
      </c>
      <c r="M266">
        <v>0.99996439999999998</v>
      </c>
      <c r="N266">
        <v>0</v>
      </c>
      <c r="O266">
        <v>3.5730499999999999E-3</v>
      </c>
      <c r="P266">
        <v>0.99675519999999995</v>
      </c>
      <c r="Q266">
        <v>7.9923939999999999E-2</v>
      </c>
      <c r="R266">
        <v>-9.5599329999999996E-3</v>
      </c>
      <c r="S266">
        <v>3.0736690000000002</v>
      </c>
      <c r="T266">
        <v>-0.83852309999999997</v>
      </c>
      <c r="U266">
        <v>-0.50329590000000002</v>
      </c>
      <c r="V266">
        <v>1.312488E-2</v>
      </c>
      <c r="W266">
        <v>8.755077E-2</v>
      </c>
      <c r="X266">
        <v>0.9960736</v>
      </c>
      <c r="Y266">
        <v>0.15931670000000001</v>
      </c>
      <c r="Z266">
        <v>-2.2159020000000001E-2</v>
      </c>
      <c r="AA266">
        <v>0.98697880000000004</v>
      </c>
      <c r="AB266">
        <v>20</v>
      </c>
      <c r="AC266">
        <v>0.594500000000039</v>
      </c>
      <c r="AD266">
        <v>-0.21298639999999999</v>
      </c>
      <c r="AE266">
        <v>-0.12900000000001899</v>
      </c>
      <c r="AF266">
        <v>0.11680544544396999</v>
      </c>
      <c r="AG266">
        <v>-0.21298639999999999</v>
      </c>
      <c r="AH266">
        <v>0.52916981408359598</v>
      </c>
      <c r="AI266">
        <v>111.456345521207</v>
      </c>
      <c r="AJ266">
        <v>77.552507534919798</v>
      </c>
      <c r="AK266">
        <v>0.58226060386015399</v>
      </c>
      <c r="AL266">
        <v>84.977279796387606</v>
      </c>
      <c r="AM266">
        <v>89.245079165254396</v>
      </c>
      <c r="AN266">
        <v>1.00000000820978</v>
      </c>
    </row>
    <row r="267" spans="1:40" x14ac:dyDescent="0.25">
      <c r="A267" t="str">
        <f>"20190312150951450"</f>
        <v>20190312150951450</v>
      </c>
      <c r="B267" t="str">
        <f>"1552374591441505"</f>
        <v>1552374591441505</v>
      </c>
      <c r="C267" t="s">
        <v>40</v>
      </c>
      <c r="D267">
        <v>5.4379</v>
      </c>
      <c r="E267">
        <v>0.51017270000000003</v>
      </c>
      <c r="F267" t="s">
        <v>43</v>
      </c>
      <c r="G267">
        <v>-425.18220000000002</v>
      </c>
      <c r="H267">
        <v>-0.05</v>
      </c>
      <c r="I267">
        <v>365.54939999999999</v>
      </c>
      <c r="J267">
        <v>-450.05990000000003</v>
      </c>
      <c r="K267">
        <v>1.109934</v>
      </c>
      <c r="L267">
        <v>367.1977</v>
      </c>
      <c r="M267">
        <v>0.99996399999999996</v>
      </c>
      <c r="N267">
        <v>0</v>
      </c>
      <c r="O267">
        <v>3.573527E-3</v>
      </c>
      <c r="P267">
        <v>0.99686589999999997</v>
      </c>
      <c r="Q267">
        <v>7.846293E-2</v>
      </c>
      <c r="R267">
        <v>-1.009669E-2</v>
      </c>
      <c r="S267">
        <v>3.0189509999999999</v>
      </c>
      <c r="T267">
        <v>-0.13851189999999999</v>
      </c>
      <c r="U267">
        <v>-0.19665530000000001</v>
      </c>
      <c r="V267">
        <v>1.366246E-2</v>
      </c>
      <c r="W267">
        <v>8.6136589999999999E-2</v>
      </c>
      <c r="X267">
        <v>0.99618969999999996</v>
      </c>
      <c r="Y267">
        <v>6.8492639999999994E-2</v>
      </c>
      <c r="Z267">
        <v>-1.7324689999999999E-3</v>
      </c>
      <c r="AA267">
        <v>0.99765009999999998</v>
      </c>
      <c r="AB267">
        <v>20</v>
      </c>
      <c r="AC267">
        <v>24.877700000000001</v>
      </c>
      <c r="AD267">
        <v>-1.159934</v>
      </c>
      <c r="AE267">
        <v>-1.6483000000000001</v>
      </c>
      <c r="AF267">
        <v>1.73344132594734</v>
      </c>
      <c r="AG267">
        <v>-1.159934</v>
      </c>
      <c r="AH267">
        <v>24.817934015907401</v>
      </c>
      <c r="AI267">
        <v>92.669433530324696</v>
      </c>
      <c r="AJ267">
        <v>86.004589513810501</v>
      </c>
      <c r="AK267">
        <v>24.905423395975301</v>
      </c>
      <c r="AL267">
        <v>85.058613821888002</v>
      </c>
      <c r="AM267">
        <v>89.2142538500771</v>
      </c>
      <c r="AN267">
        <v>1.0000000466680801</v>
      </c>
    </row>
    <row r="268" spans="1:40" x14ac:dyDescent="0.25">
      <c r="A268" t="str">
        <f>"20190312150951472"</f>
        <v>20190312150951472</v>
      </c>
      <c r="B268" t="str">
        <f>"1552374591461037"</f>
        <v>1552374591461037</v>
      </c>
      <c r="C268" t="s">
        <v>40</v>
      </c>
      <c r="D268">
        <v>5.3109659999999996</v>
      </c>
      <c r="E268">
        <v>0.50700199999999995</v>
      </c>
      <c r="F268" t="s">
        <v>43</v>
      </c>
      <c r="G268">
        <v>-418.94189999999998</v>
      </c>
      <c r="H268">
        <v>-0.05</v>
      </c>
      <c r="I268">
        <v>365.99689999999998</v>
      </c>
      <c r="J268">
        <v>-449.85750000000002</v>
      </c>
      <c r="K268">
        <v>1.1099289999999999</v>
      </c>
      <c r="L268">
        <v>367.19839999999999</v>
      </c>
      <c r="M268">
        <v>0.99996379999999996</v>
      </c>
      <c r="N268">
        <v>0</v>
      </c>
      <c r="O268">
        <v>3.5735960000000001E-3</v>
      </c>
      <c r="P268">
        <v>0.99703229999999998</v>
      </c>
      <c r="Q268">
        <v>7.6285989999999998E-2</v>
      </c>
      <c r="R268">
        <v>-1.035258E-2</v>
      </c>
      <c r="S268">
        <v>3.0170590000000002</v>
      </c>
      <c r="T268">
        <v>-0.1124619</v>
      </c>
      <c r="U268">
        <v>-0.1164246</v>
      </c>
      <c r="V268">
        <v>1.391884E-2</v>
      </c>
      <c r="W268">
        <v>8.398862E-2</v>
      </c>
      <c r="X268">
        <v>0.99636950000000002</v>
      </c>
      <c r="Y268">
        <v>4.209918E-2</v>
      </c>
      <c r="Z268">
        <v>-9.1718430000000003E-4</v>
      </c>
      <c r="AA268">
        <v>0.99911300000000003</v>
      </c>
      <c r="AB268">
        <v>20</v>
      </c>
      <c r="AC268">
        <v>30.915600000000001</v>
      </c>
      <c r="AD268">
        <v>-1.159929</v>
      </c>
      <c r="AE268">
        <v>-1.20150000000001</v>
      </c>
      <c r="AF268">
        <v>1.31013400310659</v>
      </c>
      <c r="AG268">
        <v>-1.159929</v>
      </c>
      <c r="AH268">
        <v>30.8677220835004</v>
      </c>
      <c r="AI268">
        <v>92.150080422684695</v>
      </c>
      <c r="AJ268">
        <v>87.569625576761595</v>
      </c>
      <c r="AK268">
        <v>30.917279198133699</v>
      </c>
      <c r="AL268">
        <v>85.182130912755099</v>
      </c>
      <c r="AM268">
        <v>89.199655431632493</v>
      </c>
      <c r="AN268">
        <v>1.0000000014633399</v>
      </c>
    </row>
    <row r="269" spans="1:40" x14ac:dyDescent="0.25">
      <c r="A269" t="str">
        <f>"20190312150951494"</f>
        <v>20190312150951494</v>
      </c>
      <c r="B269" t="str">
        <f>"1552374591491281"</f>
        <v>1552374591491281</v>
      </c>
      <c r="C269" t="s">
        <v>40</v>
      </c>
      <c r="D269">
        <v>5.4245539999999997</v>
      </c>
      <c r="E269">
        <v>0.50533629999999996</v>
      </c>
      <c r="F269" t="s">
        <v>43</v>
      </c>
      <c r="G269">
        <v>-417.06330000000003</v>
      </c>
      <c r="H269">
        <v>-0.05</v>
      </c>
      <c r="I269">
        <v>366.19959999999998</v>
      </c>
      <c r="J269">
        <v>-449.66059999999999</v>
      </c>
      <c r="K269">
        <v>1.109936</v>
      </c>
      <c r="L269">
        <v>367.19909999999999</v>
      </c>
      <c r="M269">
        <v>0.99996370000000001</v>
      </c>
      <c r="N269">
        <v>0</v>
      </c>
      <c r="O269">
        <v>3.573667E-3</v>
      </c>
      <c r="P269">
        <v>0.99705319999999997</v>
      </c>
      <c r="Q269">
        <v>7.6016429999999996E-2</v>
      </c>
      <c r="R269">
        <v>-1.033452E-2</v>
      </c>
      <c r="S269">
        <v>3.0161129999999998</v>
      </c>
      <c r="T269">
        <v>-0.1066797</v>
      </c>
      <c r="U269">
        <v>-9.1857910000000001E-2</v>
      </c>
      <c r="V269">
        <v>1.390098E-2</v>
      </c>
      <c r="W269">
        <v>8.3746769999999998E-2</v>
      </c>
      <c r="X269">
        <v>0.99639009999999995</v>
      </c>
      <c r="Y269">
        <v>3.3990060000000002E-2</v>
      </c>
      <c r="Z269">
        <v>-7.2712280000000002E-4</v>
      </c>
      <c r="AA269">
        <v>0.99942189999999997</v>
      </c>
      <c r="AB269">
        <v>20</v>
      </c>
      <c r="AC269">
        <v>32.597299999999898</v>
      </c>
      <c r="AD269">
        <v>-1.1599360000000001</v>
      </c>
      <c r="AE269">
        <v>-0.99950000000001105</v>
      </c>
      <c r="AF269">
        <v>1.11457903494883</v>
      </c>
      <c r="AG269">
        <v>-1.1599360000000001</v>
      </c>
      <c r="AH269">
        <v>32.552340553773</v>
      </c>
      <c r="AI269">
        <v>92.039560174823393</v>
      </c>
      <c r="AJ269">
        <v>88.038981670693204</v>
      </c>
      <c r="AK269">
        <v>32.592063657860898</v>
      </c>
      <c r="AL269">
        <v>85.196036858346105</v>
      </c>
      <c r="AM269">
        <v>89.200698786221096</v>
      </c>
      <c r="AN269">
        <v>0.99999999505420101</v>
      </c>
    </row>
    <row r="270" spans="1:40" x14ac:dyDescent="0.25">
      <c r="A270" t="str">
        <f>"20190312150951517"</f>
        <v>20190312150951517</v>
      </c>
      <c r="B270" t="str">
        <f>"1552374591510801"</f>
        <v>1552374591510801</v>
      </c>
      <c r="C270" t="s">
        <v>40</v>
      </c>
      <c r="D270">
        <v>5.2984519999999904</v>
      </c>
      <c r="E270">
        <v>0.50489870000000003</v>
      </c>
      <c r="F270" t="s">
        <v>43</v>
      </c>
      <c r="G270">
        <v>-419.5129</v>
      </c>
      <c r="H270">
        <v>-0.05</v>
      </c>
      <c r="I270">
        <v>366.41320000000002</v>
      </c>
      <c r="J270">
        <v>-449.45100000000002</v>
      </c>
      <c r="K270">
        <v>1.109934</v>
      </c>
      <c r="L270">
        <v>367.19990000000001</v>
      </c>
      <c r="M270">
        <v>0.9999633</v>
      </c>
      <c r="N270">
        <v>0</v>
      </c>
      <c r="O270">
        <v>3.5740329999999999E-3</v>
      </c>
      <c r="P270">
        <v>0.99698730000000002</v>
      </c>
      <c r="Q270">
        <v>7.6871720000000004E-2</v>
      </c>
      <c r="R270">
        <v>-1.0360680000000001E-2</v>
      </c>
      <c r="S270">
        <v>3.0168759999999999</v>
      </c>
      <c r="T270">
        <v>-0.11607439999999999</v>
      </c>
      <c r="U270">
        <v>-7.86438E-2</v>
      </c>
      <c r="V270">
        <v>1.3927200000000001E-2</v>
      </c>
      <c r="W270">
        <v>8.4630059999999993E-2</v>
      </c>
      <c r="X270">
        <v>0.99631510000000001</v>
      </c>
      <c r="Y270">
        <v>2.9607330000000001E-2</v>
      </c>
      <c r="Z270">
        <v>-7.0670689999999996E-4</v>
      </c>
      <c r="AA270">
        <v>0.99956140000000004</v>
      </c>
      <c r="AB270">
        <v>20</v>
      </c>
      <c r="AC270">
        <v>29.938099999999899</v>
      </c>
      <c r="AD270">
        <v>-1.159934</v>
      </c>
      <c r="AE270">
        <v>-0.78669999999999596</v>
      </c>
      <c r="AF270">
        <v>0.89235935367442698</v>
      </c>
      <c r="AG270">
        <v>-1.159934</v>
      </c>
      <c r="AH270">
        <v>29.8902588198128</v>
      </c>
      <c r="AI270">
        <v>92.221340368250196</v>
      </c>
      <c r="AJ270">
        <v>88.289969883661797</v>
      </c>
      <c r="AK270">
        <v>29.926064298798799</v>
      </c>
      <c r="AL270">
        <v>85.1452477642584</v>
      </c>
      <c r="AM270">
        <v>89.199131067127098</v>
      </c>
      <c r="AN270">
        <v>0.99999999622172597</v>
      </c>
    </row>
    <row r="271" spans="1:40" x14ac:dyDescent="0.25">
      <c r="A271" t="str">
        <f>"20190312150951540"</f>
        <v>20190312150951540</v>
      </c>
      <c r="B271" t="str">
        <f>"1552374591531300"</f>
        <v>1552374591531300</v>
      </c>
      <c r="C271" t="s">
        <v>40</v>
      </c>
      <c r="D271">
        <v>5.2275169999999997</v>
      </c>
      <c r="E271">
        <v>0.50411549999999905</v>
      </c>
      <c r="F271" t="s">
        <v>43</v>
      </c>
      <c r="G271">
        <v>-417.7647</v>
      </c>
      <c r="H271">
        <v>-0.05</v>
      </c>
      <c r="I271">
        <v>366.41230000000002</v>
      </c>
      <c r="J271">
        <v>-449.24489999999997</v>
      </c>
      <c r="K271">
        <v>1.109936</v>
      </c>
      <c r="L271">
        <v>367.20060000000001</v>
      </c>
      <c r="M271">
        <v>0.99996320000000005</v>
      </c>
      <c r="N271">
        <v>0</v>
      </c>
      <c r="O271">
        <v>3.5741089999999998E-3</v>
      </c>
      <c r="P271">
        <v>0.99704119999999996</v>
      </c>
      <c r="Q271">
        <v>7.6191579999999995E-2</v>
      </c>
      <c r="R271">
        <v>-1.01955E-2</v>
      </c>
      <c r="S271">
        <v>3.016785</v>
      </c>
      <c r="T271">
        <v>-0.1104349</v>
      </c>
      <c r="U271">
        <v>-7.4981690000000004E-2</v>
      </c>
      <c r="V271">
        <v>1.3762409999999999E-2</v>
      </c>
      <c r="W271">
        <v>8.3975789999999995E-2</v>
      </c>
      <c r="X271">
        <v>0.99637279999999995</v>
      </c>
      <c r="Y271">
        <v>2.8398719999999999E-2</v>
      </c>
      <c r="Z271">
        <v>-6.503174E-4</v>
      </c>
      <c r="AA271">
        <v>0.9995965</v>
      </c>
      <c r="AB271">
        <v>20</v>
      </c>
      <c r="AC271">
        <v>31.4801999999999</v>
      </c>
      <c r="AD271">
        <v>-1.1599360000000001</v>
      </c>
      <c r="AE271">
        <v>-0.78829999999999201</v>
      </c>
      <c r="AF271">
        <v>0.89959147299483</v>
      </c>
      <c r="AG271">
        <v>-1.1599360000000001</v>
      </c>
      <c r="AH271">
        <v>31.4345305001005</v>
      </c>
      <c r="AI271">
        <v>92.112394739555796</v>
      </c>
      <c r="AJ271">
        <v>88.360760290376803</v>
      </c>
      <c r="AK271">
        <v>31.468784916232899</v>
      </c>
      <c r="AL271">
        <v>85.182868843177999</v>
      </c>
      <c r="AM271">
        <v>89.208651753529907</v>
      </c>
      <c r="AN271">
        <v>1.0000000469074799</v>
      </c>
    </row>
    <row r="272" spans="1:40" x14ac:dyDescent="0.25">
      <c r="A272" t="str">
        <f>"20190312150951551"</f>
        <v>20190312150951551</v>
      </c>
      <c r="B272" t="str">
        <f>"1552374591541057"</f>
        <v>1552374591541057</v>
      </c>
      <c r="C272" t="s">
        <v>40</v>
      </c>
      <c r="D272">
        <v>5.3187389999999999</v>
      </c>
      <c r="E272">
        <v>0.50395190000000001</v>
      </c>
      <c r="F272" t="s">
        <v>43</v>
      </c>
      <c r="G272">
        <v>-416.84230000000002</v>
      </c>
      <c r="H272">
        <v>-0.05</v>
      </c>
      <c r="I272">
        <v>366.46690000000001</v>
      </c>
      <c r="J272">
        <v>-449.1318</v>
      </c>
      <c r="K272">
        <v>1.109931</v>
      </c>
      <c r="L272">
        <v>367.20100000000002</v>
      </c>
      <c r="M272">
        <v>0.99996309999999999</v>
      </c>
      <c r="N272">
        <v>0</v>
      </c>
      <c r="O272">
        <v>3.5742339999999999E-3</v>
      </c>
      <c r="P272">
        <v>0.99706490000000003</v>
      </c>
      <c r="Q272">
        <v>7.5908569999999995E-2</v>
      </c>
      <c r="R272">
        <v>-9.9903379999999996E-3</v>
      </c>
      <c r="S272">
        <v>3.0165099999999998</v>
      </c>
      <c r="T272">
        <v>-0.1079838</v>
      </c>
      <c r="U272">
        <v>-6.8298339999999999E-2</v>
      </c>
      <c r="V272">
        <v>1.3557369999999999E-2</v>
      </c>
      <c r="W272">
        <v>8.3706859999999994E-2</v>
      </c>
      <c r="X272">
        <v>0.99639820000000001</v>
      </c>
      <c r="Y272">
        <v>2.6189939999999998E-2</v>
      </c>
      <c r="Z272">
        <v>-5.9645519999999895E-4</v>
      </c>
      <c r="AA272">
        <v>0.99965680000000001</v>
      </c>
      <c r="AB272">
        <v>20</v>
      </c>
      <c r="AC272">
        <v>32.289499999999897</v>
      </c>
      <c r="AD272">
        <v>-1.159931</v>
      </c>
      <c r="AE272">
        <v>-0.73409999999995501</v>
      </c>
      <c r="AF272">
        <v>0.84841478836135198</v>
      </c>
      <c r="AG272">
        <v>-1.159931</v>
      </c>
      <c r="AH272">
        <v>32.245080595384401</v>
      </c>
      <c r="AI272">
        <v>92.059462796977201</v>
      </c>
      <c r="AJ272">
        <v>88.492812769249994</v>
      </c>
      <c r="AK272">
        <v>32.277088935972898</v>
      </c>
      <c r="AL272">
        <v>85.198331646970999</v>
      </c>
      <c r="AM272">
        <v>89.220460101579505</v>
      </c>
      <c r="AN272">
        <v>1.0000000068278001</v>
      </c>
    </row>
    <row r="273" spans="1:40" x14ac:dyDescent="0.25">
      <c r="A273" t="str">
        <f>"20190312150951566"</f>
        <v>20190312150951566</v>
      </c>
      <c r="B273" t="str">
        <f>"1552374591560576"</f>
        <v>1552374591560576</v>
      </c>
      <c r="C273" t="s">
        <v>40</v>
      </c>
      <c r="D273">
        <v>5.4018560000000004</v>
      </c>
      <c r="E273">
        <v>0.50390900000000005</v>
      </c>
      <c r="F273" t="s">
        <v>43</v>
      </c>
      <c r="G273">
        <v>-416.4751</v>
      </c>
      <c r="H273">
        <v>-0.05</v>
      </c>
      <c r="I273">
        <v>366.48630000000003</v>
      </c>
      <c r="J273">
        <v>-449.0068</v>
      </c>
      <c r="K273">
        <v>1.1099250000000001</v>
      </c>
      <c r="L273">
        <v>367.20139999999998</v>
      </c>
      <c r="M273">
        <v>0.99996289999999999</v>
      </c>
      <c r="N273">
        <v>0</v>
      </c>
      <c r="O273">
        <v>3.5743559999999999E-3</v>
      </c>
      <c r="P273">
        <v>0.99710589999999999</v>
      </c>
      <c r="Q273">
        <v>7.5385300000000002E-2</v>
      </c>
      <c r="R273">
        <v>-9.85194E-3</v>
      </c>
      <c r="S273">
        <v>3.0163570000000002</v>
      </c>
      <c r="T273">
        <v>-0.10713789999999999</v>
      </c>
      <c r="U273">
        <v>-6.6009520000000002E-2</v>
      </c>
      <c r="V273">
        <v>1.3419220000000001E-2</v>
      </c>
      <c r="W273">
        <v>8.3198419999999995E-2</v>
      </c>
      <c r="X273">
        <v>0.99644270000000001</v>
      </c>
      <c r="Y273">
        <v>2.5433799999999999E-2</v>
      </c>
      <c r="Z273">
        <v>-5.78402E-4</v>
      </c>
      <c r="AA273">
        <v>0.99967629999999996</v>
      </c>
      <c r="AB273">
        <v>20</v>
      </c>
      <c r="AC273">
        <v>32.531700000000001</v>
      </c>
      <c r="AD273">
        <v>-1.1599250000000001</v>
      </c>
      <c r="AE273">
        <v>-0.715099999999949</v>
      </c>
      <c r="AF273">
        <v>0.83032380339322998</v>
      </c>
      <c r="AG273">
        <v>-1.1599250000000001</v>
      </c>
      <c r="AH273">
        <v>32.487654630889999</v>
      </c>
      <c r="AI273">
        <v>92.044127907833001</v>
      </c>
      <c r="AJ273">
        <v>88.535945564013403</v>
      </c>
      <c r="AK273">
        <v>32.518957041087504</v>
      </c>
      <c r="AL273">
        <v>85.227565310048504</v>
      </c>
      <c r="AM273">
        <v>89.228437125299905</v>
      </c>
      <c r="AN273">
        <v>1.0000000534695901</v>
      </c>
    </row>
    <row r="274" spans="1:40" x14ac:dyDescent="0.25">
      <c r="A274" t="str">
        <f>"20190312150951586"</f>
        <v>20190312150951586</v>
      </c>
      <c r="B274" t="str">
        <f>"1552374591581075"</f>
        <v>1552374591581075</v>
      </c>
      <c r="C274" t="s">
        <v>40</v>
      </c>
      <c r="D274">
        <v>5.3419080000000001</v>
      </c>
      <c r="E274">
        <v>0.50414579999999998</v>
      </c>
      <c r="F274" t="s">
        <v>43</v>
      </c>
      <c r="G274">
        <v>-416.28070000000002</v>
      </c>
      <c r="H274">
        <v>-0.05</v>
      </c>
      <c r="I274">
        <v>366.49209999999999</v>
      </c>
      <c r="J274">
        <v>-448.81990000000002</v>
      </c>
      <c r="K274">
        <v>1.1099129999999999</v>
      </c>
      <c r="L274">
        <v>367.20209999999997</v>
      </c>
      <c r="M274">
        <v>0.99996269999999998</v>
      </c>
      <c r="N274">
        <v>0</v>
      </c>
      <c r="O274">
        <v>3.5745719999999998E-3</v>
      </c>
      <c r="P274">
        <v>0.99715900000000002</v>
      </c>
      <c r="Q274">
        <v>7.4722540000000004E-2</v>
      </c>
      <c r="R274">
        <v>-9.5158150000000004E-3</v>
      </c>
      <c r="S274">
        <v>3.0161440000000002</v>
      </c>
      <c r="T274">
        <v>-0.1069026</v>
      </c>
      <c r="U274">
        <v>-6.536865E-2</v>
      </c>
      <c r="V274">
        <v>1.308336E-2</v>
      </c>
      <c r="W274">
        <v>8.2556420000000005E-2</v>
      </c>
      <c r="X274">
        <v>0.99650050000000001</v>
      </c>
      <c r="Y274">
        <v>2.522346E-2</v>
      </c>
      <c r="Z274">
        <v>-5.7345629999999996E-4</v>
      </c>
      <c r="AA274">
        <v>0.99968170000000001</v>
      </c>
      <c r="AB274">
        <v>21</v>
      </c>
      <c r="AC274">
        <v>32.539199999999902</v>
      </c>
      <c r="AD274">
        <v>-1.159913</v>
      </c>
      <c r="AE274">
        <v>-0.70999999999997898</v>
      </c>
      <c r="AF274">
        <v>0.82526462199530104</v>
      </c>
      <c r="AG274">
        <v>-1.159913</v>
      </c>
      <c r="AH274">
        <v>32.495182661785698</v>
      </c>
      <c r="AI274">
        <v>92.043642031603895</v>
      </c>
      <c r="AJ274">
        <v>88.545199194287903</v>
      </c>
      <c r="AK274">
        <v>32.526348643625902</v>
      </c>
      <c r="AL274">
        <v>85.264475888394898</v>
      </c>
      <c r="AM274">
        <v>89.247789397601906</v>
      </c>
      <c r="AN274">
        <v>0.99999999164617803</v>
      </c>
    </row>
    <row r="275" spans="1:40" x14ac:dyDescent="0.25">
      <c r="A275" t="str">
        <f>"20190312150951608"</f>
        <v>20190312150951608</v>
      </c>
      <c r="B275" t="str">
        <f>"1552374591600593"</f>
        <v>1552374591600593</v>
      </c>
      <c r="C275" t="s">
        <v>40</v>
      </c>
      <c r="D275">
        <v>5.3580420000000002</v>
      </c>
      <c r="E275">
        <v>0.50411700000000004</v>
      </c>
      <c r="F275" t="s">
        <v>43</v>
      </c>
      <c r="G275">
        <v>-413.84550000000002</v>
      </c>
      <c r="H275">
        <v>-0.05</v>
      </c>
      <c r="I275">
        <v>366.43790000000001</v>
      </c>
      <c r="J275">
        <v>-448.61540000000002</v>
      </c>
      <c r="K275">
        <v>1.1099049999999999</v>
      </c>
      <c r="L275">
        <v>367.20280000000002</v>
      </c>
      <c r="M275">
        <v>0.99996269999999998</v>
      </c>
      <c r="N275">
        <v>0</v>
      </c>
      <c r="O275">
        <v>3.5746660000000002E-3</v>
      </c>
      <c r="P275">
        <v>0.99728950000000005</v>
      </c>
      <c r="Q275">
        <v>7.2946940000000002E-2</v>
      </c>
      <c r="R275">
        <v>-9.6436860000000003E-3</v>
      </c>
      <c r="S275">
        <v>3.0153500000000002</v>
      </c>
      <c r="T275">
        <v>-0.10000299999999999</v>
      </c>
      <c r="U275">
        <v>-6.588745E-2</v>
      </c>
      <c r="V275">
        <v>1.3211820000000001E-2</v>
      </c>
      <c r="W275">
        <v>8.0803260000000002E-2</v>
      </c>
      <c r="X275">
        <v>0.99664249999999999</v>
      </c>
      <c r="Y275">
        <v>2.540332E-2</v>
      </c>
      <c r="Z275">
        <v>-5.3959039999999998E-4</v>
      </c>
      <c r="AA275">
        <v>0.99967709999999999</v>
      </c>
      <c r="AB275">
        <v>21</v>
      </c>
      <c r="AC275">
        <v>34.7699</v>
      </c>
      <c r="AD275">
        <v>-1.159905</v>
      </c>
      <c r="AE275">
        <v>-0.76490000000001102</v>
      </c>
      <c r="AF275">
        <v>0.888201773787891</v>
      </c>
      <c r="AG275">
        <v>-1.159905</v>
      </c>
      <c r="AH275">
        <v>34.728314661384303</v>
      </c>
      <c r="AI275">
        <v>91.912308903641403</v>
      </c>
      <c r="AJ275">
        <v>88.534938369997903</v>
      </c>
      <c r="AK275">
        <v>34.7590293480716</v>
      </c>
      <c r="AL275">
        <v>85.365261353594803</v>
      </c>
      <c r="AM275">
        <v>89.240512832989396</v>
      </c>
      <c r="AN275">
        <v>0.99999999591029498</v>
      </c>
    </row>
    <row r="276" spans="1:40" x14ac:dyDescent="0.25">
      <c r="A276" t="str">
        <f>"20190312150951630"</f>
        <v>20190312150951630</v>
      </c>
      <c r="B276" t="str">
        <f>"1552374591621089"</f>
        <v>1552374591621089</v>
      </c>
      <c r="C276" t="s">
        <v>40</v>
      </c>
      <c r="D276">
        <v>5.5245870000000004</v>
      </c>
      <c r="E276">
        <v>0.50428499999999998</v>
      </c>
      <c r="F276" t="s">
        <v>43</v>
      </c>
      <c r="G276">
        <v>-415.33179999999999</v>
      </c>
      <c r="H276">
        <v>-0.05</v>
      </c>
      <c r="I276">
        <v>366.47579999999999</v>
      </c>
      <c r="J276">
        <v>-448.41219999999998</v>
      </c>
      <c r="K276">
        <v>1.1098969999999999</v>
      </c>
      <c r="L276">
        <v>367.20359999999999</v>
      </c>
      <c r="M276">
        <v>0.99996240000000003</v>
      </c>
      <c r="N276">
        <v>0</v>
      </c>
      <c r="O276">
        <v>3.5749449999999999E-3</v>
      </c>
      <c r="P276">
        <v>0.99742500000000001</v>
      </c>
      <c r="Q276">
        <v>7.1156129999999998E-2</v>
      </c>
      <c r="R276">
        <v>-8.9769889999999995E-3</v>
      </c>
      <c r="S276">
        <v>3.015228</v>
      </c>
      <c r="T276">
        <v>-0.1050777</v>
      </c>
      <c r="U276">
        <v>-6.5856929999999994E-2</v>
      </c>
      <c r="V276">
        <v>1.2545789999999999E-2</v>
      </c>
      <c r="W276">
        <v>7.903367E-2</v>
      </c>
      <c r="X276">
        <v>0.99679300000000004</v>
      </c>
      <c r="Y276">
        <v>2.5392720000000001E-2</v>
      </c>
      <c r="Z276">
        <v>-5.6680429999999996E-4</v>
      </c>
      <c r="AA276">
        <v>0.99967740000000005</v>
      </c>
      <c r="AB276">
        <v>21</v>
      </c>
      <c r="AC276">
        <v>33.080399999999997</v>
      </c>
      <c r="AD276">
        <v>-1.159897</v>
      </c>
      <c r="AE276">
        <v>-0.727800000000002</v>
      </c>
      <c r="AF276">
        <v>0.84502127410257</v>
      </c>
      <c r="AG276">
        <v>-1.159897</v>
      </c>
      <c r="AH276">
        <v>33.036990259992798</v>
      </c>
      <c r="AI276">
        <v>92.010116976365794</v>
      </c>
      <c r="AJ276">
        <v>88.534806051061906</v>
      </c>
      <c r="AK276">
        <v>33.068143997556902</v>
      </c>
      <c r="AL276">
        <v>85.4669767772087</v>
      </c>
      <c r="AM276">
        <v>89.278904582169204</v>
      </c>
      <c r="AN276">
        <v>1.0000000013446899</v>
      </c>
    </row>
    <row r="277" spans="1:40" x14ac:dyDescent="0.25">
      <c r="A277" t="str">
        <f>"20190312150951651"</f>
        <v>20190312150951651</v>
      </c>
      <c r="B277" t="str">
        <f>"1552374591640609"</f>
        <v>1552374591640609</v>
      </c>
      <c r="C277" t="s">
        <v>40</v>
      </c>
      <c r="D277">
        <v>5.326549</v>
      </c>
      <c r="E277">
        <v>0.50438450000000001</v>
      </c>
      <c r="F277" t="s">
        <v>43</v>
      </c>
      <c r="G277">
        <v>-416.21280000000002</v>
      </c>
      <c r="H277">
        <v>-0.05</v>
      </c>
      <c r="I277">
        <v>366.5093</v>
      </c>
      <c r="J277">
        <v>-448.21269999999998</v>
      </c>
      <c r="K277">
        <v>1.1098920000000001</v>
      </c>
      <c r="L277">
        <v>367.20429999999999</v>
      </c>
      <c r="M277">
        <v>0.99996240000000003</v>
      </c>
      <c r="N277">
        <v>0</v>
      </c>
      <c r="O277">
        <v>3.5750510000000001E-3</v>
      </c>
      <c r="P277">
        <v>0.99751659999999998</v>
      </c>
      <c r="Q277">
        <v>6.9946599999999998E-2</v>
      </c>
      <c r="R277">
        <v>-8.2759800000000005E-3</v>
      </c>
      <c r="S277">
        <v>3.014923</v>
      </c>
      <c r="T277">
        <v>-0.1086046</v>
      </c>
      <c r="U277">
        <v>-6.5002439999999995E-2</v>
      </c>
      <c r="V277">
        <v>1.184527E-2</v>
      </c>
      <c r="W277">
        <v>7.7843350000000006E-2</v>
      </c>
      <c r="X277">
        <v>0.99689530000000004</v>
      </c>
      <c r="Y277">
        <v>2.5110819999999999E-2</v>
      </c>
      <c r="Z277">
        <v>-5.8080589999999997E-4</v>
      </c>
      <c r="AA277">
        <v>0.99968449999999998</v>
      </c>
      <c r="AB277">
        <v>21</v>
      </c>
      <c r="AC277">
        <v>31.999899999999901</v>
      </c>
      <c r="AD277">
        <v>-1.1598919999999999</v>
      </c>
      <c r="AE277">
        <v>-0.69499999999999296</v>
      </c>
      <c r="AF277">
        <v>0.80833888735201997</v>
      </c>
      <c r="AG277">
        <v>-1.1598919999999999</v>
      </c>
      <c r="AH277">
        <v>31.955246912675701</v>
      </c>
      <c r="AI277">
        <v>92.078110351631196</v>
      </c>
      <c r="AJ277">
        <v>88.550956844967203</v>
      </c>
      <c r="AK277">
        <v>31.9865060057916</v>
      </c>
      <c r="AL277">
        <v>85.5353881710748</v>
      </c>
      <c r="AM277">
        <v>89.319234386266999</v>
      </c>
      <c r="AN277">
        <v>1.0000000683613399</v>
      </c>
    </row>
    <row r="278" spans="1:40" x14ac:dyDescent="0.25">
      <c r="A278" t="str">
        <f>"20190312150951673"</f>
        <v>20190312150951673</v>
      </c>
      <c r="B278" t="str">
        <f>"1552374591670866"</f>
        <v>1552374591670866</v>
      </c>
      <c r="C278" t="s">
        <v>40</v>
      </c>
      <c r="D278">
        <v>5.3582970000000003</v>
      </c>
      <c r="E278">
        <v>0.50441139999999995</v>
      </c>
      <c r="F278" t="s">
        <v>43</v>
      </c>
      <c r="G278">
        <v>-416.32709999999997</v>
      </c>
      <c r="H278">
        <v>-0.05</v>
      </c>
      <c r="I278">
        <v>366.53489999999999</v>
      </c>
      <c r="J278">
        <v>-448.00749999999999</v>
      </c>
      <c r="K278">
        <v>1.109885</v>
      </c>
      <c r="L278">
        <v>367.20499999999998</v>
      </c>
      <c r="M278">
        <v>0.99996220000000002</v>
      </c>
      <c r="N278">
        <v>0</v>
      </c>
      <c r="O278">
        <v>3.5752879999999998E-3</v>
      </c>
      <c r="P278">
        <v>0.99757569999999995</v>
      </c>
      <c r="Q278">
        <v>6.9103460000000005E-2</v>
      </c>
      <c r="R278">
        <v>-8.2250009999999991E-3</v>
      </c>
      <c r="S278">
        <v>3.0146480000000002</v>
      </c>
      <c r="T278">
        <v>-0.109663</v>
      </c>
      <c r="U278">
        <v>-6.3293459999999996E-2</v>
      </c>
      <c r="V278">
        <v>1.179475E-2</v>
      </c>
      <c r="W278">
        <v>7.701566E-2</v>
      </c>
      <c r="X278">
        <v>0.99696010000000002</v>
      </c>
      <c r="Y278">
        <v>2.4546559999999999E-2</v>
      </c>
      <c r="Z278">
        <v>-5.762699E-4</v>
      </c>
      <c r="AA278">
        <v>0.99969850000000005</v>
      </c>
      <c r="AB278">
        <v>21</v>
      </c>
      <c r="AC278">
        <v>31.680399999999999</v>
      </c>
      <c r="AD278">
        <v>-1.1598850000000001</v>
      </c>
      <c r="AE278">
        <v>-0.67009999999999004</v>
      </c>
      <c r="AF278">
        <v>0.78231764473669896</v>
      </c>
      <c r="AG278">
        <v>-1.1598850000000001</v>
      </c>
      <c r="AH278">
        <v>31.635415104160501</v>
      </c>
      <c r="AI278">
        <v>92.099118256625104</v>
      </c>
      <c r="AJ278">
        <v>88.583411487271405</v>
      </c>
      <c r="AK278">
        <v>31.6663361146034</v>
      </c>
      <c r="AL278">
        <v>85.582953742877905</v>
      </c>
      <c r="AM278">
        <v>89.322181631014701</v>
      </c>
      <c r="AN278">
        <v>0.99999998450240302</v>
      </c>
    </row>
    <row r="279" spans="1:40" x14ac:dyDescent="0.25">
      <c r="A279" t="str">
        <f>"20190312150951687"</f>
        <v>20190312150951687</v>
      </c>
      <c r="B279" t="str">
        <f>"1552374591680625"</f>
        <v>1552374591680625</v>
      </c>
      <c r="C279" t="s">
        <v>40</v>
      </c>
      <c r="D279">
        <v>5.158893</v>
      </c>
      <c r="E279">
        <v>0.50445899999999999</v>
      </c>
      <c r="F279" t="s">
        <v>43</v>
      </c>
      <c r="G279">
        <v>-416.25330000000002</v>
      </c>
      <c r="H279">
        <v>-0.05</v>
      </c>
      <c r="I279">
        <v>366.53989999999999</v>
      </c>
      <c r="J279">
        <v>-447.88440000000003</v>
      </c>
      <c r="K279">
        <v>1.1098840000000001</v>
      </c>
      <c r="L279">
        <v>367.20549999999997</v>
      </c>
      <c r="M279">
        <v>0.99996220000000002</v>
      </c>
      <c r="N279">
        <v>0</v>
      </c>
      <c r="O279">
        <v>3.575263E-3</v>
      </c>
      <c r="P279">
        <v>0.99759350000000002</v>
      </c>
      <c r="Q279">
        <v>6.8818760000000007E-2</v>
      </c>
      <c r="R279">
        <v>-8.4469999999999996E-3</v>
      </c>
      <c r="S279">
        <v>3.0144039999999999</v>
      </c>
      <c r="T279">
        <v>-0.1101071</v>
      </c>
      <c r="U279">
        <v>-6.3140870000000002E-2</v>
      </c>
      <c r="V279">
        <v>1.201672E-2</v>
      </c>
      <c r="W279">
        <v>7.6737050000000001E-2</v>
      </c>
      <c r="X279">
        <v>0.9969789</v>
      </c>
      <c r="Y279">
        <v>2.449753E-2</v>
      </c>
      <c r="Z279">
        <v>-5.7775290000000004E-4</v>
      </c>
      <c r="AA279">
        <v>0.99969969999999997</v>
      </c>
      <c r="AB279">
        <v>21</v>
      </c>
      <c r="AC279">
        <v>31.6311</v>
      </c>
      <c r="AD279">
        <v>-1.1598839999999999</v>
      </c>
      <c r="AE279">
        <v>-0.66559999999998298</v>
      </c>
      <c r="AF279">
        <v>0.777643624582388</v>
      </c>
      <c r="AG279">
        <v>-1.1598839999999999</v>
      </c>
      <c r="AH279">
        <v>31.586065502974499</v>
      </c>
      <c r="AI279">
        <v>92.102398799757495</v>
      </c>
      <c r="AJ279">
        <v>88.589672441173903</v>
      </c>
      <c r="AK279">
        <v>31.616919433406299</v>
      </c>
      <c r="AL279">
        <v>85.598964156866302</v>
      </c>
      <c r="AM279">
        <v>89.309439747588897</v>
      </c>
      <c r="AN279">
        <v>0.99999995172373402</v>
      </c>
    </row>
    <row r="280" spans="1:40" x14ac:dyDescent="0.25">
      <c r="A280" t="str">
        <f>"20190312150951707"</f>
        <v>20190312150951707</v>
      </c>
      <c r="B280" t="str">
        <f>"1552374591701121"</f>
        <v>1552374591701121</v>
      </c>
      <c r="C280" t="s">
        <v>40</v>
      </c>
      <c r="D280">
        <v>5.8432930000000001</v>
      </c>
      <c r="E280">
        <v>0.50429480000000004</v>
      </c>
      <c r="F280" t="s">
        <v>43</v>
      </c>
      <c r="G280">
        <v>-415.46409999999997</v>
      </c>
      <c r="H280">
        <v>-0.05</v>
      </c>
      <c r="I280">
        <v>366.51549999999997</v>
      </c>
      <c r="J280">
        <v>-447.69200000000001</v>
      </c>
      <c r="K280">
        <v>1.1098749999999999</v>
      </c>
      <c r="L280">
        <v>367.20620000000002</v>
      </c>
      <c r="M280">
        <v>0.99996209999999996</v>
      </c>
      <c r="N280">
        <v>0</v>
      </c>
      <c r="O280">
        <v>3.5755940000000001E-3</v>
      </c>
      <c r="P280">
        <v>0.99765320000000002</v>
      </c>
      <c r="Q280">
        <v>6.7940849999999997E-2</v>
      </c>
      <c r="R280">
        <v>-8.4875760000000001E-3</v>
      </c>
      <c r="S280">
        <v>3.0140989999999999</v>
      </c>
      <c r="T280">
        <v>-0.1078336</v>
      </c>
      <c r="U280">
        <v>-6.4147949999999995E-2</v>
      </c>
      <c r="V280">
        <v>1.20579E-2</v>
      </c>
      <c r="W280">
        <v>7.5866530000000001E-2</v>
      </c>
      <c r="X280">
        <v>0.99704510000000002</v>
      </c>
      <c r="Y280">
        <v>2.48344E-2</v>
      </c>
      <c r="Z280">
        <v>-5.7192199999999999E-4</v>
      </c>
      <c r="AA280">
        <v>0.99969140000000001</v>
      </c>
      <c r="AB280">
        <v>21</v>
      </c>
      <c r="AC280">
        <v>32.227899999999899</v>
      </c>
      <c r="AD280">
        <v>-1.159875</v>
      </c>
      <c r="AE280">
        <v>-0.69070000000004905</v>
      </c>
      <c r="AF280">
        <v>0.80489103325788103</v>
      </c>
      <c r="AG280">
        <v>-1.159875</v>
      </c>
      <c r="AH280">
        <v>32.183557160197203</v>
      </c>
      <c r="AI280">
        <v>92.063365654298494</v>
      </c>
      <c r="AJ280">
        <v>88.567366321394601</v>
      </c>
      <c r="AK280">
        <v>32.214507773280197</v>
      </c>
      <c r="AL280">
        <v>85.648987441159804</v>
      </c>
      <c r="AM280">
        <v>89.307119505823295</v>
      </c>
      <c r="AN280">
        <v>1.00000002738033</v>
      </c>
    </row>
    <row r="281" spans="1:40" x14ac:dyDescent="0.25">
      <c r="A281" t="str">
        <f>"20190312150951730"</f>
        <v>20190312150951730</v>
      </c>
      <c r="B281" t="str">
        <f>"1552374591720645"</f>
        <v>1552374591720645</v>
      </c>
      <c r="C281" t="s">
        <v>40</v>
      </c>
      <c r="D281">
        <v>5.3382040000000002</v>
      </c>
      <c r="E281">
        <v>0.50429460000000004</v>
      </c>
      <c r="F281" t="s">
        <v>43</v>
      </c>
      <c r="G281">
        <v>-414.72699999999998</v>
      </c>
      <c r="H281">
        <v>-0.05</v>
      </c>
      <c r="I281">
        <v>366.51850000000002</v>
      </c>
      <c r="J281">
        <v>-447.48020000000002</v>
      </c>
      <c r="K281">
        <v>1.109861</v>
      </c>
      <c r="L281">
        <v>367.20690000000002</v>
      </c>
      <c r="M281">
        <v>0.99996200000000002</v>
      </c>
      <c r="N281">
        <v>0</v>
      </c>
      <c r="O281">
        <v>3.5759339999999998E-3</v>
      </c>
      <c r="P281">
        <v>0.99769099999999999</v>
      </c>
      <c r="Q281">
        <v>6.7360829999999997E-2</v>
      </c>
      <c r="R281">
        <v>-8.6997979999999999E-3</v>
      </c>
      <c r="S281">
        <v>3.013763</v>
      </c>
      <c r="T281">
        <v>-0.10603940000000001</v>
      </c>
      <c r="U281">
        <v>-6.2866210000000006E-2</v>
      </c>
      <c r="V281">
        <v>1.227028E-2</v>
      </c>
      <c r="W281">
        <v>7.5290720000000005E-2</v>
      </c>
      <c r="X281">
        <v>0.99708609999999998</v>
      </c>
      <c r="Y281">
        <v>2.4412989999999999E-2</v>
      </c>
      <c r="Z281">
        <v>-5.5507820000000004E-4</v>
      </c>
      <c r="AA281">
        <v>0.99970179999999997</v>
      </c>
      <c r="AB281">
        <v>21</v>
      </c>
      <c r="AC281">
        <v>32.7532</v>
      </c>
      <c r="AD281">
        <v>-1.159861</v>
      </c>
      <c r="AE281">
        <v>-0.68840000000000101</v>
      </c>
      <c r="AF281">
        <v>0.804514150480519</v>
      </c>
      <c r="AG281">
        <v>-1.159861</v>
      </c>
      <c r="AH281">
        <v>32.709528535904703</v>
      </c>
      <c r="AI281">
        <v>92.030210905676796</v>
      </c>
      <c r="AJ281">
        <v>88.591053563885197</v>
      </c>
      <c r="AK281">
        <v>32.7399721685711</v>
      </c>
      <c r="AL281">
        <v>85.682073313393801</v>
      </c>
      <c r="AM281">
        <v>89.294945771281405</v>
      </c>
      <c r="AN281">
        <v>0.99999997155130305</v>
      </c>
    </row>
    <row r="282" spans="1:40" x14ac:dyDescent="0.25">
      <c r="A282" t="str">
        <f>"20190312150951751"</f>
        <v>20190312150951751</v>
      </c>
      <c r="B282" t="str">
        <f>"1552374591741141"</f>
        <v>1552374591741141</v>
      </c>
      <c r="C282" t="s">
        <v>40</v>
      </c>
      <c r="D282">
        <v>5.6240699999999997</v>
      </c>
      <c r="E282">
        <v>0.50428399999999995</v>
      </c>
      <c r="F282" t="s">
        <v>43</v>
      </c>
      <c r="G282">
        <v>-413.15559999999999</v>
      </c>
      <c r="H282">
        <v>-0.05</v>
      </c>
      <c r="I282">
        <v>366.48770000000002</v>
      </c>
      <c r="J282">
        <v>-447.27480000000003</v>
      </c>
      <c r="K282">
        <v>1.109853</v>
      </c>
      <c r="L282">
        <v>367.20760000000001</v>
      </c>
      <c r="M282">
        <v>0.99996209999999996</v>
      </c>
      <c r="N282">
        <v>0</v>
      </c>
      <c r="O282">
        <v>3.5760470000000002E-3</v>
      </c>
      <c r="P282">
        <v>0.99769280000000005</v>
      </c>
      <c r="Q282">
        <v>6.7251099999999994E-2</v>
      </c>
      <c r="R282">
        <v>-9.3032259999999995E-3</v>
      </c>
      <c r="S282">
        <v>3.0132750000000001</v>
      </c>
      <c r="T282">
        <v>-0.10182140000000001</v>
      </c>
      <c r="U282">
        <v>-6.3140870000000002E-2</v>
      </c>
      <c r="V282">
        <v>1.287403E-2</v>
      </c>
      <c r="W282">
        <v>7.5183260000000002E-2</v>
      </c>
      <c r="X282">
        <v>0.99708660000000005</v>
      </c>
      <c r="Y282">
        <v>2.4508849999999999E-2</v>
      </c>
      <c r="Z282">
        <v>-5.3472009999999996E-4</v>
      </c>
      <c r="AA282">
        <v>0.99969949999999996</v>
      </c>
      <c r="AB282">
        <v>21</v>
      </c>
      <c r="AC282">
        <v>34.119199999999999</v>
      </c>
      <c r="AD282">
        <v>-1.159853</v>
      </c>
      <c r="AE282">
        <v>-0.71989999999999499</v>
      </c>
      <c r="AF282">
        <v>0.840939744542197</v>
      </c>
      <c r="AG282">
        <v>-1.159853</v>
      </c>
      <c r="AH282">
        <v>34.077045375729703</v>
      </c>
      <c r="AI282">
        <v>91.948785019488994</v>
      </c>
      <c r="AJ282">
        <v>88.586364502016096</v>
      </c>
      <c r="AK282">
        <v>34.107146760981102</v>
      </c>
      <c r="AL282">
        <v>85.688247835900398</v>
      </c>
      <c r="AM282">
        <v>89.260258238044301</v>
      </c>
      <c r="AN282">
        <v>0.99999997556611397</v>
      </c>
    </row>
    <row r="283" spans="1:40" x14ac:dyDescent="0.25">
      <c r="A283" t="str">
        <f>"20190312150951763"</f>
        <v>20190312150951763</v>
      </c>
      <c r="B283" t="str">
        <f>"1552374591760657"</f>
        <v>1552374591760657</v>
      </c>
      <c r="C283" t="s">
        <v>40</v>
      </c>
      <c r="D283">
        <v>5.2324190000000002</v>
      </c>
      <c r="E283">
        <v>0.50426300000000002</v>
      </c>
      <c r="F283" t="s">
        <v>43</v>
      </c>
      <c r="G283">
        <v>-411.17770000000002</v>
      </c>
      <c r="H283">
        <v>-0.05</v>
      </c>
      <c r="I283">
        <v>366.43209999999999</v>
      </c>
      <c r="J283">
        <v>-447.16039999999998</v>
      </c>
      <c r="K283">
        <v>1.1098539999999999</v>
      </c>
      <c r="L283">
        <v>367.20800000000003</v>
      </c>
      <c r="M283">
        <v>0.99996200000000002</v>
      </c>
      <c r="N283">
        <v>0</v>
      </c>
      <c r="O283">
        <v>3.5762300000000001E-3</v>
      </c>
      <c r="P283">
        <v>0.99768789999999996</v>
      </c>
      <c r="Q283">
        <v>6.7243339999999999E-2</v>
      </c>
      <c r="R283">
        <v>-9.8512640000000002E-3</v>
      </c>
      <c r="S283">
        <v>3.0128170000000001</v>
      </c>
      <c r="T283">
        <v>-9.6806290000000003E-2</v>
      </c>
      <c r="U283">
        <v>-6.4727779999999999E-2</v>
      </c>
      <c r="V283">
        <v>1.342223E-2</v>
      </c>
      <c r="W283">
        <v>7.517422E-2</v>
      </c>
      <c r="X283">
        <v>0.99708010000000002</v>
      </c>
      <c r="Y283">
        <v>2.5039800000000001E-2</v>
      </c>
      <c r="Z283">
        <v>-5.1700390000000002E-4</v>
      </c>
      <c r="AA283">
        <v>0.99968630000000003</v>
      </c>
      <c r="AB283">
        <v>21</v>
      </c>
      <c r="AC283">
        <v>35.982699999999902</v>
      </c>
      <c r="AD283">
        <v>-1.1598539999999999</v>
      </c>
      <c r="AE283">
        <v>-0.77590000000003501</v>
      </c>
      <c r="AF283">
        <v>0.90364305979953796</v>
      </c>
      <c r="AG283">
        <v>-1.1598539999999999</v>
      </c>
      <c r="AH283">
        <v>35.942367926824097</v>
      </c>
      <c r="AI283">
        <v>91.847700052588493</v>
      </c>
      <c r="AJ283">
        <v>88.559804715458199</v>
      </c>
      <c r="AK283">
        <v>35.972428945902898</v>
      </c>
      <c r="AL283">
        <v>85.688767463338095</v>
      </c>
      <c r="AM283">
        <v>89.2287573660943</v>
      </c>
      <c r="AN283">
        <v>1.0000000227133901</v>
      </c>
    </row>
    <row r="284" spans="1:40" x14ac:dyDescent="0.25">
      <c r="A284" t="str">
        <f>"20190312150951779"</f>
        <v>20190312150951779</v>
      </c>
      <c r="B284" t="str">
        <f>"1552374591771395"</f>
        <v>1552374591771395</v>
      </c>
      <c r="C284" t="s">
        <v>40</v>
      </c>
      <c r="D284">
        <v>5.1461059999999996</v>
      </c>
      <c r="E284">
        <v>0.50418779999999996</v>
      </c>
      <c r="F284" t="s">
        <v>43</v>
      </c>
      <c r="G284">
        <v>-408.7002</v>
      </c>
      <c r="H284">
        <v>-0.05</v>
      </c>
      <c r="I284">
        <v>366.36840000000001</v>
      </c>
      <c r="J284">
        <v>-447.02100000000002</v>
      </c>
      <c r="K284">
        <v>1.109847</v>
      </c>
      <c r="L284">
        <v>367.20850000000002</v>
      </c>
      <c r="M284">
        <v>0.99996209999999996</v>
      </c>
      <c r="N284">
        <v>0</v>
      </c>
      <c r="O284">
        <v>3.576241E-3</v>
      </c>
      <c r="P284">
        <v>0.99765309999999996</v>
      </c>
      <c r="Q284">
        <v>6.7662600000000003E-2</v>
      </c>
      <c r="R284">
        <v>-1.049374E-2</v>
      </c>
      <c r="S284">
        <v>3.0124209999999998</v>
      </c>
      <c r="T284">
        <v>-9.0846419999999997E-2</v>
      </c>
      <c r="U284">
        <v>-6.5765379999999998E-2</v>
      </c>
      <c r="V284">
        <v>1.406463E-2</v>
      </c>
      <c r="W284">
        <v>7.5590279999999996E-2</v>
      </c>
      <c r="X284">
        <v>0.99703980000000003</v>
      </c>
      <c r="Y284">
        <v>2.5388399999999998E-2</v>
      </c>
      <c r="Z284">
        <v>-4.9050660000000002E-4</v>
      </c>
      <c r="AA284">
        <v>0.9996775</v>
      </c>
      <c r="AB284">
        <v>21</v>
      </c>
      <c r="AC284">
        <v>38.320799999999899</v>
      </c>
      <c r="AD284">
        <v>-1.1598469999999901</v>
      </c>
      <c r="AE284">
        <v>-0.84010000000000595</v>
      </c>
      <c r="AF284">
        <v>0.97624947057400702</v>
      </c>
      <c r="AG284">
        <v>-1.1598469999999901</v>
      </c>
      <c r="AH284">
        <v>38.282497544685697</v>
      </c>
      <c r="AI284">
        <v>91.734798999570202</v>
      </c>
      <c r="AJ284">
        <v>88.539205702647905</v>
      </c>
      <c r="AK284">
        <v>38.312503524973103</v>
      </c>
      <c r="AL284">
        <v>85.6648610076777</v>
      </c>
      <c r="AM284">
        <v>89.191817122928697</v>
      </c>
      <c r="AN284">
        <v>1.0000000335157699</v>
      </c>
    </row>
    <row r="285" spans="1:40" x14ac:dyDescent="0.25">
      <c r="A285" t="str">
        <f>"20190312150951798"</f>
        <v>20190312150951798</v>
      </c>
      <c r="B285" t="str">
        <f>"1552374591790913"</f>
        <v>1552374591790913</v>
      </c>
      <c r="C285" t="s">
        <v>40</v>
      </c>
      <c r="D285">
        <v>5.5104030000000002</v>
      </c>
      <c r="E285">
        <v>0.50421309999999997</v>
      </c>
      <c r="F285" t="s">
        <v>43</v>
      </c>
      <c r="G285">
        <v>-406.6748</v>
      </c>
      <c r="H285">
        <v>-0.05</v>
      </c>
      <c r="I285">
        <v>366.30930000000001</v>
      </c>
      <c r="J285">
        <v>-446.83240000000001</v>
      </c>
      <c r="K285">
        <v>1.1098440000000001</v>
      </c>
      <c r="L285">
        <v>367.20920000000001</v>
      </c>
      <c r="M285">
        <v>0.99996209999999996</v>
      </c>
      <c r="N285">
        <v>0</v>
      </c>
      <c r="O285">
        <v>3.5764439999999998E-3</v>
      </c>
      <c r="P285">
        <v>0.99766670000000002</v>
      </c>
      <c r="Q285">
        <v>6.724049E-2</v>
      </c>
      <c r="R285">
        <v>-1.183122E-2</v>
      </c>
      <c r="S285">
        <v>3.0122680000000002</v>
      </c>
      <c r="T285">
        <v>-8.6594820000000003E-2</v>
      </c>
      <c r="U285">
        <v>-6.7138669999999998E-2</v>
      </c>
      <c r="V285">
        <v>1.540242E-2</v>
      </c>
      <c r="W285">
        <v>7.5162339999999994E-2</v>
      </c>
      <c r="X285">
        <v>0.99705239999999995</v>
      </c>
      <c r="Y285">
        <v>2.5846250000000001E-2</v>
      </c>
      <c r="Z285">
        <v>-4.7416679999999999E-4</v>
      </c>
      <c r="AA285">
        <v>0.99966580000000005</v>
      </c>
      <c r="AB285">
        <v>21</v>
      </c>
      <c r="AC285">
        <v>40.157600000000002</v>
      </c>
      <c r="AD285">
        <v>-1.1598440000000001</v>
      </c>
      <c r="AE285">
        <v>-0.89990000000000203</v>
      </c>
      <c r="AF285">
        <v>1.0426508470225</v>
      </c>
      <c r="AG285">
        <v>-1.1598440000000001</v>
      </c>
      <c r="AH285">
        <v>40.120673248193498</v>
      </c>
      <c r="AI285">
        <v>91.655337437801506</v>
      </c>
      <c r="AJ285">
        <v>88.511339792929604</v>
      </c>
      <c r="AK285">
        <v>40.150974842230703</v>
      </c>
      <c r="AL285">
        <v>85.689450186731406</v>
      </c>
      <c r="AM285">
        <v>89.114967807994901</v>
      </c>
      <c r="AN285">
        <v>1.0000000501209401</v>
      </c>
    </row>
    <row r="286" spans="1:40" x14ac:dyDescent="0.25">
      <c r="A286" t="str">
        <f>"20190312150951819"</f>
        <v>20190312150951819</v>
      </c>
      <c r="B286" t="str">
        <f>"1552374591811409"</f>
        <v>1552374591811409</v>
      </c>
      <c r="C286" t="s">
        <v>40</v>
      </c>
      <c r="D286">
        <v>5.2278989999999999</v>
      </c>
      <c r="E286">
        <v>0.50402409999999997</v>
      </c>
      <c r="F286" t="s">
        <v>43</v>
      </c>
      <c r="G286">
        <v>-406.71519999999998</v>
      </c>
      <c r="H286">
        <v>-0.05</v>
      </c>
      <c r="I286">
        <v>366.2638</v>
      </c>
      <c r="J286">
        <v>-446.63549999999998</v>
      </c>
      <c r="K286">
        <v>1.109842</v>
      </c>
      <c r="L286">
        <v>367.2099</v>
      </c>
      <c r="M286">
        <v>0.99996220000000002</v>
      </c>
      <c r="N286">
        <v>0</v>
      </c>
      <c r="O286">
        <v>3.576648E-3</v>
      </c>
      <c r="P286">
        <v>0.997664</v>
      </c>
      <c r="Q286">
        <v>6.7132739999999996E-2</v>
      </c>
      <c r="R286">
        <v>-1.265032E-2</v>
      </c>
      <c r="S286">
        <v>3.0120239999999998</v>
      </c>
      <c r="T286">
        <v>-8.7081909999999998E-2</v>
      </c>
      <c r="U286">
        <v>-7.0983889999999994E-2</v>
      </c>
      <c r="V286">
        <v>1.6221470000000002E-2</v>
      </c>
      <c r="W286">
        <v>7.5048229999999994E-2</v>
      </c>
      <c r="X286">
        <v>0.99704800000000005</v>
      </c>
      <c r="Y286">
        <v>2.7123089999999999E-2</v>
      </c>
      <c r="Z286">
        <v>-4.9532160000000005E-4</v>
      </c>
      <c r="AA286">
        <v>0.99963199999999997</v>
      </c>
      <c r="AB286">
        <v>21</v>
      </c>
      <c r="AC286">
        <v>39.920299999999997</v>
      </c>
      <c r="AD286">
        <v>-1.159842</v>
      </c>
      <c r="AE286">
        <v>-0.94610000000000105</v>
      </c>
      <c r="AF286">
        <v>1.0879614263869799</v>
      </c>
      <c r="AG286">
        <v>-1.159842</v>
      </c>
      <c r="AH286">
        <v>39.883013066066702</v>
      </c>
      <c r="AI286">
        <v>91.665135895586403</v>
      </c>
      <c r="AJ286">
        <v>88.437426410296396</v>
      </c>
      <c r="AK286">
        <v>39.914704367667703</v>
      </c>
      <c r="AL286">
        <v>85.696006697955298</v>
      </c>
      <c r="AM286">
        <v>89.067908689844998</v>
      </c>
      <c r="AN286">
        <v>1.00000004360954</v>
      </c>
    </row>
    <row r="287" spans="1:40" x14ac:dyDescent="0.25">
      <c r="A287" t="str">
        <f>"20190312150951840"</f>
        <v>20190312150951840</v>
      </c>
      <c r="B287" t="str">
        <f>"1552374591830929"</f>
        <v>1552374591830929</v>
      </c>
      <c r="C287" t="s">
        <v>40</v>
      </c>
      <c r="D287">
        <v>5.1107370000000003</v>
      </c>
      <c r="E287">
        <v>0.50368239999999997</v>
      </c>
      <c r="F287" t="s">
        <v>43</v>
      </c>
      <c r="G287">
        <v>-402.9982</v>
      </c>
      <c r="H287">
        <v>-0.05</v>
      </c>
      <c r="I287">
        <v>366.17599999999999</v>
      </c>
      <c r="J287">
        <v>-446.42219999999998</v>
      </c>
      <c r="K287">
        <v>1.1098399999999999</v>
      </c>
      <c r="L287">
        <v>367.21069999999997</v>
      </c>
      <c r="M287">
        <v>0.99996229999999997</v>
      </c>
      <c r="N287">
        <v>0</v>
      </c>
      <c r="O287">
        <v>3.5768499999999999E-3</v>
      </c>
      <c r="P287">
        <v>0.99762799999999996</v>
      </c>
      <c r="Q287">
        <v>6.745756E-2</v>
      </c>
      <c r="R287">
        <v>-1.3725950000000001E-2</v>
      </c>
      <c r="S287">
        <v>3.0115660000000002</v>
      </c>
      <c r="T287">
        <v>-8.0044870000000004E-2</v>
      </c>
      <c r="U287">
        <v>-7.13501E-2</v>
      </c>
      <c r="V287">
        <v>1.7297150000000001E-2</v>
      </c>
      <c r="W287">
        <v>7.5366799999999998E-2</v>
      </c>
      <c r="X287">
        <v>0.99700580000000005</v>
      </c>
      <c r="Y287">
        <v>2.7250300000000002E-2</v>
      </c>
      <c r="Z287">
        <v>-4.5707359999999999E-4</v>
      </c>
      <c r="AA287">
        <v>0.99962850000000003</v>
      </c>
      <c r="AB287">
        <v>21</v>
      </c>
      <c r="AC287">
        <v>43.4239999999999</v>
      </c>
      <c r="AD287">
        <v>-1.15984</v>
      </c>
      <c r="AE287">
        <v>-1.03469999999998</v>
      </c>
      <c r="AF287">
        <v>1.1891714970041001</v>
      </c>
      <c r="AG287">
        <v>-1.15984</v>
      </c>
      <c r="AH287">
        <v>43.389084667737002</v>
      </c>
      <c r="AI287">
        <v>91.530642769505107</v>
      </c>
      <c r="AJ287">
        <v>88.430078525412597</v>
      </c>
      <c r="AK287">
        <v>43.420870856984699</v>
      </c>
      <c r="AL287">
        <v>85.677701760762901</v>
      </c>
      <c r="AM287">
        <v>89.006069696124797</v>
      </c>
      <c r="AN287">
        <v>0.99999995558699994</v>
      </c>
    </row>
    <row r="288" spans="1:40" x14ac:dyDescent="0.25">
      <c r="A288" t="str">
        <f>"20190312150951853"</f>
        <v>20190312150951853</v>
      </c>
      <c r="B288" t="str">
        <f>"1552374591840690"</f>
        <v>1552374591840690</v>
      </c>
      <c r="C288" t="s">
        <v>40</v>
      </c>
      <c r="D288">
        <v>5.2698239999999998</v>
      </c>
      <c r="E288">
        <v>0.503548</v>
      </c>
      <c r="F288" t="s">
        <v>42</v>
      </c>
      <c r="G288">
        <v>-399.80110000000002</v>
      </c>
      <c r="H288" s="1">
        <v>-9.9004390000000006E-7</v>
      </c>
      <c r="I288">
        <v>366.09739999999999</v>
      </c>
      <c r="J288">
        <v>-446.30160000000001</v>
      </c>
      <c r="K288">
        <v>1.1098410000000001</v>
      </c>
      <c r="L288">
        <v>367.21109999999999</v>
      </c>
      <c r="M288">
        <v>0.99996220000000002</v>
      </c>
      <c r="N288">
        <v>0</v>
      </c>
      <c r="O288">
        <v>3.577158E-3</v>
      </c>
      <c r="P288">
        <v>0.99761580000000005</v>
      </c>
      <c r="Q288">
        <v>6.7578150000000003E-2</v>
      </c>
      <c r="R288">
        <v>-1.3997819999999999E-2</v>
      </c>
      <c r="S288">
        <v>3.0110169999999998</v>
      </c>
      <c r="T288">
        <v>-7.1678759999999994E-2</v>
      </c>
      <c r="U288">
        <v>-7.1899409999999997E-2</v>
      </c>
      <c r="V288">
        <v>1.756955E-2</v>
      </c>
      <c r="W288">
        <v>7.5484720000000005E-2</v>
      </c>
      <c r="X288">
        <v>0.9969922</v>
      </c>
      <c r="Y288">
        <v>2.7439290000000002E-2</v>
      </c>
      <c r="Z288">
        <v>-4.1164560000000002E-4</v>
      </c>
      <c r="AA288">
        <v>0.99962340000000005</v>
      </c>
      <c r="AB288">
        <v>21</v>
      </c>
      <c r="AC288">
        <v>46.500499999999903</v>
      </c>
      <c r="AD288">
        <v>-1.1098419900438901</v>
      </c>
      <c r="AE288">
        <v>-1.1136999999999899</v>
      </c>
      <c r="AF288">
        <v>1.2793093940834299</v>
      </c>
      <c r="AG288">
        <v>-1.1098419900438901</v>
      </c>
      <c r="AH288">
        <v>46.469762202088802</v>
      </c>
      <c r="AI288">
        <v>91.367622792586999</v>
      </c>
      <c r="AJ288">
        <v>88.423049393682206</v>
      </c>
      <c r="AK288">
        <v>46.500614844186103</v>
      </c>
      <c r="AL288">
        <v>85.6709265049886</v>
      </c>
      <c r="AM288">
        <v>88.990406469913694</v>
      </c>
      <c r="AN288">
        <v>1.00000003945075</v>
      </c>
    </row>
    <row r="289" spans="1:40" x14ac:dyDescent="0.25">
      <c r="A289" t="str">
        <f>"20190312150951874"</f>
        <v>20190312150951874</v>
      </c>
      <c r="B289" t="str">
        <f>"1552374591870945"</f>
        <v>1552374591870945</v>
      </c>
      <c r="C289" t="s">
        <v>40</v>
      </c>
      <c r="D289">
        <v>5.0599100000000004</v>
      </c>
      <c r="E289">
        <v>0.50325319999999996</v>
      </c>
      <c r="F289" t="s">
        <v>42</v>
      </c>
      <c r="G289">
        <v>-397.31509999999997</v>
      </c>
      <c r="H289" s="1">
        <v>-1.851495E-6</v>
      </c>
      <c r="I289">
        <v>366.03919999999999</v>
      </c>
      <c r="J289">
        <v>-446.09809999999999</v>
      </c>
      <c r="K289">
        <v>1.109839</v>
      </c>
      <c r="L289">
        <v>367.21179999999998</v>
      </c>
      <c r="M289">
        <v>0.99996229999999997</v>
      </c>
      <c r="N289">
        <v>0</v>
      </c>
      <c r="O289">
        <v>3.57735E-3</v>
      </c>
      <c r="P289">
        <v>0.99761369999999905</v>
      </c>
      <c r="Q289">
        <v>6.7546449999999994E-2</v>
      </c>
      <c r="R289">
        <v>-1.4301029999999999E-2</v>
      </c>
      <c r="S289">
        <v>3.010742</v>
      </c>
      <c r="T289">
        <v>-6.8211560000000004E-2</v>
      </c>
      <c r="U289">
        <v>-7.2021479999999999E-2</v>
      </c>
      <c r="V289">
        <v>1.7872840000000001E-2</v>
      </c>
      <c r="W289">
        <v>7.5449530000000001E-2</v>
      </c>
      <c r="X289">
        <v>0.99698940000000003</v>
      </c>
      <c r="Y289">
        <v>2.7482980000000001E-2</v>
      </c>
      <c r="Z289">
        <v>-3.9227350000000001E-4</v>
      </c>
      <c r="AA289">
        <v>0.99962220000000002</v>
      </c>
      <c r="AB289">
        <v>21</v>
      </c>
      <c r="AC289">
        <v>48.783000000000001</v>
      </c>
      <c r="AD289">
        <v>-1.109840851495</v>
      </c>
      <c r="AE289">
        <v>-1.1725999999999801</v>
      </c>
      <c r="AF289">
        <v>1.34641533772707</v>
      </c>
      <c r="AG289">
        <v>-1.109840851495</v>
      </c>
      <c r="AH289">
        <v>48.753273349159997</v>
      </c>
      <c r="AI289">
        <v>91.303584113018005</v>
      </c>
      <c r="AJ289">
        <v>88.418069032391699</v>
      </c>
      <c r="AK289">
        <v>48.784487731606099</v>
      </c>
      <c r="AL289">
        <v>85.672948194812093</v>
      </c>
      <c r="AM289">
        <v>88.972979429388104</v>
      </c>
      <c r="AN289">
        <v>0.999999966849622</v>
      </c>
    </row>
    <row r="290" spans="1:40" x14ac:dyDescent="0.25">
      <c r="A290" t="str">
        <f>"20190312150951897"</f>
        <v>20190312150951897</v>
      </c>
      <c r="B290" t="str">
        <f>"1552374591890466"</f>
        <v>1552374591890466</v>
      </c>
      <c r="C290" t="s">
        <v>40</v>
      </c>
      <c r="D290">
        <v>5.3942019999999999</v>
      </c>
      <c r="E290">
        <v>0.50304720000000003</v>
      </c>
      <c r="F290" t="s">
        <v>42</v>
      </c>
      <c r="G290">
        <v>-392.90109999999999</v>
      </c>
      <c r="H290" s="1">
        <v>-3.6758879999999999E-6</v>
      </c>
      <c r="I290">
        <v>365.96230000000003</v>
      </c>
      <c r="J290">
        <v>-445.88670000000002</v>
      </c>
      <c r="K290">
        <v>1.1098429999999999</v>
      </c>
      <c r="L290">
        <v>367.21260000000001</v>
      </c>
      <c r="M290">
        <v>0.99996229999999997</v>
      </c>
      <c r="N290">
        <v>0</v>
      </c>
      <c r="O290">
        <v>3.577537E-3</v>
      </c>
      <c r="P290">
        <v>0.99759279999999995</v>
      </c>
      <c r="Q290">
        <v>6.785178E-2</v>
      </c>
      <c r="R290">
        <v>-1.4322959999999999E-2</v>
      </c>
      <c r="S290">
        <v>3.0104679999999999</v>
      </c>
      <c r="T290">
        <v>-6.2806959999999995E-2</v>
      </c>
      <c r="U290">
        <v>-7.0709229999999998E-2</v>
      </c>
      <c r="V290">
        <v>1.7894770000000001E-2</v>
      </c>
      <c r="W290">
        <v>7.5752879999999995E-2</v>
      </c>
      <c r="X290">
        <v>0.99696609999999997</v>
      </c>
      <c r="Y290">
        <v>2.7051169999999999E-2</v>
      </c>
      <c r="Z290">
        <v>-3.5673509999999999E-4</v>
      </c>
      <c r="AA290">
        <v>0.99963400000000002</v>
      </c>
      <c r="AB290">
        <v>21</v>
      </c>
      <c r="AC290">
        <v>52.985599999999998</v>
      </c>
      <c r="AD290">
        <v>-1.1098466758879999</v>
      </c>
      <c r="AE290">
        <v>-1.25029999999998</v>
      </c>
      <c r="AF290">
        <v>1.43922477773919</v>
      </c>
      <c r="AG290">
        <v>-1.1098466758879999</v>
      </c>
      <c r="AH290">
        <v>52.957565933774298</v>
      </c>
      <c r="AI290">
        <v>91.200145101461501</v>
      </c>
      <c r="AJ290">
        <v>88.443259023928206</v>
      </c>
      <c r="AK290">
        <v>52.9887433068089</v>
      </c>
      <c r="AL290">
        <v>85.655518054417897</v>
      </c>
      <c r="AM290">
        <v>88.971695517414602</v>
      </c>
      <c r="AN290">
        <v>1.00000006308542</v>
      </c>
    </row>
    <row r="291" spans="1:40" x14ac:dyDescent="0.25">
      <c r="A291" t="str">
        <f>"20190312150951909"</f>
        <v>20190312150951909</v>
      </c>
      <c r="B291" t="str">
        <f>"1552374591901202"</f>
        <v>1552374591901202</v>
      </c>
      <c r="C291" t="s">
        <v>40</v>
      </c>
      <c r="D291">
        <v>5.4643449999999998</v>
      </c>
      <c r="E291">
        <v>0.50291189999999997</v>
      </c>
      <c r="F291" t="s">
        <v>42</v>
      </c>
      <c r="G291">
        <v>-387.84780000000001</v>
      </c>
      <c r="H291" s="1">
        <v>-1.7134340000000001E-6</v>
      </c>
      <c r="I291">
        <v>365.8768</v>
      </c>
      <c r="J291">
        <v>-445.75540000000001</v>
      </c>
      <c r="K291">
        <v>1.1098410000000001</v>
      </c>
      <c r="L291">
        <v>367.2131</v>
      </c>
      <c r="M291">
        <v>0.99996240000000003</v>
      </c>
      <c r="N291">
        <v>0</v>
      </c>
      <c r="O291">
        <v>3.5775379999999999E-3</v>
      </c>
      <c r="P291">
        <v>0.99757059999999997</v>
      </c>
      <c r="Q291">
        <v>6.8249450000000003E-2</v>
      </c>
      <c r="R291">
        <v>-1.397355E-2</v>
      </c>
      <c r="S291">
        <v>3.010132</v>
      </c>
      <c r="T291">
        <v>-5.7560920000000002E-2</v>
      </c>
      <c r="U291">
        <v>-6.9274899999999903E-2</v>
      </c>
      <c r="V291">
        <v>1.7545390000000001E-2</v>
      </c>
      <c r="W291">
        <v>7.6150369999999995E-2</v>
      </c>
      <c r="X291">
        <v>0.99694199999999999</v>
      </c>
      <c r="Y291">
        <v>2.6578870000000001E-2</v>
      </c>
      <c r="Z291">
        <v>-3.2246750000000001E-4</v>
      </c>
      <c r="AA291">
        <v>0.9996467</v>
      </c>
      <c r="AB291">
        <v>22</v>
      </c>
      <c r="AC291">
        <v>57.907600000000002</v>
      </c>
      <c r="AD291">
        <v>-1.1098427134340001</v>
      </c>
      <c r="AE291">
        <v>-1.3362999999999901</v>
      </c>
      <c r="AF291">
        <v>1.5428981062701701</v>
      </c>
      <c r="AG291">
        <v>-1.1098427134340001</v>
      </c>
      <c r="AH291">
        <v>57.881198632741402</v>
      </c>
      <c r="AI291">
        <v>91.098093023364697</v>
      </c>
      <c r="AJ291">
        <v>88.473068585678703</v>
      </c>
      <c r="AK291">
        <v>57.912394533275602</v>
      </c>
      <c r="AL291">
        <v>85.632677460816595</v>
      </c>
      <c r="AM291">
        <v>88.991743724959093</v>
      </c>
      <c r="AN291">
        <v>1.0000000354626899</v>
      </c>
    </row>
    <row r="292" spans="1:40" x14ac:dyDescent="0.25">
      <c r="A292" t="str">
        <f>"20190312150951922"</f>
        <v>20190312150951922</v>
      </c>
      <c r="B292" t="str">
        <f>"1552374591910962"</f>
        <v>1552374591910962</v>
      </c>
      <c r="C292" t="s">
        <v>40</v>
      </c>
      <c r="D292">
        <v>5.3650250000000002</v>
      </c>
      <c r="E292">
        <v>0.50279679999999904</v>
      </c>
      <c r="F292" t="s">
        <v>42</v>
      </c>
      <c r="G292">
        <v>-384.1268</v>
      </c>
      <c r="H292" s="1">
        <v>-3.171675E-6</v>
      </c>
      <c r="I292">
        <v>365.84030000000001</v>
      </c>
      <c r="J292">
        <v>-445.63350000000003</v>
      </c>
      <c r="K292">
        <v>1.1098399999999999</v>
      </c>
      <c r="L292">
        <v>367.21359999999999</v>
      </c>
      <c r="M292">
        <v>0.99996229999999997</v>
      </c>
      <c r="N292">
        <v>0</v>
      </c>
      <c r="O292">
        <v>3.5777169999999998E-3</v>
      </c>
      <c r="P292">
        <v>0.99755970000000005</v>
      </c>
      <c r="Q292">
        <v>6.851952E-2</v>
      </c>
      <c r="R292">
        <v>-1.3415409999999999E-2</v>
      </c>
      <c r="S292">
        <v>3.0100709999999999</v>
      </c>
      <c r="T292">
        <v>-5.4207089999999999E-2</v>
      </c>
      <c r="U292">
        <v>-6.7047120000000002E-2</v>
      </c>
      <c r="V292">
        <v>1.698738E-2</v>
      </c>
      <c r="W292">
        <v>7.641995E-2</v>
      </c>
      <c r="X292">
        <v>0.99693100000000001</v>
      </c>
      <c r="Y292">
        <v>2.5840780000000001E-2</v>
      </c>
      <c r="Z292">
        <v>-2.9704900000000002E-4</v>
      </c>
      <c r="AA292">
        <v>0.99966600000000005</v>
      </c>
      <c r="AB292">
        <v>22</v>
      </c>
      <c r="AC292">
        <v>61.506700000000002</v>
      </c>
      <c r="AD292">
        <v>-1.1098431716749999</v>
      </c>
      <c r="AE292">
        <v>-1.37329999999997</v>
      </c>
      <c r="AF292">
        <v>1.59283330338357</v>
      </c>
      <c r="AG292">
        <v>-1.1098431716749999</v>
      </c>
      <c r="AH292">
        <v>61.481384809986601</v>
      </c>
      <c r="AI292">
        <v>91.033826760540194</v>
      </c>
      <c r="AJ292">
        <v>88.515937536307405</v>
      </c>
      <c r="AK292">
        <v>61.512027668999302</v>
      </c>
      <c r="AL292">
        <v>85.617186366328497</v>
      </c>
      <c r="AM292">
        <v>89.023793025289393</v>
      </c>
      <c r="AN292">
        <v>0.99999999929913297</v>
      </c>
    </row>
    <row r="293" spans="1:40" x14ac:dyDescent="0.25">
      <c r="A293" t="str">
        <f>"20190312150951942"</f>
        <v>20190312150951942</v>
      </c>
      <c r="B293" t="str">
        <f>"1552374591931457"</f>
        <v>1552374591931457</v>
      </c>
      <c r="C293" t="s">
        <v>40</v>
      </c>
      <c r="D293">
        <v>5.1396870000000003</v>
      </c>
      <c r="E293">
        <v>0.50260190000000005</v>
      </c>
      <c r="F293" t="s">
        <v>42</v>
      </c>
      <c r="G293">
        <v>-380.61590000000001</v>
      </c>
      <c r="H293" s="1">
        <v>-4.6818160000000002E-6</v>
      </c>
      <c r="I293">
        <v>365.81799999999998</v>
      </c>
      <c r="J293">
        <v>-445.44560000000001</v>
      </c>
      <c r="K293">
        <v>1.1098399999999999</v>
      </c>
      <c r="L293">
        <v>367.21420000000001</v>
      </c>
      <c r="M293">
        <v>0.99996229999999997</v>
      </c>
      <c r="N293">
        <v>0</v>
      </c>
      <c r="O293">
        <v>3.5780109999999999E-3</v>
      </c>
      <c r="P293">
        <v>0.997529</v>
      </c>
      <c r="Q293">
        <v>6.9240049999999997E-2</v>
      </c>
      <c r="R293">
        <v>-1.1922530000000001E-2</v>
      </c>
      <c r="S293">
        <v>3.0100099999999999</v>
      </c>
      <c r="T293">
        <v>-5.1380519999999999E-2</v>
      </c>
      <c r="U293">
        <v>-6.4605709999999997E-2</v>
      </c>
      <c r="V293">
        <v>1.549466E-2</v>
      </c>
      <c r="W293">
        <v>7.7141660000000001E-2</v>
      </c>
      <c r="X293">
        <v>0.99689970000000006</v>
      </c>
      <c r="Y293">
        <v>2.5031680000000001E-2</v>
      </c>
      <c r="Z293">
        <v>-2.7467090000000001E-4</v>
      </c>
      <c r="AA293">
        <v>0.99968659999999998</v>
      </c>
      <c r="AB293">
        <v>22</v>
      </c>
      <c r="AC293">
        <v>64.829700000000003</v>
      </c>
      <c r="AD293">
        <v>-1.1098446818159999</v>
      </c>
      <c r="AE293">
        <v>-1.3961999999999599</v>
      </c>
      <c r="AF293">
        <v>1.6276828928756299</v>
      </c>
      <c r="AG293">
        <v>-1.1098446818159999</v>
      </c>
      <c r="AH293">
        <v>64.805305311787805</v>
      </c>
      <c r="AI293">
        <v>90.980832636978207</v>
      </c>
      <c r="AJ293">
        <v>88.561232655665705</v>
      </c>
      <c r="AK293">
        <v>64.835242757095799</v>
      </c>
      <c r="AL293">
        <v>85.575712851341905</v>
      </c>
      <c r="AM293">
        <v>89.109532139025106</v>
      </c>
      <c r="AN293">
        <v>0.99999996602807995</v>
      </c>
    </row>
    <row r="294" spans="1:40" x14ac:dyDescent="0.25">
      <c r="A294" t="str">
        <f>"20190312150951953"</f>
        <v>20190312150951953</v>
      </c>
      <c r="B294" t="str">
        <f>"1552374591950978"</f>
        <v>1552374591950978</v>
      </c>
      <c r="C294" t="s">
        <v>40</v>
      </c>
      <c r="D294">
        <v>5.3815179999999998</v>
      </c>
      <c r="E294">
        <v>0.50243709999999997</v>
      </c>
      <c r="F294" t="s">
        <v>42</v>
      </c>
      <c r="G294">
        <v>-371.50139999999999</v>
      </c>
      <c r="H294" s="1">
        <v>-4.3101550000000001E-6</v>
      </c>
      <c r="I294">
        <v>365.77170000000001</v>
      </c>
      <c r="J294">
        <v>-445.3279</v>
      </c>
      <c r="K294">
        <v>1.1098380000000001</v>
      </c>
      <c r="L294">
        <v>367.21469999999999</v>
      </c>
      <c r="M294">
        <v>0.99996220000000002</v>
      </c>
      <c r="N294">
        <v>0</v>
      </c>
      <c r="O294">
        <v>3.5781849999999998E-3</v>
      </c>
      <c r="P294">
        <v>0.99750019999999995</v>
      </c>
      <c r="Q294">
        <v>6.9806629999999995E-2</v>
      </c>
      <c r="R294">
        <v>-1.096743E-2</v>
      </c>
      <c r="S294">
        <v>3.0098569999999998</v>
      </c>
      <c r="T294">
        <v>-4.5175550000000002E-2</v>
      </c>
      <c r="U294">
        <v>-5.8715820000000002E-2</v>
      </c>
      <c r="V294">
        <v>1.453978E-2</v>
      </c>
      <c r="W294">
        <v>7.7709280000000006E-2</v>
      </c>
      <c r="X294">
        <v>0.99687000000000003</v>
      </c>
      <c r="Y294">
        <v>2.3078620000000001E-2</v>
      </c>
      <c r="Z294">
        <v>-2.2686930000000001E-4</v>
      </c>
      <c r="AA294">
        <v>0.9997336</v>
      </c>
      <c r="AB294">
        <v>22</v>
      </c>
      <c r="AC294">
        <v>73.826499999999996</v>
      </c>
      <c r="AD294">
        <v>-1.1098423101549999</v>
      </c>
      <c r="AE294">
        <v>-1.4429999999999801</v>
      </c>
      <c r="AF294">
        <v>1.7067783558354299</v>
      </c>
      <c r="AG294">
        <v>-1.1098423101549999</v>
      </c>
      <c r="AH294">
        <v>73.804190894036097</v>
      </c>
      <c r="AI294">
        <v>90.861299254922301</v>
      </c>
      <c r="AJ294">
        <v>88.675227411641899</v>
      </c>
      <c r="AK294">
        <v>73.832265547202795</v>
      </c>
      <c r="AL294">
        <v>85.543092703384104</v>
      </c>
      <c r="AM294">
        <v>89.164375533027993</v>
      </c>
      <c r="AN294">
        <v>0.99999996715028205</v>
      </c>
    </row>
    <row r="295" spans="1:40" x14ac:dyDescent="0.25">
      <c r="A295" t="str">
        <f>"20190312150951966"</f>
        <v>20190312150951966</v>
      </c>
      <c r="B295" t="str">
        <f>"1552374591960737"</f>
        <v>1552374591960737</v>
      </c>
      <c r="C295" t="s">
        <v>40</v>
      </c>
      <c r="D295">
        <v>5.5015179999999999</v>
      </c>
      <c r="E295">
        <v>0.50236510000000001</v>
      </c>
      <c r="F295" t="s">
        <v>42</v>
      </c>
      <c r="G295">
        <v>-361.09370000000001</v>
      </c>
      <c r="H295" s="1">
        <v>-4.500456E-6</v>
      </c>
      <c r="I295">
        <v>365.68490000000003</v>
      </c>
      <c r="J295">
        <v>-445.20749999999998</v>
      </c>
      <c r="K295">
        <v>1.109836</v>
      </c>
      <c r="L295">
        <v>367.21510000000001</v>
      </c>
      <c r="M295">
        <v>0.99996220000000002</v>
      </c>
      <c r="N295">
        <v>0</v>
      </c>
      <c r="O295">
        <v>3.5781789999999999E-3</v>
      </c>
      <c r="P295">
        <v>0.99745980000000001</v>
      </c>
      <c r="Q295">
        <v>7.0524439999999994E-2</v>
      </c>
      <c r="R295">
        <v>-1.000995E-2</v>
      </c>
      <c r="S295">
        <v>3.009674</v>
      </c>
      <c r="T295">
        <v>-3.9654490000000001E-2</v>
      </c>
      <c r="U295">
        <v>-5.4656980000000001E-2</v>
      </c>
      <c r="V295">
        <v>1.3582179999999999E-2</v>
      </c>
      <c r="W295">
        <v>7.8428529999999996E-2</v>
      </c>
      <c r="X295">
        <v>0.99682720000000002</v>
      </c>
      <c r="Y295">
        <v>2.1732830000000002E-2</v>
      </c>
      <c r="Z295">
        <v>-1.9029520000000001E-4</v>
      </c>
      <c r="AA295">
        <v>0.99976379999999998</v>
      </c>
      <c r="AB295">
        <v>22</v>
      </c>
      <c r="AC295">
        <v>84.113799999999898</v>
      </c>
      <c r="AD295">
        <v>-1.1098405004559999</v>
      </c>
      <c r="AE295">
        <v>-1.53019999999997</v>
      </c>
      <c r="AF295">
        <v>1.8308552490478101</v>
      </c>
      <c r="AG295">
        <v>-1.1098405004559999</v>
      </c>
      <c r="AH295">
        <v>84.093150628484594</v>
      </c>
      <c r="AI295">
        <v>90.755952435717603</v>
      </c>
      <c r="AJ295">
        <v>88.752767519916503</v>
      </c>
      <c r="AK295">
        <v>84.120400376510403</v>
      </c>
      <c r="AL295">
        <v>85.501756647654304</v>
      </c>
      <c r="AM295">
        <v>89.219369778662696</v>
      </c>
      <c r="AN295">
        <v>0.99999998829567605</v>
      </c>
    </row>
    <row r="296" spans="1:40" x14ac:dyDescent="0.25">
      <c r="A296" t="str">
        <f>"20190312150951988"</f>
        <v>20190312150951988</v>
      </c>
      <c r="B296" t="str">
        <f>"1552374591981233"</f>
        <v>1552374591981233</v>
      </c>
      <c r="C296" t="s">
        <v>40</v>
      </c>
      <c r="D296">
        <v>5.3386740000000001</v>
      </c>
      <c r="E296">
        <v>0.50221680000000002</v>
      </c>
      <c r="F296" t="s">
        <v>42</v>
      </c>
      <c r="G296">
        <v>-352.56209999999999</v>
      </c>
      <c r="H296" s="1">
        <v>-3.8787260000000001E-6</v>
      </c>
      <c r="I296">
        <v>365.63869999999997</v>
      </c>
      <c r="J296">
        <v>-444.99639999999999</v>
      </c>
      <c r="K296">
        <v>1.1098319999999999</v>
      </c>
      <c r="L296">
        <v>367.21589999999998</v>
      </c>
      <c r="M296">
        <v>0.99996220000000002</v>
      </c>
      <c r="N296">
        <v>0</v>
      </c>
      <c r="O296">
        <v>3.5785220000000002E-3</v>
      </c>
      <c r="P296">
        <v>0.99748099999999995</v>
      </c>
      <c r="Q296">
        <v>7.0455190000000001E-2</v>
      </c>
      <c r="R296">
        <v>-8.2325999999999996E-3</v>
      </c>
      <c r="S296">
        <v>3.0096129999999999</v>
      </c>
      <c r="T296">
        <v>-3.6053420000000003E-2</v>
      </c>
      <c r="U296">
        <v>-5.1208499999999997E-2</v>
      </c>
      <c r="V296">
        <v>1.1805009999999999E-2</v>
      </c>
      <c r="W296">
        <v>7.8362929999999997E-2</v>
      </c>
      <c r="X296">
        <v>0.99685500000000005</v>
      </c>
      <c r="Y296">
        <v>2.0588789999999999E-2</v>
      </c>
      <c r="Z296">
        <v>-1.6617309999999999E-4</v>
      </c>
      <c r="AA296">
        <v>0.99978800000000001</v>
      </c>
      <c r="AB296">
        <v>22</v>
      </c>
      <c r="AC296">
        <v>92.434299999999993</v>
      </c>
      <c r="AD296">
        <v>-1.1098358787260001</v>
      </c>
      <c r="AE296">
        <v>-1.5771999999999999</v>
      </c>
      <c r="AF296">
        <v>1.9077035239258899</v>
      </c>
      <c r="AG296">
        <v>-1.1098358787260001</v>
      </c>
      <c r="AH296">
        <v>92.414745061007196</v>
      </c>
      <c r="AI296">
        <v>90.687902269574906</v>
      </c>
      <c r="AJ296">
        <v>88.817419896912696</v>
      </c>
      <c r="AK296">
        <v>92.441095693981495</v>
      </c>
      <c r="AL296">
        <v>85.505526902729002</v>
      </c>
      <c r="AM296">
        <v>89.321520547503198</v>
      </c>
      <c r="AN296">
        <v>0.99999999904214198</v>
      </c>
    </row>
    <row r="297" spans="1:40" x14ac:dyDescent="0.25">
      <c r="A297" t="str">
        <f>"20190312150952010"</f>
        <v>20190312150952010</v>
      </c>
      <c r="B297" t="str">
        <f>"1552374592000753"</f>
        <v>1552374592000753</v>
      </c>
      <c r="C297" t="s">
        <v>40</v>
      </c>
      <c r="D297">
        <v>5.4527340000000004</v>
      </c>
      <c r="E297">
        <v>0.50213409999999903</v>
      </c>
      <c r="F297" t="s">
        <v>42</v>
      </c>
      <c r="G297">
        <v>-344.54840000000002</v>
      </c>
      <c r="H297" s="1">
        <v>-3.2469120000000001E-6</v>
      </c>
      <c r="I297">
        <v>365.72980000000001</v>
      </c>
      <c r="J297">
        <v>-444.77510000000001</v>
      </c>
      <c r="K297">
        <v>1.1098300000000001</v>
      </c>
      <c r="L297">
        <v>367.2167</v>
      </c>
      <c r="M297">
        <v>0.99996220000000002</v>
      </c>
      <c r="N297">
        <v>0</v>
      </c>
      <c r="O297">
        <v>3.5786820000000001E-3</v>
      </c>
      <c r="P297">
        <v>0.99752779999999996</v>
      </c>
      <c r="Q297">
        <v>7.0019520000000002E-2</v>
      </c>
      <c r="R297">
        <v>-5.9728050000000003E-3</v>
      </c>
      <c r="S297">
        <v>3.0095209999999999</v>
      </c>
      <c r="T297">
        <v>-3.3251759999999998E-2</v>
      </c>
      <c r="U297">
        <v>-4.4525149999999999E-2</v>
      </c>
      <c r="V297">
        <v>9.5455799999999997E-3</v>
      </c>
      <c r="W297">
        <v>7.7932719999999997E-2</v>
      </c>
      <c r="X297">
        <v>0.99691289999999999</v>
      </c>
      <c r="Y297">
        <v>1.8370109999999999E-2</v>
      </c>
      <c r="Z297">
        <v>-1.410141E-4</v>
      </c>
      <c r="AA297">
        <v>0.99983129999999998</v>
      </c>
      <c r="AB297">
        <v>22</v>
      </c>
      <c r="AC297">
        <v>100.22669999999999</v>
      </c>
      <c r="AD297">
        <v>-1.10983324691199</v>
      </c>
      <c r="AE297">
        <v>-1.4868999999999899</v>
      </c>
      <c r="AF297">
        <v>1.8453550057853201</v>
      </c>
      <c r="AG297">
        <v>-1.10983324691199</v>
      </c>
      <c r="AH297">
        <v>100.20845235132499</v>
      </c>
      <c r="AI297">
        <v>90.634431345508801</v>
      </c>
      <c r="AJ297">
        <v>88.945008113494097</v>
      </c>
      <c r="AK297">
        <v>100.231586775732</v>
      </c>
      <c r="AL297">
        <v>85.530251642454502</v>
      </c>
      <c r="AM297">
        <v>89.451401688749499</v>
      </c>
      <c r="AN297">
        <v>0.99999997856527201</v>
      </c>
    </row>
    <row r="298" spans="1:40" x14ac:dyDescent="0.25">
      <c r="A298" t="str">
        <f>"20190312150952031"</f>
        <v>20190312150952031</v>
      </c>
      <c r="B298" t="str">
        <f>"1552374592021735"</f>
        <v>1552374592021735</v>
      </c>
      <c r="C298" t="s">
        <v>40</v>
      </c>
      <c r="D298">
        <v>5.1899699999999998</v>
      </c>
      <c r="E298">
        <v>0.50203779999999998</v>
      </c>
      <c r="F298" t="s">
        <v>42</v>
      </c>
      <c r="G298">
        <v>-338.96010000000001</v>
      </c>
      <c r="H298" s="1">
        <v>-1.3245169999999901E-6</v>
      </c>
      <c r="I298">
        <v>365.91609999999997</v>
      </c>
      <c r="J298">
        <v>-444.5634</v>
      </c>
      <c r="K298">
        <v>1.1098269999999999</v>
      </c>
      <c r="L298">
        <v>367.21749999999997</v>
      </c>
      <c r="M298">
        <v>0.99996220000000002</v>
      </c>
      <c r="N298">
        <v>0</v>
      </c>
      <c r="O298">
        <v>3.5788389999999999E-3</v>
      </c>
      <c r="P298">
        <v>0.99757039999999997</v>
      </c>
      <c r="Q298">
        <v>6.9584450000000006E-2</v>
      </c>
      <c r="R298">
        <v>-3.3651530000000001E-3</v>
      </c>
      <c r="S298">
        <v>3.00943</v>
      </c>
      <c r="T298">
        <v>-3.1564120000000001E-2</v>
      </c>
      <c r="U298">
        <v>-3.6987300000000001E-2</v>
      </c>
      <c r="V298">
        <v>6.9384030000000001E-3</v>
      </c>
      <c r="W298">
        <v>7.7503909999999995E-2</v>
      </c>
      <c r="X298">
        <v>0.99696790000000002</v>
      </c>
      <c r="Y298">
        <v>1.5867079999999999E-2</v>
      </c>
      <c r="Z298">
        <v>-1.2073990000000001E-4</v>
      </c>
      <c r="AA298">
        <v>0.99987409999999999</v>
      </c>
      <c r="AB298">
        <v>22</v>
      </c>
      <c r="AC298">
        <v>105.6033</v>
      </c>
      <c r="AD298">
        <v>-1.109828324517</v>
      </c>
      <c r="AE298">
        <v>-1.3013999999999999</v>
      </c>
      <c r="AF298">
        <v>1.6791553091232501</v>
      </c>
      <c r="AG298">
        <v>-1.109828324517</v>
      </c>
      <c r="AH298">
        <v>105.586306027237</v>
      </c>
      <c r="AI298">
        <v>90.602143412604093</v>
      </c>
      <c r="AJ298">
        <v>89.088893186043293</v>
      </c>
      <c r="AK298">
        <v>105.60548897637599</v>
      </c>
      <c r="AL298">
        <v>85.5548952600153</v>
      </c>
      <c r="AM298">
        <v>89.601256178475495</v>
      </c>
      <c r="AN298">
        <v>0.99999999556594399</v>
      </c>
    </row>
    <row r="299" spans="1:40" x14ac:dyDescent="0.25">
      <c r="A299" t="str">
        <f>"20190312150952052"</f>
        <v>20190312150952052</v>
      </c>
      <c r="B299" t="str">
        <f>"1552374592041259"</f>
        <v>1552374592041259</v>
      </c>
      <c r="C299" t="s">
        <v>40</v>
      </c>
      <c r="D299">
        <v>4.9933339999999999</v>
      </c>
      <c r="E299">
        <v>0.50204769999999999</v>
      </c>
      <c r="F299" t="s">
        <v>42</v>
      </c>
      <c r="G299">
        <v>-332.75229999999999</v>
      </c>
      <c r="H299" s="1">
        <v>-3.7069609999999998E-6</v>
      </c>
      <c r="I299">
        <v>366.14699999999999</v>
      </c>
      <c r="J299">
        <v>-444.35320000000002</v>
      </c>
      <c r="K299">
        <v>1.109831</v>
      </c>
      <c r="L299">
        <v>367.21820000000002</v>
      </c>
      <c r="M299">
        <v>0.99996209999999996</v>
      </c>
      <c r="N299">
        <v>0</v>
      </c>
      <c r="O299">
        <v>3.5789329999999999E-3</v>
      </c>
      <c r="P299">
        <v>0.99757340000000005</v>
      </c>
      <c r="Q299">
        <v>6.9595260000000006E-2</v>
      </c>
      <c r="R299">
        <v>-1.9822379999999999E-3</v>
      </c>
      <c r="S299">
        <v>3.009277</v>
      </c>
      <c r="T299">
        <v>-2.986991E-2</v>
      </c>
      <c r="U299">
        <v>-2.8808589999999999E-2</v>
      </c>
      <c r="V299">
        <v>5.5554890000000003E-3</v>
      </c>
      <c r="W299">
        <v>7.7521030000000005E-2</v>
      </c>
      <c r="X299">
        <v>0.99697519999999995</v>
      </c>
      <c r="Y299">
        <v>1.3150820000000001E-2</v>
      </c>
      <c r="Z299">
        <v>-1.007879E-4</v>
      </c>
      <c r="AA299">
        <v>0.99991350000000001</v>
      </c>
      <c r="AB299">
        <v>22</v>
      </c>
      <c r="AC299">
        <v>111.6009</v>
      </c>
      <c r="AD299">
        <v>-1.109834706961</v>
      </c>
      <c r="AE299">
        <v>-1.0712000000000299</v>
      </c>
      <c r="AF299">
        <v>1.47047245177482</v>
      </c>
      <c r="AG299">
        <v>-1.109834706961</v>
      </c>
      <c r="AH299">
        <v>111.58531695624499</v>
      </c>
      <c r="AI299">
        <v>90.569799231179601</v>
      </c>
      <c r="AJ299">
        <v>89.244999332127804</v>
      </c>
      <c r="AK299">
        <v>111.600524114064</v>
      </c>
      <c r="AL299">
        <v>85.5539112443536</v>
      </c>
      <c r="AM299">
        <v>89.680731498319403</v>
      </c>
      <c r="AN299">
        <v>0.99999996148266401</v>
      </c>
    </row>
    <row r="300" spans="1:40" x14ac:dyDescent="0.25">
      <c r="A300" t="str">
        <f>"20190312150952075"</f>
        <v>20190312150952075</v>
      </c>
      <c r="B300" t="str">
        <f>"1552374592071511"</f>
        <v>1552374592071511</v>
      </c>
      <c r="C300" t="s">
        <v>40</v>
      </c>
      <c r="D300">
        <v>4.9363089999999996</v>
      </c>
      <c r="E300">
        <v>0.52100959999999996</v>
      </c>
      <c r="F300" t="s">
        <v>42</v>
      </c>
      <c r="G300">
        <v>-322.62049999999999</v>
      </c>
      <c r="H300" s="1">
        <v>-3.7513310000000002E-6</v>
      </c>
      <c r="I300">
        <v>366.21570000000003</v>
      </c>
      <c r="J300">
        <v>-444.13670000000002</v>
      </c>
      <c r="K300">
        <v>1.1098349999999999</v>
      </c>
      <c r="L300">
        <v>367.21899999999999</v>
      </c>
      <c r="M300">
        <v>0.99996209999999996</v>
      </c>
      <c r="N300">
        <v>0</v>
      </c>
      <c r="O300">
        <v>3.5792620000000002E-3</v>
      </c>
      <c r="P300">
        <v>0.99759359999999997</v>
      </c>
      <c r="Q300">
        <v>6.9315109999999999E-2</v>
      </c>
      <c r="R300">
        <v>-1.6094989999999999E-3</v>
      </c>
      <c r="S300">
        <v>3.009125</v>
      </c>
      <c r="T300">
        <v>-2.7434110000000001E-2</v>
      </c>
      <c r="U300">
        <v>-2.478027E-2</v>
      </c>
      <c r="V300">
        <v>5.1832270000000003E-3</v>
      </c>
      <c r="W300">
        <v>7.7247670000000004E-2</v>
      </c>
      <c r="X300">
        <v>0.99699850000000001</v>
      </c>
      <c r="Y300">
        <v>1.181333E-2</v>
      </c>
      <c r="Z300" s="1">
        <v>-8.6480779999999999E-5</v>
      </c>
      <c r="AA300">
        <v>0.99993019999999999</v>
      </c>
      <c r="AB300">
        <v>22</v>
      </c>
      <c r="AC300">
        <v>121.5162</v>
      </c>
      <c r="AD300">
        <v>-1.109838751331</v>
      </c>
      <c r="AE300">
        <v>-1.0032999999999599</v>
      </c>
      <c r="AF300">
        <v>1.4381256333202199</v>
      </c>
      <c r="AG300">
        <v>-1.109838751331</v>
      </c>
      <c r="AH300">
        <v>121.501695840313</v>
      </c>
      <c r="AI300">
        <v>90.523308370412707</v>
      </c>
      <c r="AJ300">
        <v>89.321863937599801</v>
      </c>
      <c r="AK300">
        <v>121.515274922386</v>
      </c>
      <c r="AL300">
        <v>85.569621069477606</v>
      </c>
      <c r="AM300">
        <v>89.702131592122001</v>
      </c>
      <c r="AN300">
        <v>1.0000000386823999</v>
      </c>
    </row>
    <row r="301" spans="1:40" x14ac:dyDescent="0.25">
      <c r="A301" t="str">
        <f>"20190312150952097"</f>
        <v>20190312150952097</v>
      </c>
      <c r="B301" t="str">
        <f>"1552374592091031"</f>
        <v>1552374592091031</v>
      </c>
      <c r="C301" t="s">
        <v>40</v>
      </c>
      <c r="D301">
        <v>5.3199569999999996</v>
      </c>
      <c r="E301">
        <v>0.54822669999999996</v>
      </c>
      <c r="F301" t="s">
        <v>44</v>
      </c>
      <c r="G301">
        <v>0</v>
      </c>
      <c r="H301">
        <v>0</v>
      </c>
      <c r="I301">
        <v>0</v>
      </c>
      <c r="J301">
        <v>-443.9119</v>
      </c>
      <c r="K301">
        <v>1.109842</v>
      </c>
      <c r="L301">
        <v>367.21980000000002</v>
      </c>
      <c r="M301">
        <v>0.99996189999999996</v>
      </c>
      <c r="N301">
        <v>0</v>
      </c>
      <c r="O301">
        <v>3.5795879999999999E-3</v>
      </c>
      <c r="P301">
        <v>0.99755229999999995</v>
      </c>
      <c r="Q301">
        <v>6.9912760000000004E-2</v>
      </c>
      <c r="R301">
        <v>-1.353312E-3</v>
      </c>
      <c r="S301">
        <v>3.005951</v>
      </c>
      <c r="T301">
        <v>1.494241E-2</v>
      </c>
      <c r="U301">
        <v>-0.1739502</v>
      </c>
      <c r="V301">
        <v>4.9272430000000004E-3</v>
      </c>
      <c r="W301">
        <v>7.7853329999999998E-2</v>
      </c>
      <c r="X301">
        <v>0.99695270000000002</v>
      </c>
      <c r="Y301">
        <v>6.1344509999999998E-2</v>
      </c>
      <c r="Z301">
        <v>1.7012160000000001E-4</v>
      </c>
      <c r="AA301">
        <v>0.99811660000000002</v>
      </c>
      <c r="AB301">
        <v>22</v>
      </c>
      <c r="AC301">
        <v>3.005951</v>
      </c>
      <c r="AD301">
        <v>1.494241E-2</v>
      </c>
      <c r="AE301">
        <v>-0.1739502</v>
      </c>
      <c r="AF301">
        <v>0.18470494375699201</v>
      </c>
      <c r="AG301">
        <v>1.494241E-2</v>
      </c>
      <c r="AH301">
        <v>3.00523503831154</v>
      </c>
      <c r="AI301">
        <v>89.715656992995903</v>
      </c>
      <c r="AJ301">
        <v>86.482964452207497</v>
      </c>
      <c r="AK301">
        <v>3.0109428469102899</v>
      </c>
      <c r="AL301">
        <v>85.534814547104901</v>
      </c>
      <c r="AM301">
        <v>89.716829163545299</v>
      </c>
      <c r="AN301">
        <v>1.00000005237647</v>
      </c>
    </row>
    <row r="302" spans="1:40" x14ac:dyDescent="0.25">
      <c r="A302" t="str">
        <f>"20190312150952121"</f>
        <v>20190312150952121</v>
      </c>
      <c r="B302" t="str">
        <f>"1552374592111527"</f>
        <v>1552374592111527</v>
      </c>
      <c r="C302" t="s">
        <v>40</v>
      </c>
      <c r="D302">
        <v>5.4310299999999998</v>
      </c>
      <c r="E302">
        <v>0.54645690000000002</v>
      </c>
      <c r="F302" t="s">
        <v>41</v>
      </c>
      <c r="G302">
        <v>-443.25369999999998</v>
      </c>
      <c r="H302">
        <v>0.88830379999999998</v>
      </c>
      <c r="I302">
        <v>367.13420000000002</v>
      </c>
      <c r="J302">
        <v>-443.67669999999998</v>
      </c>
      <c r="K302">
        <v>1.1098440000000001</v>
      </c>
      <c r="L302">
        <v>367.22059999999999</v>
      </c>
      <c r="M302">
        <v>0.99996189999999996</v>
      </c>
      <c r="N302">
        <v>0</v>
      </c>
      <c r="O302">
        <v>3.5797310000000001E-3</v>
      </c>
      <c r="P302">
        <v>0.9974807</v>
      </c>
      <c r="Q302">
        <v>7.0923979999999998E-2</v>
      </c>
      <c r="R302">
        <v>-1.5235789999999999E-3</v>
      </c>
      <c r="S302">
        <v>3.0794679999999999</v>
      </c>
      <c r="T302">
        <v>-1.0364450000000001</v>
      </c>
      <c r="U302">
        <v>-0.39904790000000001</v>
      </c>
      <c r="V302">
        <v>5.0973920000000001E-3</v>
      </c>
      <c r="W302">
        <v>7.8873470000000001E-2</v>
      </c>
      <c r="X302">
        <v>0.99687159999999997</v>
      </c>
      <c r="Y302">
        <v>0.12507989999999999</v>
      </c>
      <c r="Z302">
        <v>-2.157369E-2</v>
      </c>
      <c r="AA302">
        <v>0.99191209999999996</v>
      </c>
      <c r="AB302">
        <v>22</v>
      </c>
      <c r="AC302">
        <v>0.42300000000000099</v>
      </c>
      <c r="AD302">
        <v>-0.22154019999999999</v>
      </c>
      <c r="AE302">
        <v>-8.6399999999969099E-2</v>
      </c>
      <c r="AF302">
        <v>6.9589785329957896E-2</v>
      </c>
      <c r="AG302">
        <v>-0.22154019999999999</v>
      </c>
      <c r="AH302">
        <v>0.33458675574556401</v>
      </c>
      <c r="AI302">
        <v>122.953641255066</v>
      </c>
      <c r="AJ302">
        <v>78.250715652688896</v>
      </c>
      <c r="AK302">
        <v>0.40727275327309997</v>
      </c>
      <c r="AL302">
        <v>85.476184285850806</v>
      </c>
      <c r="AM302">
        <v>89.707026960443699</v>
      </c>
      <c r="AN302">
        <v>0.99999999728080102</v>
      </c>
    </row>
    <row r="303" spans="1:40" x14ac:dyDescent="0.25">
      <c r="A303" t="str">
        <f>"20190312150952142"</f>
        <v>20190312150952142</v>
      </c>
      <c r="B303" t="str">
        <f>"1552374592131047"</f>
        <v>1552374592131047</v>
      </c>
      <c r="C303" t="s">
        <v>40</v>
      </c>
      <c r="D303">
        <v>4.9399819999999997</v>
      </c>
      <c r="E303">
        <v>0.54623379999999999</v>
      </c>
      <c r="F303" t="s">
        <v>43</v>
      </c>
      <c r="G303">
        <v>-420.19709999999998</v>
      </c>
      <c r="H303">
        <v>-0.05</v>
      </c>
      <c r="I303">
        <v>364.2765</v>
      </c>
      <c r="J303">
        <v>-443.45949999999999</v>
      </c>
      <c r="K303">
        <v>1.1098380000000001</v>
      </c>
      <c r="L303">
        <v>367.22140000000002</v>
      </c>
      <c r="M303">
        <v>0.99996189999999996</v>
      </c>
      <c r="N303">
        <v>0</v>
      </c>
      <c r="O303">
        <v>3.5799930000000001E-3</v>
      </c>
      <c r="P303">
        <v>0.99747439999999998</v>
      </c>
      <c r="Q303">
        <v>7.1000439999999998E-2</v>
      </c>
      <c r="R303">
        <v>-1.99146E-3</v>
      </c>
      <c r="S303">
        <v>3.017639</v>
      </c>
      <c r="T303">
        <v>-0.1490648</v>
      </c>
      <c r="U303">
        <v>-0.37838749999999999</v>
      </c>
      <c r="V303">
        <v>5.5655629999999999E-3</v>
      </c>
      <c r="W303">
        <v>7.8958089999999995E-2</v>
      </c>
      <c r="X303">
        <v>0.99686240000000004</v>
      </c>
      <c r="Y303">
        <v>0.12781129999999999</v>
      </c>
      <c r="Z303">
        <v>-3.318657E-3</v>
      </c>
      <c r="AA303">
        <v>0.99179300000000004</v>
      </c>
      <c r="AB303">
        <v>22</v>
      </c>
      <c r="AC303">
        <v>23.2624</v>
      </c>
      <c r="AD303">
        <v>-1.1598379999999999</v>
      </c>
      <c r="AE303">
        <v>-2.9449000000000098</v>
      </c>
      <c r="AF303">
        <v>3.0207720731891898</v>
      </c>
      <c r="AG303">
        <v>-1.1598379999999999</v>
      </c>
      <c r="AH303">
        <v>23.194956767478502</v>
      </c>
      <c r="AI303">
        <v>92.838694909360996</v>
      </c>
      <c r="AJ303">
        <v>82.579903691406301</v>
      </c>
      <c r="AK303">
        <v>23.4195710368401</v>
      </c>
      <c r="AL303">
        <v>85.471320761340294</v>
      </c>
      <c r="AM303">
        <v>89.6801163758456</v>
      </c>
      <c r="AN303">
        <v>1.00000000000085</v>
      </c>
    </row>
    <row r="304" spans="1:40" x14ac:dyDescent="0.25">
      <c r="A304" t="str">
        <f>"20190312150952164"</f>
        <v>20190312150952164</v>
      </c>
      <c r="B304" t="str">
        <f>"1552374592160738"</f>
        <v>1552374592160738</v>
      </c>
      <c r="C304" t="s">
        <v>40</v>
      </c>
      <c r="D304">
        <v>4.8345190000000002</v>
      </c>
      <c r="E304">
        <v>0.54324249999999996</v>
      </c>
      <c r="F304" t="s">
        <v>43</v>
      </c>
      <c r="G304">
        <v>-419.96940000000001</v>
      </c>
      <c r="H304">
        <v>-0.05</v>
      </c>
      <c r="I304">
        <v>364.27879999999999</v>
      </c>
      <c r="J304">
        <v>-443.24189999999999</v>
      </c>
      <c r="K304">
        <v>1.109837</v>
      </c>
      <c r="L304">
        <v>367.22219999999999</v>
      </c>
      <c r="M304">
        <v>0.99996169999999995</v>
      </c>
      <c r="N304">
        <v>0</v>
      </c>
      <c r="O304">
        <v>3.5803129999999999E-3</v>
      </c>
      <c r="P304">
        <v>0.99751409999999996</v>
      </c>
      <c r="Q304">
        <v>7.0415270000000002E-2</v>
      </c>
      <c r="R304">
        <v>-2.7673200000000002E-3</v>
      </c>
      <c r="S304">
        <v>3.0174560000000001</v>
      </c>
      <c r="T304">
        <v>-0.1489886</v>
      </c>
      <c r="U304">
        <v>-0.37799070000000001</v>
      </c>
      <c r="V304">
        <v>6.3417730000000002E-3</v>
      </c>
      <c r="W304">
        <v>7.8382899999999894E-2</v>
      </c>
      <c r="X304">
        <v>0.99690319999999999</v>
      </c>
      <c r="Y304">
        <v>0.127691</v>
      </c>
      <c r="Z304">
        <v>-3.3142480000000001E-3</v>
      </c>
      <c r="AA304">
        <v>0.99180849999999998</v>
      </c>
      <c r="AB304">
        <v>22</v>
      </c>
      <c r="AC304">
        <v>23.272499999999901</v>
      </c>
      <c r="AD304">
        <v>-1.159837</v>
      </c>
      <c r="AE304">
        <v>-2.9433999999999898</v>
      </c>
      <c r="AF304">
        <v>3.019325445877</v>
      </c>
      <c r="AG304">
        <v>-1.159837</v>
      </c>
      <c r="AH304">
        <v>23.205084004140701</v>
      </c>
      <c r="AI304">
        <v>92.837498835881107</v>
      </c>
      <c r="AJ304">
        <v>82.586618311908694</v>
      </c>
      <c r="AK304">
        <v>23.429414667334701</v>
      </c>
      <c r="AL304">
        <v>85.504379376611098</v>
      </c>
      <c r="AM304">
        <v>89.635519350157196</v>
      </c>
      <c r="AN304">
        <v>1.00000004363371</v>
      </c>
    </row>
    <row r="305" spans="1:40" x14ac:dyDescent="0.25">
      <c r="A305" t="str">
        <f>"20190312150952188"</f>
        <v>20190312150952188</v>
      </c>
      <c r="B305" t="str">
        <f>"1552374592181235"</f>
        <v>1552374592181235</v>
      </c>
      <c r="C305" t="s">
        <v>40</v>
      </c>
      <c r="D305">
        <v>5.0586010000000003</v>
      </c>
      <c r="E305">
        <v>0.54368879999999997</v>
      </c>
      <c r="F305" t="s">
        <v>43</v>
      </c>
      <c r="G305">
        <v>-422.15289999999999</v>
      </c>
      <c r="H305">
        <v>-0.05</v>
      </c>
      <c r="I305">
        <v>364.73270000000002</v>
      </c>
      <c r="J305">
        <v>-443.00900000000001</v>
      </c>
      <c r="K305">
        <v>1.1098330000000001</v>
      </c>
      <c r="L305">
        <v>367.22300000000001</v>
      </c>
      <c r="M305">
        <v>0.99996169999999995</v>
      </c>
      <c r="N305">
        <v>0</v>
      </c>
      <c r="O305">
        <v>3.5804500000000002E-3</v>
      </c>
      <c r="P305">
        <v>0.99756880000000003</v>
      </c>
      <c r="Q305">
        <v>6.9604959999999994E-2</v>
      </c>
      <c r="R305">
        <v>-3.4677459999999998E-3</v>
      </c>
      <c r="S305">
        <v>3.0182500000000001</v>
      </c>
      <c r="T305">
        <v>-0.16599620000000001</v>
      </c>
      <c r="U305">
        <v>-0.35629270000000002</v>
      </c>
      <c r="V305">
        <v>7.0424420000000003E-3</v>
      </c>
      <c r="W305">
        <v>7.7582819999999997E-2</v>
      </c>
      <c r="X305">
        <v>0.99696110000000004</v>
      </c>
      <c r="Y305">
        <v>0.12060220000000001</v>
      </c>
      <c r="Z305">
        <v>-3.4985709999999998E-3</v>
      </c>
      <c r="AA305">
        <v>0.99269470000000004</v>
      </c>
      <c r="AB305">
        <v>22</v>
      </c>
      <c r="AC305">
        <v>20.856100000000001</v>
      </c>
      <c r="AD305">
        <v>-1.1598329999999999</v>
      </c>
      <c r="AE305">
        <v>-2.4902999999999902</v>
      </c>
      <c r="AF305">
        <v>2.5571635057959501</v>
      </c>
      <c r="AG305">
        <v>-1.1598329999999999</v>
      </c>
      <c r="AH305">
        <v>20.783677400647701</v>
      </c>
      <c r="AI305">
        <v>93.170221570373002</v>
      </c>
      <c r="AJ305">
        <v>82.985745611496995</v>
      </c>
      <c r="AK305">
        <v>20.972494941648101</v>
      </c>
      <c r="AL305">
        <v>85.550360693589596</v>
      </c>
      <c r="AM305">
        <v>89.595274587101798</v>
      </c>
      <c r="AN305">
        <v>1.0000000624308401</v>
      </c>
    </row>
    <row r="306" spans="1:40" x14ac:dyDescent="0.25">
      <c r="A306" t="str">
        <f>"20190312150952211"</f>
        <v>20190312150952211</v>
      </c>
      <c r="B306" t="str">
        <f>"1552374592200755"</f>
        <v>1552374592200755</v>
      </c>
      <c r="C306" t="s">
        <v>40</v>
      </c>
      <c r="D306">
        <v>4.9251440000000004</v>
      </c>
      <c r="E306">
        <v>0.54418750000000005</v>
      </c>
      <c r="F306" t="s">
        <v>43</v>
      </c>
      <c r="G306">
        <v>-422.28179999999998</v>
      </c>
      <c r="H306">
        <v>-0.05</v>
      </c>
      <c r="I306">
        <v>364.738</v>
      </c>
      <c r="J306">
        <v>-442.76819999999998</v>
      </c>
      <c r="K306">
        <v>1.109834</v>
      </c>
      <c r="L306">
        <v>367.22390000000001</v>
      </c>
      <c r="M306">
        <v>0.99996149999999995</v>
      </c>
      <c r="N306">
        <v>0</v>
      </c>
      <c r="O306">
        <v>3.5808820000000001E-3</v>
      </c>
      <c r="P306">
        <v>0.9975851</v>
      </c>
      <c r="Q306">
        <v>6.9336120000000001E-2</v>
      </c>
      <c r="R306">
        <v>-4.0617520000000001E-3</v>
      </c>
      <c r="S306">
        <v>3.0178829999999999</v>
      </c>
      <c r="T306">
        <v>-0.1688713</v>
      </c>
      <c r="U306">
        <v>-0.36181639999999998</v>
      </c>
      <c r="V306">
        <v>7.6371659999999999E-3</v>
      </c>
      <c r="W306">
        <v>7.7325630000000006E-2</v>
      </c>
      <c r="X306">
        <v>0.99697659999999999</v>
      </c>
      <c r="Y306">
        <v>0.1223988</v>
      </c>
      <c r="Z306">
        <v>-3.6091920000000002E-3</v>
      </c>
      <c r="AA306">
        <v>0.99247439999999998</v>
      </c>
      <c r="AB306">
        <v>23</v>
      </c>
      <c r="AC306">
        <v>20.4864</v>
      </c>
      <c r="AD306">
        <v>-1.159834</v>
      </c>
      <c r="AE306">
        <v>-2.4858999999999498</v>
      </c>
      <c r="AF306">
        <v>2.5511872880773701</v>
      </c>
      <c r="AG306">
        <v>-1.159834</v>
      </c>
      <c r="AH306">
        <v>20.412887875193501</v>
      </c>
      <c r="AI306">
        <v>93.226925229806</v>
      </c>
      <c r="AJ306">
        <v>82.876154607169994</v>
      </c>
      <c r="AK306">
        <v>20.604362715008399</v>
      </c>
      <c r="AL306">
        <v>85.565140541113806</v>
      </c>
      <c r="AM306">
        <v>89.561104222063506</v>
      </c>
      <c r="AN306">
        <v>0.99999996015348303</v>
      </c>
    </row>
    <row r="307" spans="1:40" x14ac:dyDescent="0.25">
      <c r="A307" t="str">
        <f>"20190312150952231"</f>
        <v>20190312150952231</v>
      </c>
      <c r="B307" t="str">
        <f>"1552374592221253"</f>
        <v>1552374592221253</v>
      </c>
      <c r="C307" t="s">
        <v>40</v>
      </c>
      <c r="D307">
        <v>4.8993570000000002</v>
      </c>
      <c r="E307">
        <v>0.54452149999999999</v>
      </c>
      <c r="F307" t="s">
        <v>43</v>
      </c>
      <c r="G307">
        <v>-422.02190000000002</v>
      </c>
      <c r="H307">
        <v>-0.05</v>
      </c>
      <c r="I307">
        <v>364.69819999999999</v>
      </c>
      <c r="J307">
        <v>-442.55810000000002</v>
      </c>
      <c r="K307">
        <v>1.1098349999999999</v>
      </c>
      <c r="L307">
        <v>367.22460000000001</v>
      </c>
      <c r="M307">
        <v>0.99996160000000001</v>
      </c>
      <c r="N307">
        <v>0</v>
      </c>
      <c r="O307">
        <v>3.5810210000000002E-3</v>
      </c>
      <c r="P307">
        <v>0.99754480000000001</v>
      </c>
      <c r="Q307">
        <v>6.9884219999999997E-2</v>
      </c>
      <c r="R307">
        <v>-4.5730859999999996E-3</v>
      </c>
      <c r="S307">
        <v>3.0174560000000001</v>
      </c>
      <c r="T307">
        <v>-0.16869310000000001</v>
      </c>
      <c r="U307">
        <v>-0.3673401</v>
      </c>
      <c r="V307">
        <v>8.1483600000000003E-3</v>
      </c>
      <c r="W307">
        <v>7.7882800000000002E-2</v>
      </c>
      <c r="X307">
        <v>0.99692919999999996</v>
      </c>
      <c r="Y307">
        <v>0.1242036</v>
      </c>
      <c r="Z307">
        <v>-3.6557339999999999E-3</v>
      </c>
      <c r="AA307">
        <v>0.99224999999999997</v>
      </c>
      <c r="AB307">
        <v>23</v>
      </c>
      <c r="AC307">
        <v>20.536200000000001</v>
      </c>
      <c r="AD307">
        <v>-1.1598349999999999</v>
      </c>
      <c r="AE307">
        <v>-2.5264000000000202</v>
      </c>
      <c r="AF307">
        <v>2.59178291135657</v>
      </c>
      <c r="AG307">
        <v>-1.1598349999999999</v>
      </c>
      <c r="AH307">
        <v>20.462723720053301</v>
      </c>
      <c r="AI307">
        <v>93.218417390723801</v>
      </c>
      <c r="AJ307">
        <v>82.781425870722501</v>
      </c>
      <c r="AK307">
        <v>20.658790330754002</v>
      </c>
      <c r="AL307">
        <v>85.533120565459797</v>
      </c>
      <c r="AM307">
        <v>89.531705719964194</v>
      </c>
      <c r="AN307">
        <v>0.99999997805958396</v>
      </c>
    </row>
    <row r="308" spans="1:40" x14ac:dyDescent="0.25">
      <c r="A308" t="str">
        <f>"20190312150952255"</f>
        <v>20190312150952255</v>
      </c>
      <c r="B308" t="str">
        <f>"1552374592251507"</f>
        <v>1552374592251507</v>
      </c>
      <c r="C308" t="s">
        <v>40</v>
      </c>
      <c r="D308">
        <v>4.9236969999999998</v>
      </c>
      <c r="E308">
        <v>0.54443940000000002</v>
      </c>
      <c r="F308" t="s">
        <v>43</v>
      </c>
      <c r="G308">
        <v>-421.28129999999999</v>
      </c>
      <c r="H308">
        <v>-0.05</v>
      </c>
      <c r="I308">
        <v>364.60469999999998</v>
      </c>
      <c r="J308">
        <v>-442.33089999999999</v>
      </c>
      <c r="K308">
        <v>1.1098380000000001</v>
      </c>
      <c r="L308">
        <v>367.22539999999998</v>
      </c>
      <c r="M308">
        <v>0.9999614</v>
      </c>
      <c r="N308">
        <v>0</v>
      </c>
      <c r="O308">
        <v>3.581323E-3</v>
      </c>
      <c r="P308">
        <v>0.99751380000000001</v>
      </c>
      <c r="Q308">
        <v>7.0298840000000001E-2</v>
      </c>
      <c r="R308">
        <v>-4.9587379999999999E-3</v>
      </c>
      <c r="S308">
        <v>3.0172119999999998</v>
      </c>
      <c r="T308">
        <v>-0.164473799999999</v>
      </c>
      <c r="U308">
        <v>-0.37152099999999999</v>
      </c>
      <c r="V308">
        <v>8.5339749999999992E-3</v>
      </c>
      <c r="W308">
        <v>7.8311130000000007E-2</v>
      </c>
      <c r="X308">
        <v>0.99689249999999996</v>
      </c>
      <c r="Y308">
        <v>0.12557579999999999</v>
      </c>
      <c r="Z308">
        <v>-3.6016709999999999E-3</v>
      </c>
      <c r="AA308">
        <v>0.99207749999999995</v>
      </c>
      <c r="AB308">
        <v>23</v>
      </c>
      <c r="AC308">
        <v>21.049600000000002</v>
      </c>
      <c r="AD308">
        <v>-1.1598379999999999</v>
      </c>
      <c r="AE308">
        <v>-2.6206999999999998</v>
      </c>
      <c r="AF308">
        <v>2.68803463324699</v>
      </c>
      <c r="AG308">
        <v>-1.1598379999999999</v>
      </c>
      <c r="AH308">
        <v>20.977363218459701</v>
      </c>
      <c r="AI308">
        <v>93.139046008958601</v>
      </c>
      <c r="AJ308">
        <v>82.6979243275306</v>
      </c>
      <c r="AK308">
        <v>21.180663870024599</v>
      </c>
      <c r="AL308">
        <v>85.508504243527199</v>
      </c>
      <c r="AM308">
        <v>89.509527049057795</v>
      </c>
      <c r="AN308">
        <v>1.0000000591837099</v>
      </c>
    </row>
    <row r="309" spans="1:40" x14ac:dyDescent="0.25">
      <c r="A309" t="str">
        <f>"20190312150952276"</f>
        <v>20190312150952276</v>
      </c>
      <c r="B309" t="str">
        <f>"1552374592271027"</f>
        <v>1552374592271027</v>
      </c>
      <c r="C309" t="s">
        <v>40</v>
      </c>
      <c r="D309">
        <v>4.8302699999999996</v>
      </c>
      <c r="E309">
        <v>0.54540909999999998</v>
      </c>
      <c r="F309" t="s">
        <v>43</v>
      </c>
      <c r="G309">
        <v>-420.6293</v>
      </c>
      <c r="H309">
        <v>-0.05</v>
      </c>
      <c r="I309">
        <v>364.55329999999998</v>
      </c>
      <c r="J309">
        <v>-442.10669999999999</v>
      </c>
      <c r="K309">
        <v>1.1098410000000001</v>
      </c>
      <c r="L309">
        <v>367.22620000000001</v>
      </c>
      <c r="M309">
        <v>0.99996130000000005</v>
      </c>
      <c r="N309">
        <v>0</v>
      </c>
      <c r="O309">
        <v>3.5813559999999999E-3</v>
      </c>
      <c r="P309">
        <v>0.99747719999999995</v>
      </c>
      <c r="Q309">
        <v>7.0721160000000005E-2</v>
      </c>
      <c r="R309">
        <v>-6.1712049999999999E-3</v>
      </c>
      <c r="S309">
        <v>3.017029</v>
      </c>
      <c r="T309">
        <v>-0.1612449</v>
      </c>
      <c r="U309">
        <v>-0.3714905</v>
      </c>
      <c r="V309">
        <v>9.7466740000000003E-3</v>
      </c>
      <c r="W309">
        <v>7.8754160000000004E-2</v>
      </c>
      <c r="X309">
        <v>0.99684640000000002</v>
      </c>
      <c r="Y309">
        <v>0.12558050000000001</v>
      </c>
      <c r="Z309">
        <v>-3.5314069999999999E-3</v>
      </c>
      <c r="AA309">
        <v>0.99207710000000005</v>
      </c>
      <c r="AB309">
        <v>23</v>
      </c>
      <c r="AC309">
        <v>21.4773999999999</v>
      </c>
      <c r="AD309">
        <v>-1.1598409999999999</v>
      </c>
      <c r="AE309">
        <v>-2.6729000000000198</v>
      </c>
      <c r="AF309">
        <v>2.74192920393708</v>
      </c>
      <c r="AG309">
        <v>-1.1598409999999999</v>
      </c>
      <c r="AH309">
        <v>21.406214348229401</v>
      </c>
      <c r="AI309">
        <v>93.076307599020893</v>
      </c>
      <c r="AJ309">
        <v>82.700711271317402</v>
      </c>
      <c r="AK309">
        <v>21.6122516093772</v>
      </c>
      <c r="AL309">
        <v>85.483041498993103</v>
      </c>
      <c r="AM309">
        <v>89.439807888310398</v>
      </c>
      <c r="AN309">
        <v>0.99999998028216297</v>
      </c>
    </row>
    <row r="310" spans="1:40" x14ac:dyDescent="0.25">
      <c r="A310" t="str">
        <f>"20190312150952299"</f>
        <v>20190312150952299</v>
      </c>
      <c r="B310" t="str">
        <f>"1552374592291523"</f>
        <v>1552374592291523</v>
      </c>
      <c r="C310" t="s">
        <v>40</v>
      </c>
      <c r="D310">
        <v>5.2084530000000004</v>
      </c>
      <c r="E310">
        <v>0.54596909999999998</v>
      </c>
      <c r="F310" t="s">
        <v>43</v>
      </c>
      <c r="G310">
        <v>-420.40190000000001</v>
      </c>
      <c r="H310">
        <v>-0.05</v>
      </c>
      <c r="I310">
        <v>364.4708</v>
      </c>
      <c r="J310">
        <v>-441.87639999999999</v>
      </c>
      <c r="K310">
        <v>1.10985</v>
      </c>
      <c r="L310">
        <v>367.22710000000001</v>
      </c>
      <c r="M310">
        <v>0.99996090000000004</v>
      </c>
      <c r="N310">
        <v>0</v>
      </c>
      <c r="O310">
        <v>3.5815899999999999E-3</v>
      </c>
      <c r="P310">
        <v>0.99740150000000005</v>
      </c>
      <c r="Q310">
        <v>7.1696940000000001E-2</v>
      </c>
      <c r="R310">
        <v>-7.0589629999999997E-3</v>
      </c>
      <c r="S310">
        <v>3.016632</v>
      </c>
      <c r="T310">
        <v>-0.16120019999999999</v>
      </c>
      <c r="U310">
        <v>-0.3829651</v>
      </c>
      <c r="V310">
        <v>1.063444E-2</v>
      </c>
      <c r="W310">
        <v>7.9759490000000002E-2</v>
      </c>
      <c r="X310">
        <v>0.99675740000000002</v>
      </c>
      <c r="Y310">
        <v>0.12930619999999901</v>
      </c>
      <c r="Z310">
        <v>-3.6291499999999998E-3</v>
      </c>
      <c r="AA310">
        <v>0.99159810000000004</v>
      </c>
      <c r="AB310">
        <v>23</v>
      </c>
      <c r="AC310">
        <v>21.4744999999999</v>
      </c>
      <c r="AD310">
        <v>-1.15985</v>
      </c>
      <c r="AE310">
        <v>-2.7563</v>
      </c>
      <c r="AF310">
        <v>2.8250900678448199</v>
      </c>
      <c r="AG310">
        <v>-1.15985</v>
      </c>
      <c r="AH310">
        <v>21.403066133372899</v>
      </c>
      <c r="AI310">
        <v>93.075250212393101</v>
      </c>
      <c r="AJ310">
        <v>82.480731366653501</v>
      </c>
      <c r="AK310">
        <v>21.619843334850199</v>
      </c>
      <c r="AL310">
        <v>85.425258606663704</v>
      </c>
      <c r="AM310">
        <v>89.388732491768593</v>
      </c>
      <c r="AN310">
        <v>0.99999999100696602</v>
      </c>
    </row>
    <row r="311" spans="1:40" x14ac:dyDescent="0.25">
      <c r="A311" t="str">
        <f>"20190312150952320"</f>
        <v>20190312150952320</v>
      </c>
      <c r="B311" t="str">
        <f>"1552374592311043"</f>
        <v>1552374592311043</v>
      </c>
      <c r="C311" t="s">
        <v>40</v>
      </c>
      <c r="D311">
        <v>4.8225870000000004</v>
      </c>
      <c r="E311">
        <v>0.54637999999999998</v>
      </c>
      <c r="F311" t="s">
        <v>43</v>
      </c>
      <c r="G311">
        <v>-419.79700000000003</v>
      </c>
      <c r="H311">
        <v>-0.05</v>
      </c>
      <c r="I311">
        <v>364.37299999999999</v>
      </c>
      <c r="J311">
        <v>-441.64859999999999</v>
      </c>
      <c r="K311">
        <v>1.109861</v>
      </c>
      <c r="L311">
        <v>367.2278</v>
      </c>
      <c r="M311">
        <v>0.99996070000000004</v>
      </c>
      <c r="N311">
        <v>0</v>
      </c>
      <c r="O311">
        <v>3.5816310000000001E-3</v>
      </c>
      <c r="P311">
        <v>0.99735390000000002</v>
      </c>
      <c r="Q311">
        <v>7.222626E-2</v>
      </c>
      <c r="R311">
        <v>-8.3051759999999992E-3</v>
      </c>
      <c r="S311">
        <v>3.0164789999999999</v>
      </c>
      <c r="T311">
        <v>-0.15845799999999999</v>
      </c>
      <c r="U311">
        <v>-0.38992310000000002</v>
      </c>
      <c r="V311">
        <v>1.1880389999999999E-2</v>
      </c>
      <c r="W311">
        <v>8.0322270000000001E-2</v>
      </c>
      <c r="X311">
        <v>0.99669810000000003</v>
      </c>
      <c r="Y311">
        <v>0.13156570000000001</v>
      </c>
      <c r="Z311">
        <v>-3.626223E-3</v>
      </c>
      <c r="AA311">
        <v>0.99130079999999998</v>
      </c>
      <c r="AB311">
        <v>23</v>
      </c>
      <c r="AC311">
        <v>21.851600000000001</v>
      </c>
      <c r="AD311">
        <v>-1.159861</v>
      </c>
      <c r="AE311">
        <v>-2.8547999999999498</v>
      </c>
      <c r="AF311">
        <v>2.9249462374605</v>
      </c>
      <c r="AG311">
        <v>-1.159861</v>
      </c>
      <c r="AH311">
        <v>21.780899396910002</v>
      </c>
      <c r="AI311">
        <v>93.021126746779899</v>
      </c>
      <c r="AJ311">
        <v>82.3515356235024</v>
      </c>
      <c r="AK311">
        <v>22.007002671187902</v>
      </c>
      <c r="AL311">
        <v>85.392909740256698</v>
      </c>
      <c r="AM311">
        <v>89.317081099224495</v>
      </c>
      <c r="AN311">
        <v>0.99999995663405605</v>
      </c>
    </row>
    <row r="312" spans="1:40" x14ac:dyDescent="0.25">
      <c r="A312" t="str">
        <f>"20190312150952343"</f>
        <v>20190312150952343</v>
      </c>
      <c r="B312" t="str">
        <f>"1552374592331539"</f>
        <v>1552374592331539</v>
      </c>
      <c r="C312" t="s">
        <v>40</v>
      </c>
      <c r="D312">
        <v>5.0057910000000003</v>
      </c>
      <c r="E312">
        <v>0.54666669999999995</v>
      </c>
      <c r="F312" t="s">
        <v>43</v>
      </c>
      <c r="G312">
        <v>-419.70920000000001</v>
      </c>
      <c r="H312">
        <v>-0.05</v>
      </c>
      <c r="I312">
        <v>364.34660000000002</v>
      </c>
      <c r="J312">
        <v>-441.41969999999998</v>
      </c>
      <c r="K312">
        <v>1.1098589999999999</v>
      </c>
      <c r="L312">
        <v>367.2287</v>
      </c>
      <c r="M312">
        <v>0.99996039999999997</v>
      </c>
      <c r="N312">
        <v>0</v>
      </c>
      <c r="O312">
        <v>3.5818500000000001E-3</v>
      </c>
      <c r="P312">
        <v>0.99731780000000003</v>
      </c>
      <c r="Q312">
        <v>7.2572399999999995E-2</v>
      </c>
      <c r="R312">
        <v>-9.5143989999999998E-3</v>
      </c>
      <c r="S312">
        <v>3.016235</v>
      </c>
      <c r="T312">
        <v>-0.15945799999999999</v>
      </c>
      <c r="U312">
        <v>-0.39611819999999998</v>
      </c>
      <c r="V312">
        <v>1.308983E-2</v>
      </c>
      <c r="W312">
        <v>8.0701540000000002E-2</v>
      </c>
      <c r="X312">
        <v>0.99665239999999999</v>
      </c>
      <c r="Y312">
        <v>0.13357289999999999</v>
      </c>
      <c r="Z312">
        <v>-3.7016929999999998E-3</v>
      </c>
      <c r="AA312">
        <v>0.99103209999999997</v>
      </c>
      <c r="AB312">
        <v>23</v>
      </c>
      <c r="AC312">
        <v>21.7104999999999</v>
      </c>
      <c r="AD312">
        <v>-1.159859</v>
      </c>
      <c r="AE312">
        <v>-2.8820999999999799</v>
      </c>
      <c r="AF312">
        <v>2.9515696271439</v>
      </c>
      <c r="AG312">
        <v>-1.159859</v>
      </c>
      <c r="AH312">
        <v>21.6393456141627</v>
      </c>
      <c r="AI312">
        <v>93.039996686483704</v>
      </c>
      <c r="AJ312">
        <v>82.232885019525099</v>
      </c>
      <c r="AK312">
        <v>21.870489586951201</v>
      </c>
      <c r="AL312">
        <v>85.371108800775801</v>
      </c>
      <c r="AM312">
        <v>89.247532144294496</v>
      </c>
      <c r="AN312">
        <v>1.00000004431677</v>
      </c>
    </row>
    <row r="313" spans="1:40" x14ac:dyDescent="0.25">
      <c r="A313" t="str">
        <f>"20190312150952365"</f>
        <v>20190312150952365</v>
      </c>
      <c r="B313" t="str">
        <f>"1552374592360819"</f>
        <v>1552374592360819</v>
      </c>
      <c r="C313" t="s">
        <v>40</v>
      </c>
      <c r="D313">
        <v>4.8619019999999997</v>
      </c>
      <c r="E313">
        <v>0.54703740000000001</v>
      </c>
      <c r="F313" t="s">
        <v>43</v>
      </c>
      <c r="G313">
        <v>-419.65339999999998</v>
      </c>
      <c r="H313">
        <v>-0.05</v>
      </c>
      <c r="I313">
        <v>364.32470000000001</v>
      </c>
      <c r="J313">
        <v>-441.19229999999999</v>
      </c>
      <c r="K313">
        <v>1.10981</v>
      </c>
      <c r="L313">
        <v>367.22949999999997</v>
      </c>
      <c r="M313">
        <v>0.99996169999999995</v>
      </c>
      <c r="N313">
        <v>0</v>
      </c>
      <c r="O313">
        <v>3.5819469999999998E-3</v>
      </c>
      <c r="P313">
        <v>0.9972626</v>
      </c>
      <c r="Q313">
        <v>7.3247569999999998E-2</v>
      </c>
      <c r="R313">
        <v>-1.0122839999999999E-2</v>
      </c>
      <c r="S313">
        <v>3.0159609999999999</v>
      </c>
      <c r="T313">
        <v>-0.16071179999999999</v>
      </c>
      <c r="U313">
        <v>-0.40237430000000002</v>
      </c>
      <c r="V313">
        <v>1.3698190000000001E-2</v>
      </c>
      <c r="W313">
        <v>8.1221009999999996E-2</v>
      </c>
      <c r="X313">
        <v>0.99660199999999999</v>
      </c>
      <c r="Y313">
        <v>0.135599</v>
      </c>
      <c r="Z313">
        <v>-3.7842990000000001E-3</v>
      </c>
      <c r="AA313">
        <v>0.99075659999999999</v>
      </c>
      <c r="AB313">
        <v>23</v>
      </c>
      <c r="AC313">
        <v>21.538900000000002</v>
      </c>
      <c r="AD313">
        <v>-1.15981</v>
      </c>
      <c r="AE313">
        <v>-2.9047999999999599</v>
      </c>
      <c r="AF313">
        <v>2.9734673925534101</v>
      </c>
      <c r="AG313">
        <v>-1.15981</v>
      </c>
      <c r="AH313">
        <v>21.467223805391399</v>
      </c>
      <c r="AI313">
        <v>93.063323599445496</v>
      </c>
      <c r="AJ313">
        <v>82.1140257188124</v>
      </c>
      <c r="AK313">
        <v>21.703187910568399</v>
      </c>
      <c r="AL313">
        <v>85.341247220163396</v>
      </c>
      <c r="AM313">
        <v>89.212525105824696</v>
      </c>
      <c r="AN313">
        <v>1.0000000196393399</v>
      </c>
    </row>
    <row r="314" spans="1:40" x14ac:dyDescent="0.25">
      <c r="A314" t="str">
        <f>"20190312150952389"</f>
        <v>20190312150952389</v>
      </c>
      <c r="B314" t="str">
        <f>"1552374592381315"</f>
        <v>1552374592381315</v>
      </c>
      <c r="C314" t="s">
        <v>40</v>
      </c>
      <c r="D314">
        <v>4.8592950000000004</v>
      </c>
      <c r="E314">
        <v>0.5473732</v>
      </c>
      <c r="F314" t="s">
        <v>43</v>
      </c>
      <c r="G314">
        <v>-419.42540000000002</v>
      </c>
      <c r="H314">
        <v>-0.05</v>
      </c>
      <c r="I314">
        <v>364.28930000000003</v>
      </c>
      <c r="J314">
        <v>-440.94380000000001</v>
      </c>
      <c r="K314">
        <v>1.1095969999999999</v>
      </c>
      <c r="L314">
        <v>367.23039999999997</v>
      </c>
      <c r="M314">
        <v>0.99996589999999996</v>
      </c>
      <c r="N314">
        <v>0</v>
      </c>
      <c r="O314">
        <v>3.581791E-3</v>
      </c>
      <c r="P314">
        <v>0.9972318</v>
      </c>
      <c r="Q314">
        <v>7.3577020000000007E-2</v>
      </c>
      <c r="R314">
        <v>-1.073727E-2</v>
      </c>
      <c r="S314">
        <v>3.0158999999999998</v>
      </c>
      <c r="T314">
        <v>-0.1606966</v>
      </c>
      <c r="U314">
        <v>-0.4073792</v>
      </c>
      <c r="V314">
        <v>1.4312160000000001E-2</v>
      </c>
      <c r="W314">
        <v>8.0995250000000005E-2</v>
      </c>
      <c r="X314">
        <v>0.99661169999999999</v>
      </c>
      <c r="Y314">
        <v>0.13721410000000001</v>
      </c>
      <c r="Z314">
        <v>-3.8264010000000001E-3</v>
      </c>
      <c r="AA314">
        <v>0.99053400000000003</v>
      </c>
      <c r="AB314">
        <v>23</v>
      </c>
      <c r="AC314">
        <v>21.5183999999999</v>
      </c>
      <c r="AD314">
        <v>-1.159597</v>
      </c>
      <c r="AE314">
        <v>-2.9410999999999401</v>
      </c>
      <c r="AF314">
        <v>3.0095781847590799</v>
      </c>
      <c r="AG314">
        <v>-1.159597</v>
      </c>
      <c r="AH314">
        <v>21.4465888380915</v>
      </c>
      <c r="AI314">
        <v>93.064943045883396</v>
      </c>
      <c r="AJ314">
        <v>82.011902966165806</v>
      </c>
      <c r="AK314">
        <v>21.6877476664299</v>
      </c>
      <c r="AL314">
        <v>85.354224863031703</v>
      </c>
      <c r="AM314">
        <v>89.177242251427302</v>
      </c>
      <c r="AN314">
        <v>0.99999997451165801</v>
      </c>
    </row>
    <row r="315" spans="1:40" x14ac:dyDescent="0.25">
      <c r="A315" t="str">
        <f>"20190312150952412"</f>
        <v>20190312150952412</v>
      </c>
      <c r="B315" t="str">
        <f>"1552374592400834"</f>
        <v>1552374592400834</v>
      </c>
      <c r="C315" t="s">
        <v>40</v>
      </c>
      <c r="D315">
        <v>4.825132</v>
      </c>
      <c r="E315">
        <v>0.54761340000000003</v>
      </c>
      <c r="F315" t="s">
        <v>43</v>
      </c>
      <c r="G315">
        <v>-419.03739999999999</v>
      </c>
      <c r="H315">
        <v>-0.05</v>
      </c>
      <c r="I315">
        <v>364.23899999999998</v>
      </c>
      <c r="J315">
        <v>-440.70319999999998</v>
      </c>
      <c r="K315">
        <v>1.1092930000000001</v>
      </c>
      <c r="L315">
        <v>367.23129999999998</v>
      </c>
      <c r="M315">
        <v>0.99996810000000003</v>
      </c>
      <c r="N315">
        <v>0</v>
      </c>
      <c r="O315">
        <v>3.5815220000000002E-3</v>
      </c>
      <c r="P315">
        <v>0.99722690000000003</v>
      </c>
      <c r="Q315">
        <v>7.3572879999999993E-2</v>
      </c>
      <c r="R315">
        <v>-1.119881E-2</v>
      </c>
      <c r="S315">
        <v>3.0156860000000001</v>
      </c>
      <c r="T315">
        <v>-0.15963289999999999</v>
      </c>
      <c r="U315">
        <v>-0.41180420000000001</v>
      </c>
      <c r="V315">
        <v>1.477361E-2</v>
      </c>
      <c r="W315">
        <v>8.0692509999999995E-2</v>
      </c>
      <c r="X315">
        <v>0.99662949999999995</v>
      </c>
      <c r="Y315">
        <v>0.13865069999999999</v>
      </c>
      <c r="Z315">
        <v>-3.838808E-3</v>
      </c>
      <c r="AA315">
        <v>0.99033389999999999</v>
      </c>
      <c r="AB315">
        <v>23</v>
      </c>
      <c r="AC315">
        <v>21.665799999999901</v>
      </c>
      <c r="AD315">
        <v>-1.1592929999999999</v>
      </c>
      <c r="AE315">
        <v>-2.9922999999999398</v>
      </c>
      <c r="AF315">
        <v>3.0612786254277</v>
      </c>
      <c r="AG315">
        <v>-1.1592929999999999</v>
      </c>
      <c r="AH315">
        <v>21.594274401337898</v>
      </c>
      <c r="AI315">
        <v>93.042622096264793</v>
      </c>
      <c r="AJ315">
        <v>81.931318288375607</v>
      </c>
      <c r="AK315">
        <v>21.840972368524</v>
      </c>
      <c r="AL315">
        <v>85.371627439326105</v>
      </c>
      <c r="AM315">
        <v>89.150734040036795</v>
      </c>
      <c r="AN315">
        <v>0.99999995049638901</v>
      </c>
    </row>
    <row r="316" spans="1:40" x14ac:dyDescent="0.25">
      <c r="A316" t="str">
        <f>"20190312150952434"</f>
        <v>20190312150952434</v>
      </c>
      <c r="B316" t="str">
        <f>"1552374592431091"</f>
        <v>1552374592431091</v>
      </c>
      <c r="C316" t="s">
        <v>40</v>
      </c>
      <c r="D316">
        <v>4.8549170000000004</v>
      </c>
      <c r="E316">
        <v>0.54793019999999903</v>
      </c>
      <c r="F316" t="s">
        <v>43</v>
      </c>
      <c r="G316">
        <v>-418.89210000000003</v>
      </c>
      <c r="H316">
        <v>-0.05</v>
      </c>
      <c r="I316">
        <v>364.22890000000001</v>
      </c>
      <c r="J316">
        <v>-440.46609999999998</v>
      </c>
      <c r="K316">
        <v>1.1088690000000001</v>
      </c>
      <c r="L316">
        <v>367.2321</v>
      </c>
      <c r="M316">
        <v>0.99996689999999999</v>
      </c>
      <c r="N316">
        <v>0</v>
      </c>
      <c r="O316">
        <v>3.5812029999999998E-3</v>
      </c>
      <c r="P316">
        <v>0.99725169999999996</v>
      </c>
      <c r="Q316">
        <v>7.3282520000000004E-2</v>
      </c>
      <c r="R316">
        <v>-1.0908889999999999E-2</v>
      </c>
      <c r="S316">
        <v>3.015533</v>
      </c>
      <c r="T316">
        <v>-0.16028029999999999</v>
      </c>
      <c r="U316">
        <v>-0.41510010000000003</v>
      </c>
      <c r="V316">
        <v>1.448351E-2</v>
      </c>
      <c r="W316">
        <v>8.0586519999999995E-2</v>
      </c>
      <c r="X316">
        <v>0.99664240000000004</v>
      </c>
      <c r="Y316">
        <v>0.13971639999999999</v>
      </c>
      <c r="Z316">
        <v>-3.882417E-3</v>
      </c>
      <c r="AA316">
        <v>0.99018390000000001</v>
      </c>
      <c r="AB316">
        <v>24</v>
      </c>
      <c r="AC316">
        <v>21.573999999999899</v>
      </c>
      <c r="AD316">
        <v>-1.1588689999999999</v>
      </c>
      <c r="AE316">
        <v>-3.0031999999999899</v>
      </c>
      <c r="AF316">
        <v>3.0717489116413899</v>
      </c>
      <c r="AG316">
        <v>-1.1588689999999999</v>
      </c>
      <c r="AH316">
        <v>21.502242938464502</v>
      </c>
      <c r="AI316">
        <v>93.054039647916397</v>
      </c>
      <c r="AJ316">
        <v>81.8698978536233</v>
      </c>
      <c r="AK316">
        <v>21.7514383460055</v>
      </c>
      <c r="AL316">
        <v>85.377720366112996</v>
      </c>
      <c r="AM316">
        <v>89.167418940554398</v>
      </c>
      <c r="AN316">
        <v>1.0000000163726901</v>
      </c>
    </row>
    <row r="317" spans="1:40" x14ac:dyDescent="0.25">
      <c r="A317" t="str">
        <f>"20190312150952454"</f>
        <v>20190312150952454</v>
      </c>
      <c r="B317" t="str">
        <f>"1552374592451587"</f>
        <v>1552374592451587</v>
      </c>
      <c r="C317" t="s">
        <v>40</v>
      </c>
      <c r="D317">
        <v>5.315283</v>
      </c>
      <c r="E317">
        <v>0.5558244</v>
      </c>
      <c r="F317" t="s">
        <v>43</v>
      </c>
      <c r="G317">
        <v>-418.83249999999998</v>
      </c>
      <c r="H317">
        <v>-0.05</v>
      </c>
      <c r="I317">
        <v>364.24630000000002</v>
      </c>
      <c r="J317">
        <v>-440.24829999999997</v>
      </c>
      <c r="K317">
        <v>1.108317</v>
      </c>
      <c r="L317">
        <v>367.23289999999997</v>
      </c>
      <c r="M317">
        <v>0.99996240000000003</v>
      </c>
      <c r="N317">
        <v>0</v>
      </c>
      <c r="O317">
        <v>3.581337E-3</v>
      </c>
      <c r="P317">
        <v>0.99729860000000004</v>
      </c>
      <c r="Q317">
        <v>7.2648240000000003E-2</v>
      </c>
      <c r="R317">
        <v>-1.0860949999999999E-2</v>
      </c>
      <c r="S317">
        <v>3.0155639999999999</v>
      </c>
      <c r="T317">
        <v>-0.16153789999999901</v>
      </c>
      <c r="U317">
        <v>-0.41619869999999998</v>
      </c>
      <c r="V317">
        <v>1.443585E-2</v>
      </c>
      <c r="W317">
        <v>8.0520460000000002E-2</v>
      </c>
      <c r="X317">
        <v>0.99664839999999999</v>
      </c>
      <c r="Y317">
        <v>0.14006569999999999</v>
      </c>
      <c r="Z317">
        <v>-3.9220100000000001E-3</v>
      </c>
      <c r="AA317">
        <v>0.99013450000000003</v>
      </c>
      <c r="AB317">
        <v>24</v>
      </c>
      <c r="AC317">
        <v>21.415799999999901</v>
      </c>
      <c r="AD317">
        <v>-1.158317</v>
      </c>
      <c r="AE317">
        <v>-2.98659999999995</v>
      </c>
      <c r="AF317">
        <v>3.0545152056443001</v>
      </c>
      <c r="AG317">
        <v>-1.158317</v>
      </c>
      <c r="AH317">
        <v>21.343718417368699</v>
      </c>
      <c r="AI317">
        <v>93.075107505589401</v>
      </c>
      <c r="AJ317">
        <v>81.8556590523079</v>
      </c>
      <c r="AK317">
        <v>21.592268924175801</v>
      </c>
      <c r="AL317">
        <v>85.381517523562295</v>
      </c>
      <c r="AM317">
        <v>89.170163275431193</v>
      </c>
      <c r="AN317">
        <v>0.99999998573319604</v>
      </c>
    </row>
    <row r="318" spans="1:40" x14ac:dyDescent="0.25">
      <c r="A318" t="str">
        <f>"20190312150952477"</f>
        <v>20190312150952477</v>
      </c>
      <c r="B318" t="str">
        <f>"1552374592471108"</f>
        <v>1552374592471108</v>
      </c>
      <c r="C318" t="s">
        <v>40</v>
      </c>
      <c r="D318">
        <v>5.0469299999999997</v>
      </c>
      <c r="E318">
        <v>0.54868339999999904</v>
      </c>
      <c r="F318" t="s">
        <v>41</v>
      </c>
      <c r="G318">
        <v>-439.56689999999998</v>
      </c>
      <c r="H318">
        <v>0.8677163</v>
      </c>
      <c r="I318">
        <v>367.1259</v>
      </c>
      <c r="J318">
        <v>-440.00380000000001</v>
      </c>
      <c r="K318">
        <v>1.1074679999999999</v>
      </c>
      <c r="L318">
        <v>367.2337</v>
      </c>
      <c r="M318">
        <v>0.99995429999999996</v>
      </c>
      <c r="N318">
        <v>0</v>
      </c>
      <c r="O318">
        <v>3.5829149999999999E-3</v>
      </c>
      <c r="P318">
        <v>0.99733229999999995</v>
      </c>
      <c r="Q318">
        <v>7.2190859999999996E-2</v>
      </c>
      <c r="R318">
        <v>-1.0820440000000001E-2</v>
      </c>
      <c r="S318">
        <v>3.0821839999999998</v>
      </c>
      <c r="T318">
        <v>-1.0881559999999999</v>
      </c>
      <c r="U318">
        <v>-0.48275760000000001</v>
      </c>
      <c r="V318">
        <v>1.439724E-2</v>
      </c>
      <c r="W318">
        <v>8.1038990000000005E-2</v>
      </c>
      <c r="X318">
        <v>0.99660689999999996</v>
      </c>
      <c r="Y318">
        <v>0.14924949999999901</v>
      </c>
      <c r="Z318">
        <v>-2.665174E-2</v>
      </c>
      <c r="AA318">
        <v>0.98844030000000005</v>
      </c>
      <c r="AB318">
        <v>24</v>
      </c>
      <c r="AC318">
        <v>0.43690000000003598</v>
      </c>
      <c r="AD318">
        <v>-0.23975170000000001</v>
      </c>
      <c r="AE318">
        <v>-0.107799999999997</v>
      </c>
      <c r="AF318">
        <v>8.5184804041696399E-2</v>
      </c>
      <c r="AG318">
        <v>-0.23975170000000001</v>
      </c>
      <c r="AH318">
        <v>0.34000078395974997</v>
      </c>
      <c r="AI318">
        <v>124.372476422669</v>
      </c>
      <c r="AJ318">
        <v>75.934480723668202</v>
      </c>
      <c r="AK318">
        <v>0.42466205574051102</v>
      </c>
      <c r="AL318">
        <v>85.351710392774393</v>
      </c>
      <c r="AM318">
        <v>89.172347982184903</v>
      </c>
      <c r="AN318">
        <v>0.99999995577372203</v>
      </c>
    </row>
    <row r="319" spans="1:40" x14ac:dyDescent="0.25">
      <c r="A319" t="str">
        <f>"20190312150952490"</f>
        <v>20190312150952490</v>
      </c>
      <c r="B319" t="str">
        <f>"1552374592480867"</f>
        <v>1552374592480867</v>
      </c>
      <c r="C319" t="s">
        <v>40</v>
      </c>
      <c r="D319">
        <v>5.2529409999999999</v>
      </c>
      <c r="E319">
        <v>0.54870609999999997</v>
      </c>
      <c r="F319" t="s">
        <v>43</v>
      </c>
      <c r="G319">
        <v>-424.11880000000002</v>
      </c>
      <c r="H319">
        <v>-0.05</v>
      </c>
      <c r="I319">
        <v>365.01260000000002</v>
      </c>
      <c r="J319">
        <v>-439.87040000000002</v>
      </c>
      <c r="K319">
        <v>1.1068990000000001</v>
      </c>
      <c r="L319">
        <v>367.23419999999999</v>
      </c>
      <c r="M319">
        <v>0.99994629999999995</v>
      </c>
      <c r="N319">
        <v>0</v>
      </c>
      <c r="O319">
        <v>3.58429E-3</v>
      </c>
      <c r="P319">
        <v>0.99737949999999997</v>
      </c>
      <c r="Q319">
        <v>7.1544200000000002E-2</v>
      </c>
      <c r="R319">
        <v>-1.07528E-2</v>
      </c>
      <c r="S319">
        <v>3.0193479999999999</v>
      </c>
      <c r="T319">
        <v>-0.22000749999999999</v>
      </c>
      <c r="U319">
        <v>-0.42218020000000001</v>
      </c>
      <c r="V319">
        <v>1.4331139999999999E-2</v>
      </c>
      <c r="W319">
        <v>8.1240489999999999E-2</v>
      </c>
      <c r="X319">
        <v>0.99659149999999996</v>
      </c>
      <c r="Y319">
        <v>0.1416491</v>
      </c>
      <c r="Z319">
        <v>-5.3886119999999897E-3</v>
      </c>
      <c r="AA319">
        <v>0.98990230000000001</v>
      </c>
      <c r="AB319">
        <v>24</v>
      </c>
      <c r="AC319">
        <v>15.7515999999999</v>
      </c>
      <c r="AD319">
        <v>-1.1568989999999999</v>
      </c>
      <c r="AE319">
        <v>-2.2215999999999601</v>
      </c>
      <c r="AF319">
        <v>2.2660611238984001</v>
      </c>
      <c r="AG319">
        <v>-1.1568989999999999</v>
      </c>
      <c r="AH319">
        <v>15.6607034972943</v>
      </c>
      <c r="AI319">
        <v>94.181530367616801</v>
      </c>
      <c r="AJ319">
        <v>81.766601187771101</v>
      </c>
      <c r="AK319">
        <v>15.866035495473</v>
      </c>
      <c r="AL319">
        <v>85.3401273449348</v>
      </c>
      <c r="AM319">
        <v>89.176134609245395</v>
      </c>
      <c r="AN319">
        <v>1.0000000083306899</v>
      </c>
    </row>
    <row r="320" spans="1:40" x14ac:dyDescent="0.25">
      <c r="A320" t="str">
        <f>"20190312150952502"</f>
        <v>20190312150952502</v>
      </c>
      <c r="B320" t="str">
        <f>"1552374592491603"</f>
        <v>1552374592491603</v>
      </c>
      <c r="C320" t="s">
        <v>40</v>
      </c>
      <c r="D320">
        <v>4.9874599999999996</v>
      </c>
      <c r="E320">
        <v>0.54886590000000002</v>
      </c>
      <c r="F320" t="s">
        <v>43</v>
      </c>
      <c r="G320">
        <v>-422.8184</v>
      </c>
      <c r="H320">
        <v>-0.05</v>
      </c>
      <c r="I320">
        <v>364.8494</v>
      </c>
      <c r="J320">
        <v>-439.7407</v>
      </c>
      <c r="K320">
        <v>1.1063130000000001</v>
      </c>
      <c r="L320">
        <v>367.2346</v>
      </c>
      <c r="M320">
        <v>0.99993690000000002</v>
      </c>
      <c r="N320">
        <v>0</v>
      </c>
      <c r="O320">
        <v>3.5854609999999999E-3</v>
      </c>
      <c r="P320">
        <v>0.99743419999999905</v>
      </c>
      <c r="Q320">
        <v>7.075244E-2</v>
      </c>
      <c r="R320">
        <v>-1.092042E-2</v>
      </c>
      <c r="S320">
        <v>3.018005</v>
      </c>
      <c r="T320">
        <v>-0.20475760000000001</v>
      </c>
      <c r="U320">
        <v>-0.42208859999999898</v>
      </c>
      <c r="V320">
        <v>1.4500239999999999E-2</v>
      </c>
      <c r="W320">
        <v>8.1368339999999997E-2</v>
      </c>
      <c r="X320">
        <v>0.99657859999999998</v>
      </c>
      <c r="Y320">
        <v>0.14173129999999901</v>
      </c>
      <c r="Z320">
        <v>-5.0210380000000002E-3</v>
      </c>
      <c r="AA320">
        <v>0.98989240000000001</v>
      </c>
      <c r="AB320">
        <v>24</v>
      </c>
      <c r="AC320">
        <v>16.9223</v>
      </c>
      <c r="AD320">
        <v>-1.1563129999999999</v>
      </c>
      <c r="AE320">
        <v>-2.38519999999999</v>
      </c>
      <c r="AF320">
        <v>2.4347158958236599</v>
      </c>
      <c r="AG320">
        <v>-1.1563129999999999</v>
      </c>
      <c r="AH320">
        <v>16.836558662282702</v>
      </c>
      <c r="AI320">
        <v>93.888509072247601</v>
      </c>
      <c r="AJ320">
        <v>81.771562040966501</v>
      </c>
      <c r="AK320">
        <v>17.0509415820896</v>
      </c>
      <c r="AL320">
        <v>85.332777637532899</v>
      </c>
      <c r="AM320">
        <v>89.166404001108702</v>
      </c>
      <c r="AN320">
        <v>0.99999998484618602</v>
      </c>
    </row>
    <row r="321" spans="1:40" x14ac:dyDescent="0.25">
      <c r="A321" t="str">
        <f>"20190312150952521"</f>
        <v>20190312150952521</v>
      </c>
      <c r="B321" t="str">
        <f>"1552374592511127"</f>
        <v>1552374592511127</v>
      </c>
      <c r="C321" t="s">
        <v>40</v>
      </c>
      <c r="D321">
        <v>4.9921309999999997</v>
      </c>
      <c r="E321">
        <v>0.54936819999999997</v>
      </c>
      <c r="F321" t="s">
        <v>43</v>
      </c>
      <c r="G321">
        <v>-422.69040000000001</v>
      </c>
      <c r="H321">
        <v>-0.05</v>
      </c>
      <c r="I321">
        <v>364.84059999999999</v>
      </c>
      <c r="J321">
        <v>-439.53179999999998</v>
      </c>
      <c r="K321">
        <v>1.1052690000000001</v>
      </c>
      <c r="L321">
        <v>367.23540000000003</v>
      </c>
      <c r="M321">
        <v>0.99991669999999999</v>
      </c>
      <c r="N321">
        <v>0</v>
      </c>
      <c r="O321">
        <v>3.5870630000000001E-3</v>
      </c>
      <c r="P321">
        <v>0.99752549999999995</v>
      </c>
      <c r="Q321">
        <v>6.9414069999999994E-2</v>
      </c>
      <c r="R321">
        <v>-1.115966E-2</v>
      </c>
      <c r="S321">
        <v>3.0176090000000002</v>
      </c>
      <c r="T321">
        <v>-0.2046472</v>
      </c>
      <c r="U321">
        <v>-0.42370609999999997</v>
      </c>
      <c r="V321">
        <v>1.474141E-2</v>
      </c>
      <c r="W321">
        <v>8.1782279999999999E-2</v>
      </c>
      <c r="X321">
        <v>0.99654120000000002</v>
      </c>
      <c r="Y321">
        <v>0.14227020000000001</v>
      </c>
      <c r="Z321">
        <v>-5.0370809999999997E-3</v>
      </c>
      <c r="AA321">
        <v>0.98981509999999995</v>
      </c>
      <c r="AB321">
        <v>24</v>
      </c>
      <c r="AC321">
        <v>16.841399999999901</v>
      </c>
      <c r="AD321">
        <v>-1.1552690000000001</v>
      </c>
      <c r="AE321">
        <v>-2.3948000000000298</v>
      </c>
      <c r="AF321">
        <v>2.4439283068288402</v>
      </c>
      <c r="AG321">
        <v>-1.1552690000000001</v>
      </c>
      <c r="AH321">
        <v>16.755419925892401</v>
      </c>
      <c r="AI321">
        <v>93.903072378324893</v>
      </c>
      <c r="AJ321">
        <v>81.701416702519595</v>
      </c>
      <c r="AK321">
        <v>16.972080866065699</v>
      </c>
      <c r="AL321">
        <v>85.308981416831998</v>
      </c>
      <c r="AM321">
        <v>89.152509722166499</v>
      </c>
      <c r="AN321">
        <v>1.0000000068941099</v>
      </c>
    </row>
    <row r="322" spans="1:40" x14ac:dyDescent="0.25">
      <c r="A322" t="str">
        <f>"20190312150952534"</f>
        <v>20190312150952534</v>
      </c>
      <c r="B322" t="str">
        <f>"1552374592531620"</f>
        <v>1552374592531620</v>
      </c>
      <c r="C322" t="s">
        <v>40</v>
      </c>
      <c r="D322">
        <v>4.8355709999999998</v>
      </c>
      <c r="E322">
        <v>0.54980340000000005</v>
      </c>
      <c r="F322" t="s">
        <v>43</v>
      </c>
      <c r="G322">
        <v>-422.63990000000001</v>
      </c>
      <c r="H322">
        <v>-0.05</v>
      </c>
      <c r="I322">
        <v>364.83730000000003</v>
      </c>
      <c r="J322">
        <v>-439.40030000000002</v>
      </c>
      <c r="K322">
        <v>1.1045419999999999</v>
      </c>
      <c r="L322">
        <v>367.23590000000002</v>
      </c>
      <c r="M322">
        <v>0.99990129999999999</v>
      </c>
      <c r="N322">
        <v>0</v>
      </c>
      <c r="O322">
        <v>3.5872909999999998E-3</v>
      </c>
      <c r="P322">
        <v>0.9976062</v>
      </c>
      <c r="Q322">
        <v>6.8269120000000003E-2</v>
      </c>
      <c r="R322">
        <v>-1.100743E-2</v>
      </c>
      <c r="S322">
        <v>3.0169980000000001</v>
      </c>
      <c r="T322">
        <v>-0.20633750000000001</v>
      </c>
      <c r="U322">
        <v>-0.42831419999999998</v>
      </c>
      <c r="V322">
        <v>1.4589680000000001E-2</v>
      </c>
      <c r="W322">
        <v>8.181223E-2</v>
      </c>
      <c r="X322">
        <v>0.99654100000000001</v>
      </c>
      <c r="Y322">
        <v>0.14377119999999999</v>
      </c>
      <c r="Z322">
        <v>-5.1301009999999998E-3</v>
      </c>
      <c r="AA322">
        <v>0.98959770000000002</v>
      </c>
      <c r="AB322">
        <v>24</v>
      </c>
      <c r="AC322">
        <v>16.760400000000001</v>
      </c>
      <c r="AD322">
        <v>-1.154542</v>
      </c>
      <c r="AE322">
        <v>-2.3985999999999801</v>
      </c>
      <c r="AF322">
        <v>2.44733462312072</v>
      </c>
      <c r="AG322">
        <v>-1.154542</v>
      </c>
      <c r="AH322">
        <v>16.674153318072999</v>
      </c>
      <c r="AI322">
        <v>93.919063353863393</v>
      </c>
      <c r="AJ322">
        <v>81.650080042892796</v>
      </c>
      <c r="AK322">
        <v>16.8923001057255</v>
      </c>
      <c r="AL322">
        <v>85.307259757620798</v>
      </c>
      <c r="AM322">
        <v>89.161231326958003</v>
      </c>
      <c r="AN322">
        <v>1.00000003221053</v>
      </c>
    </row>
    <row r="323" spans="1:40" x14ac:dyDescent="0.25">
      <c r="A323" t="str">
        <f>"20190312150952555"</f>
        <v>20190312150952555</v>
      </c>
      <c r="B323" t="str">
        <f>"1552374592550783"</f>
        <v>1552374592550783</v>
      </c>
      <c r="C323" t="s">
        <v>40</v>
      </c>
      <c r="D323">
        <v>5.067266</v>
      </c>
      <c r="E323">
        <v>0.54929640000000002</v>
      </c>
      <c r="F323" t="s">
        <v>43</v>
      </c>
      <c r="G323">
        <v>-422.91579999999999</v>
      </c>
      <c r="H323">
        <v>-0.05</v>
      </c>
      <c r="I323">
        <v>364.88040000000001</v>
      </c>
      <c r="J323">
        <v>-439.1764</v>
      </c>
      <c r="K323">
        <v>1.103192</v>
      </c>
      <c r="L323">
        <v>367.23669999999998</v>
      </c>
      <c r="M323">
        <v>0.99987349999999997</v>
      </c>
      <c r="N323">
        <v>0</v>
      </c>
      <c r="O323">
        <v>3.5865720000000001E-3</v>
      </c>
      <c r="P323">
        <v>0.99770689999999995</v>
      </c>
      <c r="Q323">
        <v>6.6785140000000007E-2</v>
      </c>
      <c r="R323">
        <v>-1.0994449999999999E-2</v>
      </c>
      <c r="S323">
        <v>3.0169069999999998</v>
      </c>
      <c r="T323">
        <v>-0.21129909999999999</v>
      </c>
      <c r="U323">
        <v>-0.43109130000000001</v>
      </c>
      <c r="V323">
        <v>1.457633E-2</v>
      </c>
      <c r="W323">
        <v>8.223946E-2</v>
      </c>
      <c r="X323">
        <v>0.996506</v>
      </c>
      <c r="Y323">
        <v>0.1446491</v>
      </c>
      <c r="Z323">
        <v>-5.2834930000000002E-3</v>
      </c>
      <c r="AA323">
        <v>0.98946889999999998</v>
      </c>
      <c r="AB323">
        <v>24</v>
      </c>
      <c r="AC323">
        <v>16.2606</v>
      </c>
      <c r="AD323">
        <v>-1.153192</v>
      </c>
      <c r="AE323">
        <v>-2.3562999999999699</v>
      </c>
      <c r="AF323">
        <v>2.40277529693702</v>
      </c>
      <c r="AG323">
        <v>-1.153192</v>
      </c>
      <c r="AH323">
        <v>16.1723762657235</v>
      </c>
      <c r="AI323">
        <v>94.034508617444601</v>
      </c>
      <c r="AJ323">
        <v>81.549223975099096</v>
      </c>
      <c r="AK323">
        <v>16.390513567200099</v>
      </c>
      <c r="AL323">
        <v>85.282698378331105</v>
      </c>
      <c r="AM323">
        <v>89.161969287565597</v>
      </c>
      <c r="AN323">
        <v>1.00000000310668</v>
      </c>
    </row>
    <row r="324" spans="1:40" x14ac:dyDescent="0.25">
      <c r="A324" t="str">
        <f>"20190312150952579"</f>
        <v>20190312150952579</v>
      </c>
      <c r="B324" t="str">
        <f>"1552374592571278"</f>
        <v>1552374592571278</v>
      </c>
      <c r="C324" t="s">
        <v>40</v>
      </c>
      <c r="D324">
        <v>5.3071099999999998</v>
      </c>
      <c r="E324">
        <v>0.52336959999999999</v>
      </c>
      <c r="F324" t="s">
        <v>43</v>
      </c>
      <c r="G324">
        <v>-423.38650000000001</v>
      </c>
      <c r="H324">
        <v>-0.05</v>
      </c>
      <c r="I324">
        <v>365.00119999999998</v>
      </c>
      <c r="J324">
        <v>-438.93239999999997</v>
      </c>
      <c r="K324">
        <v>1.101602</v>
      </c>
      <c r="L324">
        <v>367.23759999999999</v>
      </c>
      <c r="M324">
        <v>0.99984320000000004</v>
      </c>
      <c r="N324">
        <v>0</v>
      </c>
      <c r="O324">
        <v>3.585628E-3</v>
      </c>
      <c r="P324">
        <v>0.99781969999999998</v>
      </c>
      <c r="Q324">
        <v>6.5133300000000005E-2</v>
      </c>
      <c r="R324">
        <v>-1.066606E-2</v>
      </c>
      <c r="S324">
        <v>3.0169069999999998</v>
      </c>
      <c r="T324">
        <v>-0.22033549999999999</v>
      </c>
      <c r="U324">
        <v>-0.427124</v>
      </c>
      <c r="V324">
        <v>1.4247259999999999E-2</v>
      </c>
      <c r="W324">
        <v>8.2430020000000007E-2</v>
      </c>
      <c r="X324">
        <v>0.99649500000000002</v>
      </c>
      <c r="Y324">
        <v>0.143345</v>
      </c>
      <c r="Z324">
        <v>-5.4619909999999898E-3</v>
      </c>
      <c r="AA324">
        <v>0.98965769999999997</v>
      </c>
      <c r="AB324">
        <v>24</v>
      </c>
      <c r="AC324">
        <v>15.5458999999999</v>
      </c>
      <c r="AD324">
        <v>-1.151602</v>
      </c>
      <c r="AE324">
        <v>-2.2364000000000002</v>
      </c>
      <c r="AF324">
        <v>2.2798786866423999</v>
      </c>
      <c r="AG324">
        <v>-1.151602</v>
      </c>
      <c r="AH324">
        <v>15.4546921008228</v>
      </c>
      <c r="AI324">
        <v>94.216042089071095</v>
      </c>
      <c r="AJ324">
        <v>81.608242374656399</v>
      </c>
      <c r="AK324">
        <v>15.664339817670101</v>
      </c>
      <c r="AL324">
        <v>85.271742830099399</v>
      </c>
      <c r="AM324">
        <v>89.180876720276004</v>
      </c>
      <c r="AN324">
        <v>0.99999998881985297</v>
      </c>
    </row>
    <row r="325" spans="1:40" x14ac:dyDescent="0.25">
      <c r="A325" t="str">
        <f>"20190312150952603"</f>
        <v>20190312150952603</v>
      </c>
      <c r="B325" t="str">
        <f>"1552374592590800"</f>
        <v>1552374592590800</v>
      </c>
      <c r="C325" t="s">
        <v>40</v>
      </c>
      <c r="D325">
        <v>5.1625639999999997</v>
      </c>
      <c r="E325">
        <v>0.51886160000000003</v>
      </c>
      <c r="F325" t="s">
        <v>41</v>
      </c>
      <c r="G325">
        <v>-438.00330000000002</v>
      </c>
      <c r="H325">
        <v>1.0187250000000001</v>
      </c>
      <c r="I325">
        <v>367.16989999999998</v>
      </c>
      <c r="J325">
        <v>-438.67570000000001</v>
      </c>
      <c r="K325">
        <v>1.0998779999999999</v>
      </c>
      <c r="L325">
        <v>367.23849999999999</v>
      </c>
      <c r="M325">
        <v>0.99981500000000001</v>
      </c>
      <c r="N325">
        <v>0</v>
      </c>
      <c r="O325">
        <v>3.584828E-3</v>
      </c>
      <c r="P325">
        <v>0.99791479999999999</v>
      </c>
      <c r="Q325">
        <v>6.3676090000000005E-2</v>
      </c>
      <c r="R325">
        <v>-1.057463E-2</v>
      </c>
      <c r="S325">
        <v>3.0218509999999998</v>
      </c>
      <c r="T325">
        <v>-0.26969130000000002</v>
      </c>
      <c r="U325">
        <v>-0.2192993</v>
      </c>
      <c r="V325">
        <v>1.415569E-2</v>
      </c>
      <c r="W325">
        <v>8.2527439999999994E-2</v>
      </c>
      <c r="X325">
        <v>0.99648829999999999</v>
      </c>
      <c r="Y325">
        <v>7.5643169999999996E-2</v>
      </c>
      <c r="Z325">
        <v>-3.683324E-3</v>
      </c>
      <c r="AA325">
        <v>0.99712809999999996</v>
      </c>
      <c r="AB325">
        <v>24</v>
      </c>
      <c r="AC325">
        <v>0.67239999999998101</v>
      </c>
      <c r="AD325">
        <v>-8.1153000000000003E-2</v>
      </c>
      <c r="AE325">
        <v>-6.8600000000003505E-2</v>
      </c>
      <c r="AF325">
        <v>7.0001261988510102E-2</v>
      </c>
      <c r="AG325">
        <v>-8.1153000000000003E-2</v>
      </c>
      <c r="AH325">
        <v>0.66259744748843596</v>
      </c>
      <c r="AI325">
        <v>96.944377710461893</v>
      </c>
      <c r="AJ325">
        <v>83.969257978775005</v>
      </c>
      <c r="AK325">
        <v>0.67120888217243901</v>
      </c>
      <c r="AL325">
        <v>85.266142268084295</v>
      </c>
      <c r="AM325">
        <v>89.186135208262598</v>
      </c>
      <c r="AN325">
        <v>1.0000000469746</v>
      </c>
    </row>
    <row r="326" spans="1:40" x14ac:dyDescent="0.25">
      <c r="A326" t="str">
        <f>"20190312150952625"</f>
        <v>20190312150952625</v>
      </c>
      <c r="B326" t="str">
        <f>"1552374592621056"</f>
        <v>1552374592621056</v>
      </c>
      <c r="C326" t="s">
        <v>40</v>
      </c>
      <c r="D326">
        <v>5.0882009999999998</v>
      </c>
      <c r="E326">
        <v>0.51726879999999997</v>
      </c>
      <c r="F326" t="s">
        <v>41</v>
      </c>
      <c r="G326">
        <v>-437.79570000000001</v>
      </c>
      <c r="H326">
        <v>1.0034259999999999</v>
      </c>
      <c r="I326">
        <v>367.185</v>
      </c>
      <c r="J326">
        <v>-438.4357</v>
      </c>
      <c r="K326">
        <v>1.0981989999999999</v>
      </c>
      <c r="L326">
        <v>367.23930000000001</v>
      </c>
      <c r="M326">
        <v>0.99979799999999996</v>
      </c>
      <c r="N326">
        <v>0</v>
      </c>
      <c r="O326">
        <v>3.5845059999999999E-3</v>
      </c>
      <c r="P326">
        <v>0.99792170000000002</v>
      </c>
      <c r="Q326">
        <v>6.3541470000000003E-2</v>
      </c>
      <c r="R326">
        <v>-1.070751E-2</v>
      </c>
      <c r="S326">
        <v>3.0254819999999998</v>
      </c>
      <c r="T326">
        <v>-0.33176470000000002</v>
      </c>
      <c r="U326">
        <v>-0.1831055</v>
      </c>
      <c r="V326">
        <v>1.428863E-2</v>
      </c>
      <c r="W326">
        <v>8.327445E-2</v>
      </c>
      <c r="X326">
        <v>0.99642419999999998</v>
      </c>
      <c r="Y326">
        <v>6.3587610000000003E-2</v>
      </c>
      <c r="Z326">
        <v>-3.8644619999999999E-3</v>
      </c>
      <c r="AA326">
        <v>0.99796879999999999</v>
      </c>
      <c r="AB326">
        <v>24</v>
      </c>
      <c r="AC326">
        <v>0.63999999999998602</v>
      </c>
      <c r="AD326">
        <v>-9.4772999999999996E-2</v>
      </c>
      <c r="AE326">
        <v>-5.4300000000011998E-2</v>
      </c>
      <c r="AF326">
        <v>5.5388281256878003E-2</v>
      </c>
      <c r="AG326">
        <v>-9.4772999999999996E-2</v>
      </c>
      <c r="AH326">
        <v>0.62616839944908798</v>
      </c>
      <c r="AI326">
        <v>98.573637399823795</v>
      </c>
      <c r="AJ326">
        <v>84.945007766198799</v>
      </c>
      <c r="AK326">
        <v>0.63571742755584704</v>
      </c>
      <c r="AL326">
        <v>85.223193651603694</v>
      </c>
      <c r="AM326">
        <v>89.178440181183106</v>
      </c>
      <c r="AN326">
        <v>0.99999999265785899</v>
      </c>
    </row>
    <row r="327" spans="1:40" x14ac:dyDescent="0.25">
      <c r="A327" t="str">
        <f>"20190312150952647"</f>
        <v>20190312150952647</v>
      </c>
      <c r="B327" t="str">
        <f>"1552374592641551"</f>
        <v>1552374592641551</v>
      </c>
      <c r="C327" t="s">
        <v>40</v>
      </c>
      <c r="D327">
        <v>5.1200609999999998</v>
      </c>
      <c r="E327">
        <v>0.51760839999999997</v>
      </c>
      <c r="F327" t="s">
        <v>41</v>
      </c>
      <c r="G327">
        <v>-437.58409999999998</v>
      </c>
      <c r="H327">
        <v>0.99401390000000001</v>
      </c>
      <c r="I327">
        <v>367.1909</v>
      </c>
      <c r="J327">
        <v>-438.20330000000001</v>
      </c>
      <c r="K327">
        <v>1.0965320000000001</v>
      </c>
      <c r="L327">
        <v>367.24020000000002</v>
      </c>
      <c r="M327">
        <v>0.99978540000000005</v>
      </c>
      <c r="N327">
        <v>0</v>
      </c>
      <c r="O327">
        <v>3.5846070000000001E-3</v>
      </c>
      <c r="P327">
        <v>0.99790919999999905</v>
      </c>
      <c r="Q327">
        <v>6.3776520000000003E-2</v>
      </c>
      <c r="R327">
        <v>-1.0482440000000001E-2</v>
      </c>
      <c r="S327">
        <v>3.0280149999999999</v>
      </c>
      <c r="T327">
        <v>-0.37070829999999999</v>
      </c>
      <c r="U327">
        <v>-0.1703491</v>
      </c>
      <c r="V327">
        <v>1.4063819999999999E-2</v>
      </c>
      <c r="W327">
        <v>8.4127339999999995E-2</v>
      </c>
      <c r="X327">
        <v>0.99635580000000001</v>
      </c>
      <c r="Y327">
        <v>5.9280279999999998E-2</v>
      </c>
      <c r="Z327">
        <v>-4.0493869999999998E-3</v>
      </c>
      <c r="AA327">
        <v>0.99823309999999998</v>
      </c>
      <c r="AB327">
        <v>24</v>
      </c>
      <c r="AC327">
        <v>0.61920000000003395</v>
      </c>
      <c r="AD327">
        <v>-0.102518099999999</v>
      </c>
      <c r="AE327">
        <v>-4.9300000000016497E-2</v>
      </c>
      <c r="AF327">
        <v>5.0153588796820997E-2</v>
      </c>
      <c r="AG327">
        <v>-0.102518099999999</v>
      </c>
      <c r="AH327">
        <v>0.60260477220794395</v>
      </c>
      <c r="AI327">
        <v>99.622358721807004</v>
      </c>
      <c r="AJ327">
        <v>85.242352007027804</v>
      </c>
      <c r="AK327">
        <v>0.61331709154775604</v>
      </c>
      <c r="AL327">
        <v>85.1741548007993</v>
      </c>
      <c r="AM327">
        <v>89.191308947681605</v>
      </c>
      <c r="AN327">
        <v>1.0000000402810501</v>
      </c>
    </row>
    <row r="328" spans="1:40" x14ac:dyDescent="0.25">
      <c r="A328" t="str">
        <f>"20190312150952668"</f>
        <v>20190312150952668</v>
      </c>
      <c r="B328" t="str">
        <f>"1552374592661071"</f>
        <v>1552374592661071</v>
      </c>
      <c r="C328" t="s">
        <v>40</v>
      </c>
      <c r="D328">
        <v>5.0576290000000004</v>
      </c>
      <c r="E328">
        <v>0.51743159999999999</v>
      </c>
      <c r="F328" t="s">
        <v>41</v>
      </c>
      <c r="G328">
        <v>-437.36860000000001</v>
      </c>
      <c r="H328">
        <v>0.9921875</v>
      </c>
      <c r="I328">
        <v>367.19229999999999</v>
      </c>
      <c r="J328">
        <v>-437.97129999999999</v>
      </c>
      <c r="K328">
        <v>1.0948009999999999</v>
      </c>
      <c r="L328">
        <v>367.24099999999999</v>
      </c>
      <c r="M328">
        <v>0.99977419999999995</v>
      </c>
      <c r="N328">
        <v>0</v>
      </c>
      <c r="O328">
        <v>3.5846649999999999E-3</v>
      </c>
      <c r="P328">
        <v>0.9979519</v>
      </c>
      <c r="Q328">
        <v>6.3044870000000003E-2</v>
      </c>
      <c r="R328">
        <v>-1.084195E-2</v>
      </c>
      <c r="S328">
        <v>3.0286870000000001</v>
      </c>
      <c r="T328">
        <v>-0.37871169999999998</v>
      </c>
      <c r="U328">
        <v>-0.17276</v>
      </c>
      <c r="V328">
        <v>1.442351E-2</v>
      </c>
      <c r="W328">
        <v>8.3938260000000001E-2</v>
      </c>
      <c r="X328">
        <v>0.99636659999999999</v>
      </c>
      <c r="Y328">
        <v>6.0034070000000002E-2</v>
      </c>
      <c r="Z328">
        <v>-4.1820620000000003E-3</v>
      </c>
      <c r="AA328">
        <v>0.99818750000000001</v>
      </c>
      <c r="AB328">
        <v>24</v>
      </c>
      <c r="AC328">
        <v>0.60269999999997004</v>
      </c>
      <c r="AD328">
        <v>-0.102613499999999</v>
      </c>
      <c r="AE328">
        <v>-4.86999999999966E-2</v>
      </c>
      <c r="AF328">
        <v>4.9436896069152997E-2</v>
      </c>
      <c r="AG328">
        <v>-0.102613499999999</v>
      </c>
      <c r="AH328">
        <v>0.58565512152852195</v>
      </c>
      <c r="AI328">
        <v>99.903481612046605</v>
      </c>
      <c r="AJ328">
        <v>85.174931043991094</v>
      </c>
      <c r="AK328">
        <v>0.596628409018369</v>
      </c>
      <c r="AL328">
        <v>85.185026716805595</v>
      </c>
      <c r="AM328">
        <v>89.170638066924695</v>
      </c>
      <c r="AN328">
        <v>1.0000000353640499</v>
      </c>
    </row>
    <row r="329" spans="1:40" x14ac:dyDescent="0.25">
      <c r="A329" t="str">
        <f>"20190312150952691"</f>
        <v>20190312150952691</v>
      </c>
      <c r="B329" t="str">
        <f>"1552374592681570"</f>
        <v>1552374592681570</v>
      </c>
      <c r="C329" t="s">
        <v>40</v>
      </c>
      <c r="D329">
        <v>5.2076169999999999</v>
      </c>
      <c r="E329">
        <v>0.51741150000000002</v>
      </c>
      <c r="F329" t="s">
        <v>41</v>
      </c>
      <c r="G329">
        <v>-437.15379999999999</v>
      </c>
      <c r="H329">
        <v>0.9891527</v>
      </c>
      <c r="I329">
        <v>367.19420000000002</v>
      </c>
      <c r="J329">
        <v>-437.72660000000002</v>
      </c>
      <c r="K329">
        <v>1.0928260000000001</v>
      </c>
      <c r="L329">
        <v>367.24189999999999</v>
      </c>
      <c r="M329">
        <v>0.9997663</v>
      </c>
      <c r="N329">
        <v>0</v>
      </c>
      <c r="O329">
        <v>3.585272E-3</v>
      </c>
      <c r="P329">
        <v>0.99796810000000002</v>
      </c>
      <c r="Q329">
        <v>6.2710020000000005E-2</v>
      </c>
      <c r="R329">
        <v>-1.1285770000000001E-2</v>
      </c>
      <c r="S329">
        <v>3.0290219999999999</v>
      </c>
      <c r="T329">
        <v>-0.3916444</v>
      </c>
      <c r="U329">
        <v>-0.17221069999999999</v>
      </c>
      <c r="V329">
        <v>1.486793E-2</v>
      </c>
      <c r="W329">
        <v>8.3970569999999994E-2</v>
      </c>
      <c r="X329">
        <v>0.9963573</v>
      </c>
      <c r="Y329">
        <v>5.9815739999999999E-2</v>
      </c>
      <c r="Z329">
        <v>-4.3093020000000001E-3</v>
      </c>
      <c r="AA329">
        <v>0.99820010000000003</v>
      </c>
      <c r="AB329">
        <v>24</v>
      </c>
      <c r="AC329">
        <v>0.57280000000002895</v>
      </c>
      <c r="AD329">
        <v>-0.1036733</v>
      </c>
      <c r="AE329">
        <v>-4.7699999999963397E-2</v>
      </c>
      <c r="AF329">
        <v>4.8186155135258001E-2</v>
      </c>
      <c r="AG329">
        <v>-0.1036733</v>
      </c>
      <c r="AH329">
        <v>0.554582915451312</v>
      </c>
      <c r="AI329">
        <v>100.549763228442</v>
      </c>
      <c r="AJ329">
        <v>85.034201490661303</v>
      </c>
      <c r="AK329">
        <v>0.56624400110737205</v>
      </c>
      <c r="AL329">
        <v>85.183168715449895</v>
      </c>
      <c r="AM329">
        <v>89.145079362980994</v>
      </c>
      <c r="AN329">
        <v>0.99999999061594902</v>
      </c>
    </row>
    <row r="330" spans="1:40" x14ac:dyDescent="0.25">
      <c r="A330" t="str">
        <f>"20190312150952712"</f>
        <v>20190312150952712</v>
      </c>
      <c r="B330" t="str">
        <f>"1552374592701087"</f>
        <v>1552374592701087</v>
      </c>
      <c r="C330" t="s">
        <v>40</v>
      </c>
      <c r="D330">
        <v>5.1366230000000002</v>
      </c>
      <c r="E330">
        <v>0.51743809999999901</v>
      </c>
      <c r="F330" t="s">
        <v>41</v>
      </c>
      <c r="G330">
        <v>-436.9357</v>
      </c>
      <c r="H330">
        <v>0.99225160000000001</v>
      </c>
      <c r="I330">
        <v>367.19650000000001</v>
      </c>
      <c r="J330">
        <v>-437.49160000000001</v>
      </c>
      <c r="K330">
        <v>1.0907450000000001</v>
      </c>
      <c r="L330">
        <v>367.24270000000001</v>
      </c>
      <c r="M330">
        <v>0.9997663</v>
      </c>
      <c r="N330">
        <v>0</v>
      </c>
      <c r="O330">
        <v>3.5857329999999998E-3</v>
      </c>
      <c r="P330">
        <v>0.99797630000000004</v>
      </c>
      <c r="Q330">
        <v>6.2607799999999894E-2</v>
      </c>
      <c r="R330">
        <v>-1.113836E-2</v>
      </c>
      <c r="S330">
        <v>3.0283509999999998</v>
      </c>
      <c r="T330">
        <v>-0.38523449999999998</v>
      </c>
      <c r="U330">
        <v>-0.17297360000000001</v>
      </c>
      <c r="V330">
        <v>1.4721110000000001E-2</v>
      </c>
      <c r="W330">
        <v>8.3875060000000001E-2</v>
      </c>
      <c r="X330">
        <v>0.99636749999999996</v>
      </c>
      <c r="Y330">
        <v>6.009395E-2</v>
      </c>
      <c r="Z330">
        <v>-4.2579100000000002E-3</v>
      </c>
      <c r="AA330">
        <v>0.99818370000000001</v>
      </c>
      <c r="AB330">
        <v>24</v>
      </c>
      <c r="AC330">
        <v>0.55590000000000805</v>
      </c>
      <c r="AD330">
        <v>-9.8493399999999995E-2</v>
      </c>
      <c r="AE330">
        <v>-4.6199999999998902E-2</v>
      </c>
      <c r="AF330">
        <v>4.67363743365804E-2</v>
      </c>
      <c r="AG330">
        <v>-9.8493399999999995E-2</v>
      </c>
      <c r="AH330">
        <v>0.53892865497411002</v>
      </c>
      <c r="AI330">
        <v>100.319056693612</v>
      </c>
      <c r="AJ330">
        <v>85.043658747079206</v>
      </c>
      <c r="AK330">
        <v>0.54984482691200498</v>
      </c>
      <c r="AL330">
        <v>85.188660289546704</v>
      </c>
      <c r="AM330">
        <v>89.153529087557004</v>
      </c>
      <c r="AN330">
        <v>0.99999996591294205</v>
      </c>
    </row>
    <row r="331" spans="1:40" x14ac:dyDescent="0.25">
      <c r="A331" t="str">
        <f>"20190312150952726"</f>
        <v>20190312150952726</v>
      </c>
      <c r="B331" t="str">
        <f>"1552374592721583"</f>
        <v>1552374592721583</v>
      </c>
      <c r="C331" t="s">
        <v>40</v>
      </c>
      <c r="D331">
        <v>5.1151669999999996</v>
      </c>
      <c r="E331">
        <v>0.517428</v>
      </c>
      <c r="F331" t="s">
        <v>41</v>
      </c>
      <c r="G331">
        <v>-436.71899999999999</v>
      </c>
      <c r="H331">
        <v>0.9919251</v>
      </c>
      <c r="I331">
        <v>367.19810000000001</v>
      </c>
      <c r="J331">
        <v>-437.3442</v>
      </c>
      <c r="K331">
        <v>1.0893440000000001</v>
      </c>
      <c r="L331">
        <v>367.2432</v>
      </c>
      <c r="M331">
        <v>0.99977020000000005</v>
      </c>
      <c r="N331">
        <v>0</v>
      </c>
      <c r="O331">
        <v>3.5865020000000001E-3</v>
      </c>
      <c r="P331">
        <v>0.99797530000000001</v>
      </c>
      <c r="Q331">
        <v>6.2713859999999996E-2</v>
      </c>
      <c r="R331">
        <v>-1.060762E-2</v>
      </c>
      <c r="S331">
        <v>3.028473</v>
      </c>
      <c r="T331">
        <v>-0.38761309999999999</v>
      </c>
      <c r="U331">
        <v>-0.17321779999999901</v>
      </c>
      <c r="V331">
        <v>1.4191240000000001E-2</v>
      </c>
      <c r="W331">
        <v>8.3797609999999995E-2</v>
      </c>
      <c r="X331">
        <v>0.99638179999999998</v>
      </c>
      <c r="Y331">
        <v>6.0165759999999999E-2</v>
      </c>
      <c r="Z331">
        <v>-4.2884759999999899E-3</v>
      </c>
      <c r="AA331">
        <v>0.99817920000000004</v>
      </c>
      <c r="AB331">
        <v>24</v>
      </c>
      <c r="AC331">
        <v>0.62520000000000597</v>
      </c>
      <c r="AD331">
        <v>-9.7418900000000003E-2</v>
      </c>
      <c r="AE331">
        <v>-4.50999999999908E-2</v>
      </c>
      <c r="AF331">
        <v>4.6225936794123797E-2</v>
      </c>
      <c r="AG331">
        <v>-9.7418900000000003E-2</v>
      </c>
      <c r="AH331">
        <v>0.61029299137420301</v>
      </c>
      <c r="AI331">
        <v>99.043930740590696</v>
      </c>
      <c r="AJ331">
        <v>85.668468331321193</v>
      </c>
      <c r="AK331">
        <v>0.61974576612525301</v>
      </c>
      <c r="AL331">
        <v>85.193113983674905</v>
      </c>
      <c r="AM331">
        <v>89.184004380674693</v>
      </c>
      <c r="AN331">
        <v>1.0000000610528399</v>
      </c>
    </row>
    <row r="332" spans="1:40" x14ac:dyDescent="0.25">
      <c r="A332" t="str">
        <f>"20190312150952746"</f>
        <v>20190312150952746</v>
      </c>
      <c r="B332" t="str">
        <f>"1552374592741103"</f>
        <v>1552374592741103</v>
      </c>
      <c r="C332" t="s">
        <v>40</v>
      </c>
      <c r="D332">
        <v>5.1016519999999996</v>
      </c>
      <c r="E332">
        <v>0.51749250000000002</v>
      </c>
      <c r="F332" t="s">
        <v>41</v>
      </c>
      <c r="G332">
        <v>-436.5061</v>
      </c>
      <c r="H332">
        <v>0.9832822</v>
      </c>
      <c r="I332">
        <v>367.19569999999999</v>
      </c>
      <c r="J332">
        <v>-437.1277</v>
      </c>
      <c r="K332">
        <v>1.0871949999999999</v>
      </c>
      <c r="L332">
        <v>367.24400000000003</v>
      </c>
      <c r="M332">
        <v>0.99977859999999996</v>
      </c>
      <c r="N332">
        <v>0</v>
      </c>
      <c r="O332">
        <v>3.588412E-3</v>
      </c>
      <c r="P332">
        <v>0.99793180000000004</v>
      </c>
      <c r="Q332">
        <v>6.3430180000000003E-2</v>
      </c>
      <c r="R332">
        <v>-1.0443569999999999E-2</v>
      </c>
      <c r="S332">
        <v>3.028381</v>
      </c>
      <c r="T332">
        <v>-0.38342939999999998</v>
      </c>
      <c r="U332">
        <v>-0.1713257</v>
      </c>
      <c r="V332">
        <v>1.4028880000000001E-2</v>
      </c>
      <c r="W332">
        <v>8.4105509999999994E-2</v>
      </c>
      <c r="X332">
        <v>0.99635810000000002</v>
      </c>
      <c r="Y332">
        <v>5.9563520000000002E-2</v>
      </c>
      <c r="Z332">
        <v>-4.2050519999999999E-3</v>
      </c>
      <c r="AA332">
        <v>0.99821570000000004</v>
      </c>
      <c r="AB332">
        <v>24</v>
      </c>
      <c r="AC332">
        <v>0.62160000000000004</v>
      </c>
      <c r="AD332">
        <v>-0.1039128</v>
      </c>
      <c r="AE332">
        <v>-4.83000000000402E-2</v>
      </c>
      <c r="AF332">
        <v>4.9165016866349297E-2</v>
      </c>
      <c r="AG332">
        <v>-0.1039128</v>
      </c>
      <c r="AH332">
        <v>0.60462726947780199</v>
      </c>
      <c r="AI332">
        <v>99.720265978331</v>
      </c>
      <c r="AJ332">
        <v>85.351245285001198</v>
      </c>
      <c r="AK332">
        <v>0.61545853140848605</v>
      </c>
      <c r="AL332">
        <v>85.175409844890098</v>
      </c>
      <c r="AM332">
        <v>89.193319646934299</v>
      </c>
      <c r="AN332">
        <v>1.00000000486101</v>
      </c>
    </row>
    <row r="333" spans="1:40" x14ac:dyDescent="0.25">
      <c r="A333" t="str">
        <f>"20190312150952769"</f>
        <v>20190312150952769</v>
      </c>
      <c r="B333" t="str">
        <f>"1552374592761599"</f>
        <v>1552374592761599</v>
      </c>
      <c r="C333" t="s">
        <v>40</v>
      </c>
      <c r="D333">
        <v>5.4581799999999996</v>
      </c>
      <c r="E333">
        <v>0.5175651</v>
      </c>
      <c r="F333" t="s">
        <v>41</v>
      </c>
      <c r="G333">
        <v>-436.28919999999999</v>
      </c>
      <c r="H333">
        <v>0.98282119999999995</v>
      </c>
      <c r="I333">
        <v>367.19619999999998</v>
      </c>
      <c r="J333">
        <v>-436.88510000000002</v>
      </c>
      <c r="K333">
        <v>1.084711</v>
      </c>
      <c r="L333">
        <v>367.24489999999997</v>
      </c>
      <c r="M333">
        <v>0.9997895</v>
      </c>
      <c r="N333">
        <v>0</v>
      </c>
      <c r="O333">
        <v>3.5898689999999999E-3</v>
      </c>
      <c r="P333">
        <v>0.99789510000000003</v>
      </c>
      <c r="Q333">
        <v>6.4045569999999996E-2</v>
      </c>
      <c r="R333">
        <v>-1.0178070000000001E-2</v>
      </c>
      <c r="S333">
        <v>3.028381</v>
      </c>
      <c r="T333">
        <v>-0.37719930000000002</v>
      </c>
      <c r="U333">
        <v>-0.17150879999999999</v>
      </c>
      <c r="V333">
        <v>1.376486E-2</v>
      </c>
      <c r="W333">
        <v>8.4192439999999993E-2</v>
      </c>
      <c r="X333">
        <v>0.99635450000000003</v>
      </c>
      <c r="Y333">
        <v>5.964063E-2</v>
      </c>
      <c r="Z333">
        <v>-4.1422020000000002E-3</v>
      </c>
      <c r="AA333">
        <v>0.99821130000000002</v>
      </c>
      <c r="AB333">
        <v>24</v>
      </c>
      <c r="AC333">
        <v>0.59590000000002796</v>
      </c>
      <c r="AD333">
        <v>-0.1018898</v>
      </c>
      <c r="AE333">
        <v>-4.86999999999966E-2</v>
      </c>
      <c r="AF333">
        <v>4.9404528797802799E-2</v>
      </c>
      <c r="AG333">
        <v>-0.1018898</v>
      </c>
      <c r="AH333">
        <v>0.57890874022819805</v>
      </c>
      <c r="AI333">
        <v>99.946578889705606</v>
      </c>
      <c r="AJ333">
        <v>85.122151915040504</v>
      </c>
      <c r="AK333">
        <v>0.58987936760186199</v>
      </c>
      <c r="AL333">
        <v>85.170411680501601</v>
      </c>
      <c r="AM333">
        <v>89.208496359331406</v>
      </c>
      <c r="AN333">
        <v>1.0000000639971001</v>
      </c>
    </row>
    <row r="334" spans="1:40" x14ac:dyDescent="0.25">
      <c r="A334" t="str">
        <f>"20190312150952791"</f>
        <v>20190312150952791</v>
      </c>
      <c r="B334" t="str">
        <f>"1552374592781119"</f>
        <v>1552374592781119</v>
      </c>
      <c r="C334" t="s">
        <v>40</v>
      </c>
      <c r="D334">
        <v>5.2255979999999997</v>
      </c>
      <c r="E334">
        <v>0.50212599999999996</v>
      </c>
      <c r="F334" t="s">
        <v>41</v>
      </c>
      <c r="G334">
        <v>-436.07170000000002</v>
      </c>
      <c r="H334">
        <v>0.98414619999999997</v>
      </c>
      <c r="I334">
        <v>367.1986</v>
      </c>
      <c r="J334">
        <v>-436.6422</v>
      </c>
      <c r="K334">
        <v>1.0822020000000001</v>
      </c>
      <c r="L334">
        <v>367.2457</v>
      </c>
      <c r="M334">
        <v>0.99980190000000002</v>
      </c>
      <c r="N334">
        <v>0</v>
      </c>
      <c r="O334">
        <v>3.5899840000000001E-3</v>
      </c>
      <c r="P334">
        <v>0.99785509999999999</v>
      </c>
      <c r="Q334">
        <v>6.4784359999999999E-2</v>
      </c>
      <c r="R334">
        <v>-9.4135520000000004E-3</v>
      </c>
      <c r="S334">
        <v>3.0286559999999998</v>
      </c>
      <c r="T334">
        <v>-0.3745906</v>
      </c>
      <c r="U334">
        <v>-0.17153929999999901</v>
      </c>
      <c r="V334">
        <v>1.299998E-2</v>
      </c>
      <c r="W334">
        <v>8.4314100000000003E-2</v>
      </c>
      <c r="X334">
        <v>0.99635439999999997</v>
      </c>
      <c r="Y334">
        <v>5.965231E-2</v>
      </c>
      <c r="Z334">
        <v>-4.1141299999999997E-3</v>
      </c>
      <c r="AA334">
        <v>0.99821070000000001</v>
      </c>
      <c r="AB334">
        <v>24</v>
      </c>
      <c r="AC334">
        <v>0.57049999999998102</v>
      </c>
      <c r="AD334">
        <v>-9.8055800000000096E-2</v>
      </c>
      <c r="AE334">
        <v>-4.7100000000000301E-2</v>
      </c>
      <c r="AF334">
        <v>4.7747191432133497E-2</v>
      </c>
      <c r="AG334">
        <v>-9.8055800000000096E-2</v>
      </c>
      <c r="AH334">
        <v>0.55406985430570599</v>
      </c>
      <c r="AI334">
        <v>99.999624902819505</v>
      </c>
      <c r="AJ334">
        <v>85.074681353101795</v>
      </c>
      <c r="AK334">
        <v>0.564701813042639</v>
      </c>
      <c r="AL334">
        <v>85.163415789416405</v>
      </c>
      <c r="AM334">
        <v>89.252473090859894</v>
      </c>
      <c r="AN334">
        <v>0.99999997866908497</v>
      </c>
    </row>
    <row r="335" spans="1:40" x14ac:dyDescent="0.25">
      <c r="A335" t="str">
        <f>"20190312150952815"</f>
        <v>20190312150952815</v>
      </c>
      <c r="B335" t="str">
        <f>"1552374592811374"</f>
        <v>1552374592811374</v>
      </c>
      <c r="C335" t="s">
        <v>40</v>
      </c>
      <c r="D335">
        <v>4.9991349999999999</v>
      </c>
      <c r="E335">
        <v>0.4982761</v>
      </c>
      <c r="F335" t="s">
        <v>43</v>
      </c>
      <c r="G335">
        <v>-417.80720000000002</v>
      </c>
      <c r="H335">
        <v>-0.05</v>
      </c>
      <c r="I335">
        <v>366.96100000000001</v>
      </c>
      <c r="J335">
        <v>-436.392</v>
      </c>
      <c r="K335">
        <v>1.0796509999999999</v>
      </c>
      <c r="L335">
        <v>367.2466</v>
      </c>
      <c r="M335">
        <v>0.99981690000000001</v>
      </c>
      <c r="N335">
        <v>0</v>
      </c>
      <c r="O335">
        <v>3.58917E-3</v>
      </c>
      <c r="P335">
        <v>0.9978032</v>
      </c>
      <c r="Q335">
        <v>6.5624050000000003E-2</v>
      </c>
      <c r="R335">
        <v>-9.0976359999999992E-3</v>
      </c>
      <c r="S335">
        <v>3.0178219999999998</v>
      </c>
      <c r="T335">
        <v>-0.18140590000000001</v>
      </c>
      <c r="U335">
        <v>-4.5623780000000003E-2</v>
      </c>
      <c r="V335">
        <v>1.268297E-2</v>
      </c>
      <c r="W335">
        <v>8.4370150000000005E-2</v>
      </c>
      <c r="X335">
        <v>0.99635370000000001</v>
      </c>
      <c r="Y335">
        <v>1.8665520000000001E-2</v>
      </c>
      <c r="Z335">
        <v>-7.7605139999999996E-4</v>
      </c>
      <c r="AA335">
        <v>0.99982550000000003</v>
      </c>
      <c r="AB335">
        <v>24</v>
      </c>
      <c r="AC335">
        <v>18.584799999999898</v>
      </c>
      <c r="AD335">
        <v>-1.129651</v>
      </c>
      <c r="AE335">
        <v>-0.28559999999998797</v>
      </c>
      <c r="AF335">
        <v>0.35101737361692098</v>
      </c>
      <c r="AG335">
        <v>-1.129651</v>
      </c>
      <c r="AH335">
        <v>18.515263814321401</v>
      </c>
      <c r="AI335">
        <v>93.4907694573361</v>
      </c>
      <c r="AJ335">
        <v>88.913901240483497</v>
      </c>
      <c r="AK335">
        <v>18.553013736110401</v>
      </c>
      <c r="AL335">
        <v>85.160192678549805</v>
      </c>
      <c r="AM335">
        <v>89.270699344289795</v>
      </c>
      <c r="AN335">
        <v>0.99999993772136397</v>
      </c>
    </row>
    <row r="336" spans="1:40" x14ac:dyDescent="0.25">
      <c r="A336" t="str">
        <f>"20190312150952836"</f>
        <v>20190312150952836</v>
      </c>
      <c r="B336" t="str">
        <f>"1552374592830895"</f>
        <v>1552374592830895</v>
      </c>
      <c r="C336" t="s">
        <v>40</v>
      </c>
      <c r="D336">
        <v>5.0563390000000004</v>
      </c>
      <c r="E336">
        <v>0.49745289999999998</v>
      </c>
      <c r="F336" t="s">
        <v>43</v>
      </c>
      <c r="G336">
        <v>-409.63650000000001</v>
      </c>
      <c r="H336">
        <v>-0.05</v>
      </c>
      <c r="I336">
        <v>367.11880000000002</v>
      </c>
      <c r="J336">
        <v>-436.1551</v>
      </c>
      <c r="K336">
        <v>1.0773379999999999</v>
      </c>
      <c r="L336">
        <v>367.2475</v>
      </c>
      <c r="M336">
        <v>0.99983270000000002</v>
      </c>
      <c r="N336">
        <v>0</v>
      </c>
      <c r="O336">
        <v>3.588333E-3</v>
      </c>
      <c r="P336">
        <v>0.99776050000000005</v>
      </c>
      <c r="Q336">
        <v>6.62885E-2</v>
      </c>
      <c r="R336">
        <v>-8.9467920000000003E-3</v>
      </c>
      <c r="S336">
        <v>3.0148619999999999</v>
      </c>
      <c r="T336">
        <v>-0.12729119999999999</v>
      </c>
      <c r="U336">
        <v>-1.44043E-2</v>
      </c>
      <c r="V336">
        <v>1.2531260000000001E-2</v>
      </c>
      <c r="W336">
        <v>8.4179630000000005E-2</v>
      </c>
      <c r="X336">
        <v>0.99637180000000003</v>
      </c>
      <c r="Y336">
        <v>8.3559069999999992E-3</v>
      </c>
      <c r="Z336">
        <v>-3.2777879999999998E-4</v>
      </c>
      <c r="AA336">
        <v>0.99996499999999999</v>
      </c>
      <c r="AB336">
        <v>24</v>
      </c>
      <c r="AC336">
        <v>26.5185999999999</v>
      </c>
      <c r="AD336">
        <v>-1.127338</v>
      </c>
      <c r="AE336">
        <v>-0.12869999999998</v>
      </c>
      <c r="AF336">
        <v>0.22346820518198701</v>
      </c>
      <c r="AG336">
        <v>-1.127338</v>
      </c>
      <c r="AH336">
        <v>26.470131530244299</v>
      </c>
      <c r="AI336">
        <v>92.438612804226494</v>
      </c>
      <c r="AJ336">
        <v>89.516304600653498</v>
      </c>
      <c r="AK336">
        <v>26.495069206050399</v>
      </c>
      <c r="AL336">
        <v>85.171147959955704</v>
      </c>
      <c r="AM336">
        <v>89.279435189881596</v>
      </c>
      <c r="AN336">
        <v>1.0000000032096801</v>
      </c>
    </row>
    <row r="337" spans="1:40" x14ac:dyDescent="0.25">
      <c r="A337" t="str">
        <f>"20190312150952857"</f>
        <v>20190312150952857</v>
      </c>
      <c r="B337" t="str">
        <f>"1552374592850921"</f>
        <v>1552374592850921</v>
      </c>
      <c r="C337" t="s">
        <v>40</v>
      </c>
      <c r="D337">
        <v>5.068079</v>
      </c>
      <c r="E337">
        <v>0.49658960000000002</v>
      </c>
      <c r="F337" t="s">
        <v>42</v>
      </c>
      <c r="G337">
        <v>-373.48680000000002</v>
      </c>
      <c r="H337" s="1">
        <v>-3.2214580000000001E-6</v>
      </c>
      <c r="I337">
        <v>367.10759999999999</v>
      </c>
      <c r="J337">
        <v>-435.92349999999999</v>
      </c>
      <c r="K337">
        <v>1.0752170000000001</v>
      </c>
      <c r="L337">
        <v>367.24829999999997</v>
      </c>
      <c r="M337">
        <v>0.99984770000000001</v>
      </c>
      <c r="N337">
        <v>0</v>
      </c>
      <c r="O337">
        <v>3.5885550000000002E-3</v>
      </c>
      <c r="P337">
        <v>0.99771620000000005</v>
      </c>
      <c r="Q337">
        <v>6.6918539999999999E-2</v>
      </c>
      <c r="R337">
        <v>-9.1776930000000007E-3</v>
      </c>
      <c r="S337">
        <v>3.0101010000000001</v>
      </c>
      <c r="T337">
        <v>-5.1747080000000001E-2</v>
      </c>
      <c r="U337">
        <v>-6.7138669999999897E-3</v>
      </c>
      <c r="V337">
        <v>1.276209E-2</v>
      </c>
      <c r="W337">
        <v>8.3947289999999994E-2</v>
      </c>
      <c r="X337">
        <v>0.99638850000000001</v>
      </c>
      <c r="Y337">
        <v>5.818106E-3</v>
      </c>
      <c r="Z337">
        <v>-1.117019E-4</v>
      </c>
      <c r="AA337">
        <v>0.99998310000000001</v>
      </c>
      <c r="AB337">
        <v>24</v>
      </c>
      <c r="AC337">
        <v>62.436699999999902</v>
      </c>
      <c r="AD337">
        <v>-1.075220221458</v>
      </c>
      <c r="AE337">
        <v>-0.14069999999998101</v>
      </c>
      <c r="AF337">
        <v>0.36468116170007903</v>
      </c>
      <c r="AG337">
        <v>-1.075220221458</v>
      </c>
      <c r="AH337">
        <v>62.417282399449697</v>
      </c>
      <c r="AI337">
        <v>90.9868811098072</v>
      </c>
      <c r="AJ337">
        <v>89.665245699926402</v>
      </c>
      <c r="AK337">
        <v>62.427607939172098</v>
      </c>
      <c r="AL337">
        <v>85.184507480830305</v>
      </c>
      <c r="AM337">
        <v>89.266175881624903</v>
      </c>
      <c r="AN337">
        <v>1.0000000306858801</v>
      </c>
    </row>
    <row r="338" spans="1:40" x14ac:dyDescent="0.25">
      <c r="A338" t="str">
        <f>"20190312150952881"</f>
        <v>20190312150952881</v>
      </c>
      <c r="B338" t="str">
        <f>"1552374592871417"</f>
        <v>1552374592871417</v>
      </c>
      <c r="C338" t="s">
        <v>40</v>
      </c>
      <c r="D338">
        <v>5.5777530000000004</v>
      </c>
      <c r="E338">
        <v>0.49583050000000001</v>
      </c>
      <c r="F338" t="s">
        <v>42</v>
      </c>
      <c r="G338">
        <v>-245.523</v>
      </c>
      <c r="H338" s="1">
        <v>-2.5246980000000001E-6</v>
      </c>
      <c r="I338">
        <v>367.20389999999998</v>
      </c>
      <c r="J338">
        <v>-435.6703</v>
      </c>
      <c r="K338">
        <v>1.0731219999999999</v>
      </c>
      <c r="L338">
        <v>367.24930000000001</v>
      </c>
      <c r="M338">
        <v>0.99986269999999999</v>
      </c>
      <c r="N338">
        <v>0</v>
      </c>
      <c r="O338">
        <v>3.589138E-3</v>
      </c>
      <c r="P338">
        <v>0.99768250000000003</v>
      </c>
      <c r="Q338">
        <v>6.7426440000000004E-2</v>
      </c>
      <c r="R338">
        <v>-9.1450239999999999E-3</v>
      </c>
      <c r="S338">
        <v>3.0079959999999999</v>
      </c>
      <c r="T338">
        <v>-1.6986609999999999E-2</v>
      </c>
      <c r="U338">
        <v>-7.0190429999999896E-4</v>
      </c>
      <c r="V338">
        <v>1.272971E-2</v>
      </c>
      <c r="W338">
        <v>8.3561440000000001E-2</v>
      </c>
      <c r="X338">
        <v>0.99642129999999995</v>
      </c>
      <c r="Y338">
        <v>3.8228350000000001E-3</v>
      </c>
      <c r="Z338" s="1">
        <v>-3.1064849999999998E-5</v>
      </c>
      <c r="AA338">
        <v>0.99999269999999996</v>
      </c>
      <c r="AB338">
        <v>24</v>
      </c>
      <c r="AC338">
        <v>190.1473</v>
      </c>
      <c r="AD338">
        <v>-1.0731245246979999</v>
      </c>
      <c r="AE338">
        <v>-4.5400000000029202E-2</v>
      </c>
      <c r="AF338">
        <v>0.72793074018148196</v>
      </c>
      <c r="AG338">
        <v>-1.0731245246979999</v>
      </c>
      <c r="AH338">
        <v>190.139855876745</v>
      </c>
      <c r="AI338">
        <v>90.323364096825699</v>
      </c>
      <c r="AJ338">
        <v>89.780650115480697</v>
      </c>
      <c r="AK338">
        <v>190.14427751640901</v>
      </c>
      <c r="AL338">
        <v>85.206692780170897</v>
      </c>
      <c r="AM338">
        <v>89.268061630777694</v>
      </c>
      <c r="AN338">
        <v>0.99999998343262297</v>
      </c>
    </row>
    <row r="339" spans="1:40" x14ac:dyDescent="0.25">
      <c r="A339" t="str">
        <f>"20190312150952902"</f>
        <v>20190312150952902</v>
      </c>
      <c r="B339" t="str">
        <f>"1552374592890937"</f>
        <v>1552374592890937</v>
      </c>
      <c r="C339" t="s">
        <v>40</v>
      </c>
      <c r="D339">
        <v>5.0638670000000001</v>
      </c>
      <c r="E339">
        <v>0.49536190000000002</v>
      </c>
      <c r="F339" t="s">
        <v>45</v>
      </c>
      <c r="G339">
        <v>-158.78319999999999</v>
      </c>
      <c r="H339">
        <v>1.412784</v>
      </c>
      <c r="I339">
        <v>367.76920000000001</v>
      </c>
      <c r="J339">
        <v>-435.43790000000001</v>
      </c>
      <c r="K339">
        <v>1.0713919999999999</v>
      </c>
      <c r="L339">
        <v>367.25009999999997</v>
      </c>
      <c r="M339">
        <v>0.99987470000000001</v>
      </c>
      <c r="N339">
        <v>0</v>
      </c>
      <c r="O339">
        <v>3.5900099999999998E-3</v>
      </c>
      <c r="P339">
        <v>0.99763049999999998</v>
      </c>
      <c r="Q339">
        <v>6.817695E-2</v>
      </c>
      <c r="R339">
        <v>-9.2573240000000008E-3</v>
      </c>
      <c r="S339">
        <v>3.0067750000000002</v>
      </c>
      <c r="T339">
        <v>3.6894079999999999E-3</v>
      </c>
      <c r="U339">
        <v>5.6457520000000004E-3</v>
      </c>
      <c r="V339">
        <v>1.2842559999999999E-2</v>
      </c>
      <c r="W339">
        <v>8.355195E-2</v>
      </c>
      <c r="X339">
        <v>0.99642070000000005</v>
      </c>
      <c r="Y339">
        <v>1.712765E-3</v>
      </c>
      <c r="Z339" s="1">
        <v>5.456372E-6</v>
      </c>
      <c r="AA339">
        <v>0.99999850000000001</v>
      </c>
      <c r="AB339">
        <v>24</v>
      </c>
      <c r="AC339">
        <v>276.65469999999999</v>
      </c>
      <c r="AD339">
        <v>0.34139199999999997</v>
      </c>
      <c r="AE339">
        <v>0.51910000000003698</v>
      </c>
      <c r="AF339">
        <v>0.47421382349733399</v>
      </c>
      <c r="AG339">
        <v>0.34139199999999997</v>
      </c>
      <c r="AH339">
        <v>276.65435930360201</v>
      </c>
      <c r="AI339">
        <v>89.929297040014902</v>
      </c>
      <c r="AJ339">
        <v>89.901789279115803</v>
      </c>
      <c r="AK339">
        <v>276.65497636755902</v>
      </c>
      <c r="AL339">
        <v>85.207238675568306</v>
      </c>
      <c r="AM339">
        <v>89.261573203423595</v>
      </c>
      <c r="AN339">
        <v>1.00000003554232</v>
      </c>
    </row>
    <row r="340" spans="1:40" x14ac:dyDescent="0.25">
      <c r="A340" t="str">
        <f>"20190312150952913"</f>
        <v>20190312150952913</v>
      </c>
      <c r="B340" t="str">
        <f>"1552374592911433"</f>
        <v>1552374592911433</v>
      </c>
      <c r="C340" t="s">
        <v>40</v>
      </c>
      <c r="D340">
        <v>5.0681960000000004</v>
      </c>
      <c r="E340">
        <v>0.49501089999999998</v>
      </c>
      <c r="F340" t="s">
        <v>45</v>
      </c>
      <c r="G340">
        <v>-158.78319999999999</v>
      </c>
      <c r="H340">
        <v>2.88171</v>
      </c>
      <c r="I340">
        <v>368.05630000000002</v>
      </c>
      <c r="J340">
        <v>-435.3075</v>
      </c>
      <c r="K340">
        <v>1.0705</v>
      </c>
      <c r="L340">
        <v>367.25060000000002</v>
      </c>
      <c r="M340">
        <v>0.99988080000000001</v>
      </c>
      <c r="N340">
        <v>0</v>
      </c>
      <c r="O340">
        <v>3.590345E-3</v>
      </c>
      <c r="P340">
        <v>0.99761350000000004</v>
      </c>
      <c r="Q340">
        <v>6.8419519999999998E-2</v>
      </c>
      <c r="R340">
        <v>-9.2682679999999996E-3</v>
      </c>
      <c r="S340">
        <v>3.0058289999999999</v>
      </c>
      <c r="T340">
        <v>1.9669889999999999E-2</v>
      </c>
      <c r="U340">
        <v>8.7585449999999995E-3</v>
      </c>
      <c r="V340">
        <v>1.2854010000000001E-2</v>
      </c>
      <c r="W340">
        <v>8.3393709999999996E-2</v>
      </c>
      <c r="X340">
        <v>0.99643380000000004</v>
      </c>
      <c r="Y340">
        <v>6.7682119999999896E-4</v>
      </c>
      <c r="Z340" s="1">
        <v>2.57117E-5</v>
      </c>
      <c r="AA340">
        <v>0.99999979999999999</v>
      </c>
      <c r="AB340">
        <v>24</v>
      </c>
      <c r="AC340">
        <v>276.52429999999998</v>
      </c>
      <c r="AD340">
        <v>1.81120999999999</v>
      </c>
      <c r="AE340">
        <v>0.80570000000000097</v>
      </c>
      <c r="AF340">
        <v>0.18722675657469301</v>
      </c>
      <c r="AG340">
        <v>1.81120999999999</v>
      </c>
      <c r="AH340">
        <v>276.51354767529301</v>
      </c>
      <c r="AI340">
        <v>89.624708511409693</v>
      </c>
      <c r="AJ340">
        <v>89.961205151015207</v>
      </c>
      <c r="AK340">
        <v>276.51954285999199</v>
      </c>
      <c r="AL340">
        <v>85.216336871337603</v>
      </c>
      <c r="AM340">
        <v>89.260924635199999</v>
      </c>
      <c r="AN340">
        <v>1.0000000271115399</v>
      </c>
    </row>
    <row r="341" spans="1:40" x14ac:dyDescent="0.25">
      <c r="A341" t="str">
        <f>"20190312150952927"</f>
        <v>20190312150952927</v>
      </c>
      <c r="B341" t="str">
        <f>"1552374592921193"</f>
        <v>1552374592921193</v>
      </c>
      <c r="C341" t="s">
        <v>40</v>
      </c>
      <c r="D341">
        <v>4.9771580000000002</v>
      </c>
      <c r="E341">
        <v>0.49480780000000002</v>
      </c>
      <c r="F341" t="s">
        <v>45</v>
      </c>
      <c r="G341">
        <v>-158.78319999999999</v>
      </c>
      <c r="H341">
        <v>3.810943</v>
      </c>
      <c r="I341">
        <v>368.31479999999999</v>
      </c>
      <c r="J341">
        <v>-435.1635</v>
      </c>
      <c r="K341">
        <v>1.06959</v>
      </c>
      <c r="L341">
        <v>367.25110000000001</v>
      </c>
      <c r="M341">
        <v>0.99988699999999997</v>
      </c>
      <c r="N341">
        <v>0</v>
      </c>
      <c r="O341">
        <v>3.5906039999999998E-3</v>
      </c>
      <c r="P341">
        <v>0.99757079999999998</v>
      </c>
      <c r="Q341">
        <v>6.9022319999999998E-2</v>
      </c>
      <c r="R341">
        <v>-9.4204049999999998E-3</v>
      </c>
      <c r="S341">
        <v>3.00528</v>
      </c>
      <c r="T341">
        <v>2.97842E-2</v>
      </c>
      <c r="U341">
        <v>1.1566160000000001E-2</v>
      </c>
      <c r="V341">
        <v>1.3006180000000001E-2</v>
      </c>
      <c r="W341">
        <v>8.3579039999999993E-2</v>
      </c>
      <c r="X341">
        <v>0.99641630000000003</v>
      </c>
      <c r="Y341">
        <v>-2.5776500000000002E-4</v>
      </c>
      <c r="Z341" s="1">
        <v>3.4310529999999998E-5</v>
      </c>
      <c r="AA341">
        <v>0.99999990000000005</v>
      </c>
      <c r="AB341">
        <v>24</v>
      </c>
      <c r="AC341">
        <v>276.38029999999998</v>
      </c>
      <c r="AD341">
        <v>2.7413529999999899</v>
      </c>
      <c r="AE341">
        <v>1.0636999999999801</v>
      </c>
      <c r="AF341">
        <v>-7.1208173894467403E-2</v>
      </c>
      <c r="AG341">
        <v>2.7413529999999899</v>
      </c>
      <c r="AH341">
        <v>276.35514976265301</v>
      </c>
      <c r="AI341">
        <v>89.431663204193995</v>
      </c>
      <c r="AJ341">
        <v>90.014763349784502</v>
      </c>
      <c r="AK341">
        <v>276.36875526588199</v>
      </c>
      <c r="AL341">
        <v>85.205681057239701</v>
      </c>
      <c r="AM341">
        <v>89.252163073167495</v>
      </c>
      <c r="AN341">
        <v>1.0000000297756</v>
      </c>
    </row>
    <row r="342" spans="1:40" x14ac:dyDescent="0.25">
      <c r="A342" t="str">
        <f>"20190312150952958"</f>
        <v>20190312150952958</v>
      </c>
      <c r="B342" t="str">
        <f>"1552374592951449"</f>
        <v>1552374592951449</v>
      </c>
      <c r="C342" t="s">
        <v>40</v>
      </c>
      <c r="D342">
        <v>5.0556890000000001</v>
      </c>
      <c r="E342">
        <v>0.49457970000000001</v>
      </c>
      <c r="F342" t="s">
        <v>45</v>
      </c>
      <c r="G342">
        <v>-158.78319999999999</v>
      </c>
      <c r="H342">
        <v>4.3341890000000003</v>
      </c>
      <c r="I342">
        <v>368.41879999999998</v>
      </c>
      <c r="J342">
        <v>-434.82870000000003</v>
      </c>
      <c r="K342">
        <v>1.0676939999999999</v>
      </c>
      <c r="L342">
        <v>367.25229999999999</v>
      </c>
      <c r="M342">
        <v>0.99989969999999995</v>
      </c>
      <c r="N342">
        <v>0</v>
      </c>
      <c r="O342">
        <v>3.5905989999999999E-3</v>
      </c>
      <c r="P342">
        <v>0.99756659999999997</v>
      </c>
      <c r="Q342">
        <v>6.9079210000000002E-2</v>
      </c>
      <c r="R342">
        <v>-9.4379240000000003E-3</v>
      </c>
      <c r="S342">
        <v>3.0049739999999998</v>
      </c>
      <c r="T342">
        <v>3.5495640000000002E-2</v>
      </c>
      <c r="U342">
        <v>1.269531E-2</v>
      </c>
      <c r="V342">
        <v>1.302354E-2</v>
      </c>
      <c r="W342">
        <v>8.2745559999999996E-2</v>
      </c>
      <c r="X342">
        <v>0.99648559999999997</v>
      </c>
      <c r="Y342">
        <v>-6.3400299999999995E-4</v>
      </c>
      <c r="Z342" s="1">
        <v>3.8671009999999997E-5</v>
      </c>
      <c r="AA342">
        <v>0.99999979999999999</v>
      </c>
      <c r="AB342">
        <v>24</v>
      </c>
      <c r="AC342">
        <v>276.0455</v>
      </c>
      <c r="AD342">
        <v>3.2664949999999999</v>
      </c>
      <c r="AE342">
        <v>1.1664999999999801</v>
      </c>
      <c r="AF342">
        <v>-0.17520621711046899</v>
      </c>
      <c r="AG342">
        <v>3.2664949999999999</v>
      </c>
      <c r="AH342">
        <v>276.00926179633899</v>
      </c>
      <c r="AI342">
        <v>89.3219517296059</v>
      </c>
      <c r="AJ342">
        <v>90.036370429641295</v>
      </c>
      <c r="AK342">
        <v>276.02864576736198</v>
      </c>
      <c r="AL342">
        <v>85.253601778352404</v>
      </c>
      <c r="AM342">
        <v>89.251217082702894</v>
      </c>
      <c r="AN342">
        <v>0.99999999565060205</v>
      </c>
    </row>
    <row r="343" spans="1:40" x14ac:dyDescent="0.25">
      <c r="A343" t="str">
        <f>"20190312150952980"</f>
        <v>20190312150952980</v>
      </c>
      <c r="B343" t="str">
        <f>"1552374592970969"</f>
        <v>1552374592970969</v>
      </c>
      <c r="C343" t="s">
        <v>40</v>
      </c>
      <c r="D343">
        <v>5.244764</v>
      </c>
      <c r="E343">
        <v>0.49459209999999898</v>
      </c>
      <c r="F343" t="s">
        <v>45</v>
      </c>
      <c r="G343">
        <v>-158.78319999999999</v>
      </c>
      <c r="H343">
        <v>5.2361050000000002</v>
      </c>
      <c r="I343">
        <v>368.60950000000003</v>
      </c>
      <c r="J343">
        <v>-434.57769999999999</v>
      </c>
      <c r="K343">
        <v>1.0665150000000001</v>
      </c>
      <c r="L343">
        <v>367.25319999999999</v>
      </c>
      <c r="M343">
        <v>0.9999074</v>
      </c>
      <c r="N343">
        <v>0</v>
      </c>
      <c r="O343">
        <v>3.5909990000000001E-3</v>
      </c>
      <c r="P343">
        <v>0.99760040000000005</v>
      </c>
      <c r="Q343">
        <v>6.8625699999999998E-2</v>
      </c>
      <c r="R343">
        <v>-9.1807840000000009E-3</v>
      </c>
      <c r="S343">
        <v>3.0043329999999999</v>
      </c>
      <c r="T343">
        <v>4.536772E-2</v>
      </c>
      <c r="U343">
        <v>1.4770510000000001E-2</v>
      </c>
      <c r="V343">
        <v>1.2766680000000001E-2</v>
      </c>
      <c r="W343">
        <v>8.1715280000000001E-2</v>
      </c>
      <c r="X343">
        <v>0.99657390000000001</v>
      </c>
      <c r="Y343">
        <v>-1.3253029999999999E-3</v>
      </c>
      <c r="Z343" s="1">
        <v>4.4221950000000001E-5</v>
      </c>
      <c r="AA343">
        <v>0.99999910000000003</v>
      </c>
      <c r="AB343">
        <v>25</v>
      </c>
      <c r="AC343">
        <v>275.79450000000003</v>
      </c>
      <c r="AD343">
        <v>4.1695900000000004</v>
      </c>
      <c r="AE343">
        <v>1.35630000000003</v>
      </c>
      <c r="AF343">
        <v>-0.365744554169388</v>
      </c>
      <c r="AG343">
        <v>4.1695900000000004</v>
      </c>
      <c r="AH343">
        <v>275.73456977082202</v>
      </c>
      <c r="AI343">
        <v>89.133654179309701</v>
      </c>
      <c r="AJ343">
        <v>90.075999201192701</v>
      </c>
      <c r="AK343">
        <v>275.76633626414099</v>
      </c>
      <c r="AL343">
        <v>85.312832889718194</v>
      </c>
      <c r="AM343">
        <v>89.266048536955907</v>
      </c>
      <c r="AN343">
        <v>0.999999956632454</v>
      </c>
    </row>
    <row r="344" spans="1:40" x14ac:dyDescent="0.25">
      <c r="A344" t="str">
        <f>"20190312150953003"</f>
        <v>20190312150953003</v>
      </c>
      <c r="B344" t="str">
        <f>"1552374592991465"</f>
        <v>1552374592991465</v>
      </c>
      <c r="C344" t="s">
        <v>40</v>
      </c>
      <c r="D344">
        <v>5.0652369999999998</v>
      </c>
      <c r="E344">
        <v>0.49456440000000002</v>
      </c>
      <c r="F344" t="s">
        <v>45</v>
      </c>
      <c r="G344">
        <v>-158.78319999999999</v>
      </c>
      <c r="H344">
        <v>5.5633080000000001</v>
      </c>
      <c r="I344">
        <v>368.63740000000001</v>
      </c>
      <c r="J344">
        <v>-434.3356</v>
      </c>
      <c r="K344">
        <v>1.065518</v>
      </c>
      <c r="L344">
        <v>367.25409999999999</v>
      </c>
      <c r="M344">
        <v>0.99991390000000002</v>
      </c>
      <c r="N344">
        <v>0</v>
      </c>
      <c r="O344">
        <v>3.591005E-3</v>
      </c>
      <c r="P344">
        <v>0.99764569999999997</v>
      </c>
      <c r="Q344">
        <v>6.7950280000000002E-2</v>
      </c>
      <c r="R344">
        <v>-9.2758029999999991E-3</v>
      </c>
      <c r="S344">
        <v>3.0039980000000002</v>
      </c>
      <c r="T344">
        <v>4.8980709999999997E-2</v>
      </c>
      <c r="U344">
        <v>1.5075679999999999E-2</v>
      </c>
      <c r="V344">
        <v>1.2861869999999999E-2</v>
      </c>
      <c r="W344">
        <v>8.0545169999999999E-2</v>
      </c>
      <c r="X344">
        <v>0.996668</v>
      </c>
      <c r="Y344">
        <v>-1.4274870000000001E-3</v>
      </c>
      <c r="Z344" s="1">
        <v>4.691528E-5</v>
      </c>
      <c r="AA344">
        <v>0.99999899999999997</v>
      </c>
      <c r="AB344">
        <v>25</v>
      </c>
      <c r="AC344">
        <v>275.55239999999998</v>
      </c>
      <c r="AD344">
        <v>4.4977900000000002</v>
      </c>
      <c r="AE344">
        <v>1.38330000000001</v>
      </c>
      <c r="AF344">
        <v>-0.393597345653728</v>
      </c>
      <c r="AG344">
        <v>4.4977900000000002</v>
      </c>
      <c r="AH344">
        <v>275.482194850854</v>
      </c>
      <c r="AI344">
        <v>89.064617492892197</v>
      </c>
      <c r="AJ344">
        <v>90.081861738471304</v>
      </c>
      <c r="AK344">
        <v>275.51919118928703</v>
      </c>
      <c r="AL344">
        <v>85.380097323173104</v>
      </c>
      <c r="AM344">
        <v>89.260646510860099</v>
      </c>
      <c r="AN344">
        <v>1.0000000271671099</v>
      </c>
    </row>
    <row r="345" spans="1:40" x14ac:dyDescent="0.25">
      <c r="A345" t="str">
        <f>"20190312150953025"</f>
        <v>20190312150953025</v>
      </c>
      <c r="B345" t="str">
        <f>"1552374593020745"</f>
        <v>1552374593020745</v>
      </c>
      <c r="C345" t="s">
        <v>40</v>
      </c>
      <c r="D345">
        <v>4.9970480000000004</v>
      </c>
      <c r="E345">
        <v>0.49451610000000001</v>
      </c>
      <c r="F345" t="s">
        <v>45</v>
      </c>
      <c r="G345">
        <v>-158.78319999999999</v>
      </c>
      <c r="H345">
        <v>5.6865069999999998</v>
      </c>
      <c r="I345">
        <v>368.63709999999998</v>
      </c>
      <c r="J345">
        <v>-434.08210000000003</v>
      </c>
      <c r="K345">
        <v>1.06463</v>
      </c>
      <c r="L345">
        <v>367.255</v>
      </c>
      <c r="M345">
        <v>0.99991960000000002</v>
      </c>
      <c r="N345">
        <v>0</v>
      </c>
      <c r="O345">
        <v>3.5911979999999999E-3</v>
      </c>
      <c r="P345">
        <v>0.99768279999999998</v>
      </c>
      <c r="Q345">
        <v>6.7340170000000005E-2</v>
      </c>
      <c r="R345">
        <v>-9.7285229999999993E-3</v>
      </c>
      <c r="S345">
        <v>3.0038149999999999</v>
      </c>
      <c r="T345">
        <v>5.0374629999999997E-2</v>
      </c>
      <c r="U345">
        <v>1.5075679999999999E-2</v>
      </c>
      <c r="V345">
        <v>1.331475E-2</v>
      </c>
      <c r="W345">
        <v>7.9476669999999999E-2</v>
      </c>
      <c r="X345">
        <v>0.99674779999999996</v>
      </c>
      <c r="Y345">
        <v>-1.427637E-3</v>
      </c>
      <c r="Z345" s="1">
        <v>4.8254809999999998E-5</v>
      </c>
      <c r="AA345">
        <v>0.99999899999999997</v>
      </c>
      <c r="AB345">
        <v>25</v>
      </c>
      <c r="AC345">
        <v>275.2989</v>
      </c>
      <c r="AD345">
        <v>4.6218769999999996</v>
      </c>
      <c r="AE345">
        <v>1.3820999999999799</v>
      </c>
      <c r="AF345">
        <v>-0.39325427146251402</v>
      </c>
      <c r="AG345">
        <v>4.6218769999999996</v>
      </c>
      <c r="AH345">
        <v>275.22451644844898</v>
      </c>
      <c r="AI345">
        <v>89.037916790189399</v>
      </c>
      <c r="AJ345">
        <v>90.081866960790194</v>
      </c>
      <c r="AK345">
        <v>275.26360247989197</v>
      </c>
      <c r="AL345">
        <v>85.441514646942196</v>
      </c>
      <c r="AM345">
        <v>89.234677409121502</v>
      </c>
      <c r="AN345">
        <v>1.00000000022334</v>
      </c>
    </row>
    <row r="346" spans="1:40" x14ac:dyDescent="0.25">
      <c r="A346" t="str">
        <f>"20190312150953047"</f>
        <v>20190312150953047</v>
      </c>
      <c r="B346" t="str">
        <f>"1552374593041242"</f>
        <v>1552374593041242</v>
      </c>
      <c r="C346" t="s">
        <v>40</v>
      </c>
      <c r="D346">
        <v>5.3977810000000002</v>
      </c>
      <c r="E346">
        <v>0.49448690000000001</v>
      </c>
      <c r="F346" t="s">
        <v>45</v>
      </c>
      <c r="G346">
        <v>-158.78319999999999</v>
      </c>
      <c r="H346">
        <v>5.9698320000000002</v>
      </c>
      <c r="I346">
        <v>368.58089999999999</v>
      </c>
      <c r="J346">
        <v>-433.8433</v>
      </c>
      <c r="K346">
        <v>1.0639099999999999</v>
      </c>
      <c r="L346">
        <v>367.25580000000002</v>
      </c>
      <c r="M346">
        <v>0.99992409999999998</v>
      </c>
      <c r="N346">
        <v>0</v>
      </c>
      <c r="O346">
        <v>3.591482E-3</v>
      </c>
      <c r="P346">
        <v>0.99769569999999996</v>
      </c>
      <c r="Q346">
        <v>6.7177410000000007E-2</v>
      </c>
      <c r="R346">
        <v>-9.5172469999999995E-3</v>
      </c>
      <c r="S346">
        <v>3.0035400000000001</v>
      </c>
      <c r="T346">
        <v>5.3517219999999997E-2</v>
      </c>
      <c r="U346">
        <v>1.446533E-2</v>
      </c>
      <c r="V346">
        <v>1.3103790000000001E-2</v>
      </c>
      <c r="W346">
        <v>7.8932409999999995E-2</v>
      </c>
      <c r="X346">
        <v>0.99679390000000001</v>
      </c>
      <c r="Y346">
        <v>-1.224693E-3</v>
      </c>
      <c r="Z346" s="1">
        <v>5.3082060000000002E-5</v>
      </c>
      <c r="AA346">
        <v>0.99999919999999998</v>
      </c>
      <c r="AB346">
        <v>25</v>
      </c>
      <c r="AC346">
        <v>275.06009999999998</v>
      </c>
      <c r="AD346">
        <v>4.9059220000000003</v>
      </c>
      <c r="AE346">
        <v>1.32509999999996</v>
      </c>
      <c r="AF346">
        <v>-0.337042225746784</v>
      </c>
      <c r="AG346">
        <v>4.9059220000000003</v>
      </c>
      <c r="AH346">
        <v>274.97561295920701</v>
      </c>
      <c r="AI346">
        <v>88.977878102768699</v>
      </c>
      <c r="AJ346">
        <v>90.070228363796602</v>
      </c>
      <c r="AK346">
        <v>275.01958001281298</v>
      </c>
      <c r="AL346">
        <v>85.472796981495804</v>
      </c>
      <c r="AM346">
        <v>89.246836665454893</v>
      </c>
      <c r="AN346">
        <v>1.00000005686898</v>
      </c>
    </row>
    <row r="347" spans="1:40" x14ac:dyDescent="0.25">
      <c r="A347" t="str">
        <f>"20190312150953069"</f>
        <v>20190312150953069</v>
      </c>
      <c r="B347" t="str">
        <f>"1552374593060761"</f>
        <v>1552374593060761</v>
      </c>
      <c r="C347" t="s">
        <v>40</v>
      </c>
      <c r="D347">
        <v>5.3573219999999999</v>
      </c>
      <c r="E347">
        <v>0.49447669999999999</v>
      </c>
      <c r="F347" t="s">
        <v>45</v>
      </c>
      <c r="G347">
        <v>-158.78319999999999</v>
      </c>
      <c r="H347">
        <v>6.1795140000000002</v>
      </c>
      <c r="I347">
        <v>368.68130000000002</v>
      </c>
      <c r="J347">
        <v>-433.60140000000001</v>
      </c>
      <c r="K347">
        <v>1.063293</v>
      </c>
      <c r="L347">
        <v>367.25670000000002</v>
      </c>
      <c r="M347">
        <v>0.99992809999999999</v>
      </c>
      <c r="N347">
        <v>0</v>
      </c>
      <c r="O347">
        <v>3.5919979999999999E-3</v>
      </c>
      <c r="P347">
        <v>0.9976796</v>
      </c>
      <c r="Q347">
        <v>6.7386219999999997E-2</v>
      </c>
      <c r="R347">
        <v>-9.7272820000000003E-3</v>
      </c>
      <c r="S347">
        <v>3.0033259999999999</v>
      </c>
      <c r="T347">
        <v>5.5857179999999999E-2</v>
      </c>
      <c r="U347">
        <v>1.556396E-2</v>
      </c>
      <c r="V347">
        <v>1.331426E-2</v>
      </c>
      <c r="W347">
        <v>7.8799309999999997E-2</v>
      </c>
      <c r="X347">
        <v>0.99680159999999995</v>
      </c>
      <c r="Y347">
        <v>-1.5903009999999999E-3</v>
      </c>
      <c r="Z347" s="1">
        <v>5.2016260000000003E-5</v>
      </c>
      <c r="AA347">
        <v>0.99999870000000002</v>
      </c>
      <c r="AB347">
        <v>25</v>
      </c>
      <c r="AC347">
        <v>274.81819999999999</v>
      </c>
      <c r="AD347">
        <v>5.1162210000000004</v>
      </c>
      <c r="AE347">
        <v>1.4245999999999901</v>
      </c>
      <c r="AF347">
        <v>-0.43722824034623597</v>
      </c>
      <c r="AG347">
        <v>5.1162210000000004</v>
      </c>
      <c r="AH347">
        <v>274.72633134834399</v>
      </c>
      <c r="AI347">
        <v>88.9331069335813</v>
      </c>
      <c r="AJ347">
        <v>90.091186423893603</v>
      </c>
      <c r="AK347">
        <v>274.77431470567802</v>
      </c>
      <c r="AL347">
        <v>85.480446688524793</v>
      </c>
      <c r="AM347">
        <v>89.234746870669596</v>
      </c>
      <c r="AN347">
        <v>1.0000000152691899</v>
      </c>
    </row>
    <row r="348" spans="1:40" x14ac:dyDescent="0.25">
      <c r="A348" t="str">
        <f>"20190312150953092"</f>
        <v>20190312150953092</v>
      </c>
      <c r="B348" t="str">
        <f>"1552374593081261"</f>
        <v>1552374593081261</v>
      </c>
      <c r="C348" t="s">
        <v>40</v>
      </c>
      <c r="D348">
        <v>5.2562629999999997</v>
      </c>
      <c r="E348">
        <v>0.4945659</v>
      </c>
      <c r="F348" t="s">
        <v>45</v>
      </c>
      <c r="G348">
        <v>-158.78319999999999</v>
      </c>
      <c r="H348">
        <v>6.4354839999999998</v>
      </c>
      <c r="I348">
        <v>368.63900000000001</v>
      </c>
      <c r="J348">
        <v>-433.3399</v>
      </c>
      <c r="K348">
        <v>1.0627230000000001</v>
      </c>
      <c r="L348">
        <v>367.2577</v>
      </c>
      <c r="M348">
        <v>0.99993180000000004</v>
      </c>
      <c r="N348">
        <v>0</v>
      </c>
      <c r="O348">
        <v>3.5922940000000002E-3</v>
      </c>
      <c r="P348">
        <v>0.99763959999999996</v>
      </c>
      <c r="Q348">
        <v>6.799173E-2</v>
      </c>
      <c r="R348">
        <v>-9.6267929999999998E-3</v>
      </c>
      <c r="S348">
        <v>3.0032040000000002</v>
      </c>
      <c r="T348">
        <v>5.8708070000000001E-2</v>
      </c>
      <c r="U348">
        <v>1.51062E-2</v>
      </c>
      <c r="V348">
        <v>1.321398E-2</v>
      </c>
      <c r="W348">
        <v>7.9080719999999993E-2</v>
      </c>
      <c r="X348">
        <v>0.99678060000000002</v>
      </c>
      <c r="Y348">
        <v>-1.4378730000000001E-3</v>
      </c>
      <c r="Z348" s="1">
        <v>5.6168129999999997E-5</v>
      </c>
      <c r="AA348">
        <v>0.99999899999999997</v>
      </c>
      <c r="AB348">
        <v>25</v>
      </c>
      <c r="AC348">
        <v>274.55669999999998</v>
      </c>
      <c r="AD348">
        <v>5.3727609999999997</v>
      </c>
      <c r="AE348">
        <v>1.38130000000001</v>
      </c>
      <c r="AF348">
        <v>-0.39479061848781399</v>
      </c>
      <c r="AG348">
        <v>5.3727609999999997</v>
      </c>
      <c r="AH348">
        <v>274.45479348730203</v>
      </c>
      <c r="AI348">
        <v>88.878515135804506</v>
      </c>
      <c r="AJ348">
        <v>90.082417291175801</v>
      </c>
      <c r="AK348">
        <v>274.50766125657202</v>
      </c>
      <c r="AL348">
        <v>85.464272390842197</v>
      </c>
      <c r="AM348">
        <v>89.240493907814297</v>
      </c>
      <c r="AN348">
        <v>0.99999996703975802</v>
      </c>
    </row>
    <row r="349" spans="1:40" x14ac:dyDescent="0.25">
      <c r="A349" t="str">
        <f>"20190312150953114"</f>
        <v>20190312150953114</v>
      </c>
      <c r="B349" t="str">
        <f>"1552374593111514"</f>
        <v>1552374593111514</v>
      </c>
      <c r="C349" t="s">
        <v>40</v>
      </c>
      <c r="D349">
        <v>4.9668140000000003</v>
      </c>
      <c r="E349">
        <v>0.49457129999999999</v>
      </c>
      <c r="F349" t="s">
        <v>45</v>
      </c>
      <c r="G349">
        <v>-164.2088</v>
      </c>
      <c r="H349">
        <v>6.6740890000000004</v>
      </c>
      <c r="I349">
        <v>368.54590000000002</v>
      </c>
      <c r="J349">
        <v>-433.09620000000001</v>
      </c>
      <c r="K349">
        <v>1.062271</v>
      </c>
      <c r="L349">
        <v>367.25850000000003</v>
      </c>
      <c r="M349">
        <v>0.99993460000000001</v>
      </c>
      <c r="N349">
        <v>0</v>
      </c>
      <c r="O349">
        <v>3.5927440000000001E-3</v>
      </c>
      <c r="P349">
        <v>0.99764180000000002</v>
      </c>
      <c r="Q349">
        <v>6.7948090000000003E-2</v>
      </c>
      <c r="R349">
        <v>-9.6861889999999996E-3</v>
      </c>
      <c r="S349">
        <v>3.0029910000000002</v>
      </c>
      <c r="T349">
        <v>6.2613130000000003E-2</v>
      </c>
      <c r="U349">
        <v>1.4373779999999999E-2</v>
      </c>
      <c r="V349">
        <v>1.3273709999999999E-2</v>
      </c>
      <c r="W349">
        <v>7.8773650000000001E-2</v>
      </c>
      <c r="X349">
        <v>0.99680420000000003</v>
      </c>
      <c r="Y349">
        <v>-1.194009E-3</v>
      </c>
      <c r="Z349" s="1">
        <v>6.2458950000000003E-5</v>
      </c>
      <c r="AA349">
        <v>0.99999930000000004</v>
      </c>
      <c r="AB349">
        <v>25</v>
      </c>
      <c r="AC349">
        <v>268.88740000000001</v>
      </c>
      <c r="AD349">
        <v>5.6118180000000004</v>
      </c>
      <c r="AE349">
        <v>1.2873999999999901</v>
      </c>
      <c r="AF349">
        <v>-0.32115126642289599</v>
      </c>
      <c r="AG349">
        <v>5.6118180000000004</v>
      </c>
      <c r="AH349">
        <v>268.77322088403099</v>
      </c>
      <c r="AI349">
        <v>88.803874342418396</v>
      </c>
      <c r="AJ349">
        <v>90.068461446172805</v>
      </c>
      <c r="AK349">
        <v>268.83199196482798</v>
      </c>
      <c r="AL349">
        <v>85.481921622730695</v>
      </c>
      <c r="AM349">
        <v>89.237079244582304</v>
      </c>
      <c r="AN349">
        <v>1.00000004622456</v>
      </c>
    </row>
    <row r="350" spans="1:40" x14ac:dyDescent="0.25">
      <c r="A350" t="str">
        <f>"20190312150953135"</f>
        <v>20190312150953135</v>
      </c>
      <c r="B350" t="str">
        <f>"1552374593131034"</f>
        <v>1552374593131034</v>
      </c>
      <c r="C350" t="s">
        <v>40</v>
      </c>
      <c r="D350">
        <v>5.0520969999999998</v>
      </c>
      <c r="E350">
        <v>0.49055720000000003</v>
      </c>
      <c r="F350" t="s">
        <v>45</v>
      </c>
      <c r="G350">
        <v>-159.84059999999999</v>
      </c>
      <c r="H350">
        <v>6.6740899999999996</v>
      </c>
      <c r="I350">
        <v>368.55810000000002</v>
      </c>
      <c r="J350">
        <v>-432.85050000000001</v>
      </c>
      <c r="K350">
        <v>1.06189</v>
      </c>
      <c r="L350">
        <v>367.2593</v>
      </c>
      <c r="M350">
        <v>0.99993719999999997</v>
      </c>
      <c r="N350">
        <v>0</v>
      </c>
      <c r="O350">
        <v>3.5926819999999998E-3</v>
      </c>
      <c r="P350">
        <v>0.99762949999999995</v>
      </c>
      <c r="Q350">
        <v>6.8092849999999996E-2</v>
      </c>
      <c r="R350">
        <v>-9.9610299999999992E-3</v>
      </c>
      <c r="S350">
        <v>3.0030209999999999</v>
      </c>
      <c r="T350">
        <v>6.1673640000000002E-2</v>
      </c>
      <c r="U350">
        <v>1.428223E-2</v>
      </c>
      <c r="V350">
        <v>1.354838E-2</v>
      </c>
      <c r="W350">
        <v>7.8688549999999996E-2</v>
      </c>
      <c r="X350">
        <v>0.9968072</v>
      </c>
      <c r="Y350">
        <v>-1.1635370000000001E-3</v>
      </c>
      <c r="Z350" s="1">
        <v>6.1832729999999997E-5</v>
      </c>
      <c r="AA350">
        <v>0.99999930000000004</v>
      </c>
      <c r="AB350">
        <v>25</v>
      </c>
      <c r="AC350">
        <v>273.00990000000002</v>
      </c>
      <c r="AD350">
        <v>5.6121999999999996</v>
      </c>
      <c r="AE350">
        <v>1.2988000000000199</v>
      </c>
      <c r="AF350">
        <v>-0.31776431612605699</v>
      </c>
      <c r="AG350">
        <v>5.6121999999999996</v>
      </c>
      <c r="AH350">
        <v>272.89748575978098</v>
      </c>
      <c r="AI350">
        <v>88.821865892903801</v>
      </c>
      <c r="AJ350">
        <v>90.066715696975905</v>
      </c>
      <c r="AK350">
        <v>272.95537272054298</v>
      </c>
      <c r="AL350">
        <v>85.486812558181498</v>
      </c>
      <c r="AM350">
        <v>89.221296558573997</v>
      </c>
      <c r="AN350">
        <v>1.00000002023678</v>
      </c>
    </row>
    <row r="351" spans="1:40" x14ac:dyDescent="0.25">
      <c r="A351" t="str">
        <f>"20190312150953249"</f>
        <v>20190312150953249</v>
      </c>
      <c r="B351" t="str">
        <f>"1552374593241322"</f>
        <v>1552374593241322</v>
      </c>
      <c r="C351" t="s">
        <v>40</v>
      </c>
      <c r="D351">
        <v>5.8136789999999996</v>
      </c>
      <c r="E351">
        <v>0.49611300000000003</v>
      </c>
      <c r="F351" t="s">
        <v>42</v>
      </c>
      <c r="G351">
        <v>-396.91039999999998</v>
      </c>
      <c r="H351" s="1">
        <v>-1.6289129999999999E-6</v>
      </c>
      <c r="I351">
        <v>367.80560000000003</v>
      </c>
      <c r="J351">
        <v>-431.57639999999998</v>
      </c>
      <c r="K351">
        <v>1.060727</v>
      </c>
      <c r="L351">
        <v>367.26389999999998</v>
      </c>
      <c r="M351">
        <v>0.99994470000000002</v>
      </c>
      <c r="N351">
        <v>0</v>
      </c>
      <c r="O351">
        <v>3.593953E-3</v>
      </c>
      <c r="P351">
        <v>0.99740620000000002</v>
      </c>
      <c r="Q351">
        <v>7.1066829999999998E-2</v>
      </c>
      <c r="R351">
        <v>-1.142576E-2</v>
      </c>
      <c r="S351">
        <v>3.0136720000000001</v>
      </c>
      <c r="T351">
        <v>-8.9042430000000006E-2</v>
      </c>
      <c r="U351">
        <v>4.5806880000000001E-2</v>
      </c>
      <c r="V351">
        <v>1.501367E-2</v>
      </c>
      <c r="W351">
        <v>8.092067E-2</v>
      </c>
      <c r="X351">
        <v>0.99660749999999998</v>
      </c>
      <c r="Y351">
        <v>-1.1600630000000001E-2</v>
      </c>
      <c r="Z351" s="1">
        <v>6.5167320000000003E-5</v>
      </c>
      <c r="AA351">
        <v>0.99993270000000001</v>
      </c>
      <c r="AB351">
        <v>25</v>
      </c>
      <c r="AC351">
        <v>34.665999999999997</v>
      </c>
      <c r="AD351">
        <v>-1.060728628913</v>
      </c>
      <c r="AE351">
        <v>0.54170000000004803</v>
      </c>
      <c r="AF351">
        <v>-0.416712381102125</v>
      </c>
      <c r="AG351">
        <v>-1.060728628913</v>
      </c>
      <c r="AH351">
        <v>34.635302955829303</v>
      </c>
      <c r="AI351">
        <v>91.754045265334895</v>
      </c>
      <c r="AJ351">
        <v>90.689317162465699</v>
      </c>
      <c r="AK351">
        <v>34.654047458772197</v>
      </c>
      <c r="AL351">
        <v>85.358512346098394</v>
      </c>
      <c r="AM351">
        <v>89.136917131430906</v>
      </c>
      <c r="AN351">
        <v>1.0000000370881801</v>
      </c>
    </row>
    <row r="352" spans="1:40" x14ac:dyDescent="0.25">
      <c r="A352" t="str">
        <f>"20190312150953270"</f>
        <v>20190312150953270</v>
      </c>
      <c r="B352" t="str">
        <f>"1552374593260841"</f>
        <v>1552374593260841</v>
      </c>
      <c r="C352" t="s">
        <v>40</v>
      </c>
      <c r="D352">
        <v>4.8967929999999997</v>
      </c>
      <c r="E352">
        <v>0.49934640000000002</v>
      </c>
      <c r="F352" t="s">
        <v>45</v>
      </c>
      <c r="G352">
        <v>-158.19499999999999</v>
      </c>
      <c r="H352">
        <v>5.2553000000000001</v>
      </c>
      <c r="I352">
        <v>367.00009999999997</v>
      </c>
      <c r="J352">
        <v>-431.33319999999998</v>
      </c>
      <c r="K352">
        <v>1.0606089999999999</v>
      </c>
      <c r="L352">
        <v>367.26479999999998</v>
      </c>
      <c r="M352">
        <v>0.99994550000000004</v>
      </c>
      <c r="N352">
        <v>0</v>
      </c>
      <c r="O352">
        <v>3.5942190000000001E-3</v>
      </c>
      <c r="P352">
        <v>0.99737310000000001</v>
      </c>
      <c r="Q352">
        <v>7.1441379999999999E-2</v>
      </c>
      <c r="R352">
        <v>-1.195452E-2</v>
      </c>
      <c r="S352">
        <v>3.004486</v>
      </c>
      <c r="T352">
        <v>4.6099660000000001E-2</v>
      </c>
      <c r="U352">
        <v>-2.89917E-3</v>
      </c>
      <c r="V352">
        <v>1.5542469999999999E-2</v>
      </c>
      <c r="W352">
        <v>8.1217200000000003E-2</v>
      </c>
      <c r="X352">
        <v>0.99657519999999999</v>
      </c>
      <c r="Y352">
        <v>4.5583709999999899E-3</v>
      </c>
      <c r="Z352" s="1">
        <v>9.0116489999999996E-5</v>
      </c>
      <c r="AA352">
        <v>0.99998960000000003</v>
      </c>
      <c r="AB352">
        <v>25</v>
      </c>
      <c r="AC352">
        <v>273.13819999999998</v>
      </c>
      <c r="AD352">
        <v>4.1946909999999997</v>
      </c>
      <c r="AE352">
        <v>-0.26470000000000399</v>
      </c>
      <c r="AF352">
        <v>1.24617005424502</v>
      </c>
      <c r="AG352">
        <v>4.1946909999999997</v>
      </c>
      <c r="AH352">
        <v>273.07108050112902</v>
      </c>
      <c r="AI352">
        <v>89.119948230815098</v>
      </c>
      <c r="AJ352">
        <v>89.738530389665399</v>
      </c>
      <c r="AK352">
        <v>273.10613940086301</v>
      </c>
      <c r="AL352">
        <v>85.341465988373699</v>
      </c>
      <c r="AM352">
        <v>89.106494177203004</v>
      </c>
      <c r="AN352">
        <v>0.99999996560228899</v>
      </c>
    </row>
    <row r="353" spans="1:40" x14ac:dyDescent="0.25">
      <c r="A353" t="str">
        <f>"20190312150953293"</f>
        <v>20190312150953293</v>
      </c>
      <c r="B353" t="str">
        <f>"1552374593291097"</f>
        <v>1552374593291097</v>
      </c>
      <c r="C353" t="s">
        <v>40</v>
      </c>
      <c r="D353">
        <v>5.088012</v>
      </c>
      <c r="E353">
        <v>0.50546800000000003</v>
      </c>
      <c r="F353" t="s">
        <v>45</v>
      </c>
      <c r="G353">
        <v>-168.84350000000001</v>
      </c>
      <c r="H353">
        <v>10.094580000000001</v>
      </c>
      <c r="I353">
        <v>364.59210000000002</v>
      </c>
      <c r="J353">
        <v>-431.08150000000001</v>
      </c>
      <c r="K353">
        <v>1.060508</v>
      </c>
      <c r="L353">
        <v>367.26569999999998</v>
      </c>
      <c r="M353">
        <v>0.99994620000000001</v>
      </c>
      <c r="N353">
        <v>0</v>
      </c>
      <c r="O353">
        <v>3.5943500000000001E-3</v>
      </c>
      <c r="P353">
        <v>0.99736159999999996</v>
      </c>
      <c r="Q353">
        <v>7.1403220000000003E-2</v>
      </c>
      <c r="R353">
        <v>-1.3104060000000001E-2</v>
      </c>
      <c r="S353">
        <v>3.0001220000000002</v>
      </c>
      <c r="T353">
        <v>0.1032547</v>
      </c>
      <c r="U353">
        <v>-3.0548100000000002E-2</v>
      </c>
      <c r="V353">
        <v>1.6692189999999999E-2</v>
      </c>
      <c r="W353">
        <v>8.1115980000000004E-2</v>
      </c>
      <c r="X353">
        <v>0.99656489999999998</v>
      </c>
      <c r="Y353">
        <v>1.376575E-2</v>
      </c>
      <c r="Z353">
        <v>3.6048299999999998E-4</v>
      </c>
      <c r="AA353">
        <v>0.99990520000000005</v>
      </c>
      <c r="AB353">
        <v>25</v>
      </c>
      <c r="AC353">
        <v>262.238</v>
      </c>
      <c r="AD353">
        <v>9.0340720000000001</v>
      </c>
      <c r="AE353">
        <v>-2.67359999999996</v>
      </c>
      <c r="AF353">
        <v>3.6119163465276598</v>
      </c>
      <c r="AG353">
        <v>9.0340720000000001</v>
      </c>
      <c r="AH353">
        <v>261.91588729439297</v>
      </c>
      <c r="AI353">
        <v>88.024709669707804</v>
      </c>
      <c r="AJ353">
        <v>89.209920224594001</v>
      </c>
      <c r="AK353">
        <v>262.09653262453702</v>
      </c>
      <c r="AL353">
        <v>85.347284899261396</v>
      </c>
      <c r="AM353">
        <v>89.040401068492002</v>
      </c>
      <c r="AN353">
        <v>1.00000001566518</v>
      </c>
    </row>
    <row r="354" spans="1:40" x14ac:dyDescent="0.25">
      <c r="A354" t="str">
        <f>"20190312150953316"</f>
        <v>20190312150953316</v>
      </c>
      <c r="B354" t="str">
        <f>"1552374593310617"</f>
        <v>1552374593310617</v>
      </c>
      <c r="C354" t="s">
        <v>40</v>
      </c>
      <c r="D354">
        <v>4.8522230000000004</v>
      </c>
      <c r="E354">
        <v>0.50529899999999905</v>
      </c>
      <c r="F354" t="s">
        <v>45</v>
      </c>
      <c r="G354">
        <v>-158.19499999999999</v>
      </c>
      <c r="H354">
        <v>19.727170000000001</v>
      </c>
      <c r="I354">
        <v>359.68709999999999</v>
      </c>
      <c r="J354">
        <v>-430.81599999999997</v>
      </c>
      <c r="K354">
        <v>1.0604180000000001</v>
      </c>
      <c r="L354">
        <v>367.26659999999998</v>
      </c>
      <c r="M354">
        <v>0.99994660000000002</v>
      </c>
      <c r="N354">
        <v>0</v>
      </c>
      <c r="O354">
        <v>3.5946039999999999E-3</v>
      </c>
      <c r="P354">
        <v>0.99730810000000003</v>
      </c>
      <c r="Q354">
        <v>7.2126079999999995E-2</v>
      </c>
      <c r="R354">
        <v>-1.321337E-2</v>
      </c>
      <c r="S354">
        <v>2.9921880000000001</v>
      </c>
      <c r="T354">
        <v>0.20468</v>
      </c>
      <c r="U354">
        <v>-8.3099370000000006E-2</v>
      </c>
      <c r="V354">
        <v>1.6801460000000001E-2</v>
      </c>
      <c r="W354">
        <v>8.1787040000000005E-2</v>
      </c>
      <c r="X354">
        <v>0.99650819999999996</v>
      </c>
      <c r="Y354">
        <v>3.1273200000000001E-2</v>
      </c>
      <c r="Z354">
        <v>1.3137330000000001E-3</v>
      </c>
      <c r="AA354">
        <v>0.99951000000000001</v>
      </c>
      <c r="AB354">
        <v>25</v>
      </c>
      <c r="AC354">
        <v>272.62099999999998</v>
      </c>
      <c r="AD354">
        <v>18.666751999999999</v>
      </c>
      <c r="AE354">
        <v>-7.5794999999999897</v>
      </c>
      <c r="AF354">
        <v>8.5195498872210091</v>
      </c>
      <c r="AG354">
        <v>18.666751999999999</v>
      </c>
      <c r="AH354">
        <v>271.32093025610499</v>
      </c>
      <c r="AI354">
        <v>86.066212071053997</v>
      </c>
      <c r="AJ354">
        <v>88.201488117472607</v>
      </c>
      <c r="AK354">
        <v>272.09571396026899</v>
      </c>
      <c r="AL354">
        <v>85.308707743654907</v>
      </c>
      <c r="AM354">
        <v>89.034065605097297</v>
      </c>
      <c r="AN354">
        <v>1.00000000081866</v>
      </c>
    </row>
    <row r="355" spans="1:40" x14ac:dyDescent="0.25">
      <c r="A355" t="str">
        <f>"20190312150953337"</f>
        <v>20190312150953337</v>
      </c>
      <c r="B355" t="str">
        <f>"1552374593331114"</f>
        <v>1552374593331114</v>
      </c>
      <c r="C355" t="s">
        <v>40</v>
      </c>
      <c r="D355">
        <v>4.95641</v>
      </c>
      <c r="E355">
        <v>0.50516039999999995</v>
      </c>
      <c r="F355" t="s">
        <v>45</v>
      </c>
      <c r="G355">
        <v>-168.84350000000001</v>
      </c>
      <c r="H355">
        <v>11.25231</v>
      </c>
      <c r="I355">
        <v>360.13459999999998</v>
      </c>
      <c r="J355">
        <v>-430.57170000000002</v>
      </c>
      <c r="K355">
        <v>1.060351</v>
      </c>
      <c r="L355">
        <v>367.26749999999998</v>
      </c>
      <c r="M355">
        <v>0.99994709999999998</v>
      </c>
      <c r="N355">
        <v>0</v>
      </c>
      <c r="O355">
        <v>3.5947700000000002E-3</v>
      </c>
      <c r="P355">
        <v>0.99722379999999999</v>
      </c>
      <c r="Q355">
        <v>7.3205220000000001E-2</v>
      </c>
      <c r="R355">
        <v>-1.3634179999999999E-2</v>
      </c>
      <c r="S355">
        <v>2.998596</v>
      </c>
      <c r="T355">
        <v>0.1166596</v>
      </c>
      <c r="U355">
        <v>-8.1634520000000002E-2</v>
      </c>
      <c r="V355">
        <v>1.7222299999999999E-2</v>
      </c>
      <c r="W355">
        <v>8.2831080000000001E-2</v>
      </c>
      <c r="X355">
        <v>0.99641480000000004</v>
      </c>
      <c r="Y355">
        <v>3.0781610000000001E-2</v>
      </c>
      <c r="Z355">
        <v>7.3822109999999999E-4</v>
      </c>
      <c r="AA355">
        <v>0.99952580000000002</v>
      </c>
      <c r="AB355">
        <v>25</v>
      </c>
      <c r="AC355">
        <v>261.72820000000002</v>
      </c>
      <c r="AD355">
        <v>10.191958999999899</v>
      </c>
      <c r="AE355">
        <v>-7.1329000000000002</v>
      </c>
      <c r="AF355">
        <v>8.0615348305444705</v>
      </c>
      <c r="AG355">
        <v>10.191958999999899</v>
      </c>
      <c r="AH355">
        <v>261.30491726672199</v>
      </c>
      <c r="AI355">
        <v>87.767423963963296</v>
      </c>
      <c r="AJ355">
        <v>88.232924701315198</v>
      </c>
      <c r="AK355">
        <v>261.62783521607599</v>
      </c>
      <c r="AL355">
        <v>85.248685102207702</v>
      </c>
      <c r="AM355">
        <v>89.009783016965699</v>
      </c>
      <c r="AN355">
        <v>1.0000000245451399</v>
      </c>
    </row>
    <row r="356" spans="1:40" x14ac:dyDescent="0.25">
      <c r="A356" t="str">
        <f>"20190312150953360"</f>
        <v>20190312150953360</v>
      </c>
      <c r="B356" t="str">
        <f>"1552374593351613"</f>
        <v>1552374593351613</v>
      </c>
      <c r="C356" t="s">
        <v>40</v>
      </c>
      <c r="D356">
        <v>4.9897929999999997</v>
      </c>
      <c r="E356">
        <v>0.50531559999999998</v>
      </c>
      <c r="F356" t="s">
        <v>45</v>
      </c>
      <c r="G356">
        <v>-165.57820000000001</v>
      </c>
      <c r="H356">
        <v>6.6740890000000004</v>
      </c>
      <c r="I356">
        <v>360.08969999999999</v>
      </c>
      <c r="J356">
        <v>-430.3168</v>
      </c>
      <c r="K356">
        <v>1.060297</v>
      </c>
      <c r="L356">
        <v>367.26839999999999</v>
      </c>
      <c r="M356">
        <v>0.99994720000000004</v>
      </c>
      <c r="N356">
        <v>0</v>
      </c>
      <c r="O356">
        <v>3.5950610000000001E-3</v>
      </c>
      <c r="P356">
        <v>0.99717310000000003</v>
      </c>
      <c r="Q356">
        <v>7.3941370000000006E-2</v>
      </c>
      <c r="R356">
        <v>-1.335651E-2</v>
      </c>
      <c r="S356">
        <v>3.0025330000000001</v>
      </c>
      <c r="T356">
        <v>6.3607929999999993E-2</v>
      </c>
      <c r="U356">
        <v>-8.1329349999999995E-2</v>
      </c>
      <c r="V356">
        <v>1.694464E-2</v>
      </c>
      <c r="W356">
        <v>8.3543870000000006E-2</v>
      </c>
      <c r="X356">
        <v>0.99636000000000002</v>
      </c>
      <c r="Y356">
        <v>3.0663030000000001E-2</v>
      </c>
      <c r="Z356">
        <v>4.0084080000000002E-4</v>
      </c>
      <c r="AA356">
        <v>0.99952969999999997</v>
      </c>
      <c r="AB356">
        <v>25</v>
      </c>
      <c r="AC356">
        <v>264.73860000000002</v>
      </c>
      <c r="AD356">
        <v>5.6137920000000001</v>
      </c>
      <c r="AE356">
        <v>-7.1786999999999903</v>
      </c>
      <c r="AF356">
        <v>8.1267975659179008</v>
      </c>
      <c r="AG356">
        <v>5.6137920000000001</v>
      </c>
      <c r="AH356">
        <v>264.59219255130398</v>
      </c>
      <c r="AI356">
        <v>88.785123650162902</v>
      </c>
      <c r="AJ356">
        <v>88.240746039978006</v>
      </c>
      <c r="AK356">
        <v>264.77648660408499</v>
      </c>
      <c r="AL356">
        <v>85.207702955628903</v>
      </c>
      <c r="AM356">
        <v>89.025690738525498</v>
      </c>
      <c r="AN356">
        <v>0.99999997431965204</v>
      </c>
    </row>
    <row r="357" spans="1:40" x14ac:dyDescent="0.25">
      <c r="A357" t="str">
        <f>"20190312150953381"</f>
        <v>20190312150953381</v>
      </c>
      <c r="B357" t="str">
        <f>"1552374593371133"</f>
        <v>1552374593371133</v>
      </c>
      <c r="C357" t="s">
        <v>40</v>
      </c>
      <c r="D357">
        <v>4.8391279999999997</v>
      </c>
      <c r="E357">
        <v>0.5054111</v>
      </c>
      <c r="F357" t="s">
        <v>45</v>
      </c>
      <c r="G357">
        <v>-158.19499999999999</v>
      </c>
      <c r="H357">
        <v>5.4947439999999999</v>
      </c>
      <c r="I357">
        <v>359.86180000000002</v>
      </c>
      <c r="J357">
        <v>-430.06470000000002</v>
      </c>
      <c r="K357">
        <v>1.0602450000000001</v>
      </c>
      <c r="L357">
        <v>367.26929999999999</v>
      </c>
      <c r="M357">
        <v>0.99994720000000004</v>
      </c>
      <c r="N357">
        <v>0</v>
      </c>
      <c r="O357">
        <v>3.5952509999999998E-3</v>
      </c>
      <c r="P357">
        <v>0.99712650000000003</v>
      </c>
      <c r="Q357">
        <v>7.4575639999999999E-2</v>
      </c>
      <c r="R357">
        <v>-1.3313439999999999E-2</v>
      </c>
      <c r="S357">
        <v>3.003784</v>
      </c>
      <c r="T357">
        <v>4.895008E-2</v>
      </c>
      <c r="U357">
        <v>-8.1756590000000004E-2</v>
      </c>
      <c r="V357">
        <v>1.6901579999999999E-2</v>
      </c>
      <c r="W357">
        <v>8.4163000000000002E-2</v>
      </c>
      <c r="X357">
        <v>0.99630859999999999</v>
      </c>
      <c r="Y357">
        <v>3.0797140000000001E-2</v>
      </c>
      <c r="Z357">
        <v>3.0945149999999998E-4</v>
      </c>
      <c r="AA357">
        <v>0.99952560000000001</v>
      </c>
      <c r="AB357">
        <v>26</v>
      </c>
      <c r="AC357">
        <v>271.86970000000002</v>
      </c>
      <c r="AD357">
        <v>4.4344989999999997</v>
      </c>
      <c r="AE357">
        <v>-7.4074999999999704</v>
      </c>
      <c r="AF357">
        <v>8.3827086386749698</v>
      </c>
      <c r="AG357">
        <v>4.4344989999999997</v>
      </c>
      <c r="AH357">
        <v>271.76905847769802</v>
      </c>
      <c r="AI357">
        <v>89.065622906469997</v>
      </c>
      <c r="AJ357">
        <v>88.233273514182798</v>
      </c>
      <c r="AK357">
        <v>271.93446955352402</v>
      </c>
      <c r="AL357">
        <v>85.172103925603395</v>
      </c>
      <c r="AM357">
        <v>89.028116066190705</v>
      </c>
      <c r="AN357">
        <v>0.99999995020472598</v>
      </c>
    </row>
    <row r="358" spans="1:40" x14ac:dyDescent="0.25">
      <c r="A358" t="str">
        <f>"20190312150953405"</f>
        <v>20190312150953405</v>
      </c>
      <c r="B358" t="str">
        <f>"1552374593401385"</f>
        <v>1552374593401385</v>
      </c>
      <c r="C358" t="s">
        <v>40</v>
      </c>
      <c r="D358">
        <v>4.9666160000000001</v>
      </c>
      <c r="E358">
        <v>0.50573299999999999</v>
      </c>
      <c r="F358" t="s">
        <v>45</v>
      </c>
      <c r="G358">
        <v>-158.19499999999999</v>
      </c>
      <c r="H358">
        <v>4.232456</v>
      </c>
      <c r="I358">
        <v>359.85579999999999</v>
      </c>
      <c r="J358">
        <v>-429.80020000000002</v>
      </c>
      <c r="K358">
        <v>1.0602049999999901</v>
      </c>
      <c r="L358">
        <v>367.27030000000002</v>
      </c>
      <c r="M358">
        <v>0.99994740000000004</v>
      </c>
      <c r="N358">
        <v>0</v>
      </c>
      <c r="O358">
        <v>3.5954709999999998E-3</v>
      </c>
      <c r="P358">
        <v>0.99713649999999998</v>
      </c>
      <c r="Q358">
        <v>7.449472E-2</v>
      </c>
      <c r="R358">
        <v>-1.301574E-2</v>
      </c>
      <c r="S358">
        <v>3.0049130000000002</v>
      </c>
      <c r="T358">
        <v>3.5062669999999997E-2</v>
      </c>
      <c r="U358">
        <v>-8.1939699999999893E-2</v>
      </c>
      <c r="V358">
        <v>1.6604290000000001E-2</v>
      </c>
      <c r="W358">
        <v>8.4073670000000003E-2</v>
      </c>
      <c r="X358">
        <v>0.99632120000000002</v>
      </c>
      <c r="Y358">
        <v>3.0850229999999999E-2</v>
      </c>
      <c r="Z358">
        <v>2.2189430000000001E-4</v>
      </c>
      <c r="AA358">
        <v>0.99952399999999997</v>
      </c>
      <c r="AB358">
        <v>26</v>
      </c>
      <c r="AC358">
        <v>271.60520000000002</v>
      </c>
      <c r="AD358">
        <v>3.1722509999999899</v>
      </c>
      <c r="AE358">
        <v>-7.4145000000000296</v>
      </c>
      <c r="AF358">
        <v>8.3899020986458392</v>
      </c>
      <c r="AG358">
        <v>3.1722509999999899</v>
      </c>
      <c r="AH358">
        <v>271.53977016582797</v>
      </c>
      <c r="AI358">
        <v>89.330994343447998</v>
      </c>
      <c r="AJ358">
        <v>88.230266238955295</v>
      </c>
      <c r="AK358">
        <v>271.68787314737199</v>
      </c>
      <c r="AL358">
        <v>85.177240646783602</v>
      </c>
      <c r="AM358">
        <v>89.045219878616507</v>
      </c>
      <c r="AN358">
        <v>1.0000000090015499</v>
      </c>
    </row>
    <row r="359" spans="1:40" x14ac:dyDescent="0.25">
      <c r="A359" t="str">
        <f>"20190312150953428"</f>
        <v>20190312150953428</v>
      </c>
      <c r="B359" t="str">
        <f>"1552374593420906"</f>
        <v>1552374593420906</v>
      </c>
      <c r="C359" t="s">
        <v>40</v>
      </c>
      <c r="D359">
        <v>4.9421759999999999</v>
      </c>
      <c r="E359">
        <v>0.505857</v>
      </c>
      <c r="F359" t="s">
        <v>45</v>
      </c>
      <c r="G359">
        <v>-158.19499999999999</v>
      </c>
      <c r="H359">
        <v>3.57959</v>
      </c>
      <c r="I359">
        <v>359.72469999999998</v>
      </c>
      <c r="J359">
        <v>-429.53280000000001</v>
      </c>
      <c r="K359">
        <v>1.0601640000000001</v>
      </c>
      <c r="L359">
        <v>367.27120000000002</v>
      </c>
      <c r="M359">
        <v>0.99994740000000004</v>
      </c>
      <c r="N359">
        <v>0</v>
      </c>
      <c r="O359">
        <v>3.5956500000000001E-3</v>
      </c>
      <c r="P359">
        <v>0.99708470000000005</v>
      </c>
      <c r="Q359">
        <v>7.5219530000000007E-2</v>
      </c>
      <c r="R359">
        <v>-1.281331E-2</v>
      </c>
      <c r="S359">
        <v>3.0054630000000002</v>
      </c>
      <c r="T359">
        <v>2.7879359999999999E-2</v>
      </c>
      <c r="U359">
        <v>-8.3496089999999995E-2</v>
      </c>
      <c r="V359">
        <v>1.6401949999999998E-2</v>
      </c>
      <c r="W359">
        <v>8.4798250000000006E-2</v>
      </c>
      <c r="X359">
        <v>0.99626309999999996</v>
      </c>
      <c r="Y359">
        <v>3.1363479999999999E-2</v>
      </c>
      <c r="Z359">
        <v>1.7878499999999999E-4</v>
      </c>
      <c r="AA359">
        <v>0.99950799999999995</v>
      </c>
      <c r="AB359">
        <v>26</v>
      </c>
      <c r="AC359">
        <v>271.33780000000002</v>
      </c>
      <c r="AD359">
        <v>2.51942599999999</v>
      </c>
      <c r="AE359">
        <v>-7.5465000000000302</v>
      </c>
      <c r="AF359">
        <v>8.5213978819460596</v>
      </c>
      <c r="AG359">
        <v>2.51942599999999</v>
      </c>
      <c r="AH359">
        <v>271.28553919216</v>
      </c>
      <c r="AI359">
        <v>89.468172271801706</v>
      </c>
      <c r="AJ359">
        <v>88.200863729634406</v>
      </c>
      <c r="AK359">
        <v>271.43103268420401</v>
      </c>
      <c r="AL359">
        <v>85.135576273060707</v>
      </c>
      <c r="AM359">
        <v>89.056797729109206</v>
      </c>
      <c r="AN359">
        <v>0.999999965794236</v>
      </c>
    </row>
    <row r="360" spans="1:40" x14ac:dyDescent="0.25">
      <c r="A360" t="str">
        <f>"20190312150953450"</f>
        <v>20190312150953450</v>
      </c>
      <c r="B360" t="str">
        <f>"1552374593441402"</f>
        <v>1552374593441402</v>
      </c>
      <c r="C360" t="s">
        <v>40</v>
      </c>
      <c r="D360">
        <v>5.0620010000000004</v>
      </c>
      <c r="E360">
        <v>0.5058473</v>
      </c>
      <c r="F360" t="s">
        <v>45</v>
      </c>
      <c r="G360">
        <v>-158.19499999999999</v>
      </c>
      <c r="H360">
        <v>4.6722409999999996</v>
      </c>
      <c r="I360">
        <v>359.67860000000002</v>
      </c>
      <c r="J360">
        <v>-429.28879999999998</v>
      </c>
      <c r="K360">
        <v>1.060141</v>
      </c>
      <c r="L360">
        <v>367.27210000000002</v>
      </c>
      <c r="M360">
        <v>0.99994740000000004</v>
      </c>
      <c r="N360">
        <v>0</v>
      </c>
      <c r="O360">
        <v>3.5958000000000001E-3</v>
      </c>
      <c r="P360">
        <v>0.99710140000000003</v>
      </c>
      <c r="Q360">
        <v>7.4973460000000006E-2</v>
      </c>
      <c r="R360">
        <v>-1.296367E-2</v>
      </c>
      <c r="S360">
        <v>3.0046390000000001</v>
      </c>
      <c r="T360">
        <v>3.9999010000000002E-2</v>
      </c>
      <c r="U360">
        <v>-8.4075929999999993E-2</v>
      </c>
      <c r="V360">
        <v>1.6552440000000002E-2</v>
      </c>
      <c r="W360">
        <v>8.4558309999999998E-2</v>
      </c>
      <c r="X360">
        <v>0.99628099999999997</v>
      </c>
      <c r="Y360">
        <v>3.1562359999999998E-2</v>
      </c>
      <c r="Z360">
        <v>2.578953E-4</v>
      </c>
      <c r="AA360">
        <v>0.9995018</v>
      </c>
      <c r="AB360">
        <v>26</v>
      </c>
      <c r="AC360">
        <v>271.09379999999999</v>
      </c>
      <c r="AD360">
        <v>3.6120999999999999</v>
      </c>
      <c r="AE360">
        <v>-7.5934999999999997</v>
      </c>
      <c r="AF360">
        <v>8.5667752670377499</v>
      </c>
      <c r="AG360">
        <v>3.6120999999999999</v>
      </c>
      <c r="AH360">
        <v>271.01666445310201</v>
      </c>
      <c r="AI360">
        <v>89.236790348676095</v>
      </c>
      <c r="AJ360">
        <v>88.189496254999995</v>
      </c>
      <c r="AK360">
        <v>271.17608544296701</v>
      </c>
      <c r="AL360">
        <v>85.149373354091097</v>
      </c>
      <c r="AM360">
        <v>89.048162410628095</v>
      </c>
      <c r="AN360">
        <v>0.99999996101050403</v>
      </c>
    </row>
    <row r="361" spans="1:40" x14ac:dyDescent="0.25">
      <c r="A361" t="str">
        <f>"20190312150953471"</f>
        <v>20190312150953471</v>
      </c>
      <c r="B361" t="str">
        <f>"1552374593460921"</f>
        <v>1552374593460921</v>
      </c>
      <c r="C361" t="s">
        <v>40</v>
      </c>
      <c r="D361">
        <v>4.9991469999999998</v>
      </c>
      <c r="E361">
        <v>0.50596859999999999</v>
      </c>
      <c r="F361" t="s">
        <v>45</v>
      </c>
      <c r="G361">
        <v>-158.19499999999999</v>
      </c>
      <c r="H361">
        <v>5.4452049999999996</v>
      </c>
      <c r="I361">
        <v>359.66269999999997</v>
      </c>
      <c r="J361">
        <v>-429.03660000000002</v>
      </c>
      <c r="K361">
        <v>1.0601290000000001</v>
      </c>
      <c r="L361">
        <v>367.27289999999999</v>
      </c>
      <c r="M361">
        <v>0.99994729999999998</v>
      </c>
      <c r="N361">
        <v>0</v>
      </c>
      <c r="O361">
        <v>3.595932E-3</v>
      </c>
      <c r="P361">
        <v>0.99710180000000004</v>
      </c>
      <c r="Q361">
        <v>7.4944090000000005E-2</v>
      </c>
      <c r="R361">
        <v>-1.3099919999999999E-2</v>
      </c>
      <c r="S361">
        <v>3.0039980000000002</v>
      </c>
      <c r="T361">
        <v>4.8591969999999998E-2</v>
      </c>
      <c r="U361">
        <v>-8.4320069999999997E-2</v>
      </c>
      <c r="V361">
        <v>1.6688830000000002E-2</v>
      </c>
      <c r="W361">
        <v>8.4537890000000004E-2</v>
      </c>
      <c r="X361">
        <v>0.99628050000000001</v>
      </c>
      <c r="Y361">
        <v>3.1648129999999997E-2</v>
      </c>
      <c r="Z361">
        <v>3.140544E-4</v>
      </c>
      <c r="AA361">
        <v>0.99949900000000003</v>
      </c>
      <c r="AB361">
        <v>26</v>
      </c>
      <c r="AC361">
        <v>270.84160000000003</v>
      </c>
      <c r="AD361">
        <v>4.3850759999999998</v>
      </c>
      <c r="AE361">
        <v>-7.6102000000000096</v>
      </c>
      <c r="AF361">
        <v>8.5818759723563804</v>
      </c>
      <c r="AG361">
        <v>4.3850759999999998</v>
      </c>
      <c r="AH361">
        <v>270.741567109269</v>
      </c>
      <c r="AI361">
        <v>89.072553603973603</v>
      </c>
      <c r="AJ361">
        <v>88.184465359416393</v>
      </c>
      <c r="AK361">
        <v>270.91303705712198</v>
      </c>
      <c r="AL361">
        <v>85.150547743745193</v>
      </c>
      <c r="AM361">
        <v>89.040320369252399</v>
      </c>
      <c r="AN361">
        <v>1.0000000032863301</v>
      </c>
    </row>
    <row r="362" spans="1:40" x14ac:dyDescent="0.25">
      <c r="A362" t="str">
        <f>"20190312150953484"</f>
        <v>20190312150953484</v>
      </c>
      <c r="B362" t="str">
        <f>"1552374593481418"</f>
        <v>1552374593481418</v>
      </c>
      <c r="C362" t="s">
        <v>40</v>
      </c>
      <c r="D362">
        <v>4.7222809999999997</v>
      </c>
      <c r="E362">
        <v>0.50587199999999999</v>
      </c>
      <c r="F362" t="s">
        <v>45</v>
      </c>
      <c r="G362">
        <v>-158.19499999999999</v>
      </c>
      <c r="H362">
        <v>6.0330649999999997</v>
      </c>
      <c r="I362">
        <v>359.53160000000003</v>
      </c>
      <c r="J362">
        <v>-428.8895</v>
      </c>
      <c r="K362">
        <v>1.06012</v>
      </c>
      <c r="L362">
        <v>367.27350000000001</v>
      </c>
      <c r="M362">
        <v>0.99994720000000004</v>
      </c>
      <c r="N362">
        <v>0</v>
      </c>
      <c r="O362">
        <v>3.5960749999999998E-3</v>
      </c>
      <c r="P362">
        <v>0.99709780000000003</v>
      </c>
      <c r="Q362">
        <v>7.5001139999999994E-2</v>
      </c>
      <c r="R362">
        <v>-1.307823E-2</v>
      </c>
      <c r="S362">
        <v>3.0034480000000001</v>
      </c>
      <c r="T362">
        <v>5.5147410000000001E-2</v>
      </c>
      <c r="U362">
        <v>-8.5845950000000004E-2</v>
      </c>
      <c r="V362">
        <v>1.6667120000000001E-2</v>
      </c>
      <c r="W362">
        <v>8.460297E-2</v>
      </c>
      <c r="X362">
        <v>0.99627540000000003</v>
      </c>
      <c r="Y362">
        <v>3.215937E-2</v>
      </c>
      <c r="Z362">
        <v>3.6117350000000001E-4</v>
      </c>
      <c r="AA362">
        <v>0.99948269999999995</v>
      </c>
      <c r="AB362">
        <v>26</v>
      </c>
      <c r="AC362">
        <v>270.69450000000001</v>
      </c>
      <c r="AD362">
        <v>4.9729449999999904</v>
      </c>
      <c r="AE362">
        <v>-7.7418999999999798</v>
      </c>
      <c r="AF362">
        <v>8.71239477229601</v>
      </c>
      <c r="AG362">
        <v>4.9729449999999904</v>
      </c>
      <c r="AH362">
        <v>270.57366495381399</v>
      </c>
      <c r="AI362">
        <v>88.947609559488598</v>
      </c>
      <c r="AJ362">
        <v>88.155729472646797</v>
      </c>
      <c r="AK362">
        <v>270.759568937425</v>
      </c>
      <c r="AL362">
        <v>85.146805823478303</v>
      </c>
      <c r="AM362">
        <v>89.041563649407394</v>
      </c>
      <c r="AN362">
        <v>1.00000006403353</v>
      </c>
    </row>
    <row r="363" spans="1:40" x14ac:dyDescent="0.25">
      <c r="A363" t="str">
        <f>"20190312150953497"</f>
        <v>20190312150953497</v>
      </c>
      <c r="B363" t="str">
        <f>"1552374593491178"</f>
        <v>1552374593491178</v>
      </c>
      <c r="C363" t="s">
        <v>40</v>
      </c>
      <c r="D363">
        <v>4.8704510000000001</v>
      </c>
      <c r="E363">
        <v>0.50571719999999998</v>
      </c>
      <c r="F363" t="s">
        <v>45</v>
      </c>
      <c r="G363">
        <v>-158.19499999999999</v>
      </c>
      <c r="H363">
        <v>4.6478020000000004</v>
      </c>
      <c r="I363">
        <v>359.64400000000001</v>
      </c>
      <c r="J363">
        <v>-428.74009999999998</v>
      </c>
      <c r="K363">
        <v>1.060111</v>
      </c>
      <c r="L363">
        <v>367.274</v>
      </c>
      <c r="M363">
        <v>0.99994709999999998</v>
      </c>
      <c r="N363">
        <v>0</v>
      </c>
      <c r="O363">
        <v>3.59633E-3</v>
      </c>
      <c r="P363">
        <v>0.99706709999999998</v>
      </c>
      <c r="Q363">
        <v>7.5374350000000007E-2</v>
      </c>
      <c r="R363">
        <v>-1.3267670000000001E-2</v>
      </c>
      <c r="S363">
        <v>3.0046390000000001</v>
      </c>
      <c r="T363">
        <v>3.9823289999999997E-2</v>
      </c>
      <c r="U363">
        <v>-8.4686280000000003E-2</v>
      </c>
      <c r="V363">
        <v>1.685702E-2</v>
      </c>
      <c r="W363">
        <v>8.4984500000000004E-2</v>
      </c>
      <c r="X363">
        <v>0.99623969999999995</v>
      </c>
      <c r="Y363">
        <v>3.176578E-2</v>
      </c>
      <c r="Z363">
        <v>2.5811649999999997E-4</v>
      </c>
      <c r="AA363">
        <v>0.99949529999999998</v>
      </c>
      <c r="AB363">
        <v>26</v>
      </c>
      <c r="AC363">
        <v>270.54509999999999</v>
      </c>
      <c r="AD363">
        <v>3.5876909999999902</v>
      </c>
      <c r="AE363">
        <v>-7.6299999999999901</v>
      </c>
      <c r="AF363">
        <v>8.6014539003599602</v>
      </c>
      <c r="AG363">
        <v>3.5876909999999902</v>
      </c>
      <c r="AH363">
        <v>270.46838402095199</v>
      </c>
      <c r="AI363">
        <v>89.240415301268897</v>
      </c>
      <c r="AJ363">
        <v>88.178489641350694</v>
      </c>
      <c r="AK363">
        <v>270.62890328051901</v>
      </c>
      <c r="AL363">
        <v>85.124866596991893</v>
      </c>
      <c r="AM363">
        <v>89.030610864661497</v>
      </c>
      <c r="AN363">
        <v>1.0000000321097999</v>
      </c>
    </row>
    <row r="364" spans="1:40" x14ac:dyDescent="0.25">
      <c r="A364" t="str">
        <f>"20190312150953529"</f>
        <v>20190312150953529</v>
      </c>
      <c r="B364" t="str">
        <f>"1552374593521434"</f>
        <v>1552374593521434</v>
      </c>
      <c r="C364" t="s">
        <v>40</v>
      </c>
      <c r="D364">
        <v>4.8750280000000004</v>
      </c>
      <c r="E364">
        <v>0.5055132</v>
      </c>
      <c r="F364" t="s">
        <v>45</v>
      </c>
      <c r="G364">
        <v>-158.19499999999999</v>
      </c>
      <c r="H364">
        <v>4.9946429999999999</v>
      </c>
      <c r="I364">
        <v>359.71129999999999</v>
      </c>
      <c r="J364">
        <v>-428.37740000000002</v>
      </c>
      <c r="K364">
        <v>1.0601039999999999</v>
      </c>
      <c r="L364">
        <v>367.27530000000002</v>
      </c>
      <c r="M364">
        <v>0.99994689999999997</v>
      </c>
      <c r="N364">
        <v>0</v>
      </c>
      <c r="O364">
        <v>3.5965480000000002E-3</v>
      </c>
      <c r="P364">
        <v>0.99703439999999999</v>
      </c>
      <c r="Q364">
        <v>7.5847719999999993E-2</v>
      </c>
      <c r="R364">
        <v>-1.303546E-2</v>
      </c>
      <c r="S364">
        <v>3.0044249999999999</v>
      </c>
      <c r="T364">
        <v>4.3694259999999999E-2</v>
      </c>
      <c r="U364">
        <v>-8.3984379999999997E-2</v>
      </c>
      <c r="V364">
        <v>1.662462E-2</v>
      </c>
      <c r="W364">
        <v>8.5485720000000001E-2</v>
      </c>
      <c r="X364">
        <v>0.99620070000000005</v>
      </c>
      <c r="Y364">
        <v>3.1534069999999997E-2</v>
      </c>
      <c r="Z364">
        <v>2.8154360000000003E-4</v>
      </c>
      <c r="AA364">
        <v>0.99950269999999997</v>
      </c>
      <c r="AB364">
        <v>26</v>
      </c>
      <c r="AC364">
        <v>270.18239999999997</v>
      </c>
      <c r="AD364">
        <v>3.934539</v>
      </c>
      <c r="AE364">
        <v>-7.5640000000000196</v>
      </c>
      <c r="AF364">
        <v>8.5339120146101894</v>
      </c>
      <c r="AG364">
        <v>3.934539</v>
      </c>
      <c r="AH364">
        <v>270.09621314541198</v>
      </c>
      <c r="AI364">
        <v>89.165837549144698</v>
      </c>
      <c r="AJ364">
        <v>88.190294766136503</v>
      </c>
      <c r="AK364">
        <v>270.25963924882899</v>
      </c>
      <c r="AL364">
        <v>85.096043811174596</v>
      </c>
      <c r="AM364">
        <v>89.043935469766694</v>
      </c>
      <c r="AN364">
        <v>1.0000000104972699</v>
      </c>
    </row>
    <row r="365" spans="1:40" x14ac:dyDescent="0.25">
      <c r="A365" t="str">
        <f>"20190312150953541"</f>
        <v>20190312150953541</v>
      </c>
      <c r="B365" t="str">
        <f>"1552374593531193"</f>
        <v>1552374593531193</v>
      </c>
      <c r="C365" t="s">
        <v>40</v>
      </c>
      <c r="D365">
        <v>5.1003239999999996</v>
      </c>
      <c r="E365">
        <v>0.50541020000000003</v>
      </c>
      <c r="F365" t="s">
        <v>45</v>
      </c>
      <c r="G365">
        <v>-158.19499999999999</v>
      </c>
      <c r="H365">
        <v>5.6148689999999997</v>
      </c>
      <c r="I365">
        <v>359.91390000000001</v>
      </c>
      <c r="J365">
        <v>-428.22719999999998</v>
      </c>
      <c r="K365">
        <v>1.060093</v>
      </c>
      <c r="L365">
        <v>367.2758</v>
      </c>
      <c r="M365">
        <v>0.99994680000000002</v>
      </c>
      <c r="N365">
        <v>0</v>
      </c>
      <c r="O365">
        <v>3.5966629999999999E-3</v>
      </c>
      <c r="P365">
        <v>0.99700610000000001</v>
      </c>
      <c r="Q365">
        <v>7.6266210000000001E-2</v>
      </c>
      <c r="R365">
        <v>-1.274261E-2</v>
      </c>
      <c r="S365">
        <v>3.0040279999999999</v>
      </c>
      <c r="T365">
        <v>5.0643210000000001E-2</v>
      </c>
      <c r="U365">
        <v>-8.184814E-2</v>
      </c>
      <c r="V365">
        <v>1.633213E-2</v>
      </c>
      <c r="W365">
        <v>8.5917099999999996E-2</v>
      </c>
      <c r="X365">
        <v>0.99616839999999995</v>
      </c>
      <c r="Y365">
        <v>3.082646E-2</v>
      </c>
      <c r="Z365">
        <v>3.2039820000000002E-4</v>
      </c>
      <c r="AA365">
        <v>0.99952470000000004</v>
      </c>
      <c r="AB365">
        <v>26</v>
      </c>
      <c r="AC365">
        <v>270.03219999999999</v>
      </c>
      <c r="AD365">
        <v>4.5547760000000004</v>
      </c>
      <c r="AE365">
        <v>-7.3618999999999897</v>
      </c>
      <c r="AF365">
        <v>8.33074414076418</v>
      </c>
      <c r="AG365">
        <v>4.5547760000000004</v>
      </c>
      <c r="AH365">
        <v>269.92723284132398</v>
      </c>
      <c r="AI365">
        <v>89.033737690680894</v>
      </c>
      <c r="AJ365">
        <v>88.232245743391402</v>
      </c>
      <c r="AK365">
        <v>270.09416563806599</v>
      </c>
      <c r="AL365">
        <v>85.071236156013001</v>
      </c>
      <c r="AM365">
        <v>89.060722774929403</v>
      </c>
      <c r="AN365">
        <v>0.99999998385065303</v>
      </c>
    </row>
    <row r="366" spans="1:40" x14ac:dyDescent="0.25">
      <c r="A366" t="str">
        <f>"20190312150953561"</f>
        <v>20190312150953561</v>
      </c>
      <c r="B366" t="str">
        <f>"1552374593550714"</f>
        <v>1552374593550714</v>
      </c>
      <c r="C366" t="s">
        <v>40</v>
      </c>
      <c r="D366">
        <v>5.1523719999999997</v>
      </c>
      <c r="E366">
        <v>0.50511870000000003</v>
      </c>
      <c r="F366" t="s">
        <v>45</v>
      </c>
      <c r="G366">
        <v>-158.19499999999999</v>
      </c>
      <c r="H366">
        <v>5.8979229999999996</v>
      </c>
      <c r="I366">
        <v>360.08550000000002</v>
      </c>
      <c r="J366">
        <v>-427.99990000000003</v>
      </c>
      <c r="K366">
        <v>1.060087</v>
      </c>
      <c r="L366">
        <v>367.27659999999997</v>
      </c>
      <c r="M366">
        <v>0.99994669999999997</v>
      </c>
      <c r="N366">
        <v>0</v>
      </c>
      <c r="O366">
        <v>3.596742E-3</v>
      </c>
      <c r="P366">
        <v>0.99699740000000003</v>
      </c>
      <c r="Q366">
        <v>7.6361239999999997E-2</v>
      </c>
      <c r="R366">
        <v>-1.28684E-2</v>
      </c>
      <c r="S366">
        <v>3.003876</v>
      </c>
      <c r="T366">
        <v>5.3817629999999998E-2</v>
      </c>
      <c r="U366">
        <v>-7.9986570000000007E-2</v>
      </c>
      <c r="V366">
        <v>1.6457800000000002E-2</v>
      </c>
      <c r="W366">
        <v>8.6032549999999999E-2</v>
      </c>
      <c r="X366">
        <v>0.99615640000000005</v>
      </c>
      <c r="Y366">
        <v>3.02084E-2</v>
      </c>
      <c r="Z366">
        <v>3.3496479999999999E-4</v>
      </c>
      <c r="AA366">
        <v>0.99954350000000003</v>
      </c>
      <c r="AB366">
        <v>26</v>
      </c>
      <c r="AC366">
        <v>269.80489999999998</v>
      </c>
      <c r="AD366">
        <v>4.8378360000000002</v>
      </c>
      <c r="AE366">
        <v>-7.1910999999999401</v>
      </c>
      <c r="AF366">
        <v>8.1588961916154599</v>
      </c>
      <c r="AG366">
        <v>4.8378360000000002</v>
      </c>
      <c r="AH366">
        <v>269.69064060708502</v>
      </c>
      <c r="AI366">
        <v>88.972781775849697</v>
      </c>
      <c r="AJ366">
        <v>88.267170933621301</v>
      </c>
      <c r="AK366">
        <v>269.857395443016</v>
      </c>
      <c r="AL366">
        <v>85.064596933898301</v>
      </c>
      <c r="AM366">
        <v>89.053485276828496</v>
      </c>
      <c r="AN366">
        <v>1.0000000160506499</v>
      </c>
    </row>
    <row r="367" spans="1:40" x14ac:dyDescent="0.25">
      <c r="A367" t="str">
        <f>"20190312150953584"</f>
        <v>20190312150953584</v>
      </c>
      <c r="B367" t="str">
        <f>"1552374593580970"</f>
        <v>1552374593580970</v>
      </c>
      <c r="C367" t="s">
        <v>40</v>
      </c>
      <c r="D367">
        <v>4.8815080000000002</v>
      </c>
      <c r="E367">
        <v>0.50497340000000002</v>
      </c>
      <c r="F367" t="s">
        <v>45</v>
      </c>
      <c r="G367">
        <v>-158.19499999999999</v>
      </c>
      <c r="H367">
        <v>6.2982639999999996</v>
      </c>
      <c r="I367">
        <v>360.25330000000002</v>
      </c>
      <c r="J367">
        <v>-427.72969999999998</v>
      </c>
      <c r="K367">
        <v>1.060082</v>
      </c>
      <c r="L367">
        <v>367.27760000000001</v>
      </c>
      <c r="M367">
        <v>0.99994620000000001</v>
      </c>
      <c r="N367">
        <v>0</v>
      </c>
      <c r="O367">
        <v>3.5970809999999998E-3</v>
      </c>
      <c r="P367">
        <v>0.99699079999999995</v>
      </c>
      <c r="Q367">
        <v>7.6477299999999998E-2</v>
      </c>
      <c r="R367">
        <v>-1.267763E-2</v>
      </c>
      <c r="S367">
        <v>3.0035400000000001</v>
      </c>
      <c r="T367">
        <v>5.8313730000000001E-2</v>
      </c>
      <c r="U367">
        <v>-7.8186039999999998E-2</v>
      </c>
      <c r="V367">
        <v>1.626737E-2</v>
      </c>
      <c r="W367">
        <v>8.6176970000000006E-2</v>
      </c>
      <c r="X367">
        <v>0.996147</v>
      </c>
      <c r="Y367">
        <v>2.9612090000000001E-2</v>
      </c>
      <c r="Z367">
        <v>3.5720659999999998E-4</v>
      </c>
      <c r="AA367">
        <v>0.99956140000000004</v>
      </c>
      <c r="AB367">
        <v>26</v>
      </c>
      <c r="AC367">
        <v>269.53469999999999</v>
      </c>
      <c r="AD367">
        <v>5.2381820000000001</v>
      </c>
      <c r="AE367">
        <v>-7.0242999999999798</v>
      </c>
      <c r="AF367">
        <v>7.9908226108528</v>
      </c>
      <c r="AG367">
        <v>5.2381820000000001</v>
      </c>
      <c r="AH367">
        <v>269.40600587228499</v>
      </c>
      <c r="AI367">
        <v>88.886602307881006</v>
      </c>
      <c r="AJ367">
        <v>88.301054145936106</v>
      </c>
      <c r="AK367">
        <v>269.575384255909</v>
      </c>
      <c r="AL367">
        <v>85.056291211087299</v>
      </c>
      <c r="AM367">
        <v>89.064426429679102</v>
      </c>
      <c r="AN367">
        <v>0.99999997154704801</v>
      </c>
    </row>
    <row r="368" spans="1:40" x14ac:dyDescent="0.25">
      <c r="A368" t="str">
        <f>"20190312150953606"</f>
        <v>20190312150953606</v>
      </c>
      <c r="B368" t="str">
        <f>"1552374593601466"</f>
        <v>1552374593601466</v>
      </c>
      <c r="C368" t="s">
        <v>40</v>
      </c>
      <c r="D368">
        <v>5.0668689999999996</v>
      </c>
      <c r="E368">
        <v>0.50437559999999904</v>
      </c>
      <c r="F368" t="s">
        <v>45</v>
      </c>
      <c r="G368">
        <v>-158.7159</v>
      </c>
      <c r="H368">
        <v>6.6740890000000004</v>
      </c>
      <c r="I368">
        <v>360.43540000000002</v>
      </c>
      <c r="J368">
        <v>-427.48050000000001</v>
      </c>
      <c r="K368">
        <v>1.060071</v>
      </c>
      <c r="L368">
        <v>367.27850000000001</v>
      </c>
      <c r="M368">
        <v>0.99994590000000005</v>
      </c>
      <c r="N368">
        <v>0</v>
      </c>
      <c r="O368">
        <v>3.5972980000000001E-3</v>
      </c>
      <c r="P368">
        <v>0.99699700000000002</v>
      </c>
      <c r="Q368">
        <v>7.6424389999999995E-2</v>
      </c>
      <c r="R368">
        <v>-1.251305E-2</v>
      </c>
      <c r="S368">
        <v>3.0032350000000001</v>
      </c>
      <c r="T368">
        <v>6.2674999999999995E-2</v>
      </c>
      <c r="U368">
        <v>-7.6385499999999995E-2</v>
      </c>
      <c r="V368">
        <v>1.6102869999999998E-2</v>
      </c>
      <c r="W368">
        <v>8.6152270000000003E-2</v>
      </c>
      <c r="X368">
        <v>0.99615189999999998</v>
      </c>
      <c r="Y368">
        <v>2.9015229999999999E-2</v>
      </c>
      <c r="Z368">
        <v>3.7773659999999998E-4</v>
      </c>
      <c r="AA368">
        <v>0.99957890000000005</v>
      </c>
      <c r="AB368">
        <v>26</v>
      </c>
      <c r="AC368">
        <v>268.76459999999997</v>
      </c>
      <c r="AD368">
        <v>5.6140179999999997</v>
      </c>
      <c r="AE368">
        <v>-6.84309999999999</v>
      </c>
      <c r="AF368">
        <v>7.8065242054796302</v>
      </c>
      <c r="AG368">
        <v>5.6140179999999997</v>
      </c>
      <c r="AH368">
        <v>268.62111461741398</v>
      </c>
      <c r="AI368">
        <v>88.803232457556305</v>
      </c>
      <c r="AJ368">
        <v>88.335369004061306</v>
      </c>
      <c r="AK368">
        <v>268.79315883514801</v>
      </c>
      <c r="AL368">
        <v>85.057712147765898</v>
      </c>
      <c r="AM368">
        <v>89.073890098576101</v>
      </c>
      <c r="AN368">
        <v>1.0000000619609899</v>
      </c>
    </row>
    <row r="369" spans="1:40" x14ac:dyDescent="0.25">
      <c r="A369" t="str">
        <f>"20190312150953630"</f>
        <v>20190312150953630</v>
      </c>
      <c r="B369" t="str">
        <f>"1552374593620986"</f>
        <v>1552374593620986</v>
      </c>
      <c r="C369" t="s">
        <v>40</v>
      </c>
      <c r="D369">
        <v>5.0951240000000002</v>
      </c>
      <c r="E369">
        <v>0.48697750000000001</v>
      </c>
      <c r="F369" t="s">
        <v>45</v>
      </c>
      <c r="G369">
        <v>-170.08879999999999</v>
      </c>
      <c r="H369">
        <v>6.6923909999999998</v>
      </c>
      <c r="I369">
        <v>361.1841</v>
      </c>
      <c r="J369">
        <v>-427.20069999999998</v>
      </c>
      <c r="K369">
        <v>1.060073</v>
      </c>
      <c r="L369">
        <v>367.27940000000001</v>
      </c>
      <c r="M369">
        <v>0.99994559999999999</v>
      </c>
      <c r="N369">
        <v>0</v>
      </c>
      <c r="O369">
        <v>3.5974240000000001E-3</v>
      </c>
      <c r="P369">
        <v>0.99701949999999995</v>
      </c>
      <c r="Q369">
        <v>7.6135399999999895E-2</v>
      </c>
      <c r="R369">
        <v>-1.248634E-2</v>
      </c>
      <c r="S369">
        <v>3.003082</v>
      </c>
      <c r="T369">
        <v>6.5715309999999999E-2</v>
      </c>
      <c r="U369">
        <v>-7.1105959999999996E-2</v>
      </c>
      <c r="V369">
        <v>1.6076360000000001E-2</v>
      </c>
      <c r="W369">
        <v>8.5898089999999996E-2</v>
      </c>
      <c r="X369">
        <v>0.99617420000000001</v>
      </c>
      <c r="Y369">
        <v>2.7260079999999999E-2</v>
      </c>
      <c r="Z369">
        <v>3.768887E-4</v>
      </c>
      <c r="AA369">
        <v>0.99962830000000003</v>
      </c>
      <c r="AB369">
        <v>26</v>
      </c>
      <c r="AC369">
        <v>257.11189999999999</v>
      </c>
      <c r="AD369">
        <v>5.6323179999999997</v>
      </c>
      <c r="AE369">
        <v>-6.0952999999999999</v>
      </c>
      <c r="AF369">
        <v>7.0168800600181598</v>
      </c>
      <c r="AG369">
        <v>5.6323179999999997</v>
      </c>
      <c r="AH369">
        <v>256.96506533071999</v>
      </c>
      <c r="AI369">
        <v>88.744824726840804</v>
      </c>
      <c r="AJ369">
        <v>88.435827339506304</v>
      </c>
      <c r="AK369">
        <v>257.12254745986598</v>
      </c>
      <c r="AL369">
        <v>85.072329391011607</v>
      </c>
      <c r="AM369">
        <v>89.075435173360106</v>
      </c>
      <c r="AN369">
        <v>0.99999998398106804</v>
      </c>
    </row>
    <row r="370" spans="1:40" x14ac:dyDescent="0.25">
      <c r="A370" t="str">
        <f>"20190312150953653"</f>
        <v>20190312150953653</v>
      </c>
      <c r="B370" t="str">
        <f>"1552374593641483"</f>
        <v>1552374593641483</v>
      </c>
      <c r="C370" t="s">
        <v>40</v>
      </c>
      <c r="D370">
        <v>5.0324059999999999</v>
      </c>
      <c r="E370">
        <v>0.48719770000000001</v>
      </c>
      <c r="F370" t="s">
        <v>45</v>
      </c>
      <c r="G370">
        <v>-170.08879999999999</v>
      </c>
      <c r="H370">
        <v>7.9809580000000002</v>
      </c>
      <c r="I370">
        <v>373.05020000000002</v>
      </c>
      <c r="J370">
        <v>-426.93939999999998</v>
      </c>
      <c r="K370">
        <v>1.060068</v>
      </c>
      <c r="L370">
        <v>367.28039999999999</v>
      </c>
      <c r="M370">
        <v>0.99994519999999998</v>
      </c>
      <c r="N370">
        <v>0</v>
      </c>
      <c r="O370">
        <v>3.5976039999999999E-3</v>
      </c>
      <c r="P370">
        <v>0.99706110000000003</v>
      </c>
      <c r="Q370">
        <v>7.553269E-2</v>
      </c>
      <c r="R370">
        <v>-1.2808679999999999E-2</v>
      </c>
      <c r="S370">
        <v>3.003571</v>
      </c>
      <c r="T370">
        <v>8.0850480000000002E-2</v>
      </c>
      <c r="U370">
        <v>6.7413329999999994E-2</v>
      </c>
      <c r="V370">
        <v>1.6399110000000001E-2</v>
      </c>
      <c r="W370">
        <v>8.5331799999999999E-2</v>
      </c>
      <c r="X370">
        <v>0.99621760000000004</v>
      </c>
      <c r="Y370">
        <v>-1.8836209999999999E-2</v>
      </c>
      <c r="Z370">
        <v>-1.566254E-4</v>
      </c>
      <c r="AA370">
        <v>0.99982260000000001</v>
      </c>
      <c r="AB370">
        <v>26</v>
      </c>
      <c r="AC370">
        <v>256.85059999999999</v>
      </c>
      <c r="AD370">
        <v>6.9208899999999902</v>
      </c>
      <c r="AE370">
        <v>5.7698000000000302</v>
      </c>
      <c r="AF370">
        <v>-4.8421574075583704</v>
      </c>
      <c r="AG370">
        <v>6.9208899999999902</v>
      </c>
      <c r="AH370">
        <v>256.68342674101802</v>
      </c>
      <c r="AI370">
        <v>88.455797263383104</v>
      </c>
      <c r="AJ370">
        <v>91.080717536582895</v>
      </c>
      <c r="AK370">
        <v>256.82236423306898</v>
      </c>
      <c r="AL370">
        <v>85.104894954468904</v>
      </c>
      <c r="AM370">
        <v>89.056917951814498</v>
      </c>
      <c r="AN370">
        <v>0.99999997672489505</v>
      </c>
    </row>
    <row r="371" spans="1:40" x14ac:dyDescent="0.25">
      <c r="A371" t="str">
        <f>"20190312150953673"</f>
        <v>20190312150953673</v>
      </c>
      <c r="B371" t="str">
        <f>"1552374593670762"</f>
        <v>1552374593670762</v>
      </c>
      <c r="C371" t="s">
        <v>40</v>
      </c>
      <c r="D371">
        <v>5.1227689999999999</v>
      </c>
      <c r="E371">
        <v>0.48981520000000001</v>
      </c>
      <c r="F371" t="s">
        <v>45</v>
      </c>
      <c r="G371">
        <v>-170.08879999999999</v>
      </c>
      <c r="H371">
        <v>7.1507940000000003</v>
      </c>
      <c r="I371">
        <v>372.80650000000003</v>
      </c>
      <c r="J371">
        <v>-426.70089999999999</v>
      </c>
      <c r="K371">
        <v>1.0600670000000001</v>
      </c>
      <c r="L371">
        <v>367.28129999999999</v>
      </c>
      <c r="M371">
        <v>0.99994490000000003</v>
      </c>
      <c r="N371">
        <v>0</v>
      </c>
      <c r="O371">
        <v>3.5977800000000001E-3</v>
      </c>
      <c r="P371">
        <v>0.99705509999999997</v>
      </c>
      <c r="Q371">
        <v>7.5637399999999994E-2</v>
      </c>
      <c r="R371">
        <v>-1.266348E-2</v>
      </c>
      <c r="S371">
        <v>3.0042719999999998</v>
      </c>
      <c r="T371">
        <v>7.1241620000000005E-2</v>
      </c>
      <c r="U371">
        <v>6.4636230000000003E-2</v>
      </c>
      <c r="V371">
        <v>1.6253989999999999E-2</v>
      </c>
      <c r="W371">
        <v>8.5472899999999893E-2</v>
      </c>
      <c r="X371">
        <v>0.99620790000000004</v>
      </c>
      <c r="Y371">
        <v>-1.7908509999999999E-2</v>
      </c>
      <c r="Z371">
        <v>-1.2698469999999901E-4</v>
      </c>
      <c r="AA371">
        <v>0.99983960000000005</v>
      </c>
      <c r="AB371">
        <v>26</v>
      </c>
      <c r="AC371">
        <v>256.6121</v>
      </c>
      <c r="AD371">
        <v>6.0907269999999896</v>
      </c>
      <c r="AE371">
        <v>5.5252000000000399</v>
      </c>
      <c r="AF371">
        <v>-4.5992956126480999</v>
      </c>
      <c r="AG371">
        <v>6.0907269999999896</v>
      </c>
      <c r="AH371">
        <v>256.48589218708298</v>
      </c>
      <c r="AI371">
        <v>88.639881079275995</v>
      </c>
      <c r="AJ371">
        <v>91.027315713533</v>
      </c>
      <c r="AK371">
        <v>256.59942199179801</v>
      </c>
      <c r="AL371">
        <v>85.096780962358295</v>
      </c>
      <c r="AM371">
        <v>89.065252943543399</v>
      </c>
      <c r="AN371">
        <v>0.99999999442387</v>
      </c>
    </row>
    <row r="372" spans="1:40" x14ac:dyDescent="0.25">
      <c r="A372" t="str">
        <f>"20190312150953695"</f>
        <v>20190312150953695</v>
      </c>
      <c r="B372" t="str">
        <f>"1552374593691258"</f>
        <v>1552374593691258</v>
      </c>
      <c r="C372" t="s">
        <v>40</v>
      </c>
      <c r="D372">
        <v>4.8395359999999998</v>
      </c>
      <c r="E372">
        <v>0.49019489999999999</v>
      </c>
      <c r="F372" t="s">
        <v>42</v>
      </c>
      <c r="G372">
        <v>-382.06790000000001</v>
      </c>
      <c r="H372" s="1">
        <v>-3.680264E-6</v>
      </c>
      <c r="I372">
        <v>367.95260000000002</v>
      </c>
      <c r="J372">
        <v>-426.4425</v>
      </c>
      <c r="K372">
        <v>1.060071</v>
      </c>
      <c r="L372">
        <v>367.28219999999999</v>
      </c>
      <c r="M372">
        <v>0.99994439999999996</v>
      </c>
      <c r="N372">
        <v>0</v>
      </c>
      <c r="O372">
        <v>3.598398E-3</v>
      </c>
      <c r="P372">
        <v>0.99707100000000004</v>
      </c>
      <c r="Q372">
        <v>7.5357939999999998E-2</v>
      </c>
      <c r="R372">
        <v>-1.3073619999999999E-2</v>
      </c>
      <c r="S372">
        <v>3.0148929999999998</v>
      </c>
      <c r="T372">
        <v>-7.1606039999999996E-2</v>
      </c>
      <c r="U372">
        <v>4.534912E-2</v>
      </c>
      <c r="V372">
        <v>1.66648E-2</v>
      </c>
      <c r="W372">
        <v>8.5236300000000001E-2</v>
      </c>
      <c r="X372">
        <v>0.99622140000000003</v>
      </c>
      <c r="Y372">
        <v>-1.143953E-2</v>
      </c>
      <c r="Z372" s="1">
        <v>5.0370680000000001E-5</v>
      </c>
      <c r="AA372">
        <v>0.99993460000000001</v>
      </c>
      <c r="AB372">
        <v>26</v>
      </c>
      <c r="AC372">
        <v>44.374600000000001</v>
      </c>
      <c r="AD372">
        <v>-1.060074680264</v>
      </c>
      <c r="AE372">
        <v>0.67040000000002897</v>
      </c>
      <c r="AF372">
        <v>-0.51041911559800102</v>
      </c>
      <c r="AG372">
        <v>-1.060074680264</v>
      </c>
      <c r="AH372">
        <v>44.351419808831402</v>
      </c>
      <c r="AI372">
        <v>91.369115656173506</v>
      </c>
      <c r="AJ372">
        <v>90.659360404102102</v>
      </c>
      <c r="AK372">
        <v>44.367022945657602</v>
      </c>
      <c r="AL372">
        <v>85.110386873397601</v>
      </c>
      <c r="AM372">
        <v>89.041645100287397</v>
      </c>
      <c r="AN372">
        <v>1.0000000101073401</v>
      </c>
    </row>
    <row r="373" spans="1:40" x14ac:dyDescent="0.25">
      <c r="A373" t="str">
        <f>"20190312150953707"</f>
        <v>20190312150953707</v>
      </c>
      <c r="B373" t="str">
        <f>"1552374593701018"</f>
        <v>1552374593701018</v>
      </c>
      <c r="C373" t="s">
        <v>40</v>
      </c>
      <c r="D373">
        <v>5.2797549999999998</v>
      </c>
      <c r="E373">
        <v>0.48931609999999998</v>
      </c>
      <c r="F373" t="s">
        <v>42</v>
      </c>
      <c r="G373">
        <v>-385.76209999999998</v>
      </c>
      <c r="H373" s="1">
        <v>-2.1165150000000002E-6</v>
      </c>
      <c r="I373">
        <v>367.83390000000003</v>
      </c>
      <c r="J373">
        <v>-426.2912</v>
      </c>
      <c r="K373">
        <v>1.0600719999999999</v>
      </c>
      <c r="L373">
        <v>367.28280000000001</v>
      </c>
      <c r="M373">
        <v>0.99994419999999995</v>
      </c>
      <c r="N373">
        <v>0</v>
      </c>
      <c r="O373">
        <v>3.598567E-3</v>
      </c>
      <c r="P373">
        <v>0.99707239999999997</v>
      </c>
      <c r="Q373">
        <v>7.5312749999999998E-2</v>
      </c>
      <c r="R373">
        <v>-1.321117E-2</v>
      </c>
      <c r="S373">
        <v>3.0152589999999999</v>
      </c>
      <c r="T373">
        <v>-7.857335E-2</v>
      </c>
      <c r="U373">
        <v>4.0893550000000001E-2</v>
      </c>
      <c r="V373">
        <v>1.68028E-2</v>
      </c>
      <c r="W373">
        <v>8.5216829999999993E-2</v>
      </c>
      <c r="X373">
        <v>0.99622080000000002</v>
      </c>
      <c r="Y373">
        <v>-9.9602969999999999E-3</v>
      </c>
      <c r="Z373" s="1">
        <v>3.5990379999999999E-5</v>
      </c>
      <c r="AA373">
        <v>0.99995040000000002</v>
      </c>
      <c r="AB373">
        <v>26</v>
      </c>
      <c r="AC373">
        <v>40.5291</v>
      </c>
      <c r="AD373">
        <v>-1.0600741165149901</v>
      </c>
      <c r="AE373">
        <v>0.55110000000001902</v>
      </c>
      <c r="AF373">
        <v>-0.404965557523917</v>
      </c>
      <c r="AG373">
        <v>-1.0600741165149901</v>
      </c>
      <c r="AH373">
        <v>40.503116553075301</v>
      </c>
      <c r="AI373">
        <v>91.499165533292697</v>
      </c>
      <c r="AJ373">
        <v>90.5728458977607</v>
      </c>
      <c r="AK373">
        <v>40.519010411747303</v>
      </c>
      <c r="AL373">
        <v>85.111506751506596</v>
      </c>
      <c r="AM373">
        <v>89.033709949568305</v>
      </c>
      <c r="AN373">
        <v>1.00000006227786</v>
      </c>
    </row>
    <row r="374" spans="1:40" x14ac:dyDescent="0.25">
      <c r="A374" t="str">
        <f>"20190312150953729"</f>
        <v>20190312150953729</v>
      </c>
      <c r="B374" t="str">
        <f>"1552374593721514"</f>
        <v>1552374593721514</v>
      </c>
      <c r="C374" t="s">
        <v>40</v>
      </c>
      <c r="D374">
        <v>5.211462</v>
      </c>
      <c r="E374">
        <v>0.4886259</v>
      </c>
      <c r="F374" t="s">
        <v>45</v>
      </c>
      <c r="G374">
        <v>-158.19499999999999</v>
      </c>
      <c r="H374">
        <v>5.5504720000000001</v>
      </c>
      <c r="I374">
        <v>371.45850000000002</v>
      </c>
      <c r="J374">
        <v>-426.04660000000001</v>
      </c>
      <c r="K374">
        <v>1.0600700000000001</v>
      </c>
      <c r="L374">
        <v>367.28370000000001</v>
      </c>
      <c r="M374">
        <v>0.99994369999999999</v>
      </c>
      <c r="N374">
        <v>0</v>
      </c>
      <c r="O374">
        <v>3.598899E-3</v>
      </c>
      <c r="P374">
        <v>0.99708370000000002</v>
      </c>
      <c r="Q374">
        <v>7.5045089999999995E-2</v>
      </c>
      <c r="R374">
        <v>-1.387963E-2</v>
      </c>
      <c r="S374">
        <v>3.005646</v>
      </c>
      <c r="T374">
        <v>5.0343159999999998E-2</v>
      </c>
      <c r="U374">
        <v>4.6813960000000002E-2</v>
      </c>
      <c r="V374">
        <v>1.747137E-2</v>
      </c>
      <c r="W374">
        <v>8.4989729999999999E-2</v>
      </c>
      <c r="X374">
        <v>0.99622860000000002</v>
      </c>
      <c r="Y374">
        <v>-1.197354E-2</v>
      </c>
      <c r="Z374" s="1">
        <v>-3.9988019999999999E-5</v>
      </c>
      <c r="AA374">
        <v>0.99992829999999999</v>
      </c>
      <c r="AB374">
        <v>26</v>
      </c>
      <c r="AC374">
        <v>267.85160000000002</v>
      </c>
      <c r="AD374">
        <v>4.4904019999999996</v>
      </c>
      <c r="AE374">
        <v>4.1748000000000003</v>
      </c>
      <c r="AF374">
        <v>-3.20985216830424</v>
      </c>
      <c r="AG374">
        <v>4.4904019999999996</v>
      </c>
      <c r="AH374">
        <v>267.78964691878599</v>
      </c>
      <c r="AI374">
        <v>89.039400885609197</v>
      </c>
      <c r="AJ374">
        <v>90.686741168489206</v>
      </c>
      <c r="AK374">
        <v>267.84652668636897</v>
      </c>
      <c r="AL374">
        <v>85.124565515296894</v>
      </c>
      <c r="AM374">
        <v>88.995277635446499</v>
      </c>
      <c r="AN374">
        <v>0.99999996321655404</v>
      </c>
    </row>
    <row r="375" spans="1:40" x14ac:dyDescent="0.25">
      <c r="A375" t="str">
        <f>"20190312150953750"</f>
        <v>20190312150953750</v>
      </c>
      <c r="B375" t="str">
        <f>"1552374593741034"</f>
        <v>1552374593741034</v>
      </c>
      <c r="C375" t="s">
        <v>40</v>
      </c>
      <c r="D375">
        <v>5.180345</v>
      </c>
      <c r="E375">
        <v>0.4886201</v>
      </c>
      <c r="F375" t="s">
        <v>45</v>
      </c>
      <c r="G375">
        <v>-158.19499999999999</v>
      </c>
      <c r="H375">
        <v>5.9177210000000002</v>
      </c>
      <c r="I375">
        <v>371.76609999999999</v>
      </c>
      <c r="J375">
        <v>-425.78629999999998</v>
      </c>
      <c r="K375">
        <v>1.060071</v>
      </c>
      <c r="L375">
        <v>367.28460000000001</v>
      </c>
      <c r="M375">
        <v>0.99994340000000004</v>
      </c>
      <c r="N375">
        <v>0</v>
      </c>
      <c r="O375">
        <v>3.5989799999999999E-3</v>
      </c>
      <c r="P375">
        <v>0.99710080000000001</v>
      </c>
      <c r="Q375">
        <v>7.4751349999999994E-2</v>
      </c>
      <c r="R375">
        <v>-1.422781E-2</v>
      </c>
      <c r="S375">
        <v>3.005341</v>
      </c>
      <c r="T375">
        <v>5.4504629999999998E-2</v>
      </c>
      <c r="U375">
        <v>5.0292969999999999E-2</v>
      </c>
      <c r="V375">
        <v>1.7819729999999999E-2</v>
      </c>
      <c r="W375">
        <v>8.4739330000000002E-2</v>
      </c>
      <c r="X375">
        <v>0.99624380000000001</v>
      </c>
      <c r="Y375">
        <v>-1.313186E-2</v>
      </c>
      <c r="Z375" s="1">
        <v>-5.3797520000000003E-5</v>
      </c>
      <c r="AA375">
        <v>0.99991379999999996</v>
      </c>
      <c r="AB375">
        <v>26</v>
      </c>
      <c r="AC375">
        <v>267.59129999999999</v>
      </c>
      <c r="AD375">
        <v>4.8576499999999996</v>
      </c>
      <c r="AE375">
        <v>4.4814999999999801</v>
      </c>
      <c r="AF375">
        <v>-3.5172082258194699</v>
      </c>
      <c r="AG375">
        <v>4.8576499999999996</v>
      </c>
      <c r="AH375">
        <v>267.51756336483697</v>
      </c>
      <c r="AI375">
        <v>88.959813284960504</v>
      </c>
      <c r="AJ375">
        <v>90.753257371612307</v>
      </c>
      <c r="AK375">
        <v>267.584779510879</v>
      </c>
      <c r="AL375">
        <v>85.138964516297307</v>
      </c>
      <c r="AM375">
        <v>88.975264432659898</v>
      </c>
      <c r="AN375">
        <v>1.00000000293228</v>
      </c>
    </row>
    <row r="376" spans="1:40" x14ac:dyDescent="0.25">
      <c r="A376" t="str">
        <f>"20190312150953763"</f>
        <v>20190312150953763</v>
      </c>
      <c r="B376" t="str">
        <f>"1552374593761530"</f>
        <v>1552374593761530</v>
      </c>
      <c r="C376" t="s">
        <v>40</v>
      </c>
      <c r="D376">
        <v>4.8792039999999997</v>
      </c>
      <c r="E376">
        <v>0.48873159999999999</v>
      </c>
      <c r="F376" t="s">
        <v>45</v>
      </c>
      <c r="G376">
        <v>-158.19499999999999</v>
      </c>
      <c r="H376">
        <v>5.9555280000000002</v>
      </c>
      <c r="I376">
        <v>371.6567</v>
      </c>
      <c r="J376">
        <v>-425.64499999999998</v>
      </c>
      <c r="K376">
        <v>1.060076</v>
      </c>
      <c r="L376">
        <v>367.2851</v>
      </c>
      <c r="M376">
        <v>0.99994320000000003</v>
      </c>
      <c r="N376">
        <v>0</v>
      </c>
      <c r="O376">
        <v>3.5990369999999998E-3</v>
      </c>
      <c r="P376">
        <v>0.99709190000000003</v>
      </c>
      <c r="Q376">
        <v>7.4855669999999999E-2</v>
      </c>
      <c r="R376">
        <v>-1.430873E-2</v>
      </c>
      <c r="S376">
        <v>3.0053100000000001</v>
      </c>
      <c r="T376">
        <v>5.4981710000000003E-2</v>
      </c>
      <c r="U376">
        <v>4.9102779999999999E-2</v>
      </c>
      <c r="V376">
        <v>1.7900679999999999E-2</v>
      </c>
      <c r="W376">
        <v>8.4867620000000005E-2</v>
      </c>
      <c r="X376">
        <v>0.99623139999999999</v>
      </c>
      <c r="Y376">
        <v>-1.273612E-2</v>
      </c>
      <c r="Z376" s="1">
        <v>-5.0648539999999997E-5</v>
      </c>
      <c r="AA376">
        <v>0.99991890000000005</v>
      </c>
      <c r="AB376">
        <v>26</v>
      </c>
      <c r="AC376">
        <v>267.45</v>
      </c>
      <c r="AD376">
        <v>4.8954519999999997</v>
      </c>
      <c r="AE376">
        <v>4.3715999999999999</v>
      </c>
      <c r="AF376">
        <v>-3.4078193363872802</v>
      </c>
      <c r="AG376">
        <v>4.8954519999999997</v>
      </c>
      <c r="AH376">
        <v>267.374444037827</v>
      </c>
      <c r="AI376">
        <v>88.951153948880702</v>
      </c>
      <c r="AJ376">
        <v>90.730223467019698</v>
      </c>
      <c r="AK376">
        <v>267.44096920152498</v>
      </c>
      <c r="AL376">
        <v>85.131587329137503</v>
      </c>
      <c r="AM376">
        <v>88.970597537866396</v>
      </c>
      <c r="AN376">
        <v>0.99999997480744296</v>
      </c>
    </row>
    <row r="377" spans="1:40" x14ac:dyDescent="0.25">
      <c r="A377" t="str">
        <f>"20190312150953784"</f>
        <v>20190312150953784</v>
      </c>
      <c r="B377" t="str">
        <f>"1552374593781050"</f>
        <v>1552374593781050</v>
      </c>
      <c r="C377" t="s">
        <v>40</v>
      </c>
      <c r="D377">
        <v>5.1067640000000001</v>
      </c>
      <c r="E377">
        <v>0.48851559999999999</v>
      </c>
      <c r="F377" t="s">
        <v>45</v>
      </c>
      <c r="G377">
        <v>-158.19499999999999</v>
      </c>
      <c r="H377">
        <v>5.9006910000000001</v>
      </c>
      <c r="I377">
        <v>371.54629999999997</v>
      </c>
      <c r="J377">
        <v>-425.3972</v>
      </c>
      <c r="K377">
        <v>1.0600810000000001</v>
      </c>
      <c r="L377">
        <v>367.286</v>
      </c>
      <c r="M377">
        <v>0.99994269999999996</v>
      </c>
      <c r="N377">
        <v>0</v>
      </c>
      <c r="O377">
        <v>3.59918E-3</v>
      </c>
      <c r="P377">
        <v>0.99715520000000002</v>
      </c>
      <c r="Q377">
        <v>7.4005509999999997E-2</v>
      </c>
      <c r="R377">
        <v>-1.431808E-2</v>
      </c>
      <c r="S377">
        <v>3.0053100000000001</v>
      </c>
      <c r="T377">
        <v>5.4394480000000002E-2</v>
      </c>
      <c r="U377">
        <v>4.788208E-2</v>
      </c>
      <c r="V377">
        <v>1.791042E-2</v>
      </c>
      <c r="W377">
        <v>8.4060360000000001E-2</v>
      </c>
      <c r="X377">
        <v>0.99629970000000001</v>
      </c>
      <c r="Y377">
        <v>-1.2330030000000001E-2</v>
      </c>
      <c r="Z377" s="1">
        <v>-4.6430749999999999E-5</v>
      </c>
      <c r="AA377">
        <v>0.99992400000000004</v>
      </c>
      <c r="AB377">
        <v>26</v>
      </c>
      <c r="AC377">
        <v>267.2022</v>
      </c>
      <c r="AD377">
        <v>4.8406099999999999</v>
      </c>
      <c r="AE377">
        <v>4.2602999999999698</v>
      </c>
      <c r="AF377">
        <v>-3.2974328132678901</v>
      </c>
      <c r="AG377">
        <v>4.8406099999999999</v>
      </c>
      <c r="AH377">
        <v>267.12815804620601</v>
      </c>
      <c r="AI377">
        <v>88.961940017476707</v>
      </c>
      <c r="AJ377">
        <v>90.707223789863903</v>
      </c>
      <c r="AK377">
        <v>267.19236027530599</v>
      </c>
      <c r="AL377">
        <v>85.178005966330105</v>
      </c>
      <c r="AM377">
        <v>88.970108139305594</v>
      </c>
      <c r="AN377">
        <v>1.0000000097439901</v>
      </c>
    </row>
    <row r="378" spans="1:40" x14ac:dyDescent="0.25">
      <c r="A378" t="str">
        <f>"20190312150953796"</f>
        <v>20190312150953796</v>
      </c>
      <c r="B378" t="str">
        <f>"1552374593790811"</f>
        <v>1552374593790811</v>
      </c>
      <c r="C378" t="s">
        <v>40</v>
      </c>
      <c r="D378">
        <v>4.9876230000000001</v>
      </c>
      <c r="E378">
        <v>0.48864439999999998</v>
      </c>
      <c r="F378" t="s">
        <v>45</v>
      </c>
      <c r="G378">
        <v>-158.19499999999999</v>
      </c>
      <c r="H378">
        <v>5.6060679999999996</v>
      </c>
      <c r="I378">
        <v>371.68680000000001</v>
      </c>
      <c r="J378">
        <v>-425.25170000000003</v>
      </c>
      <c r="K378">
        <v>1.060079</v>
      </c>
      <c r="L378">
        <v>367.28660000000002</v>
      </c>
      <c r="M378">
        <v>0.99994249999999996</v>
      </c>
      <c r="N378">
        <v>0</v>
      </c>
      <c r="O378">
        <v>3.5992329999999999E-3</v>
      </c>
      <c r="P378">
        <v>0.99717299999999998</v>
      </c>
      <c r="Q378">
        <v>7.3778759999999999E-2</v>
      </c>
      <c r="R378">
        <v>-1.425093E-2</v>
      </c>
      <c r="S378">
        <v>3.0054630000000002</v>
      </c>
      <c r="T378">
        <v>5.1133749999999999E-2</v>
      </c>
      <c r="U378">
        <v>4.9499509999999997E-2</v>
      </c>
      <c r="V378">
        <v>1.784326E-2</v>
      </c>
      <c r="W378">
        <v>8.3858909999999995E-2</v>
      </c>
      <c r="X378">
        <v>0.99631789999999998</v>
      </c>
      <c r="Y378">
        <v>-1.286724E-2</v>
      </c>
      <c r="Z378" s="1">
        <v>-4.8213780000000001E-5</v>
      </c>
      <c r="AA378">
        <v>0.99991719999999895</v>
      </c>
      <c r="AB378">
        <v>26</v>
      </c>
      <c r="AC378">
        <v>267.05669999999998</v>
      </c>
      <c r="AD378">
        <v>4.5459889999999996</v>
      </c>
      <c r="AE378">
        <v>4.4001999999999803</v>
      </c>
      <c r="AF378">
        <v>-3.43792723362963</v>
      </c>
      <c r="AG378">
        <v>4.5459889999999996</v>
      </c>
      <c r="AH378">
        <v>266.99346312691603</v>
      </c>
      <c r="AI378">
        <v>89.024623185315306</v>
      </c>
      <c r="AJ378">
        <v>90.737725309784395</v>
      </c>
      <c r="AK378">
        <v>267.05429169394699</v>
      </c>
      <c r="AL378">
        <v>85.189589188660506</v>
      </c>
      <c r="AM378">
        <v>88.973987911106803</v>
      </c>
      <c r="AN378">
        <v>1.00000002828711</v>
      </c>
    </row>
    <row r="379" spans="1:40" x14ac:dyDescent="0.25">
      <c r="A379" t="str">
        <f>"20190312150953819"</f>
        <v>20190312150953819</v>
      </c>
      <c r="B379" t="str">
        <f>"1552374593811308"</f>
        <v>1552374593811308</v>
      </c>
      <c r="C379" t="s">
        <v>40</v>
      </c>
      <c r="D379">
        <v>5.1049910000000001</v>
      </c>
      <c r="E379">
        <v>0.4887553</v>
      </c>
      <c r="F379" t="s">
        <v>45</v>
      </c>
      <c r="G379">
        <v>-158.19499999999999</v>
      </c>
      <c r="H379">
        <v>5.4373459999999998</v>
      </c>
      <c r="I379">
        <v>371.6198</v>
      </c>
      <c r="J379">
        <v>-424.99310000000003</v>
      </c>
      <c r="K379">
        <v>1.0600799999999999</v>
      </c>
      <c r="L379">
        <v>367.28750000000002</v>
      </c>
      <c r="M379">
        <v>0.99994190000000005</v>
      </c>
      <c r="N379">
        <v>0</v>
      </c>
      <c r="O379">
        <v>3.5993179999999998E-3</v>
      </c>
      <c r="P379">
        <v>0.99719970000000002</v>
      </c>
      <c r="Q379">
        <v>7.3455069999999997E-2</v>
      </c>
      <c r="R379">
        <v>-1.4033769999999999E-2</v>
      </c>
      <c r="S379">
        <v>3.0055239999999999</v>
      </c>
      <c r="T379">
        <v>4.9263830000000002E-2</v>
      </c>
      <c r="U379">
        <v>4.8767089999999999E-2</v>
      </c>
      <c r="V379">
        <v>1.762648E-2</v>
      </c>
      <c r="W379">
        <v>8.3576659999999997E-2</v>
      </c>
      <c r="X379">
        <v>0.9963455</v>
      </c>
      <c r="Y379">
        <v>-1.262334E-2</v>
      </c>
      <c r="Z379" s="1">
        <v>-4.4449990000000002E-5</v>
      </c>
      <c r="AA379">
        <v>0.99992029999999998</v>
      </c>
      <c r="AB379">
        <v>26</v>
      </c>
      <c r="AC379">
        <v>266.79809999999998</v>
      </c>
      <c r="AD379">
        <v>4.3772659999999997</v>
      </c>
      <c r="AE379">
        <v>4.3322999999999698</v>
      </c>
      <c r="AF379">
        <v>-3.3710239877663302</v>
      </c>
      <c r="AG379">
        <v>4.3772659999999997</v>
      </c>
      <c r="AH379">
        <v>266.74018394690398</v>
      </c>
      <c r="AI379">
        <v>89.059922902858901</v>
      </c>
      <c r="AJ379">
        <v>90.724057254877806</v>
      </c>
      <c r="AK379">
        <v>266.79739502549302</v>
      </c>
      <c r="AL379">
        <v>85.205818012206507</v>
      </c>
      <c r="AM379">
        <v>88.9864785148783</v>
      </c>
      <c r="AN379">
        <v>1.0000000531320901</v>
      </c>
    </row>
    <row r="380" spans="1:40" x14ac:dyDescent="0.25">
      <c r="A380" t="str">
        <f>"20190312150953842"</f>
        <v>20190312150953842</v>
      </c>
      <c r="B380" t="str">
        <f>"1552374593830826"</f>
        <v>1552374593830826</v>
      </c>
      <c r="C380" t="s">
        <v>40</v>
      </c>
      <c r="D380">
        <v>4.9898949999999997</v>
      </c>
      <c r="E380">
        <v>0.48867379999999999</v>
      </c>
      <c r="F380" t="s">
        <v>45</v>
      </c>
      <c r="G380">
        <v>-158.19499999999999</v>
      </c>
      <c r="H380">
        <v>5.2128009999999998</v>
      </c>
      <c r="I380">
        <v>371.57850000000002</v>
      </c>
      <c r="J380">
        <v>-424.72469999999998</v>
      </c>
      <c r="K380">
        <v>1.0600860000000001</v>
      </c>
      <c r="L380">
        <v>367.2885</v>
      </c>
      <c r="M380">
        <v>0.99994159999999999</v>
      </c>
      <c r="N380">
        <v>0</v>
      </c>
      <c r="O380">
        <v>3.5994709999999999E-3</v>
      </c>
      <c r="P380">
        <v>0.99724330000000005</v>
      </c>
      <c r="Q380">
        <v>7.2890540000000004E-2</v>
      </c>
      <c r="R380">
        <v>-1.3892460000000001E-2</v>
      </c>
      <c r="S380">
        <v>3.005646</v>
      </c>
      <c r="T380">
        <v>4.678392E-2</v>
      </c>
      <c r="U380">
        <v>4.8339840000000002E-2</v>
      </c>
      <c r="V380">
        <v>1.748539E-2</v>
      </c>
      <c r="W380">
        <v>8.3052529999999999E-2</v>
      </c>
      <c r="X380">
        <v>0.99639180000000005</v>
      </c>
      <c r="Y380">
        <v>-1.248056E-2</v>
      </c>
      <c r="Z380" s="1">
        <v>-4.1097560000000002E-5</v>
      </c>
      <c r="AA380">
        <v>0.99992210000000004</v>
      </c>
      <c r="AB380">
        <v>26</v>
      </c>
      <c r="AC380">
        <v>266.52969999999999</v>
      </c>
      <c r="AD380">
        <v>4.1527149999999997</v>
      </c>
      <c r="AE380">
        <v>4.2900000000000196</v>
      </c>
      <c r="AF380">
        <v>-3.3297483531303298</v>
      </c>
      <c r="AG380">
        <v>4.1527149999999997</v>
      </c>
      <c r="AH380">
        <v>266.47874272826698</v>
      </c>
      <c r="AI380">
        <v>89.107263811653098</v>
      </c>
      <c r="AJ380">
        <v>90.715894248593401</v>
      </c>
      <c r="AK380">
        <v>266.53189788842298</v>
      </c>
      <c r="AL380">
        <v>85.235953158070799</v>
      </c>
      <c r="AM380">
        <v>88.994636218446601</v>
      </c>
      <c r="AN380">
        <v>1.00000004035504</v>
      </c>
    </row>
    <row r="381" spans="1:40" x14ac:dyDescent="0.25">
      <c r="A381" t="str">
        <f>"20190312150953863"</f>
        <v>20190312150953863</v>
      </c>
      <c r="B381" t="str">
        <f>"1552374593861059"</f>
        <v>1552374593861059</v>
      </c>
      <c r="C381" t="s">
        <v>40</v>
      </c>
      <c r="D381">
        <v>5.9396940000000003</v>
      </c>
      <c r="E381">
        <v>0.48917840000000001</v>
      </c>
      <c r="F381" t="s">
        <v>45</v>
      </c>
      <c r="G381">
        <v>-158.19499999999999</v>
      </c>
      <c r="H381">
        <v>4.9984929999999999</v>
      </c>
      <c r="I381">
        <v>371.6995</v>
      </c>
      <c r="J381">
        <v>-424.46780000000001</v>
      </c>
      <c r="K381">
        <v>1.0600879999999999</v>
      </c>
      <c r="L381">
        <v>367.28949999999998</v>
      </c>
      <c r="M381">
        <v>0.99994119999999997</v>
      </c>
      <c r="N381">
        <v>0</v>
      </c>
      <c r="O381">
        <v>3.5996489999999999E-3</v>
      </c>
      <c r="P381">
        <v>0.99726029999999999</v>
      </c>
      <c r="Q381">
        <v>7.2703699999999996E-2</v>
      </c>
      <c r="R381">
        <v>-1.3648749999999999E-2</v>
      </c>
      <c r="S381">
        <v>3.0057369999999999</v>
      </c>
      <c r="T381">
        <v>4.4415589999999998E-2</v>
      </c>
      <c r="U381">
        <v>4.974365E-2</v>
      </c>
      <c r="V381">
        <v>1.7241780000000002E-2</v>
      </c>
      <c r="W381">
        <v>8.2900470000000004E-2</v>
      </c>
      <c r="X381">
        <v>0.99640859999999998</v>
      </c>
      <c r="Y381">
        <v>-1.2946829999999999E-2</v>
      </c>
      <c r="Z381" s="1">
        <v>-4.2457950000000002E-5</v>
      </c>
      <c r="AA381">
        <v>0.99991620000000003</v>
      </c>
      <c r="AB381">
        <v>26</v>
      </c>
      <c r="AC381">
        <v>266.27280000000002</v>
      </c>
      <c r="AD381">
        <v>3.9384049999999999</v>
      </c>
      <c r="AE381">
        <v>4.4100000000000197</v>
      </c>
      <c r="AF381">
        <v>-3.4506779591161401</v>
      </c>
      <c r="AG381">
        <v>3.9384049999999999</v>
      </c>
      <c r="AH381">
        <v>266.22872318336999</v>
      </c>
      <c r="AI381">
        <v>89.152538557234394</v>
      </c>
      <c r="AJ381">
        <v>90.742587842548602</v>
      </c>
      <c r="AK381">
        <v>266.280211920017</v>
      </c>
      <c r="AL381">
        <v>85.244695188659705</v>
      </c>
      <c r="AM381">
        <v>89.008657046967699</v>
      </c>
      <c r="AN381">
        <v>0.99999993252887198</v>
      </c>
    </row>
    <row r="382" spans="1:40" x14ac:dyDescent="0.25">
      <c r="A382" t="str">
        <f>"20190312150953884"</f>
        <v>20190312150953884</v>
      </c>
      <c r="B382" t="str">
        <f>"1552374593881555"</f>
        <v>1552374593881555</v>
      </c>
      <c r="C382" t="s">
        <v>40</v>
      </c>
      <c r="D382">
        <v>5.1186290000000003</v>
      </c>
      <c r="E382">
        <v>0.5124784</v>
      </c>
      <c r="F382" t="s">
        <v>45</v>
      </c>
      <c r="G382">
        <v>-158.19499999999999</v>
      </c>
      <c r="H382">
        <v>4.790915</v>
      </c>
      <c r="I382">
        <v>371.41770000000002</v>
      </c>
      <c r="J382">
        <v>-424.22059999999999</v>
      </c>
      <c r="K382">
        <v>1.060087</v>
      </c>
      <c r="L382">
        <v>367.2903</v>
      </c>
      <c r="M382">
        <v>0.99994099999999997</v>
      </c>
      <c r="N382">
        <v>0</v>
      </c>
      <c r="O382">
        <v>3.5996629999999999E-3</v>
      </c>
      <c r="P382">
        <v>0.99727869999999996</v>
      </c>
      <c r="Q382">
        <v>7.2436790000000001E-2</v>
      </c>
      <c r="R382">
        <v>-1.372863E-2</v>
      </c>
      <c r="S382">
        <v>3.0057680000000002</v>
      </c>
      <c r="T382">
        <v>4.2115689999999997E-2</v>
      </c>
      <c r="U382">
        <v>4.6600339999999997E-2</v>
      </c>
      <c r="V382">
        <v>1.7321739999999999E-2</v>
      </c>
      <c r="W382">
        <v>8.2665240000000001E-2</v>
      </c>
      <c r="X382">
        <v>0.99642679999999995</v>
      </c>
      <c r="Y382">
        <v>-1.1901439999999999E-2</v>
      </c>
      <c r="Z382" s="1">
        <v>-3.293632E-5</v>
      </c>
      <c r="AA382">
        <v>0.99992919999999996</v>
      </c>
      <c r="AB382">
        <v>26</v>
      </c>
      <c r="AC382">
        <v>266.0256</v>
      </c>
      <c r="AD382">
        <v>3.7308279999999998</v>
      </c>
      <c r="AE382">
        <v>4.1274000000000202</v>
      </c>
      <c r="AF382">
        <v>-3.1690972975232001</v>
      </c>
      <c r="AG382">
        <v>3.7308279999999998</v>
      </c>
      <c r="AH382">
        <v>265.986432289422</v>
      </c>
      <c r="AI382">
        <v>89.196457081427596</v>
      </c>
      <c r="AJ382">
        <v>90.682618685791496</v>
      </c>
      <c r="AK382">
        <v>266.03147260672398</v>
      </c>
      <c r="AL382">
        <v>85.258219503256896</v>
      </c>
      <c r="AM382">
        <v>89.0040787337377</v>
      </c>
      <c r="AN382">
        <v>0.99999997616956204</v>
      </c>
    </row>
    <row r="383" spans="1:40" x14ac:dyDescent="0.25">
      <c r="A383" t="str">
        <f>"20190312150953898"</f>
        <v>20190312150953898</v>
      </c>
      <c r="B383" t="str">
        <f>"1552374593891315"</f>
        <v>1552374593891315</v>
      </c>
      <c r="C383" t="s">
        <v>40</v>
      </c>
      <c r="D383">
        <v>5.0555599999999998</v>
      </c>
      <c r="E383">
        <v>0.51475660000000001</v>
      </c>
      <c r="F383" t="s">
        <v>45</v>
      </c>
      <c r="G383">
        <v>-169.2955</v>
      </c>
      <c r="H383">
        <v>5.5955360000000001</v>
      </c>
      <c r="I383">
        <v>355.41770000000002</v>
      </c>
      <c r="J383">
        <v>-424.06380000000001</v>
      </c>
      <c r="K383">
        <v>1.0600810000000001</v>
      </c>
      <c r="L383">
        <v>367.29090000000002</v>
      </c>
      <c r="M383">
        <v>0.99994079999999996</v>
      </c>
      <c r="N383">
        <v>0</v>
      </c>
      <c r="O383">
        <v>3.5996769999999999E-3</v>
      </c>
      <c r="P383">
        <v>0.99728760000000005</v>
      </c>
      <c r="Q383">
        <v>7.2195839999999997E-2</v>
      </c>
      <c r="R383">
        <v>-1.433765E-2</v>
      </c>
      <c r="S383">
        <v>3.0024109999999999</v>
      </c>
      <c r="T383">
        <v>5.3417800000000001E-2</v>
      </c>
      <c r="U383">
        <v>-0.1398315</v>
      </c>
      <c r="V383">
        <v>1.79309E-2</v>
      </c>
      <c r="W383">
        <v>8.244522E-2</v>
      </c>
      <c r="X383">
        <v>0.9964343</v>
      </c>
      <c r="Y383">
        <v>5.0109840000000003E-2</v>
      </c>
      <c r="Z383">
        <v>5.095004E-4</v>
      </c>
      <c r="AA383">
        <v>0.99874359999999995</v>
      </c>
      <c r="AB383">
        <v>26</v>
      </c>
      <c r="AC383">
        <v>254.76830000000001</v>
      </c>
      <c r="AD383">
        <v>4.5354549999999998</v>
      </c>
      <c r="AE383">
        <v>-11.873199999999899</v>
      </c>
      <c r="AF383">
        <v>12.786211572624699</v>
      </c>
      <c r="AG383">
        <v>4.5354549999999998</v>
      </c>
      <c r="AH383">
        <v>254.64338035682701</v>
      </c>
      <c r="AI383">
        <v>88.980896004552406</v>
      </c>
      <c r="AJ383">
        <v>87.125465435053698</v>
      </c>
      <c r="AK383">
        <v>255.004526857835</v>
      </c>
      <c r="AL383">
        <v>85.270869121065303</v>
      </c>
      <c r="AM383">
        <v>88.969069993038204</v>
      </c>
      <c r="AN383">
        <v>1.0000000228460699</v>
      </c>
    </row>
    <row r="384" spans="1:40" x14ac:dyDescent="0.25">
      <c r="A384" t="str">
        <f>"20190312150953918"</f>
        <v>20190312150953918</v>
      </c>
      <c r="B384" t="str">
        <f>"1552374593910836"</f>
        <v>1552374593910836</v>
      </c>
      <c r="C384" t="s">
        <v>40</v>
      </c>
      <c r="D384">
        <v>5.0012879999999997</v>
      </c>
      <c r="E384">
        <v>0.51519729999999997</v>
      </c>
      <c r="F384" t="s">
        <v>46</v>
      </c>
      <c r="G384">
        <v>-249.7089</v>
      </c>
      <c r="H384">
        <v>4.3156089999999896</v>
      </c>
      <c r="I384">
        <v>357.99900000000002</v>
      </c>
      <c r="J384">
        <v>-423.81889999999999</v>
      </c>
      <c r="K384">
        <v>1.060082</v>
      </c>
      <c r="L384">
        <v>367.29180000000002</v>
      </c>
      <c r="M384">
        <v>0.99994050000000001</v>
      </c>
      <c r="N384">
        <v>0</v>
      </c>
      <c r="O384">
        <v>3.599863E-3</v>
      </c>
      <c r="P384">
        <v>0.99736950000000002</v>
      </c>
      <c r="Q384">
        <v>7.0695030000000006E-2</v>
      </c>
      <c r="R384">
        <v>-1.6023389999999998E-2</v>
      </c>
      <c r="S384">
        <v>3.00177</v>
      </c>
      <c r="T384">
        <v>5.6050059999999999E-2</v>
      </c>
      <c r="U384">
        <v>-0.15997310000000001</v>
      </c>
      <c r="V384">
        <v>1.9617010000000001E-2</v>
      </c>
      <c r="W384">
        <v>8.0977679999999996E-2</v>
      </c>
      <c r="X384">
        <v>0.99652280000000004</v>
      </c>
      <c r="Y384">
        <v>5.6801539999999998E-2</v>
      </c>
      <c r="Z384">
        <v>5.9705629999999999E-4</v>
      </c>
      <c r="AA384">
        <v>0.99838530000000003</v>
      </c>
      <c r="AB384">
        <v>26</v>
      </c>
      <c r="AC384">
        <v>174.11</v>
      </c>
      <c r="AD384">
        <v>3.2555269999999901</v>
      </c>
      <c r="AE384">
        <v>-9.2927999999999997</v>
      </c>
      <c r="AF384">
        <v>9.9160881548531297</v>
      </c>
      <c r="AG384">
        <v>3.2555269999999901</v>
      </c>
      <c r="AH384">
        <v>174.01475108447201</v>
      </c>
      <c r="AI384">
        <v>88.929951665190899</v>
      </c>
      <c r="AJ384">
        <v>86.738574015073397</v>
      </c>
      <c r="AK384">
        <v>174.32745295946199</v>
      </c>
      <c r="AL384">
        <v>85.355234759653797</v>
      </c>
      <c r="AM384">
        <v>88.872251866978104</v>
      </c>
      <c r="AN384">
        <v>0.99999995132968</v>
      </c>
    </row>
    <row r="385" spans="1:40" x14ac:dyDescent="0.25">
      <c r="A385" t="str">
        <f>"20190312150953941"</f>
        <v>20190312150953941</v>
      </c>
      <c r="B385" t="str">
        <f>"1552374593931334"</f>
        <v>1552374593931334</v>
      </c>
      <c r="C385" t="s">
        <v>40</v>
      </c>
      <c r="D385">
        <v>5.3484410000000002</v>
      </c>
      <c r="E385">
        <v>0.51523180000000002</v>
      </c>
      <c r="F385" t="s">
        <v>45</v>
      </c>
      <c r="G385">
        <v>-158.78319999999999</v>
      </c>
      <c r="H385">
        <v>5.9531549999999998</v>
      </c>
      <c r="I385">
        <v>352.41550000000001</v>
      </c>
      <c r="J385">
        <v>-423.55349999999999</v>
      </c>
      <c r="K385">
        <v>1.060082</v>
      </c>
      <c r="L385">
        <v>367.29270000000002</v>
      </c>
      <c r="M385">
        <v>0.99994000000000005</v>
      </c>
      <c r="N385">
        <v>0</v>
      </c>
      <c r="O385">
        <v>3.600036E-3</v>
      </c>
      <c r="P385">
        <v>0.99738009999999999</v>
      </c>
      <c r="Q385">
        <v>7.0032999999999998E-2</v>
      </c>
      <c r="R385">
        <v>-1.812503E-2</v>
      </c>
      <c r="S385">
        <v>3.0012210000000001</v>
      </c>
      <c r="T385">
        <v>5.5409310000000003E-2</v>
      </c>
      <c r="U385">
        <v>-0.168457</v>
      </c>
      <c r="V385">
        <v>2.171884E-2</v>
      </c>
      <c r="W385">
        <v>8.0351249999999999E-2</v>
      </c>
      <c r="X385">
        <v>0.99652989999999997</v>
      </c>
      <c r="Y385">
        <v>5.9624759999999999E-2</v>
      </c>
      <c r="Z385">
        <v>6.1633619999999995E-4</v>
      </c>
      <c r="AA385">
        <v>0.99822069999999996</v>
      </c>
      <c r="AB385">
        <v>26</v>
      </c>
      <c r="AC385">
        <v>264.77030000000002</v>
      </c>
      <c r="AD385">
        <v>4.8930730000000002</v>
      </c>
      <c r="AE385">
        <v>-14.8772</v>
      </c>
      <c r="AF385">
        <v>15.8249495762031</v>
      </c>
      <c r="AG385">
        <v>4.8930730000000002</v>
      </c>
      <c r="AH385">
        <v>264.62493066309599</v>
      </c>
      <c r="AI385">
        <v>88.942576204135605</v>
      </c>
      <c r="AJ385">
        <v>86.577706117194595</v>
      </c>
      <c r="AK385">
        <v>265.14283909040603</v>
      </c>
      <c r="AL385">
        <v>85.391243831171806</v>
      </c>
      <c r="AM385">
        <v>88.751466569285199</v>
      </c>
      <c r="AN385">
        <v>0.99999993649075702</v>
      </c>
    </row>
    <row r="386" spans="1:40" x14ac:dyDescent="0.25">
      <c r="A386" t="str">
        <f>"20190312150953963"</f>
        <v>20190312150953963</v>
      </c>
      <c r="B386" t="str">
        <f>"1552374593961587"</f>
        <v>1552374593961587</v>
      </c>
      <c r="C386" t="s">
        <v>40</v>
      </c>
      <c r="D386">
        <v>4.8940140000000003</v>
      </c>
      <c r="E386">
        <v>0.51587910000000003</v>
      </c>
      <c r="F386" t="s">
        <v>45</v>
      </c>
      <c r="G386">
        <v>-158.78319999999999</v>
      </c>
      <c r="H386">
        <v>6.1380309999999998</v>
      </c>
      <c r="I386">
        <v>351.86290000000002</v>
      </c>
      <c r="J386">
        <v>-423.28440000000001</v>
      </c>
      <c r="K386">
        <v>1.060084</v>
      </c>
      <c r="L386">
        <v>367.2937</v>
      </c>
      <c r="M386">
        <v>0.99993969999999999</v>
      </c>
      <c r="N386">
        <v>0</v>
      </c>
      <c r="O386">
        <v>3.600153E-3</v>
      </c>
      <c r="P386">
        <v>0.99735090000000004</v>
      </c>
      <c r="Q386">
        <v>6.9926530000000001E-2</v>
      </c>
      <c r="R386">
        <v>-2.004104E-2</v>
      </c>
      <c r="S386">
        <v>3.0006409999999999</v>
      </c>
      <c r="T386">
        <v>5.7549360000000001E-2</v>
      </c>
      <c r="U386">
        <v>-0.17486570000000001</v>
      </c>
      <c r="V386">
        <v>2.3634809999999999E-2</v>
      </c>
      <c r="W386">
        <v>8.027948E-2</v>
      </c>
      <c r="X386">
        <v>0.99649209999999999</v>
      </c>
      <c r="Y386">
        <v>6.1759319999999999E-2</v>
      </c>
      <c r="Z386">
        <v>6.606734E-4</v>
      </c>
      <c r="AA386">
        <v>0.9980909</v>
      </c>
      <c r="AB386">
        <v>26</v>
      </c>
      <c r="AC386">
        <v>264.50119999999998</v>
      </c>
      <c r="AD386">
        <v>5.077947</v>
      </c>
      <c r="AE386">
        <v>-15.4307999999999</v>
      </c>
      <c r="AF386">
        <v>16.376980424832901</v>
      </c>
      <c r="AG386">
        <v>5.077947</v>
      </c>
      <c r="AH386">
        <v>264.34682939570303</v>
      </c>
      <c r="AI386">
        <v>88.901622466759903</v>
      </c>
      <c r="AJ386">
        <v>86.454906838080305</v>
      </c>
      <c r="AK386">
        <v>264.90231642084802</v>
      </c>
      <c r="AL386">
        <v>85.395369349527996</v>
      </c>
      <c r="AM386">
        <v>88.641312840703407</v>
      </c>
      <c r="AN386">
        <v>0.99999995225760696</v>
      </c>
    </row>
    <row r="387" spans="1:40" x14ac:dyDescent="0.25">
      <c r="A387" t="str">
        <f>"20190312150953985"</f>
        <v>20190312150953985</v>
      </c>
      <c r="B387" t="str">
        <f>"1552374593981107"</f>
        <v>1552374593981107</v>
      </c>
      <c r="C387" t="s">
        <v>40</v>
      </c>
      <c r="D387">
        <v>5.350447</v>
      </c>
      <c r="E387">
        <v>0.51591469999999995</v>
      </c>
      <c r="F387" t="s">
        <v>45</v>
      </c>
      <c r="G387">
        <v>-158.78319999999999</v>
      </c>
      <c r="H387">
        <v>5.385948</v>
      </c>
      <c r="I387">
        <v>350.93619999999999</v>
      </c>
      <c r="J387">
        <v>-423.02170000000001</v>
      </c>
      <c r="K387">
        <v>1.06009</v>
      </c>
      <c r="L387">
        <v>367.2946</v>
      </c>
      <c r="M387">
        <v>0.99993920000000003</v>
      </c>
      <c r="N387">
        <v>0</v>
      </c>
      <c r="O387">
        <v>3.6003039999999999E-3</v>
      </c>
      <c r="P387">
        <v>0.99729250000000003</v>
      </c>
      <c r="Q387">
        <v>7.041886E-2</v>
      </c>
      <c r="R387">
        <v>-2.1187259999999999E-2</v>
      </c>
      <c r="S387">
        <v>3.0007929999999998</v>
      </c>
      <c r="T387">
        <v>4.907835E-2</v>
      </c>
      <c r="U387">
        <v>-0.1855774</v>
      </c>
      <c r="V387">
        <v>2.478089E-2</v>
      </c>
      <c r="W387">
        <v>8.0810380000000001E-2</v>
      </c>
      <c r="X387">
        <v>0.99642140000000001</v>
      </c>
      <c r="Y387">
        <v>6.5308909999999998E-2</v>
      </c>
      <c r="Z387">
        <v>5.9235029999999897E-4</v>
      </c>
      <c r="AA387">
        <v>0.99786490000000005</v>
      </c>
      <c r="AB387">
        <v>26</v>
      </c>
      <c r="AC387">
        <v>264.23849999999999</v>
      </c>
      <c r="AD387">
        <v>4.3258580000000002</v>
      </c>
      <c r="AE387">
        <v>-16.3584</v>
      </c>
      <c r="AF387">
        <v>17.3050643373174</v>
      </c>
      <c r="AG387">
        <v>4.3258580000000002</v>
      </c>
      <c r="AH387">
        <v>264.10737545426201</v>
      </c>
      <c r="AI387">
        <v>89.063634453575801</v>
      </c>
      <c r="AJ387">
        <v>86.251176756451201</v>
      </c>
      <c r="AK387">
        <v>264.70905550905002</v>
      </c>
      <c r="AL387">
        <v>85.364852126289605</v>
      </c>
      <c r="AM387">
        <v>88.575353972721899</v>
      </c>
      <c r="AN387">
        <v>1.00000000820144</v>
      </c>
    </row>
    <row r="388" spans="1:40" x14ac:dyDescent="0.25">
      <c r="A388" t="str">
        <f>"20190312150954007"</f>
        <v>20190312150954007</v>
      </c>
      <c r="B388" t="str">
        <f>"1552374594000627"</f>
        <v>1552374594000627</v>
      </c>
      <c r="C388" t="s">
        <v>40</v>
      </c>
      <c r="D388">
        <v>5.2405889999999999</v>
      </c>
      <c r="E388">
        <v>0.51482950000000005</v>
      </c>
      <c r="F388" t="s">
        <v>44</v>
      </c>
      <c r="G388">
        <v>0</v>
      </c>
      <c r="H388">
        <v>0</v>
      </c>
      <c r="I388">
        <v>0</v>
      </c>
      <c r="J388">
        <v>-422.76490000000001</v>
      </c>
      <c r="K388">
        <v>1.0601</v>
      </c>
      <c r="L388">
        <v>367.29559999999998</v>
      </c>
      <c r="M388">
        <v>0.99993869999999896</v>
      </c>
      <c r="N388">
        <v>0</v>
      </c>
      <c r="O388">
        <v>3.6003710000000002E-3</v>
      </c>
      <c r="P388">
        <v>0.99724800000000002</v>
      </c>
      <c r="Q388">
        <v>7.0939000000000002E-2</v>
      </c>
      <c r="R388">
        <v>-2.154182E-2</v>
      </c>
      <c r="S388">
        <v>3.000305</v>
      </c>
      <c r="T388">
        <v>5.3487420000000001E-2</v>
      </c>
      <c r="U388">
        <v>-0.18966669999999999</v>
      </c>
      <c r="V388">
        <v>2.5135609999999999E-2</v>
      </c>
      <c r="W388">
        <v>8.1384490000000004E-2</v>
      </c>
      <c r="X388">
        <v>0.99636579999999997</v>
      </c>
      <c r="Y388">
        <v>6.6671739999999993E-2</v>
      </c>
      <c r="Z388">
        <v>6.5777109999999995E-4</v>
      </c>
      <c r="AA388">
        <v>0.99777470000000001</v>
      </c>
      <c r="AB388">
        <v>26</v>
      </c>
      <c r="AC388">
        <v>3.000305</v>
      </c>
      <c r="AD388">
        <v>5.3487420000000001E-2</v>
      </c>
      <c r="AE388">
        <v>-0.18966669999999999</v>
      </c>
      <c r="AF388">
        <v>0.20040483600091999</v>
      </c>
      <c r="AG388">
        <v>5.3487420000000001E-2</v>
      </c>
      <c r="AH388">
        <v>2.9986534243430301</v>
      </c>
      <c r="AI388">
        <v>88.980389170555</v>
      </c>
      <c r="AJ388">
        <v>86.176516531983097</v>
      </c>
      <c r="AK388">
        <v>3.0058185842986198</v>
      </c>
      <c r="AL388">
        <v>85.331849399570302</v>
      </c>
      <c r="AM388">
        <v>88.554889207915707</v>
      </c>
      <c r="AN388">
        <v>1.0000000207561299</v>
      </c>
    </row>
    <row r="389" spans="1:40" x14ac:dyDescent="0.25">
      <c r="A389" t="str">
        <f>"20190312150954031"</f>
        <v>20190312150954031</v>
      </c>
      <c r="B389" t="str">
        <f>"1552374594021123"</f>
        <v>1552374594021123</v>
      </c>
      <c r="C389" t="s">
        <v>40</v>
      </c>
      <c r="D389">
        <v>4.7836049999999997</v>
      </c>
      <c r="E389">
        <v>0.51466290000000003</v>
      </c>
      <c r="F389" t="s">
        <v>45</v>
      </c>
      <c r="G389">
        <v>-158.78319999999999</v>
      </c>
      <c r="H389">
        <v>4.6931229999999999</v>
      </c>
      <c r="I389">
        <v>351.26900000000001</v>
      </c>
      <c r="J389">
        <v>-422.48230000000001</v>
      </c>
      <c r="K389">
        <v>1.0601160000000001</v>
      </c>
      <c r="L389">
        <v>367.29660000000001</v>
      </c>
      <c r="M389">
        <v>0.99993770000000004</v>
      </c>
      <c r="N389">
        <v>0</v>
      </c>
      <c r="O389">
        <v>3.6005870000000001E-3</v>
      </c>
      <c r="P389">
        <v>0.99723629999999996</v>
      </c>
      <c r="Q389">
        <v>7.1298790000000001E-2</v>
      </c>
      <c r="R389">
        <v>-2.0891750000000001E-2</v>
      </c>
      <c r="S389">
        <v>3.0014340000000002</v>
      </c>
      <c r="T389">
        <v>4.130793E-2</v>
      </c>
      <c r="U389">
        <v>-0.18222050000000001</v>
      </c>
      <c r="V389">
        <v>2.448552E-2</v>
      </c>
      <c r="W389">
        <v>8.1826960000000004E-2</v>
      </c>
      <c r="X389">
        <v>0.9963457</v>
      </c>
      <c r="Y389">
        <v>6.4186919999999995E-2</v>
      </c>
      <c r="Z389">
        <v>4.9077650000000001E-4</v>
      </c>
      <c r="AA389">
        <v>0.99793779999999999</v>
      </c>
      <c r="AB389">
        <v>26</v>
      </c>
      <c r="AC389">
        <v>263.69909999999999</v>
      </c>
      <c r="AD389">
        <v>3.6330070000000001</v>
      </c>
      <c r="AE389">
        <v>-16.0276</v>
      </c>
      <c r="AF389">
        <v>16.9738107348706</v>
      </c>
      <c r="AG389">
        <v>3.6330070000000001</v>
      </c>
      <c r="AH389">
        <v>263.58983109771799</v>
      </c>
      <c r="AI389">
        <v>89.211985424411097</v>
      </c>
      <c r="AJ389">
        <v>86.3155376992854</v>
      </c>
      <c r="AK389">
        <v>264.16076175096202</v>
      </c>
      <c r="AL389">
        <v>85.306412673029797</v>
      </c>
      <c r="AM389">
        <v>88.592220924430407</v>
      </c>
      <c r="AN389">
        <v>0.99999997299050003</v>
      </c>
    </row>
    <row r="390" spans="1:40" x14ac:dyDescent="0.25">
      <c r="A390" t="str">
        <f>"20190312150954054"</f>
        <v>20190312150954054</v>
      </c>
      <c r="B390" t="str">
        <f>"1552374594051379"</f>
        <v>1552374594051379</v>
      </c>
      <c r="C390" t="s">
        <v>40</v>
      </c>
      <c r="D390">
        <v>4.9020609999999998</v>
      </c>
      <c r="E390">
        <v>0.51412409999999997</v>
      </c>
      <c r="F390" t="s">
        <v>45</v>
      </c>
      <c r="G390">
        <v>-158.78319999999999</v>
      </c>
      <c r="H390">
        <v>2.0147650000000001</v>
      </c>
      <c r="I390">
        <v>351.62110000000001</v>
      </c>
      <c r="J390">
        <v>-422.21749999999997</v>
      </c>
      <c r="K390">
        <v>1.0601339999999999</v>
      </c>
      <c r="L390">
        <v>367.29750000000001</v>
      </c>
      <c r="M390">
        <v>0.99993679999999996</v>
      </c>
      <c r="N390">
        <v>0</v>
      </c>
      <c r="O390">
        <v>3.6007560000000001E-3</v>
      </c>
      <c r="P390">
        <v>0.99723240000000002</v>
      </c>
      <c r="Q390">
        <v>7.1718589999999999E-2</v>
      </c>
      <c r="R390">
        <v>-1.959584E-2</v>
      </c>
      <c r="S390">
        <v>3.003784</v>
      </c>
      <c r="T390">
        <v>1.0875340000000001E-2</v>
      </c>
      <c r="U390">
        <v>-0.178558299999999</v>
      </c>
      <c r="V390">
        <v>2.3189899999999999E-2</v>
      </c>
      <c r="W390">
        <v>8.2337350000000004E-2</v>
      </c>
      <c r="X390">
        <v>0.99633470000000002</v>
      </c>
      <c r="Y390">
        <v>6.2933520000000007E-2</v>
      </c>
      <c r="Z390">
        <v>1.2685229999999999E-4</v>
      </c>
      <c r="AA390">
        <v>0.99801770000000001</v>
      </c>
      <c r="AB390">
        <v>26</v>
      </c>
      <c r="AC390">
        <v>263.43430000000001</v>
      </c>
      <c r="AD390">
        <v>0.95463100000000001</v>
      </c>
      <c r="AE390">
        <v>-15.676399999999999</v>
      </c>
      <c r="AF390">
        <v>16.624697258375701</v>
      </c>
      <c r="AG390">
        <v>0.95463100000000001</v>
      </c>
      <c r="AH390">
        <v>263.37269556580702</v>
      </c>
      <c r="AI390">
        <v>89.792736878715999</v>
      </c>
      <c r="AJ390">
        <v>86.388149070466696</v>
      </c>
      <c r="AK390">
        <v>263.89859539012002</v>
      </c>
      <c r="AL390">
        <v>85.277070700252395</v>
      </c>
      <c r="AM390">
        <v>88.666669399686498</v>
      </c>
      <c r="AN390">
        <v>1.0000000225455601</v>
      </c>
    </row>
    <row r="391" spans="1:40" x14ac:dyDescent="0.25">
      <c r="A391" t="str">
        <f>"20190312150954073"</f>
        <v>20190312150954073</v>
      </c>
      <c r="B391" t="str">
        <f>"1552374594070901"</f>
        <v>1552374594070901</v>
      </c>
      <c r="C391" t="s">
        <v>40</v>
      </c>
      <c r="D391">
        <v>4.8448070000000003</v>
      </c>
      <c r="E391">
        <v>0.51423260000000004</v>
      </c>
      <c r="F391" t="s">
        <v>45</v>
      </c>
      <c r="G391">
        <v>-158.78319999999999</v>
      </c>
      <c r="H391">
        <v>1.0877920000000001</v>
      </c>
      <c r="I391">
        <v>352.39330000000001</v>
      </c>
      <c r="J391">
        <v>-421.98329999999999</v>
      </c>
      <c r="K391">
        <v>1.0601499999999999</v>
      </c>
      <c r="L391">
        <v>367.29840000000002</v>
      </c>
      <c r="M391">
        <v>0.99993589999999999</v>
      </c>
      <c r="N391">
        <v>0</v>
      </c>
      <c r="O391">
        <v>3.600832E-3</v>
      </c>
      <c r="P391">
        <v>0.99726939999999997</v>
      </c>
      <c r="Q391">
        <v>7.1611449999999993E-2</v>
      </c>
      <c r="R391">
        <v>-1.8047400000000002E-2</v>
      </c>
      <c r="S391">
        <v>3.0050050000000001</v>
      </c>
      <c r="T391">
        <v>3.1650070000000002E-4</v>
      </c>
      <c r="U391">
        <v>-0.17001340000000001</v>
      </c>
      <c r="V391">
        <v>2.1641669999999998E-2</v>
      </c>
      <c r="W391">
        <v>8.2315970000000002E-2</v>
      </c>
      <c r="X391">
        <v>0.99637129999999996</v>
      </c>
      <c r="Y391">
        <v>6.0081349999999999E-2</v>
      </c>
      <c r="Z391" s="1">
        <v>3.5404750000000002E-6</v>
      </c>
      <c r="AA391">
        <v>0.99819349999999996</v>
      </c>
      <c r="AB391">
        <v>26</v>
      </c>
      <c r="AC391">
        <v>263.20010000000002</v>
      </c>
      <c r="AD391">
        <v>2.7642000000000101E-2</v>
      </c>
      <c r="AE391">
        <v>-14.905099999999999</v>
      </c>
      <c r="AF391">
        <v>15.8527971357175</v>
      </c>
      <c r="AG391">
        <v>2.7642000000000101E-2</v>
      </c>
      <c r="AH391">
        <v>263.14471672604998</v>
      </c>
      <c r="AI391">
        <v>89.993992264922198</v>
      </c>
      <c r="AJ391">
        <v>86.552460033794603</v>
      </c>
      <c r="AK391">
        <v>263.62180084723599</v>
      </c>
      <c r="AL391">
        <v>85.278299863986604</v>
      </c>
      <c r="AM391">
        <v>88.755703411675697</v>
      </c>
      <c r="AN391">
        <v>1.00000002413055</v>
      </c>
    </row>
    <row r="392" spans="1:40" x14ac:dyDescent="0.25">
      <c r="A392" t="str">
        <f>"20190312150954097"</f>
        <v>20190312150954097</v>
      </c>
      <c r="B392" t="str">
        <f>"1552374594091395"</f>
        <v>1552374594091395</v>
      </c>
      <c r="C392" t="s">
        <v>40</v>
      </c>
      <c r="D392">
        <v>4.9700680000000004</v>
      </c>
      <c r="E392">
        <v>0.51424740000000002</v>
      </c>
      <c r="F392" t="s">
        <v>45</v>
      </c>
      <c r="G392">
        <v>-158.78319999999999</v>
      </c>
      <c r="H392">
        <v>0.99593640000000005</v>
      </c>
      <c r="I392">
        <v>352.7398</v>
      </c>
      <c r="J392">
        <v>-421.70530000000002</v>
      </c>
      <c r="K392">
        <v>1.06016</v>
      </c>
      <c r="L392">
        <v>367.29939999999999</v>
      </c>
      <c r="M392">
        <v>0.99993489999999996</v>
      </c>
      <c r="N392">
        <v>0</v>
      </c>
      <c r="O392">
        <v>3.6007370000000001E-3</v>
      </c>
      <c r="P392">
        <v>0.99728609999999895</v>
      </c>
      <c r="Q392">
        <v>7.1783040000000006E-2</v>
      </c>
      <c r="R392">
        <v>-1.6371859999999998E-2</v>
      </c>
      <c r="S392">
        <v>3.0052189999999999</v>
      </c>
      <c r="T392">
        <v>-7.3218350000000003E-4</v>
      </c>
      <c r="U392">
        <v>-0.16622919999999999</v>
      </c>
      <c r="V392">
        <v>1.9966109999999999E-2</v>
      </c>
      <c r="W392">
        <v>8.2592529999999997E-2</v>
      </c>
      <c r="X392">
        <v>0.99638340000000003</v>
      </c>
      <c r="Y392">
        <v>5.8824199999999903E-2</v>
      </c>
      <c r="Z392" s="1">
        <v>-8.0370889999999996E-6</v>
      </c>
      <c r="AA392">
        <v>0.99826839999999994</v>
      </c>
      <c r="AB392">
        <v>26</v>
      </c>
      <c r="AC392">
        <v>262.9221</v>
      </c>
      <c r="AD392">
        <v>-6.4223600000000006E-2</v>
      </c>
      <c r="AE392">
        <v>-14.5595999999999</v>
      </c>
      <c r="AF392">
        <v>15.5062735116847</v>
      </c>
      <c r="AG392">
        <v>-6.4223600000000006E-2</v>
      </c>
      <c r="AH392">
        <v>262.86795136153398</v>
      </c>
      <c r="AI392">
        <v>90.013974147962102</v>
      </c>
      <c r="AJ392">
        <v>86.624100926885504</v>
      </c>
      <c r="AK392">
        <v>263.32491051151902</v>
      </c>
      <c r="AL392">
        <v>85.2624000094835</v>
      </c>
      <c r="AM392">
        <v>88.852027488336404</v>
      </c>
      <c r="AN392">
        <v>1.00000002567794</v>
      </c>
    </row>
    <row r="393" spans="1:40" x14ac:dyDescent="0.25">
      <c r="A393" t="str">
        <f>"20190312150954121"</f>
        <v>20190312150954121</v>
      </c>
      <c r="B393" t="str">
        <f>"1552374594110915"</f>
        <v>1552374594110915</v>
      </c>
      <c r="C393" t="s">
        <v>40</v>
      </c>
      <c r="D393">
        <v>4.9429299999999996</v>
      </c>
      <c r="E393">
        <v>0.51456239999999998</v>
      </c>
      <c r="F393" t="s">
        <v>46</v>
      </c>
      <c r="G393">
        <v>-249.8546</v>
      </c>
      <c r="H393">
        <v>0.6633559</v>
      </c>
      <c r="I393">
        <v>358.0718</v>
      </c>
      <c r="J393">
        <v>-421.42509999999999</v>
      </c>
      <c r="K393">
        <v>1.060176</v>
      </c>
      <c r="L393">
        <v>367.30040000000002</v>
      </c>
      <c r="M393">
        <v>0.99993350000000003</v>
      </c>
      <c r="N393">
        <v>0</v>
      </c>
      <c r="O393">
        <v>3.600954E-3</v>
      </c>
      <c r="P393">
        <v>0.99731930000000002</v>
      </c>
      <c r="Q393">
        <v>7.1613579999999996E-2</v>
      </c>
      <c r="R393">
        <v>-1.5031330000000001E-2</v>
      </c>
      <c r="S393">
        <v>3.0060120000000001</v>
      </c>
      <c r="T393">
        <v>-6.9394110000000004E-3</v>
      </c>
      <c r="U393">
        <v>-0.16140750000000001</v>
      </c>
      <c r="V393">
        <v>1.8625880000000001E-2</v>
      </c>
      <c r="W393">
        <v>8.2535999999999998E-2</v>
      </c>
      <c r="X393">
        <v>0.99641400000000002</v>
      </c>
      <c r="Y393">
        <v>5.7213130000000001E-2</v>
      </c>
      <c r="Z393" s="1">
        <v>-7.4298480000000006E-5</v>
      </c>
      <c r="AA393">
        <v>0.99836199999999997</v>
      </c>
      <c r="AB393">
        <v>27</v>
      </c>
      <c r="AC393">
        <v>171.57049999999899</v>
      </c>
      <c r="AD393">
        <v>-0.39682009999999901</v>
      </c>
      <c r="AE393">
        <v>-9.2286000000000197</v>
      </c>
      <c r="AF393">
        <v>9.8463421994001692</v>
      </c>
      <c r="AG393">
        <v>-0.39682009999999901</v>
      </c>
      <c r="AH393">
        <v>171.535238780952</v>
      </c>
      <c r="AI393">
        <v>90.132326817356201</v>
      </c>
      <c r="AJ393">
        <v>86.714753969729998</v>
      </c>
      <c r="AK393">
        <v>171.81806093812699</v>
      </c>
      <c r="AL393">
        <v>85.265649852943497</v>
      </c>
      <c r="AM393">
        <v>88.929099712085502</v>
      </c>
      <c r="AN393">
        <v>0.99999998704888704</v>
      </c>
    </row>
    <row r="394" spans="1:40" x14ac:dyDescent="0.25">
      <c r="A394" t="str">
        <f>"20190312150954142"</f>
        <v>20190312150954142</v>
      </c>
      <c r="B394" t="str">
        <f>"1552374594131414"</f>
        <v>1552374594131414</v>
      </c>
      <c r="C394" t="s">
        <v>40</v>
      </c>
      <c r="D394">
        <v>5.025169</v>
      </c>
      <c r="E394">
        <v>0.51494110000000004</v>
      </c>
      <c r="F394" t="s">
        <v>42</v>
      </c>
      <c r="G394">
        <v>-258.49489999999997</v>
      </c>
      <c r="H394">
        <v>7.9985840000000002E-2</v>
      </c>
      <c r="I394">
        <v>358.66210000000001</v>
      </c>
      <c r="J394">
        <v>-421.17500000000001</v>
      </c>
      <c r="K394">
        <v>1.0601959999999999</v>
      </c>
      <c r="L394">
        <v>367.30130000000003</v>
      </c>
      <c r="M394">
        <v>0.9999323</v>
      </c>
      <c r="N394">
        <v>0</v>
      </c>
      <c r="O394">
        <v>3.6010920000000002E-3</v>
      </c>
      <c r="P394">
        <v>0.99732330000000002</v>
      </c>
      <c r="Q394">
        <v>7.1716699999999994E-2</v>
      </c>
      <c r="R394">
        <v>-1.425718E-2</v>
      </c>
      <c r="S394">
        <v>3.006958</v>
      </c>
      <c r="T394">
        <v>-1.8089890000000001E-2</v>
      </c>
      <c r="U394">
        <v>-0.15942379999999901</v>
      </c>
      <c r="V394">
        <v>1.7851869999999999E-2</v>
      </c>
      <c r="W394">
        <v>8.2743170000000005E-2</v>
      </c>
      <c r="X394">
        <v>0.99641100000000005</v>
      </c>
      <c r="Y394">
        <v>5.6538779999999997E-2</v>
      </c>
      <c r="Z394">
        <v>-1.9159870000000001E-4</v>
      </c>
      <c r="AA394">
        <v>0.99840039999999997</v>
      </c>
      <c r="AB394">
        <v>27</v>
      </c>
      <c r="AC394">
        <v>162.68010000000001</v>
      </c>
      <c r="AD394">
        <v>-0.98021016000000005</v>
      </c>
      <c r="AE394">
        <v>-8.6392000000000095</v>
      </c>
      <c r="AF394">
        <v>9.2246718852962797</v>
      </c>
      <c r="AG394">
        <v>-0.98021016000000005</v>
      </c>
      <c r="AH394">
        <v>162.642044446358</v>
      </c>
      <c r="AI394">
        <v>90.344751646039199</v>
      </c>
      <c r="AJ394">
        <v>86.753796882320202</v>
      </c>
      <c r="AK394">
        <v>162.90638417520799</v>
      </c>
      <c r="AL394">
        <v>85.253739212781596</v>
      </c>
      <c r="AM394">
        <v>88.973588821644199</v>
      </c>
      <c r="AN394">
        <v>1.00000000118257</v>
      </c>
    </row>
    <row r="395" spans="1:40" x14ac:dyDescent="0.25">
      <c r="A395" t="str">
        <f>"20190312150954164"</f>
        <v>20190312150954164</v>
      </c>
      <c r="B395" t="str">
        <f>"1552374594160691"</f>
        <v>1552374594160691</v>
      </c>
      <c r="C395" t="s">
        <v>40</v>
      </c>
      <c r="D395">
        <v>4.7923479999999996</v>
      </c>
      <c r="E395">
        <v>0.5145438</v>
      </c>
      <c r="F395" t="s">
        <v>43</v>
      </c>
      <c r="G395">
        <v>-284.23750000000001</v>
      </c>
      <c r="H395">
        <v>-0.05</v>
      </c>
      <c r="I395">
        <v>359.99799999999999</v>
      </c>
      <c r="J395">
        <v>-420.9126</v>
      </c>
      <c r="K395">
        <v>1.0602129999999901</v>
      </c>
      <c r="L395">
        <v>367.30220000000003</v>
      </c>
      <c r="M395">
        <v>0.99993120000000002</v>
      </c>
      <c r="N395">
        <v>0</v>
      </c>
      <c r="O395">
        <v>3.6013159999999998E-3</v>
      </c>
      <c r="P395">
        <v>0.99730399999999997</v>
      </c>
      <c r="Q395">
        <v>7.2057960000000004E-2</v>
      </c>
      <c r="R395">
        <v>-1.3872529999999999E-2</v>
      </c>
      <c r="S395">
        <v>3.007568</v>
      </c>
      <c r="T395">
        <v>-2.4383309999999998E-2</v>
      </c>
      <c r="U395">
        <v>-0.1604004</v>
      </c>
      <c r="V395">
        <v>1.7467449999999999E-2</v>
      </c>
      <c r="W395">
        <v>8.3192710000000003E-2</v>
      </c>
      <c r="X395">
        <v>0.99638040000000005</v>
      </c>
      <c r="Y395">
        <v>5.6850669999999999E-2</v>
      </c>
      <c r="Z395">
        <v>-2.5946409999999997E-4</v>
      </c>
      <c r="AA395">
        <v>0.99838269999999996</v>
      </c>
      <c r="AB395">
        <v>27</v>
      </c>
      <c r="AC395">
        <v>136.67509999999999</v>
      </c>
      <c r="AD395">
        <v>-1.1102129999999999</v>
      </c>
      <c r="AE395">
        <v>-7.3041999999999803</v>
      </c>
      <c r="AF395">
        <v>7.7958805937500797</v>
      </c>
      <c r="AG395">
        <v>-1.1102129999999999</v>
      </c>
      <c r="AH395">
        <v>136.63891700711901</v>
      </c>
      <c r="AI395">
        <v>90.464771284640705</v>
      </c>
      <c r="AJ395">
        <v>86.734551636972697</v>
      </c>
      <c r="AK395">
        <v>136.86563472258399</v>
      </c>
      <c r="AL395">
        <v>85.227893447711395</v>
      </c>
      <c r="AM395">
        <v>88.995656021083704</v>
      </c>
      <c r="AN395">
        <v>1.0000000201554</v>
      </c>
    </row>
    <row r="396" spans="1:40" x14ac:dyDescent="0.25">
      <c r="A396" t="str">
        <f>"20190312150954186"</f>
        <v>20190312150954186</v>
      </c>
      <c r="B396" t="str">
        <f>"1552374594181187"</f>
        <v>1552374594181187</v>
      </c>
      <c r="C396" t="s">
        <v>40</v>
      </c>
      <c r="D396">
        <v>5.0146249999999997</v>
      </c>
      <c r="E396">
        <v>0.51438700000000004</v>
      </c>
      <c r="F396" t="s">
        <v>42</v>
      </c>
      <c r="G396">
        <v>-333.721</v>
      </c>
      <c r="H396" s="1">
        <v>-3.9418330000000004E-6</v>
      </c>
      <c r="I396">
        <v>362.78</v>
      </c>
      <c r="J396">
        <v>-420.65179999999998</v>
      </c>
      <c r="K396">
        <v>1.0602259999999999</v>
      </c>
      <c r="L396">
        <v>367.3032</v>
      </c>
      <c r="M396">
        <v>0.99992990000000004</v>
      </c>
      <c r="N396">
        <v>0</v>
      </c>
      <c r="O396">
        <v>3.601534E-3</v>
      </c>
      <c r="P396">
        <v>0.99729860000000004</v>
      </c>
      <c r="Q396">
        <v>7.2103609999999999E-2</v>
      </c>
      <c r="R396">
        <v>-1.4034049999999999E-2</v>
      </c>
      <c r="S396">
        <v>3.0085449999999998</v>
      </c>
      <c r="T396">
        <v>-3.6582709999999997E-2</v>
      </c>
      <c r="U396">
        <v>-0.15603639999999999</v>
      </c>
      <c r="V396">
        <v>1.7629200000000001E-2</v>
      </c>
      <c r="W396">
        <v>8.334714E-2</v>
      </c>
      <c r="X396">
        <v>0.99636469999999999</v>
      </c>
      <c r="Y396">
        <v>5.5387039999999998E-2</v>
      </c>
      <c r="Z396">
        <v>-3.8026949999999998E-4</v>
      </c>
      <c r="AA396">
        <v>0.99846489999999999</v>
      </c>
      <c r="AB396">
        <v>27</v>
      </c>
      <c r="AC396">
        <v>86.930799999999905</v>
      </c>
      <c r="AD396">
        <v>-1.0602299418329999</v>
      </c>
      <c r="AE396">
        <v>-4.5232000000000303</v>
      </c>
      <c r="AF396">
        <v>4.8355574703877897</v>
      </c>
      <c r="AG396">
        <v>-1.0602299418329999</v>
      </c>
      <c r="AH396">
        <v>86.901053134799994</v>
      </c>
      <c r="AI396">
        <v>90.697918745246199</v>
      </c>
      <c r="AJ396">
        <v>86.815094821446806</v>
      </c>
      <c r="AK396">
        <v>87.041942415804996</v>
      </c>
      <c r="AL396">
        <v>85.219014686510306</v>
      </c>
      <c r="AM396">
        <v>88.986341677231593</v>
      </c>
      <c r="AN396">
        <v>1.00000007492245</v>
      </c>
    </row>
    <row r="397" spans="1:40" x14ac:dyDescent="0.25">
      <c r="A397" t="str">
        <f>"20190312150954209"</f>
        <v>20190312150954209</v>
      </c>
      <c r="B397" t="str">
        <f>"1552374594200707"</f>
        <v>1552374594200707</v>
      </c>
      <c r="C397" t="s">
        <v>40</v>
      </c>
      <c r="D397">
        <v>4.7160330000000004</v>
      </c>
      <c r="E397">
        <v>0.51475139999999997</v>
      </c>
      <c r="F397" t="s">
        <v>42</v>
      </c>
      <c r="G397">
        <v>-342.75959999999998</v>
      </c>
      <c r="H397" s="1">
        <v>-4.5249859999999999E-6</v>
      </c>
      <c r="I397">
        <v>363.29149999999998</v>
      </c>
      <c r="J397">
        <v>-420.3811</v>
      </c>
      <c r="K397">
        <v>1.0602450000000001</v>
      </c>
      <c r="L397">
        <v>367.30410000000001</v>
      </c>
      <c r="M397">
        <v>0.99992859999999995</v>
      </c>
      <c r="N397">
        <v>0</v>
      </c>
      <c r="O397">
        <v>3.6016889999999999E-3</v>
      </c>
      <c r="P397">
        <v>0.99732589999999999</v>
      </c>
      <c r="Q397">
        <v>7.1644949999999999E-2</v>
      </c>
      <c r="R397">
        <v>-1.443067E-2</v>
      </c>
      <c r="S397">
        <v>3.0089419999999998</v>
      </c>
      <c r="T397">
        <v>-4.0956260000000001E-2</v>
      </c>
      <c r="U397">
        <v>-0.1549683</v>
      </c>
      <c r="V397">
        <v>1.8026E-2</v>
      </c>
      <c r="W397">
        <v>8.300739E-2</v>
      </c>
      <c r="X397">
        <v>0.99638590000000005</v>
      </c>
      <c r="Y397">
        <v>5.5025810000000001E-2</v>
      </c>
      <c r="Z397">
        <v>-4.2322090000000001E-4</v>
      </c>
      <c r="AA397">
        <v>0.99848479999999995</v>
      </c>
      <c r="AB397">
        <v>27</v>
      </c>
      <c r="AC397">
        <v>77.621499999999997</v>
      </c>
      <c r="AD397">
        <v>-1.060249524986</v>
      </c>
      <c r="AE397">
        <v>-4.0126000000000204</v>
      </c>
      <c r="AF397">
        <v>4.2913620976341296</v>
      </c>
      <c r="AG397">
        <v>-1.060249524986</v>
      </c>
      <c r="AH397">
        <v>77.592105278920698</v>
      </c>
      <c r="AI397">
        <v>90.781669264234196</v>
      </c>
      <c r="AJ397">
        <v>86.834385453957495</v>
      </c>
      <c r="AK397">
        <v>77.717917620863801</v>
      </c>
      <c r="AL397">
        <v>85.238548318381106</v>
      </c>
      <c r="AM397">
        <v>88.963553113029903</v>
      </c>
      <c r="AN397">
        <v>1.0000000125947099</v>
      </c>
    </row>
    <row r="398" spans="1:40" x14ac:dyDescent="0.25">
      <c r="A398" t="str">
        <f>"20190312150954232"</f>
        <v>20190312150954232</v>
      </c>
      <c r="B398" t="str">
        <f>"1552374594221204"</f>
        <v>1552374594221204</v>
      </c>
      <c r="C398" t="s">
        <v>40</v>
      </c>
      <c r="D398">
        <v>4.7173730000000003</v>
      </c>
      <c r="E398">
        <v>0.51515690000000003</v>
      </c>
      <c r="F398" t="s">
        <v>42</v>
      </c>
      <c r="G398">
        <v>-358.69099999999997</v>
      </c>
      <c r="H398" s="1">
        <v>-1.9144409999999999E-6</v>
      </c>
      <c r="I398">
        <v>364.04300000000001</v>
      </c>
      <c r="J398">
        <v>-420.09969999999998</v>
      </c>
      <c r="K398">
        <v>1.060263</v>
      </c>
      <c r="L398">
        <v>367.30520000000001</v>
      </c>
      <c r="M398">
        <v>0.99992709999999996</v>
      </c>
      <c r="N398">
        <v>0</v>
      </c>
      <c r="O398">
        <v>3.6015800000000001E-3</v>
      </c>
      <c r="P398">
        <v>0.99733280000000002</v>
      </c>
      <c r="Q398">
        <v>7.1461629999999998E-2</v>
      </c>
      <c r="R398">
        <v>-1.485264E-2</v>
      </c>
      <c r="S398">
        <v>3.0094599999999998</v>
      </c>
      <c r="T398">
        <v>-5.1722530000000003E-2</v>
      </c>
      <c r="U398">
        <v>-0.15908810000000001</v>
      </c>
      <c r="V398">
        <v>1.8448030000000001E-2</v>
      </c>
      <c r="W398">
        <v>8.2956539999999995E-2</v>
      </c>
      <c r="X398">
        <v>0.9963824</v>
      </c>
      <c r="Y398">
        <v>5.6376589999999997E-2</v>
      </c>
      <c r="Z398">
        <v>-5.4594530000000004E-4</v>
      </c>
      <c r="AA398">
        <v>0.99840949999999995</v>
      </c>
      <c r="AB398">
        <v>26</v>
      </c>
      <c r="AC398">
        <v>61.408700000000003</v>
      </c>
      <c r="AD398">
        <v>-1.0602649144409999</v>
      </c>
      <c r="AE398">
        <v>-3.2622</v>
      </c>
      <c r="AF398">
        <v>3.4823266978549001</v>
      </c>
      <c r="AG398">
        <v>-1.0602649144409999</v>
      </c>
      <c r="AH398">
        <v>61.3783061353883</v>
      </c>
      <c r="AI398">
        <v>90.988055214517004</v>
      </c>
      <c r="AJ398">
        <v>86.752778534331796</v>
      </c>
      <c r="AK398">
        <v>61.486154742094897</v>
      </c>
      <c r="AL398">
        <v>85.241471842343998</v>
      </c>
      <c r="AM398">
        <v>88.939289269876099</v>
      </c>
      <c r="AN398">
        <v>1.0000000021847</v>
      </c>
    </row>
    <row r="399" spans="1:40" x14ac:dyDescent="0.25">
      <c r="A399" t="str">
        <f>"20190312150954255"</f>
        <v>20190312150954255</v>
      </c>
      <c r="B399" t="str">
        <f>"1552374594251459"</f>
        <v>1552374594251459</v>
      </c>
      <c r="C399" t="s">
        <v>40</v>
      </c>
      <c r="D399">
        <v>5.288754</v>
      </c>
      <c r="E399">
        <v>0.51650859999999998</v>
      </c>
      <c r="F399" t="s">
        <v>42</v>
      </c>
      <c r="G399">
        <v>-351.98570000000001</v>
      </c>
      <c r="H399" s="1">
        <v>-4.4891839999999997E-6</v>
      </c>
      <c r="I399">
        <v>363.59120000000001</v>
      </c>
      <c r="J399">
        <v>-419.8381</v>
      </c>
      <c r="K399">
        <v>1.0602830000000001</v>
      </c>
      <c r="L399">
        <v>367.30610000000001</v>
      </c>
      <c r="M399">
        <v>0.99992559999999997</v>
      </c>
      <c r="N399">
        <v>0</v>
      </c>
      <c r="O399">
        <v>3.6016260000000001E-3</v>
      </c>
      <c r="P399">
        <v>0.99733179999999999</v>
      </c>
      <c r="Q399">
        <v>7.1280910000000003E-2</v>
      </c>
      <c r="R399">
        <v>-1.5774989999999999E-2</v>
      </c>
      <c r="S399">
        <v>3.0089419999999998</v>
      </c>
      <c r="T399">
        <v>-4.6837330000000003E-2</v>
      </c>
      <c r="U399">
        <v>-0.1640625</v>
      </c>
      <c r="V399">
        <v>1.937032E-2</v>
      </c>
      <c r="W399">
        <v>8.2909499999999997E-2</v>
      </c>
      <c r="X399">
        <v>0.99636880000000005</v>
      </c>
      <c r="Y399">
        <v>5.8032840000000002E-2</v>
      </c>
      <c r="Z399">
        <v>-5.0733169999999999E-4</v>
      </c>
      <c r="AA399">
        <v>0.99831460000000005</v>
      </c>
      <c r="AB399">
        <v>26</v>
      </c>
      <c r="AC399">
        <v>67.852399999999903</v>
      </c>
      <c r="AD399">
        <v>-1.060287489184</v>
      </c>
      <c r="AE399">
        <v>-3.7149000000000001</v>
      </c>
      <c r="AF399">
        <v>3.9583078021337599</v>
      </c>
      <c r="AG399">
        <v>-1.060287489184</v>
      </c>
      <c r="AH399">
        <v>67.822067712564902</v>
      </c>
      <c r="AI399">
        <v>90.8941318895195</v>
      </c>
      <c r="AJ399">
        <v>86.659828322440802</v>
      </c>
      <c r="AK399">
        <v>67.945752472276695</v>
      </c>
      <c r="AL399">
        <v>85.244176294668094</v>
      </c>
      <c r="AM399">
        <v>88.886257985196295</v>
      </c>
      <c r="AN399">
        <v>0.99999999005029605</v>
      </c>
    </row>
    <row r="400" spans="1:40" x14ac:dyDescent="0.25">
      <c r="A400" t="str">
        <f>"20190312150954275"</f>
        <v>20190312150954275</v>
      </c>
      <c r="B400" t="str">
        <f>"1552374594270979"</f>
        <v>1552374594270979</v>
      </c>
      <c r="C400" t="s">
        <v>40</v>
      </c>
      <c r="D400">
        <v>4.7189439999999996</v>
      </c>
      <c r="E400">
        <v>0.51730690000000001</v>
      </c>
      <c r="F400" t="s">
        <v>42</v>
      </c>
      <c r="G400">
        <v>-327.7885</v>
      </c>
      <c r="H400" s="1">
        <v>-2.801936E-6</v>
      </c>
      <c r="I400">
        <v>361.86180000000002</v>
      </c>
      <c r="J400">
        <v>-419.59629999999999</v>
      </c>
      <c r="K400">
        <v>1.0603009999999999</v>
      </c>
      <c r="L400">
        <v>367.30700000000002</v>
      </c>
      <c r="M400">
        <v>0.99992400000000004</v>
      </c>
      <c r="N400">
        <v>0</v>
      </c>
      <c r="O400">
        <v>3.601847E-3</v>
      </c>
      <c r="P400">
        <v>0.9973474</v>
      </c>
      <c r="Q400">
        <v>7.1004360000000002E-2</v>
      </c>
      <c r="R400">
        <v>-1.6023579999999999E-2</v>
      </c>
      <c r="S400">
        <v>3.0076900000000002</v>
      </c>
      <c r="T400">
        <v>-3.4644479999999998E-2</v>
      </c>
      <c r="U400">
        <v>-0.17788699999999999</v>
      </c>
      <c r="V400">
        <v>1.961924E-2</v>
      </c>
      <c r="W400">
        <v>8.2766939999999997E-2</v>
      </c>
      <c r="X400">
        <v>0.99637580000000003</v>
      </c>
      <c r="Y400">
        <v>6.2631930000000002E-2</v>
      </c>
      <c r="Z400">
        <v>-4.0184500000000001E-4</v>
      </c>
      <c r="AA400">
        <v>0.99803660000000005</v>
      </c>
      <c r="AB400">
        <v>26</v>
      </c>
      <c r="AC400">
        <v>91.8078</v>
      </c>
      <c r="AD400">
        <v>-1.060303801936</v>
      </c>
      <c r="AE400">
        <v>-5.4451999999999403</v>
      </c>
      <c r="AF400">
        <v>5.7750977094509004</v>
      </c>
      <c r="AG400">
        <v>-1.060303801936</v>
      </c>
      <c r="AH400">
        <v>91.775391855503798</v>
      </c>
      <c r="AI400">
        <v>90.660616338125294</v>
      </c>
      <c r="AJ400">
        <v>86.399328740416095</v>
      </c>
      <c r="AK400">
        <v>91.963028157718796</v>
      </c>
      <c r="AL400">
        <v>85.252372636397098</v>
      </c>
      <c r="AM400">
        <v>88.871957343338806</v>
      </c>
      <c r="AN400">
        <v>1.0000000078803899</v>
      </c>
    </row>
    <row r="401" spans="1:40" x14ac:dyDescent="0.25">
      <c r="A401" t="str">
        <f>"20190312150954298"</f>
        <v>20190312150954298</v>
      </c>
      <c r="B401" t="str">
        <f>"1552374594291475"</f>
        <v>1552374594291475</v>
      </c>
      <c r="C401" t="s">
        <v>40</v>
      </c>
      <c r="D401">
        <v>4.7048589999999999</v>
      </c>
      <c r="E401">
        <v>0.51804539999999999</v>
      </c>
      <c r="F401" t="s">
        <v>43</v>
      </c>
      <c r="G401">
        <v>-297.79649999999998</v>
      </c>
      <c r="H401">
        <v>-0.05</v>
      </c>
      <c r="I401">
        <v>359.81709999999998</v>
      </c>
      <c r="J401">
        <v>-419.32909999999998</v>
      </c>
      <c r="K401">
        <v>1.060322</v>
      </c>
      <c r="L401">
        <v>367.30799999999999</v>
      </c>
      <c r="M401">
        <v>0.99992210000000004</v>
      </c>
      <c r="N401">
        <v>0</v>
      </c>
      <c r="O401">
        <v>3.6019400000000001E-3</v>
      </c>
      <c r="P401">
        <v>0.99734120000000004</v>
      </c>
      <c r="Q401">
        <v>7.1006799999999995E-2</v>
      </c>
      <c r="R401">
        <v>-1.6403999999999998E-2</v>
      </c>
      <c r="S401">
        <v>3.0069270000000001</v>
      </c>
      <c r="T401">
        <v>-2.7410509999999999E-2</v>
      </c>
      <c r="U401">
        <v>-0.18490599999999999</v>
      </c>
      <c r="V401">
        <v>1.999948E-2</v>
      </c>
      <c r="W401">
        <v>8.2922319999999994E-2</v>
      </c>
      <c r="X401">
        <v>0.99635530000000005</v>
      </c>
      <c r="Y401">
        <v>6.4969570000000004E-2</v>
      </c>
      <c r="Z401">
        <v>-3.2864480000000001E-4</v>
      </c>
      <c r="AA401">
        <v>0.99788719999999997</v>
      </c>
      <c r="AB401">
        <v>26</v>
      </c>
      <c r="AC401">
        <v>121.5326</v>
      </c>
      <c r="AD401">
        <v>-1.110322</v>
      </c>
      <c r="AE401">
        <v>-7.4909000000000603</v>
      </c>
      <c r="AF401">
        <v>7.9279765798881803</v>
      </c>
      <c r="AG401">
        <v>-1.110322</v>
      </c>
      <c r="AH401">
        <v>121.494725443227</v>
      </c>
      <c r="AI401">
        <v>90.522491771970707</v>
      </c>
      <c r="AJ401">
        <v>86.266533259297503</v>
      </c>
      <c r="AK401">
        <v>121.758178115969</v>
      </c>
      <c r="AL401">
        <v>85.243439210618405</v>
      </c>
      <c r="AM401">
        <v>88.850076938365305</v>
      </c>
      <c r="AN401">
        <v>0.99999998709627103</v>
      </c>
    </row>
    <row r="402" spans="1:40" x14ac:dyDescent="0.25">
      <c r="A402" t="str">
        <f>"20190312150954319"</f>
        <v>20190312150954319</v>
      </c>
      <c r="B402" t="str">
        <f>"1552374594310995"</f>
        <v>1552374594310995</v>
      </c>
      <c r="C402" t="s">
        <v>40</v>
      </c>
      <c r="D402">
        <v>5.4424659999999996</v>
      </c>
      <c r="E402">
        <v>0.51869390000000004</v>
      </c>
      <c r="F402" t="s">
        <v>42</v>
      </c>
      <c r="G402">
        <v>-278.04239999999999</v>
      </c>
      <c r="H402">
        <v>7.9986000000000002E-2</v>
      </c>
      <c r="I402">
        <v>358.29809999999998</v>
      </c>
      <c r="J402">
        <v>-419.07130000000001</v>
      </c>
      <c r="K402">
        <v>1.0603450000000001</v>
      </c>
      <c r="L402">
        <v>367.30889999999999</v>
      </c>
      <c r="M402">
        <v>0.99992020000000004</v>
      </c>
      <c r="N402">
        <v>0</v>
      </c>
      <c r="O402">
        <v>3.602039E-3</v>
      </c>
      <c r="P402">
        <v>0.99731400000000003</v>
      </c>
      <c r="Q402">
        <v>7.1354459999999995E-2</v>
      </c>
      <c r="R402">
        <v>-1.6534159999999999E-2</v>
      </c>
      <c r="S402">
        <v>3.0063170000000001</v>
      </c>
      <c r="T402">
        <v>-2.0859720000000002E-2</v>
      </c>
      <c r="U402">
        <v>-0.1917114</v>
      </c>
      <c r="V402">
        <v>2.0129870000000001E-2</v>
      </c>
      <c r="W402">
        <v>8.3420330000000001E-2</v>
      </c>
      <c r="X402">
        <v>0.99631110000000001</v>
      </c>
      <c r="Y402">
        <v>6.7233150000000005E-2</v>
      </c>
      <c r="Z402">
        <v>-2.5798359999999997E-4</v>
      </c>
      <c r="AA402">
        <v>0.99773719999999999</v>
      </c>
      <c r="AB402">
        <v>26</v>
      </c>
      <c r="AC402">
        <v>141.02889999999999</v>
      </c>
      <c r="AD402">
        <v>-0.98035899999999998</v>
      </c>
      <c r="AE402">
        <v>-9.0108000000000104</v>
      </c>
      <c r="AF402">
        <v>9.5183122942012002</v>
      </c>
      <c r="AG402">
        <v>-0.98035899999999998</v>
      </c>
      <c r="AH402">
        <v>140.98874002606399</v>
      </c>
      <c r="AI402">
        <v>90.397492483015697</v>
      </c>
      <c r="AJ402">
        <v>86.137756511768401</v>
      </c>
      <c r="AK402">
        <v>141.313071535636</v>
      </c>
      <c r="AL402">
        <v>85.214806125308698</v>
      </c>
      <c r="AM402">
        <v>88.842530519511897</v>
      </c>
      <c r="AN402">
        <v>0.999999985553367</v>
      </c>
    </row>
    <row r="403" spans="1:40" x14ac:dyDescent="0.25">
      <c r="A403" t="str">
        <f>"20190312150954344"</f>
        <v>20190312150954344</v>
      </c>
      <c r="B403" t="str">
        <f>"1552374594331495"</f>
        <v>1552374594331495</v>
      </c>
      <c r="C403" t="s">
        <v>40</v>
      </c>
      <c r="D403">
        <v>4.7327510000000004</v>
      </c>
      <c r="E403">
        <v>0.51929799999999904</v>
      </c>
      <c r="F403" t="s">
        <v>43</v>
      </c>
      <c r="G403">
        <v>-193.05500000000001</v>
      </c>
      <c r="H403">
        <v>-0.05</v>
      </c>
      <c r="I403">
        <v>352.4853</v>
      </c>
      <c r="J403">
        <v>-418.78919999999999</v>
      </c>
      <c r="K403">
        <v>1.060365</v>
      </c>
      <c r="L403">
        <v>367.30990000000003</v>
      </c>
      <c r="M403">
        <v>0.99991819999999998</v>
      </c>
      <c r="N403">
        <v>0</v>
      </c>
      <c r="O403">
        <v>3.6020739999999998E-3</v>
      </c>
      <c r="P403">
        <v>0.99730779999999997</v>
      </c>
      <c r="Q403">
        <v>7.1419919999999998E-2</v>
      </c>
      <c r="R403">
        <v>-1.662404E-2</v>
      </c>
      <c r="S403">
        <v>3.0058590000000001</v>
      </c>
      <c r="T403">
        <v>-1.476681E-2</v>
      </c>
      <c r="U403">
        <v>-0.1971436</v>
      </c>
      <c r="V403">
        <v>2.0219839999999999E-2</v>
      </c>
      <c r="W403">
        <v>8.3644120000000002E-2</v>
      </c>
      <c r="X403">
        <v>0.99629049999999997</v>
      </c>
      <c r="Y403">
        <v>6.9039139999999999E-2</v>
      </c>
      <c r="Z403">
        <v>-1.8707899999999999E-4</v>
      </c>
      <c r="AA403">
        <v>0.99761390000000005</v>
      </c>
      <c r="AB403">
        <v>26</v>
      </c>
      <c r="AC403">
        <v>225.73419999999999</v>
      </c>
      <c r="AD403">
        <v>-1.110365</v>
      </c>
      <c r="AE403">
        <v>-14.8246</v>
      </c>
      <c r="AF403">
        <v>15.637299616073999</v>
      </c>
      <c r="AG403">
        <v>-1.110365</v>
      </c>
      <c r="AH403">
        <v>225.673895131352</v>
      </c>
      <c r="AI403">
        <v>90.281231190069704</v>
      </c>
      <c r="AJ403">
        <v>86.036220892051801</v>
      </c>
      <c r="AK403">
        <v>226.21773801687701</v>
      </c>
      <c r="AL403">
        <v>85.201938860660505</v>
      </c>
      <c r="AM403">
        <v>88.837334619616996</v>
      </c>
      <c r="AN403">
        <v>0.99999997056522405</v>
      </c>
    </row>
    <row r="404" spans="1:40" x14ac:dyDescent="0.25">
      <c r="A404" t="str">
        <f>"20190312150954364"</f>
        <v>20190312150954364</v>
      </c>
      <c r="B404" t="str">
        <f>"1552374594361747"</f>
        <v>1552374594361747</v>
      </c>
      <c r="C404" t="s">
        <v>40</v>
      </c>
      <c r="D404">
        <v>4.8898849999999996</v>
      </c>
      <c r="E404">
        <v>0.52005329999999905</v>
      </c>
      <c r="F404" t="s">
        <v>43</v>
      </c>
      <c r="G404">
        <v>-79.617840000000001</v>
      </c>
      <c r="H404">
        <v>-0.05</v>
      </c>
      <c r="I404">
        <v>344.48309999999998</v>
      </c>
      <c r="J404">
        <v>-418.54219999999998</v>
      </c>
      <c r="K404">
        <v>1.0603800000000001</v>
      </c>
      <c r="L404">
        <v>367.31079999999997</v>
      </c>
      <c r="M404">
        <v>0.99991680000000005</v>
      </c>
      <c r="N404">
        <v>0</v>
      </c>
      <c r="O404">
        <v>3.6020980000000002E-3</v>
      </c>
      <c r="P404">
        <v>0.99732449999999995</v>
      </c>
      <c r="Q404">
        <v>7.1036290000000002E-2</v>
      </c>
      <c r="R404">
        <v>-1.7260979999999999E-2</v>
      </c>
      <c r="S404">
        <v>3.0054319999999999</v>
      </c>
      <c r="T404">
        <v>-9.8390579999999995E-3</v>
      </c>
      <c r="U404">
        <v>-0.20227049999999999</v>
      </c>
      <c r="V404">
        <v>2.0856800000000002E-2</v>
      </c>
      <c r="W404">
        <v>8.3390850000000002E-2</v>
      </c>
      <c r="X404">
        <v>0.99629860000000003</v>
      </c>
      <c r="Y404">
        <v>7.0743139999999996E-2</v>
      </c>
      <c r="Z404">
        <v>-1.2744709999999999E-4</v>
      </c>
      <c r="AA404">
        <v>0.99749460000000001</v>
      </c>
      <c r="AB404">
        <v>26</v>
      </c>
      <c r="AC404">
        <v>338.92435999999998</v>
      </c>
      <c r="AD404">
        <v>-1.1103799999999999</v>
      </c>
      <c r="AE404">
        <v>-22.8277</v>
      </c>
      <c r="AF404">
        <v>24.048227346418201</v>
      </c>
      <c r="AG404">
        <v>-1.1103799999999999</v>
      </c>
      <c r="AH404">
        <v>338.83630649950499</v>
      </c>
      <c r="AI404">
        <v>90.187288760825595</v>
      </c>
      <c r="AJ404">
        <v>85.940354188797102</v>
      </c>
      <c r="AK404">
        <v>339.69043669858598</v>
      </c>
      <c r="AL404">
        <v>85.216501037002004</v>
      </c>
      <c r="AM404">
        <v>88.800728926305496</v>
      </c>
      <c r="AN404">
        <v>0.99999997016595998</v>
      </c>
    </row>
    <row r="405" spans="1:40" x14ac:dyDescent="0.25">
      <c r="A405" t="str">
        <f>"20190312150954387"</f>
        <v>20190312150954387</v>
      </c>
      <c r="B405" t="str">
        <f>"1552374594381268"</f>
        <v>1552374594381268</v>
      </c>
      <c r="C405" t="s">
        <v>40</v>
      </c>
      <c r="D405">
        <v>4.833704</v>
      </c>
      <c r="E405">
        <v>0.52051380000000003</v>
      </c>
      <c r="F405" t="s">
        <v>47</v>
      </c>
      <c r="G405">
        <v>419.33139999999997</v>
      </c>
      <c r="H405">
        <v>-0.1</v>
      </c>
      <c r="I405">
        <v>308.63459999999998</v>
      </c>
      <c r="J405">
        <v>-418.27620000000002</v>
      </c>
      <c r="K405">
        <v>1.060392</v>
      </c>
      <c r="L405">
        <v>367.31180000000001</v>
      </c>
      <c r="M405">
        <v>0.9999152</v>
      </c>
      <c r="N405">
        <v>0</v>
      </c>
      <c r="O405">
        <v>3.6019509999999999E-3</v>
      </c>
      <c r="P405">
        <v>0.99733000000000005</v>
      </c>
      <c r="Q405">
        <v>7.0860419999999993E-2</v>
      </c>
      <c r="R405">
        <v>-1.7660840000000001E-2</v>
      </c>
      <c r="S405">
        <v>3.0047000000000001</v>
      </c>
      <c r="T405">
        <v>-4.1612389999999997E-3</v>
      </c>
      <c r="U405">
        <v>-0.21041869999999999</v>
      </c>
      <c r="V405">
        <v>2.1256649999999998E-2</v>
      </c>
      <c r="W405">
        <v>8.3342869999999999E-2</v>
      </c>
      <c r="X405">
        <v>0.99629420000000002</v>
      </c>
      <c r="Y405">
        <v>7.3451680000000005E-2</v>
      </c>
      <c r="Z405" s="1">
        <v>-5.5782560000000001E-5</v>
      </c>
      <c r="AA405">
        <v>0.99729880000000004</v>
      </c>
      <c r="AB405">
        <v>26</v>
      </c>
      <c r="AC405">
        <v>837.60760000000005</v>
      </c>
      <c r="AD405">
        <v>-1.1603920000000001</v>
      </c>
      <c r="AE405">
        <v>-58.677199999999999</v>
      </c>
      <c r="AF405">
        <v>61.693959292918201</v>
      </c>
      <c r="AG405">
        <v>-1.1603920000000001</v>
      </c>
      <c r="AH405">
        <v>837.38919729889699</v>
      </c>
      <c r="AI405">
        <v>90.079181598532898</v>
      </c>
      <c r="AJ405">
        <v>85.786393296041695</v>
      </c>
      <c r="AK405">
        <v>839.65954938636901</v>
      </c>
      <c r="AL405">
        <v>85.219259863629404</v>
      </c>
      <c r="AM405">
        <v>88.777738966707503</v>
      </c>
      <c r="AN405">
        <v>1.0000000060513401</v>
      </c>
    </row>
    <row r="406" spans="1:40" x14ac:dyDescent="0.25">
      <c r="A406" t="str">
        <f>"20190312150954409"</f>
        <v>20190312150954409</v>
      </c>
      <c r="B406" t="str">
        <f>"1552374594401768"</f>
        <v>1552374594401768</v>
      </c>
      <c r="C406" t="s">
        <v>40</v>
      </c>
      <c r="D406">
        <v>4.7602900000000004</v>
      </c>
      <c r="E406">
        <v>0.52094399999999996</v>
      </c>
      <c r="F406" t="s">
        <v>44</v>
      </c>
      <c r="G406">
        <v>0</v>
      </c>
      <c r="H406">
        <v>0</v>
      </c>
      <c r="I406">
        <v>0</v>
      </c>
      <c r="J406">
        <v>-418.01459999999997</v>
      </c>
      <c r="K406">
        <v>1.0604</v>
      </c>
      <c r="L406">
        <v>367.31270000000001</v>
      </c>
      <c r="M406">
        <v>0.99991379999999996</v>
      </c>
      <c r="N406">
        <v>0</v>
      </c>
      <c r="O406">
        <v>3.6019540000000001E-3</v>
      </c>
      <c r="P406">
        <v>0.99735339999999995</v>
      </c>
      <c r="Q406">
        <v>7.0390019999999998E-2</v>
      </c>
      <c r="R406">
        <v>-1.8220819999999999E-2</v>
      </c>
      <c r="S406">
        <v>3.0042719999999998</v>
      </c>
      <c r="T406">
        <v>-1.089573E-4</v>
      </c>
      <c r="U406">
        <v>-0.21517939999999999</v>
      </c>
      <c r="V406">
        <v>2.1816550000000001E-2</v>
      </c>
      <c r="W406">
        <v>8.2984589999999997E-2</v>
      </c>
      <c r="X406">
        <v>0.99631199999999998</v>
      </c>
      <c r="Y406">
        <v>7.5034039999999996E-2</v>
      </c>
      <c r="Z406" s="1">
        <v>-1.4893869999999999E-6</v>
      </c>
      <c r="AA406">
        <v>0.99718099999999998</v>
      </c>
      <c r="AB406">
        <v>26</v>
      </c>
      <c r="AC406">
        <v>3.0042719999999998</v>
      </c>
      <c r="AD406">
        <v>-1.089573E-4</v>
      </c>
      <c r="AE406">
        <v>-0.21517939999999999</v>
      </c>
      <c r="AF406">
        <v>0.22600011580488</v>
      </c>
      <c r="AG406">
        <v>-1.089573E-4</v>
      </c>
      <c r="AH406">
        <v>3.0034773759895601</v>
      </c>
      <c r="AI406">
        <v>90.002072662469402</v>
      </c>
      <c r="AJ406">
        <v>85.696822334289294</v>
      </c>
      <c r="AK406">
        <v>3.0119681957644602</v>
      </c>
      <c r="AL406">
        <v>85.239859137514699</v>
      </c>
      <c r="AM406">
        <v>88.7455771804063</v>
      </c>
      <c r="AN406">
        <v>1.0000000026876801</v>
      </c>
    </row>
    <row r="407" spans="1:40" x14ac:dyDescent="0.25">
      <c r="A407" t="str">
        <f>"20190312150954432"</f>
        <v>20190312150954432</v>
      </c>
      <c r="B407" t="str">
        <f>"1552374594421283"</f>
        <v>1552374594421283</v>
      </c>
      <c r="C407" t="s">
        <v>40</v>
      </c>
      <c r="D407">
        <v>5.207052</v>
      </c>
      <c r="E407">
        <v>0.52121340000000005</v>
      </c>
      <c r="F407" t="s">
        <v>44</v>
      </c>
      <c r="G407">
        <v>0</v>
      </c>
      <c r="H407">
        <v>0</v>
      </c>
      <c r="I407">
        <v>0</v>
      </c>
      <c r="J407">
        <v>-417.73579999999998</v>
      </c>
      <c r="K407">
        <v>1.060406</v>
      </c>
      <c r="L407">
        <v>367.31369999999998</v>
      </c>
      <c r="M407">
        <v>0.99991240000000003</v>
      </c>
      <c r="N407">
        <v>0</v>
      </c>
      <c r="O407">
        <v>3.6021109999999999E-3</v>
      </c>
      <c r="P407">
        <v>0.9973419</v>
      </c>
      <c r="Q407">
        <v>7.0547490000000004E-2</v>
      </c>
      <c r="R407">
        <v>-1.8238549999999999E-2</v>
      </c>
      <c r="S407">
        <v>3.0038149999999999</v>
      </c>
      <c r="T407">
        <v>2.2134780000000001E-3</v>
      </c>
      <c r="U407">
        <v>-0.22036739999999999</v>
      </c>
      <c r="V407">
        <v>2.1834570000000001E-2</v>
      </c>
      <c r="W407">
        <v>8.3247360000000006E-2</v>
      </c>
      <c r="X407">
        <v>0.99628969999999994</v>
      </c>
      <c r="Y407">
        <v>7.6758149999999997E-2</v>
      </c>
      <c r="Z407" s="1">
        <v>3.0894259999999997E-5</v>
      </c>
      <c r="AA407">
        <v>0.99704970000000004</v>
      </c>
      <c r="AB407">
        <v>26</v>
      </c>
      <c r="AC407">
        <v>3.0038149999999999</v>
      </c>
      <c r="AD407">
        <v>2.2134780000000001E-3</v>
      </c>
      <c r="AE407">
        <v>-0.22036739999999999</v>
      </c>
      <c r="AF407">
        <v>0.23118679800480299</v>
      </c>
      <c r="AG407">
        <v>2.2134780000000001E-3</v>
      </c>
      <c r="AH407">
        <v>3.0030000350772998</v>
      </c>
      <c r="AI407">
        <v>89.957892519929004</v>
      </c>
      <c r="AJ407">
        <v>85.597751662792604</v>
      </c>
      <c r="AK407">
        <v>3.0118866920471699</v>
      </c>
      <c r="AL407">
        <v>85.224751327849702</v>
      </c>
      <c r="AM407">
        <v>88.744513293685102</v>
      </c>
      <c r="AN407">
        <v>1.00000001886007</v>
      </c>
    </row>
    <row r="408" spans="1:40" x14ac:dyDescent="0.25">
      <c r="A408" t="str">
        <f>"20190312150954455"</f>
        <v>20190312150954455</v>
      </c>
      <c r="B408" t="str">
        <f>"1552374594451539"</f>
        <v>1552374594451539</v>
      </c>
      <c r="C408" t="s">
        <v>40</v>
      </c>
      <c r="D408">
        <v>4.8374040000000003</v>
      </c>
      <c r="E408">
        <v>0.52181120000000003</v>
      </c>
      <c r="F408" t="s">
        <v>44</v>
      </c>
      <c r="G408">
        <v>0</v>
      </c>
      <c r="H408">
        <v>0</v>
      </c>
      <c r="I408">
        <v>0</v>
      </c>
      <c r="J408">
        <v>-417.47559999999999</v>
      </c>
      <c r="K408">
        <v>1.0604100000000001</v>
      </c>
      <c r="L408">
        <v>367.31470000000002</v>
      </c>
      <c r="M408">
        <v>0.9999112</v>
      </c>
      <c r="N408">
        <v>0</v>
      </c>
      <c r="O408">
        <v>3.6022089999999999E-3</v>
      </c>
      <c r="P408">
        <v>0.99733660000000002</v>
      </c>
      <c r="Q408">
        <v>7.0596519999999996E-2</v>
      </c>
      <c r="R408">
        <v>-1.8325259999999999E-2</v>
      </c>
      <c r="S408">
        <v>3.0036320000000001</v>
      </c>
      <c r="T408">
        <v>4.7616960000000002E-3</v>
      </c>
      <c r="U408">
        <v>-0.2226563</v>
      </c>
      <c r="V408">
        <v>2.1921469999999998E-2</v>
      </c>
      <c r="W408">
        <v>8.3382780000000004E-2</v>
      </c>
      <c r="X408">
        <v>0.99627639999999995</v>
      </c>
      <c r="Y408">
        <v>7.7518240000000002E-2</v>
      </c>
      <c r="Z408" s="1">
        <v>6.7064560000000006E-5</v>
      </c>
      <c r="AA408">
        <v>0.99699090000000001</v>
      </c>
      <c r="AB408">
        <v>26</v>
      </c>
      <c r="AC408">
        <v>3.0036320000000001</v>
      </c>
      <c r="AD408">
        <v>4.7616960000000002E-3</v>
      </c>
      <c r="AE408">
        <v>-0.2226563</v>
      </c>
      <c r="AF408">
        <v>0.23347487249020299</v>
      </c>
      <c r="AG408">
        <v>4.7616960000000002E-3</v>
      </c>
      <c r="AH408">
        <v>3.00280288329783</v>
      </c>
      <c r="AI408">
        <v>89.909416662690802</v>
      </c>
      <c r="AJ408">
        <v>85.554065350244898</v>
      </c>
      <c r="AK408">
        <v>3.01186957648815</v>
      </c>
      <c r="AL408">
        <v>85.216964942941402</v>
      </c>
      <c r="AM408">
        <v>88.739501335170402</v>
      </c>
      <c r="AN408">
        <v>0.99999995202222303</v>
      </c>
    </row>
    <row r="409" spans="1:40" x14ac:dyDescent="0.25">
      <c r="A409" t="str">
        <f>"20190312150954476"</f>
        <v>20190312150954476</v>
      </c>
      <c r="B409" t="str">
        <f>"1552374594471567"</f>
        <v>1552374594471567</v>
      </c>
      <c r="C409" t="s">
        <v>40</v>
      </c>
      <c r="D409">
        <v>4.8202870000000004</v>
      </c>
      <c r="E409">
        <v>0.52238499999999999</v>
      </c>
      <c r="F409" t="s">
        <v>44</v>
      </c>
      <c r="G409">
        <v>0</v>
      </c>
      <c r="H409">
        <v>0</v>
      </c>
      <c r="I409">
        <v>0</v>
      </c>
      <c r="J409">
        <v>-417.22800000000001</v>
      </c>
      <c r="K409">
        <v>1.0604119999999999</v>
      </c>
      <c r="L409">
        <v>367.31560000000002</v>
      </c>
      <c r="M409">
        <v>0.99991039999999998</v>
      </c>
      <c r="N409">
        <v>0</v>
      </c>
      <c r="O409">
        <v>3.6021E-3</v>
      </c>
      <c r="P409">
        <v>0.99737030000000004</v>
      </c>
      <c r="Q409">
        <v>7.0190970000000005E-2</v>
      </c>
      <c r="R409">
        <v>-1.805296E-2</v>
      </c>
      <c r="S409">
        <v>3.003174</v>
      </c>
      <c r="T409">
        <v>9.4310049999999992E-3</v>
      </c>
      <c r="U409">
        <v>-0.22772220000000001</v>
      </c>
      <c r="V409">
        <v>2.1649189999999999E-2</v>
      </c>
      <c r="W409">
        <v>8.3049209999999998E-2</v>
      </c>
      <c r="X409">
        <v>0.99631029999999998</v>
      </c>
      <c r="Y409">
        <v>7.9201300000000002E-2</v>
      </c>
      <c r="Z409">
        <v>1.354781E-4</v>
      </c>
      <c r="AA409">
        <v>0.99685869999999999</v>
      </c>
      <c r="AB409">
        <v>26</v>
      </c>
      <c r="AC409">
        <v>3.003174</v>
      </c>
      <c r="AD409">
        <v>9.4310049999999992E-3</v>
      </c>
      <c r="AE409">
        <v>-0.22772220000000001</v>
      </c>
      <c r="AF409">
        <v>0.23853701566062699</v>
      </c>
      <c r="AG409">
        <v>9.4310049999999992E-3</v>
      </c>
      <c r="AH409">
        <v>3.0023047283236002</v>
      </c>
      <c r="AI409">
        <v>89.820585316986893</v>
      </c>
      <c r="AJ409">
        <v>85.457318330960504</v>
      </c>
      <c r="AK409">
        <v>3.0117806250472299</v>
      </c>
      <c r="AL409">
        <v>85.236144020114097</v>
      </c>
      <c r="AM409">
        <v>88.755194996560306</v>
      </c>
      <c r="AN409">
        <v>1.00000003629768</v>
      </c>
    </row>
    <row r="410" spans="1:40" x14ac:dyDescent="0.25">
      <c r="A410" t="str">
        <f>"20190312150954489"</f>
        <v>20190312150954489</v>
      </c>
      <c r="B410" t="str">
        <f>"1552374594481327"</f>
        <v>1552374594481327</v>
      </c>
      <c r="C410" t="s">
        <v>40</v>
      </c>
      <c r="D410">
        <v>5.0104379999999997</v>
      </c>
      <c r="E410">
        <v>0.5226132</v>
      </c>
      <c r="F410" t="s">
        <v>44</v>
      </c>
      <c r="G410">
        <v>0</v>
      </c>
      <c r="H410">
        <v>0</v>
      </c>
      <c r="I410">
        <v>0</v>
      </c>
      <c r="J410">
        <v>-417.07940000000002</v>
      </c>
      <c r="K410">
        <v>1.0604150000000001</v>
      </c>
      <c r="L410">
        <v>367.31619999999998</v>
      </c>
      <c r="M410">
        <v>0.99990990000000002</v>
      </c>
      <c r="N410">
        <v>0</v>
      </c>
      <c r="O410">
        <v>3.6020319999999998E-3</v>
      </c>
      <c r="P410">
        <v>0.9973862</v>
      </c>
      <c r="Q410">
        <v>6.9961570000000001E-2</v>
      </c>
      <c r="R410">
        <v>-1.806557E-2</v>
      </c>
      <c r="S410">
        <v>3.0028990000000002</v>
      </c>
      <c r="T410">
        <v>1.145184E-2</v>
      </c>
      <c r="U410">
        <v>-0.2315063</v>
      </c>
      <c r="V410">
        <v>2.1661719999999999E-2</v>
      </c>
      <c r="W410">
        <v>8.2857710000000001E-2</v>
      </c>
      <c r="X410">
        <v>0.99632589999999999</v>
      </c>
      <c r="Y410">
        <v>8.0456760000000002E-2</v>
      </c>
      <c r="Z410">
        <v>1.669048E-4</v>
      </c>
      <c r="AA410">
        <v>0.99675809999999998</v>
      </c>
      <c r="AB410">
        <v>26</v>
      </c>
      <c r="AC410">
        <v>3.0028990000000002</v>
      </c>
      <c r="AD410">
        <v>1.145184E-2</v>
      </c>
      <c r="AE410">
        <v>-0.2315063</v>
      </c>
      <c r="AF410">
        <v>0.24231873730758299</v>
      </c>
      <c r="AG410">
        <v>1.145184E-2</v>
      </c>
      <c r="AH410">
        <v>3.0020021514148798</v>
      </c>
      <c r="AI410">
        <v>89.782141472205595</v>
      </c>
      <c r="AJ410">
        <v>85.385145014039693</v>
      </c>
      <c r="AK410">
        <v>3.0117879128831899</v>
      </c>
      <c r="AL410">
        <v>85.247153767153804</v>
      </c>
      <c r="AM410">
        <v>88.754494257706995</v>
      </c>
      <c r="AN410">
        <v>0.99999996461530505</v>
      </c>
    </row>
    <row r="411" spans="1:40" x14ac:dyDescent="0.25">
      <c r="A411" t="str">
        <f>"20190312150954500"</f>
        <v>20190312150954500</v>
      </c>
      <c r="B411" t="str">
        <f>"1552374594491088"</f>
        <v>1552374594491088</v>
      </c>
      <c r="C411" t="s">
        <v>40</v>
      </c>
      <c r="D411">
        <v>4.7581329999999999</v>
      </c>
      <c r="E411">
        <v>0.52289339999999995</v>
      </c>
      <c r="F411" t="s">
        <v>44</v>
      </c>
      <c r="G411">
        <v>0</v>
      </c>
      <c r="H411">
        <v>0</v>
      </c>
      <c r="I411">
        <v>0</v>
      </c>
      <c r="J411">
        <v>-416.93729999999999</v>
      </c>
      <c r="K411">
        <v>1.060419</v>
      </c>
      <c r="L411">
        <v>367.31670000000003</v>
      </c>
      <c r="M411">
        <v>0.99990939999999995</v>
      </c>
      <c r="N411">
        <v>0</v>
      </c>
      <c r="O411">
        <v>3.6021040000000001E-3</v>
      </c>
      <c r="P411">
        <v>0.99739489999999997</v>
      </c>
      <c r="Q411">
        <v>6.9944859999999998E-2</v>
      </c>
      <c r="R411">
        <v>-1.7645029999999999E-2</v>
      </c>
      <c r="S411">
        <v>3.0028079999999999</v>
      </c>
      <c r="T411">
        <v>1.166379E-2</v>
      </c>
      <c r="U411">
        <v>-0.23352049999999999</v>
      </c>
      <c r="V411">
        <v>2.1241139999999999E-2</v>
      </c>
      <c r="W411">
        <v>8.2875770000000001E-2</v>
      </c>
      <c r="X411">
        <v>0.99633349999999998</v>
      </c>
      <c r="Y411">
        <v>8.1123719999999996E-2</v>
      </c>
      <c r="Z411">
        <v>1.7128839999999999E-4</v>
      </c>
      <c r="AA411">
        <v>0.99670400000000003</v>
      </c>
      <c r="AB411">
        <v>26</v>
      </c>
      <c r="AC411">
        <v>3.0028079999999999</v>
      </c>
      <c r="AD411">
        <v>1.166379E-2</v>
      </c>
      <c r="AE411">
        <v>-0.23352049999999999</v>
      </c>
      <c r="AF411">
        <v>0.24433265706484</v>
      </c>
      <c r="AG411">
        <v>1.166379E-2</v>
      </c>
      <c r="AH411">
        <v>3.00190226016807</v>
      </c>
      <c r="AI411">
        <v>89.778114050763307</v>
      </c>
      <c r="AJ411">
        <v>85.346804357905398</v>
      </c>
      <c r="AK411">
        <v>3.0118518673579699</v>
      </c>
      <c r="AL411">
        <v>85.246115656350099</v>
      </c>
      <c r="AM411">
        <v>88.778678685998898</v>
      </c>
      <c r="AN411">
        <v>1.0000000112519201</v>
      </c>
    </row>
    <row r="412" spans="1:40" x14ac:dyDescent="0.25">
      <c r="A412" t="str">
        <f>"20190312150954513"</f>
        <v>20190312150954513</v>
      </c>
      <c r="B412" t="str">
        <f>"1552374594500848"</f>
        <v>1552374594500848</v>
      </c>
      <c r="C412" t="s">
        <v>40</v>
      </c>
      <c r="D412">
        <v>4.8474360000000001</v>
      </c>
      <c r="E412">
        <v>0.52306560000000002</v>
      </c>
      <c r="F412" t="s">
        <v>44</v>
      </c>
      <c r="G412">
        <v>0</v>
      </c>
      <c r="H412">
        <v>0</v>
      </c>
      <c r="I412">
        <v>0</v>
      </c>
      <c r="J412">
        <v>-416.7955</v>
      </c>
      <c r="K412">
        <v>1.0604199999999999</v>
      </c>
      <c r="L412">
        <v>367.31720000000001</v>
      </c>
      <c r="M412">
        <v>0.9999091</v>
      </c>
      <c r="N412">
        <v>0</v>
      </c>
      <c r="O412">
        <v>3.6020779999999999E-3</v>
      </c>
      <c r="P412">
        <v>0.99738729999999998</v>
      </c>
      <c r="Q412">
        <v>7.0071700000000001E-2</v>
      </c>
      <c r="R412">
        <v>-1.758289E-2</v>
      </c>
      <c r="S412">
        <v>3.0026860000000002</v>
      </c>
      <c r="T412">
        <v>1.379526E-2</v>
      </c>
      <c r="U412">
        <v>-0.23440549999999999</v>
      </c>
      <c r="V412">
        <v>2.1178840000000001E-2</v>
      </c>
      <c r="W412">
        <v>8.3033990000000002E-2</v>
      </c>
      <c r="X412">
        <v>0.99632160000000003</v>
      </c>
      <c r="Y412">
        <v>8.1418560000000001E-2</v>
      </c>
      <c r="Z412">
        <v>2.032716E-4</v>
      </c>
      <c r="AA412">
        <v>0.99668000000000001</v>
      </c>
      <c r="AB412">
        <v>26</v>
      </c>
      <c r="AC412">
        <v>3.0026860000000002</v>
      </c>
      <c r="AD412">
        <v>1.379526E-2</v>
      </c>
      <c r="AE412">
        <v>-0.23440549999999999</v>
      </c>
      <c r="AF412">
        <v>0.24521565671222001</v>
      </c>
      <c r="AG412">
        <v>1.379526E-2</v>
      </c>
      <c r="AH412">
        <v>3.0017591222997999</v>
      </c>
      <c r="AI412">
        <v>89.737560405737099</v>
      </c>
      <c r="AJ412">
        <v>85.329840607274804</v>
      </c>
      <c r="AK412">
        <v>3.0117899753809798</v>
      </c>
      <c r="AL412">
        <v>85.237018713762197</v>
      </c>
      <c r="AM412">
        <v>88.782245185806005</v>
      </c>
      <c r="AN412">
        <v>0.999999958692812</v>
      </c>
    </row>
    <row r="413" spans="1:40" x14ac:dyDescent="0.25">
      <c r="A413" t="str">
        <f>"20190312150954533"</f>
        <v>20190312150954533</v>
      </c>
      <c r="B413" t="str">
        <f>"1552374594521344"</f>
        <v>1552374594521344</v>
      </c>
      <c r="C413" t="s">
        <v>40</v>
      </c>
      <c r="D413">
        <v>4.8211750000000002</v>
      </c>
      <c r="E413">
        <v>0.52353839999999996</v>
      </c>
      <c r="F413" t="s">
        <v>44</v>
      </c>
      <c r="G413">
        <v>0</v>
      </c>
      <c r="H413">
        <v>0</v>
      </c>
      <c r="I413">
        <v>0</v>
      </c>
      <c r="J413">
        <v>-416.56619999999998</v>
      </c>
      <c r="K413">
        <v>1.060422</v>
      </c>
      <c r="L413">
        <v>367.31799999999998</v>
      </c>
      <c r="M413">
        <v>0.99990840000000003</v>
      </c>
      <c r="N413">
        <v>0</v>
      </c>
      <c r="O413">
        <v>3.6021349999999998E-3</v>
      </c>
      <c r="P413">
        <v>0.99738020000000005</v>
      </c>
      <c r="Q413">
        <v>7.0143650000000002E-2</v>
      </c>
      <c r="R413">
        <v>-1.767693E-2</v>
      </c>
      <c r="S413">
        <v>3.0026250000000001</v>
      </c>
      <c r="T413">
        <v>1.535273E-2</v>
      </c>
      <c r="U413">
        <v>-0.23559569999999999</v>
      </c>
      <c r="V413">
        <v>2.1273199999999999E-2</v>
      </c>
      <c r="W413">
        <v>8.3151359999999994E-2</v>
      </c>
      <c r="X413">
        <v>0.99630980000000002</v>
      </c>
      <c r="Y413">
        <v>8.1812620000000003E-2</v>
      </c>
      <c r="Z413">
        <v>2.2722770000000001E-4</v>
      </c>
      <c r="AA413">
        <v>0.99664770000000003</v>
      </c>
      <c r="AB413">
        <v>26</v>
      </c>
      <c r="AC413">
        <v>3.0026250000000001</v>
      </c>
      <c r="AD413">
        <v>1.535273E-2</v>
      </c>
      <c r="AE413">
        <v>-0.23559569999999999</v>
      </c>
      <c r="AF413">
        <v>0.246404549963888</v>
      </c>
      <c r="AG413">
        <v>1.535273E-2</v>
      </c>
      <c r="AH413">
        <v>3.0016788016003102</v>
      </c>
      <c r="AI413">
        <v>89.707933392044495</v>
      </c>
      <c r="AJ413">
        <v>85.307173875596902</v>
      </c>
      <c r="AK413">
        <v>3.01181449238462</v>
      </c>
      <c r="AL413">
        <v>85.230270566551596</v>
      </c>
      <c r="AM413">
        <v>88.776806774849504</v>
      </c>
      <c r="AN413">
        <v>0.99999995764206295</v>
      </c>
    </row>
    <row r="414" spans="1:40" x14ac:dyDescent="0.25">
      <c r="A414" t="str">
        <f>"20190312150954554"</f>
        <v>20190312150954554</v>
      </c>
      <c r="B414" t="str">
        <f>"1552374594551599"</f>
        <v>1552374594551599</v>
      </c>
      <c r="C414" t="s">
        <v>40</v>
      </c>
      <c r="D414">
        <v>4.888668</v>
      </c>
      <c r="E414">
        <v>0.52411540000000001</v>
      </c>
      <c r="F414" t="s">
        <v>44</v>
      </c>
      <c r="G414">
        <v>0</v>
      </c>
      <c r="H414">
        <v>0</v>
      </c>
      <c r="I414">
        <v>0</v>
      </c>
      <c r="J414">
        <v>-416.31490000000002</v>
      </c>
      <c r="K414">
        <v>1.0604279999999999</v>
      </c>
      <c r="L414">
        <v>367.31900000000002</v>
      </c>
      <c r="M414">
        <v>0.99990789999999996</v>
      </c>
      <c r="N414">
        <v>0</v>
      </c>
      <c r="O414">
        <v>3.6021439999999998E-3</v>
      </c>
      <c r="P414">
        <v>0.99737629999999999</v>
      </c>
      <c r="Q414">
        <v>7.0173639999999995E-2</v>
      </c>
      <c r="R414">
        <v>-1.7776050000000002E-2</v>
      </c>
      <c r="S414">
        <v>3.0025019999999998</v>
      </c>
      <c r="T414">
        <v>1.6250009999999999E-2</v>
      </c>
      <c r="U414">
        <v>-0.23989869999999999</v>
      </c>
      <c r="V414">
        <v>2.1372490000000001E-2</v>
      </c>
      <c r="W414">
        <v>8.3225030000000005E-2</v>
      </c>
      <c r="X414">
        <v>0.99630160000000001</v>
      </c>
      <c r="Y414">
        <v>8.323498E-2</v>
      </c>
      <c r="Z414">
        <v>2.4434689999999998E-4</v>
      </c>
      <c r="AA414">
        <v>0.99652989999999997</v>
      </c>
      <c r="AB414">
        <v>26</v>
      </c>
      <c r="AC414">
        <v>3.0025019999999998</v>
      </c>
      <c r="AD414">
        <v>1.6250009999999999E-2</v>
      </c>
      <c r="AE414">
        <v>-0.23989869999999999</v>
      </c>
      <c r="AF414">
        <v>0.25070621694329998</v>
      </c>
      <c r="AG414">
        <v>1.6250009999999999E-2</v>
      </c>
      <c r="AH414">
        <v>3.0015309321174599</v>
      </c>
      <c r="AI414">
        <v>89.690885387077898</v>
      </c>
      <c r="AJ414">
        <v>85.225389101401902</v>
      </c>
      <c r="AK414">
        <v>3.01202682698825</v>
      </c>
      <c r="AL414">
        <v>85.2260352681227</v>
      </c>
      <c r="AM414">
        <v>88.771089308874394</v>
      </c>
      <c r="AN414">
        <v>1.0000000335549299</v>
      </c>
    </row>
    <row r="415" spans="1:40" x14ac:dyDescent="0.25">
      <c r="A415" t="str">
        <f>"20190312150954567"</f>
        <v>20190312150954567</v>
      </c>
      <c r="B415" t="str">
        <f>"1552374594561360"</f>
        <v>1552374594561360</v>
      </c>
      <c r="C415" t="s">
        <v>40</v>
      </c>
      <c r="D415">
        <v>4.9027580000000004</v>
      </c>
      <c r="E415">
        <v>0.52430739999999998</v>
      </c>
      <c r="F415" t="s">
        <v>44</v>
      </c>
      <c r="G415">
        <v>0</v>
      </c>
      <c r="H415">
        <v>0</v>
      </c>
      <c r="I415">
        <v>0</v>
      </c>
      <c r="J415">
        <v>-416.16759999999999</v>
      </c>
      <c r="K415">
        <v>1.06043</v>
      </c>
      <c r="L415">
        <v>367.31950000000001</v>
      </c>
      <c r="M415">
        <v>0.99990760000000001</v>
      </c>
      <c r="N415">
        <v>0</v>
      </c>
      <c r="O415">
        <v>3.6019960000000001E-3</v>
      </c>
      <c r="P415">
        <v>0.99734210000000001</v>
      </c>
      <c r="Q415">
        <v>7.0662009999999997E-2</v>
      </c>
      <c r="R415">
        <v>-1.7773830000000001E-2</v>
      </c>
      <c r="S415">
        <v>3.0022280000000001</v>
      </c>
      <c r="T415">
        <v>1.8777849999999999E-2</v>
      </c>
      <c r="U415">
        <v>-0.24472050000000001</v>
      </c>
      <c r="V415">
        <v>2.136981E-2</v>
      </c>
      <c r="W415">
        <v>8.3734890000000006E-2</v>
      </c>
      <c r="X415">
        <v>0.99625889999999995</v>
      </c>
      <c r="Y415">
        <v>8.4831660000000003E-2</v>
      </c>
      <c r="Z415">
        <v>2.873482E-4</v>
      </c>
      <c r="AA415">
        <v>0.99639520000000004</v>
      </c>
      <c r="AB415">
        <v>26</v>
      </c>
      <c r="AC415">
        <v>3.0022280000000001</v>
      </c>
      <c r="AD415">
        <v>1.8777849999999999E-2</v>
      </c>
      <c r="AE415">
        <v>-0.24472050000000001</v>
      </c>
      <c r="AF415">
        <v>0.25552392431383503</v>
      </c>
      <c r="AG415">
        <v>1.8777849999999999E-2</v>
      </c>
      <c r="AH415">
        <v>3.0012103286863301</v>
      </c>
      <c r="AI415">
        <v>89.642811025380993</v>
      </c>
      <c r="AJ415">
        <v>85.133556684053204</v>
      </c>
      <c r="AK415">
        <v>3.0121269097700498</v>
      </c>
      <c r="AL415">
        <v>85.1967199466323</v>
      </c>
      <c r="AM415">
        <v>88.771190711902193</v>
      </c>
      <c r="AN415">
        <v>0.99999999820597896</v>
      </c>
    </row>
    <row r="416" spans="1:40" x14ac:dyDescent="0.25">
      <c r="A416" t="str">
        <f>"20190312150954588"</f>
        <v>20190312150954588</v>
      </c>
      <c r="B416" t="str">
        <f>"1552374594580880"</f>
        <v>1552374594580880</v>
      </c>
      <c r="C416" t="s">
        <v>40</v>
      </c>
      <c r="D416">
        <v>4.8717940000000004</v>
      </c>
      <c r="E416">
        <v>0.52440719999999996</v>
      </c>
      <c r="F416" t="s">
        <v>44</v>
      </c>
      <c r="G416">
        <v>0</v>
      </c>
      <c r="H416">
        <v>0</v>
      </c>
      <c r="I416">
        <v>0</v>
      </c>
      <c r="J416">
        <v>-415.92219999999998</v>
      </c>
      <c r="K416">
        <v>1.060433</v>
      </c>
      <c r="L416">
        <v>367.32040000000001</v>
      </c>
      <c r="M416">
        <v>0.99990710000000005</v>
      </c>
      <c r="N416">
        <v>0</v>
      </c>
      <c r="O416">
        <v>3.601651E-3</v>
      </c>
      <c r="P416">
        <v>0.99735459999999998</v>
      </c>
      <c r="Q416">
        <v>7.0591000000000001E-2</v>
      </c>
      <c r="R416">
        <v>-1.733995E-2</v>
      </c>
      <c r="S416">
        <v>3.002167</v>
      </c>
      <c r="T416">
        <v>2.0627260000000001E-2</v>
      </c>
      <c r="U416">
        <v>-0.24606320000000001</v>
      </c>
      <c r="V416">
        <v>2.093563E-2</v>
      </c>
      <c r="W416">
        <v>8.3697820000000006E-2</v>
      </c>
      <c r="X416">
        <v>0.99627129999999997</v>
      </c>
      <c r="Y416">
        <v>8.5275279999999995E-2</v>
      </c>
      <c r="Z416">
        <v>3.17168E-4</v>
      </c>
      <c r="AA416">
        <v>0.99635739999999995</v>
      </c>
      <c r="AB416">
        <v>26</v>
      </c>
      <c r="AC416">
        <v>3.002167</v>
      </c>
      <c r="AD416">
        <v>2.0627260000000001E-2</v>
      </c>
      <c r="AE416">
        <v>-0.24606320000000001</v>
      </c>
      <c r="AF416">
        <v>0.25686325096978102</v>
      </c>
      <c r="AG416">
        <v>2.0627260000000001E-2</v>
      </c>
      <c r="AH416">
        <v>3.0011204835405798</v>
      </c>
      <c r="AI416">
        <v>89.607636100733203</v>
      </c>
      <c r="AJ416">
        <v>85.108026979003498</v>
      </c>
      <c r="AK416">
        <v>3.0121634036487301</v>
      </c>
      <c r="AL416">
        <v>85.198851702071394</v>
      </c>
      <c r="AM416">
        <v>88.796164536339205</v>
      </c>
      <c r="AN416">
        <v>1.00000006443996</v>
      </c>
    </row>
    <row r="417" spans="1:40" x14ac:dyDescent="0.25">
      <c r="A417" t="str">
        <f>"20190312150954613"</f>
        <v>20190312150954613</v>
      </c>
      <c r="B417" t="str">
        <f>"1552374594601376"</f>
        <v>1552374594601376</v>
      </c>
      <c r="C417" t="s">
        <v>40</v>
      </c>
      <c r="D417">
        <v>5.0142930000000003</v>
      </c>
      <c r="E417">
        <v>0.535632</v>
      </c>
      <c r="F417" t="s">
        <v>44</v>
      </c>
      <c r="G417">
        <v>0</v>
      </c>
      <c r="H417">
        <v>0</v>
      </c>
      <c r="I417">
        <v>0</v>
      </c>
      <c r="J417">
        <v>-415.63389999999998</v>
      </c>
      <c r="K417">
        <v>1.0604389999999999</v>
      </c>
      <c r="L417">
        <v>367.32139999999998</v>
      </c>
      <c r="M417">
        <v>0.99990670000000004</v>
      </c>
      <c r="N417">
        <v>0</v>
      </c>
      <c r="O417">
        <v>3.5988439999999999E-3</v>
      </c>
      <c r="P417">
        <v>0.99736919999999996</v>
      </c>
      <c r="Q417">
        <v>7.0405229999999999E-2</v>
      </c>
      <c r="R417">
        <v>-1.7263899999999999E-2</v>
      </c>
      <c r="S417">
        <v>3.002319</v>
      </c>
      <c r="T417">
        <v>1.926661E-2</v>
      </c>
      <c r="U417">
        <v>-0.24575810000000001</v>
      </c>
      <c r="V417">
        <v>2.0857029999999999E-2</v>
      </c>
      <c r="W417">
        <v>8.3546239999999994E-2</v>
      </c>
      <c r="X417">
        <v>0.99628559999999999</v>
      </c>
      <c r="Y417">
        <v>8.5168030000000006E-2</v>
      </c>
      <c r="Z417">
        <v>2.958716E-4</v>
      </c>
      <c r="AA417">
        <v>0.99636659999999999</v>
      </c>
      <c r="AB417">
        <v>26</v>
      </c>
      <c r="AC417">
        <v>3.002319</v>
      </c>
      <c r="AD417">
        <v>1.926661E-2</v>
      </c>
      <c r="AE417">
        <v>-0.24575810000000001</v>
      </c>
      <c r="AF417">
        <v>0.25655182940433902</v>
      </c>
      <c r="AG417">
        <v>1.926661E-2</v>
      </c>
      <c r="AH417">
        <v>3.0012922585672701</v>
      </c>
      <c r="AI417">
        <v>89.633534730394103</v>
      </c>
      <c r="AJ417">
        <v>85.114207581376704</v>
      </c>
      <c r="AK417">
        <v>3.01229899989483</v>
      </c>
      <c r="AL417">
        <v>85.207566779618304</v>
      </c>
      <c r="AM417">
        <v>88.800700060860606</v>
      </c>
      <c r="AN417">
        <v>0.99999999334295897</v>
      </c>
    </row>
    <row r="418" spans="1:40" x14ac:dyDescent="0.25">
      <c r="A418" t="str">
        <f>"20190312150954635"</f>
        <v>20190312150954635</v>
      </c>
      <c r="B418" t="str">
        <f>"1552374594631632"</f>
        <v>1552374594631632</v>
      </c>
      <c r="C418" t="s">
        <v>40</v>
      </c>
      <c r="D418">
        <v>4.9253130000000001</v>
      </c>
      <c r="E418">
        <v>0.53623999999999905</v>
      </c>
      <c r="F418" t="s">
        <v>41</v>
      </c>
      <c r="G418">
        <v>-414.88639999999998</v>
      </c>
      <c r="H418">
        <v>0.91552979999999995</v>
      </c>
      <c r="I418">
        <v>367.2396</v>
      </c>
      <c r="J418">
        <v>-415.37920000000003</v>
      </c>
      <c r="K418">
        <v>1.060435</v>
      </c>
      <c r="L418">
        <v>367.32229999999998</v>
      </c>
      <c r="M418">
        <v>0.99990639999999997</v>
      </c>
      <c r="N418">
        <v>0</v>
      </c>
      <c r="O418">
        <v>3.5920769999999999E-3</v>
      </c>
      <c r="P418">
        <v>0.99741290000000005</v>
      </c>
      <c r="Q418">
        <v>6.9773210000000002E-2</v>
      </c>
      <c r="R418">
        <v>-1.7305109999999999E-2</v>
      </c>
      <c r="S418">
        <v>3.0438839999999998</v>
      </c>
      <c r="T418">
        <v>-0.59024889999999997</v>
      </c>
      <c r="U418">
        <v>-0.33166499999999999</v>
      </c>
      <c r="V418">
        <v>2.0892129999999998E-2</v>
      </c>
      <c r="W418">
        <v>8.2939440000000003E-2</v>
      </c>
      <c r="X418">
        <v>0.99633559999999999</v>
      </c>
      <c r="Y418">
        <v>0.1098026</v>
      </c>
      <c r="Z418">
        <v>-1.12058E-2</v>
      </c>
      <c r="AA418">
        <v>0.99389019999999995</v>
      </c>
      <c r="AB418">
        <v>26</v>
      </c>
      <c r="AC418">
        <v>0.49280000000004498</v>
      </c>
      <c r="AD418">
        <v>-0.14490519999999901</v>
      </c>
      <c r="AE418">
        <v>-8.2699999999988394E-2</v>
      </c>
      <c r="AF418">
        <v>7.7917412114335699E-2</v>
      </c>
      <c r="AG418">
        <v>-0.14490519999999901</v>
      </c>
      <c r="AH418">
        <v>0.45429616404562401</v>
      </c>
      <c r="AI418">
        <v>107.451894596576</v>
      </c>
      <c r="AJ418">
        <v>80.267757239284506</v>
      </c>
      <c r="AK418">
        <v>0.48317040965295399</v>
      </c>
      <c r="AL418">
        <v>85.242455119969804</v>
      </c>
      <c r="AM418">
        <v>88.798742636092797</v>
      </c>
      <c r="AN418">
        <v>1.0000000298153999</v>
      </c>
    </row>
    <row r="419" spans="1:40" x14ac:dyDescent="0.25">
      <c r="A419" t="str">
        <f>"20190312150954657"</f>
        <v>20190312150954657</v>
      </c>
      <c r="B419" t="str">
        <f>"1552374594651152"</f>
        <v>1552374594651152</v>
      </c>
      <c r="C419" t="s">
        <v>40</v>
      </c>
      <c r="D419">
        <v>4.7451059999999998</v>
      </c>
      <c r="E419">
        <v>0.53589690000000001</v>
      </c>
      <c r="F419" t="s">
        <v>41</v>
      </c>
      <c r="G419">
        <v>-414.64280000000002</v>
      </c>
      <c r="H419">
        <v>0.93776009999999999</v>
      </c>
      <c r="I419">
        <v>367.2405</v>
      </c>
      <c r="J419">
        <v>-415.13260000000002</v>
      </c>
      <c r="K419">
        <v>1.06043</v>
      </c>
      <c r="L419">
        <v>367.32319999999999</v>
      </c>
      <c r="M419">
        <v>0.99990610000000002</v>
      </c>
      <c r="N419">
        <v>0</v>
      </c>
      <c r="O419">
        <v>3.577186E-3</v>
      </c>
      <c r="P419">
        <v>0.99743170000000003</v>
      </c>
      <c r="Q419">
        <v>6.9535349999999996E-2</v>
      </c>
      <c r="R419">
        <v>-1.7182269999999999E-2</v>
      </c>
      <c r="S419">
        <v>3.0373230000000002</v>
      </c>
      <c r="T419">
        <v>-0.50602269999999905</v>
      </c>
      <c r="U419">
        <v>-0.33676149999999999</v>
      </c>
      <c r="V419">
        <v>2.0755559999999999E-2</v>
      </c>
      <c r="W419">
        <v>8.2722270000000001E-2</v>
      </c>
      <c r="X419">
        <v>0.99635649999999998</v>
      </c>
      <c r="Y419">
        <v>0.11217779999999999</v>
      </c>
      <c r="Z419">
        <v>-9.8429559999999999E-3</v>
      </c>
      <c r="AA419">
        <v>0.99363939999999995</v>
      </c>
      <c r="AB419">
        <v>26</v>
      </c>
      <c r="AC419">
        <v>0.48980000000000201</v>
      </c>
      <c r="AD419">
        <v>-0.122669899999999</v>
      </c>
      <c r="AE419">
        <v>-8.2699999999988394E-2</v>
      </c>
      <c r="AF419">
        <v>7.9597397856226507E-2</v>
      </c>
      <c r="AG419">
        <v>-0.122669899999999</v>
      </c>
      <c r="AH419">
        <v>0.46136421896086199</v>
      </c>
      <c r="AI419">
        <v>104.68226570336</v>
      </c>
      <c r="AJ419">
        <v>80.211340699543101</v>
      </c>
      <c r="AK419">
        <v>0.483984083053212</v>
      </c>
      <c r="AL419">
        <v>85.254940908939105</v>
      </c>
      <c r="AM419">
        <v>88.806617896629305</v>
      </c>
      <c r="AN419">
        <v>1.00000002115855</v>
      </c>
    </row>
    <row r="420" spans="1:40" x14ac:dyDescent="0.25">
      <c r="A420" t="str">
        <f>"20190312150954678"</f>
        <v>20190312150954678</v>
      </c>
      <c r="B420" t="str">
        <f>"1552374594671179"</f>
        <v>1552374594671179</v>
      </c>
      <c r="C420" t="s">
        <v>40</v>
      </c>
      <c r="D420">
        <v>4.8047879999999896</v>
      </c>
      <c r="E420">
        <v>0.53560940000000001</v>
      </c>
      <c r="F420" t="s">
        <v>41</v>
      </c>
      <c r="G420">
        <v>-414.40609999999998</v>
      </c>
      <c r="H420">
        <v>0.94645520000000005</v>
      </c>
      <c r="I420">
        <v>367.24299999999999</v>
      </c>
      <c r="J420">
        <v>-414.87279999999998</v>
      </c>
      <c r="K420">
        <v>1.060424</v>
      </c>
      <c r="L420">
        <v>367.32409999999999</v>
      </c>
      <c r="M420">
        <v>0.99990610000000002</v>
      </c>
      <c r="N420">
        <v>0</v>
      </c>
      <c r="O420">
        <v>3.5484840000000002E-3</v>
      </c>
      <c r="P420">
        <v>0.99743939999999998</v>
      </c>
      <c r="Q420">
        <v>6.9488179999999997E-2</v>
      </c>
      <c r="R420">
        <v>-1.6919279999999998E-2</v>
      </c>
      <c r="S420">
        <v>3.0351870000000001</v>
      </c>
      <c r="T420">
        <v>-0.47634799999999999</v>
      </c>
      <c r="U420">
        <v>-0.3338623</v>
      </c>
      <c r="V420">
        <v>2.046603E-2</v>
      </c>
      <c r="W420">
        <v>8.2693290000000003E-2</v>
      </c>
      <c r="X420">
        <v>0.9963649</v>
      </c>
      <c r="Y420">
        <v>0.1114733</v>
      </c>
      <c r="Z420">
        <v>-9.2204939999999992E-3</v>
      </c>
      <c r="AA420">
        <v>0.99372459999999996</v>
      </c>
      <c r="AB420">
        <v>26</v>
      </c>
      <c r="AC420">
        <v>0.466700000000003</v>
      </c>
      <c r="AD420">
        <v>-0.1139688</v>
      </c>
      <c r="AE420">
        <v>-8.1099999999935293E-2</v>
      </c>
      <c r="AF420">
        <v>7.8227414137694198E-2</v>
      </c>
      <c r="AG420">
        <v>-0.1139688</v>
      </c>
      <c r="AH420">
        <v>0.44088787386952999</v>
      </c>
      <c r="AI420">
        <v>104.279886559768</v>
      </c>
      <c r="AJ420">
        <v>79.938633390069995</v>
      </c>
      <c r="AK420">
        <v>0.46205035766819302</v>
      </c>
      <c r="AL420">
        <v>85.256607073370603</v>
      </c>
      <c r="AM420">
        <v>88.823270202361897</v>
      </c>
      <c r="AN420">
        <v>1.0000000262734901</v>
      </c>
    </row>
    <row r="421" spans="1:40" x14ac:dyDescent="0.25">
      <c r="A421" t="str">
        <f>"20190312150954701"</f>
        <v>20190312150954701</v>
      </c>
      <c r="B421" t="str">
        <f>"1552374594691678"</f>
        <v>1552374594691678</v>
      </c>
      <c r="C421" t="s">
        <v>40</v>
      </c>
      <c r="D421">
        <v>4.7907609999999998</v>
      </c>
      <c r="E421">
        <v>0.54058609999999996</v>
      </c>
      <c r="F421" t="s">
        <v>41</v>
      </c>
      <c r="G421">
        <v>-413.95249999999999</v>
      </c>
      <c r="H421">
        <v>0.92378309999999997</v>
      </c>
      <c r="I421">
        <v>367.22359999999998</v>
      </c>
      <c r="J421">
        <v>-414.60969999999998</v>
      </c>
      <c r="K421">
        <v>1.060411</v>
      </c>
      <c r="L421">
        <v>367.32499999999999</v>
      </c>
      <c r="M421">
        <v>0.99990590000000001</v>
      </c>
      <c r="N421">
        <v>0</v>
      </c>
      <c r="O421">
        <v>3.5022849999999999E-3</v>
      </c>
      <c r="P421">
        <v>0.99744379999999999</v>
      </c>
      <c r="Q421">
        <v>6.937625E-2</v>
      </c>
      <c r="R421">
        <v>-1.7113099999999899E-2</v>
      </c>
      <c r="S421">
        <v>3.0334469999999998</v>
      </c>
      <c r="T421">
        <v>-0.45049020000000001</v>
      </c>
      <c r="U421">
        <v>-0.33090209999999998</v>
      </c>
      <c r="V421">
        <v>2.061634E-2</v>
      </c>
      <c r="W421">
        <v>8.2595859999999993E-2</v>
      </c>
      <c r="X421">
        <v>0.99636979999999997</v>
      </c>
      <c r="Y421">
        <v>0.1106847</v>
      </c>
      <c r="Z421">
        <v>-8.6660069999999999E-3</v>
      </c>
      <c r="AA421">
        <v>0.99381779999999997</v>
      </c>
      <c r="AB421">
        <v>26</v>
      </c>
      <c r="AC421">
        <v>0.65719999999998802</v>
      </c>
      <c r="AD421">
        <v>-0.1366279</v>
      </c>
      <c r="AE421">
        <v>-0.10140000000001199</v>
      </c>
      <c r="AF421">
        <v>9.9500859747925996E-2</v>
      </c>
      <c r="AG421">
        <v>-0.1366279</v>
      </c>
      <c r="AH421">
        <v>0.63023545615207399</v>
      </c>
      <c r="AI421">
        <v>102.086573672912</v>
      </c>
      <c r="AJ421">
        <v>81.0282605458641</v>
      </c>
      <c r="AK421">
        <v>0.652506194867297</v>
      </c>
      <c r="AL421">
        <v>85.262208172354903</v>
      </c>
      <c r="AM421">
        <v>88.814636153566497</v>
      </c>
      <c r="AN421">
        <v>0.999999943958086</v>
      </c>
    </row>
    <row r="422" spans="1:40" x14ac:dyDescent="0.25">
      <c r="A422" t="str">
        <f>"20190312150954714"</f>
        <v>20190312150954714</v>
      </c>
      <c r="B422" t="str">
        <f>"1552374594711195"</f>
        <v>1552374594711195</v>
      </c>
      <c r="C422" t="s">
        <v>40</v>
      </c>
      <c r="D422">
        <v>4.8733269999999997</v>
      </c>
      <c r="E422">
        <v>0.53784449999999995</v>
      </c>
      <c r="F422" t="s">
        <v>41</v>
      </c>
      <c r="G422">
        <v>-413.76339999999999</v>
      </c>
      <c r="H422">
        <v>0.83173410000000003</v>
      </c>
      <c r="I422">
        <v>367.22269999999997</v>
      </c>
      <c r="J422">
        <v>-414.45420000000001</v>
      </c>
      <c r="K422">
        <v>1.060403</v>
      </c>
      <c r="L422">
        <v>367.32549999999998</v>
      </c>
      <c r="M422">
        <v>0.99990610000000002</v>
      </c>
      <c r="N422">
        <v>0</v>
      </c>
      <c r="O422">
        <v>3.4684339999999998E-3</v>
      </c>
      <c r="P422">
        <v>0.99745609999999996</v>
      </c>
      <c r="Q422">
        <v>6.9184800000000005E-2</v>
      </c>
      <c r="R422">
        <v>-1.7178200000000001E-2</v>
      </c>
      <c r="S422">
        <v>3.0588069999999998</v>
      </c>
      <c r="T422">
        <v>-0.82650709999999905</v>
      </c>
      <c r="U422">
        <v>-0.36856080000000002</v>
      </c>
      <c r="V422">
        <v>2.0649029999999999E-2</v>
      </c>
      <c r="W422">
        <v>8.2412429999999995E-2</v>
      </c>
      <c r="X422">
        <v>0.99638439999999995</v>
      </c>
      <c r="Y422">
        <v>0.118747699999999</v>
      </c>
      <c r="Z422">
        <v>-1.662433E-2</v>
      </c>
      <c r="AA422">
        <v>0.99278529999999998</v>
      </c>
      <c r="AB422">
        <v>26</v>
      </c>
      <c r="AC422">
        <v>0.69080000000002395</v>
      </c>
      <c r="AD422">
        <v>-0.22866889999999901</v>
      </c>
      <c r="AE422">
        <v>-0.102800000000001</v>
      </c>
      <c r="AF422">
        <v>9.50104195112072E-2</v>
      </c>
      <c r="AG422">
        <v>-0.22866889999999901</v>
      </c>
      <c r="AH422">
        <v>0.623590074498377</v>
      </c>
      <c r="AI422">
        <v>109.92628774216701</v>
      </c>
      <c r="AJ422">
        <v>81.337016640594399</v>
      </c>
      <c r="AK422">
        <v>0.67095530898547695</v>
      </c>
      <c r="AL422">
        <v>85.272754307338701</v>
      </c>
      <c r="AM422">
        <v>88.812774527817893</v>
      </c>
      <c r="AN422">
        <v>1.0000000318108999</v>
      </c>
    </row>
    <row r="423" spans="1:40" x14ac:dyDescent="0.25">
      <c r="A423" t="str">
        <f>"20190312150954734"</f>
        <v>20190312150954734</v>
      </c>
      <c r="B423" t="str">
        <f>"1552374594731692"</f>
        <v>1552374594731692</v>
      </c>
      <c r="C423" t="s">
        <v>40</v>
      </c>
      <c r="D423">
        <v>5.0248249999999999</v>
      </c>
      <c r="E423">
        <v>0.54138660000000005</v>
      </c>
      <c r="F423" t="s">
        <v>41</v>
      </c>
      <c r="G423">
        <v>-413.73559999999998</v>
      </c>
      <c r="H423">
        <v>0.89419910000000002</v>
      </c>
      <c r="I423">
        <v>367.24329999999998</v>
      </c>
      <c r="J423">
        <v>-414.22789999999998</v>
      </c>
      <c r="K423">
        <v>1.0603959999999999</v>
      </c>
      <c r="L423">
        <v>367.32619999999997</v>
      </c>
      <c r="M423">
        <v>0.99990610000000002</v>
      </c>
      <c r="N423">
        <v>0</v>
      </c>
      <c r="O423">
        <v>3.4083030000000001E-3</v>
      </c>
      <c r="P423">
        <v>0.99746460000000003</v>
      </c>
      <c r="Q423">
        <v>6.8971149999999995E-2</v>
      </c>
      <c r="R423">
        <v>-1.7543650000000001E-2</v>
      </c>
      <c r="S423">
        <v>3.0506289999999998</v>
      </c>
      <c r="T423">
        <v>-0.7058103</v>
      </c>
      <c r="U423">
        <v>-0.34738160000000001</v>
      </c>
      <c r="V423">
        <v>2.095644E-2</v>
      </c>
      <c r="W423">
        <v>8.2208100000000006E-2</v>
      </c>
      <c r="X423">
        <v>0.99639480000000002</v>
      </c>
      <c r="Y423">
        <v>0.1134781</v>
      </c>
      <c r="Z423">
        <v>-1.369217E-2</v>
      </c>
      <c r="AA423">
        <v>0.99344619999999995</v>
      </c>
      <c r="AB423">
        <v>26</v>
      </c>
      <c r="AC423">
        <v>0.49230000000000002</v>
      </c>
      <c r="AD423">
        <v>-0.16619689999999901</v>
      </c>
      <c r="AE423">
        <v>-8.2899999999995005E-2</v>
      </c>
      <c r="AF423">
        <v>7.6139338048902105E-2</v>
      </c>
      <c r="AG423">
        <v>-0.16619689999999901</v>
      </c>
      <c r="AH423">
        <v>0.44292667370059702</v>
      </c>
      <c r="AI423">
        <v>110.294415131373</v>
      </c>
      <c r="AJ423">
        <v>80.246153258429104</v>
      </c>
      <c r="AK423">
        <v>0.47916870373972698</v>
      </c>
      <c r="AL423">
        <v>85.284501125981606</v>
      </c>
      <c r="AM423">
        <v>88.795117593341104</v>
      </c>
      <c r="AN423">
        <v>0.99999997077506098</v>
      </c>
    </row>
    <row r="424" spans="1:40" x14ac:dyDescent="0.25">
      <c r="A424" t="str">
        <f>"20190312150954747"</f>
        <v>20190312150954747</v>
      </c>
      <c r="B424" t="str">
        <f>"1552374594741451"</f>
        <v>1552374594741451</v>
      </c>
      <c r="C424" t="s">
        <v>40</v>
      </c>
      <c r="D424">
        <v>5.0829339999999998</v>
      </c>
      <c r="E424">
        <v>0.54154609999999903</v>
      </c>
      <c r="F424" t="s">
        <v>41</v>
      </c>
      <c r="G424">
        <v>-413.50569999999999</v>
      </c>
      <c r="H424">
        <v>0.89025589999999999</v>
      </c>
      <c r="I424">
        <v>367.23680000000002</v>
      </c>
      <c r="J424">
        <v>-414.08010000000002</v>
      </c>
      <c r="K424">
        <v>1.0603929999999999</v>
      </c>
      <c r="L424">
        <v>367.32670000000002</v>
      </c>
      <c r="M424">
        <v>0.99990619999999997</v>
      </c>
      <c r="N424">
        <v>0</v>
      </c>
      <c r="O424">
        <v>3.3603539999999999E-3</v>
      </c>
      <c r="P424">
        <v>0.99748400000000004</v>
      </c>
      <c r="Q424">
        <v>6.871563E-2</v>
      </c>
      <c r="R424">
        <v>-1.7442900000000001E-2</v>
      </c>
      <c r="S424">
        <v>3.0506289999999998</v>
      </c>
      <c r="T424">
        <v>-0.71868369999999904</v>
      </c>
      <c r="U424">
        <v>-0.37661739999999999</v>
      </c>
      <c r="V424">
        <v>2.080926E-2</v>
      </c>
      <c r="W424">
        <v>8.1958589999999998E-2</v>
      </c>
      <c r="X424">
        <v>0.99641849999999998</v>
      </c>
      <c r="Y424">
        <v>0.1224662</v>
      </c>
      <c r="Z424">
        <v>-1.4957379999999999E-2</v>
      </c>
      <c r="AA424">
        <v>0.99235989999999996</v>
      </c>
      <c r="AB424">
        <v>26</v>
      </c>
      <c r="AC424">
        <v>0.574400000000025</v>
      </c>
      <c r="AD424">
        <v>-0.17013709999999899</v>
      </c>
      <c r="AE424">
        <v>-8.9899999999999994E-2</v>
      </c>
      <c r="AF424">
        <v>8.4586183096612894E-2</v>
      </c>
      <c r="AG424">
        <v>-0.17013709999999899</v>
      </c>
      <c r="AH424">
        <v>0.52880924778692096</v>
      </c>
      <c r="AI424">
        <v>107.624928677676</v>
      </c>
      <c r="AJ424">
        <v>80.912184240951106</v>
      </c>
      <c r="AK424">
        <v>0.56190806695778395</v>
      </c>
      <c r="AL424">
        <v>85.298845687524803</v>
      </c>
      <c r="AM424">
        <v>88.803605631013497</v>
      </c>
      <c r="AN424">
        <v>1.00000003145939</v>
      </c>
    </row>
    <row r="425" spans="1:40" x14ac:dyDescent="0.25">
      <c r="A425" t="str">
        <f>"20190312150954766"</f>
        <v>20190312150954766</v>
      </c>
      <c r="B425" t="str">
        <f>"1552374594760971"</f>
        <v>1552374594760971</v>
      </c>
      <c r="C425" t="s">
        <v>40</v>
      </c>
      <c r="D425">
        <v>4.857672</v>
      </c>
      <c r="E425">
        <v>0.5421743</v>
      </c>
      <c r="F425" t="s">
        <v>41</v>
      </c>
      <c r="G425">
        <v>-413.27929999999998</v>
      </c>
      <c r="H425">
        <v>0.87875639999999999</v>
      </c>
      <c r="I425">
        <v>367.22739999999999</v>
      </c>
      <c r="J425">
        <v>-413.8458</v>
      </c>
      <c r="K425">
        <v>1.0603849999999999</v>
      </c>
      <c r="L425">
        <v>367.32740000000001</v>
      </c>
      <c r="M425">
        <v>0.99990619999999997</v>
      </c>
      <c r="N425">
        <v>0</v>
      </c>
      <c r="O425">
        <v>3.2720840000000002E-3</v>
      </c>
      <c r="P425">
        <v>0.99747249999999998</v>
      </c>
      <c r="Q425">
        <v>6.8766540000000001E-2</v>
      </c>
      <c r="R425">
        <v>-1.787629E-2</v>
      </c>
      <c r="S425">
        <v>3.0486149999999999</v>
      </c>
      <c r="T425">
        <v>-0.69154640000000001</v>
      </c>
      <c r="U425">
        <v>-0.37792969999999998</v>
      </c>
      <c r="V425">
        <v>2.1156959999999999E-2</v>
      </c>
      <c r="W425">
        <v>8.2015619999999997E-2</v>
      </c>
      <c r="X425">
        <v>0.99640640000000003</v>
      </c>
      <c r="Y425">
        <v>0.1231097</v>
      </c>
      <c r="Z425">
        <v>-1.446763E-2</v>
      </c>
      <c r="AA425">
        <v>0.99228760000000005</v>
      </c>
      <c r="AB425">
        <v>26</v>
      </c>
      <c r="AC425">
        <v>0.56650000000001899</v>
      </c>
      <c r="AD425">
        <v>-0.1816286</v>
      </c>
      <c r="AE425">
        <v>-0.100000000000022</v>
      </c>
      <c r="AF425">
        <v>9.2620154279295902E-2</v>
      </c>
      <c r="AG425">
        <v>-0.1816286</v>
      </c>
      <c r="AH425">
        <v>0.51484582397946699</v>
      </c>
      <c r="AI425">
        <v>109.147450292793</v>
      </c>
      <c r="AJ425">
        <v>79.801641838846706</v>
      </c>
      <c r="AK425">
        <v>0.55374512529301501</v>
      </c>
      <c r="AL425">
        <v>85.295566670541305</v>
      </c>
      <c r="AM425">
        <v>88.7836063780275</v>
      </c>
      <c r="AN425">
        <v>0.99999994642069101</v>
      </c>
    </row>
    <row r="426" spans="1:40" x14ac:dyDescent="0.25">
      <c r="A426" t="str">
        <f>"20190312150954780"</f>
        <v>20190312150954780</v>
      </c>
      <c r="B426" t="str">
        <f>"1552374594771708"</f>
        <v>1552374594771708</v>
      </c>
      <c r="C426" t="s">
        <v>40</v>
      </c>
      <c r="D426">
        <v>4.8813129999999996</v>
      </c>
      <c r="E426">
        <v>0.54234199999999999</v>
      </c>
      <c r="F426" t="s">
        <v>41</v>
      </c>
      <c r="G426">
        <v>-413.04039999999998</v>
      </c>
      <c r="H426">
        <v>0.89457209999999998</v>
      </c>
      <c r="I426">
        <v>367.22570000000002</v>
      </c>
      <c r="J426">
        <v>-413.69819999999999</v>
      </c>
      <c r="K426">
        <v>1.060381</v>
      </c>
      <c r="L426">
        <v>367.32780000000002</v>
      </c>
      <c r="M426">
        <v>0.99990650000000003</v>
      </c>
      <c r="N426">
        <v>0</v>
      </c>
      <c r="O426">
        <v>3.209473E-3</v>
      </c>
      <c r="P426">
        <v>0.99746619999999997</v>
      </c>
      <c r="Q426">
        <v>6.8794549999999996E-2</v>
      </c>
      <c r="R426">
        <v>-1.812629E-2</v>
      </c>
      <c r="S426">
        <v>3.0439150000000001</v>
      </c>
      <c r="T426">
        <v>-0.62667499999999998</v>
      </c>
      <c r="U426">
        <v>-0.38427729999999999</v>
      </c>
      <c r="V426">
        <v>2.1345960000000001E-2</v>
      </c>
      <c r="W426">
        <v>8.2047460000000003E-2</v>
      </c>
      <c r="X426">
        <v>0.99639979999999995</v>
      </c>
      <c r="Y426">
        <v>0.12577079999999999</v>
      </c>
      <c r="Z426">
        <v>-1.341474E-2</v>
      </c>
      <c r="AA426">
        <v>0.99196859999999998</v>
      </c>
      <c r="AB426">
        <v>26</v>
      </c>
      <c r="AC426">
        <v>0.65780000000000804</v>
      </c>
      <c r="AD426">
        <v>-0.16580890000000001</v>
      </c>
      <c r="AE426">
        <v>-0.102100000000007</v>
      </c>
      <c r="AF426">
        <v>9.8123053910666697E-2</v>
      </c>
      <c r="AG426">
        <v>-0.16580890000000001</v>
      </c>
      <c r="AH426">
        <v>0.619060823954519</v>
      </c>
      <c r="AI426">
        <v>104.817438756296</v>
      </c>
      <c r="AJ426">
        <v>80.993368320382601</v>
      </c>
      <c r="AK426">
        <v>0.64834946501344004</v>
      </c>
      <c r="AL426">
        <v>85.293736449646403</v>
      </c>
      <c r="AM426">
        <v>88.772735235422203</v>
      </c>
      <c r="AN426">
        <v>0.999999998570406</v>
      </c>
    </row>
    <row r="427" spans="1:40" x14ac:dyDescent="0.25">
      <c r="A427" t="str">
        <f>"20190312150954800"</f>
        <v>20190312150954800</v>
      </c>
      <c r="B427" t="str">
        <f>"1552374594791231"</f>
        <v>1552374594791231</v>
      </c>
      <c r="C427" t="s">
        <v>40</v>
      </c>
      <c r="D427">
        <v>5.1152009999999999</v>
      </c>
      <c r="E427">
        <v>0.54278780000000004</v>
      </c>
      <c r="F427" t="s">
        <v>41</v>
      </c>
      <c r="G427">
        <v>-412.8134</v>
      </c>
      <c r="H427">
        <v>0.88506849999999904</v>
      </c>
      <c r="I427">
        <v>367.21510000000001</v>
      </c>
      <c r="J427">
        <v>-413.45060000000001</v>
      </c>
      <c r="K427">
        <v>1.06037</v>
      </c>
      <c r="L427">
        <v>367.32839999999999</v>
      </c>
      <c r="M427">
        <v>0.99990670000000004</v>
      </c>
      <c r="N427">
        <v>0</v>
      </c>
      <c r="O427">
        <v>3.0913009999999999E-3</v>
      </c>
      <c r="P427">
        <v>0.99744710000000003</v>
      </c>
      <c r="Q427">
        <v>6.8928470000000006E-2</v>
      </c>
      <c r="R427">
        <v>-1.8658899999999999E-2</v>
      </c>
      <c r="S427">
        <v>3.0421749999999999</v>
      </c>
      <c r="T427">
        <v>-0.6028</v>
      </c>
      <c r="U427">
        <v>-0.38656620000000003</v>
      </c>
      <c r="V427">
        <v>2.1762790000000001E-2</v>
      </c>
      <c r="W427">
        <v>8.2186239999999994E-2</v>
      </c>
      <c r="X427">
        <v>0.99637940000000003</v>
      </c>
      <c r="Y427">
        <v>0.1266389</v>
      </c>
      <c r="Z427">
        <v>-1.298182E-2</v>
      </c>
      <c r="AA427">
        <v>0.99186390000000002</v>
      </c>
      <c r="AB427">
        <v>26</v>
      </c>
      <c r="AC427">
        <v>0.63720000000000698</v>
      </c>
      <c r="AD427">
        <v>-0.1753015</v>
      </c>
      <c r="AE427">
        <v>-0.113299999999981</v>
      </c>
      <c r="AF427">
        <v>0.107390477216738</v>
      </c>
      <c r="AG427">
        <v>-0.1753015</v>
      </c>
      <c r="AH427">
        <v>0.59331672525849299</v>
      </c>
      <c r="AI427">
        <v>106.211060173405</v>
      </c>
      <c r="AJ427">
        <v>79.740524293879801</v>
      </c>
      <c r="AK427">
        <v>0.62792361555411402</v>
      </c>
      <c r="AL427">
        <v>85.285758252528098</v>
      </c>
      <c r="AM427">
        <v>88.748751944748406</v>
      </c>
      <c r="AN427">
        <v>1.00000005290913</v>
      </c>
    </row>
    <row r="428" spans="1:40" x14ac:dyDescent="0.25">
      <c r="A428" t="str">
        <f>"20190312150954823"</f>
        <v>20190312150954823</v>
      </c>
      <c r="B428" t="str">
        <f>"1552374594821492"</f>
        <v>1552374594821492</v>
      </c>
      <c r="C428" t="s">
        <v>40</v>
      </c>
      <c r="D428">
        <v>5.0919220000000003</v>
      </c>
      <c r="E428">
        <v>0.54384560000000004</v>
      </c>
      <c r="F428" t="s">
        <v>41</v>
      </c>
      <c r="G428">
        <v>-412.58030000000002</v>
      </c>
      <c r="H428">
        <v>0.89006559999999901</v>
      </c>
      <c r="I428">
        <v>367.2165</v>
      </c>
      <c r="J428">
        <v>-413.19589999999999</v>
      </c>
      <c r="K428">
        <v>1.0603640000000001</v>
      </c>
      <c r="L428">
        <v>367.32909999999998</v>
      </c>
      <c r="M428">
        <v>0.99990710000000005</v>
      </c>
      <c r="N428">
        <v>0</v>
      </c>
      <c r="O428">
        <v>2.960177E-3</v>
      </c>
      <c r="P428">
        <v>0.9974459</v>
      </c>
      <c r="Q428">
        <v>6.8764779999999998E-2</v>
      </c>
      <c r="R428">
        <v>-1.932712E-2</v>
      </c>
      <c r="S428">
        <v>3.0414729999999999</v>
      </c>
      <c r="T428">
        <v>-0.59514149999999999</v>
      </c>
      <c r="U428">
        <v>-0.3914185</v>
      </c>
      <c r="V428">
        <v>2.2301830000000002E-2</v>
      </c>
      <c r="W428">
        <v>8.2026559999999998E-2</v>
      </c>
      <c r="X428">
        <v>0.99638059999999995</v>
      </c>
      <c r="Y428">
        <v>0.12813050000000001</v>
      </c>
      <c r="Z428">
        <v>-1.294023E-2</v>
      </c>
      <c r="AA428">
        <v>0.99167289999999997</v>
      </c>
      <c r="AB428">
        <v>26</v>
      </c>
      <c r="AC428">
        <v>0.61559999999997195</v>
      </c>
      <c r="AD428">
        <v>-0.17029839999999899</v>
      </c>
      <c r="AE428">
        <v>-0.112599999999986</v>
      </c>
      <c r="AF428">
        <v>0.106533058536204</v>
      </c>
      <c r="AG428">
        <v>-0.17029839999999899</v>
      </c>
      <c r="AH428">
        <v>0.57284419207804105</v>
      </c>
      <c r="AI428">
        <v>106.292291991702</v>
      </c>
      <c r="AJ428">
        <v>79.464935117039502</v>
      </c>
      <c r="AK428">
        <v>0.60704308413915897</v>
      </c>
      <c r="AL428">
        <v>85.294938054749906</v>
      </c>
      <c r="AM428">
        <v>88.7177716934888</v>
      </c>
      <c r="AN428">
        <v>1.0000000141115699</v>
      </c>
    </row>
    <row r="429" spans="1:40" x14ac:dyDescent="0.25">
      <c r="A429" t="str">
        <f>"20190312150954837"</f>
        <v>20190312150954837</v>
      </c>
      <c r="B429" t="str">
        <f>"1552374594831251"</f>
        <v>1552374594831251</v>
      </c>
      <c r="C429" t="s">
        <v>40</v>
      </c>
      <c r="D429">
        <v>5.3642099999999999</v>
      </c>
      <c r="E429">
        <v>0.54388149999999902</v>
      </c>
      <c r="F429" t="s">
        <v>41</v>
      </c>
      <c r="G429">
        <v>-412.34550000000002</v>
      </c>
      <c r="H429">
        <v>0.89863309999999996</v>
      </c>
      <c r="I429">
        <v>367.21660000000003</v>
      </c>
      <c r="J429">
        <v>-413.03910000000002</v>
      </c>
      <c r="K429">
        <v>1.0603640000000001</v>
      </c>
      <c r="L429">
        <v>367.32940000000002</v>
      </c>
      <c r="M429">
        <v>0.99990730000000005</v>
      </c>
      <c r="N429">
        <v>0</v>
      </c>
      <c r="O429">
        <v>2.8762369999999998E-3</v>
      </c>
      <c r="P429">
        <v>0.99742149999999996</v>
      </c>
      <c r="Q429">
        <v>6.8978730000000002E-2</v>
      </c>
      <c r="R429">
        <v>-1.9812260000000002E-2</v>
      </c>
      <c r="S429">
        <v>3.0397949999999998</v>
      </c>
      <c r="T429">
        <v>-0.57823369999999996</v>
      </c>
      <c r="U429">
        <v>-0.40124510000000002</v>
      </c>
      <c r="V429">
        <v>2.270407E-2</v>
      </c>
      <c r="W429">
        <v>8.2242300000000004E-2</v>
      </c>
      <c r="X429">
        <v>0.99635370000000001</v>
      </c>
      <c r="Y429">
        <v>0.1313474</v>
      </c>
      <c r="Z429">
        <v>-1.2869500000000001E-2</v>
      </c>
      <c r="AA429">
        <v>0.99125280000000004</v>
      </c>
      <c r="AB429">
        <v>26</v>
      </c>
      <c r="AC429">
        <v>0.69360000000000299</v>
      </c>
      <c r="AD429">
        <v>-0.16173089999999901</v>
      </c>
      <c r="AE429">
        <v>-0.112799999999992</v>
      </c>
      <c r="AF429">
        <v>0.109019875544257</v>
      </c>
      <c r="AG429">
        <v>-0.16173089999999901</v>
      </c>
      <c r="AH429">
        <v>0.65839729896008903</v>
      </c>
      <c r="AI429">
        <v>103.622625621569</v>
      </c>
      <c r="AJ429">
        <v>80.598059535719599</v>
      </c>
      <c r="AK429">
        <v>0.68667985302936896</v>
      </c>
      <c r="AL429">
        <v>85.282535010650307</v>
      </c>
      <c r="AM429">
        <v>88.694617883295805</v>
      </c>
      <c r="AN429">
        <v>0.99999998310377203</v>
      </c>
    </row>
    <row r="430" spans="1:40" x14ac:dyDescent="0.25">
      <c r="A430" t="str">
        <f>"20190312150954858"</f>
        <v>20190312150954858</v>
      </c>
      <c r="B430" t="str">
        <f>"1552374594851749"</f>
        <v>1552374594851749</v>
      </c>
      <c r="C430" t="s">
        <v>40</v>
      </c>
      <c r="D430">
        <v>4.9756640000000001</v>
      </c>
      <c r="E430">
        <v>0.54396199999999995</v>
      </c>
      <c r="F430" t="s">
        <v>41</v>
      </c>
      <c r="G430">
        <v>-412.33150000000001</v>
      </c>
      <c r="H430">
        <v>0.92847109999999999</v>
      </c>
      <c r="I430">
        <v>367.2353</v>
      </c>
      <c r="J430">
        <v>-412.80090000000001</v>
      </c>
      <c r="K430">
        <v>1.0603629999999999</v>
      </c>
      <c r="L430">
        <v>367.33</v>
      </c>
      <c r="M430">
        <v>0.99990760000000001</v>
      </c>
      <c r="N430">
        <v>0</v>
      </c>
      <c r="O430">
        <v>2.7450389999999999E-3</v>
      </c>
      <c r="P430">
        <v>0.99739489999999997</v>
      </c>
      <c r="Q430">
        <v>6.9253090000000003E-2</v>
      </c>
      <c r="R430">
        <v>-2.0187340000000002E-2</v>
      </c>
      <c r="S430">
        <v>3.03891</v>
      </c>
      <c r="T430">
        <v>-0.56648619999999905</v>
      </c>
      <c r="U430">
        <v>-0.40332030000000002</v>
      </c>
      <c r="V430">
        <v>2.2949000000000001E-2</v>
      </c>
      <c r="W430">
        <v>8.2518889999999998E-2</v>
      </c>
      <c r="X430">
        <v>0.99632529999999997</v>
      </c>
      <c r="Y430">
        <v>0.13200439999999999</v>
      </c>
      <c r="Z430">
        <v>-1.26518E-2</v>
      </c>
      <c r="AA430">
        <v>0.99116839999999995</v>
      </c>
      <c r="AB430">
        <v>26</v>
      </c>
      <c r="AC430">
        <v>0.46940000000000698</v>
      </c>
      <c r="AD430">
        <v>-0.13189190000000001</v>
      </c>
      <c r="AE430">
        <v>-9.4699999999988904E-2</v>
      </c>
      <c r="AF430">
        <v>8.92198876766363E-2</v>
      </c>
      <c r="AG430">
        <v>-0.13189190000000001</v>
      </c>
      <c r="AH430">
        <v>0.43605805639753797</v>
      </c>
      <c r="AI430">
        <v>106.50587761056801</v>
      </c>
      <c r="AJ430">
        <v>78.436565663864798</v>
      </c>
      <c r="AK430">
        <v>0.46422224224162301</v>
      </c>
      <c r="AL430">
        <v>85.266633902539496</v>
      </c>
      <c r="AM430">
        <v>88.680502861911904</v>
      </c>
      <c r="AN430">
        <v>1.0000000636139501</v>
      </c>
    </row>
    <row r="431" spans="1:40" x14ac:dyDescent="0.25">
      <c r="A431" t="str">
        <f>"20190312150954881"</f>
        <v>20190312150954881</v>
      </c>
      <c r="B431" t="str">
        <f>"1552374594871267"</f>
        <v>1552374594871267</v>
      </c>
      <c r="C431" t="s">
        <v>40</v>
      </c>
      <c r="D431">
        <v>4.8759489999999897</v>
      </c>
      <c r="E431">
        <v>0.54408849999999997</v>
      </c>
      <c r="F431" t="s">
        <v>41</v>
      </c>
      <c r="G431">
        <v>-412.09829999999999</v>
      </c>
      <c r="H431">
        <v>0.93391409999999997</v>
      </c>
      <c r="I431">
        <v>367.23630000000003</v>
      </c>
      <c r="J431">
        <v>-412.54649999999998</v>
      </c>
      <c r="K431">
        <v>1.060368</v>
      </c>
      <c r="L431">
        <v>367.33049999999997</v>
      </c>
      <c r="M431">
        <v>0.99990800000000002</v>
      </c>
      <c r="N431">
        <v>0</v>
      </c>
      <c r="O431">
        <v>2.6020850000000001E-3</v>
      </c>
      <c r="P431">
        <v>0.99736610000000003</v>
      </c>
      <c r="Q431">
        <v>6.955132E-2</v>
      </c>
      <c r="R431">
        <v>-2.058372E-2</v>
      </c>
      <c r="S431">
        <v>3.0375670000000001</v>
      </c>
      <c r="T431">
        <v>-0.54663660000000003</v>
      </c>
      <c r="U431">
        <v>-0.4051208</v>
      </c>
      <c r="V431">
        <v>2.3203109999999999E-2</v>
      </c>
      <c r="W431">
        <v>8.2818260000000005E-2</v>
      </c>
      <c r="X431">
        <v>0.99629449999999997</v>
      </c>
      <c r="Y431">
        <v>0.1326436</v>
      </c>
      <c r="Z431">
        <v>-1.2251720000000001E-2</v>
      </c>
      <c r="AA431">
        <v>0.99108810000000003</v>
      </c>
      <c r="AB431">
        <v>26</v>
      </c>
      <c r="AC431">
        <v>0.448199999999985</v>
      </c>
      <c r="AD431">
        <v>-0.12645390000000001</v>
      </c>
      <c r="AE431">
        <v>-9.4199999999943801E-2</v>
      </c>
      <c r="AF431">
        <v>8.86108840086091E-2</v>
      </c>
      <c r="AG431">
        <v>-0.12645390000000001</v>
      </c>
      <c r="AH431">
        <v>0.41622303171261199</v>
      </c>
      <c r="AI431">
        <v>106.549499221481</v>
      </c>
      <c r="AJ431">
        <v>77.981569346005998</v>
      </c>
      <c r="AK431">
        <v>0.44394153862646701</v>
      </c>
      <c r="AL431">
        <v>85.249422000225096</v>
      </c>
      <c r="AM431">
        <v>88.665856339174994</v>
      </c>
      <c r="AN431">
        <v>0.99999998961667402</v>
      </c>
    </row>
    <row r="432" spans="1:40" x14ac:dyDescent="0.25">
      <c r="A432" t="str">
        <f>"20190312150954913"</f>
        <v>20190312150954913</v>
      </c>
      <c r="B432" t="str">
        <f>"1552374594901527"</f>
        <v>1552374594901527</v>
      </c>
      <c r="C432" t="s">
        <v>40</v>
      </c>
      <c r="D432">
        <v>5.0312089999999996</v>
      </c>
      <c r="E432">
        <v>0.5442922</v>
      </c>
      <c r="F432" t="s">
        <v>41</v>
      </c>
      <c r="G432">
        <v>-411.65260000000001</v>
      </c>
      <c r="H432">
        <v>0.90239669999999905</v>
      </c>
      <c r="I432">
        <v>367.21069999999997</v>
      </c>
      <c r="J432">
        <v>-412.16609999999997</v>
      </c>
      <c r="K432">
        <v>1.060371</v>
      </c>
      <c r="L432">
        <v>367.3313</v>
      </c>
      <c r="M432">
        <v>0.99990860000000004</v>
      </c>
      <c r="N432">
        <v>0</v>
      </c>
      <c r="O432">
        <v>2.3889499999999999E-3</v>
      </c>
      <c r="P432">
        <v>0.99735700000000005</v>
      </c>
      <c r="Q432">
        <v>6.9683129999999996E-2</v>
      </c>
      <c r="R432">
        <v>-2.0576790000000001E-2</v>
      </c>
      <c r="S432">
        <v>3.0369570000000001</v>
      </c>
      <c r="T432">
        <v>-0.53671069999999999</v>
      </c>
      <c r="U432">
        <v>-0.4070435</v>
      </c>
      <c r="V432">
        <v>2.298329E-2</v>
      </c>
      <c r="W432">
        <v>8.2952269999999995E-2</v>
      </c>
      <c r="X432">
        <v>0.99628850000000002</v>
      </c>
      <c r="Y432">
        <v>0.13314609999999999</v>
      </c>
      <c r="Z432">
        <v>-1.204115E-2</v>
      </c>
      <c r="AA432">
        <v>0.99102319999999999</v>
      </c>
      <c r="AB432">
        <v>26</v>
      </c>
      <c r="AC432">
        <v>0.51349999999996498</v>
      </c>
      <c r="AD432">
        <v>-0.15797430000000001</v>
      </c>
      <c r="AE432">
        <v>-0.12060000000002399</v>
      </c>
      <c r="AF432">
        <v>0.111798578648175</v>
      </c>
      <c r="AG432">
        <v>-0.15797430000000001</v>
      </c>
      <c r="AH432">
        <v>0.47096648126812402</v>
      </c>
      <c r="AI432">
        <v>108.07444152059</v>
      </c>
      <c r="AJ432">
        <v>76.646226156383605</v>
      </c>
      <c r="AK432">
        <v>0.50917995652452797</v>
      </c>
      <c r="AL432">
        <v>85.241717536011393</v>
      </c>
      <c r="AM432">
        <v>88.678483196753405</v>
      </c>
      <c r="AN432">
        <v>1.0000000429748099</v>
      </c>
    </row>
    <row r="433" spans="1:40" x14ac:dyDescent="0.25">
      <c r="A433" t="str">
        <f>"20190312150954933"</f>
        <v>20190312150954933</v>
      </c>
      <c r="B433" t="str">
        <f>"1552374594931779"</f>
        <v>1552374594931779</v>
      </c>
      <c r="C433" t="s">
        <v>40</v>
      </c>
      <c r="D433">
        <v>4.8708900000000002</v>
      </c>
      <c r="E433">
        <v>0.54467080000000001</v>
      </c>
      <c r="F433" t="s">
        <v>41</v>
      </c>
      <c r="G433">
        <v>-411.40949999999998</v>
      </c>
      <c r="H433">
        <v>0.93074800000000002</v>
      </c>
      <c r="I433">
        <v>367.22949999999997</v>
      </c>
      <c r="J433">
        <v>-411.92349999999999</v>
      </c>
      <c r="K433">
        <v>1.060368</v>
      </c>
      <c r="L433">
        <v>367.33170000000001</v>
      </c>
      <c r="M433">
        <v>0.99990880000000004</v>
      </c>
      <c r="N433">
        <v>0</v>
      </c>
      <c r="O433">
        <v>2.2547349999999999E-3</v>
      </c>
      <c r="P433">
        <v>0.99736389999999997</v>
      </c>
      <c r="Q433">
        <v>6.9788600000000006E-2</v>
      </c>
      <c r="R433">
        <v>-1.9877639999999999E-2</v>
      </c>
      <c r="S433">
        <v>3.0358580000000002</v>
      </c>
      <c r="T433">
        <v>-0.52009459999999996</v>
      </c>
      <c r="U433">
        <v>-0.40841670000000002</v>
      </c>
      <c r="V433">
        <v>2.215027E-2</v>
      </c>
      <c r="W433">
        <v>8.3058229999999997E-2</v>
      </c>
      <c r="X433">
        <v>0.99629849999999998</v>
      </c>
      <c r="Y433">
        <v>0.1336195</v>
      </c>
      <c r="Z433">
        <v>-1.169487E-2</v>
      </c>
      <c r="AA433">
        <v>0.9909637</v>
      </c>
      <c r="AB433">
        <v>26</v>
      </c>
      <c r="AC433">
        <v>0.51400000000001</v>
      </c>
      <c r="AD433">
        <v>-0.12962000000000001</v>
      </c>
      <c r="AE433">
        <v>-0.102200000000038</v>
      </c>
      <c r="AF433">
        <v>9.7400248757884597E-2</v>
      </c>
      <c r="AG433">
        <v>-0.12962000000000001</v>
      </c>
      <c r="AH433">
        <v>0.48415002440399302</v>
      </c>
      <c r="AI433">
        <v>104.706601262048</v>
      </c>
      <c r="AJ433">
        <v>78.625193414673802</v>
      </c>
      <c r="AK433">
        <v>0.51057751516149297</v>
      </c>
      <c r="AL433">
        <v>85.235625259400194</v>
      </c>
      <c r="AM433">
        <v>88.726377741775096</v>
      </c>
      <c r="AN433">
        <v>1.0000000025670199</v>
      </c>
    </row>
    <row r="434" spans="1:40" x14ac:dyDescent="0.25">
      <c r="A434" t="str">
        <f>"20190312150954957"</f>
        <v>20190312150954957</v>
      </c>
      <c r="B434" t="str">
        <f>"1552374594951299"</f>
        <v>1552374594951299</v>
      </c>
      <c r="C434" t="s">
        <v>40</v>
      </c>
      <c r="D434">
        <v>5.10114</v>
      </c>
      <c r="E434">
        <v>0.54457749999999905</v>
      </c>
      <c r="F434" t="s">
        <v>41</v>
      </c>
      <c r="G434">
        <v>-411.17809999999997</v>
      </c>
      <c r="H434">
        <v>0.93419339999999995</v>
      </c>
      <c r="I434">
        <v>367.2312</v>
      </c>
      <c r="J434">
        <v>-411.65769999999998</v>
      </c>
      <c r="K434">
        <v>1.060371</v>
      </c>
      <c r="L434">
        <v>367.3322</v>
      </c>
      <c r="M434">
        <v>0.99990919999999905</v>
      </c>
      <c r="N434">
        <v>0</v>
      </c>
      <c r="O434">
        <v>2.110092E-3</v>
      </c>
      <c r="P434">
        <v>0.99738230000000005</v>
      </c>
      <c r="Q434">
        <v>6.9553019999999993E-2</v>
      </c>
      <c r="R434">
        <v>-1.9784690000000001E-2</v>
      </c>
      <c r="S434">
        <v>3.035736</v>
      </c>
      <c r="T434">
        <v>-0.51387499999999997</v>
      </c>
      <c r="U434">
        <v>-0.4096069</v>
      </c>
      <c r="V434">
        <v>2.19128E-2</v>
      </c>
      <c r="W434">
        <v>8.2823019999999997E-2</v>
      </c>
      <c r="X434">
        <v>0.99632330000000002</v>
      </c>
      <c r="Y434">
        <v>0.1339069</v>
      </c>
      <c r="Z434">
        <v>-1.155696E-2</v>
      </c>
      <c r="AA434">
        <v>0.99092650000000004</v>
      </c>
      <c r="AB434">
        <v>26</v>
      </c>
      <c r="AC434">
        <v>0.47960000000000402</v>
      </c>
      <c r="AD434">
        <v>-0.126177599999999</v>
      </c>
      <c r="AE434">
        <v>-0.10099999999999899</v>
      </c>
      <c r="AF434">
        <v>9.5671105272525703E-2</v>
      </c>
      <c r="AG434">
        <v>-0.126177599999999</v>
      </c>
      <c r="AH434">
        <v>0.449588572984569</v>
      </c>
      <c r="AI434">
        <v>105.349876653089</v>
      </c>
      <c r="AJ434">
        <v>77.986819350624899</v>
      </c>
      <c r="AK434">
        <v>0.47665882146890698</v>
      </c>
      <c r="AL434">
        <v>85.249148242441294</v>
      </c>
      <c r="AM434">
        <v>88.740058997983795</v>
      </c>
      <c r="AN434">
        <v>0.99999997078432401</v>
      </c>
    </row>
    <row r="435" spans="1:40" x14ac:dyDescent="0.25">
      <c r="A435" t="str">
        <f>"20190312150954980"</f>
        <v>20190312150954980</v>
      </c>
      <c r="B435" t="str">
        <f>"1552374594971797"</f>
        <v>1552374594971797</v>
      </c>
      <c r="C435" t="s">
        <v>40</v>
      </c>
      <c r="D435">
        <v>4.9306400000000004</v>
      </c>
      <c r="E435">
        <v>0.54446549999999905</v>
      </c>
      <c r="F435" t="s">
        <v>41</v>
      </c>
      <c r="G435">
        <v>-410.94499999999999</v>
      </c>
      <c r="H435">
        <v>0.94159340000000002</v>
      </c>
      <c r="I435">
        <v>367.23599999999999</v>
      </c>
      <c r="J435">
        <v>-411.3965</v>
      </c>
      <c r="K435">
        <v>1.060376</v>
      </c>
      <c r="L435">
        <v>367.33249999999998</v>
      </c>
      <c r="M435">
        <v>0.99990950000000001</v>
      </c>
      <c r="N435">
        <v>0</v>
      </c>
      <c r="O435">
        <v>1.9696829999999999E-3</v>
      </c>
      <c r="P435">
        <v>0.99741579999999996</v>
      </c>
      <c r="Q435">
        <v>6.9152619999999998E-2</v>
      </c>
      <c r="R435">
        <v>-1.948944E-2</v>
      </c>
      <c r="S435">
        <v>3.035034</v>
      </c>
      <c r="T435">
        <v>-0.50591679999999895</v>
      </c>
      <c r="U435">
        <v>-0.4088135</v>
      </c>
      <c r="V435">
        <v>2.1477349999999999E-2</v>
      </c>
      <c r="W435">
        <v>8.2422899999999993E-2</v>
      </c>
      <c r="X435">
        <v>0.99636599999999997</v>
      </c>
      <c r="Y435">
        <v>0.1336069</v>
      </c>
      <c r="Z435">
        <v>-1.133529E-2</v>
      </c>
      <c r="AA435">
        <v>0.99096960000000001</v>
      </c>
      <c r="AB435">
        <v>26</v>
      </c>
      <c r="AC435">
        <v>0.45150000000001</v>
      </c>
      <c r="AD435">
        <v>-0.118782599999999</v>
      </c>
      <c r="AE435">
        <v>-9.6499999999991801E-2</v>
      </c>
      <c r="AF435">
        <v>9.1343218166874796E-2</v>
      </c>
      <c r="AG435">
        <v>-0.118782599999999</v>
      </c>
      <c r="AH435">
        <v>0.42329147376128901</v>
      </c>
      <c r="AI435">
        <v>105.339094856939</v>
      </c>
      <c r="AJ435">
        <v>77.822714192899497</v>
      </c>
      <c r="AK435">
        <v>0.44903069085180097</v>
      </c>
      <c r="AL435">
        <v>85.272152262142896</v>
      </c>
      <c r="AM435">
        <v>88.765141553600003</v>
      </c>
      <c r="AN435">
        <v>1.00000000848171</v>
      </c>
    </row>
    <row r="436" spans="1:40" x14ac:dyDescent="0.25">
      <c r="A436" t="str">
        <f>"20190312150955002"</f>
        <v>20190312150955002</v>
      </c>
      <c r="B436" t="str">
        <f>"1552374594991315"</f>
        <v>1552374594991315</v>
      </c>
      <c r="C436" t="s">
        <v>40</v>
      </c>
      <c r="D436">
        <v>5.037204</v>
      </c>
      <c r="E436">
        <v>0.5444658</v>
      </c>
      <c r="F436" t="s">
        <v>41</v>
      </c>
      <c r="G436">
        <v>-410.50009999999997</v>
      </c>
      <c r="H436">
        <v>0.91272319999999996</v>
      </c>
      <c r="I436">
        <v>367.21210000000002</v>
      </c>
      <c r="J436">
        <v>-411.1474</v>
      </c>
      <c r="K436">
        <v>1.060381</v>
      </c>
      <c r="L436">
        <v>367.3329</v>
      </c>
      <c r="M436">
        <v>0.99990979999999996</v>
      </c>
      <c r="N436">
        <v>0</v>
      </c>
      <c r="O436">
        <v>1.836489E-3</v>
      </c>
      <c r="P436">
        <v>0.99741999999999997</v>
      </c>
      <c r="Q436">
        <v>6.9197229999999998E-2</v>
      </c>
      <c r="R436">
        <v>-1.9114720000000002E-2</v>
      </c>
      <c r="S436">
        <v>3.0344540000000002</v>
      </c>
      <c r="T436">
        <v>-0.49989329999999998</v>
      </c>
      <c r="U436">
        <v>-0.40664670000000003</v>
      </c>
      <c r="V436">
        <v>2.0969560000000002E-2</v>
      </c>
      <c r="W436">
        <v>8.2467090000000007E-2</v>
      </c>
      <c r="X436">
        <v>0.99637319999999996</v>
      </c>
      <c r="Y436">
        <v>0.1328588</v>
      </c>
      <c r="Z436">
        <v>-1.1122089999999999E-2</v>
      </c>
      <c r="AA436">
        <v>0.99107259999999997</v>
      </c>
      <c r="AB436">
        <v>26</v>
      </c>
      <c r="AC436">
        <v>0.64730000000002896</v>
      </c>
      <c r="AD436">
        <v>-0.14765780000000001</v>
      </c>
      <c r="AE436">
        <v>-0.120799999999974</v>
      </c>
      <c r="AF436">
        <v>0.116148213201704</v>
      </c>
      <c r="AG436">
        <v>-0.14765780000000001</v>
      </c>
      <c r="AH436">
        <v>0.61609695182218704</v>
      </c>
      <c r="AI436">
        <v>103.252662884402</v>
      </c>
      <c r="AJ436">
        <v>79.323753175127607</v>
      </c>
      <c r="AK436">
        <v>0.64410300991019998</v>
      </c>
      <c r="AL436">
        <v>85.269611902533399</v>
      </c>
      <c r="AM436">
        <v>88.794337357771496</v>
      </c>
      <c r="AN436">
        <v>1.00000004852894</v>
      </c>
    </row>
    <row r="437" spans="1:40" x14ac:dyDescent="0.25">
      <c r="A437" t="str">
        <f>"20190312150955024"</f>
        <v>20190312150955024</v>
      </c>
      <c r="B437" t="str">
        <f>"1552374595021571"</f>
        <v>1552374595021571</v>
      </c>
      <c r="C437" t="s">
        <v>40</v>
      </c>
      <c r="D437">
        <v>5.1646460000000003</v>
      </c>
      <c r="E437">
        <v>0.50893180000000005</v>
      </c>
      <c r="F437" t="s">
        <v>41</v>
      </c>
      <c r="G437">
        <v>-410.27</v>
      </c>
      <c r="H437">
        <v>0.91556820000000005</v>
      </c>
      <c r="I437">
        <v>367.21550000000002</v>
      </c>
      <c r="J437">
        <v>-410.88819999999998</v>
      </c>
      <c r="K437">
        <v>1.0603830000000001</v>
      </c>
      <c r="L437">
        <v>367.33319999999998</v>
      </c>
      <c r="M437">
        <v>0.99990990000000002</v>
      </c>
      <c r="N437">
        <v>0</v>
      </c>
      <c r="O437">
        <v>1.698232E-3</v>
      </c>
      <c r="P437">
        <v>0.99740379999999995</v>
      </c>
      <c r="Q437">
        <v>6.9422300000000006E-2</v>
      </c>
      <c r="R437">
        <v>-1.9145269999999999E-2</v>
      </c>
      <c r="S437">
        <v>3.0347900000000001</v>
      </c>
      <c r="T437">
        <v>-0.50087579999999998</v>
      </c>
      <c r="U437">
        <v>-0.40585329999999997</v>
      </c>
      <c r="V437">
        <v>2.086203E-2</v>
      </c>
      <c r="W437">
        <v>8.2690429999999995E-2</v>
      </c>
      <c r="X437">
        <v>0.99635689999999999</v>
      </c>
      <c r="Y437">
        <v>0.1324534</v>
      </c>
      <c r="Z437">
        <v>-1.108699E-2</v>
      </c>
      <c r="AA437">
        <v>0.99112730000000004</v>
      </c>
      <c r="AB437">
        <v>26</v>
      </c>
      <c r="AC437">
        <v>0.61820000000000097</v>
      </c>
      <c r="AD437">
        <v>-0.14481479999999999</v>
      </c>
      <c r="AE437">
        <v>-0.11769999999995601</v>
      </c>
      <c r="AF437">
        <v>0.11277767220447101</v>
      </c>
      <c r="AG437">
        <v>-0.14481479999999999</v>
      </c>
      <c r="AH437">
        <v>0.586919132400475</v>
      </c>
      <c r="AI437">
        <v>103.620517110674</v>
      </c>
      <c r="AJ437">
        <v>79.123076787337496</v>
      </c>
      <c r="AK437">
        <v>0.614950565187662</v>
      </c>
      <c r="AL437">
        <v>85.256771386295597</v>
      </c>
      <c r="AM437">
        <v>88.8004984581288</v>
      </c>
      <c r="AN437">
        <v>1.0000000018434501</v>
      </c>
    </row>
    <row r="438" spans="1:40" x14ac:dyDescent="0.25">
      <c r="A438" t="str">
        <f>"20190312150955046"</f>
        <v>20190312150955046</v>
      </c>
      <c r="B438" t="str">
        <f>"1552374595041092"</f>
        <v>1552374595041092</v>
      </c>
      <c r="C438" t="s">
        <v>40</v>
      </c>
      <c r="D438">
        <v>5.1532339999999897</v>
      </c>
      <c r="E438">
        <v>0.50547589999999998</v>
      </c>
      <c r="F438" t="s">
        <v>41</v>
      </c>
      <c r="G438">
        <v>-410.00310000000002</v>
      </c>
      <c r="H438">
        <v>0.99338419999999905</v>
      </c>
      <c r="I438">
        <v>367.29640000000001</v>
      </c>
      <c r="J438">
        <v>-410.63290000000001</v>
      </c>
      <c r="K438">
        <v>1.0603830000000001</v>
      </c>
      <c r="L438">
        <v>367.33339999999998</v>
      </c>
      <c r="M438">
        <v>0.99991010000000002</v>
      </c>
      <c r="N438">
        <v>0</v>
      </c>
      <c r="O438">
        <v>1.56212E-3</v>
      </c>
      <c r="P438">
        <v>0.99737830000000005</v>
      </c>
      <c r="Q438">
        <v>6.9544960000000003E-2</v>
      </c>
      <c r="R438">
        <v>-2.000478E-2</v>
      </c>
      <c r="S438">
        <v>3.0213320000000001</v>
      </c>
      <c r="T438">
        <v>-0.22881879999999999</v>
      </c>
      <c r="U438">
        <v>-0.12503049999999999</v>
      </c>
      <c r="V438">
        <v>2.1585799999999999E-2</v>
      </c>
      <c r="W438">
        <v>8.281115E-2</v>
      </c>
      <c r="X438">
        <v>0.99633150000000004</v>
      </c>
      <c r="Y438">
        <v>4.2781300000000001E-2</v>
      </c>
      <c r="Z438">
        <v>-1.735101E-3</v>
      </c>
      <c r="AA438">
        <v>0.99908300000000005</v>
      </c>
      <c r="AB438">
        <v>26</v>
      </c>
      <c r="AC438">
        <v>0.62979999999998804</v>
      </c>
      <c r="AD438">
        <v>-6.6998800000000205E-2</v>
      </c>
      <c r="AE438">
        <v>-3.6999999999977697E-2</v>
      </c>
      <c r="AF438">
        <v>3.75602603749456E-2</v>
      </c>
      <c r="AG438">
        <v>-6.6998800000000205E-2</v>
      </c>
      <c r="AH438">
        <v>0.62271840496932596</v>
      </c>
      <c r="AI438">
        <v>96.129823649238105</v>
      </c>
      <c r="AJ438">
        <v>86.548294891227499</v>
      </c>
      <c r="AK438">
        <v>0.62743750624935901</v>
      </c>
      <c r="AL438">
        <v>85.249831043971199</v>
      </c>
      <c r="AM438">
        <v>88.758865112405502</v>
      </c>
      <c r="AN438">
        <v>1.0000000456091001</v>
      </c>
    </row>
    <row r="439" spans="1:40" x14ac:dyDescent="0.25">
      <c r="A439" t="str">
        <f>"20190312150955070"</f>
        <v>20190312150955070</v>
      </c>
      <c r="B439" t="str">
        <f>"1552374595061587"</f>
        <v>1552374595061587</v>
      </c>
      <c r="C439" t="s">
        <v>40</v>
      </c>
      <c r="D439">
        <v>5.236218</v>
      </c>
      <c r="E439">
        <v>0.50453059999999905</v>
      </c>
      <c r="F439" t="s">
        <v>42</v>
      </c>
      <c r="G439">
        <v>-393.92070000000001</v>
      </c>
      <c r="H439" s="1">
        <v>-3.0934750000000001E-6</v>
      </c>
      <c r="I439">
        <v>366.77960000000002</v>
      </c>
      <c r="J439">
        <v>-410.3655</v>
      </c>
      <c r="K439">
        <v>1.0603819999999999</v>
      </c>
      <c r="L439">
        <v>367.33370000000002</v>
      </c>
      <c r="M439">
        <v>0.99991039999999998</v>
      </c>
      <c r="N439">
        <v>0</v>
      </c>
      <c r="O439">
        <v>1.4196339999999999E-3</v>
      </c>
      <c r="P439">
        <v>0.99739299999999997</v>
      </c>
      <c r="Q439">
        <v>6.9072899999999895E-2</v>
      </c>
      <c r="R439">
        <v>-2.0882040000000001E-2</v>
      </c>
      <c r="S439">
        <v>3.0192570000000001</v>
      </c>
      <c r="T439">
        <v>-0.1915703</v>
      </c>
      <c r="U439">
        <v>-0.1000366</v>
      </c>
      <c r="V439">
        <v>2.2320920000000001E-2</v>
      </c>
      <c r="W439">
        <v>8.2336870000000006E-2</v>
      </c>
      <c r="X439">
        <v>0.99635459999999998</v>
      </c>
      <c r="Y439">
        <v>3.4461569999999997E-2</v>
      </c>
      <c r="Z439">
        <v>-1.181856E-3</v>
      </c>
      <c r="AA439">
        <v>0.99940530000000005</v>
      </c>
      <c r="AB439">
        <v>26</v>
      </c>
      <c r="AC439">
        <v>16.444799999999901</v>
      </c>
      <c r="AD439">
        <v>-1.0603850934750001</v>
      </c>
      <c r="AE439">
        <v>-0.55410000000000503</v>
      </c>
      <c r="AF439">
        <v>0.57505880370921103</v>
      </c>
      <c r="AG439">
        <v>-1.0603850934750001</v>
      </c>
      <c r="AH439">
        <v>16.375984872717801</v>
      </c>
      <c r="AI439">
        <v>93.702593846115306</v>
      </c>
      <c r="AJ439">
        <v>87.988828798413607</v>
      </c>
      <c r="AK439">
        <v>16.4203529111183</v>
      </c>
      <c r="AL439">
        <v>85.277098360968694</v>
      </c>
      <c r="AM439">
        <v>88.716641016678693</v>
      </c>
      <c r="AN439">
        <v>1.0000000362860999</v>
      </c>
    </row>
    <row r="440" spans="1:40" x14ac:dyDescent="0.25">
      <c r="A440" t="str">
        <f>"20190312150955091"</f>
        <v>20190312150955091</v>
      </c>
      <c r="B440" t="str">
        <f>"1552374595081108"</f>
        <v>1552374595081108</v>
      </c>
      <c r="C440" t="s">
        <v>40</v>
      </c>
      <c r="D440">
        <v>5.5867979999999999</v>
      </c>
      <c r="E440">
        <v>0.504017099999999</v>
      </c>
      <c r="F440" t="s">
        <v>42</v>
      </c>
      <c r="G440">
        <v>-392.8193</v>
      </c>
      <c r="H440" s="1">
        <v>-3.566006E-6</v>
      </c>
      <c r="I440">
        <v>366.77940000000001</v>
      </c>
      <c r="J440">
        <v>-410.1182</v>
      </c>
      <c r="K440">
        <v>1.0603830000000001</v>
      </c>
      <c r="L440">
        <v>367.33390000000003</v>
      </c>
      <c r="M440">
        <v>0.99991050000000004</v>
      </c>
      <c r="N440">
        <v>0</v>
      </c>
      <c r="O440">
        <v>1.287758E-3</v>
      </c>
      <c r="P440">
        <v>0.99736360000000002</v>
      </c>
      <c r="Q440">
        <v>6.932191E-2</v>
      </c>
      <c r="R440">
        <v>-2.1451459999999999E-2</v>
      </c>
      <c r="S440">
        <v>3.018494</v>
      </c>
      <c r="T440">
        <v>-0.18241869999999999</v>
      </c>
      <c r="U440">
        <v>-9.5336909999999997E-2</v>
      </c>
      <c r="V440">
        <v>2.275864E-2</v>
      </c>
      <c r="W440">
        <v>8.2583500000000004E-2</v>
      </c>
      <c r="X440">
        <v>0.99632419999999999</v>
      </c>
      <c r="Y440">
        <v>3.2793610000000001E-2</v>
      </c>
      <c r="Z440">
        <v>-1.0675109999999999E-3</v>
      </c>
      <c r="AA440">
        <v>0.99946159999999995</v>
      </c>
      <c r="AB440">
        <v>26</v>
      </c>
      <c r="AC440">
        <v>17.2989</v>
      </c>
      <c r="AD440">
        <v>-1.0603865660059999</v>
      </c>
      <c r="AE440">
        <v>-0.55450000000001798</v>
      </c>
      <c r="AF440">
        <v>0.57462142604642896</v>
      </c>
      <c r="AG440">
        <v>-1.0603865660059999</v>
      </c>
      <c r="AH440">
        <v>17.233484298191701</v>
      </c>
      <c r="AI440">
        <v>93.519053696178304</v>
      </c>
      <c r="AJ440">
        <v>88.090276525229797</v>
      </c>
      <c r="AK440">
        <v>17.275635748320699</v>
      </c>
      <c r="AL440">
        <v>85.262918808566496</v>
      </c>
      <c r="AM440">
        <v>88.691442712540194</v>
      </c>
      <c r="AN440">
        <v>0.99999995083626803</v>
      </c>
    </row>
    <row r="441" spans="1:40" x14ac:dyDescent="0.25">
      <c r="A441" t="str">
        <f>"20190312150955115"</f>
        <v>20190312150955115</v>
      </c>
      <c r="B441" t="str">
        <f>"1552374595111363"</f>
        <v>1552374595111363</v>
      </c>
      <c r="C441" t="s">
        <v>40</v>
      </c>
      <c r="D441">
        <v>5.1775929999999999</v>
      </c>
      <c r="E441">
        <v>0.50348320000000002</v>
      </c>
      <c r="F441" t="s">
        <v>42</v>
      </c>
      <c r="G441">
        <v>-389.42649999999998</v>
      </c>
      <c r="H441" s="1">
        <v>-9.5894430000000002E-7</v>
      </c>
      <c r="I441">
        <v>366.69330000000002</v>
      </c>
      <c r="J441">
        <v>-409.85500000000002</v>
      </c>
      <c r="K441">
        <v>1.0603910000000001</v>
      </c>
      <c r="L441">
        <v>367.334</v>
      </c>
      <c r="M441">
        <v>0.99991079999999999</v>
      </c>
      <c r="N441">
        <v>0</v>
      </c>
      <c r="O441">
        <v>1.1473E-3</v>
      </c>
      <c r="P441">
        <v>0.99738700000000002</v>
      </c>
      <c r="Q441">
        <v>6.8735599999999994E-2</v>
      </c>
      <c r="R441">
        <v>-2.2240019999999999E-2</v>
      </c>
      <c r="S441">
        <v>3.0166629999999999</v>
      </c>
      <c r="T441">
        <v>-0.15459439999999999</v>
      </c>
      <c r="U441">
        <v>-9.3383789999999994E-2</v>
      </c>
      <c r="V441">
        <v>2.3406900000000001E-2</v>
      </c>
      <c r="W441">
        <v>8.1995180000000001E-2</v>
      </c>
      <c r="X441">
        <v>0.99635779999999996</v>
      </c>
      <c r="Y441">
        <v>3.2044490000000002E-2</v>
      </c>
      <c r="Z441">
        <v>-8.7910339999999895E-4</v>
      </c>
      <c r="AA441">
        <v>0.99948599999999999</v>
      </c>
      <c r="AB441">
        <v>26</v>
      </c>
      <c r="AC441">
        <v>20.4285</v>
      </c>
      <c r="AD441">
        <v>-1.0603919589443001</v>
      </c>
      <c r="AE441">
        <v>-0.64069999999998095</v>
      </c>
      <c r="AF441">
        <v>0.66235638132391506</v>
      </c>
      <c r="AG441">
        <v>-1.0603919589443001</v>
      </c>
      <c r="AH441">
        <v>20.372912852526799</v>
      </c>
      <c r="AI441">
        <v>92.977935007164703</v>
      </c>
      <c r="AJ441">
        <v>88.137877350460798</v>
      </c>
      <c r="AK441">
        <v>20.411240167592101</v>
      </c>
      <c r="AL441">
        <v>85.296741908038797</v>
      </c>
      <c r="AM441">
        <v>88.654228486747797</v>
      </c>
      <c r="AN441">
        <v>0.99999997906584104</v>
      </c>
    </row>
    <row r="442" spans="1:40" x14ac:dyDescent="0.25">
      <c r="A442" t="str">
        <f>"20190312150955135"</f>
        <v>20190312150955135</v>
      </c>
      <c r="B442" t="str">
        <f>"1552374595130883"</f>
        <v>1552374595130883</v>
      </c>
      <c r="C442" t="s">
        <v>40</v>
      </c>
      <c r="D442">
        <v>5.5521919999999998</v>
      </c>
      <c r="E442">
        <v>0.50305319999999998</v>
      </c>
      <c r="F442" t="s">
        <v>42</v>
      </c>
      <c r="G442">
        <v>-385.72210000000001</v>
      </c>
      <c r="H442" s="1">
        <v>-2.3523619999999999E-6</v>
      </c>
      <c r="I442">
        <v>366.60120000000001</v>
      </c>
      <c r="J442">
        <v>-409.6182</v>
      </c>
      <c r="K442">
        <v>1.060387</v>
      </c>
      <c r="L442">
        <v>367.33420000000001</v>
      </c>
      <c r="M442">
        <v>0.99991099999999999</v>
      </c>
      <c r="N442">
        <v>0</v>
      </c>
      <c r="O442">
        <v>1.0206080000000001E-3</v>
      </c>
      <c r="P442">
        <v>0.99743000000000004</v>
      </c>
      <c r="Q442">
        <v>6.807154E-2</v>
      </c>
      <c r="R442">
        <v>-2.2360370000000001E-2</v>
      </c>
      <c r="S442">
        <v>3.0149539999999999</v>
      </c>
      <c r="T442">
        <v>-0.1324756</v>
      </c>
      <c r="U442">
        <v>-9.1552729999999999E-2</v>
      </c>
      <c r="V442">
        <v>2.340045E-2</v>
      </c>
      <c r="W442">
        <v>8.132984E-2</v>
      </c>
      <c r="X442">
        <v>0.99641250000000003</v>
      </c>
      <c r="Y442">
        <v>3.1341239999999999E-2</v>
      </c>
      <c r="Z442">
        <v>-7.3288659999999996E-4</v>
      </c>
      <c r="AA442">
        <v>0.99950850000000002</v>
      </c>
      <c r="AB442">
        <v>26</v>
      </c>
      <c r="AC442">
        <v>23.896099999999901</v>
      </c>
      <c r="AD442">
        <v>-1.060389352362</v>
      </c>
      <c r="AE442">
        <v>-0.73300000000000398</v>
      </c>
      <c r="AF442">
        <v>0.75590324674337095</v>
      </c>
      <c r="AG442">
        <v>-1.060389352362</v>
      </c>
      <c r="AH442">
        <v>23.8484226350709</v>
      </c>
      <c r="AI442">
        <v>92.544629823892194</v>
      </c>
      <c r="AJ442">
        <v>88.184552018609907</v>
      </c>
      <c r="AK442">
        <v>23.8839502067393</v>
      </c>
      <c r="AL442">
        <v>85.334990917463898</v>
      </c>
      <c r="AM442">
        <v>88.6546730221622</v>
      </c>
      <c r="AN442">
        <v>0.99999999704543896</v>
      </c>
    </row>
    <row r="443" spans="1:40" x14ac:dyDescent="0.25">
      <c r="A443" t="str">
        <f>"20190312150955158"</f>
        <v>20190312150955158</v>
      </c>
      <c r="B443" t="str">
        <f>"1552374595151379"</f>
        <v>1552374595151379</v>
      </c>
      <c r="C443" t="s">
        <v>40</v>
      </c>
      <c r="D443">
        <v>5.206969</v>
      </c>
      <c r="E443">
        <v>0.50273939999999995</v>
      </c>
      <c r="F443" t="s">
        <v>42</v>
      </c>
      <c r="G443">
        <v>-383.21789999999999</v>
      </c>
      <c r="H443" s="1">
        <v>-3.434433E-6</v>
      </c>
      <c r="I443">
        <v>366.5573</v>
      </c>
      <c r="J443">
        <v>-409.3623</v>
      </c>
      <c r="K443">
        <v>1.0603860000000001</v>
      </c>
      <c r="L443">
        <v>367.33429999999998</v>
      </c>
      <c r="M443">
        <v>0.9999112</v>
      </c>
      <c r="N443">
        <v>0</v>
      </c>
      <c r="O443">
        <v>8.8366559999999896E-4</v>
      </c>
      <c r="P443">
        <v>0.99744960000000005</v>
      </c>
      <c r="Q443">
        <v>6.7865830000000002E-2</v>
      </c>
      <c r="R443">
        <v>-2.2106850000000001E-2</v>
      </c>
      <c r="S443">
        <v>3.0139770000000001</v>
      </c>
      <c r="T443">
        <v>-0.1210585</v>
      </c>
      <c r="U443">
        <v>-8.8684079999999998E-2</v>
      </c>
      <c r="V443">
        <v>2.3010340000000001E-2</v>
      </c>
      <c r="W443">
        <v>8.1121680000000002E-2</v>
      </c>
      <c r="X443">
        <v>0.99643859999999995</v>
      </c>
      <c r="Y443">
        <v>3.0269790000000001E-2</v>
      </c>
      <c r="Z443">
        <v>-6.4300149999999999E-4</v>
      </c>
      <c r="AA443">
        <v>0.99954160000000003</v>
      </c>
      <c r="AB443">
        <v>25</v>
      </c>
      <c r="AC443">
        <v>26.144400000000001</v>
      </c>
      <c r="AD443">
        <v>-1.060389434433</v>
      </c>
      <c r="AE443">
        <v>-0.77699999999998604</v>
      </c>
      <c r="AF443">
        <v>0.79879177056788497</v>
      </c>
      <c r="AG443">
        <v>-1.060389434433</v>
      </c>
      <c r="AH443">
        <v>26.100804445021801</v>
      </c>
      <c r="AI443">
        <v>92.325371254773302</v>
      </c>
      <c r="AJ443">
        <v>88.247061061629907</v>
      </c>
      <c r="AK443">
        <v>26.134545848792801</v>
      </c>
      <c r="AL443">
        <v>85.346957361610194</v>
      </c>
      <c r="AM443">
        <v>88.677127632631596</v>
      </c>
      <c r="AN443">
        <v>1.00000004314144</v>
      </c>
    </row>
    <row r="444" spans="1:40" x14ac:dyDescent="0.25">
      <c r="A444" t="str">
        <f>"20190312150955181"</f>
        <v>20190312150955181</v>
      </c>
      <c r="B444" t="str">
        <f>"1552374595170899"</f>
        <v>1552374595170899</v>
      </c>
      <c r="C444" t="s">
        <v>40</v>
      </c>
      <c r="D444">
        <v>5.2650690000000004</v>
      </c>
      <c r="E444">
        <v>0.50243740000000003</v>
      </c>
      <c r="F444" t="s">
        <v>42</v>
      </c>
      <c r="G444">
        <v>-380.59800000000001</v>
      </c>
      <c r="H444" s="1">
        <v>-4.5658310000000002E-6</v>
      </c>
      <c r="I444">
        <v>366.51510000000002</v>
      </c>
      <c r="J444">
        <v>-409.0992</v>
      </c>
      <c r="K444">
        <v>1.060379</v>
      </c>
      <c r="L444">
        <v>367.33440000000002</v>
      </c>
      <c r="M444">
        <v>0.9999112</v>
      </c>
      <c r="N444">
        <v>0</v>
      </c>
      <c r="O444">
        <v>7.4297039999999897E-4</v>
      </c>
      <c r="P444">
        <v>0.99745850000000003</v>
      </c>
      <c r="Q444">
        <v>6.8014099999999994E-2</v>
      </c>
      <c r="R444">
        <v>-2.1223570000000001E-2</v>
      </c>
      <c r="S444">
        <v>3.0133359999999998</v>
      </c>
      <c r="T444">
        <v>-0.111086</v>
      </c>
      <c r="U444">
        <v>-8.5815429999999998E-2</v>
      </c>
      <c r="V444">
        <v>2.198694E-2</v>
      </c>
      <c r="W444">
        <v>8.1267599999999995E-2</v>
      </c>
      <c r="X444">
        <v>0.99644980000000005</v>
      </c>
      <c r="Y444">
        <v>2.9189409999999999E-2</v>
      </c>
      <c r="Z444">
        <v>-5.6511639999999998E-4</v>
      </c>
      <c r="AA444">
        <v>0.99957379999999996</v>
      </c>
      <c r="AB444">
        <v>25</v>
      </c>
      <c r="AC444">
        <v>28.501199999999901</v>
      </c>
      <c r="AD444">
        <v>-1.0603835658309999</v>
      </c>
      <c r="AE444">
        <v>-0.81929999999999803</v>
      </c>
      <c r="AF444">
        <v>0.83931637177339302</v>
      </c>
      <c r="AG444">
        <v>-1.0603835658309999</v>
      </c>
      <c r="AH444">
        <v>28.461219793760002</v>
      </c>
      <c r="AI444">
        <v>92.132763499120401</v>
      </c>
      <c r="AJ444">
        <v>88.310847071266394</v>
      </c>
      <c r="AK444">
        <v>28.493330753482098</v>
      </c>
      <c r="AL444">
        <v>85.338568986412994</v>
      </c>
      <c r="AM444">
        <v>88.7359579206571</v>
      </c>
      <c r="AN444">
        <v>1.00000002613018</v>
      </c>
    </row>
    <row r="445" spans="1:40" x14ac:dyDescent="0.25">
      <c r="A445" t="str">
        <f>"20190312150955203"</f>
        <v>20190312150955203</v>
      </c>
      <c r="B445" t="str">
        <f>"1552374595191399"</f>
        <v>1552374595191399</v>
      </c>
      <c r="C445" t="s">
        <v>40</v>
      </c>
      <c r="D445">
        <v>5.1544160000000003</v>
      </c>
      <c r="E445">
        <v>0.50225989999999998</v>
      </c>
      <c r="F445" t="s">
        <v>42</v>
      </c>
      <c r="G445">
        <v>-381.43029999999999</v>
      </c>
      <c r="H445" s="1">
        <v>-4.1948790000000003E-6</v>
      </c>
      <c r="I445">
        <v>366.59350000000001</v>
      </c>
      <c r="J445">
        <v>-408.85629999999998</v>
      </c>
      <c r="K445">
        <v>1.060378</v>
      </c>
      <c r="L445">
        <v>367.33440000000002</v>
      </c>
      <c r="M445">
        <v>0.99991149999999995</v>
      </c>
      <c r="N445">
        <v>0</v>
      </c>
      <c r="O445">
        <v>6.1270330000000003E-4</v>
      </c>
      <c r="P445">
        <v>0.99753159999999996</v>
      </c>
      <c r="Q445">
        <v>6.7194009999999998E-2</v>
      </c>
      <c r="R445">
        <v>-2.0394039999999999E-2</v>
      </c>
      <c r="S445">
        <v>3.0137939999999999</v>
      </c>
      <c r="T445">
        <v>-0.1155003</v>
      </c>
      <c r="U445">
        <v>-8.0688480000000007E-2</v>
      </c>
      <c r="V445">
        <v>2.1026969999999999E-2</v>
      </c>
      <c r="W445">
        <v>8.0446309999999993E-2</v>
      </c>
      <c r="X445">
        <v>0.99653709999999995</v>
      </c>
      <c r="Y445">
        <v>2.7355480000000001E-2</v>
      </c>
      <c r="Z445">
        <v>-5.4736879999999996E-4</v>
      </c>
      <c r="AA445">
        <v>0.9996256</v>
      </c>
      <c r="AB445">
        <v>25</v>
      </c>
      <c r="AC445">
        <v>27.425999999999899</v>
      </c>
      <c r="AD445">
        <v>-1.060382194879</v>
      </c>
      <c r="AE445">
        <v>-0.74090000000001</v>
      </c>
      <c r="AF445">
        <v>0.75657519809655605</v>
      </c>
      <c r="AG445">
        <v>-1.060382194879</v>
      </c>
      <c r="AH445">
        <v>27.3846345746691</v>
      </c>
      <c r="AI445">
        <v>92.216642597896893</v>
      </c>
      <c r="AJ445">
        <v>88.417450432967499</v>
      </c>
      <c r="AK445">
        <v>27.415598246577702</v>
      </c>
      <c r="AL445">
        <v>85.385779746044193</v>
      </c>
      <c r="AM445">
        <v>88.791236277947306</v>
      </c>
      <c r="AN445">
        <v>0.99999996696820204</v>
      </c>
    </row>
    <row r="446" spans="1:40" x14ac:dyDescent="0.25">
      <c r="A446" t="str">
        <f>"20190312150955224"</f>
        <v>20190312150955224</v>
      </c>
      <c r="B446" t="str">
        <f>"1552374595221652"</f>
        <v>1552374595221652</v>
      </c>
      <c r="C446" t="s">
        <v>40</v>
      </c>
      <c r="D446">
        <v>5.1291699999999896</v>
      </c>
      <c r="E446">
        <v>0.50186649999999999</v>
      </c>
      <c r="F446" t="s">
        <v>42</v>
      </c>
      <c r="G446">
        <v>-380.72770000000003</v>
      </c>
      <c r="H446" s="1">
        <v>-4.4922669999999999E-6</v>
      </c>
      <c r="I446">
        <v>366.61619999999999</v>
      </c>
      <c r="J446">
        <v>-408.608</v>
      </c>
      <c r="K446">
        <v>1.060378</v>
      </c>
      <c r="L446">
        <v>367.33440000000002</v>
      </c>
      <c r="M446">
        <v>0.99991169999999996</v>
      </c>
      <c r="N446">
        <v>0</v>
      </c>
      <c r="O446">
        <v>4.7993299999999999E-4</v>
      </c>
      <c r="P446">
        <v>0.99755609999999995</v>
      </c>
      <c r="Q446">
        <v>6.7070879999999999E-2</v>
      </c>
      <c r="R446">
        <v>-1.95829E-2</v>
      </c>
      <c r="S446">
        <v>3.013458</v>
      </c>
      <c r="T446">
        <v>-0.1136001</v>
      </c>
      <c r="U446">
        <v>-7.6934810000000006E-2</v>
      </c>
      <c r="V446">
        <v>2.0083400000000001E-2</v>
      </c>
      <c r="W446">
        <v>8.0321310000000007E-2</v>
      </c>
      <c r="X446">
        <v>0.99656670000000003</v>
      </c>
      <c r="Y446">
        <v>2.5983119999999998E-2</v>
      </c>
      <c r="Z446">
        <v>-5.0758170000000003E-4</v>
      </c>
      <c r="AA446">
        <v>0.9996623</v>
      </c>
      <c r="AB446">
        <v>25</v>
      </c>
      <c r="AC446">
        <v>27.880299999999899</v>
      </c>
      <c r="AD446">
        <v>-1.060382492267</v>
      </c>
      <c r="AE446">
        <v>-0.71820000000002404</v>
      </c>
      <c r="AF446">
        <v>0.73052574000394499</v>
      </c>
      <c r="AG446">
        <v>-1.060382492267</v>
      </c>
      <c r="AH446">
        <v>27.839707547129901</v>
      </c>
      <c r="AI446">
        <v>92.180526163188006</v>
      </c>
      <c r="AJ446">
        <v>88.496879364586405</v>
      </c>
      <c r="AK446">
        <v>27.8694706658817</v>
      </c>
      <c r="AL446">
        <v>85.392965222782905</v>
      </c>
      <c r="AM446">
        <v>88.845497927743295</v>
      </c>
      <c r="AN446">
        <v>1.00000002167228</v>
      </c>
    </row>
    <row r="447" spans="1:40" x14ac:dyDescent="0.25">
      <c r="A447" t="str">
        <f>"20190312150955248"</f>
        <v>20190312150955248</v>
      </c>
      <c r="B447" t="str">
        <f>"1552374595241172"</f>
        <v>1552374595241172</v>
      </c>
      <c r="C447" t="s">
        <v>40</v>
      </c>
      <c r="D447">
        <v>5.1626240000000001</v>
      </c>
      <c r="E447">
        <v>0.50163709999999995</v>
      </c>
      <c r="F447" t="s">
        <v>42</v>
      </c>
      <c r="G447">
        <v>-380.78449999999998</v>
      </c>
      <c r="H447" s="1">
        <v>-4.4576929999999997E-6</v>
      </c>
      <c r="I447">
        <v>366.67360000000002</v>
      </c>
      <c r="J447">
        <v>-408.33670000000001</v>
      </c>
      <c r="K447">
        <v>1.060381</v>
      </c>
      <c r="L447">
        <v>367.33440000000002</v>
      </c>
      <c r="M447">
        <v>0.99991169999999996</v>
      </c>
      <c r="N447">
        <v>0</v>
      </c>
      <c r="O447">
        <v>3.3452610000000001E-4</v>
      </c>
      <c r="P447">
        <v>0.99760470000000001</v>
      </c>
      <c r="Q447">
        <v>6.6496150000000004E-2</v>
      </c>
      <c r="R447">
        <v>-1.9063440000000001E-2</v>
      </c>
      <c r="S447">
        <v>3.0136720000000001</v>
      </c>
      <c r="T447">
        <v>-0.1148541</v>
      </c>
      <c r="U447">
        <v>-7.1563719999999997E-2</v>
      </c>
      <c r="V447">
        <v>1.941876E-2</v>
      </c>
      <c r="W447">
        <v>7.9744289999999995E-2</v>
      </c>
      <c r="X447">
        <v>0.99662620000000002</v>
      </c>
      <c r="Y447">
        <v>2.405643E-2</v>
      </c>
      <c r="Z447">
        <v>-4.7092040000000003E-4</v>
      </c>
      <c r="AA447">
        <v>0.99971049999999995</v>
      </c>
      <c r="AB447">
        <v>25</v>
      </c>
      <c r="AC447">
        <v>27.552199999999999</v>
      </c>
      <c r="AD447">
        <v>-1.0603854576930001</v>
      </c>
      <c r="AE447">
        <v>-0.66079999999999395</v>
      </c>
      <c r="AF447">
        <v>0.66902731000725202</v>
      </c>
      <c r="AG447">
        <v>-1.0603854576930001</v>
      </c>
      <c r="AH447">
        <v>27.511251026905398</v>
      </c>
      <c r="AI447">
        <v>92.206647067501606</v>
      </c>
      <c r="AJ447">
        <v>88.606937665901896</v>
      </c>
      <c r="AK447">
        <v>27.5398066065436</v>
      </c>
      <c r="AL447">
        <v>85.426132378319494</v>
      </c>
      <c r="AM447">
        <v>88.883761811707103</v>
      </c>
      <c r="AN447">
        <v>1.00000001127699</v>
      </c>
    </row>
    <row r="448" spans="1:40" x14ac:dyDescent="0.25">
      <c r="A448" t="str">
        <f>"20190312150955271"</f>
        <v>20190312150955271</v>
      </c>
      <c r="B448" t="str">
        <f>"1552374595261667"</f>
        <v>1552374595261667</v>
      </c>
      <c r="C448" t="s">
        <v>40</v>
      </c>
      <c r="D448">
        <v>5.2535540000000003</v>
      </c>
      <c r="E448">
        <v>0.50141159999999996</v>
      </c>
      <c r="F448" t="s">
        <v>42</v>
      </c>
      <c r="G448">
        <v>-380.38709999999998</v>
      </c>
      <c r="H448" s="1">
        <v>-4.6231050000000002E-6</v>
      </c>
      <c r="I448">
        <v>366.7022</v>
      </c>
      <c r="J448">
        <v>-408.07619999999997</v>
      </c>
      <c r="K448">
        <v>1.0603739999999999</v>
      </c>
      <c r="L448">
        <v>367.33429999999998</v>
      </c>
      <c r="M448">
        <v>0.99991180000000002</v>
      </c>
      <c r="N448">
        <v>0</v>
      </c>
      <c r="O448">
        <v>1.9513770000000001E-4</v>
      </c>
      <c r="P448">
        <v>0.99761149999999998</v>
      </c>
      <c r="Q448">
        <v>6.6487660000000004E-2</v>
      </c>
      <c r="R448">
        <v>-1.873182E-2</v>
      </c>
      <c r="S448">
        <v>3.013458</v>
      </c>
      <c r="T448">
        <v>-0.1143279</v>
      </c>
      <c r="U448">
        <v>-6.8145750000000005E-2</v>
      </c>
      <c r="V448">
        <v>1.894792E-2</v>
      </c>
      <c r="W448">
        <v>7.9732890000000001E-2</v>
      </c>
      <c r="X448">
        <v>0.99663619999999997</v>
      </c>
      <c r="Y448">
        <v>2.2786609999999999E-2</v>
      </c>
      <c r="Z448">
        <v>-4.394415E-4</v>
      </c>
      <c r="AA448">
        <v>0.99974019999999997</v>
      </c>
      <c r="AB448">
        <v>25</v>
      </c>
      <c r="AC448">
        <v>27.6891</v>
      </c>
      <c r="AD448">
        <v>-1.0603786231050001</v>
      </c>
      <c r="AE448">
        <v>-0.63209999999997901</v>
      </c>
      <c r="AF448">
        <v>0.63657055961782905</v>
      </c>
      <c r="AG448">
        <v>-1.0603786231050001</v>
      </c>
      <c r="AH448">
        <v>27.648448714786198</v>
      </c>
      <c r="AI448">
        <v>92.195760987438305</v>
      </c>
      <c r="AJ448">
        <v>88.681070167758705</v>
      </c>
      <c r="AK448">
        <v>27.676096929225299</v>
      </c>
      <c r="AL448">
        <v>85.4267877512778</v>
      </c>
      <c r="AM448">
        <v>88.910831180503294</v>
      </c>
      <c r="AN448">
        <v>1.0000000362852499</v>
      </c>
    </row>
    <row r="449" spans="1:40" x14ac:dyDescent="0.25">
      <c r="A449" t="str">
        <f>"20190312150955292"</f>
        <v>20190312150955292</v>
      </c>
      <c r="B449" t="str">
        <f>"1552374595281187"</f>
        <v>1552374595281187</v>
      </c>
      <c r="C449" t="s">
        <v>40</v>
      </c>
      <c r="D449">
        <v>5.2402110000000004</v>
      </c>
      <c r="E449">
        <v>0.50113779999999997</v>
      </c>
      <c r="F449" t="s">
        <v>42</v>
      </c>
      <c r="G449">
        <v>-380.78629999999998</v>
      </c>
      <c r="H449" s="1">
        <v>-4.4448659999999999E-6</v>
      </c>
      <c r="I449">
        <v>366.74169999999998</v>
      </c>
      <c r="J449">
        <v>-407.84089999999998</v>
      </c>
      <c r="K449">
        <v>1.0603750000000001</v>
      </c>
      <c r="L449">
        <v>367.33409999999998</v>
      </c>
      <c r="M449">
        <v>0.99991180000000002</v>
      </c>
      <c r="N449">
        <v>0</v>
      </c>
      <c r="O449" s="1">
        <v>6.9397309999999994E-5</v>
      </c>
      <c r="P449">
        <v>0.99760260000000001</v>
      </c>
      <c r="Q449">
        <v>6.670413E-2</v>
      </c>
      <c r="R449">
        <v>-1.8436839999999999E-2</v>
      </c>
      <c r="S449">
        <v>3.013763</v>
      </c>
      <c r="T449">
        <v>-0.1171025</v>
      </c>
      <c r="U449">
        <v>-6.5429689999999999E-2</v>
      </c>
      <c r="V449">
        <v>1.8527419999999999E-2</v>
      </c>
      <c r="W449">
        <v>7.9946779999999995E-2</v>
      </c>
      <c r="X449">
        <v>0.99662689999999998</v>
      </c>
      <c r="Y449">
        <v>2.1758099999999999E-2</v>
      </c>
      <c r="Z449">
        <v>-4.2520159999999998E-4</v>
      </c>
      <c r="AA449">
        <v>0.99976319999999996</v>
      </c>
      <c r="AB449">
        <v>25</v>
      </c>
      <c r="AC449">
        <v>27.054599999999901</v>
      </c>
      <c r="AD449">
        <v>-1.060379444866</v>
      </c>
      <c r="AE449">
        <v>-0.59239999999999704</v>
      </c>
      <c r="AF449">
        <v>0.59336660320808299</v>
      </c>
      <c r="AG449">
        <v>-1.060379444866</v>
      </c>
      <c r="AH449">
        <v>27.013081916661498</v>
      </c>
      <c r="AI449">
        <v>92.247409628007503</v>
      </c>
      <c r="AJ449">
        <v>88.7416491079412</v>
      </c>
      <c r="AK449">
        <v>27.040397244292901</v>
      </c>
      <c r="AL449">
        <v>85.414493184671798</v>
      </c>
      <c r="AM449">
        <v>88.934986894879998</v>
      </c>
      <c r="AN449">
        <v>0.999999965363916</v>
      </c>
    </row>
    <row r="450" spans="1:40" x14ac:dyDescent="0.25">
      <c r="A450" t="str">
        <f>"20190312150955314"</f>
        <v>20190312150955314</v>
      </c>
      <c r="B450" t="str">
        <f>"1552374595311443"</f>
        <v>1552374595311443</v>
      </c>
      <c r="C450" t="s">
        <v>40</v>
      </c>
      <c r="D450">
        <v>5.1977019999999996</v>
      </c>
      <c r="E450">
        <v>0.50099579999999999</v>
      </c>
      <c r="F450" t="s">
        <v>42</v>
      </c>
      <c r="G450">
        <v>-382.16239999999999</v>
      </c>
      <c r="H450" s="1">
        <v>-3.8433080000000003E-6</v>
      </c>
      <c r="I450">
        <v>366.8048</v>
      </c>
      <c r="J450">
        <v>-407.59379999999999</v>
      </c>
      <c r="K450">
        <v>1.060387</v>
      </c>
      <c r="L450">
        <v>367.334</v>
      </c>
      <c r="M450">
        <v>0.99991180000000002</v>
      </c>
      <c r="N450">
        <v>0</v>
      </c>
      <c r="O450" s="1">
        <v>-6.2719160000000005E-5</v>
      </c>
      <c r="P450">
        <v>0.99757280000000004</v>
      </c>
      <c r="Q450">
        <v>6.7150180000000004E-2</v>
      </c>
      <c r="R450">
        <v>-1.8422049999999999E-2</v>
      </c>
      <c r="S450">
        <v>3.0143740000000001</v>
      </c>
      <c r="T450">
        <v>-0.12447660000000001</v>
      </c>
      <c r="U450">
        <v>-6.2133790000000001E-2</v>
      </c>
      <c r="V450">
        <v>1.8381140000000001E-2</v>
      </c>
      <c r="W450">
        <v>8.0389749999999996E-2</v>
      </c>
      <c r="X450">
        <v>0.99659399999999998</v>
      </c>
      <c r="Y450">
        <v>2.0527980000000001E-2</v>
      </c>
      <c r="Z450">
        <v>-4.2103030000000002E-4</v>
      </c>
      <c r="AA450">
        <v>0.99978920000000004</v>
      </c>
      <c r="AB450">
        <v>25</v>
      </c>
      <c r="AC450">
        <v>25.4314</v>
      </c>
      <c r="AD450">
        <v>-1.060390843308</v>
      </c>
      <c r="AE450">
        <v>-0.529200000000003</v>
      </c>
      <c r="AF450">
        <v>0.52668953357682602</v>
      </c>
      <c r="AG450">
        <v>-1.060390843308</v>
      </c>
      <c r="AH450">
        <v>25.3873147033263</v>
      </c>
      <c r="AI450">
        <v>92.3912563420011</v>
      </c>
      <c r="AJ450">
        <v>88.8115025391171</v>
      </c>
      <c r="AK450">
        <v>25.414908586321499</v>
      </c>
      <c r="AL450">
        <v>85.389031029509297</v>
      </c>
      <c r="AM450">
        <v>88.943358732237201</v>
      </c>
      <c r="AN450">
        <v>0.99999998952438096</v>
      </c>
    </row>
    <row r="451" spans="1:40" x14ac:dyDescent="0.25">
      <c r="A451" t="str">
        <f>"20190312150955336"</f>
        <v>20190312150955336</v>
      </c>
      <c r="B451" t="str">
        <f>"1552374595330964"</f>
        <v>1552374595330964</v>
      </c>
      <c r="C451" t="s">
        <v>40</v>
      </c>
      <c r="D451">
        <v>5.1373670000000002</v>
      </c>
      <c r="E451">
        <v>0.50096649999999998</v>
      </c>
      <c r="F451" t="s">
        <v>42</v>
      </c>
      <c r="G451">
        <v>-382.56310000000002</v>
      </c>
      <c r="H451" s="1">
        <v>-3.6676170000000001E-6</v>
      </c>
      <c r="I451">
        <v>366.82619999999997</v>
      </c>
      <c r="J451">
        <v>-407.33600000000001</v>
      </c>
      <c r="K451">
        <v>1.0603910000000001</v>
      </c>
      <c r="L451">
        <v>367.3338</v>
      </c>
      <c r="M451">
        <v>0.99991189999999996</v>
      </c>
      <c r="N451">
        <v>0</v>
      </c>
      <c r="O451">
        <v>-2.0097579999999999E-4</v>
      </c>
      <c r="P451">
        <v>0.99753480000000005</v>
      </c>
      <c r="Q451">
        <v>6.7702899999999996E-2</v>
      </c>
      <c r="R451">
        <v>-1.8460310000000001E-2</v>
      </c>
      <c r="S451">
        <v>3.0147400000000002</v>
      </c>
      <c r="T451">
        <v>-0.127715</v>
      </c>
      <c r="U451">
        <v>-6.115723E-2</v>
      </c>
      <c r="V451">
        <v>1.8281769999999999E-2</v>
      </c>
      <c r="W451">
        <v>8.0938699999999905E-2</v>
      </c>
      <c r="X451">
        <v>0.99655139999999998</v>
      </c>
      <c r="Y451">
        <v>2.006314E-2</v>
      </c>
      <c r="Z451">
        <v>-4.1622829999999998E-4</v>
      </c>
      <c r="AA451">
        <v>0.99979870000000004</v>
      </c>
      <c r="AB451">
        <v>25</v>
      </c>
      <c r="AC451">
        <v>24.7729</v>
      </c>
      <c r="AD451">
        <v>-1.060394667617</v>
      </c>
      <c r="AE451">
        <v>-0.50760000000002403</v>
      </c>
      <c r="AF451">
        <v>0.50170194727737805</v>
      </c>
      <c r="AG451">
        <v>-1.060394667617</v>
      </c>
      <c r="AH451">
        <v>24.727713535187199</v>
      </c>
      <c r="AI451">
        <v>92.454996882702204</v>
      </c>
      <c r="AJ451">
        <v>88.837682231414504</v>
      </c>
      <c r="AK451">
        <v>24.7555237951713</v>
      </c>
      <c r="AL451">
        <v>85.357475705621695</v>
      </c>
      <c r="AM451">
        <v>88.949024825356005</v>
      </c>
      <c r="AN451">
        <v>0.99999999455699096</v>
      </c>
    </row>
    <row r="452" spans="1:40" x14ac:dyDescent="0.25">
      <c r="A452" t="str">
        <f>"20190312150955359"</f>
        <v>20190312150955359</v>
      </c>
      <c r="B452" t="str">
        <f>"1552374595351463"</f>
        <v>1552374595351463</v>
      </c>
      <c r="C452" t="s">
        <v>40</v>
      </c>
      <c r="D452">
        <v>5.172034</v>
      </c>
      <c r="E452">
        <v>0.50093339999999997</v>
      </c>
      <c r="F452" t="s">
        <v>42</v>
      </c>
      <c r="G452">
        <v>-382.0505</v>
      </c>
      <c r="H452" s="1">
        <v>-3.8881000000000001E-6</v>
      </c>
      <c r="I452">
        <v>366.8229</v>
      </c>
      <c r="J452">
        <v>-407.08690000000001</v>
      </c>
      <c r="K452">
        <v>1.060395</v>
      </c>
      <c r="L452">
        <v>367.33359999999999</v>
      </c>
      <c r="M452">
        <v>0.99991180000000002</v>
      </c>
      <c r="N452">
        <v>0</v>
      </c>
      <c r="O452">
        <v>-3.3410699999999999E-4</v>
      </c>
      <c r="P452">
        <v>0.99751909999999999</v>
      </c>
      <c r="Q452">
        <v>6.7995760000000002E-2</v>
      </c>
      <c r="R452">
        <v>-1.8229909999999998E-2</v>
      </c>
      <c r="S452">
        <v>3.0148929999999998</v>
      </c>
      <c r="T452">
        <v>-0.12643489999999999</v>
      </c>
      <c r="U452">
        <v>-6.0913090000000003E-2</v>
      </c>
      <c r="V452">
        <v>1.7918440000000001E-2</v>
      </c>
      <c r="W452">
        <v>8.1228620000000001E-2</v>
      </c>
      <c r="X452">
        <v>0.99653440000000004</v>
      </c>
      <c r="Y452">
        <v>1.9848729999999998E-2</v>
      </c>
      <c r="Z452">
        <v>-4.0196580000000001E-4</v>
      </c>
      <c r="AA452">
        <v>0.99980290000000005</v>
      </c>
      <c r="AB452">
        <v>25</v>
      </c>
      <c r="AC452">
        <v>25.0364</v>
      </c>
      <c r="AD452">
        <v>-1.0603988880999999</v>
      </c>
      <c r="AE452">
        <v>-0.51069999999998505</v>
      </c>
      <c r="AF452">
        <v>0.50143525422008906</v>
      </c>
      <c r="AG452">
        <v>-1.0603988880999999</v>
      </c>
      <c r="AH452">
        <v>24.991755539922799</v>
      </c>
      <c r="AI452">
        <v>92.429111338951202</v>
      </c>
      <c r="AJ452">
        <v>88.850570164955698</v>
      </c>
      <c r="AK452">
        <v>25.0192671372149</v>
      </c>
      <c r="AL452">
        <v>85.340809591093404</v>
      </c>
      <c r="AM452">
        <v>88.969889682093594</v>
      </c>
      <c r="AN452">
        <v>0.99999998479124796</v>
      </c>
    </row>
    <row r="453" spans="1:40" x14ac:dyDescent="0.25">
      <c r="A453" t="str">
        <f>"20190312150955381"</f>
        <v>20190312150955381</v>
      </c>
      <c r="B453" t="str">
        <f>"1552374595370979"</f>
        <v>1552374595370979</v>
      </c>
      <c r="C453" t="s">
        <v>40</v>
      </c>
      <c r="D453">
        <v>5.1310149999999997</v>
      </c>
      <c r="E453">
        <v>0.50091799999999997</v>
      </c>
      <c r="F453" t="s">
        <v>42</v>
      </c>
      <c r="G453">
        <v>-382.44569999999999</v>
      </c>
      <c r="H453" s="1">
        <v>-3.7149670000000002E-6</v>
      </c>
      <c r="I453">
        <v>366.8433</v>
      </c>
      <c r="J453">
        <v>-406.8347</v>
      </c>
      <c r="K453">
        <v>1.0603929999999999</v>
      </c>
      <c r="L453">
        <v>367.33339999999998</v>
      </c>
      <c r="M453">
        <v>0.99991180000000002</v>
      </c>
      <c r="N453">
        <v>0</v>
      </c>
      <c r="O453">
        <v>-4.6938470000000001E-4</v>
      </c>
      <c r="P453">
        <v>0.99751719999999999</v>
      </c>
      <c r="Q453">
        <v>6.7990499999999995E-2</v>
      </c>
      <c r="R453">
        <v>-1.835647E-2</v>
      </c>
      <c r="S453">
        <v>3.0151370000000002</v>
      </c>
      <c r="T453">
        <v>-0.1297519</v>
      </c>
      <c r="U453">
        <v>-5.9997559999999998E-2</v>
      </c>
      <c r="V453">
        <v>1.791011E-2</v>
      </c>
      <c r="W453">
        <v>8.1220070000000005E-2</v>
      </c>
      <c r="X453">
        <v>0.99653519999999896</v>
      </c>
      <c r="Y453">
        <v>1.940799E-2</v>
      </c>
      <c r="Z453">
        <v>-3.9717300000000001E-4</v>
      </c>
      <c r="AA453">
        <v>0.99981160000000002</v>
      </c>
      <c r="AB453">
        <v>25</v>
      </c>
      <c r="AC453">
        <v>24.388999999999999</v>
      </c>
      <c r="AD453">
        <v>-1.0603967149669999</v>
      </c>
      <c r="AE453">
        <v>-0.49009999999998399</v>
      </c>
      <c r="AF453">
        <v>0.47774835337784</v>
      </c>
      <c r="AG453">
        <v>-1.0603967149669999</v>
      </c>
      <c r="AH453">
        <v>24.3432280397802</v>
      </c>
      <c r="AI453">
        <v>92.493761173430599</v>
      </c>
      <c r="AJ453">
        <v>88.875685231462697</v>
      </c>
      <c r="AK453">
        <v>24.370995795802202</v>
      </c>
      <c r="AL453">
        <v>85.341300877067496</v>
      </c>
      <c r="AM453">
        <v>88.970369287399706</v>
      </c>
      <c r="AN453">
        <v>0.99999993832502598</v>
      </c>
    </row>
    <row r="454" spans="1:40" x14ac:dyDescent="0.25">
      <c r="A454" t="str">
        <f>"20190312150955404"</f>
        <v>20190312150955404</v>
      </c>
      <c r="B454" t="str">
        <f>"1552374595401235"</f>
        <v>1552374595401235</v>
      </c>
      <c r="C454" t="s">
        <v>40</v>
      </c>
      <c r="D454">
        <v>5.0386629999999997</v>
      </c>
      <c r="E454">
        <v>0.50085930000000001</v>
      </c>
      <c r="F454" t="s">
        <v>42</v>
      </c>
      <c r="G454">
        <v>-382.50869999999998</v>
      </c>
      <c r="H454" s="1">
        <v>-3.6873019999999999E-6</v>
      </c>
      <c r="I454">
        <v>366.84690000000001</v>
      </c>
      <c r="J454">
        <v>-406.5847</v>
      </c>
      <c r="K454">
        <v>1.0603940000000001</v>
      </c>
      <c r="L454">
        <v>367.3331</v>
      </c>
      <c r="M454">
        <v>0.99991189999999996</v>
      </c>
      <c r="N454">
        <v>0</v>
      </c>
      <c r="O454">
        <v>-6.0287359999999996E-4</v>
      </c>
      <c r="P454">
        <v>0.99755720000000003</v>
      </c>
      <c r="Q454">
        <v>6.7236539999999997E-2</v>
      </c>
      <c r="R454">
        <v>-1.8952779999999999E-2</v>
      </c>
      <c r="S454">
        <v>3.0153500000000002</v>
      </c>
      <c r="T454">
        <v>-0.13144229999999901</v>
      </c>
      <c r="U454">
        <v>-6.0302729999999999E-2</v>
      </c>
      <c r="V454">
        <v>1.8372909999999999E-2</v>
      </c>
      <c r="W454">
        <v>8.0463430000000002E-2</v>
      </c>
      <c r="X454">
        <v>0.99658820000000004</v>
      </c>
      <c r="Y454">
        <v>1.9373959999999999E-2</v>
      </c>
      <c r="Z454">
        <v>-3.9575610000000002E-4</v>
      </c>
      <c r="AA454">
        <v>0.99981220000000004</v>
      </c>
      <c r="AB454">
        <v>25</v>
      </c>
      <c r="AC454">
        <v>24.076000000000001</v>
      </c>
      <c r="AD454">
        <v>-1.060397687302</v>
      </c>
      <c r="AE454">
        <v>-0.48619999999999602</v>
      </c>
      <c r="AF454">
        <v>0.47077099623964103</v>
      </c>
      <c r="AG454">
        <v>-1.060397687302</v>
      </c>
      <c r="AH454">
        <v>24.029693689791198</v>
      </c>
      <c r="AI454">
        <v>92.526261366705597</v>
      </c>
      <c r="AJ454">
        <v>88.877649401968597</v>
      </c>
      <c r="AK454">
        <v>24.057685828261299</v>
      </c>
      <c r="AL454">
        <v>85.384795730322395</v>
      </c>
      <c r="AM454">
        <v>88.943825581884994</v>
      </c>
      <c r="AN454">
        <v>0.99999998388423605</v>
      </c>
    </row>
    <row r="455" spans="1:40" x14ac:dyDescent="0.25">
      <c r="A455" t="str">
        <f>"20190312150955425"</f>
        <v>20190312150955425</v>
      </c>
      <c r="B455" t="str">
        <f>"1552374595420756"</f>
        <v>1552374595420756</v>
      </c>
      <c r="C455" t="s">
        <v>40</v>
      </c>
      <c r="D455">
        <v>5.0574349999999999</v>
      </c>
      <c r="E455">
        <v>0.50087090000000001</v>
      </c>
      <c r="F455" t="s">
        <v>42</v>
      </c>
      <c r="G455">
        <v>-381.90469999999999</v>
      </c>
      <c r="H455" s="1">
        <v>-3.9496719999999997E-6</v>
      </c>
      <c r="I455">
        <v>366.82850000000002</v>
      </c>
      <c r="J455">
        <v>-406.3415</v>
      </c>
      <c r="K455">
        <v>1.0603990000000001</v>
      </c>
      <c r="L455">
        <v>367.33280000000002</v>
      </c>
      <c r="M455">
        <v>0.99991180000000002</v>
      </c>
      <c r="N455">
        <v>0</v>
      </c>
      <c r="O455">
        <v>-7.3314349999999996E-4</v>
      </c>
      <c r="P455">
        <v>0.99756210000000001</v>
      </c>
      <c r="Q455">
        <v>6.7119670000000006E-2</v>
      </c>
      <c r="R455">
        <v>-1.9110519999999999E-2</v>
      </c>
      <c r="S455">
        <v>3.014923</v>
      </c>
      <c r="T455">
        <v>-0.1295385</v>
      </c>
      <c r="U455">
        <v>-6.1645510000000001E-2</v>
      </c>
      <c r="V455">
        <v>1.8400699999999999E-2</v>
      </c>
      <c r="W455">
        <v>8.034413E-2</v>
      </c>
      <c r="X455">
        <v>0.99659730000000002</v>
      </c>
      <c r="Y455">
        <v>1.9691980000000001E-2</v>
      </c>
      <c r="Z455">
        <v>-3.9131639999999998E-4</v>
      </c>
      <c r="AA455">
        <v>0.99980599999999997</v>
      </c>
      <c r="AB455">
        <v>25</v>
      </c>
      <c r="AC455">
        <v>24.436800000000002</v>
      </c>
      <c r="AD455">
        <v>-1.06040294967199</v>
      </c>
      <c r="AE455">
        <v>-0.50429999999999997</v>
      </c>
      <c r="AF455">
        <v>0.485468853148389</v>
      </c>
      <c r="AG455">
        <v>-1.06040294967199</v>
      </c>
      <c r="AH455">
        <v>24.3912537065031</v>
      </c>
      <c r="AI455">
        <v>92.488858179041003</v>
      </c>
      <c r="AJ455">
        <v>88.859769792523394</v>
      </c>
      <c r="AK455">
        <v>24.419119390306602</v>
      </c>
      <c r="AL455">
        <v>85.391653262856295</v>
      </c>
      <c r="AM455">
        <v>88.942238081190794</v>
      </c>
      <c r="AN455">
        <v>0.99999997167661803</v>
      </c>
    </row>
    <row r="456" spans="1:40" x14ac:dyDescent="0.25">
      <c r="A456" t="str">
        <f>"20190312150955449"</f>
        <v>20190312150955449</v>
      </c>
      <c r="B456" t="str">
        <f>"1552374595441253"</f>
        <v>1552374595441253</v>
      </c>
      <c r="C456" t="s">
        <v>40</v>
      </c>
      <c r="D456">
        <v>5.047523</v>
      </c>
      <c r="E456">
        <v>0.50084719999999905</v>
      </c>
      <c r="F456" t="s">
        <v>42</v>
      </c>
      <c r="G456">
        <v>-382.39670000000001</v>
      </c>
      <c r="H456" s="1">
        <v>-3.7364619999999999E-6</v>
      </c>
      <c r="I456">
        <v>366.84050000000002</v>
      </c>
      <c r="J456">
        <v>-406.0752</v>
      </c>
      <c r="K456">
        <v>1.060398</v>
      </c>
      <c r="L456">
        <v>367.33249999999998</v>
      </c>
      <c r="M456">
        <v>0.99991160000000001</v>
      </c>
      <c r="N456">
        <v>0</v>
      </c>
      <c r="O456">
        <v>-8.7558190000000004E-4</v>
      </c>
      <c r="P456">
        <v>0.99753309999999995</v>
      </c>
      <c r="Q456">
        <v>6.7395049999999998E-2</v>
      </c>
      <c r="R456">
        <v>-1.9632630000000002E-2</v>
      </c>
      <c r="S456">
        <v>3.0151370000000002</v>
      </c>
      <c r="T456">
        <v>-0.13352610000000001</v>
      </c>
      <c r="U456">
        <v>-6.19812E-2</v>
      </c>
      <c r="V456">
        <v>1.8780959999999999E-2</v>
      </c>
      <c r="W456">
        <v>8.061741E-2</v>
      </c>
      <c r="X456">
        <v>0.99656809999999996</v>
      </c>
      <c r="Y456">
        <v>1.9658459999999999E-2</v>
      </c>
      <c r="Z456">
        <v>-3.9627519999999998E-4</v>
      </c>
      <c r="AA456">
        <v>0.99980670000000005</v>
      </c>
      <c r="AB456">
        <v>25</v>
      </c>
      <c r="AC456">
        <v>23.6784999999999</v>
      </c>
      <c r="AD456">
        <v>-1.060401736462</v>
      </c>
      <c r="AE456">
        <v>-0.49199999999996102</v>
      </c>
      <c r="AF456">
        <v>0.47032267400336703</v>
      </c>
      <c r="AG456">
        <v>-1.060401736462</v>
      </c>
      <c r="AH456">
        <v>23.631548057934001</v>
      </c>
      <c r="AI456">
        <v>92.568761459967902</v>
      </c>
      <c r="AJ456">
        <v>88.859831483806204</v>
      </c>
      <c r="AK456">
        <v>23.660002512147301</v>
      </c>
      <c r="AL456">
        <v>85.375944343257302</v>
      </c>
      <c r="AM456">
        <v>88.920352378580205</v>
      </c>
      <c r="AN456">
        <v>0.99999993459561698</v>
      </c>
    </row>
    <row r="457" spans="1:40" x14ac:dyDescent="0.25">
      <c r="A457" t="str">
        <f>"20190312150955472"</f>
        <v>20190312150955472</v>
      </c>
      <c r="B457" t="str">
        <f>"1552374595460772"</f>
        <v>1552374595460772</v>
      </c>
      <c r="C457" t="s">
        <v>40</v>
      </c>
      <c r="D457">
        <v>5.0527790000000001</v>
      </c>
      <c r="E457">
        <v>0.50086529999999996</v>
      </c>
      <c r="F457" t="s">
        <v>42</v>
      </c>
      <c r="G457">
        <v>-382.13380000000001</v>
      </c>
      <c r="H457" s="1">
        <v>-3.8517480000000004E-6</v>
      </c>
      <c r="I457">
        <v>366.82639999999998</v>
      </c>
      <c r="J457">
        <v>-405.81380000000001</v>
      </c>
      <c r="K457">
        <v>1.0604020000000001</v>
      </c>
      <c r="L457">
        <v>367.33210000000003</v>
      </c>
      <c r="M457">
        <v>0.99991140000000001</v>
      </c>
      <c r="N457">
        <v>0</v>
      </c>
      <c r="O457">
        <v>-1.0155660000000001E-3</v>
      </c>
      <c r="P457">
        <v>0.99751290000000004</v>
      </c>
      <c r="Q457">
        <v>6.7629869999999995E-2</v>
      </c>
      <c r="R457">
        <v>-1.9857779999999998E-2</v>
      </c>
      <c r="S457">
        <v>3.0151669999999999</v>
      </c>
      <c r="T457">
        <v>-0.1335461</v>
      </c>
      <c r="U457">
        <v>-6.3720700000000005E-2</v>
      </c>
      <c r="V457">
        <v>1.8866440000000002E-2</v>
      </c>
      <c r="W457">
        <v>8.0858379999999994E-2</v>
      </c>
      <c r="X457">
        <v>0.99654699999999996</v>
      </c>
      <c r="Y457">
        <v>2.0094540000000001E-2</v>
      </c>
      <c r="Z457">
        <v>-3.997828E-4</v>
      </c>
      <c r="AA457">
        <v>0.99979799999999996</v>
      </c>
      <c r="AB457">
        <v>25</v>
      </c>
      <c r="AC457">
        <v>23.68</v>
      </c>
      <c r="AD457">
        <v>-1.060405851748</v>
      </c>
      <c r="AE457">
        <v>-0.505700000000047</v>
      </c>
      <c r="AF457">
        <v>0.48068553521542401</v>
      </c>
      <c r="AG457">
        <v>-1.060405851748</v>
      </c>
      <c r="AH457">
        <v>23.6331313270544</v>
      </c>
      <c r="AI457">
        <v>92.568577001032494</v>
      </c>
      <c r="AJ457">
        <v>88.834794462253399</v>
      </c>
      <c r="AK457">
        <v>23.6617923132629</v>
      </c>
      <c r="AL457">
        <v>85.362092729755901</v>
      </c>
      <c r="AM457">
        <v>88.915416663969296</v>
      </c>
      <c r="AN457">
        <v>0.99999997169174804</v>
      </c>
    </row>
    <row r="458" spans="1:40" x14ac:dyDescent="0.25">
      <c r="A458" t="str">
        <f>"20190312150955493"</f>
        <v>20190312150955493</v>
      </c>
      <c r="B458" t="str">
        <f>"1552374595491028"</f>
        <v>1552374595491028</v>
      </c>
      <c r="C458" t="s">
        <v>40</v>
      </c>
      <c r="D458">
        <v>5.0241319999999998</v>
      </c>
      <c r="E458">
        <v>0.50076049999999905</v>
      </c>
      <c r="F458" t="s">
        <v>42</v>
      </c>
      <c r="G458">
        <v>-381.4597</v>
      </c>
      <c r="H458" s="1">
        <v>-4.1439899999999998E-6</v>
      </c>
      <c r="I458">
        <v>366.8091</v>
      </c>
      <c r="J458">
        <v>-405.56849999999997</v>
      </c>
      <c r="K458">
        <v>1.0604100000000001</v>
      </c>
      <c r="L458">
        <v>367.33159999999998</v>
      </c>
      <c r="M458">
        <v>0.99991110000000005</v>
      </c>
      <c r="N458">
        <v>0</v>
      </c>
      <c r="O458">
        <v>-1.147054E-3</v>
      </c>
      <c r="P458">
        <v>0.99751049999999997</v>
      </c>
      <c r="Q458">
        <v>6.7563120000000004E-2</v>
      </c>
      <c r="R458">
        <v>-2.0202149999999999E-2</v>
      </c>
      <c r="S458">
        <v>3.0150760000000001</v>
      </c>
      <c r="T458">
        <v>-0.13128010000000001</v>
      </c>
      <c r="U458">
        <v>-6.4727779999999999E-2</v>
      </c>
      <c r="V458">
        <v>1.907942E-2</v>
      </c>
      <c r="W458">
        <v>8.0811330000000001E-2</v>
      </c>
      <c r="X458">
        <v>0.99654679999999995</v>
      </c>
      <c r="Y458">
        <v>2.029806E-2</v>
      </c>
      <c r="Z458">
        <v>-3.9172209999999998E-4</v>
      </c>
      <c r="AA458">
        <v>0.99979390000000001</v>
      </c>
      <c r="AB458">
        <v>25</v>
      </c>
      <c r="AC458">
        <v>24.108799999999899</v>
      </c>
      <c r="AD458">
        <v>-1.0604141439899999</v>
      </c>
      <c r="AE458">
        <v>-0.52249999999997898</v>
      </c>
      <c r="AF458">
        <v>0.49388807394226403</v>
      </c>
      <c r="AG458">
        <v>-1.0604141439899999</v>
      </c>
      <c r="AH458">
        <v>24.062852459354399</v>
      </c>
      <c r="AI458">
        <v>92.522776596545299</v>
      </c>
      <c r="AJ458">
        <v>88.824173918630507</v>
      </c>
      <c r="AK458">
        <v>24.0912696233929</v>
      </c>
      <c r="AL458">
        <v>85.364797524851795</v>
      </c>
      <c r="AM458">
        <v>88.903175743262594</v>
      </c>
      <c r="AN458">
        <v>1.0000000099570701</v>
      </c>
    </row>
    <row r="459" spans="1:40" x14ac:dyDescent="0.25">
      <c r="A459" t="str">
        <f>"20190312150955507"</f>
        <v>20190312150955507</v>
      </c>
      <c r="B459" t="str">
        <f>"1552374595500789"</f>
        <v>1552374595500789</v>
      </c>
      <c r="C459" t="s">
        <v>40</v>
      </c>
      <c r="D459">
        <v>5.0629150000000003</v>
      </c>
      <c r="E459">
        <v>0.50067470000000003</v>
      </c>
      <c r="F459" t="s">
        <v>42</v>
      </c>
      <c r="G459">
        <v>-381.1481</v>
      </c>
      <c r="H459" s="1">
        <v>-4.2785720000000001E-6</v>
      </c>
      <c r="I459">
        <v>366.80410000000001</v>
      </c>
      <c r="J459">
        <v>-405.42309999999998</v>
      </c>
      <c r="K459">
        <v>1.0604100000000001</v>
      </c>
      <c r="L459">
        <v>367.33139999999997</v>
      </c>
      <c r="M459">
        <v>0.99991070000000004</v>
      </c>
      <c r="N459">
        <v>0</v>
      </c>
      <c r="O459">
        <v>-1.2249069999999999E-3</v>
      </c>
      <c r="P459">
        <v>0.99750760000000005</v>
      </c>
      <c r="Q459">
        <v>6.7584309999999995E-2</v>
      </c>
      <c r="R459">
        <v>-2.0277010000000002E-2</v>
      </c>
      <c r="S459">
        <v>3.0150450000000002</v>
      </c>
      <c r="T459">
        <v>-0.13092319999999999</v>
      </c>
      <c r="U459">
        <v>-6.5124509999999997E-2</v>
      </c>
      <c r="V459">
        <v>1.9076539999999999E-2</v>
      </c>
      <c r="W459">
        <v>8.0852679999999996E-2</v>
      </c>
      <c r="X459">
        <v>0.99654350000000003</v>
      </c>
      <c r="Y459">
        <v>2.035205E-2</v>
      </c>
      <c r="Z459">
        <v>-3.8845410000000003E-4</v>
      </c>
      <c r="AA459">
        <v>0.99979280000000004</v>
      </c>
      <c r="AB459">
        <v>25</v>
      </c>
      <c r="AC459">
        <v>24.274999999999899</v>
      </c>
      <c r="AD459">
        <v>-1.0604142785719901</v>
      </c>
      <c r="AE459">
        <v>-0.52729999999996802</v>
      </c>
      <c r="AF459">
        <v>0.496615140497771</v>
      </c>
      <c r="AG459">
        <v>-1.0604142785719901</v>
      </c>
      <c r="AH459">
        <v>24.229414040930699</v>
      </c>
      <c r="AI459">
        <v>92.505458093582803</v>
      </c>
      <c r="AJ459">
        <v>88.825808662388795</v>
      </c>
      <c r="AK459">
        <v>24.257691765846602</v>
      </c>
      <c r="AL459">
        <v>85.362420561066301</v>
      </c>
      <c r="AM459">
        <v>88.903337635598206</v>
      </c>
      <c r="AN459">
        <v>1.0000000088169001</v>
      </c>
    </row>
    <row r="460" spans="1:40" x14ac:dyDescent="0.25">
      <c r="A460" t="str">
        <f>"20190312150955527"</f>
        <v>20190312150955527</v>
      </c>
      <c r="B460" t="str">
        <f>"1552374595521284"</f>
        <v>1552374595521284</v>
      </c>
      <c r="C460" t="s">
        <v>40</v>
      </c>
      <c r="D460">
        <v>5.0242199999999997</v>
      </c>
      <c r="E460">
        <v>0.50063639999999998</v>
      </c>
      <c r="F460" t="s">
        <v>42</v>
      </c>
      <c r="G460">
        <v>-380.72719999999998</v>
      </c>
      <c r="H460" s="1">
        <v>-4.4591750000000004E-6</v>
      </c>
      <c r="I460">
        <v>366.8039</v>
      </c>
      <c r="J460">
        <v>-405.20530000000002</v>
      </c>
      <c r="K460">
        <v>1.0604199999999999</v>
      </c>
      <c r="L460">
        <v>367.33100000000002</v>
      </c>
      <c r="M460">
        <v>0.99990990000000002</v>
      </c>
      <c r="N460">
        <v>0</v>
      </c>
      <c r="O460">
        <v>-1.3419969999999999E-3</v>
      </c>
      <c r="P460">
        <v>0.99750720000000004</v>
      </c>
      <c r="Q460">
        <v>6.7684770000000005E-2</v>
      </c>
      <c r="R460">
        <v>-1.9955110000000002E-2</v>
      </c>
      <c r="S460">
        <v>3.0149840000000001</v>
      </c>
      <c r="T460">
        <v>-0.12945989999999999</v>
      </c>
      <c r="U460">
        <v>-6.4392089999999999E-2</v>
      </c>
      <c r="V460">
        <v>1.863793E-2</v>
      </c>
      <c r="W460">
        <v>8.0994319999999995E-2</v>
      </c>
      <c r="X460">
        <v>0.99654030000000005</v>
      </c>
      <c r="Y460">
        <v>1.9993480000000001E-2</v>
      </c>
      <c r="Z460">
        <v>-3.7140609999999999E-4</v>
      </c>
      <c r="AA460">
        <v>0.99980000000000002</v>
      </c>
      <c r="AB460">
        <v>25</v>
      </c>
      <c r="AC460">
        <v>24.478100000000001</v>
      </c>
      <c r="AD460">
        <v>-1.0604244591750001</v>
      </c>
      <c r="AE460">
        <v>-0.52709999999996104</v>
      </c>
      <c r="AF460">
        <v>0.49332165081598101</v>
      </c>
      <c r="AG460">
        <v>-1.0604244591750001</v>
      </c>
      <c r="AH460">
        <v>24.432952342240601</v>
      </c>
      <c r="AI460">
        <v>92.484651924863698</v>
      </c>
      <c r="AJ460">
        <v>88.843307672541897</v>
      </c>
      <c r="AK460">
        <v>24.460928568698801</v>
      </c>
      <c r="AL460">
        <v>85.354278493245701</v>
      </c>
      <c r="AM460">
        <v>88.928542835790296</v>
      </c>
      <c r="AN460">
        <v>1.0000000109155101</v>
      </c>
    </row>
    <row r="461" spans="1:40" x14ac:dyDescent="0.25">
      <c r="A461" t="str">
        <f>"20190312150955550"</f>
        <v>20190312150955550</v>
      </c>
      <c r="B461" t="str">
        <f>"1552374595540804"</f>
        <v>1552374595540804</v>
      </c>
      <c r="C461" t="s">
        <v>40</v>
      </c>
      <c r="D461">
        <v>4.9162429999999997</v>
      </c>
      <c r="E461">
        <v>0.5007606</v>
      </c>
      <c r="F461" t="s">
        <v>42</v>
      </c>
      <c r="G461">
        <v>-380.41</v>
      </c>
      <c r="H461" s="1">
        <v>-4.594147E-6</v>
      </c>
      <c r="I461">
        <v>366.81020000000001</v>
      </c>
      <c r="J461">
        <v>-404.94189999999998</v>
      </c>
      <c r="K461">
        <v>1.0604439999999999</v>
      </c>
      <c r="L461">
        <v>367.33049999999997</v>
      </c>
      <c r="M461">
        <v>0.99990880000000004</v>
      </c>
      <c r="N461">
        <v>0</v>
      </c>
      <c r="O461">
        <v>-1.4831110000000001E-3</v>
      </c>
      <c r="P461">
        <v>0.99749339999999997</v>
      </c>
      <c r="Q461">
        <v>6.7949120000000002E-2</v>
      </c>
      <c r="R461">
        <v>-1.974681E-2</v>
      </c>
      <c r="S461">
        <v>3.0149539999999999</v>
      </c>
      <c r="T461">
        <v>-0.12894079999999999</v>
      </c>
      <c r="U461">
        <v>-6.3323969999999993E-2</v>
      </c>
      <c r="V461">
        <v>1.8288579999999999E-2</v>
      </c>
      <c r="W461">
        <v>8.1326519999999999E-2</v>
      </c>
      <c r="X461">
        <v>0.99651970000000001</v>
      </c>
      <c r="Y461">
        <v>1.9499269999999999E-2</v>
      </c>
      <c r="Z461">
        <v>-3.5332929999999999E-4</v>
      </c>
      <c r="AA461">
        <v>0.99980979999999997</v>
      </c>
      <c r="AB461">
        <v>25</v>
      </c>
      <c r="AC461">
        <v>24.531899999999901</v>
      </c>
      <c r="AD461">
        <v>-1.0604485941470001</v>
      </c>
      <c r="AE461">
        <v>-0.52029999999996301</v>
      </c>
      <c r="AF461">
        <v>0.483010469824733</v>
      </c>
      <c r="AG461">
        <v>-1.0604485941470001</v>
      </c>
      <c r="AH461">
        <v>24.486909026482</v>
      </c>
      <c r="AI461">
        <v>92.479263209945998</v>
      </c>
      <c r="AJ461">
        <v>88.869972810999798</v>
      </c>
      <c r="AK461">
        <v>24.5146193934557</v>
      </c>
      <c r="AL461">
        <v>85.335181756278104</v>
      </c>
      <c r="AM461">
        <v>88.948599985412798</v>
      </c>
      <c r="AN461">
        <v>0.99999999375090798</v>
      </c>
    </row>
    <row r="462" spans="1:40" x14ac:dyDescent="0.25">
      <c r="A462" t="str">
        <f>"20190312150955673"</f>
        <v>20190312150955673</v>
      </c>
      <c r="B462" t="str">
        <f>"1552374595671588"</f>
        <v>1552374595671588</v>
      </c>
      <c r="C462" t="s">
        <v>40</v>
      </c>
      <c r="D462">
        <v>5.3615300000000001</v>
      </c>
      <c r="E462">
        <v>0.52395009999999997</v>
      </c>
      <c r="F462" t="s">
        <v>42</v>
      </c>
      <c r="G462">
        <v>-379.92649999999998</v>
      </c>
      <c r="H462" s="1">
        <v>-7.5997930000000001E-7</v>
      </c>
      <c r="I462">
        <v>366.80169999999998</v>
      </c>
      <c r="J462">
        <v>-403.57339999999999</v>
      </c>
      <c r="K462">
        <v>1.0605389999999999</v>
      </c>
      <c r="L462">
        <v>367.3272</v>
      </c>
      <c r="M462">
        <v>0.9999017</v>
      </c>
      <c r="N462">
        <v>0</v>
      </c>
      <c r="O462">
        <v>-2.183684E-3</v>
      </c>
      <c r="P462">
        <v>0.99729760000000001</v>
      </c>
      <c r="Q462">
        <v>7.1129689999999995E-2</v>
      </c>
      <c r="R462">
        <v>-1.8397190000000001E-2</v>
      </c>
      <c r="S462">
        <v>3.015015</v>
      </c>
      <c r="T462">
        <v>-0.12781110000000001</v>
      </c>
      <c r="U462">
        <v>-6.3720700000000005E-2</v>
      </c>
      <c r="V462">
        <v>1.623925E-2</v>
      </c>
      <c r="W462">
        <v>8.4943640000000001E-2</v>
      </c>
      <c r="X462">
        <v>0.99625339999999996</v>
      </c>
      <c r="Y462">
        <v>1.893125E-2</v>
      </c>
      <c r="Z462">
        <v>-3.085114E-4</v>
      </c>
      <c r="AA462">
        <v>0.99982079999999995</v>
      </c>
      <c r="AB462">
        <v>25</v>
      </c>
      <c r="AC462">
        <v>23.646899999999999</v>
      </c>
      <c r="AD462">
        <v>-1.0605397599792901</v>
      </c>
      <c r="AE462">
        <v>-0.52550000000002195</v>
      </c>
      <c r="AF462">
        <v>0.47290568798278598</v>
      </c>
      <c r="AG462">
        <v>-1.0605397599792901</v>
      </c>
      <c r="AH462">
        <v>23.600543774670601</v>
      </c>
      <c r="AI462">
        <v>92.572458929134697</v>
      </c>
      <c r="AJ462">
        <v>88.852065667755795</v>
      </c>
      <c r="AK462">
        <v>23.629093313802102</v>
      </c>
      <c r="AL462">
        <v>85.127215973921494</v>
      </c>
      <c r="AM462">
        <v>89.066143117365399</v>
      </c>
      <c r="AN462">
        <v>0.99999998611428598</v>
      </c>
    </row>
    <row r="463" spans="1:40" x14ac:dyDescent="0.25">
      <c r="A463" t="str">
        <f>"20190312150955695"</f>
        <v>20190312150955695</v>
      </c>
      <c r="B463" t="str">
        <f>"1552374595691108"</f>
        <v>1552374595691108</v>
      </c>
      <c r="C463" t="s">
        <v>40</v>
      </c>
      <c r="D463">
        <v>5.1078539999999997</v>
      </c>
      <c r="E463">
        <v>0.52227840000000003</v>
      </c>
      <c r="F463" t="s">
        <v>44</v>
      </c>
      <c r="G463">
        <v>0</v>
      </c>
      <c r="H463">
        <v>0</v>
      </c>
      <c r="I463">
        <v>0</v>
      </c>
      <c r="J463">
        <v>-403.33240000000001</v>
      </c>
      <c r="K463">
        <v>1.060554</v>
      </c>
      <c r="L463">
        <v>367.32659999999998</v>
      </c>
      <c r="M463">
        <v>0.99990049999999997</v>
      </c>
      <c r="N463">
        <v>0</v>
      </c>
      <c r="O463">
        <v>-2.2915520000000001E-3</v>
      </c>
      <c r="P463">
        <v>0.99727869999999996</v>
      </c>
      <c r="Q463">
        <v>7.1367700000000006E-2</v>
      </c>
      <c r="R463">
        <v>-1.8491210000000001E-2</v>
      </c>
      <c r="S463">
        <v>3.0031430000000001</v>
      </c>
      <c r="T463">
        <v>6.8159099999999997E-3</v>
      </c>
      <c r="U463">
        <v>-0.24526980000000001</v>
      </c>
      <c r="V463">
        <v>1.6224809999999999E-2</v>
      </c>
      <c r="W463">
        <v>8.5243899999999997E-2</v>
      </c>
      <c r="X463">
        <v>0.996228</v>
      </c>
      <c r="Y463">
        <v>7.9115420000000006E-2</v>
      </c>
      <c r="Z463" s="1">
        <v>8.4437940000000003E-5</v>
      </c>
      <c r="AA463">
        <v>0.99686549999999996</v>
      </c>
      <c r="AB463">
        <v>25</v>
      </c>
      <c r="AC463">
        <v>3.0031430000000001</v>
      </c>
      <c r="AD463">
        <v>6.8159099999999997E-3</v>
      </c>
      <c r="AE463">
        <v>-0.24526980000000001</v>
      </c>
      <c r="AF463">
        <v>0.238385411007418</v>
      </c>
      <c r="AG463">
        <v>6.8159099999999997E-3</v>
      </c>
      <c r="AH463">
        <v>3.0036818467531998</v>
      </c>
      <c r="AI463">
        <v>89.870393031848806</v>
      </c>
      <c r="AJ463">
        <v>85.462266107824306</v>
      </c>
      <c r="AK463">
        <v>3.0131343642999102</v>
      </c>
      <c r="AL463">
        <v>85.109949772879105</v>
      </c>
      <c r="AM463">
        <v>89.066949575030804</v>
      </c>
      <c r="AN463">
        <v>0.99999999746537305</v>
      </c>
    </row>
    <row r="464" spans="1:40" x14ac:dyDescent="0.25">
      <c r="A464" t="str">
        <f>"20190312150955716"</f>
        <v>20190312150955716</v>
      </c>
      <c r="B464" t="str">
        <f>"1552374595711604"</f>
        <v>1552374595711604</v>
      </c>
      <c r="C464" t="s">
        <v>40</v>
      </c>
      <c r="D464">
        <v>4.9775280000000004</v>
      </c>
      <c r="E464">
        <v>0.52250680000000005</v>
      </c>
      <c r="F464" t="s">
        <v>44</v>
      </c>
      <c r="G464">
        <v>0</v>
      </c>
      <c r="H464">
        <v>0</v>
      </c>
      <c r="I464">
        <v>0</v>
      </c>
      <c r="J464">
        <v>-403.09969999999998</v>
      </c>
      <c r="K464">
        <v>1.060567</v>
      </c>
      <c r="L464">
        <v>367.32589999999999</v>
      </c>
      <c r="M464">
        <v>0.99989950000000005</v>
      </c>
      <c r="N464">
        <v>0</v>
      </c>
      <c r="O464">
        <v>-2.3863339999999999E-3</v>
      </c>
      <c r="P464">
        <v>0.99729909999999999</v>
      </c>
      <c r="Q464">
        <v>7.1075659999999999E-2</v>
      </c>
      <c r="R464">
        <v>-1.851701E-2</v>
      </c>
      <c r="S464">
        <v>2.9758610000000001</v>
      </c>
      <c r="T464">
        <v>0.39162989999999998</v>
      </c>
      <c r="U464">
        <v>-0.23361209999999999</v>
      </c>
      <c r="V464">
        <v>1.6154470000000001E-2</v>
      </c>
      <c r="W464">
        <v>8.5005880000000006E-2</v>
      </c>
      <c r="X464">
        <v>0.99624950000000001</v>
      </c>
      <c r="Y464">
        <v>7.5257640000000001E-2</v>
      </c>
      <c r="Z464">
        <v>4.6110550000000002E-3</v>
      </c>
      <c r="AA464">
        <v>0.99715350000000003</v>
      </c>
      <c r="AB464">
        <v>25</v>
      </c>
      <c r="AC464">
        <v>2.9758610000000001</v>
      </c>
      <c r="AD464">
        <v>0.39162989999999998</v>
      </c>
      <c r="AE464">
        <v>-0.23361209999999999</v>
      </c>
      <c r="AF464">
        <v>0.222676399440001</v>
      </c>
      <c r="AG464">
        <v>0.39162989999999998</v>
      </c>
      <c r="AH464">
        <v>2.9260438713377099</v>
      </c>
      <c r="AI464">
        <v>82.398400427822395</v>
      </c>
      <c r="AJ464">
        <v>85.648092168522993</v>
      </c>
      <c r="AK464">
        <v>2.9605221658407701</v>
      </c>
      <c r="AL464">
        <v>85.123637087566493</v>
      </c>
      <c r="AM464">
        <v>89.071013996794903</v>
      </c>
      <c r="AN464">
        <v>1.0000000163928999</v>
      </c>
    </row>
    <row r="465" spans="1:40" x14ac:dyDescent="0.25">
      <c r="A465" t="str">
        <f>"20190312150955729"</f>
        <v>20190312150955729</v>
      </c>
      <c r="B465" t="str">
        <f>"1552374595721364"</f>
        <v>1552374595721364</v>
      </c>
      <c r="C465" t="s">
        <v>40</v>
      </c>
      <c r="D465">
        <v>5.0380779999999996</v>
      </c>
      <c r="E465">
        <v>0.52491849999999995</v>
      </c>
      <c r="F465" t="s">
        <v>44</v>
      </c>
      <c r="G465">
        <v>0</v>
      </c>
      <c r="H465">
        <v>0</v>
      </c>
      <c r="I465">
        <v>0</v>
      </c>
      <c r="J465">
        <v>-402.96300000000002</v>
      </c>
      <c r="K465">
        <v>1.060567</v>
      </c>
      <c r="L465">
        <v>367.32549999999998</v>
      </c>
      <c r="M465">
        <v>0.99989899999999998</v>
      </c>
      <c r="N465">
        <v>0</v>
      </c>
      <c r="O465">
        <v>-2.4357879999999999E-3</v>
      </c>
      <c r="P465">
        <v>0.99729480000000004</v>
      </c>
      <c r="Q465">
        <v>7.1089089999999994E-2</v>
      </c>
      <c r="R465">
        <v>-1.8697709999999999E-2</v>
      </c>
      <c r="S465">
        <v>2.9763489999999999</v>
      </c>
      <c r="T465">
        <v>0.38454830000000001</v>
      </c>
      <c r="U465">
        <v>-0.23547360000000001</v>
      </c>
      <c r="V465">
        <v>1.6284799999999999E-2</v>
      </c>
      <c r="W465">
        <v>8.504768E-2</v>
      </c>
      <c r="X465">
        <v>0.99624380000000001</v>
      </c>
      <c r="Y465">
        <v>7.5833559999999994E-2</v>
      </c>
      <c r="Z465">
        <v>4.5581620000000002E-3</v>
      </c>
      <c r="AA465">
        <v>0.9971101</v>
      </c>
      <c r="AB465">
        <v>25</v>
      </c>
      <c r="AC465">
        <v>2.9763489999999999</v>
      </c>
      <c r="AD465">
        <v>0.38454830000000001</v>
      </c>
      <c r="AE465">
        <v>-0.23547360000000001</v>
      </c>
      <c r="AF465">
        <v>0.22449820020036501</v>
      </c>
      <c r="AG465">
        <v>0.38454830000000001</v>
      </c>
      <c r="AH465">
        <v>2.9283351862178</v>
      </c>
      <c r="AI465">
        <v>82.540381773973905</v>
      </c>
      <c r="AJ465">
        <v>85.616045574684804</v>
      </c>
      <c r="AK465">
        <v>2.96199659010056</v>
      </c>
      <c r="AL465">
        <v>85.121233367788605</v>
      </c>
      <c r="AM465">
        <v>89.063515155224906</v>
      </c>
      <c r="AN465">
        <v>1.00000000581143</v>
      </c>
    </row>
    <row r="466" spans="1:40" x14ac:dyDescent="0.25">
      <c r="A466" t="str">
        <f>"20190312150955750"</f>
        <v>20190312150955750</v>
      </c>
      <c r="B466" t="str">
        <f>"1552374595740883"</f>
        <v>1552374595740883</v>
      </c>
      <c r="C466" t="s">
        <v>40</v>
      </c>
      <c r="D466">
        <v>5.2875170000000002</v>
      </c>
      <c r="E466">
        <v>0.52452290000000001</v>
      </c>
      <c r="F466" t="s">
        <v>42</v>
      </c>
      <c r="G466">
        <v>-356.72969999999998</v>
      </c>
      <c r="H466" s="1">
        <v>-2.7470379999999999E-6</v>
      </c>
      <c r="I466">
        <v>363.42230000000001</v>
      </c>
      <c r="J466">
        <v>-402.72519999999997</v>
      </c>
      <c r="K466">
        <v>1.0605819999999999</v>
      </c>
      <c r="L466">
        <v>367.32479999999998</v>
      </c>
      <c r="M466">
        <v>0.99989810000000001</v>
      </c>
      <c r="N466">
        <v>0</v>
      </c>
      <c r="O466">
        <v>-2.5131720000000001E-3</v>
      </c>
      <c r="P466">
        <v>0.99731930000000002</v>
      </c>
      <c r="Q466">
        <v>7.062823E-2</v>
      </c>
      <c r="R466">
        <v>-1.9132639999999999E-2</v>
      </c>
      <c r="S466">
        <v>3.00827</v>
      </c>
      <c r="T466">
        <v>-6.9008109999999998E-2</v>
      </c>
      <c r="U466">
        <v>-0.25396729999999901</v>
      </c>
      <c r="V466">
        <v>1.6640189999999999E-2</v>
      </c>
      <c r="W466">
        <v>8.4631479999999995E-2</v>
      </c>
      <c r="X466">
        <v>0.99627330000000003</v>
      </c>
      <c r="Y466">
        <v>8.159835E-2</v>
      </c>
      <c r="Z466">
        <v>-8.7658229999999998E-4</v>
      </c>
      <c r="AA466">
        <v>0.99666489999999996</v>
      </c>
      <c r="AB466">
        <v>25</v>
      </c>
      <c r="AC466">
        <v>45.9954999999999</v>
      </c>
      <c r="AD466">
        <v>-1.0605847470380001</v>
      </c>
      <c r="AE466">
        <v>-3.9024999999999701</v>
      </c>
      <c r="AF466">
        <v>3.7848836465558202</v>
      </c>
      <c r="AG466">
        <v>-1.0605847470380001</v>
      </c>
      <c r="AH466">
        <v>45.980890404592103</v>
      </c>
      <c r="AI466">
        <v>91.316884844786003</v>
      </c>
      <c r="AJ466">
        <v>85.294348261159499</v>
      </c>
      <c r="AK466">
        <v>46.148591166174498</v>
      </c>
      <c r="AL466">
        <v>85.145165817326301</v>
      </c>
      <c r="AM466">
        <v>89.043109943962307</v>
      </c>
      <c r="AN466">
        <v>0.999999935811556</v>
      </c>
    </row>
    <row r="467" spans="1:40" x14ac:dyDescent="0.25">
      <c r="A467" t="str">
        <f>"20190312150955763"</f>
        <v>20190312150955763</v>
      </c>
      <c r="B467" t="str">
        <f>"1552374595751621"</f>
        <v>1552374595751621</v>
      </c>
      <c r="C467" t="s">
        <v>40</v>
      </c>
      <c r="D467">
        <v>5.1044710000000002</v>
      </c>
      <c r="E467">
        <v>0.52470589999999995</v>
      </c>
      <c r="F467" t="s">
        <v>42</v>
      </c>
      <c r="G467">
        <v>-354.0283</v>
      </c>
      <c r="H467" s="1">
        <v>-3.7134560000000002E-6</v>
      </c>
      <c r="I467">
        <v>363.24520000000001</v>
      </c>
      <c r="J467">
        <v>-402.58749999999998</v>
      </c>
      <c r="K467">
        <v>1.0605880000000001</v>
      </c>
      <c r="L467">
        <v>367.3245</v>
      </c>
      <c r="M467">
        <v>0.9998977</v>
      </c>
      <c r="N467">
        <v>0</v>
      </c>
      <c r="O467">
        <v>-2.5524520000000002E-3</v>
      </c>
      <c r="P467">
        <v>0.9973417</v>
      </c>
      <c r="Q467">
        <v>7.026549E-2</v>
      </c>
      <c r="R467">
        <v>-1.9305340000000001E-2</v>
      </c>
      <c r="S467">
        <v>3.0078740000000002</v>
      </c>
      <c r="T467">
        <v>-6.5509319999999996E-2</v>
      </c>
      <c r="U467">
        <v>-0.25198359999999997</v>
      </c>
      <c r="V467">
        <v>1.6772209999999999E-2</v>
      </c>
      <c r="W467">
        <v>8.4292710000000007E-2</v>
      </c>
      <c r="X467">
        <v>0.99629990000000002</v>
      </c>
      <c r="Y467">
        <v>8.0919740000000004E-2</v>
      </c>
      <c r="Z467">
        <v>-8.240516E-4</v>
      </c>
      <c r="AA467">
        <v>0.9967203</v>
      </c>
      <c r="AB467">
        <v>25</v>
      </c>
      <c r="AC467">
        <v>48.559199999999898</v>
      </c>
      <c r="AD467">
        <v>-1.0605917134559999</v>
      </c>
      <c r="AE467">
        <v>-4.0792999999999804</v>
      </c>
      <c r="AF467">
        <v>3.95345667002035</v>
      </c>
      <c r="AG467">
        <v>-1.0605917134559999</v>
      </c>
      <c r="AH467">
        <v>48.546458793922902</v>
      </c>
      <c r="AI467">
        <v>91.247410321764605</v>
      </c>
      <c r="AJ467">
        <v>85.344302658507104</v>
      </c>
      <c r="AK467">
        <v>48.718716484062199</v>
      </c>
      <c r="AL467">
        <v>85.1646459702839</v>
      </c>
      <c r="AM467">
        <v>89.035545340170003</v>
      </c>
      <c r="AN467">
        <v>1.0000000293637099</v>
      </c>
    </row>
    <row r="468" spans="1:40" x14ac:dyDescent="0.25">
      <c r="A468" t="str">
        <f>"20190312150955783"</f>
        <v>20190312150955783</v>
      </c>
      <c r="B468" t="str">
        <f>"1552374595771140"</f>
        <v>1552374595771140</v>
      </c>
      <c r="C468" t="s">
        <v>40</v>
      </c>
      <c r="D468">
        <v>5.130325</v>
      </c>
      <c r="E468">
        <v>0.52424199999999999</v>
      </c>
      <c r="F468" t="s">
        <v>42</v>
      </c>
      <c r="G468">
        <v>-354.42829999999998</v>
      </c>
      <c r="H468" s="1">
        <v>-3.5745939999999999E-6</v>
      </c>
      <c r="I468">
        <v>363.25549999999998</v>
      </c>
      <c r="J468">
        <v>-402.35980000000001</v>
      </c>
      <c r="K468">
        <v>1.0606</v>
      </c>
      <c r="L468">
        <v>367.32380000000001</v>
      </c>
      <c r="M468">
        <v>0.99989709999999998</v>
      </c>
      <c r="N468">
        <v>0</v>
      </c>
      <c r="O468">
        <v>-2.6083149999999999E-3</v>
      </c>
      <c r="P468">
        <v>0.99734060000000002</v>
      </c>
      <c r="Q468">
        <v>6.9984409999999997E-2</v>
      </c>
      <c r="R468">
        <v>-2.0342590000000001E-2</v>
      </c>
      <c r="S468">
        <v>3.0077509999999998</v>
      </c>
      <c r="T468">
        <v>-6.6238399999999906E-2</v>
      </c>
      <c r="U468">
        <v>-0.25411990000000001</v>
      </c>
      <c r="V468">
        <v>1.7752069999999998E-2</v>
      </c>
      <c r="W468">
        <v>8.4045149999999999E-2</v>
      </c>
      <c r="X468">
        <v>0.99630379999999996</v>
      </c>
      <c r="Y468">
        <v>8.1569779999999995E-2</v>
      </c>
      <c r="Z468">
        <v>-8.3914579999999996E-4</v>
      </c>
      <c r="AA468">
        <v>0.99666730000000003</v>
      </c>
      <c r="AB468">
        <v>25</v>
      </c>
      <c r="AC468">
        <v>47.9315</v>
      </c>
      <c r="AD468">
        <v>-1.0606035745939999</v>
      </c>
      <c r="AE468">
        <v>-4.0683000000000202</v>
      </c>
      <c r="AF468">
        <v>3.94133729064442</v>
      </c>
      <c r="AG468">
        <v>-1.0606035745939999</v>
      </c>
      <c r="AH468">
        <v>47.9186550003812</v>
      </c>
      <c r="AI468">
        <v>91.2636784620436</v>
      </c>
      <c r="AJ468">
        <v>85.297973012857597</v>
      </c>
      <c r="AK468">
        <v>48.092166894689001</v>
      </c>
      <c r="AL468">
        <v>85.178880446904202</v>
      </c>
      <c r="AM468">
        <v>88.979215906513005</v>
      </c>
      <c r="AN468">
        <v>0.99999999256112304</v>
      </c>
    </row>
    <row r="469" spans="1:40" x14ac:dyDescent="0.25">
      <c r="A469" t="str">
        <f>"20190312150955805"</f>
        <v>20190312150955805</v>
      </c>
      <c r="B469" t="str">
        <f>"1552374595801396"</f>
        <v>1552374595801396</v>
      </c>
      <c r="C469" t="s">
        <v>40</v>
      </c>
      <c r="D469">
        <v>5.2456040000000002</v>
      </c>
      <c r="E469">
        <v>0.5248893</v>
      </c>
      <c r="F469" t="s">
        <v>42</v>
      </c>
      <c r="G469">
        <v>-325.20929999999998</v>
      </c>
      <c r="H469" s="1">
        <v>-3.9583949999999997E-6</v>
      </c>
      <c r="I469">
        <v>360.8143</v>
      </c>
      <c r="J469">
        <v>-402.11880000000002</v>
      </c>
      <c r="K469">
        <v>1.060603</v>
      </c>
      <c r="L469">
        <v>367.32310000000001</v>
      </c>
      <c r="M469">
        <v>0.99989680000000003</v>
      </c>
      <c r="N469">
        <v>0</v>
      </c>
      <c r="O469">
        <v>-2.6571030000000001E-3</v>
      </c>
      <c r="P469">
        <v>0.99736650000000004</v>
      </c>
      <c r="Q469">
        <v>6.9623190000000001E-2</v>
      </c>
      <c r="R469">
        <v>-2.0323109999999998E-2</v>
      </c>
      <c r="S469">
        <v>3.0057369999999999</v>
      </c>
      <c r="T469">
        <v>-4.132044E-2</v>
      </c>
      <c r="U469">
        <v>-0.25360110000000002</v>
      </c>
      <c r="V469">
        <v>1.7682159999999999E-2</v>
      </c>
      <c r="W469">
        <v>8.3708279999999996E-2</v>
      </c>
      <c r="X469">
        <v>0.99633340000000004</v>
      </c>
      <c r="Y469">
        <v>8.1417989999999996E-2</v>
      </c>
      <c r="Z469">
        <v>-5.2215180000000005E-4</v>
      </c>
      <c r="AA469">
        <v>0.99667989999999995</v>
      </c>
      <c r="AB469">
        <v>25</v>
      </c>
      <c r="AC469">
        <v>76.909499999999994</v>
      </c>
      <c r="AD469">
        <v>-1.060606958395</v>
      </c>
      <c r="AE469">
        <v>-6.5087999999999999</v>
      </c>
      <c r="AF469">
        <v>6.3032100088810799</v>
      </c>
      <c r="AG469">
        <v>-1.060606958395</v>
      </c>
      <c r="AH469">
        <v>76.912002145822797</v>
      </c>
      <c r="AI469">
        <v>90.787412087355506</v>
      </c>
      <c r="AJ469">
        <v>85.314878963032996</v>
      </c>
      <c r="AK469">
        <v>77.177143103481797</v>
      </c>
      <c r="AL469">
        <v>85.198249916723</v>
      </c>
      <c r="AM469">
        <v>88.983265244378501</v>
      </c>
      <c r="AN469">
        <v>0.99999998943919199</v>
      </c>
    </row>
    <row r="470" spans="1:40" x14ac:dyDescent="0.25">
      <c r="A470" t="str">
        <f>"20190312150955840"</f>
        <v>20190312150955840</v>
      </c>
      <c r="B470" t="str">
        <f>"1552374595830676"</f>
        <v>1552374595830676</v>
      </c>
      <c r="C470" t="s">
        <v>40</v>
      </c>
      <c r="D470">
        <v>5.1662249999999998</v>
      </c>
      <c r="E470">
        <v>0.52514989999999995</v>
      </c>
      <c r="F470" t="s">
        <v>42</v>
      </c>
      <c r="G470">
        <v>-277.4622</v>
      </c>
      <c r="H470">
        <v>7.998624E-2</v>
      </c>
      <c r="I470">
        <v>356.58769999999998</v>
      </c>
      <c r="J470">
        <v>-401.73719999999997</v>
      </c>
      <c r="K470">
        <v>1.0606009999999999</v>
      </c>
      <c r="L470">
        <v>367.322</v>
      </c>
      <c r="M470">
        <v>0.99989649999999997</v>
      </c>
      <c r="N470">
        <v>0</v>
      </c>
      <c r="O470">
        <v>-2.7172139999999999E-3</v>
      </c>
      <c r="P470">
        <v>0.9974324</v>
      </c>
      <c r="Q470">
        <v>6.8763809999999995E-2</v>
      </c>
      <c r="R470">
        <v>-2.0004839999999999E-2</v>
      </c>
      <c r="S470">
        <v>3.0043030000000002</v>
      </c>
      <c r="T470">
        <v>-2.3633479999999998E-2</v>
      </c>
      <c r="U470">
        <v>-0.25872800000000001</v>
      </c>
      <c r="V470">
        <v>1.7302049999999999E-2</v>
      </c>
      <c r="W470">
        <v>8.2858650000000006E-2</v>
      </c>
      <c r="X470">
        <v>0.99641109999999999</v>
      </c>
      <c r="Y470">
        <v>8.3091300000000007E-2</v>
      </c>
      <c r="Z470">
        <v>-3.0487519999999998E-4</v>
      </c>
      <c r="AA470">
        <v>0.99654189999999998</v>
      </c>
      <c r="AB470">
        <v>24</v>
      </c>
      <c r="AC470">
        <v>124.274999999999</v>
      </c>
      <c r="AD470">
        <v>-0.98061476000000003</v>
      </c>
      <c r="AE470">
        <v>-10.7342999999999</v>
      </c>
      <c r="AF470">
        <v>10.3959024028578</v>
      </c>
      <c r="AG470">
        <v>-0.98061476000000003</v>
      </c>
      <c r="AH470">
        <v>124.296029712848</v>
      </c>
      <c r="AI470">
        <v>90.450444325352194</v>
      </c>
      <c r="AJ470">
        <v>85.219008797242793</v>
      </c>
      <c r="AK470">
        <v>124.733874286236</v>
      </c>
      <c r="AL470">
        <v>85.247099884743207</v>
      </c>
      <c r="AM470">
        <v>89.005194920256599</v>
      </c>
      <c r="AN470">
        <v>0.99999999850861698</v>
      </c>
    </row>
    <row r="471" spans="1:40" x14ac:dyDescent="0.25">
      <c r="A471" t="str">
        <f>"20190312150955853"</f>
        <v>20190312150955853</v>
      </c>
      <c r="B471" t="str">
        <f>"1552374595841412"</f>
        <v>1552374595841412</v>
      </c>
      <c r="C471" t="s">
        <v>40</v>
      </c>
      <c r="D471">
        <v>5.1438459999999999</v>
      </c>
      <c r="E471">
        <v>0.52533149999999995</v>
      </c>
      <c r="F471" t="s">
        <v>47</v>
      </c>
      <c r="G471">
        <v>-44.308410000000002</v>
      </c>
      <c r="H471">
        <v>-0.1</v>
      </c>
      <c r="I471">
        <v>336.3691</v>
      </c>
      <c r="J471">
        <v>-401.59890000000001</v>
      </c>
      <c r="K471">
        <v>1.060597</v>
      </c>
      <c r="L471">
        <v>367.32159999999999</v>
      </c>
      <c r="M471">
        <v>0.99989649999999997</v>
      </c>
      <c r="N471">
        <v>0</v>
      </c>
      <c r="O471">
        <v>-2.735604E-3</v>
      </c>
      <c r="P471">
        <v>0.99743700000000002</v>
      </c>
      <c r="Q471">
        <v>6.8759349999999997E-2</v>
      </c>
      <c r="R471">
        <v>-1.979618E-2</v>
      </c>
      <c r="S471">
        <v>3.003174</v>
      </c>
      <c r="T471">
        <v>-9.7515580000000004E-3</v>
      </c>
      <c r="U471">
        <v>-0.26007079999999999</v>
      </c>
      <c r="V471">
        <v>1.7074700000000002E-2</v>
      </c>
      <c r="W471">
        <v>8.2846299999999998E-2</v>
      </c>
      <c r="X471">
        <v>0.99641599999999997</v>
      </c>
      <c r="Y471">
        <v>8.3549330000000005E-2</v>
      </c>
      <c r="Z471">
        <v>-1.265254E-4</v>
      </c>
      <c r="AA471">
        <v>0.99650369999999999</v>
      </c>
      <c r="AB471">
        <v>24</v>
      </c>
      <c r="AC471">
        <v>357.29048999999998</v>
      </c>
      <c r="AD471">
        <v>-1.1605969999999901</v>
      </c>
      <c r="AE471">
        <v>-30.952499999999901</v>
      </c>
      <c r="AF471">
        <v>29.974567427657401</v>
      </c>
      <c r="AG471">
        <v>-1.1605969999999901</v>
      </c>
      <c r="AH471">
        <v>357.37009231291597</v>
      </c>
      <c r="AI471">
        <v>90.1854223386933</v>
      </c>
      <c r="AJ471">
        <v>85.205514486112193</v>
      </c>
      <c r="AK471">
        <v>358.626831898582</v>
      </c>
      <c r="AL471">
        <v>85.247809697492301</v>
      </c>
      <c r="AM471">
        <v>89.018268971593898</v>
      </c>
      <c r="AN471">
        <v>0.99999994992988805</v>
      </c>
    </row>
    <row r="472" spans="1:40" x14ac:dyDescent="0.25">
      <c r="A472" t="str">
        <f>"20190312150955867"</f>
        <v>20190312150955867</v>
      </c>
      <c r="B472" t="str">
        <f>"1552374595860932"</f>
        <v>1552374595860932</v>
      </c>
      <c r="C472" t="s">
        <v>40</v>
      </c>
      <c r="D472">
        <v>5.0217150000000004</v>
      </c>
      <c r="E472">
        <v>0.52527279999999998</v>
      </c>
      <c r="F472" t="s">
        <v>44</v>
      </c>
      <c r="G472">
        <v>0</v>
      </c>
      <c r="H472">
        <v>0</v>
      </c>
      <c r="I472">
        <v>0</v>
      </c>
      <c r="J472">
        <v>-401.44330000000002</v>
      </c>
      <c r="K472">
        <v>1.0605899999999999</v>
      </c>
      <c r="L472">
        <v>367.3211</v>
      </c>
      <c r="M472">
        <v>0.99989660000000002</v>
      </c>
      <c r="N472">
        <v>0</v>
      </c>
      <c r="O472">
        <v>-2.755015E-3</v>
      </c>
      <c r="P472">
        <v>0.99744790000000005</v>
      </c>
      <c r="Q472">
        <v>6.8642999999999996E-2</v>
      </c>
      <c r="R472">
        <v>-1.9644350000000001E-2</v>
      </c>
      <c r="S472">
        <v>3.0026250000000001</v>
      </c>
      <c r="T472">
        <v>-1.31321E-3</v>
      </c>
      <c r="U472">
        <v>-0.26074219999999998</v>
      </c>
      <c r="V472">
        <v>1.69030999999999E-2</v>
      </c>
      <c r="W472">
        <v>8.2713239999999993E-2</v>
      </c>
      <c r="X472">
        <v>0.99643000000000004</v>
      </c>
      <c r="Y472">
        <v>8.3767220000000003E-2</v>
      </c>
      <c r="Z472" s="1">
        <v>-1.7080819999999999E-5</v>
      </c>
      <c r="AA472">
        <v>0.99648539999999997</v>
      </c>
      <c r="AB472">
        <v>24</v>
      </c>
      <c r="AC472">
        <v>3.0026250000000001</v>
      </c>
      <c r="AD472">
        <v>-1.31321E-3</v>
      </c>
      <c r="AE472">
        <v>-0.26074219999999998</v>
      </c>
      <c r="AF472">
        <v>0.25246806138704297</v>
      </c>
      <c r="AG472">
        <v>-1.31321E-3</v>
      </c>
      <c r="AH472">
        <v>3.0033314526414299</v>
      </c>
      <c r="AI472">
        <v>90.024964590124597</v>
      </c>
      <c r="AJ472">
        <v>85.194861089869505</v>
      </c>
      <c r="AK472">
        <v>3.01392462761866</v>
      </c>
      <c r="AL472">
        <v>85.255459825122401</v>
      </c>
      <c r="AM472">
        <v>89.028147076447198</v>
      </c>
      <c r="AN472">
        <v>0.99999996988045303</v>
      </c>
    </row>
    <row r="473" spans="1:40" x14ac:dyDescent="0.25">
      <c r="A473" t="str">
        <f>"20190312150955886"</f>
        <v>20190312150955886</v>
      </c>
      <c r="B473" t="str">
        <f>"1552374595881428"</f>
        <v>1552374595881428</v>
      </c>
      <c r="C473" t="s">
        <v>40</v>
      </c>
      <c r="D473">
        <v>5.0168210000000002</v>
      </c>
      <c r="E473">
        <v>0.52529329999999996</v>
      </c>
      <c r="F473" t="s">
        <v>44</v>
      </c>
      <c r="G473">
        <v>0</v>
      </c>
      <c r="H473">
        <v>0</v>
      </c>
      <c r="I473">
        <v>0</v>
      </c>
      <c r="J473">
        <v>-401.25189999999998</v>
      </c>
      <c r="K473">
        <v>1.0606709999999999</v>
      </c>
      <c r="L473">
        <v>367.32060000000001</v>
      </c>
      <c r="M473">
        <v>0.99989229999999996</v>
      </c>
      <c r="N473">
        <v>0</v>
      </c>
      <c r="O473">
        <v>-2.7773419999999999E-3</v>
      </c>
      <c r="P473">
        <v>0.99748340000000002</v>
      </c>
      <c r="Q473">
        <v>6.8179870000000004E-2</v>
      </c>
      <c r="R473">
        <v>-1.9457769999999999E-2</v>
      </c>
      <c r="S473">
        <v>3.0012819999999998</v>
      </c>
      <c r="T473">
        <v>1.8104909999999998E-2</v>
      </c>
      <c r="U473">
        <v>-0.2597351</v>
      </c>
      <c r="V473">
        <v>1.669402E-2</v>
      </c>
      <c r="W473">
        <v>8.255738E-2</v>
      </c>
      <c r="X473">
        <v>0.99644650000000001</v>
      </c>
      <c r="Y473">
        <v>8.3450060000000006E-2</v>
      </c>
      <c r="Z473">
        <v>2.345061E-4</v>
      </c>
      <c r="AA473">
        <v>0.99651190000000001</v>
      </c>
      <c r="AB473">
        <v>24</v>
      </c>
      <c r="AC473">
        <v>3.0012819999999998</v>
      </c>
      <c r="AD473">
        <v>1.8104909999999998E-2</v>
      </c>
      <c r="AE473">
        <v>-0.2597351</v>
      </c>
      <c r="AF473">
        <v>0.25138856584237201</v>
      </c>
      <c r="AG473">
        <v>1.8104909999999998E-2</v>
      </c>
      <c r="AH473">
        <v>3.0018834445467899</v>
      </c>
      <c r="AI473">
        <v>89.655648157632399</v>
      </c>
      <c r="AJ473">
        <v>85.213013921735595</v>
      </c>
      <c r="AK473">
        <v>3.0124455536069799</v>
      </c>
      <c r="AL473">
        <v>85.264420827433597</v>
      </c>
      <c r="AM473">
        <v>89.040181872456202</v>
      </c>
      <c r="AN473">
        <v>1.00000001932923</v>
      </c>
    </row>
    <row r="474" spans="1:40" x14ac:dyDescent="0.25">
      <c r="A474" t="str">
        <f>"20190312150955906"</f>
        <v>20190312150955906</v>
      </c>
      <c r="B474" t="str">
        <f>"1552374595900948"</f>
        <v>1552374595900948</v>
      </c>
      <c r="C474" t="s">
        <v>40</v>
      </c>
      <c r="D474">
        <v>4.9585100000000004</v>
      </c>
      <c r="E474">
        <v>0.52530369999999904</v>
      </c>
      <c r="F474" t="s">
        <v>44</v>
      </c>
      <c r="G474">
        <v>0</v>
      </c>
      <c r="H474">
        <v>0</v>
      </c>
      <c r="I474">
        <v>0</v>
      </c>
      <c r="J474">
        <v>-401.0204</v>
      </c>
      <c r="K474">
        <v>1.0610949999999999</v>
      </c>
      <c r="L474">
        <v>367.31990000000002</v>
      </c>
      <c r="M474">
        <v>0.99987630000000005</v>
      </c>
      <c r="N474">
        <v>0</v>
      </c>
      <c r="O474">
        <v>-2.8019540000000002E-3</v>
      </c>
      <c r="P474">
        <v>0.99758309999999994</v>
      </c>
      <c r="Q474">
        <v>6.6791589999999998E-2</v>
      </c>
      <c r="R474">
        <v>-1.9160980000000001E-2</v>
      </c>
      <c r="S474">
        <v>3.0008240000000002</v>
      </c>
      <c r="T474">
        <v>2.3960829999999999E-2</v>
      </c>
      <c r="U474">
        <v>-0.259552</v>
      </c>
      <c r="V474">
        <v>1.6371920000000002E-2</v>
      </c>
      <c r="W474">
        <v>8.2227579999999995E-2</v>
      </c>
      <c r="X474">
        <v>0.99647909999999995</v>
      </c>
      <c r="Y474">
        <v>8.3377090000000001E-2</v>
      </c>
      <c r="Z474">
        <v>3.0991420000000002E-4</v>
      </c>
      <c r="AA474">
        <v>0.99651800000000001</v>
      </c>
      <c r="AB474">
        <v>24</v>
      </c>
      <c r="AC474">
        <v>3.0008240000000002</v>
      </c>
      <c r="AD474">
        <v>2.3960829999999999E-2</v>
      </c>
      <c r="AE474">
        <v>-0.259552</v>
      </c>
      <c r="AF474">
        <v>0.25112591092526498</v>
      </c>
      <c r="AG474">
        <v>2.3960829999999999E-2</v>
      </c>
      <c r="AH474">
        <v>3.0013496235494102</v>
      </c>
      <c r="AI474">
        <v>89.544190026142502</v>
      </c>
      <c r="AJ474">
        <v>85.217145653271004</v>
      </c>
      <c r="AK474">
        <v>3.0119325867775499</v>
      </c>
      <c r="AL474">
        <v>85.283381377698802</v>
      </c>
      <c r="AM474">
        <v>89.058728348604902</v>
      </c>
      <c r="AN474">
        <v>1.00000000570697</v>
      </c>
    </row>
    <row r="475" spans="1:40" x14ac:dyDescent="0.25">
      <c r="A475" t="str">
        <f>"20190312150955929"</f>
        <v>20190312150955929</v>
      </c>
      <c r="B475" t="str">
        <f>"1552374595921448"</f>
        <v>1552374595921448</v>
      </c>
      <c r="C475" t="s">
        <v>40</v>
      </c>
      <c r="D475">
        <v>5.1584139999999996</v>
      </c>
      <c r="E475">
        <v>0.52528180000000002</v>
      </c>
      <c r="F475" t="s">
        <v>44</v>
      </c>
      <c r="G475">
        <v>0</v>
      </c>
      <c r="H475">
        <v>0</v>
      </c>
      <c r="I475">
        <v>0</v>
      </c>
      <c r="J475">
        <v>-400.7867</v>
      </c>
      <c r="K475">
        <v>1.0618559999999999</v>
      </c>
      <c r="L475">
        <v>367.31920000000002</v>
      </c>
      <c r="M475">
        <v>0.99986280000000005</v>
      </c>
      <c r="N475">
        <v>0</v>
      </c>
      <c r="O475">
        <v>-2.8285290000000002E-3</v>
      </c>
      <c r="P475">
        <v>0.99768140000000005</v>
      </c>
      <c r="Q475">
        <v>6.5305790000000002E-2</v>
      </c>
      <c r="R475">
        <v>-1.9153699999999999E-2</v>
      </c>
      <c r="S475">
        <v>3.0011899999999998</v>
      </c>
      <c r="T475">
        <v>1.6465190000000001E-2</v>
      </c>
      <c r="U475">
        <v>-0.25863649999999999</v>
      </c>
      <c r="V475">
        <v>1.6337790000000001E-2</v>
      </c>
      <c r="W475">
        <v>8.1578880000000006E-2</v>
      </c>
      <c r="X475">
        <v>0.996533</v>
      </c>
      <c r="Y475">
        <v>8.3039730000000006E-2</v>
      </c>
      <c r="Z475">
        <v>2.118733E-4</v>
      </c>
      <c r="AA475">
        <v>0.99654620000000005</v>
      </c>
      <c r="AB475">
        <v>24</v>
      </c>
      <c r="AC475">
        <v>3.0011899999999998</v>
      </c>
      <c r="AD475">
        <v>1.6465190000000001E-2</v>
      </c>
      <c r="AE475">
        <v>-0.25863649999999999</v>
      </c>
      <c r="AF475">
        <v>0.25013790797706698</v>
      </c>
      <c r="AG475">
        <v>1.6465190000000001E-2</v>
      </c>
      <c r="AH475">
        <v>3.00181996488124</v>
      </c>
      <c r="AI475">
        <v>89.686817258392296</v>
      </c>
      <c r="AJ475">
        <v>85.236619055079402</v>
      </c>
      <c r="AK475">
        <v>3.0122687756985602</v>
      </c>
      <c r="AL475">
        <v>85.320674551545594</v>
      </c>
      <c r="AM475">
        <v>89.060741030377002</v>
      </c>
      <c r="AN475">
        <v>1.00000002856656</v>
      </c>
    </row>
    <row r="476" spans="1:40" x14ac:dyDescent="0.25">
      <c r="A476" t="str">
        <f>"20190312150955950"</f>
        <v>20190312150955950</v>
      </c>
      <c r="B476" t="str">
        <f>"1552374595940964"</f>
        <v>1552374595940964</v>
      </c>
      <c r="C476" t="s">
        <v>40</v>
      </c>
      <c r="D476">
        <v>5.0799669999999999</v>
      </c>
      <c r="E476">
        <v>0.52542619999999995</v>
      </c>
      <c r="F476" t="s">
        <v>44</v>
      </c>
      <c r="G476">
        <v>0</v>
      </c>
      <c r="H476">
        <v>0</v>
      </c>
      <c r="I476">
        <v>0</v>
      </c>
      <c r="J476">
        <v>-400.55700000000002</v>
      </c>
      <c r="K476">
        <v>1.0626180000000001</v>
      </c>
      <c r="L476">
        <v>367.31849999999997</v>
      </c>
      <c r="M476">
        <v>0.99987389999999998</v>
      </c>
      <c r="N476">
        <v>0</v>
      </c>
      <c r="O476">
        <v>-2.859271E-3</v>
      </c>
      <c r="P476">
        <v>0.99770990000000004</v>
      </c>
      <c r="Q476">
        <v>6.4831429999999995E-2</v>
      </c>
      <c r="R476">
        <v>-1.92949E-2</v>
      </c>
      <c r="S476">
        <v>3.001465</v>
      </c>
      <c r="T476">
        <v>8.464694E-3</v>
      </c>
      <c r="U476">
        <v>-0.2584534</v>
      </c>
      <c r="V476">
        <v>1.6448239999999999E-2</v>
      </c>
      <c r="W476">
        <v>8.0416840000000003E-2</v>
      </c>
      <c r="X476">
        <v>0.9966256</v>
      </c>
      <c r="Y476">
        <v>8.2941879999999996E-2</v>
      </c>
      <c r="Z476">
        <v>1.086901E-4</v>
      </c>
      <c r="AA476">
        <v>0.99655439999999995</v>
      </c>
      <c r="AB476">
        <v>23</v>
      </c>
      <c r="AC476">
        <v>3.001465</v>
      </c>
      <c r="AD476">
        <v>8.464694E-3</v>
      </c>
      <c r="AE476">
        <v>-0.2584534</v>
      </c>
      <c r="AF476">
        <v>0.24986732150886901</v>
      </c>
      <c r="AG476">
        <v>8.464694E-3</v>
      </c>
      <c r="AH476">
        <v>3.0021681044615902</v>
      </c>
      <c r="AI476">
        <v>89.839010059516298</v>
      </c>
      <c r="AJ476">
        <v>85.2422974131118</v>
      </c>
      <c r="AK476">
        <v>3.0125601499138601</v>
      </c>
      <c r="AL476">
        <v>85.387473892183607</v>
      </c>
      <c r="AM476">
        <v>89.054480256670203</v>
      </c>
      <c r="AN476">
        <v>0.99999999966502096</v>
      </c>
    </row>
    <row r="477" spans="1:40" x14ac:dyDescent="0.25">
      <c r="A477" t="str">
        <f>"20190312150955973"</f>
        <v>20190312150955973</v>
      </c>
      <c r="B477" t="str">
        <f>"1552374595961459"</f>
        <v>1552374595961459</v>
      </c>
      <c r="C477" t="s">
        <v>40</v>
      </c>
      <c r="D477">
        <v>5.3531829999999996</v>
      </c>
      <c r="E477">
        <v>0.52546400000000004</v>
      </c>
      <c r="F477" t="s">
        <v>44</v>
      </c>
      <c r="G477">
        <v>0</v>
      </c>
      <c r="H477">
        <v>0</v>
      </c>
      <c r="I477">
        <v>0</v>
      </c>
      <c r="J477">
        <v>-400.31670000000003</v>
      </c>
      <c r="K477">
        <v>1.063439</v>
      </c>
      <c r="L477">
        <v>367.31779999999998</v>
      </c>
      <c r="M477">
        <v>0.99990540000000006</v>
      </c>
      <c r="N477">
        <v>0</v>
      </c>
      <c r="O477">
        <v>-2.890756E-3</v>
      </c>
      <c r="P477">
        <v>0.99761580000000005</v>
      </c>
      <c r="Q477">
        <v>6.6321149999999995E-2</v>
      </c>
      <c r="R477">
        <v>-1.908812E-2</v>
      </c>
      <c r="S477">
        <v>3.001404</v>
      </c>
      <c r="T477">
        <v>6.8403479999999996E-3</v>
      </c>
      <c r="U477">
        <v>-0.25991819999999999</v>
      </c>
      <c r="V477">
        <v>1.621123E-2</v>
      </c>
      <c r="W477">
        <v>7.9731449999999995E-2</v>
      </c>
      <c r="X477">
        <v>0.99668460000000003</v>
      </c>
      <c r="Y477">
        <v>8.3395179999999999E-2</v>
      </c>
      <c r="Z477" s="1">
        <v>8.8276999999999995E-5</v>
      </c>
      <c r="AA477">
        <v>0.99651650000000003</v>
      </c>
      <c r="AB477">
        <v>23</v>
      </c>
      <c r="AC477">
        <v>3.001404</v>
      </c>
      <c r="AD477">
        <v>6.8403479999999996E-3</v>
      </c>
      <c r="AE477">
        <v>-0.25991819999999999</v>
      </c>
      <c r="AF477">
        <v>0.25123870734715398</v>
      </c>
      <c r="AG477">
        <v>6.8403479999999996E-3</v>
      </c>
      <c r="AH477">
        <v>3.0021274079958502</v>
      </c>
      <c r="AI477">
        <v>89.869906537009797</v>
      </c>
      <c r="AJ477">
        <v>85.216241276933602</v>
      </c>
      <c r="AK477">
        <v>3.01262952456324</v>
      </c>
      <c r="AL477">
        <v>85.426870583502506</v>
      </c>
      <c r="AM477">
        <v>89.068157405755301</v>
      </c>
      <c r="AN477">
        <v>1.00000004998718</v>
      </c>
    </row>
    <row r="478" spans="1:40" x14ac:dyDescent="0.25">
      <c r="A478" t="str">
        <f>"20190312150955996"</f>
        <v>20190312150955996</v>
      </c>
      <c r="B478" t="str">
        <f>"1552374595991415"</f>
        <v>1552374595991415</v>
      </c>
      <c r="C478" t="s">
        <v>40</v>
      </c>
      <c r="D478">
        <v>5.2709400000000004</v>
      </c>
      <c r="E478">
        <v>0.52574209999999999</v>
      </c>
      <c r="F478" t="s">
        <v>44</v>
      </c>
      <c r="G478">
        <v>0</v>
      </c>
      <c r="H478">
        <v>0</v>
      </c>
      <c r="I478">
        <v>0</v>
      </c>
      <c r="J478">
        <v>-400.07729999999998</v>
      </c>
      <c r="K478">
        <v>1.0645420000000001</v>
      </c>
      <c r="L478">
        <v>367.31709999999998</v>
      </c>
      <c r="M478">
        <v>0.99993529999999997</v>
      </c>
      <c r="N478">
        <v>0</v>
      </c>
      <c r="O478">
        <v>-2.922792E-3</v>
      </c>
      <c r="P478">
        <v>0.99746330000000005</v>
      </c>
      <c r="Q478">
        <v>6.8673849999999995E-2</v>
      </c>
      <c r="R478">
        <v>-1.8726779999999998E-2</v>
      </c>
      <c r="S478">
        <v>3.001465</v>
      </c>
      <c r="T478">
        <v>1.1036399999999899E-2</v>
      </c>
      <c r="U478">
        <v>-0.2597351</v>
      </c>
      <c r="V478">
        <v>1.581869E-2</v>
      </c>
      <c r="W478">
        <v>7.9635429999999993E-2</v>
      </c>
      <c r="X478">
        <v>0.99669859999999999</v>
      </c>
      <c r="Y478">
        <v>8.3300929999999995E-2</v>
      </c>
      <c r="Z478">
        <v>1.4213539999999999E-4</v>
      </c>
      <c r="AA478">
        <v>0.99652450000000004</v>
      </c>
      <c r="AB478">
        <v>24</v>
      </c>
      <c r="AC478">
        <v>3.001465</v>
      </c>
      <c r="AD478">
        <v>1.1036399999999899E-2</v>
      </c>
      <c r="AE478">
        <v>-0.2597351</v>
      </c>
      <c r="AF478">
        <v>0.25095743458721598</v>
      </c>
      <c r="AG478">
        <v>1.1036399999999899E-2</v>
      </c>
      <c r="AH478">
        <v>3.0021710869096201</v>
      </c>
      <c r="AI478">
        <v>89.790105712705994</v>
      </c>
      <c r="AJ478">
        <v>85.221641291624294</v>
      </c>
      <c r="AK478">
        <v>3.01266205724699</v>
      </c>
      <c r="AL478">
        <v>85.432389746554904</v>
      </c>
      <c r="AM478">
        <v>89.090730050363007</v>
      </c>
      <c r="AN478">
        <v>1.00000006595327</v>
      </c>
    </row>
    <row r="479" spans="1:40" x14ac:dyDescent="0.25">
      <c r="A479" t="str">
        <f>"20190312150956018"</f>
        <v>20190312150956018</v>
      </c>
      <c r="B479" t="str">
        <f>"1552374596010935"</f>
        <v>1552374596010935</v>
      </c>
      <c r="C479" t="s">
        <v>40</v>
      </c>
      <c r="D479">
        <v>5.3203550000000002</v>
      </c>
      <c r="E479">
        <v>0.52579379999999998</v>
      </c>
      <c r="F479" t="s">
        <v>44</v>
      </c>
      <c r="G479">
        <v>0</v>
      </c>
      <c r="H479">
        <v>0</v>
      </c>
      <c r="I479">
        <v>0</v>
      </c>
      <c r="J479">
        <v>-399.84120000000001</v>
      </c>
      <c r="K479">
        <v>1.0659350000000001</v>
      </c>
      <c r="L479">
        <v>367.31639999999999</v>
      </c>
      <c r="M479">
        <v>0.99995650000000003</v>
      </c>
      <c r="N479">
        <v>0</v>
      </c>
      <c r="O479">
        <v>-2.9554590000000001E-3</v>
      </c>
      <c r="P479">
        <v>0.99731250000000005</v>
      </c>
      <c r="Q479">
        <v>7.0853520000000003E-2</v>
      </c>
      <c r="R479">
        <v>-1.8653690000000001E-2</v>
      </c>
      <c r="S479">
        <v>3.001617</v>
      </c>
      <c r="T479">
        <v>1.589608E-2</v>
      </c>
      <c r="U479">
        <v>-0.26119999999999999</v>
      </c>
      <c r="V479">
        <v>1.571328E-2</v>
      </c>
      <c r="W479">
        <v>7.9672989999999999E-2</v>
      </c>
      <c r="X479">
        <v>0.99669719999999995</v>
      </c>
      <c r="Y479">
        <v>8.3746169999999995E-2</v>
      </c>
      <c r="Z479">
        <v>2.0571129999999999E-4</v>
      </c>
      <c r="AA479">
        <v>0.99648709999999996</v>
      </c>
      <c r="AB479">
        <v>24</v>
      </c>
      <c r="AC479">
        <v>3.001617</v>
      </c>
      <c r="AD479">
        <v>1.589608E-2</v>
      </c>
      <c r="AE479">
        <v>-0.26119999999999999</v>
      </c>
      <c r="AF479">
        <v>0.252320332641436</v>
      </c>
      <c r="AG479">
        <v>1.589608E-2</v>
      </c>
      <c r="AH479">
        <v>3.0022923166816602</v>
      </c>
      <c r="AI479">
        <v>89.697707539985501</v>
      </c>
      <c r="AJ479">
        <v>85.1960052268265</v>
      </c>
      <c r="AK479">
        <v>3.0129184174865098</v>
      </c>
      <c r="AL479">
        <v>85.430230557707404</v>
      </c>
      <c r="AM479">
        <v>89.096786819191905</v>
      </c>
      <c r="AN479">
        <v>1.00000000049586</v>
      </c>
    </row>
    <row r="480" spans="1:40" x14ac:dyDescent="0.25">
      <c r="A480" t="str">
        <f>"20190312150956041"</f>
        <v>20190312150956041</v>
      </c>
      <c r="B480" t="str">
        <f>"1552374596031431"</f>
        <v>1552374596031431</v>
      </c>
      <c r="C480" t="s">
        <v>40</v>
      </c>
      <c r="D480">
        <v>5.2289539999999999</v>
      </c>
      <c r="E480">
        <v>0.52591540000000003</v>
      </c>
      <c r="F480" t="s">
        <v>44</v>
      </c>
      <c r="G480">
        <v>0</v>
      </c>
      <c r="H480">
        <v>0</v>
      </c>
      <c r="I480">
        <v>0</v>
      </c>
      <c r="J480">
        <v>-399.59300000000002</v>
      </c>
      <c r="K480">
        <v>1.0675790000000001</v>
      </c>
      <c r="L480">
        <v>367.31560000000002</v>
      </c>
      <c r="M480">
        <v>0.99997210000000003</v>
      </c>
      <c r="N480">
        <v>0</v>
      </c>
      <c r="O480">
        <v>-2.9930629999999998E-3</v>
      </c>
      <c r="P480">
        <v>0.99721179999999998</v>
      </c>
      <c r="Q480">
        <v>7.2368100000000005E-2</v>
      </c>
      <c r="R480">
        <v>-1.8217210000000001E-2</v>
      </c>
      <c r="S480">
        <v>3.0016780000000001</v>
      </c>
      <c r="T480">
        <v>2.1611450000000001E-2</v>
      </c>
      <c r="U480">
        <v>-0.26138309999999998</v>
      </c>
      <c r="V480">
        <v>1.5239340000000001E-2</v>
      </c>
      <c r="W480">
        <v>7.9192429999999994E-2</v>
      </c>
      <c r="X480">
        <v>0.99674280000000004</v>
      </c>
      <c r="Y480">
        <v>8.3766370000000007E-2</v>
      </c>
      <c r="Z480">
        <v>2.7946850000000001E-4</v>
      </c>
      <c r="AA480">
        <v>0.99648539999999997</v>
      </c>
      <c r="AB480">
        <v>24</v>
      </c>
      <c r="AC480">
        <v>3.0016780000000001</v>
      </c>
      <c r="AD480">
        <v>2.1611450000000001E-2</v>
      </c>
      <c r="AE480">
        <v>-0.26138309999999998</v>
      </c>
      <c r="AF480">
        <v>0.252384522979478</v>
      </c>
      <c r="AG480">
        <v>2.1611450000000001E-2</v>
      </c>
      <c r="AH480">
        <v>3.0022924500701702</v>
      </c>
      <c r="AI480">
        <v>89.589023519361405</v>
      </c>
      <c r="AJ480">
        <v>85.194789024112794</v>
      </c>
      <c r="AK480">
        <v>3.0129595015464501</v>
      </c>
      <c r="AL480">
        <v>85.457851637238704</v>
      </c>
      <c r="AM480">
        <v>89.124065065822606</v>
      </c>
      <c r="AN480">
        <v>0.999999943902388</v>
      </c>
    </row>
    <row r="481" spans="1:40" x14ac:dyDescent="0.25">
      <c r="A481" t="str">
        <f>"20190312150956063"</f>
        <v>20190312150956063</v>
      </c>
      <c r="B481" t="str">
        <f>"1552374596050951"</f>
        <v>1552374596050951</v>
      </c>
      <c r="C481" t="s">
        <v>40</v>
      </c>
      <c r="D481">
        <v>5.3250890000000002</v>
      </c>
      <c r="E481">
        <v>0.52595259999999999</v>
      </c>
      <c r="F481" t="s">
        <v>44</v>
      </c>
      <c r="G481">
        <v>0</v>
      </c>
      <c r="H481">
        <v>0</v>
      </c>
      <c r="I481">
        <v>0</v>
      </c>
      <c r="J481">
        <v>-399.35359999999997</v>
      </c>
      <c r="K481">
        <v>1.069177</v>
      </c>
      <c r="L481">
        <v>367.31479999999999</v>
      </c>
      <c r="M481">
        <v>0.99998290000000001</v>
      </c>
      <c r="N481">
        <v>0</v>
      </c>
      <c r="O481">
        <v>-3.0304899999999998E-3</v>
      </c>
      <c r="P481">
        <v>0.9970909</v>
      </c>
      <c r="Q481">
        <v>7.4083640000000006E-2</v>
      </c>
      <c r="R481">
        <v>-1.7936629999999999E-2</v>
      </c>
      <c r="S481">
        <v>3.0019230000000001</v>
      </c>
      <c r="T481">
        <v>2.3401379999999999E-2</v>
      </c>
      <c r="U481">
        <v>-0.26126100000000002</v>
      </c>
      <c r="V481">
        <v>1.4921800000000001E-2</v>
      </c>
      <c r="W481">
        <v>7.9087850000000001E-2</v>
      </c>
      <c r="X481">
        <v>0.99675599999999998</v>
      </c>
      <c r="Y481">
        <v>8.3681539999999999E-2</v>
      </c>
      <c r="Z481">
        <v>3.0196930000000002E-4</v>
      </c>
      <c r="AA481">
        <v>0.9964925</v>
      </c>
      <c r="AB481">
        <v>24</v>
      </c>
      <c r="AC481">
        <v>3.0019230000000001</v>
      </c>
      <c r="AD481">
        <v>2.3401379999999999E-2</v>
      </c>
      <c r="AE481">
        <v>-0.26126100000000002</v>
      </c>
      <c r="AF481">
        <v>0.252147181246202</v>
      </c>
      <c r="AG481">
        <v>2.3401379999999999E-2</v>
      </c>
      <c r="AH481">
        <v>3.00251988452125</v>
      </c>
      <c r="AI481">
        <v>89.555016974615199</v>
      </c>
      <c r="AJ481">
        <v>85.199648646452502</v>
      </c>
      <c r="AK481">
        <v>3.0131796299825502</v>
      </c>
      <c r="AL481">
        <v>85.463862901107603</v>
      </c>
      <c r="AM481">
        <v>89.142325400861694</v>
      </c>
      <c r="AN481">
        <v>1.0000000358344301</v>
      </c>
    </row>
    <row r="482" spans="1:40" x14ac:dyDescent="0.25">
      <c r="A482" t="str">
        <f>"20190312150956087"</f>
        <v>20190312150956087</v>
      </c>
      <c r="B482" t="str">
        <f>"1552374596081207"</f>
        <v>1552374596081207</v>
      </c>
      <c r="C482" t="s">
        <v>40</v>
      </c>
      <c r="D482">
        <v>5.24627</v>
      </c>
      <c r="E482">
        <v>0.52615230000000002</v>
      </c>
      <c r="F482" t="s">
        <v>44</v>
      </c>
      <c r="G482">
        <v>0</v>
      </c>
      <c r="H482">
        <v>0</v>
      </c>
      <c r="I482">
        <v>0</v>
      </c>
      <c r="J482">
        <v>-399.10210000000001</v>
      </c>
      <c r="K482">
        <v>1.070813</v>
      </c>
      <c r="L482">
        <v>367.3141</v>
      </c>
      <c r="M482">
        <v>0.99999000000000005</v>
      </c>
      <c r="N482">
        <v>0</v>
      </c>
      <c r="O482">
        <v>-3.070372E-3</v>
      </c>
      <c r="P482">
        <v>0.99701910000000005</v>
      </c>
      <c r="Q482">
        <v>7.5052960000000002E-2</v>
      </c>
      <c r="R482">
        <v>-1.7892760000000001E-2</v>
      </c>
      <c r="S482">
        <v>3.0019529999999999</v>
      </c>
      <c r="T482">
        <v>2.825308E-2</v>
      </c>
      <c r="U482">
        <v>-0.26089479999999998</v>
      </c>
      <c r="V482">
        <v>1.4838280000000001E-2</v>
      </c>
      <c r="W482">
        <v>7.828069E-2</v>
      </c>
      <c r="X482">
        <v>0.99682090000000001</v>
      </c>
      <c r="Y482">
        <v>8.3519200000000002E-2</v>
      </c>
      <c r="Z482">
        <v>3.6343410000000002E-4</v>
      </c>
      <c r="AA482">
        <v>0.99650609999999995</v>
      </c>
      <c r="AB482">
        <v>24</v>
      </c>
      <c r="AC482">
        <v>3.0019529999999999</v>
      </c>
      <c r="AD482">
        <v>2.825308E-2</v>
      </c>
      <c r="AE482">
        <v>-0.26089479999999998</v>
      </c>
      <c r="AF482">
        <v>0.25165428524507499</v>
      </c>
      <c r="AG482">
        <v>2.825308E-2</v>
      </c>
      <c r="AH482">
        <v>3.0024759397932899</v>
      </c>
      <c r="AI482">
        <v>89.462750488034303</v>
      </c>
      <c r="AJ482">
        <v>85.208918830086404</v>
      </c>
      <c r="AK482">
        <v>3.0131362207589101</v>
      </c>
      <c r="AL482">
        <v>85.510253313480305</v>
      </c>
      <c r="AM482">
        <v>89.147180768750104</v>
      </c>
      <c r="AN482">
        <v>0.99999997382852202</v>
      </c>
    </row>
    <row r="483" spans="1:40" x14ac:dyDescent="0.25">
      <c r="A483" t="str">
        <f>"20190312150956109"</f>
        <v>20190312150956109</v>
      </c>
      <c r="B483" t="str">
        <f>"1552374596101704"</f>
        <v>1552374596101704</v>
      </c>
      <c r="C483" t="s">
        <v>40</v>
      </c>
      <c r="D483">
        <v>5.2634559999999997</v>
      </c>
      <c r="E483">
        <v>0.5262677</v>
      </c>
      <c r="F483" t="s">
        <v>44</v>
      </c>
      <c r="G483">
        <v>0</v>
      </c>
      <c r="H483">
        <v>0</v>
      </c>
      <c r="I483">
        <v>0</v>
      </c>
      <c r="J483">
        <v>-398.8578</v>
      </c>
      <c r="K483">
        <v>1.0723199999999999</v>
      </c>
      <c r="L483">
        <v>367.31330000000003</v>
      </c>
      <c r="M483">
        <v>0.99999389999999999</v>
      </c>
      <c r="N483">
        <v>0</v>
      </c>
      <c r="O483">
        <v>-3.1065530000000002E-3</v>
      </c>
      <c r="P483">
        <v>0.9968823</v>
      </c>
      <c r="Q483">
        <v>7.6866870000000004E-2</v>
      </c>
      <c r="R483">
        <v>-1.7816180000000001E-2</v>
      </c>
      <c r="S483">
        <v>3.002319</v>
      </c>
      <c r="T483">
        <v>2.555764E-2</v>
      </c>
      <c r="U483">
        <v>-0.26248169999999998</v>
      </c>
      <c r="V483">
        <v>1.472653E-2</v>
      </c>
      <c r="W483">
        <v>7.8552140000000006E-2</v>
      </c>
      <c r="X483">
        <v>0.9968013</v>
      </c>
      <c r="Y483">
        <v>8.3996020000000005E-2</v>
      </c>
      <c r="Z483">
        <v>3.3043340000000001E-4</v>
      </c>
      <c r="AA483">
        <v>0.99646599999999996</v>
      </c>
      <c r="AB483">
        <v>24</v>
      </c>
      <c r="AC483">
        <v>3.002319</v>
      </c>
      <c r="AD483">
        <v>2.555764E-2</v>
      </c>
      <c r="AE483">
        <v>-0.26248169999999998</v>
      </c>
      <c r="AF483">
        <v>0.253135354154852</v>
      </c>
      <c r="AG483">
        <v>2.555764E-2</v>
      </c>
      <c r="AH483">
        <v>3.0029039725003099</v>
      </c>
      <c r="AI483">
        <v>89.514092120659598</v>
      </c>
      <c r="AJ483">
        <v>85.181537826477694</v>
      </c>
      <c r="AK483">
        <v>3.0136627164537799</v>
      </c>
      <c r="AL483">
        <v>85.494652770035898</v>
      </c>
      <c r="AM483">
        <v>89.153585939714503</v>
      </c>
      <c r="AN483">
        <v>1.0000000705330501</v>
      </c>
    </row>
    <row r="484" spans="1:40" x14ac:dyDescent="0.25">
      <c r="A484" t="str">
        <f>"20190312150956130"</f>
        <v>20190312150956130</v>
      </c>
      <c r="B484" t="str">
        <f>"1552374596121223"</f>
        <v>1552374596121223</v>
      </c>
      <c r="C484" t="s">
        <v>40</v>
      </c>
      <c r="D484">
        <v>5.3337669999999999</v>
      </c>
      <c r="E484">
        <v>0.52639320000000001</v>
      </c>
      <c r="F484" t="s">
        <v>44</v>
      </c>
      <c r="G484">
        <v>0</v>
      </c>
      <c r="H484">
        <v>0</v>
      </c>
      <c r="I484">
        <v>0</v>
      </c>
      <c r="J484">
        <v>-398.63200000000001</v>
      </c>
      <c r="K484">
        <v>1.07376</v>
      </c>
      <c r="L484">
        <v>367.31259999999997</v>
      </c>
      <c r="M484">
        <v>0.99999479999999996</v>
      </c>
      <c r="N484">
        <v>0</v>
      </c>
      <c r="O484">
        <v>-3.1380499999999999E-3</v>
      </c>
      <c r="P484">
        <v>0.99681960000000003</v>
      </c>
      <c r="Q484">
        <v>7.7749020000000002E-2</v>
      </c>
      <c r="R484">
        <v>-1.7488279999999998E-2</v>
      </c>
      <c r="S484">
        <v>3.0024410000000001</v>
      </c>
      <c r="T484">
        <v>2.9111270000000002E-2</v>
      </c>
      <c r="U484">
        <v>-0.26284790000000002</v>
      </c>
      <c r="V484">
        <v>1.4367619999999999E-2</v>
      </c>
      <c r="W484">
        <v>7.8597280000000005E-2</v>
      </c>
      <c r="X484">
        <v>0.99680290000000005</v>
      </c>
      <c r="Y484">
        <v>8.4080859999999993E-2</v>
      </c>
      <c r="Z484">
        <v>3.7646449999999997E-4</v>
      </c>
      <c r="AA484">
        <v>0.99645890000000004</v>
      </c>
      <c r="AB484">
        <v>24</v>
      </c>
      <c r="AC484">
        <v>3.0024410000000001</v>
      </c>
      <c r="AD484">
        <v>2.9111270000000002E-2</v>
      </c>
      <c r="AE484">
        <v>-0.26284790000000002</v>
      </c>
      <c r="AF484">
        <v>0.25340115221746701</v>
      </c>
      <c r="AG484">
        <v>2.9111270000000002E-2</v>
      </c>
      <c r="AH484">
        <v>3.0029708853319401</v>
      </c>
      <c r="AI484">
        <v>89.446549962105294</v>
      </c>
      <c r="AJ484">
        <v>85.176609158290802</v>
      </c>
      <c r="AK484">
        <v>3.0137839584378701</v>
      </c>
      <c r="AL484">
        <v>85.492058059163398</v>
      </c>
      <c r="AM484">
        <v>89.174212889471093</v>
      </c>
      <c r="AN484">
        <v>0.99999999118813598</v>
      </c>
    </row>
    <row r="485" spans="1:40" x14ac:dyDescent="0.25">
      <c r="A485" t="str">
        <f>"20190312150956152"</f>
        <v>20190312150956152</v>
      </c>
      <c r="B485" t="str">
        <f>"1552374596141730"</f>
        <v>1552374596141730</v>
      </c>
      <c r="C485" t="s">
        <v>40</v>
      </c>
      <c r="D485">
        <v>5.3768070000000003</v>
      </c>
      <c r="E485">
        <v>0.52627630000000003</v>
      </c>
      <c r="F485" t="s">
        <v>44</v>
      </c>
      <c r="G485">
        <v>0</v>
      </c>
      <c r="H485">
        <v>0</v>
      </c>
      <c r="I485">
        <v>0</v>
      </c>
      <c r="J485">
        <v>-398.40089999999998</v>
      </c>
      <c r="K485">
        <v>1.075569</v>
      </c>
      <c r="L485">
        <v>367.31180000000001</v>
      </c>
      <c r="M485">
        <v>0.99999459999999996</v>
      </c>
      <c r="N485">
        <v>0</v>
      </c>
      <c r="O485">
        <v>-3.1716930000000002E-3</v>
      </c>
      <c r="P485">
        <v>0.99686410000000003</v>
      </c>
      <c r="Q485">
        <v>7.7221899999999996E-2</v>
      </c>
      <c r="R485">
        <v>-1.7287319999999998E-2</v>
      </c>
      <c r="S485">
        <v>3.0026860000000002</v>
      </c>
      <c r="T485">
        <v>2.883291E-2</v>
      </c>
      <c r="U485">
        <v>-0.26303100000000001</v>
      </c>
      <c r="V485">
        <v>1.413266E-2</v>
      </c>
      <c r="W485">
        <v>7.8124780000000005E-2</v>
      </c>
      <c r="X485">
        <v>0.99684340000000005</v>
      </c>
      <c r="Y485">
        <v>8.4100679999999997E-2</v>
      </c>
      <c r="Z485">
        <v>3.726065E-4</v>
      </c>
      <c r="AA485">
        <v>0.99645720000000004</v>
      </c>
      <c r="AB485">
        <v>24</v>
      </c>
      <c r="AC485">
        <v>3.0026860000000002</v>
      </c>
      <c r="AD485">
        <v>2.883291E-2</v>
      </c>
      <c r="AE485">
        <v>-0.26303100000000001</v>
      </c>
      <c r="AF485">
        <v>0.25348288075720399</v>
      </c>
      <c r="AG485">
        <v>2.883291E-2</v>
      </c>
      <c r="AH485">
        <v>3.0032303450625402</v>
      </c>
      <c r="AI485">
        <v>89.451889959030893</v>
      </c>
      <c r="AJ485">
        <v>85.1754757068868</v>
      </c>
      <c r="AK485">
        <v>3.0140466839517401</v>
      </c>
      <c r="AL485">
        <v>85.519213807114795</v>
      </c>
      <c r="AM485">
        <v>89.187748521582904</v>
      </c>
      <c r="AN485">
        <v>0.99999998872614204</v>
      </c>
    </row>
    <row r="486" spans="1:40" x14ac:dyDescent="0.25">
      <c r="A486" t="str">
        <f>"20190312150956173"</f>
        <v>20190312150956173</v>
      </c>
      <c r="B486" t="str">
        <f>"1552374596170999"</f>
        <v>1552374596170999</v>
      </c>
      <c r="C486" t="s">
        <v>40</v>
      </c>
      <c r="D486">
        <v>5.2194629999999904</v>
      </c>
      <c r="E486">
        <v>0.52630790000000005</v>
      </c>
      <c r="F486" t="s">
        <v>44</v>
      </c>
      <c r="G486">
        <v>0</v>
      </c>
      <c r="H486">
        <v>0</v>
      </c>
      <c r="I486">
        <v>0</v>
      </c>
      <c r="J486">
        <v>-398.17070000000001</v>
      </c>
      <c r="K486">
        <v>1.0776920000000001</v>
      </c>
      <c r="L486">
        <v>367.31099999999998</v>
      </c>
      <c r="M486">
        <v>0.9999941</v>
      </c>
      <c r="N486">
        <v>0</v>
      </c>
      <c r="O486">
        <v>-3.20754E-3</v>
      </c>
      <c r="P486">
        <v>0.99692449999999999</v>
      </c>
      <c r="Q486">
        <v>7.6267280000000007E-2</v>
      </c>
      <c r="R486">
        <v>-1.8034069999999999E-2</v>
      </c>
      <c r="S486">
        <v>3.0027469999999998</v>
      </c>
      <c r="T486">
        <v>2.7984499999999999E-2</v>
      </c>
      <c r="U486">
        <v>-0.26150509999999999</v>
      </c>
      <c r="V486">
        <v>1.4843439999999999E-2</v>
      </c>
      <c r="W486">
        <v>7.7518169999999997E-2</v>
      </c>
      <c r="X486">
        <v>0.9968804</v>
      </c>
      <c r="Y486">
        <v>8.3560899999999994E-2</v>
      </c>
      <c r="Z486">
        <v>3.5879960000000002E-4</v>
      </c>
      <c r="AA486">
        <v>0.99650260000000002</v>
      </c>
      <c r="AB486">
        <v>24</v>
      </c>
      <c r="AC486">
        <v>3.0027469999999998</v>
      </c>
      <c r="AD486">
        <v>2.7984499999999999E-2</v>
      </c>
      <c r="AE486">
        <v>-0.26150509999999999</v>
      </c>
      <c r="AF486">
        <v>0.25185060641175999</v>
      </c>
      <c r="AG486">
        <v>2.7984499999999999E-2</v>
      </c>
      <c r="AH486">
        <v>3.0033114512823</v>
      </c>
      <c r="AI486">
        <v>89.468007299229598</v>
      </c>
      <c r="AJ486">
        <v>85.206526300760402</v>
      </c>
      <c r="AK486">
        <v>3.0139826697566798</v>
      </c>
      <c r="AL486">
        <v>85.554075612295804</v>
      </c>
      <c r="AM486">
        <v>89.146935157078303</v>
      </c>
      <c r="AN486">
        <v>0.99999996314767003</v>
      </c>
    </row>
    <row r="487" spans="1:40" x14ac:dyDescent="0.25">
      <c r="A487" t="str">
        <f>"20190312150956196"</f>
        <v>20190312150956196</v>
      </c>
      <c r="B487" t="str">
        <f>"1552374596191495"</f>
        <v>1552374596191495</v>
      </c>
      <c r="C487" t="s">
        <v>40</v>
      </c>
      <c r="D487">
        <v>5.3224939999999998</v>
      </c>
      <c r="E487">
        <v>0.52641719999999903</v>
      </c>
      <c r="F487" t="s">
        <v>44</v>
      </c>
      <c r="G487">
        <v>0</v>
      </c>
      <c r="H487">
        <v>0</v>
      </c>
      <c r="I487">
        <v>0</v>
      </c>
      <c r="J487">
        <v>-397.92910000000001</v>
      </c>
      <c r="K487">
        <v>1.080025</v>
      </c>
      <c r="L487">
        <v>367.31020000000001</v>
      </c>
      <c r="M487">
        <v>0.99999400000000005</v>
      </c>
      <c r="N487">
        <v>0</v>
      </c>
      <c r="O487">
        <v>-3.2470860000000002E-3</v>
      </c>
      <c r="P487">
        <v>0.99693319999999996</v>
      </c>
      <c r="Q487">
        <v>7.6040510000000006E-2</v>
      </c>
      <c r="R487">
        <v>-1.850156E-2</v>
      </c>
      <c r="S487">
        <v>3.0027159999999999</v>
      </c>
      <c r="T487">
        <v>2.302742E-2</v>
      </c>
      <c r="U487">
        <v>-0.26373289999999999</v>
      </c>
      <c r="V487">
        <v>1.5271140000000001E-2</v>
      </c>
      <c r="W487">
        <v>7.7245289999999994E-2</v>
      </c>
      <c r="X487">
        <v>0.99689510000000003</v>
      </c>
      <c r="Y487">
        <v>8.4257159999999998E-2</v>
      </c>
      <c r="Z487">
        <v>2.9760060000000001E-4</v>
      </c>
      <c r="AA487">
        <v>0.996444</v>
      </c>
      <c r="AB487">
        <v>24</v>
      </c>
      <c r="AC487">
        <v>3.0027159999999999</v>
      </c>
      <c r="AD487">
        <v>2.302742E-2</v>
      </c>
      <c r="AE487">
        <v>-0.26373289999999999</v>
      </c>
      <c r="AF487">
        <v>0.25396660365699297</v>
      </c>
      <c r="AG487">
        <v>2.302742E-2</v>
      </c>
      <c r="AH487">
        <v>3.0033812532069</v>
      </c>
      <c r="AI487">
        <v>89.562274519789696</v>
      </c>
      <c r="AJ487">
        <v>85.166554342169107</v>
      </c>
      <c r="AK487">
        <v>3.0141878259258399</v>
      </c>
      <c r="AL487">
        <v>85.569757410583605</v>
      </c>
      <c r="AM487">
        <v>89.122371612708505</v>
      </c>
      <c r="AN487">
        <v>0.99999994147404503</v>
      </c>
    </row>
    <row r="488" spans="1:40" x14ac:dyDescent="0.25">
      <c r="A488" t="str">
        <f>"20190312150956218"</f>
        <v>20190312150956218</v>
      </c>
      <c r="B488" t="str">
        <f>"1552374596211015"</f>
        <v>1552374596211015</v>
      </c>
      <c r="C488" t="s">
        <v>40</v>
      </c>
      <c r="D488">
        <v>5.2239170000000001</v>
      </c>
      <c r="E488">
        <v>0.52663859999999996</v>
      </c>
      <c r="F488" t="s">
        <v>44</v>
      </c>
      <c r="G488">
        <v>0</v>
      </c>
      <c r="H488">
        <v>0</v>
      </c>
      <c r="I488">
        <v>0</v>
      </c>
      <c r="J488">
        <v>-397.68869999999998</v>
      </c>
      <c r="K488">
        <v>1.0824769999999999</v>
      </c>
      <c r="L488">
        <v>367.30939999999998</v>
      </c>
      <c r="M488">
        <v>0.9999941</v>
      </c>
      <c r="N488">
        <v>0</v>
      </c>
      <c r="O488">
        <v>-3.2852409999999999E-3</v>
      </c>
      <c r="P488">
        <v>0.9969209</v>
      </c>
      <c r="Q488">
        <v>7.6221670000000005E-2</v>
      </c>
      <c r="R488">
        <v>-1.840878E-2</v>
      </c>
      <c r="S488">
        <v>3.002869</v>
      </c>
      <c r="T488">
        <v>1.8525119999999999E-2</v>
      </c>
      <c r="U488">
        <v>-0.26629639999999999</v>
      </c>
      <c r="V488">
        <v>1.5140519999999999E-2</v>
      </c>
      <c r="W488">
        <v>7.7241489999999996E-2</v>
      </c>
      <c r="X488">
        <v>0.99689749999999999</v>
      </c>
      <c r="Y488">
        <v>8.5059570000000001E-2</v>
      </c>
      <c r="Z488">
        <v>2.4162949999999999E-4</v>
      </c>
      <c r="AA488">
        <v>0.99637589999999998</v>
      </c>
      <c r="AB488">
        <v>24</v>
      </c>
      <c r="AC488">
        <v>3.002869</v>
      </c>
      <c r="AD488">
        <v>1.8525119999999999E-2</v>
      </c>
      <c r="AE488">
        <v>-0.26629639999999999</v>
      </c>
      <c r="AF488">
        <v>0.25642012686321702</v>
      </c>
      <c r="AG488">
        <v>1.8525119999999999E-2</v>
      </c>
      <c r="AH488">
        <v>3.0036142230796199</v>
      </c>
      <c r="AI488">
        <v>89.647907166219696</v>
      </c>
      <c r="AJ488">
        <v>85.120460434423407</v>
      </c>
      <c r="AK488">
        <v>3.0145966334847798</v>
      </c>
      <c r="AL488">
        <v>85.569976287894903</v>
      </c>
      <c r="AM488">
        <v>89.129879245019097</v>
      </c>
      <c r="AN488">
        <v>1.00000005431476</v>
      </c>
    </row>
    <row r="489" spans="1:40" x14ac:dyDescent="0.25">
      <c r="A489" t="str">
        <f>"20190312150956241"</f>
        <v>20190312150956241</v>
      </c>
      <c r="B489" t="str">
        <f>"1552374596231515"</f>
        <v>1552374596231515</v>
      </c>
      <c r="C489" t="s">
        <v>40</v>
      </c>
      <c r="D489">
        <v>5.1972060000000004</v>
      </c>
      <c r="E489">
        <v>0.52671290000000004</v>
      </c>
      <c r="F489" t="s">
        <v>44</v>
      </c>
      <c r="G489">
        <v>0</v>
      </c>
      <c r="H489">
        <v>0</v>
      </c>
      <c r="I489">
        <v>0</v>
      </c>
      <c r="J489">
        <v>-397.44499999999999</v>
      </c>
      <c r="K489">
        <v>1.0851309999999901</v>
      </c>
      <c r="L489">
        <v>367.30860000000001</v>
      </c>
      <c r="M489">
        <v>0.99999380000000004</v>
      </c>
      <c r="N489">
        <v>0</v>
      </c>
      <c r="O489">
        <v>-3.3206529999999998E-3</v>
      </c>
      <c r="P489">
        <v>0.99692610000000004</v>
      </c>
      <c r="Q489">
        <v>7.6175699999999999E-2</v>
      </c>
      <c r="R489">
        <v>-1.83252E-2</v>
      </c>
      <c r="S489">
        <v>3.0033569999999998</v>
      </c>
      <c r="T489">
        <v>1.2693050000000001E-2</v>
      </c>
      <c r="U489">
        <v>-0.26776119999999998</v>
      </c>
      <c r="V489">
        <v>1.5021690000000001E-2</v>
      </c>
      <c r="W489">
        <v>7.7401230000000001E-2</v>
      </c>
      <c r="X489">
        <v>0.99688679999999996</v>
      </c>
      <c r="Y489">
        <v>8.5493040000000006E-2</v>
      </c>
      <c r="Z489">
        <v>1.6629500000000001E-4</v>
      </c>
      <c r="AA489">
        <v>0.99633870000000002</v>
      </c>
      <c r="AB489">
        <v>24</v>
      </c>
      <c r="AC489">
        <v>3.0033569999999998</v>
      </c>
      <c r="AD489">
        <v>1.2693050000000001E-2</v>
      </c>
      <c r="AE489">
        <v>-0.26776119999999998</v>
      </c>
      <c r="AF489">
        <v>0.25778204238159602</v>
      </c>
      <c r="AG489">
        <v>1.2693050000000001E-2</v>
      </c>
      <c r="AH489">
        <v>3.0041763479909598</v>
      </c>
      <c r="AI489">
        <v>89.758805367566296</v>
      </c>
      <c r="AJ489">
        <v>85.095583407241904</v>
      </c>
      <c r="AK489">
        <v>3.0152426477351701</v>
      </c>
      <c r="AL489">
        <v>85.560795899696799</v>
      </c>
      <c r="AM489">
        <v>89.136698064133498</v>
      </c>
      <c r="AN489">
        <v>0.99999994679510296</v>
      </c>
    </row>
    <row r="490" spans="1:40" x14ac:dyDescent="0.25">
      <c r="A490" t="str">
        <f>"20190312150956263"</f>
        <v>20190312150956263</v>
      </c>
      <c r="B490" t="str">
        <f>"1552374596260791"</f>
        <v>1552374596260791</v>
      </c>
      <c r="C490" t="s">
        <v>40</v>
      </c>
      <c r="D490">
        <v>5.4708940000000004</v>
      </c>
      <c r="E490">
        <v>0.52669449999999995</v>
      </c>
      <c r="F490" t="s">
        <v>44</v>
      </c>
      <c r="G490">
        <v>0</v>
      </c>
      <c r="H490">
        <v>0</v>
      </c>
      <c r="I490">
        <v>0</v>
      </c>
      <c r="J490">
        <v>-397.20049999999998</v>
      </c>
      <c r="K490">
        <v>1.0878890000000001</v>
      </c>
      <c r="L490">
        <v>367.30770000000001</v>
      </c>
      <c r="M490">
        <v>0.99999269999999996</v>
      </c>
      <c r="N490">
        <v>0</v>
      </c>
      <c r="O490">
        <v>-3.3545699999999999E-3</v>
      </c>
      <c r="P490">
        <v>0.9970154</v>
      </c>
      <c r="Q490">
        <v>7.4955279999999999E-2</v>
      </c>
      <c r="R490">
        <v>-1.850487E-2</v>
      </c>
      <c r="S490">
        <v>3.0034179999999999</v>
      </c>
      <c r="T490">
        <v>1.166177E-2</v>
      </c>
      <c r="U490">
        <v>-0.26843260000000002</v>
      </c>
      <c r="V490">
        <v>1.516707E-2</v>
      </c>
      <c r="W490">
        <v>7.6833579999999999E-2</v>
      </c>
      <c r="X490">
        <v>0.99692860000000005</v>
      </c>
      <c r="Y490">
        <v>8.5678499999999894E-2</v>
      </c>
      <c r="Z490">
        <v>1.5300740000000001E-4</v>
      </c>
      <c r="AA490">
        <v>0.99632279999999995</v>
      </c>
      <c r="AB490">
        <v>24</v>
      </c>
      <c r="AC490">
        <v>3.0034179999999999</v>
      </c>
      <c r="AD490">
        <v>1.166177E-2</v>
      </c>
      <c r="AE490">
        <v>-0.26843260000000002</v>
      </c>
      <c r="AF490">
        <v>0.25835203270645302</v>
      </c>
      <c r="AG490">
        <v>1.166177E-2</v>
      </c>
      <c r="AH490">
        <v>3.0042566439980201</v>
      </c>
      <c r="AI490">
        <v>89.778411115717304</v>
      </c>
      <c r="AJ490">
        <v>85.084922886385499</v>
      </c>
      <c r="AK490">
        <v>3.0153672666342599</v>
      </c>
      <c r="AL490">
        <v>85.593417391166099</v>
      </c>
      <c r="AM490">
        <v>89.128380847891194</v>
      </c>
      <c r="AN490">
        <v>1.00000003626298</v>
      </c>
    </row>
    <row r="491" spans="1:40" x14ac:dyDescent="0.25">
      <c r="A491" t="str">
        <f>"20190312150956287"</f>
        <v>20190312150956287</v>
      </c>
      <c r="B491" t="str">
        <f>"1552374596281287"</f>
        <v>1552374596281287</v>
      </c>
      <c r="C491" t="s">
        <v>40</v>
      </c>
      <c r="D491">
        <v>5.4528160000000003</v>
      </c>
      <c r="E491">
        <v>0.52655629999999998</v>
      </c>
      <c r="F491" t="s">
        <v>44</v>
      </c>
      <c r="G491">
        <v>0</v>
      </c>
      <c r="H491">
        <v>0</v>
      </c>
      <c r="I491">
        <v>0</v>
      </c>
      <c r="J491">
        <v>-396.95319999999998</v>
      </c>
      <c r="K491">
        <v>1.0905940000000001</v>
      </c>
      <c r="L491">
        <v>367.30689999999998</v>
      </c>
      <c r="M491">
        <v>0.99999059999999995</v>
      </c>
      <c r="N491">
        <v>0</v>
      </c>
      <c r="O491">
        <v>-3.3895639999999999E-3</v>
      </c>
      <c r="P491">
        <v>0.99709300000000001</v>
      </c>
      <c r="Q491">
        <v>7.406538E-2</v>
      </c>
      <c r="R491">
        <v>-1.7891009999999999E-2</v>
      </c>
      <c r="S491">
        <v>3.0033569999999998</v>
      </c>
      <c r="T491">
        <v>8.926392E-3</v>
      </c>
      <c r="U491">
        <v>-0.26861570000000001</v>
      </c>
      <c r="V491">
        <v>1.4518329999999999E-2</v>
      </c>
      <c r="W491">
        <v>7.679126E-2</v>
      </c>
      <c r="X491">
        <v>0.99694150000000004</v>
      </c>
      <c r="Y491">
        <v>8.5705950000000003E-2</v>
      </c>
      <c r="Z491">
        <v>1.170572E-4</v>
      </c>
      <c r="AA491">
        <v>0.99632050000000005</v>
      </c>
      <c r="AB491">
        <v>24</v>
      </c>
      <c r="AC491">
        <v>3.0033569999999998</v>
      </c>
      <c r="AD491">
        <v>8.926392E-3</v>
      </c>
      <c r="AE491">
        <v>-0.26861570000000001</v>
      </c>
      <c r="AF491">
        <v>0.25843178415546297</v>
      </c>
      <c r="AG491">
        <v>8.926392E-3</v>
      </c>
      <c r="AH491">
        <v>3.0042239127302399</v>
      </c>
      <c r="AI491">
        <v>89.830385075620796</v>
      </c>
      <c r="AJ491">
        <v>85.083359768768005</v>
      </c>
      <c r="AK491">
        <v>3.0153321517464899</v>
      </c>
      <c r="AL491">
        <v>85.595849248354796</v>
      </c>
      <c r="AM491">
        <v>89.165667958087397</v>
      </c>
      <c r="AN491">
        <v>1.00000001697031</v>
      </c>
    </row>
    <row r="492" spans="1:40" x14ac:dyDescent="0.25">
      <c r="A492" t="str">
        <f>"20190312150956309"</f>
        <v>20190312150956309</v>
      </c>
      <c r="B492" t="str">
        <f>"1552374596300806"</f>
        <v>1552374596300806</v>
      </c>
      <c r="C492" t="s">
        <v>40</v>
      </c>
      <c r="D492">
        <v>5.5791060000000003</v>
      </c>
      <c r="E492">
        <v>0.52649679999999999</v>
      </c>
      <c r="F492" t="s">
        <v>44</v>
      </c>
      <c r="G492">
        <v>0</v>
      </c>
      <c r="H492">
        <v>0</v>
      </c>
      <c r="I492">
        <v>0</v>
      </c>
      <c r="J492">
        <v>-396.70460000000003</v>
      </c>
      <c r="K492">
        <v>1.0931150000000001</v>
      </c>
      <c r="L492">
        <v>367.30599999999998</v>
      </c>
      <c r="M492">
        <v>0.99998790000000004</v>
      </c>
      <c r="N492">
        <v>0</v>
      </c>
      <c r="O492">
        <v>-3.425712E-3</v>
      </c>
      <c r="P492">
        <v>0.9971989</v>
      </c>
      <c r="Q492">
        <v>7.2613179999999999E-2</v>
      </c>
      <c r="R492">
        <v>-1.7936899999999999E-2</v>
      </c>
      <c r="S492">
        <v>3.0034480000000001</v>
      </c>
      <c r="T492">
        <v>7.181644E-3</v>
      </c>
      <c r="U492">
        <v>-0.26580809999999999</v>
      </c>
      <c r="V492">
        <v>1.4528020000000001E-2</v>
      </c>
      <c r="W492">
        <v>7.6163670000000003E-2</v>
      </c>
      <c r="X492">
        <v>0.99698949999999997</v>
      </c>
      <c r="Y492">
        <v>8.4743269999999996E-2</v>
      </c>
      <c r="Z492" s="1">
        <v>9.2943370000000007E-5</v>
      </c>
      <c r="AA492">
        <v>0.99640280000000003</v>
      </c>
      <c r="AB492">
        <v>24</v>
      </c>
      <c r="AC492">
        <v>3.0034480000000001</v>
      </c>
      <c r="AD492">
        <v>7.181644E-3</v>
      </c>
      <c r="AE492">
        <v>-0.26580809999999999</v>
      </c>
      <c r="AF492">
        <v>0.25551607873795901</v>
      </c>
      <c r="AG492">
        <v>7.181644E-3</v>
      </c>
      <c r="AH492">
        <v>3.0043239201345502</v>
      </c>
      <c r="AI492">
        <v>89.863531044521395</v>
      </c>
      <c r="AJ492">
        <v>85.138724486323795</v>
      </c>
      <c r="AK492">
        <v>3.0151786447235298</v>
      </c>
      <c r="AL492">
        <v>85.631913120317805</v>
      </c>
      <c r="AM492">
        <v>89.165151366849997</v>
      </c>
      <c r="AN492">
        <v>1.00000001555161</v>
      </c>
    </row>
    <row r="493" spans="1:40" x14ac:dyDescent="0.25">
      <c r="A493" t="str">
        <f>"20190312150956331"</f>
        <v>20190312150956331</v>
      </c>
      <c r="B493" t="str">
        <f>"1552374596321306"</f>
        <v>1552374596321306</v>
      </c>
      <c r="C493" t="s">
        <v>40</v>
      </c>
      <c r="D493">
        <v>5.397875</v>
      </c>
      <c r="E493">
        <v>0.52655069999999904</v>
      </c>
      <c r="F493" t="s">
        <v>44</v>
      </c>
      <c r="G493">
        <v>0</v>
      </c>
      <c r="H493">
        <v>0</v>
      </c>
      <c r="I493">
        <v>0</v>
      </c>
      <c r="J493">
        <v>-396.46429999999998</v>
      </c>
      <c r="K493">
        <v>1.0953329999999999</v>
      </c>
      <c r="L493">
        <v>367.30509999999998</v>
      </c>
      <c r="M493">
        <v>0.99998489999999995</v>
      </c>
      <c r="N493">
        <v>0</v>
      </c>
      <c r="O493">
        <v>-3.4601900000000001E-3</v>
      </c>
      <c r="P493">
        <v>0.99728930000000005</v>
      </c>
      <c r="Q493">
        <v>7.1440290000000004E-2</v>
      </c>
      <c r="R493">
        <v>-1.7625099999999901E-2</v>
      </c>
      <c r="S493">
        <v>3.0033569999999998</v>
      </c>
      <c r="T493">
        <v>3.4971239999999999E-3</v>
      </c>
      <c r="U493">
        <v>-0.26538089999999998</v>
      </c>
      <c r="V493">
        <v>1.4181239999999999E-2</v>
      </c>
      <c r="W493">
        <v>7.571485E-2</v>
      </c>
      <c r="X493">
        <v>0.99702860000000004</v>
      </c>
      <c r="Y493">
        <v>8.457112E-2</v>
      </c>
      <c r="Z493" s="1">
        <v>4.5120670000000001E-5</v>
      </c>
      <c r="AA493">
        <v>0.99641749999999996</v>
      </c>
      <c r="AB493">
        <v>24</v>
      </c>
      <c r="AC493">
        <v>3.0033569999999998</v>
      </c>
      <c r="AD493">
        <v>3.4971239999999999E-3</v>
      </c>
      <c r="AE493">
        <v>-0.26538089999999998</v>
      </c>
      <c r="AF493">
        <v>0.25498668766473298</v>
      </c>
      <c r="AG493">
        <v>3.4971239999999999E-3</v>
      </c>
      <c r="AH493">
        <v>3.0042532551275301</v>
      </c>
      <c r="AI493">
        <v>89.9335433798624</v>
      </c>
      <c r="AJ493">
        <v>85.148634639141804</v>
      </c>
      <c r="AK493">
        <v>3.0150568919519398</v>
      </c>
      <c r="AL493">
        <v>85.657702742890294</v>
      </c>
      <c r="AM493">
        <v>89.185108217109203</v>
      </c>
      <c r="AN493">
        <v>0.99999993764820805</v>
      </c>
    </row>
    <row r="494" spans="1:40" x14ac:dyDescent="0.25">
      <c r="A494" t="str">
        <f>"20190312150956352"</f>
        <v>20190312150956352</v>
      </c>
      <c r="B494" t="str">
        <f>"1552374596340823"</f>
        <v>1552374596340823</v>
      </c>
      <c r="C494" t="s">
        <v>40</v>
      </c>
      <c r="D494">
        <v>5.4622129999999904</v>
      </c>
      <c r="E494">
        <v>0.52671959999999995</v>
      </c>
      <c r="F494" t="s">
        <v>44</v>
      </c>
      <c r="G494">
        <v>0</v>
      </c>
      <c r="H494">
        <v>0</v>
      </c>
      <c r="I494">
        <v>0</v>
      </c>
      <c r="J494">
        <v>-396.23050000000001</v>
      </c>
      <c r="K494">
        <v>1.0972869999999999</v>
      </c>
      <c r="L494">
        <v>367.30419999999998</v>
      </c>
      <c r="M494">
        <v>0.99998180000000003</v>
      </c>
      <c r="N494">
        <v>0</v>
      </c>
      <c r="O494">
        <v>-3.4933220000000001E-3</v>
      </c>
      <c r="P494">
        <v>0.99732869999999996</v>
      </c>
      <c r="Q494">
        <v>7.0841180000000004E-2</v>
      </c>
      <c r="R494">
        <v>-1.7811130000000001E-2</v>
      </c>
      <c r="S494">
        <v>3.003479</v>
      </c>
      <c r="T494" s="1">
        <v>4.4107440000000003E-6</v>
      </c>
      <c r="U494">
        <v>-0.26480100000000001</v>
      </c>
      <c r="V494">
        <v>1.4334360000000001E-2</v>
      </c>
      <c r="W494">
        <v>7.5770000000000004E-2</v>
      </c>
      <c r="X494">
        <v>0.99702230000000003</v>
      </c>
      <c r="Y494">
        <v>8.4343689999999999E-2</v>
      </c>
      <c r="Z494" s="1">
        <v>5.6691339999999997E-8</v>
      </c>
      <c r="AA494">
        <v>0.99643669999999995</v>
      </c>
      <c r="AB494">
        <v>24</v>
      </c>
      <c r="AC494">
        <v>3.003479</v>
      </c>
      <c r="AD494" s="1">
        <v>4.4107440000000003E-6</v>
      </c>
      <c r="AE494">
        <v>-0.26480100000000001</v>
      </c>
      <c r="AF494">
        <v>0.25430713802745197</v>
      </c>
      <c r="AG494" s="1">
        <v>4.4107440000000003E-6</v>
      </c>
      <c r="AH494">
        <v>3.00438571966906</v>
      </c>
      <c r="AI494">
        <v>89.999916183693301</v>
      </c>
      <c r="AJ494">
        <v>85.161714576585197</v>
      </c>
      <c r="AK494">
        <v>3.01512946206668</v>
      </c>
      <c r="AL494">
        <v>85.654534121671801</v>
      </c>
      <c r="AM494">
        <v>89.176305536244996</v>
      </c>
      <c r="AN494">
        <v>1.0000000167369401</v>
      </c>
    </row>
    <row r="495" spans="1:40" x14ac:dyDescent="0.25">
      <c r="A495" t="str">
        <f>"20190312150956374"</f>
        <v>20190312150956374</v>
      </c>
      <c r="B495" t="str">
        <f>"1552374596371079"</f>
        <v>1552374596371079</v>
      </c>
      <c r="C495" t="s">
        <v>40</v>
      </c>
      <c r="D495">
        <v>5.2407969999999997</v>
      </c>
      <c r="E495">
        <v>0.52655459999999998</v>
      </c>
      <c r="F495" t="s">
        <v>44</v>
      </c>
      <c r="G495">
        <v>0</v>
      </c>
      <c r="H495">
        <v>0</v>
      </c>
      <c r="I495">
        <v>0</v>
      </c>
      <c r="J495">
        <v>-395.99349999999998</v>
      </c>
      <c r="K495">
        <v>1.0990740000000001</v>
      </c>
      <c r="L495">
        <v>367.30329999999998</v>
      </c>
      <c r="M495">
        <v>0.99997840000000005</v>
      </c>
      <c r="N495">
        <v>0</v>
      </c>
      <c r="O495">
        <v>-3.5272950000000002E-3</v>
      </c>
      <c r="P495">
        <v>0.99734990000000001</v>
      </c>
      <c r="Q495">
        <v>7.0454749999999997E-2</v>
      </c>
      <c r="R495">
        <v>-1.8156579999999999E-2</v>
      </c>
      <c r="S495">
        <v>3.0034179999999999</v>
      </c>
      <c r="T495">
        <v>-2.551556E-3</v>
      </c>
      <c r="U495">
        <v>-0.26678469999999999</v>
      </c>
      <c r="V495">
        <v>1.464582E-2</v>
      </c>
      <c r="W495">
        <v>7.6007740000000004E-2</v>
      </c>
      <c r="X495">
        <v>0.99699970000000004</v>
      </c>
      <c r="Y495">
        <v>8.496455E-2</v>
      </c>
      <c r="Z495" s="1">
        <v>-3.3029279999999998E-5</v>
      </c>
      <c r="AA495">
        <v>0.99638400000000005</v>
      </c>
      <c r="AB495">
        <v>24</v>
      </c>
      <c r="AC495">
        <v>3.0034179999999999</v>
      </c>
      <c r="AD495">
        <v>-2.551556E-3</v>
      </c>
      <c r="AE495">
        <v>-0.26678469999999999</v>
      </c>
      <c r="AF495">
        <v>0.25618875262740998</v>
      </c>
      <c r="AG495">
        <v>-2.551556E-3</v>
      </c>
      <c r="AH495">
        <v>3.00433820683411</v>
      </c>
      <c r="AI495">
        <v>90.048484792889894</v>
      </c>
      <c r="AJ495">
        <v>85.126011286729096</v>
      </c>
      <c r="AK495">
        <v>3.0152424858465401</v>
      </c>
      <c r="AL495">
        <v>85.640873327154694</v>
      </c>
      <c r="AM495">
        <v>89.158391601439803</v>
      </c>
      <c r="AN495">
        <v>1.0000000391917301</v>
      </c>
    </row>
    <row r="496" spans="1:40" x14ac:dyDescent="0.25">
      <c r="A496" t="str">
        <f>"20190312150956397"</f>
        <v>20190312150956397</v>
      </c>
      <c r="B496" t="str">
        <f>"1552374596391575"</f>
        <v>1552374596391575</v>
      </c>
      <c r="C496" t="s">
        <v>40</v>
      </c>
      <c r="D496">
        <v>5.3233489999999897</v>
      </c>
      <c r="E496">
        <v>0.52646680000000001</v>
      </c>
      <c r="F496" t="s">
        <v>47</v>
      </c>
      <c r="G496">
        <v>174.5316</v>
      </c>
      <c r="H496">
        <v>-0.1</v>
      </c>
      <c r="I496">
        <v>316.70319999999998</v>
      </c>
      <c r="J496">
        <v>-395.74439999999998</v>
      </c>
      <c r="K496">
        <v>1.100735</v>
      </c>
      <c r="L496">
        <v>367.30239999999998</v>
      </c>
      <c r="M496">
        <v>0.99997460000000005</v>
      </c>
      <c r="N496">
        <v>0</v>
      </c>
      <c r="O496">
        <v>-3.564495E-3</v>
      </c>
      <c r="P496">
        <v>0.99738340000000003</v>
      </c>
      <c r="Q496">
        <v>6.9913240000000001E-2</v>
      </c>
      <c r="R496">
        <v>-1.8404429999999999E-2</v>
      </c>
      <c r="S496">
        <v>3.003571</v>
      </c>
      <c r="T496">
        <v>-6.3126090000000003E-3</v>
      </c>
      <c r="U496">
        <v>-0.26638790000000001</v>
      </c>
      <c r="V496">
        <v>1.4856029999999999E-2</v>
      </c>
      <c r="W496">
        <v>7.6070490000000004E-2</v>
      </c>
      <c r="X496">
        <v>0.99699179999999998</v>
      </c>
      <c r="Y496">
        <v>8.4792290000000006E-2</v>
      </c>
      <c r="Z496" s="1">
        <v>-8.1452740000000003E-5</v>
      </c>
      <c r="AA496">
        <v>0.99639860000000002</v>
      </c>
      <c r="AB496">
        <v>24</v>
      </c>
      <c r="AC496">
        <v>570.27599999999995</v>
      </c>
      <c r="AD496">
        <v>-1.2007350000000001</v>
      </c>
      <c r="AE496">
        <v>-50.599200000000003</v>
      </c>
      <c r="AF496">
        <v>48.5658802464757</v>
      </c>
      <c r="AG496">
        <v>-1.2007350000000001</v>
      </c>
      <c r="AH496">
        <v>570.45023181910403</v>
      </c>
      <c r="AI496">
        <v>90.1201664319548</v>
      </c>
      <c r="AJ496">
        <v>85.133797916047797</v>
      </c>
      <c r="AK496">
        <v>572.51511200240395</v>
      </c>
      <c r="AL496">
        <v>85.637267560321902</v>
      </c>
      <c r="AM496">
        <v>89.146307091243898</v>
      </c>
      <c r="AN496">
        <v>1.00000003517171</v>
      </c>
    </row>
    <row r="497" spans="1:40" x14ac:dyDescent="0.25">
      <c r="A497" t="str">
        <f>"20190312150956409"</f>
        <v>20190312150956409</v>
      </c>
      <c r="B497" t="str">
        <f>"1552374596401336"</f>
        <v>1552374596401336</v>
      </c>
      <c r="C497" t="s">
        <v>40</v>
      </c>
      <c r="D497">
        <v>6.368188</v>
      </c>
      <c r="E497">
        <v>0.50582170000000004</v>
      </c>
      <c r="F497" t="s">
        <v>47</v>
      </c>
      <c r="G497">
        <v>48.616300000000003</v>
      </c>
      <c r="H497">
        <v>-0.1</v>
      </c>
      <c r="I497">
        <v>327.83199999999999</v>
      </c>
      <c r="J497">
        <v>-395.61770000000001</v>
      </c>
      <c r="K497">
        <v>1.1014710000000001</v>
      </c>
      <c r="L497">
        <v>367.30200000000002</v>
      </c>
      <c r="M497">
        <v>0.9999728</v>
      </c>
      <c r="N497">
        <v>0</v>
      </c>
      <c r="O497">
        <v>-3.5833739999999998E-3</v>
      </c>
      <c r="P497">
        <v>0.99737909999999996</v>
      </c>
      <c r="Q497">
        <v>6.9956389999999993E-2</v>
      </c>
      <c r="R497">
        <v>-1.8467629999999999E-2</v>
      </c>
      <c r="S497">
        <v>3.003479</v>
      </c>
      <c r="T497">
        <v>-8.1158879999999999E-3</v>
      </c>
      <c r="U497">
        <v>-0.26678469999999999</v>
      </c>
      <c r="V497">
        <v>1.4900689999999999E-2</v>
      </c>
      <c r="W497">
        <v>7.6388570000000003E-2</v>
      </c>
      <c r="X497">
        <v>0.99696680000000004</v>
      </c>
      <c r="Y497">
        <v>8.4906609999999993E-2</v>
      </c>
      <c r="Z497">
        <v>-1.048265E-4</v>
      </c>
      <c r="AA497">
        <v>0.99638890000000002</v>
      </c>
      <c r="AB497">
        <v>24</v>
      </c>
      <c r="AC497">
        <v>444.23399999999998</v>
      </c>
      <c r="AD497">
        <v>-1.201471</v>
      </c>
      <c r="AE497">
        <v>-39.469999999999899</v>
      </c>
      <c r="AF497">
        <v>37.877582038561002</v>
      </c>
      <c r="AG497">
        <v>-1.201471</v>
      </c>
      <c r="AH497">
        <v>444.36936145645001</v>
      </c>
      <c r="AI497">
        <v>90.154354305706306</v>
      </c>
      <c r="AJ497">
        <v>85.127944190696098</v>
      </c>
      <c r="AK497">
        <v>445.98238099151899</v>
      </c>
      <c r="AL497">
        <v>85.618989679546502</v>
      </c>
      <c r="AM497">
        <v>89.143719644084399</v>
      </c>
      <c r="AN497">
        <v>1.00000002224568</v>
      </c>
    </row>
    <row r="498" spans="1:40" x14ac:dyDescent="0.25">
      <c r="A498" t="str">
        <f>"20190312150956420"</f>
        <v>20190312150956420</v>
      </c>
      <c r="B498" t="str">
        <f>"1552374596411095"</f>
        <v>1552374596411095</v>
      </c>
      <c r="C498" t="s">
        <v>40</v>
      </c>
      <c r="D498">
        <v>5.312697</v>
      </c>
      <c r="E498">
        <v>0.5054594</v>
      </c>
      <c r="F498" t="s">
        <v>42</v>
      </c>
      <c r="G498">
        <v>-332.28989999999999</v>
      </c>
      <c r="H498" s="1">
        <v>-4.0822749999999998E-6</v>
      </c>
      <c r="I498">
        <v>365.14949999999999</v>
      </c>
      <c r="J498">
        <v>-395.48660000000001</v>
      </c>
      <c r="K498">
        <v>1.102203</v>
      </c>
      <c r="L498">
        <v>367.30149999999998</v>
      </c>
      <c r="M498">
        <v>0.9999709</v>
      </c>
      <c r="N498">
        <v>0</v>
      </c>
      <c r="O498">
        <v>-3.6025330000000002E-3</v>
      </c>
      <c r="P498">
        <v>0.99738680000000002</v>
      </c>
      <c r="Q498">
        <v>6.9804119999999997E-2</v>
      </c>
      <c r="R498">
        <v>-1.862521E-2</v>
      </c>
      <c r="S498">
        <v>3.009674</v>
      </c>
      <c r="T498">
        <v>-5.2347900000000003E-2</v>
      </c>
      <c r="U498">
        <v>-0.10229489999999999</v>
      </c>
      <c r="V498">
        <v>1.503903E-2</v>
      </c>
      <c r="W498">
        <v>7.6512170000000004E-2</v>
      </c>
      <c r="X498">
        <v>0.99695520000000004</v>
      </c>
      <c r="Y498">
        <v>3.0364289999999999E-2</v>
      </c>
      <c r="Z498">
        <v>-2.0133290000000001E-4</v>
      </c>
      <c r="AA498">
        <v>0.99953890000000001</v>
      </c>
      <c r="AB498">
        <v>24</v>
      </c>
      <c r="AC498">
        <v>63.1967</v>
      </c>
      <c r="AD498">
        <v>-1.1022070822750001</v>
      </c>
      <c r="AE498">
        <v>-2.1519999999999802</v>
      </c>
      <c r="AF498">
        <v>1.9237281984015899</v>
      </c>
      <c r="AG498">
        <v>-1.1022070822750001</v>
      </c>
      <c r="AH498">
        <v>63.184845103064397</v>
      </c>
      <c r="AI498">
        <v>90.998913092800805</v>
      </c>
      <c r="AJ498">
        <v>88.256109223233494</v>
      </c>
      <c r="AK498">
        <v>63.223731630866098</v>
      </c>
      <c r="AL498">
        <v>85.611886939079994</v>
      </c>
      <c r="AM498">
        <v>89.1357609687321</v>
      </c>
      <c r="AN498">
        <v>0.99999997769424398</v>
      </c>
    </row>
    <row r="499" spans="1:40" x14ac:dyDescent="0.25">
      <c r="A499" t="str">
        <f>"20190312150956433"</f>
        <v>20190312150956433</v>
      </c>
      <c r="B499" t="str">
        <f>"1552374596420858"</f>
        <v>1552374596420858</v>
      </c>
      <c r="C499" t="s">
        <v>40</v>
      </c>
      <c r="D499">
        <v>5.1032929999999999</v>
      </c>
      <c r="E499">
        <v>0.5056117</v>
      </c>
      <c r="F499" t="s">
        <v>43</v>
      </c>
      <c r="G499">
        <v>-294.89350000000002</v>
      </c>
      <c r="H499">
        <v>-0.05</v>
      </c>
      <c r="I499">
        <v>363.96359999999999</v>
      </c>
      <c r="J499">
        <v>-395.34730000000002</v>
      </c>
      <c r="K499">
        <v>1.1029139999999999</v>
      </c>
      <c r="L499">
        <v>367.30090000000001</v>
      </c>
      <c r="M499">
        <v>0.99996890000000005</v>
      </c>
      <c r="N499">
        <v>0</v>
      </c>
      <c r="O499">
        <v>-3.6229040000000001E-3</v>
      </c>
      <c r="P499">
        <v>0.99740960000000001</v>
      </c>
      <c r="Q499">
        <v>6.9499989999999998E-2</v>
      </c>
      <c r="R499">
        <v>-1.854138E-2</v>
      </c>
      <c r="S499">
        <v>3.0083920000000002</v>
      </c>
      <c r="T499">
        <v>-3.44584E-2</v>
      </c>
      <c r="U499">
        <v>-9.9822999999999995E-2</v>
      </c>
      <c r="V499">
        <v>1.493476E-2</v>
      </c>
      <c r="W499">
        <v>7.6478909999999997E-2</v>
      </c>
      <c r="X499">
        <v>0.99695929999999999</v>
      </c>
      <c r="Y499">
        <v>2.954035E-2</v>
      </c>
      <c r="Z499">
        <v>-1.2764219999999901E-4</v>
      </c>
      <c r="AA499">
        <v>0.9995636</v>
      </c>
      <c r="AB499">
        <v>24</v>
      </c>
      <c r="AC499">
        <v>100.4538</v>
      </c>
      <c r="AD499">
        <v>-1.152914</v>
      </c>
      <c r="AE499">
        <v>-3.3373000000000199</v>
      </c>
      <c r="AF499">
        <v>2.9729435203281098</v>
      </c>
      <c r="AG499">
        <v>-1.152914</v>
      </c>
      <c r="AH499">
        <v>100.452014493305</v>
      </c>
      <c r="AI499">
        <v>90.657281980644896</v>
      </c>
      <c r="AJ499">
        <v>88.304788505295406</v>
      </c>
      <c r="AK499">
        <v>100.50261100901599</v>
      </c>
      <c r="AL499">
        <v>85.61379811162</v>
      </c>
      <c r="AM499">
        <v>89.141755620690404</v>
      </c>
      <c r="AN499">
        <v>0.99999995829376698</v>
      </c>
    </row>
    <row r="500" spans="1:40" x14ac:dyDescent="0.25">
      <c r="A500" t="str">
        <f>"20190312150956446"</f>
        <v>20190312150956446</v>
      </c>
      <c r="B500" t="str">
        <f>"1552374596441352"</f>
        <v>1552374596441352</v>
      </c>
      <c r="C500" t="s">
        <v>40</v>
      </c>
      <c r="D500">
        <v>5.2179159999999998</v>
      </c>
      <c r="E500">
        <v>0.50559609999999899</v>
      </c>
      <c r="F500" t="s">
        <v>42</v>
      </c>
      <c r="G500">
        <v>-257.15519999999998</v>
      </c>
      <c r="H500" s="1">
        <v>-2.8007230000000001E-6</v>
      </c>
      <c r="I500">
        <v>362.6764</v>
      </c>
      <c r="J500">
        <v>-395.21379999999999</v>
      </c>
      <c r="K500">
        <v>1.1035379999999999</v>
      </c>
      <c r="L500">
        <v>367.30040000000002</v>
      </c>
      <c r="M500">
        <v>0.9999673</v>
      </c>
      <c r="N500">
        <v>0</v>
      </c>
      <c r="O500">
        <v>-3.6421349999999999E-3</v>
      </c>
      <c r="P500">
        <v>0.99741979999999997</v>
      </c>
      <c r="Q500">
        <v>6.9327550000000002E-2</v>
      </c>
      <c r="R500">
        <v>-1.8645579999999998E-2</v>
      </c>
      <c r="S500">
        <v>3.0075379999999998</v>
      </c>
      <c r="T500">
        <v>-2.400327E-2</v>
      </c>
      <c r="U500">
        <v>-0.100647</v>
      </c>
      <c r="V500">
        <v>1.501978E-2</v>
      </c>
      <c r="W500">
        <v>7.6548309999999994E-2</v>
      </c>
      <c r="X500">
        <v>0.99695270000000002</v>
      </c>
      <c r="Y500">
        <v>2.9804939999999999E-2</v>
      </c>
      <c r="Z500" s="1">
        <v>-8.9842299999999897E-5</v>
      </c>
      <c r="AA500">
        <v>0.99955570000000005</v>
      </c>
      <c r="AB500">
        <v>24</v>
      </c>
      <c r="AC500">
        <v>138.05860000000001</v>
      </c>
      <c r="AD500">
        <v>-1.1035408007230001</v>
      </c>
      <c r="AE500">
        <v>-4.6240000000000201</v>
      </c>
      <c r="AF500">
        <v>4.1208651651523196</v>
      </c>
      <c r="AG500">
        <v>-1.1035408007230001</v>
      </c>
      <c r="AH500">
        <v>138.065714457995</v>
      </c>
      <c r="AI500">
        <v>90.457743918309006</v>
      </c>
      <c r="AJ500">
        <v>88.290393035858102</v>
      </c>
      <c r="AK500">
        <v>138.13160695802</v>
      </c>
      <c r="AL500">
        <v>85.609810109033504</v>
      </c>
      <c r="AM500">
        <v>89.136864865517893</v>
      </c>
      <c r="AN500">
        <v>0.99999996179619599</v>
      </c>
    </row>
    <row r="501" spans="1:40" x14ac:dyDescent="0.25">
      <c r="A501" t="str">
        <f>"20190312150956464"</f>
        <v>20190312150956464</v>
      </c>
      <c r="B501" t="str">
        <f>"1552374596460871"</f>
        <v>1552374596460871</v>
      </c>
      <c r="C501" t="s">
        <v>40</v>
      </c>
      <c r="D501">
        <v>5.2819399999999996</v>
      </c>
      <c r="E501">
        <v>0.50176750000000003</v>
      </c>
      <c r="F501" t="s">
        <v>48</v>
      </c>
      <c r="G501">
        <v>-180</v>
      </c>
      <c r="H501">
        <v>3.6724869999999999E-3</v>
      </c>
      <c r="I501">
        <v>360.08600000000001</v>
      </c>
      <c r="J501">
        <v>-395.01119999999997</v>
      </c>
      <c r="K501">
        <v>1.104401</v>
      </c>
      <c r="L501">
        <v>367.29969999999997</v>
      </c>
      <c r="M501">
        <v>0.99996450000000003</v>
      </c>
      <c r="N501">
        <v>0</v>
      </c>
      <c r="O501">
        <v>-3.6702409999999999E-3</v>
      </c>
      <c r="P501">
        <v>0.99745640000000002</v>
      </c>
      <c r="Q501">
        <v>6.8782090000000004E-2</v>
      </c>
      <c r="R501">
        <v>-1.8702759999999999E-2</v>
      </c>
      <c r="S501">
        <v>3.006958</v>
      </c>
      <c r="T501">
        <v>-1.5367270000000001E-2</v>
      </c>
      <c r="U501">
        <v>-0.1007996</v>
      </c>
      <c r="V501">
        <v>1.5048779999999999E-2</v>
      </c>
      <c r="W501">
        <v>7.6345769999999993E-2</v>
      </c>
      <c r="X501">
        <v>0.99696790000000002</v>
      </c>
      <c r="Y501">
        <v>2.9834429999999999E-2</v>
      </c>
      <c r="Z501" s="1">
        <v>-5.746172E-5</v>
      </c>
      <c r="AA501">
        <v>0.99955490000000002</v>
      </c>
      <c r="AB501">
        <v>24</v>
      </c>
      <c r="AC501">
        <v>215.0112</v>
      </c>
      <c r="AD501">
        <v>-1.100728513</v>
      </c>
      <c r="AE501">
        <v>-7.2136999999999496</v>
      </c>
      <c r="AF501">
        <v>6.4243176078372297</v>
      </c>
      <c r="AG501">
        <v>-1.100728513</v>
      </c>
      <c r="AH501">
        <v>215.03059927609499</v>
      </c>
      <c r="AI501">
        <v>90.293160231545002</v>
      </c>
      <c r="AJ501">
        <v>88.288723428414002</v>
      </c>
      <c r="AK501">
        <v>215.129361280654</v>
      </c>
      <c r="AL501">
        <v>85.621449321748401</v>
      </c>
      <c r="AM501">
        <v>89.135211771001195</v>
      </c>
      <c r="AN501">
        <v>1.00000006800339</v>
      </c>
    </row>
    <row r="502" spans="1:40" x14ac:dyDescent="0.25">
      <c r="A502" t="str">
        <f>"20190312150956488"</f>
        <v>20190312150956488</v>
      </c>
      <c r="B502" t="str">
        <f>"1552374596481368"</f>
        <v>1552374596481368</v>
      </c>
      <c r="C502" t="s">
        <v>40</v>
      </c>
      <c r="D502">
        <v>5.2144089999999998</v>
      </c>
      <c r="E502">
        <v>0.50293969999999999</v>
      </c>
      <c r="F502" t="s">
        <v>42</v>
      </c>
      <c r="G502">
        <v>-376.34660000000002</v>
      </c>
      <c r="H502" s="1">
        <v>-2.0380600000000002E-6</v>
      </c>
      <c r="I502">
        <v>366.86279999999999</v>
      </c>
      <c r="J502">
        <v>-394.75209999999998</v>
      </c>
      <c r="K502">
        <v>1.1053519999999999</v>
      </c>
      <c r="L502">
        <v>367.2987</v>
      </c>
      <c r="M502">
        <v>0.99996130000000005</v>
      </c>
      <c r="N502">
        <v>0</v>
      </c>
      <c r="O502">
        <v>-3.703839E-3</v>
      </c>
      <c r="P502">
        <v>0.99749690000000002</v>
      </c>
      <c r="Q502">
        <v>6.8058300000000002E-2</v>
      </c>
      <c r="R502">
        <v>-1.918168E-2</v>
      </c>
      <c r="S502">
        <v>3.0186459999999999</v>
      </c>
      <c r="T502">
        <v>-0.17861579999999999</v>
      </c>
      <c r="U502">
        <v>-7.064819E-2</v>
      </c>
      <c r="V502">
        <v>1.5493669999999999E-2</v>
      </c>
      <c r="W502">
        <v>7.6014380000000006E-2</v>
      </c>
      <c r="X502">
        <v>0.99698629999999999</v>
      </c>
      <c r="Y502">
        <v>1.966652E-2</v>
      </c>
      <c r="Z502">
        <v>-3.6231229999999999E-4</v>
      </c>
      <c r="AA502">
        <v>0.99980650000000004</v>
      </c>
      <c r="AB502">
        <v>24</v>
      </c>
      <c r="AC502">
        <v>18.4054999999999</v>
      </c>
      <c r="AD502">
        <v>-1.10535403806</v>
      </c>
      <c r="AE502">
        <v>-0.43590000000000301</v>
      </c>
      <c r="AF502">
        <v>0.36640307279304302</v>
      </c>
      <c r="AG502">
        <v>-1.10535403806</v>
      </c>
      <c r="AH502">
        <v>18.3408757186243</v>
      </c>
      <c r="AI502">
        <v>93.448200811389697</v>
      </c>
      <c r="AJ502">
        <v>88.855531335011307</v>
      </c>
      <c r="AK502">
        <v>18.377806748554899</v>
      </c>
      <c r="AL502">
        <v>85.640491438188803</v>
      </c>
      <c r="AM502">
        <v>89.109666354737598</v>
      </c>
      <c r="AN502">
        <v>0.99999996108226996</v>
      </c>
    </row>
    <row r="503" spans="1:40" x14ac:dyDescent="0.25">
      <c r="A503" t="str">
        <f>"20190312150956511"</f>
        <v>20190312150956511</v>
      </c>
      <c r="B503" t="str">
        <f>"1552374596500888"</f>
        <v>1552374596500888</v>
      </c>
      <c r="C503" t="s">
        <v>40</v>
      </c>
      <c r="D503">
        <v>5.2054819999999999</v>
      </c>
      <c r="E503">
        <v>0.50353679999999901</v>
      </c>
      <c r="F503" t="s">
        <v>42</v>
      </c>
      <c r="G503">
        <v>-372.97089999999997</v>
      </c>
      <c r="H503" s="1">
        <v>-3.5135400000000002E-6</v>
      </c>
      <c r="I503">
        <v>366.70859999999999</v>
      </c>
      <c r="J503">
        <v>-394.50420000000003</v>
      </c>
      <c r="K503">
        <v>1.1061289999999999</v>
      </c>
      <c r="L503">
        <v>367.29770000000002</v>
      </c>
      <c r="M503">
        <v>0.99995849999999997</v>
      </c>
      <c r="N503">
        <v>0</v>
      </c>
      <c r="O503">
        <v>-3.7315149999999999E-3</v>
      </c>
      <c r="P503">
        <v>0.99754209999999999</v>
      </c>
      <c r="Q503">
        <v>6.7289150000000006E-2</v>
      </c>
      <c r="R503">
        <v>-1.9536640000000001E-2</v>
      </c>
      <c r="S503">
        <v>3.0163880000000001</v>
      </c>
      <c r="T503">
        <v>-0.15307579999999901</v>
      </c>
      <c r="U503">
        <v>-8.169556E-2</v>
      </c>
      <c r="V503">
        <v>1.5820190000000001E-2</v>
      </c>
      <c r="W503">
        <v>7.5576500000000005E-2</v>
      </c>
      <c r="X503">
        <v>0.99701450000000003</v>
      </c>
      <c r="Y503">
        <v>2.331832E-2</v>
      </c>
      <c r="Z503">
        <v>-4.019766E-4</v>
      </c>
      <c r="AA503">
        <v>0.99972799999999995</v>
      </c>
      <c r="AB503">
        <v>24</v>
      </c>
      <c r="AC503">
        <v>21.533300000000001</v>
      </c>
      <c r="AD503">
        <v>-1.10613251354</v>
      </c>
      <c r="AE503">
        <v>-0.58910000000003004</v>
      </c>
      <c r="AF503">
        <v>0.50740339749847096</v>
      </c>
      <c r="AG503">
        <v>-1.10613251354</v>
      </c>
      <c r="AH503">
        <v>21.478714479870899</v>
      </c>
      <c r="AI503">
        <v>92.947250649660802</v>
      </c>
      <c r="AJ503">
        <v>88.646722227157994</v>
      </c>
      <c r="AK503">
        <v>21.513162553495398</v>
      </c>
      <c r="AL503">
        <v>85.665652660677097</v>
      </c>
      <c r="AM503">
        <v>89.0909319211857</v>
      </c>
      <c r="AN503">
        <v>0.99999999948706797</v>
      </c>
    </row>
    <row r="504" spans="1:40" x14ac:dyDescent="0.25">
      <c r="A504" t="str">
        <f>"20190312150956533"</f>
        <v>20190312150956533</v>
      </c>
      <c r="B504" t="str">
        <f>"1552374596521384"</f>
        <v>1552374596521384</v>
      </c>
      <c r="C504" t="s">
        <v>40</v>
      </c>
      <c r="D504">
        <v>5.2091839999999996</v>
      </c>
      <c r="E504">
        <v>0.50461699999999998</v>
      </c>
      <c r="F504" t="s">
        <v>42</v>
      </c>
      <c r="G504">
        <v>-368.32650000000001</v>
      </c>
      <c r="H504" s="1">
        <v>-1.3738479999999999E-6</v>
      </c>
      <c r="I504">
        <v>366.54090000000002</v>
      </c>
      <c r="J504">
        <v>-394.26260000000002</v>
      </c>
      <c r="K504">
        <v>1.1067689999999999</v>
      </c>
      <c r="L504">
        <v>367.29680000000002</v>
      </c>
      <c r="M504">
        <v>0.99995610000000001</v>
      </c>
      <c r="N504">
        <v>0</v>
      </c>
      <c r="O504">
        <v>-3.7526920000000002E-3</v>
      </c>
      <c r="P504">
        <v>0.99758139999999995</v>
      </c>
      <c r="Q504">
        <v>6.6619860000000003E-2</v>
      </c>
      <c r="R504">
        <v>-1.9834569999999999E-2</v>
      </c>
      <c r="S504">
        <v>3.0142820000000001</v>
      </c>
      <c r="T504">
        <v>-0.1273668</v>
      </c>
      <c r="U504">
        <v>-8.7127689999999994E-2</v>
      </c>
      <c r="V504">
        <v>1.6095910000000001E-2</v>
      </c>
      <c r="W504">
        <v>7.5189450000000005E-2</v>
      </c>
      <c r="X504">
        <v>0.99703940000000002</v>
      </c>
      <c r="Y504">
        <v>2.512236E-2</v>
      </c>
      <c r="Z504">
        <v>-3.719509E-4</v>
      </c>
      <c r="AA504">
        <v>0.99968429999999997</v>
      </c>
      <c r="AB504">
        <v>24</v>
      </c>
      <c r="AC504">
        <v>25.9361</v>
      </c>
      <c r="AD504">
        <v>-1.1067703738479999</v>
      </c>
      <c r="AE504">
        <v>-0.75589999999999602</v>
      </c>
      <c r="AF504">
        <v>0.65736486068840805</v>
      </c>
      <c r="AG504">
        <v>-1.1067703738479999</v>
      </c>
      <c r="AH504">
        <v>25.891645912575601</v>
      </c>
      <c r="AI504">
        <v>92.446901170970307</v>
      </c>
      <c r="AJ504">
        <v>88.5456257774063</v>
      </c>
      <c r="AK504">
        <v>25.923626237135299</v>
      </c>
      <c r="AL504">
        <v>85.687892483096107</v>
      </c>
      <c r="AM504">
        <v>89.075114176837204</v>
      </c>
      <c r="AN504">
        <v>1.0000000484311899</v>
      </c>
    </row>
    <row r="505" spans="1:40" x14ac:dyDescent="0.25">
      <c r="A505" t="str">
        <f>"20190312150956554"</f>
        <v>20190312150956554</v>
      </c>
      <c r="B505" t="str">
        <f>"1552374596551639"</f>
        <v>1552374596551639</v>
      </c>
      <c r="C505" t="s">
        <v>40</v>
      </c>
      <c r="D505">
        <v>5.5610330000000001</v>
      </c>
      <c r="E505">
        <v>0.5061293</v>
      </c>
      <c r="F505" t="s">
        <v>45</v>
      </c>
      <c r="G505">
        <v>-158.19499999999999</v>
      </c>
      <c r="H505">
        <v>0.49532320000000002</v>
      </c>
      <c r="I505">
        <v>359.71339999999998</v>
      </c>
      <c r="J505">
        <v>-394.02980000000002</v>
      </c>
      <c r="K505">
        <v>1.1073</v>
      </c>
      <c r="L505">
        <v>367.29590000000002</v>
      </c>
      <c r="M505">
        <v>0.99995389999999995</v>
      </c>
      <c r="N505">
        <v>0</v>
      </c>
      <c r="O505">
        <v>-3.7664270000000001E-3</v>
      </c>
      <c r="P505">
        <v>0.99760939999999998</v>
      </c>
      <c r="Q505">
        <v>6.6256399999999993E-2</v>
      </c>
      <c r="R505">
        <v>-1.9649610000000001E-2</v>
      </c>
      <c r="S505">
        <v>3.0058289999999999</v>
      </c>
      <c r="T505">
        <v>-7.78436699999999E-3</v>
      </c>
      <c r="U505">
        <v>-9.6557619999999997E-2</v>
      </c>
      <c r="V505">
        <v>1.5895940000000001E-2</v>
      </c>
      <c r="W505">
        <v>7.5063920000000006E-2</v>
      </c>
      <c r="X505">
        <v>0.99705200000000005</v>
      </c>
      <c r="Y505">
        <v>2.8341950000000001E-2</v>
      </c>
      <c r="Z505" s="1">
        <v>-2.6938040000000001E-5</v>
      </c>
      <c r="AA505">
        <v>0.99959830000000005</v>
      </c>
      <c r="AB505">
        <v>24</v>
      </c>
      <c r="AC505">
        <v>235.8348</v>
      </c>
      <c r="AD505">
        <v>-0.61197679999999899</v>
      </c>
      <c r="AE505">
        <v>-7.5825000000000298</v>
      </c>
      <c r="AF505">
        <v>6.6941119759129597</v>
      </c>
      <c r="AG505">
        <v>-0.61197679999999899</v>
      </c>
      <c r="AH505">
        <v>235.86010056492</v>
      </c>
      <c r="AI505">
        <v>90.148602902224994</v>
      </c>
      <c r="AJ505">
        <v>88.374284466683605</v>
      </c>
      <c r="AK505">
        <v>235.95587021569</v>
      </c>
      <c r="AL505">
        <v>85.695104917954296</v>
      </c>
      <c r="AM505">
        <v>89.086614219277607</v>
      </c>
      <c r="AN505">
        <v>0.99999998184912497</v>
      </c>
    </row>
    <row r="506" spans="1:40" x14ac:dyDescent="0.25">
      <c r="A506" t="str">
        <f>"20190312150956576"</f>
        <v>20190312150956576</v>
      </c>
      <c r="B506" t="str">
        <f>"1552374596571160"</f>
        <v>1552374596571160</v>
      </c>
      <c r="C506" t="s">
        <v>40</v>
      </c>
      <c r="D506">
        <v>5.2255669999999999</v>
      </c>
      <c r="E506">
        <v>0.50603920000000002</v>
      </c>
      <c r="F506" t="s">
        <v>42</v>
      </c>
      <c r="G506">
        <v>-221.64349999999999</v>
      </c>
      <c r="H506" s="1">
        <v>-5.090409E-6</v>
      </c>
      <c r="I506">
        <v>361.12040000000002</v>
      </c>
      <c r="J506">
        <v>-393.78699999999998</v>
      </c>
      <c r="K506">
        <v>1.1077709999999901</v>
      </c>
      <c r="L506">
        <v>367.29500000000002</v>
      </c>
      <c r="M506">
        <v>0.99995199999999995</v>
      </c>
      <c r="N506">
        <v>0</v>
      </c>
      <c r="O506">
        <v>-3.774492E-3</v>
      </c>
      <c r="P506">
        <v>0.99760760000000004</v>
      </c>
      <c r="Q506">
        <v>6.6249210000000003E-2</v>
      </c>
      <c r="R506">
        <v>-1.97605E-2</v>
      </c>
      <c r="S506">
        <v>3.006348</v>
      </c>
      <c r="T506">
        <v>-1.931095E-2</v>
      </c>
      <c r="U506">
        <v>-0.1076965</v>
      </c>
      <c r="V506">
        <v>1.599801E-2</v>
      </c>
      <c r="W506">
        <v>7.5272660000000005E-2</v>
      </c>
      <c r="X506">
        <v>0.99703470000000005</v>
      </c>
      <c r="Y506">
        <v>3.2027020000000003E-2</v>
      </c>
      <c r="Z506" s="1">
        <v>-7.8589469999999995E-5</v>
      </c>
      <c r="AA506">
        <v>0.99948700000000001</v>
      </c>
      <c r="AB506">
        <v>25</v>
      </c>
      <c r="AC506">
        <v>172.14349999999999</v>
      </c>
      <c r="AD506">
        <v>-1.1077760904089999</v>
      </c>
      <c r="AE506">
        <v>-6.1745999999999901</v>
      </c>
      <c r="AF506">
        <v>5.5245467011781999</v>
      </c>
      <c r="AG506">
        <v>-1.1077760904089999</v>
      </c>
      <c r="AH506">
        <v>172.158460372055</v>
      </c>
      <c r="AI506">
        <v>90.368482415280994</v>
      </c>
      <c r="AJ506">
        <v>88.162015245235807</v>
      </c>
      <c r="AK506">
        <v>172.250640816794</v>
      </c>
      <c r="AL506">
        <v>85.683111364967402</v>
      </c>
      <c r="AM506">
        <v>89.080734300150894</v>
      </c>
      <c r="AN506">
        <v>1.0000000513357601</v>
      </c>
    </row>
    <row r="507" spans="1:40" x14ac:dyDescent="0.25">
      <c r="A507" t="str">
        <f>"20190312150956601"</f>
        <v>20190312150956601</v>
      </c>
      <c r="B507" t="str">
        <f>"1552374596591655"</f>
        <v>1552374596591655</v>
      </c>
      <c r="C507" t="s">
        <v>40</v>
      </c>
      <c r="D507">
        <v>5.20268</v>
      </c>
      <c r="E507">
        <v>0.505413</v>
      </c>
      <c r="F507" t="s">
        <v>42</v>
      </c>
      <c r="G507">
        <v>-222.02099999999999</v>
      </c>
      <c r="H507" s="1">
        <v>-4.9506959999999998E-6</v>
      </c>
      <c r="I507">
        <v>361.1626</v>
      </c>
      <c r="J507">
        <v>-393.52140000000003</v>
      </c>
      <c r="K507">
        <v>1.108198</v>
      </c>
      <c r="L507">
        <v>367.29390000000001</v>
      </c>
      <c r="M507">
        <v>0.99995020000000001</v>
      </c>
      <c r="N507">
        <v>0</v>
      </c>
      <c r="O507">
        <v>-3.7773920000000001E-3</v>
      </c>
      <c r="P507">
        <v>0.99764059999999999</v>
      </c>
      <c r="Q507">
        <v>6.5733760000000002E-2</v>
      </c>
      <c r="R507">
        <v>-1.9815900000000001E-2</v>
      </c>
      <c r="S507">
        <v>3.006348</v>
      </c>
      <c r="T507">
        <v>-1.9388909999999999E-2</v>
      </c>
      <c r="U507">
        <v>-0.1073303</v>
      </c>
      <c r="V507">
        <v>1.6049689999999998E-2</v>
      </c>
      <c r="W507">
        <v>7.4957880000000005E-2</v>
      </c>
      <c r="X507">
        <v>0.99705759999999999</v>
      </c>
      <c r="Y507">
        <v>3.1902519999999997E-2</v>
      </c>
      <c r="Z507" s="1">
        <v>-7.8486819999999997E-5</v>
      </c>
      <c r="AA507">
        <v>0.99949100000000002</v>
      </c>
      <c r="AB507">
        <v>25</v>
      </c>
      <c r="AC507">
        <v>171.50040000000001</v>
      </c>
      <c r="AD507">
        <v>-1.1082029506960001</v>
      </c>
      <c r="AE507">
        <v>-6.1313000000000004</v>
      </c>
      <c r="AF507">
        <v>5.4831757158683496</v>
      </c>
      <c r="AG507">
        <v>-1.1082029506960001</v>
      </c>
      <c r="AH507">
        <v>171.51518518776601</v>
      </c>
      <c r="AI507">
        <v>90.370008333279102</v>
      </c>
      <c r="AJ507">
        <v>88.168932591926406</v>
      </c>
      <c r="AK507">
        <v>171.606387059761</v>
      </c>
      <c r="AL507">
        <v>85.701198094539293</v>
      </c>
      <c r="AM507">
        <v>89.077786392500897</v>
      </c>
      <c r="AN507">
        <v>1.0000000670204701</v>
      </c>
    </row>
    <row r="508" spans="1:40" x14ac:dyDescent="0.25">
      <c r="A508" t="str">
        <f>"20190312150956621"</f>
        <v>20190312150956621</v>
      </c>
      <c r="B508" t="str">
        <f>"1552374596611176"</f>
        <v>1552374596611176</v>
      </c>
      <c r="C508" t="s">
        <v>40</v>
      </c>
      <c r="D508">
        <v>5.161797</v>
      </c>
      <c r="E508">
        <v>0.50437959999999904</v>
      </c>
      <c r="F508" t="s">
        <v>42</v>
      </c>
      <c r="G508">
        <v>-368.42759999999998</v>
      </c>
      <c r="H508" s="1">
        <v>-1.3662139999999999E-6</v>
      </c>
      <c r="I508">
        <v>366.44029999999998</v>
      </c>
      <c r="J508">
        <v>-393.28789999999998</v>
      </c>
      <c r="K508">
        <v>1.1085100000000001</v>
      </c>
      <c r="L508">
        <v>367.29309999999998</v>
      </c>
      <c r="M508">
        <v>0.99994870000000002</v>
      </c>
      <c r="N508">
        <v>0</v>
      </c>
      <c r="O508">
        <v>-3.7764130000000002E-3</v>
      </c>
      <c r="P508">
        <v>0.99764839999999999</v>
      </c>
      <c r="Q508">
        <v>6.5609600000000004E-2</v>
      </c>
      <c r="R508">
        <v>-1.9833949999999999E-2</v>
      </c>
      <c r="S508">
        <v>3.0138240000000001</v>
      </c>
      <c r="T508">
        <v>-0.13309660000000001</v>
      </c>
      <c r="U508">
        <v>-0.1025085</v>
      </c>
      <c r="V508">
        <v>1.60684E-2</v>
      </c>
      <c r="W508">
        <v>7.4985449999999995E-2</v>
      </c>
      <c r="X508">
        <v>0.99705520000000003</v>
      </c>
      <c r="Y508">
        <v>3.0192770000000001E-2</v>
      </c>
      <c r="Z508">
        <v>-4.9952069999999996E-4</v>
      </c>
      <c r="AA508">
        <v>0.99954399999999999</v>
      </c>
      <c r="AB508">
        <v>25</v>
      </c>
      <c r="AC508">
        <v>24.860299999999899</v>
      </c>
      <c r="AD508">
        <v>-1.108511366214</v>
      </c>
      <c r="AE508">
        <v>-0.852800000000002</v>
      </c>
      <c r="AF508">
        <v>0.757402886966973</v>
      </c>
      <c r="AG508">
        <v>-1.108511366214</v>
      </c>
      <c r="AH508">
        <v>24.814065192133601</v>
      </c>
      <c r="AI508">
        <v>92.556667604607696</v>
      </c>
      <c r="AJ508">
        <v>88.251696398053696</v>
      </c>
      <c r="AK508">
        <v>24.850357903693698</v>
      </c>
      <c r="AL508">
        <v>85.6996138819339</v>
      </c>
      <c r="AM508">
        <v>89.076709281685496</v>
      </c>
      <c r="AN508">
        <v>1.0000000415186501</v>
      </c>
    </row>
    <row r="509" spans="1:40" x14ac:dyDescent="0.25">
      <c r="A509" t="str">
        <f>"20190312150956635"</f>
        <v>20190312150956635</v>
      </c>
      <c r="B509" t="str">
        <f>"1552374596630696"</f>
        <v>1552374596630696</v>
      </c>
      <c r="C509" t="s">
        <v>40</v>
      </c>
      <c r="D509">
        <v>5.2672990000000004</v>
      </c>
      <c r="E509">
        <v>0.50467819999999997</v>
      </c>
      <c r="F509" t="s">
        <v>42</v>
      </c>
      <c r="G509">
        <v>-364.16579999999999</v>
      </c>
      <c r="H509" s="1">
        <v>-3.0594650000000002E-6</v>
      </c>
      <c r="I509">
        <v>366.37880000000001</v>
      </c>
      <c r="J509">
        <v>-393.13659999999999</v>
      </c>
      <c r="K509">
        <v>1.1086849999999999</v>
      </c>
      <c r="L509">
        <v>367.29250000000002</v>
      </c>
      <c r="M509">
        <v>0.9999479</v>
      </c>
      <c r="N509">
        <v>0</v>
      </c>
      <c r="O509">
        <v>-3.7745650000000001E-3</v>
      </c>
      <c r="P509">
        <v>0.99764960000000003</v>
      </c>
      <c r="Q509">
        <v>6.5563670000000004E-2</v>
      </c>
      <c r="R509">
        <v>-1.9919030000000001E-2</v>
      </c>
      <c r="S509">
        <v>3.0127259999999998</v>
      </c>
      <c r="T509">
        <v>-0.114677</v>
      </c>
      <c r="U509">
        <v>-9.4573969999999993E-2</v>
      </c>
      <c r="V509">
        <v>1.6155309999999999E-2</v>
      </c>
      <c r="W509">
        <v>7.5028730000000002E-2</v>
      </c>
      <c r="X509">
        <v>0.99705049999999995</v>
      </c>
      <c r="Y509">
        <v>2.7585720000000001E-2</v>
      </c>
      <c r="Z509">
        <v>-3.8110230000000002E-4</v>
      </c>
      <c r="AA509">
        <v>0.99961940000000005</v>
      </c>
      <c r="AB509">
        <v>25</v>
      </c>
      <c r="AC509">
        <v>28.970800000000001</v>
      </c>
      <c r="AD509">
        <v>-1.1086880594649999</v>
      </c>
      <c r="AE509">
        <v>-0.91370000000000495</v>
      </c>
      <c r="AF509">
        <v>0.80316132071558699</v>
      </c>
      <c r="AG509">
        <v>-1.1086880594649999</v>
      </c>
      <c r="AH509">
        <v>28.931713369097199</v>
      </c>
      <c r="AI509">
        <v>92.193705286947207</v>
      </c>
      <c r="AJ509">
        <v>88.409843978991901</v>
      </c>
      <c r="AK509">
        <v>28.9640863103239</v>
      </c>
      <c r="AL509">
        <v>85.697126944936699</v>
      </c>
      <c r="AM509">
        <v>89.071711927055802</v>
      </c>
      <c r="AN509">
        <v>1.0000000019584201</v>
      </c>
    </row>
    <row r="510" spans="1:40" x14ac:dyDescent="0.25">
      <c r="A510" t="str">
        <f>"20190312150956654"</f>
        <v>20190312150956654</v>
      </c>
      <c r="B510" t="str">
        <f>"1552374596651191"</f>
        <v>1552374596651191</v>
      </c>
      <c r="C510" t="s">
        <v>40</v>
      </c>
      <c r="D510">
        <v>5.1750439999999998</v>
      </c>
      <c r="E510">
        <v>0.50505920000000004</v>
      </c>
      <c r="F510" t="s">
        <v>42</v>
      </c>
      <c r="G510">
        <v>-365.87130000000002</v>
      </c>
      <c r="H510" s="1">
        <v>-2.3217339999999998E-6</v>
      </c>
      <c r="I510">
        <v>366.41289999999998</v>
      </c>
      <c r="J510">
        <v>-392.92899999999997</v>
      </c>
      <c r="K510">
        <v>1.1088910000000001</v>
      </c>
      <c r="L510">
        <v>367.29169999999999</v>
      </c>
      <c r="M510">
        <v>0.99994680000000002</v>
      </c>
      <c r="N510">
        <v>0</v>
      </c>
      <c r="O510">
        <v>-3.7710280000000001E-3</v>
      </c>
      <c r="P510">
        <v>0.99766779999999999</v>
      </c>
      <c r="Q510">
        <v>6.5294379999999999E-2</v>
      </c>
      <c r="R510">
        <v>-1.9885969999999999E-2</v>
      </c>
      <c r="S510">
        <v>3.0131230000000002</v>
      </c>
      <c r="T510">
        <v>-0.1225224</v>
      </c>
      <c r="U510">
        <v>-9.7198489999999999E-2</v>
      </c>
      <c r="V510">
        <v>1.6125649999999998E-2</v>
      </c>
      <c r="W510">
        <v>7.4867050000000004E-2</v>
      </c>
      <c r="X510">
        <v>0.99706320000000004</v>
      </c>
      <c r="Y510">
        <v>2.8451779999999999E-2</v>
      </c>
      <c r="Z510">
        <v>-4.2483480000000002E-4</v>
      </c>
      <c r="AA510">
        <v>0.99959509999999996</v>
      </c>
      <c r="AB510">
        <v>25</v>
      </c>
      <c r="AC510">
        <v>27.057700000000001</v>
      </c>
      <c r="AD510">
        <v>-1.108893321734</v>
      </c>
      <c r="AE510">
        <v>-0.87880000000001202</v>
      </c>
      <c r="AF510">
        <v>0.77545264999013996</v>
      </c>
      <c r="AG510">
        <v>-1.108893321734</v>
      </c>
      <c r="AH510">
        <v>27.015495157238199</v>
      </c>
      <c r="AI510">
        <v>92.349508961574003</v>
      </c>
      <c r="AJ510">
        <v>88.355833660048702</v>
      </c>
      <c r="AK510">
        <v>27.049361356640599</v>
      </c>
      <c r="AL510">
        <v>85.706416939603699</v>
      </c>
      <c r="AM510">
        <v>89.073427700743196</v>
      </c>
      <c r="AN510">
        <v>1.0000000682789301</v>
      </c>
    </row>
    <row r="511" spans="1:40" x14ac:dyDescent="0.25">
      <c r="A511" t="str">
        <f>"20190312150956677"</f>
        <v>20190312150956677</v>
      </c>
      <c r="B511" t="str">
        <f>"1552374596671689"</f>
        <v>1552374596671689</v>
      </c>
      <c r="C511" t="s">
        <v>40</v>
      </c>
      <c r="D511">
        <v>5.4190019999999999</v>
      </c>
      <c r="E511">
        <v>0.50444709999999904</v>
      </c>
      <c r="F511" t="s">
        <v>42</v>
      </c>
      <c r="G511">
        <v>-364.11630000000002</v>
      </c>
      <c r="H511" s="1">
        <v>-3.0885120000000001E-6</v>
      </c>
      <c r="I511">
        <v>366.33449999999999</v>
      </c>
      <c r="J511">
        <v>-392.67559999999997</v>
      </c>
      <c r="K511">
        <v>1.1091040000000001</v>
      </c>
      <c r="L511">
        <v>367.29079999999999</v>
      </c>
      <c r="M511">
        <v>0.9999458</v>
      </c>
      <c r="N511">
        <v>0</v>
      </c>
      <c r="O511">
        <v>-3.7671699999999998E-3</v>
      </c>
      <c r="P511">
        <v>0.99768950000000001</v>
      </c>
      <c r="Q511">
        <v>6.5020530000000007E-2</v>
      </c>
      <c r="R511">
        <v>-1.9696120000000001E-2</v>
      </c>
      <c r="S511">
        <v>3.0126040000000001</v>
      </c>
      <c r="T511">
        <v>-0.11594400000000001</v>
      </c>
      <c r="U511">
        <v>-0.10006710000000001</v>
      </c>
      <c r="V511">
        <v>1.5939689999999999E-2</v>
      </c>
      <c r="W511">
        <v>7.4705869999999994E-2</v>
      </c>
      <c r="X511">
        <v>0.99707820000000003</v>
      </c>
      <c r="Y511">
        <v>2.9413390000000001E-2</v>
      </c>
      <c r="Z511">
        <v>-4.20746E-4</v>
      </c>
      <c r="AA511">
        <v>0.99956730000000005</v>
      </c>
      <c r="AB511">
        <v>25</v>
      </c>
      <c r="AC511">
        <v>28.559299999999901</v>
      </c>
      <c r="AD511">
        <v>-1.109107088512</v>
      </c>
      <c r="AE511">
        <v>-0.95629999999999804</v>
      </c>
      <c r="AF511">
        <v>0.84742377514572698</v>
      </c>
      <c r="AG511">
        <v>-1.109107088512</v>
      </c>
      <c r="AH511">
        <v>28.5197354542731</v>
      </c>
      <c r="AI511">
        <v>92.226078041763898</v>
      </c>
      <c r="AJ511">
        <v>88.298037368808806</v>
      </c>
      <c r="AK511">
        <v>28.553871120571198</v>
      </c>
      <c r="AL511">
        <v>85.715677466066197</v>
      </c>
      <c r="AM511">
        <v>89.084124820755406</v>
      </c>
      <c r="AN511">
        <v>0.99999998882249597</v>
      </c>
    </row>
    <row r="512" spans="1:40" x14ac:dyDescent="0.25">
      <c r="A512" t="str">
        <f>"20190312150956700"</f>
        <v>20190312150956700</v>
      </c>
      <c r="B512" t="str">
        <f>"1552374596691207"</f>
        <v>1552374596691207</v>
      </c>
      <c r="C512" t="s">
        <v>40</v>
      </c>
      <c r="D512">
        <v>5.1342699999999999</v>
      </c>
      <c r="E512">
        <v>0.50465179999999998</v>
      </c>
      <c r="F512" t="s">
        <v>42</v>
      </c>
      <c r="G512">
        <v>-365.04820000000001</v>
      </c>
      <c r="H512" s="1">
        <v>-2.672828E-6</v>
      </c>
      <c r="I512">
        <v>366.42430000000002</v>
      </c>
      <c r="J512">
        <v>-392.42180000000002</v>
      </c>
      <c r="K512">
        <v>1.109278</v>
      </c>
      <c r="L512">
        <v>367.28980000000001</v>
      </c>
      <c r="M512">
        <v>0.99994490000000003</v>
      </c>
      <c r="N512">
        <v>0</v>
      </c>
      <c r="O512">
        <v>-3.764159E-3</v>
      </c>
      <c r="P512">
        <v>0.997699</v>
      </c>
      <c r="Q512">
        <v>6.4962339999999993E-2</v>
      </c>
      <c r="R512">
        <v>-1.9412120000000001E-2</v>
      </c>
      <c r="S512">
        <v>3.0129999999999999</v>
      </c>
      <c r="T512">
        <v>-0.120957</v>
      </c>
      <c r="U512">
        <v>-9.4482419999999998E-2</v>
      </c>
      <c r="V512">
        <v>1.56588E-2</v>
      </c>
      <c r="W512">
        <v>7.4737239999999996E-2</v>
      </c>
      <c r="X512">
        <v>0.99708030000000003</v>
      </c>
      <c r="Y512">
        <v>2.756099E-2</v>
      </c>
      <c r="Z512">
        <v>-4.01841E-4</v>
      </c>
      <c r="AA512">
        <v>0.99961999999999995</v>
      </c>
      <c r="AB512">
        <v>25</v>
      </c>
      <c r="AC512">
        <v>27.3736</v>
      </c>
      <c r="AD512">
        <v>-1.109280672828</v>
      </c>
      <c r="AE512">
        <v>-0.86549999999999705</v>
      </c>
      <c r="AF512">
        <v>0.76120156066097899</v>
      </c>
      <c r="AG512">
        <v>-1.109280672828</v>
      </c>
      <c r="AH512">
        <v>27.331825314079701</v>
      </c>
      <c r="AI512">
        <v>92.323212721570997</v>
      </c>
      <c r="AJ512">
        <v>88.404703479569207</v>
      </c>
      <c r="AK512">
        <v>27.364915611535</v>
      </c>
      <c r="AL512">
        <v>85.713875058835399</v>
      </c>
      <c r="AM512">
        <v>89.100263635842794</v>
      </c>
      <c r="AN512">
        <v>0.99999998885417296</v>
      </c>
    </row>
    <row r="513" spans="1:40" x14ac:dyDescent="0.25">
      <c r="A513" t="str">
        <f>"20190312150956722"</f>
        <v>20190312150956722</v>
      </c>
      <c r="B513" t="str">
        <f>"1552374596711703"</f>
        <v>1552374596711703</v>
      </c>
      <c r="C513" t="s">
        <v>40</v>
      </c>
      <c r="D513">
        <v>5.1496639999999996</v>
      </c>
      <c r="E513">
        <v>0.50483020000000001</v>
      </c>
      <c r="F513" t="s">
        <v>42</v>
      </c>
      <c r="G513">
        <v>-364.80759999999998</v>
      </c>
      <c r="H513" s="1">
        <v>-2.7773270000000002E-6</v>
      </c>
      <c r="I513">
        <v>366.4171</v>
      </c>
      <c r="J513">
        <v>-392.17869999999999</v>
      </c>
      <c r="K513">
        <v>1.1094139999999999</v>
      </c>
      <c r="L513">
        <v>367.28890000000001</v>
      </c>
      <c r="M513">
        <v>0.99994419999999995</v>
      </c>
      <c r="N513">
        <v>0</v>
      </c>
      <c r="O513">
        <v>-3.76224E-3</v>
      </c>
      <c r="P513">
        <v>0.99769790000000003</v>
      </c>
      <c r="Q513">
        <v>6.5038180000000001E-2</v>
      </c>
      <c r="R513">
        <v>-1.9201630000000001E-2</v>
      </c>
      <c r="S513">
        <v>3.0129389999999998</v>
      </c>
      <c r="T513">
        <v>-0.121031399999999</v>
      </c>
      <c r="U513">
        <v>-9.5214839999999995E-2</v>
      </c>
      <c r="V513">
        <v>1.545027E-2</v>
      </c>
      <c r="W513">
        <v>7.4882749999999998E-2</v>
      </c>
      <c r="X513">
        <v>0.99707259999999998</v>
      </c>
      <c r="Y513">
        <v>2.780606E-2</v>
      </c>
      <c r="Z513">
        <v>-4.0709049999999999E-4</v>
      </c>
      <c r="AA513">
        <v>0.99961319999999998</v>
      </c>
      <c r="AB513">
        <v>25</v>
      </c>
      <c r="AC513">
        <v>27.371099999999998</v>
      </c>
      <c r="AD513">
        <v>-1.1094167773269901</v>
      </c>
      <c r="AE513">
        <v>-0.87180000000000701</v>
      </c>
      <c r="AF513">
        <v>0.76755244865542904</v>
      </c>
      <c r="AG513">
        <v>-1.1094167773269901</v>
      </c>
      <c r="AH513">
        <v>27.329333129814898</v>
      </c>
      <c r="AI513">
        <v>92.323693869137102</v>
      </c>
      <c r="AJ513">
        <v>88.391253888117603</v>
      </c>
      <c r="AK513">
        <v>27.362609372420099</v>
      </c>
      <c r="AL513">
        <v>85.705514369386606</v>
      </c>
      <c r="AM513">
        <v>89.112236740931394</v>
      </c>
      <c r="AN513">
        <v>0.99999995338069603</v>
      </c>
    </row>
    <row r="514" spans="1:40" x14ac:dyDescent="0.25">
      <c r="A514" t="str">
        <f>"20190312150956743"</f>
        <v>20190312150956743</v>
      </c>
      <c r="B514" t="str">
        <f>"1552374596731223"</f>
        <v>1552374596731223</v>
      </c>
      <c r="C514" t="s">
        <v>40</v>
      </c>
      <c r="D514">
        <v>5.1633050000000003</v>
      </c>
      <c r="E514">
        <v>0.50482729999999998</v>
      </c>
      <c r="F514" t="s">
        <v>42</v>
      </c>
      <c r="G514">
        <v>-364.73390000000001</v>
      </c>
      <c r="H514" s="1">
        <v>-2.8096210000000001E-6</v>
      </c>
      <c r="I514">
        <v>366.41320000000002</v>
      </c>
      <c r="J514">
        <v>-391.94260000000003</v>
      </c>
      <c r="K514">
        <v>1.1095219999999999</v>
      </c>
      <c r="L514">
        <v>367.28800000000001</v>
      </c>
      <c r="M514">
        <v>0.9999439</v>
      </c>
      <c r="N514">
        <v>0</v>
      </c>
      <c r="O514">
        <v>-3.7616839999999999E-3</v>
      </c>
      <c r="P514">
        <v>0.99771399999999999</v>
      </c>
      <c r="Q514">
        <v>6.4795060000000002E-2</v>
      </c>
      <c r="R514">
        <v>-1.9199230000000001E-2</v>
      </c>
      <c r="S514">
        <v>3.0129700000000001</v>
      </c>
      <c r="T514">
        <v>-0.1217946</v>
      </c>
      <c r="U514">
        <v>-9.6130370000000007E-2</v>
      </c>
      <c r="V514">
        <v>1.544833E-2</v>
      </c>
      <c r="W514">
        <v>7.469539E-2</v>
      </c>
      <c r="X514">
        <v>0.99708669999999999</v>
      </c>
      <c r="Y514">
        <v>2.8109249999999999E-2</v>
      </c>
      <c r="Z514">
        <v>-4.1579550000000001E-4</v>
      </c>
      <c r="AA514">
        <v>0.99960479999999996</v>
      </c>
      <c r="AB514">
        <v>25</v>
      </c>
      <c r="AC514">
        <v>27.2087</v>
      </c>
      <c r="AD514">
        <v>-1.109524809621</v>
      </c>
      <c r="AE514">
        <v>-0.87479999999999303</v>
      </c>
      <c r="AF514">
        <v>0.77115725015996595</v>
      </c>
      <c r="AG514">
        <v>-1.109524809621</v>
      </c>
      <c r="AH514">
        <v>27.166670350353399</v>
      </c>
      <c r="AI514">
        <v>92.337799352834196</v>
      </c>
      <c r="AJ514">
        <v>88.374029886984005</v>
      </c>
      <c r="AK514">
        <v>27.200251960825799</v>
      </c>
      <c r="AL514">
        <v>85.716279526379196</v>
      </c>
      <c r="AM514">
        <v>89.112360744783601</v>
      </c>
      <c r="AN514">
        <v>0.99999996975196503</v>
      </c>
    </row>
    <row r="515" spans="1:40" x14ac:dyDescent="0.25">
      <c r="A515" t="str">
        <f>"20190312150956755"</f>
        <v>20190312150956755</v>
      </c>
      <c r="B515" t="str">
        <f>"1552374596751731"</f>
        <v>1552374596751731</v>
      </c>
      <c r="C515" t="s">
        <v>40</v>
      </c>
      <c r="D515">
        <v>5.1315489999999997</v>
      </c>
      <c r="E515">
        <v>0.50496770000000002</v>
      </c>
      <c r="F515" t="s">
        <v>42</v>
      </c>
      <c r="G515">
        <v>-365.65550000000002</v>
      </c>
      <c r="H515" s="1">
        <v>-2.407646E-6</v>
      </c>
      <c r="I515">
        <v>366.45069999999998</v>
      </c>
      <c r="J515">
        <v>-391.80579999999998</v>
      </c>
      <c r="K515">
        <v>1.1095790000000001</v>
      </c>
      <c r="L515">
        <v>367.28750000000002</v>
      </c>
      <c r="M515">
        <v>0.99994340000000004</v>
      </c>
      <c r="N515">
        <v>0</v>
      </c>
      <c r="O515">
        <v>-3.7611060000000002E-3</v>
      </c>
      <c r="P515">
        <v>0.99772640000000001</v>
      </c>
      <c r="Q515">
        <v>6.4601030000000004E-2</v>
      </c>
      <c r="R515">
        <v>-1.920883E-2</v>
      </c>
      <c r="S515">
        <v>3.013306</v>
      </c>
      <c r="T515">
        <v>-0.12718489999999999</v>
      </c>
      <c r="U515">
        <v>-9.5977779999999999E-2</v>
      </c>
      <c r="V515">
        <v>1.545854E-2</v>
      </c>
      <c r="W515">
        <v>7.4528490000000003E-2</v>
      </c>
      <c r="X515">
        <v>0.99709899999999996</v>
      </c>
      <c r="Y515">
        <v>2.8053970000000001E-2</v>
      </c>
      <c r="Z515">
        <v>-4.3299190000000001E-4</v>
      </c>
      <c r="AA515">
        <v>0.99960629999999995</v>
      </c>
      <c r="AB515">
        <v>25</v>
      </c>
      <c r="AC515">
        <v>26.150299999999898</v>
      </c>
      <c r="AD515">
        <v>-1.109581407646</v>
      </c>
      <c r="AE515">
        <v>-0.83680000000003896</v>
      </c>
      <c r="AF515">
        <v>0.73710943706064602</v>
      </c>
      <c r="AG515">
        <v>-1.109581407646</v>
      </c>
      <c r="AH515">
        <v>26.1063091847472</v>
      </c>
      <c r="AI515">
        <v>92.432776345082004</v>
      </c>
      <c r="AJ515">
        <v>88.382688187860694</v>
      </c>
      <c r="AK515">
        <v>26.1402731522073</v>
      </c>
      <c r="AL515">
        <v>85.725868789827103</v>
      </c>
      <c r="AM515">
        <v>89.111785141747404</v>
      </c>
      <c r="AN515">
        <v>0.99999993904080398</v>
      </c>
    </row>
    <row r="516" spans="1:40" x14ac:dyDescent="0.25">
      <c r="A516" t="str">
        <f>"20190312150956768"</f>
        <v>20190312150956768</v>
      </c>
      <c r="B516" t="str">
        <f>"1552374596761479"</f>
        <v>1552374596761479</v>
      </c>
      <c r="C516" t="s">
        <v>40</v>
      </c>
      <c r="D516">
        <v>5.1453300000000004</v>
      </c>
      <c r="E516">
        <v>0.50503929999999997</v>
      </c>
      <c r="F516" t="s">
        <v>42</v>
      </c>
      <c r="G516">
        <v>-365.46780000000001</v>
      </c>
      <c r="H516" s="1">
        <v>-2.4901859999999999E-6</v>
      </c>
      <c r="I516">
        <v>366.43920000000003</v>
      </c>
      <c r="J516">
        <v>-391.67059999999998</v>
      </c>
      <c r="K516">
        <v>1.109634</v>
      </c>
      <c r="L516">
        <v>367.28699999999998</v>
      </c>
      <c r="M516">
        <v>0.99994329999999998</v>
      </c>
      <c r="N516">
        <v>0</v>
      </c>
      <c r="O516">
        <v>-3.761098E-3</v>
      </c>
      <c r="P516">
        <v>0.99772450000000001</v>
      </c>
      <c r="Q516">
        <v>6.4620029999999995E-2</v>
      </c>
      <c r="R516">
        <v>-1.9248850000000001E-2</v>
      </c>
      <c r="S516">
        <v>3.0132140000000001</v>
      </c>
      <c r="T516">
        <v>-0.12694169999999999</v>
      </c>
      <c r="U516">
        <v>-9.7045900000000004E-2</v>
      </c>
      <c r="V516">
        <v>1.549852E-2</v>
      </c>
      <c r="W516">
        <v>7.4569380000000005E-2</v>
      </c>
      <c r="X516">
        <v>0.99709539999999997</v>
      </c>
      <c r="Y516">
        <v>2.8408679999999999E-2</v>
      </c>
      <c r="Z516">
        <v>-4.3964239999999999E-4</v>
      </c>
      <c r="AA516">
        <v>0.99959629999999999</v>
      </c>
      <c r="AB516">
        <v>25</v>
      </c>
      <c r="AC516">
        <v>26.2027999999999</v>
      </c>
      <c r="AD516">
        <v>-1.1096364901860001</v>
      </c>
      <c r="AE516">
        <v>-0.84779999999994904</v>
      </c>
      <c r="AF516">
        <v>0.74789796998996205</v>
      </c>
      <c r="AG516">
        <v>-1.1096364901860001</v>
      </c>
      <c r="AH516">
        <v>26.158940283591701</v>
      </c>
      <c r="AI516">
        <v>92.427983425433695</v>
      </c>
      <c r="AJ516">
        <v>88.362329413763206</v>
      </c>
      <c r="AK516">
        <v>26.193144165494601</v>
      </c>
      <c r="AL516">
        <v>85.723519760241999</v>
      </c>
      <c r="AM516">
        <v>89.109485130692093</v>
      </c>
      <c r="AN516">
        <v>1.0000000166284599</v>
      </c>
    </row>
    <row r="517" spans="1:40" x14ac:dyDescent="0.25">
      <c r="A517" t="str">
        <f>"20190312150956788"</f>
        <v>20190312150956788</v>
      </c>
      <c r="B517" t="str">
        <f>"1552374596781003"</f>
        <v>1552374596781003</v>
      </c>
      <c r="C517" t="s">
        <v>40</v>
      </c>
      <c r="D517">
        <v>5.1297560000000004</v>
      </c>
      <c r="E517">
        <v>0.50502599999999997</v>
      </c>
      <c r="F517" t="s">
        <v>42</v>
      </c>
      <c r="G517">
        <v>-365.23930000000001</v>
      </c>
      <c r="H517" s="1">
        <v>-2.5900199999999999E-6</v>
      </c>
      <c r="I517">
        <v>366.42899999999997</v>
      </c>
      <c r="J517">
        <v>-391.44029999999998</v>
      </c>
      <c r="K517">
        <v>1.1097060000000001</v>
      </c>
      <c r="L517">
        <v>367.28620000000001</v>
      </c>
      <c r="M517">
        <v>0.99994300000000003</v>
      </c>
      <c r="N517">
        <v>0</v>
      </c>
      <c r="O517">
        <v>-3.7608939999999999E-3</v>
      </c>
      <c r="P517">
        <v>0.99773730000000005</v>
      </c>
      <c r="Q517">
        <v>6.4297989999999999E-2</v>
      </c>
      <c r="R517">
        <v>-1.9658950000000001E-2</v>
      </c>
      <c r="S517">
        <v>3.013153</v>
      </c>
      <c r="T517">
        <v>-0.12649759999999999</v>
      </c>
      <c r="U517">
        <v>-9.7808839999999994E-2</v>
      </c>
      <c r="V517">
        <v>1.5908800000000001E-2</v>
      </c>
      <c r="W517">
        <v>7.4277419999999997E-2</v>
      </c>
      <c r="X517">
        <v>0.99711070000000002</v>
      </c>
      <c r="Y517">
        <v>2.8662300000000002E-2</v>
      </c>
      <c r="Z517">
        <v>-4.4344140000000001E-4</v>
      </c>
      <c r="AA517">
        <v>0.99958899999999995</v>
      </c>
      <c r="AB517">
        <v>25</v>
      </c>
      <c r="AC517">
        <v>26.200999999999901</v>
      </c>
      <c r="AD517">
        <v>-1.1097085900200001</v>
      </c>
      <c r="AE517">
        <v>-0.85719999999997698</v>
      </c>
      <c r="AF517">
        <v>0.75729282850211299</v>
      </c>
      <c r="AG517">
        <v>-1.1097085900200001</v>
      </c>
      <c r="AH517">
        <v>26.1571672453579</v>
      </c>
      <c r="AI517">
        <v>92.428280212042793</v>
      </c>
      <c r="AJ517">
        <v>88.341656587796393</v>
      </c>
      <c r="AK517">
        <v>26.191646452342201</v>
      </c>
      <c r="AL517">
        <v>85.740294227863501</v>
      </c>
      <c r="AM517">
        <v>89.085929210385402</v>
      </c>
      <c r="AN517">
        <v>0.99999998654689304</v>
      </c>
    </row>
    <row r="518" spans="1:40" x14ac:dyDescent="0.25">
      <c r="A518" t="str">
        <f>"20190312150956801"</f>
        <v>20190312150956801</v>
      </c>
      <c r="B518" t="str">
        <f>"1552374596791735"</f>
        <v>1552374596791735</v>
      </c>
      <c r="C518" t="s">
        <v>40</v>
      </c>
      <c r="D518">
        <v>5.3412699999999997</v>
      </c>
      <c r="E518">
        <v>0.505021099999999</v>
      </c>
      <c r="F518" t="s">
        <v>42</v>
      </c>
      <c r="G518">
        <v>-365.2099</v>
      </c>
      <c r="H518" s="1">
        <v>-2.6033510000000001E-6</v>
      </c>
      <c r="I518">
        <v>366.42500000000001</v>
      </c>
      <c r="J518">
        <v>-391.3032</v>
      </c>
      <c r="K518">
        <v>1.109742</v>
      </c>
      <c r="L518">
        <v>367.28570000000002</v>
      </c>
      <c r="M518">
        <v>0.99994280000000002</v>
      </c>
      <c r="N518">
        <v>0</v>
      </c>
      <c r="O518">
        <v>-3.7608440000000002E-3</v>
      </c>
      <c r="P518">
        <v>0.99774890000000005</v>
      </c>
      <c r="Q518">
        <v>6.4056459999999996E-2</v>
      </c>
      <c r="R518">
        <v>-1.9856809999999999E-2</v>
      </c>
      <c r="S518">
        <v>3.0130620000000001</v>
      </c>
      <c r="T518">
        <v>-0.12747049999999999</v>
      </c>
      <c r="U518">
        <v>-9.8907469999999997E-2</v>
      </c>
      <c r="V518">
        <v>1.6106820000000001E-2</v>
      </c>
      <c r="W518">
        <v>7.4049649999999995E-2</v>
      </c>
      <c r="X518">
        <v>0.99712449999999997</v>
      </c>
      <c r="Y518">
        <v>2.902675E-2</v>
      </c>
      <c r="Z518">
        <v>-4.5456529999999998E-4</v>
      </c>
      <c r="AA518">
        <v>0.99957850000000004</v>
      </c>
      <c r="AB518">
        <v>25</v>
      </c>
      <c r="AC518">
        <v>26.093299999999999</v>
      </c>
      <c r="AD518">
        <v>-1.1097446033509999</v>
      </c>
      <c r="AE518">
        <v>-0.86070000000000801</v>
      </c>
      <c r="AF518">
        <v>0.76118084272236997</v>
      </c>
      <c r="AG518">
        <v>-1.1097446033509999</v>
      </c>
      <c r="AH518">
        <v>26.0492861011471</v>
      </c>
      <c r="AI518">
        <v>92.438384622654098</v>
      </c>
      <c r="AJ518">
        <v>88.326248058399699</v>
      </c>
      <c r="AK518">
        <v>26.084022614225098</v>
      </c>
      <c r="AL518">
        <v>85.753380687293301</v>
      </c>
      <c r="AM518">
        <v>89.074566361705905</v>
      </c>
      <c r="AN518">
        <v>1.0000000244079399</v>
      </c>
    </row>
    <row r="519" spans="1:40" x14ac:dyDescent="0.25">
      <c r="A519" t="str">
        <f>"20190312150956813"</f>
        <v>20190312150956813</v>
      </c>
      <c r="B519" t="str">
        <f>"1552374596801496"</f>
        <v>1552374596801496</v>
      </c>
      <c r="C519" t="s">
        <v>40</v>
      </c>
      <c r="D519">
        <v>5.1899639999999998</v>
      </c>
      <c r="E519">
        <v>0.5049903</v>
      </c>
      <c r="F519" t="s">
        <v>42</v>
      </c>
      <c r="G519">
        <v>-364.5068</v>
      </c>
      <c r="H519" s="1">
        <v>-2.9096230000000001E-6</v>
      </c>
      <c r="I519">
        <v>366.39879999999999</v>
      </c>
      <c r="J519">
        <v>-391.1678</v>
      </c>
      <c r="K519">
        <v>1.1097729999999999</v>
      </c>
      <c r="L519">
        <v>367.28519999999997</v>
      </c>
      <c r="M519">
        <v>0.99994260000000001</v>
      </c>
      <c r="N519">
        <v>0</v>
      </c>
      <c r="O519">
        <v>-3.760537E-3</v>
      </c>
      <c r="P519">
        <v>0.99774130000000005</v>
      </c>
      <c r="Q519">
        <v>6.4125710000000002E-2</v>
      </c>
      <c r="R519">
        <v>-2.0006969999999999E-2</v>
      </c>
      <c r="S519">
        <v>3.0127869999999999</v>
      </c>
      <c r="T519">
        <v>-0.1247709</v>
      </c>
      <c r="U519">
        <v>-9.9700929999999993E-2</v>
      </c>
      <c r="V519">
        <v>1.625716E-2</v>
      </c>
      <c r="W519">
        <v>7.4128589999999994E-2</v>
      </c>
      <c r="X519">
        <v>0.99711609999999995</v>
      </c>
      <c r="Y519">
        <v>2.929373E-2</v>
      </c>
      <c r="Z519">
        <v>-4.5052249999999997E-4</v>
      </c>
      <c r="AA519">
        <v>0.99957070000000003</v>
      </c>
      <c r="AB519">
        <v>25</v>
      </c>
      <c r="AC519">
        <v>26.660999999999898</v>
      </c>
      <c r="AD519">
        <v>-1.109775909623</v>
      </c>
      <c r="AE519">
        <v>-0.88639999999997998</v>
      </c>
      <c r="AF519">
        <v>0.78477075541098995</v>
      </c>
      <c r="AG519">
        <v>-1.109775909623</v>
      </c>
      <c r="AH519">
        <v>26.6180753586377</v>
      </c>
      <c r="AI519">
        <v>92.3863897479862</v>
      </c>
      <c r="AJ519">
        <v>88.311259157837497</v>
      </c>
      <c r="AK519">
        <v>26.652756020836701</v>
      </c>
      <c r="AL519">
        <v>85.7488448914918</v>
      </c>
      <c r="AM519">
        <v>89.065922080761297</v>
      </c>
      <c r="AN519">
        <v>0.99999992999292897</v>
      </c>
    </row>
    <row r="520" spans="1:40" x14ac:dyDescent="0.25">
      <c r="A520" t="str">
        <f>"20190312150956833"</f>
        <v>20190312150956833</v>
      </c>
      <c r="B520" t="str">
        <f>"1552374596821019"</f>
        <v>1552374596821019</v>
      </c>
      <c r="C520" t="s">
        <v>40</v>
      </c>
      <c r="D520">
        <v>5.1892860000000001</v>
      </c>
      <c r="E520">
        <v>0.50492499999999996</v>
      </c>
      <c r="F520" t="s">
        <v>42</v>
      </c>
      <c r="G520">
        <v>-363.62060000000002</v>
      </c>
      <c r="H520" s="1">
        <v>-3.2945899999999999E-6</v>
      </c>
      <c r="I520">
        <v>366.37169999999998</v>
      </c>
      <c r="J520">
        <v>-390.94560000000001</v>
      </c>
      <c r="K520">
        <v>1.10982</v>
      </c>
      <c r="L520">
        <v>367.28440000000001</v>
      </c>
      <c r="M520">
        <v>0.99994249999999996</v>
      </c>
      <c r="N520">
        <v>0</v>
      </c>
      <c r="O520">
        <v>-3.760598E-3</v>
      </c>
      <c r="P520">
        <v>0.9977511</v>
      </c>
      <c r="Q520">
        <v>6.3887159999999998E-2</v>
      </c>
      <c r="R520">
        <v>-2.0276539999999999E-2</v>
      </c>
      <c r="S520">
        <v>3.0126040000000001</v>
      </c>
      <c r="T520">
        <v>-0.1213664</v>
      </c>
      <c r="U520">
        <v>-9.9884029999999999E-2</v>
      </c>
      <c r="V520">
        <v>1.652675E-2</v>
      </c>
      <c r="W520">
        <v>7.3901770000000006E-2</v>
      </c>
      <c r="X520">
        <v>0.99712849999999997</v>
      </c>
      <c r="Y520">
        <v>2.9357479999999998E-2</v>
      </c>
      <c r="Z520">
        <v>-4.3954649999999998E-4</v>
      </c>
      <c r="AA520">
        <v>0.99956889999999998</v>
      </c>
      <c r="AB520">
        <v>25</v>
      </c>
      <c r="AC520">
        <v>27.3249999999999</v>
      </c>
      <c r="AD520">
        <v>-1.10982329459</v>
      </c>
      <c r="AE520">
        <v>-0.91270000000002904</v>
      </c>
      <c r="AF520">
        <v>0.80859762023098303</v>
      </c>
      <c r="AG520">
        <v>-1.10982329459</v>
      </c>
      <c r="AH520">
        <v>27.2832819899334</v>
      </c>
      <c r="AI520">
        <v>92.328359568717104</v>
      </c>
      <c r="AJ520">
        <v>88.302415612223001</v>
      </c>
      <c r="AK520">
        <v>27.3178149565239</v>
      </c>
      <c r="AL520">
        <v>85.761876445300999</v>
      </c>
      <c r="AM520">
        <v>89.0504470287499</v>
      </c>
      <c r="AN520">
        <v>0.99999992529346904</v>
      </c>
    </row>
    <row r="521" spans="1:40" x14ac:dyDescent="0.25">
      <c r="A521" t="str">
        <f>"20190312150956855"</f>
        <v>20190312150956855</v>
      </c>
      <c r="B521" t="str">
        <f>"1552374596851272"</f>
        <v>1552374596851272</v>
      </c>
      <c r="C521" t="s">
        <v>40</v>
      </c>
      <c r="D521">
        <v>5.1147019999999896</v>
      </c>
      <c r="E521">
        <v>0.50489340000000005</v>
      </c>
      <c r="F521" t="s">
        <v>42</v>
      </c>
      <c r="G521">
        <v>-363.65480000000002</v>
      </c>
      <c r="H521" s="1">
        <v>-3.2796899999999998E-6</v>
      </c>
      <c r="I521">
        <v>366.37310000000002</v>
      </c>
      <c r="J521">
        <v>-390.7045</v>
      </c>
      <c r="K521">
        <v>1.109864</v>
      </c>
      <c r="L521">
        <v>367.28339999999997</v>
      </c>
      <c r="M521">
        <v>0.99994249999999996</v>
      </c>
      <c r="N521">
        <v>0</v>
      </c>
      <c r="O521">
        <v>-3.7605120000000001E-3</v>
      </c>
      <c r="P521">
        <v>0.99774580000000002</v>
      </c>
      <c r="Q521">
        <v>6.3885449999999996E-2</v>
      </c>
      <c r="R521">
        <v>-2.0544239999999998E-2</v>
      </c>
      <c r="S521">
        <v>3.0126040000000001</v>
      </c>
      <c r="T521">
        <v>-0.1225116</v>
      </c>
      <c r="U521">
        <v>-0.10058590000000001</v>
      </c>
      <c r="V521">
        <v>1.6794690000000001E-2</v>
      </c>
      <c r="W521">
        <v>7.3906029999999998E-2</v>
      </c>
      <c r="X521">
        <v>0.9971238</v>
      </c>
      <c r="Y521">
        <v>2.9589609999999999E-2</v>
      </c>
      <c r="Z521">
        <v>-4.4840940000000001E-4</v>
      </c>
      <c r="AA521">
        <v>0.99956199999999995</v>
      </c>
      <c r="AB521">
        <v>25</v>
      </c>
      <c r="AC521">
        <v>27.049699999999898</v>
      </c>
      <c r="AD521">
        <v>-1.10986727969</v>
      </c>
      <c r="AE521">
        <v>-0.91029999999994904</v>
      </c>
      <c r="AF521">
        <v>0.80721029750063</v>
      </c>
      <c r="AG521">
        <v>-1.10986727969</v>
      </c>
      <c r="AH521">
        <v>27.007515941087998</v>
      </c>
      <c r="AI521">
        <v>92.352182779105604</v>
      </c>
      <c r="AJ521">
        <v>88.288032899530506</v>
      </c>
      <c r="AK521">
        <v>27.042361419651201</v>
      </c>
      <c r="AL521">
        <v>85.761632088350495</v>
      </c>
      <c r="AM521">
        <v>89.035050737562898</v>
      </c>
      <c r="AN521">
        <v>1.0000000177044901</v>
      </c>
    </row>
    <row r="522" spans="1:40" x14ac:dyDescent="0.25">
      <c r="A522" t="str">
        <f>"20190312150956867"</f>
        <v>20190312150956867</v>
      </c>
      <c r="B522" t="str">
        <f>"1552374596861032"</f>
        <v>1552374596861032</v>
      </c>
      <c r="C522" t="s">
        <v>40</v>
      </c>
      <c r="D522">
        <v>5.529604</v>
      </c>
      <c r="E522">
        <v>0.50521249999999995</v>
      </c>
      <c r="F522" t="s">
        <v>42</v>
      </c>
      <c r="G522">
        <v>-364.52679999999998</v>
      </c>
      <c r="H522" s="1">
        <v>-2.89967E-6</v>
      </c>
      <c r="I522">
        <v>366.40649999999999</v>
      </c>
      <c r="J522">
        <v>-390.56490000000002</v>
      </c>
      <c r="K522">
        <v>1.1098809999999999</v>
      </c>
      <c r="L522">
        <v>367.28289999999998</v>
      </c>
      <c r="M522">
        <v>0.99994249999999996</v>
      </c>
      <c r="N522">
        <v>0</v>
      </c>
      <c r="O522">
        <v>-3.7605130000000001E-3</v>
      </c>
      <c r="P522">
        <v>0.99773599999999996</v>
      </c>
      <c r="Q522">
        <v>6.4062460000000002E-2</v>
      </c>
      <c r="R522">
        <v>-2.0471320000000001E-2</v>
      </c>
      <c r="S522">
        <v>3.0128780000000002</v>
      </c>
      <c r="T522">
        <v>-0.12773760000000001</v>
      </c>
      <c r="U522">
        <v>-0.1009216</v>
      </c>
      <c r="V522">
        <v>1.672181E-2</v>
      </c>
      <c r="W522">
        <v>7.408294E-2</v>
      </c>
      <c r="X522">
        <v>0.99711190000000005</v>
      </c>
      <c r="Y522">
        <v>2.9695869999999999E-2</v>
      </c>
      <c r="Z522">
        <v>-4.6972799999999999E-4</v>
      </c>
      <c r="AA522">
        <v>0.99955890000000003</v>
      </c>
      <c r="AB522">
        <v>25</v>
      </c>
      <c r="AC522">
        <v>26.0381</v>
      </c>
      <c r="AD522">
        <v>-1.10988389966999</v>
      </c>
      <c r="AE522">
        <v>-0.87639999999998897</v>
      </c>
      <c r="AF522">
        <v>0.77706198682067895</v>
      </c>
      <c r="AG522">
        <v>-1.10988389966999</v>
      </c>
      <c r="AH522">
        <v>25.994036035096698</v>
      </c>
      <c r="AI522">
        <v>92.443818939705906</v>
      </c>
      <c r="AJ522">
        <v>88.287718115511893</v>
      </c>
      <c r="AK522">
        <v>26.029321485509701</v>
      </c>
      <c r="AL522">
        <v>85.751468043059404</v>
      </c>
      <c r="AM522">
        <v>89.039225852221605</v>
      </c>
      <c r="AN522">
        <v>1.0000000210251601</v>
      </c>
    </row>
    <row r="523" spans="1:40" x14ac:dyDescent="0.25">
      <c r="A523" t="str">
        <f>"20190312150956880"</f>
        <v>20190312150956880</v>
      </c>
      <c r="B523" t="str">
        <f>"1552374596871768"</f>
        <v>1552374596871768</v>
      </c>
      <c r="C523" t="s">
        <v>40</v>
      </c>
      <c r="D523">
        <v>5.3458740000000002</v>
      </c>
      <c r="E523">
        <v>0.50567609999999996</v>
      </c>
      <c r="F523" t="s">
        <v>42</v>
      </c>
      <c r="G523">
        <v>-363.50779999999997</v>
      </c>
      <c r="H523" s="1">
        <v>-3.3454300000000002E-6</v>
      </c>
      <c r="I523">
        <v>366.358</v>
      </c>
      <c r="J523">
        <v>-390.42290000000003</v>
      </c>
      <c r="K523">
        <v>1.1098980000000001</v>
      </c>
      <c r="L523">
        <v>367.2824</v>
      </c>
      <c r="M523">
        <v>0.99994249999999996</v>
      </c>
      <c r="N523">
        <v>0</v>
      </c>
      <c r="O523">
        <v>-3.7605080000000001E-3</v>
      </c>
      <c r="P523">
        <v>0.99771460000000001</v>
      </c>
      <c r="Q523">
        <v>6.4283740000000006E-2</v>
      </c>
      <c r="R523">
        <v>-2.082343E-2</v>
      </c>
      <c r="S523">
        <v>3.0126339999999998</v>
      </c>
      <c r="T523">
        <v>-0.1235778</v>
      </c>
      <c r="U523">
        <v>-0.1029663</v>
      </c>
      <c r="V523">
        <v>1.7073970000000001E-2</v>
      </c>
      <c r="W523">
        <v>7.4303110000000006E-2</v>
      </c>
      <c r="X523">
        <v>0.99708949999999996</v>
      </c>
      <c r="Y523">
        <v>3.0377120000000001E-2</v>
      </c>
      <c r="Z523">
        <v>-4.6843859999999999E-4</v>
      </c>
      <c r="AA523">
        <v>0.99953840000000005</v>
      </c>
      <c r="AB523">
        <v>25</v>
      </c>
      <c r="AC523">
        <v>26.915099999999999</v>
      </c>
      <c r="AD523">
        <v>-1.10990134543</v>
      </c>
      <c r="AE523">
        <v>-0.92439999999999101</v>
      </c>
      <c r="AF523">
        <v>0.82177812223994096</v>
      </c>
      <c r="AG523">
        <v>-1.10990134543</v>
      </c>
      <c r="AH523">
        <v>26.872742787958899</v>
      </c>
      <c r="AI523">
        <v>92.363989298470798</v>
      </c>
      <c r="AJ523">
        <v>88.248420357658503</v>
      </c>
      <c r="AK523">
        <v>26.908205165461698</v>
      </c>
      <c r="AL523">
        <v>85.738818157640196</v>
      </c>
      <c r="AM523">
        <v>89.018973903529101</v>
      </c>
      <c r="AN523">
        <v>0.99999997180874101</v>
      </c>
    </row>
    <row r="524" spans="1:40" x14ac:dyDescent="0.25">
      <c r="A524" t="str">
        <f>"20190312150956892"</f>
        <v>20190312150956892</v>
      </c>
      <c r="B524" t="str">
        <f>"1552374596881528"</f>
        <v>1552374596881528</v>
      </c>
      <c r="C524" t="s">
        <v>40</v>
      </c>
      <c r="D524">
        <v>5.1921900000000001</v>
      </c>
      <c r="E524">
        <v>0.50567609999999996</v>
      </c>
      <c r="F524" t="s">
        <v>42</v>
      </c>
      <c r="G524">
        <v>-362.50580000000002</v>
      </c>
      <c r="H524" s="1">
        <v>-3.7885490000000001E-6</v>
      </c>
      <c r="I524">
        <v>366.28309999999999</v>
      </c>
      <c r="J524">
        <v>-390.28480000000002</v>
      </c>
      <c r="K524">
        <v>1.1099110000000001</v>
      </c>
      <c r="L524">
        <v>367.28179999999998</v>
      </c>
      <c r="M524">
        <v>0.99994249999999996</v>
      </c>
      <c r="N524">
        <v>0</v>
      </c>
      <c r="O524">
        <v>-3.760256E-3</v>
      </c>
      <c r="P524">
        <v>0.9977085</v>
      </c>
      <c r="Q524">
        <v>6.4424930000000005E-2</v>
      </c>
      <c r="R524">
        <v>-2.0666919999999998E-2</v>
      </c>
      <c r="S524">
        <v>3.0123289999999998</v>
      </c>
      <c r="T524">
        <v>-0.11976100000000001</v>
      </c>
      <c r="U524">
        <v>-0.1078186</v>
      </c>
      <c r="V524">
        <v>1.6917749999999999E-2</v>
      </c>
      <c r="W524">
        <v>7.4441480000000004E-2</v>
      </c>
      <c r="X524">
        <v>0.99708189999999997</v>
      </c>
      <c r="Y524">
        <v>3.1988969999999999E-2</v>
      </c>
      <c r="Z524">
        <v>-4.8604330000000002E-4</v>
      </c>
      <c r="AA524">
        <v>0.99948809999999999</v>
      </c>
      <c r="AB524">
        <v>25</v>
      </c>
      <c r="AC524">
        <v>27.779</v>
      </c>
      <c r="AD524">
        <v>-1.1099147885489999</v>
      </c>
      <c r="AE524">
        <v>-0.99869999999998504</v>
      </c>
      <c r="AF524">
        <v>0.89280806608844299</v>
      </c>
      <c r="AG524">
        <v>-1.1099147885489999</v>
      </c>
      <c r="AH524">
        <v>27.738334387285899</v>
      </c>
      <c r="AI524">
        <v>92.290211876248705</v>
      </c>
      <c r="AJ524">
        <v>88.156468975104801</v>
      </c>
      <c r="AK524">
        <v>27.774884548123701</v>
      </c>
      <c r="AL524">
        <v>85.730868370997001</v>
      </c>
      <c r="AM524">
        <v>89.027940762128694</v>
      </c>
      <c r="AN524">
        <v>1.00000002975863</v>
      </c>
    </row>
    <row r="525" spans="1:40" x14ac:dyDescent="0.25">
      <c r="A525" t="str">
        <f>"20190312150956912"</f>
        <v>20190312150956912</v>
      </c>
      <c r="B525" t="str">
        <f>"1552374596901047"</f>
        <v>1552374596901047</v>
      </c>
      <c r="C525" t="s">
        <v>40</v>
      </c>
      <c r="D525">
        <v>5.1938849999999999</v>
      </c>
      <c r="E525">
        <v>0.52941009999999999</v>
      </c>
      <c r="F525" t="s">
        <v>42</v>
      </c>
      <c r="G525">
        <v>-362.25889999999998</v>
      </c>
      <c r="H525" s="1">
        <v>-3.8947320000000002E-6</v>
      </c>
      <c r="I525">
        <v>366.28179999999998</v>
      </c>
      <c r="J525">
        <v>-390.06169999999997</v>
      </c>
      <c r="K525">
        <v>1.109931</v>
      </c>
      <c r="L525">
        <v>367.28100000000001</v>
      </c>
      <c r="M525">
        <v>0.99994269999999996</v>
      </c>
      <c r="N525">
        <v>0</v>
      </c>
      <c r="O525">
        <v>-3.7604700000000001E-3</v>
      </c>
      <c r="P525">
        <v>0.99772110000000003</v>
      </c>
      <c r="Q525">
        <v>6.4247029999999997E-2</v>
      </c>
      <c r="R525">
        <v>-2.06199E-2</v>
      </c>
      <c r="S525">
        <v>3.0123600000000001</v>
      </c>
      <c r="T525">
        <v>-0.1192985</v>
      </c>
      <c r="U525">
        <v>-0.10748290000000001</v>
      </c>
      <c r="V525">
        <v>1.687052E-2</v>
      </c>
      <c r="W525">
        <v>7.4258389999999994E-2</v>
      </c>
      <c r="X525">
        <v>0.99709630000000005</v>
      </c>
      <c r="Y525">
        <v>3.1877419999999997E-2</v>
      </c>
      <c r="Z525">
        <v>-4.8194779999999999E-4</v>
      </c>
      <c r="AA525">
        <v>0.99949169999999998</v>
      </c>
      <c r="AB525">
        <v>25</v>
      </c>
      <c r="AC525">
        <v>27.802799999999898</v>
      </c>
      <c r="AD525">
        <v>-1.109934894732</v>
      </c>
      <c r="AE525">
        <v>-0.99920000000002995</v>
      </c>
      <c r="AF525">
        <v>0.89321437053560304</v>
      </c>
      <c r="AG525">
        <v>-1.109934894732</v>
      </c>
      <c r="AH525">
        <v>27.7621723902495</v>
      </c>
      <c r="AI525">
        <v>92.288289839092201</v>
      </c>
      <c r="AJ525">
        <v>88.157213165587393</v>
      </c>
      <c r="AK525">
        <v>27.798705063513498</v>
      </c>
      <c r="AL525">
        <v>85.7413875461923</v>
      </c>
      <c r="AM525">
        <v>89.030667979152895</v>
      </c>
      <c r="AN525">
        <v>0.99999997720207601</v>
      </c>
    </row>
    <row r="526" spans="1:40" x14ac:dyDescent="0.25">
      <c r="A526" t="str">
        <f>"20190312150956935"</f>
        <v>20190312150956935</v>
      </c>
      <c r="B526" t="str">
        <f>"1552374596931304"</f>
        <v>1552374596931304</v>
      </c>
      <c r="C526" t="s">
        <v>40</v>
      </c>
      <c r="D526">
        <v>5.3304029999999996</v>
      </c>
      <c r="E526">
        <v>0.53101769999999904</v>
      </c>
      <c r="F526" t="s">
        <v>49</v>
      </c>
      <c r="G526">
        <v>-140.9973</v>
      </c>
      <c r="H526">
        <v>1.1755910000000001</v>
      </c>
      <c r="I526">
        <v>342.64400000000001</v>
      </c>
      <c r="J526">
        <v>-389.8125</v>
      </c>
      <c r="K526">
        <v>1.109952</v>
      </c>
      <c r="L526">
        <v>367.28</v>
      </c>
      <c r="M526">
        <v>0.99994280000000002</v>
      </c>
      <c r="N526">
        <v>0</v>
      </c>
      <c r="O526">
        <v>-3.7601879999999998E-3</v>
      </c>
      <c r="P526">
        <v>0.99774819999999997</v>
      </c>
      <c r="Q526">
        <v>6.3795790000000005E-2</v>
      </c>
      <c r="R526">
        <v>-2.0712680000000001E-2</v>
      </c>
      <c r="S526">
        <v>3.00061</v>
      </c>
      <c r="T526">
        <v>7.9107280000000003E-4</v>
      </c>
      <c r="U526">
        <v>-0.29681400000000002</v>
      </c>
      <c r="V526">
        <v>1.696336E-2</v>
      </c>
      <c r="W526">
        <v>7.3799039999999996E-2</v>
      </c>
      <c r="X526">
        <v>0.99712880000000004</v>
      </c>
      <c r="Y526">
        <v>9.4694639999999997E-2</v>
      </c>
      <c r="Z526" s="1">
        <v>1.146322E-5</v>
      </c>
      <c r="AA526">
        <v>0.99550629999999996</v>
      </c>
      <c r="AB526">
        <v>25</v>
      </c>
      <c r="AC526">
        <v>248.8152</v>
      </c>
      <c r="AD526">
        <v>6.5639000000000003E-2</v>
      </c>
      <c r="AE526">
        <v>-24.6359999999999</v>
      </c>
      <c r="AF526">
        <v>23.700185351239199</v>
      </c>
      <c r="AG526">
        <v>6.5639000000000003E-2</v>
      </c>
      <c r="AH526">
        <v>248.90606429816199</v>
      </c>
      <c r="AI526">
        <v>89.984958566132804</v>
      </c>
      <c r="AJ526">
        <v>84.560843732307703</v>
      </c>
      <c r="AK526">
        <v>250.03186184677</v>
      </c>
      <c r="AL526">
        <v>85.767778657722801</v>
      </c>
      <c r="AM526">
        <v>89.025366445145195</v>
      </c>
      <c r="AN526">
        <v>0.99999994883842402</v>
      </c>
    </row>
    <row r="527" spans="1:40" x14ac:dyDescent="0.25">
      <c r="A527" t="str">
        <f>"20190312150956955"</f>
        <v>20190312150956955</v>
      </c>
      <c r="B527" t="str">
        <f>"1552374596951800"</f>
        <v>1552374596951800</v>
      </c>
      <c r="C527" t="s">
        <v>40</v>
      </c>
      <c r="D527">
        <v>5.2637429999999998</v>
      </c>
      <c r="E527">
        <v>0.53035059999999901</v>
      </c>
      <c r="F527" t="s">
        <v>42</v>
      </c>
      <c r="G527">
        <v>-323.94729999999998</v>
      </c>
      <c r="H527" s="1">
        <v>-4.473413E-6</v>
      </c>
      <c r="I527">
        <v>360.49270000000001</v>
      </c>
      <c r="J527">
        <v>-389.57569999999998</v>
      </c>
      <c r="K527">
        <v>1.1099699999999999</v>
      </c>
      <c r="L527">
        <v>367.27910000000003</v>
      </c>
      <c r="M527">
        <v>0.99994280000000002</v>
      </c>
      <c r="N527">
        <v>0</v>
      </c>
      <c r="O527">
        <v>-3.7600089999999999E-3</v>
      </c>
      <c r="P527">
        <v>0.99776659999999995</v>
      </c>
      <c r="Q527">
        <v>6.3387830000000006E-2</v>
      </c>
      <c r="R527">
        <v>-2.1068469999999999E-2</v>
      </c>
      <c r="S527">
        <v>3.003571</v>
      </c>
      <c r="T527">
        <v>-5.061591E-2</v>
      </c>
      <c r="U527">
        <v>-0.30950929999999999</v>
      </c>
      <c r="V527">
        <v>1.7319459999999998E-2</v>
      </c>
      <c r="W527">
        <v>7.3379139999999995E-2</v>
      </c>
      <c r="X527">
        <v>0.99715370000000003</v>
      </c>
      <c r="Y527">
        <v>9.8749870000000003E-2</v>
      </c>
      <c r="Z527">
        <v>-7.6661489999999997E-4</v>
      </c>
      <c r="AA527">
        <v>0.995112</v>
      </c>
      <c r="AB527">
        <v>25</v>
      </c>
      <c r="AC527">
        <v>65.628399999999999</v>
      </c>
      <c r="AD527">
        <v>-1.1099744734129999</v>
      </c>
      <c r="AE527">
        <v>-6.7864000000000102</v>
      </c>
      <c r="AF527">
        <v>6.5377259445633999</v>
      </c>
      <c r="AG527">
        <v>-1.1099744734129999</v>
      </c>
      <c r="AH527">
        <v>65.634877999651195</v>
      </c>
      <c r="AI527">
        <v>90.964086739201605</v>
      </c>
      <c r="AJ527">
        <v>84.311673804117106</v>
      </c>
      <c r="AK527">
        <v>65.9690163174117</v>
      </c>
      <c r="AL527">
        <v>85.791902703717795</v>
      </c>
      <c r="AM527">
        <v>89.004935557006107</v>
      </c>
      <c r="AN527">
        <v>0.99999998165276005</v>
      </c>
    </row>
    <row r="528" spans="1:40" x14ac:dyDescent="0.25">
      <c r="A528" t="str">
        <f>"20190312150956978"</f>
        <v>20190312150956978</v>
      </c>
      <c r="B528" t="str">
        <f>"1552374596971320"</f>
        <v>1552374596971320</v>
      </c>
      <c r="C528" t="s">
        <v>40</v>
      </c>
      <c r="D528">
        <v>5.1946180000000002</v>
      </c>
      <c r="E528">
        <v>0.5297849</v>
      </c>
      <c r="F528" t="s">
        <v>42</v>
      </c>
      <c r="G528">
        <v>-277.25310000000002</v>
      </c>
      <c r="H528">
        <v>7.9986340000000003E-2</v>
      </c>
      <c r="I528">
        <v>355.85500000000002</v>
      </c>
      <c r="J528">
        <v>-389.32330000000002</v>
      </c>
      <c r="K528">
        <v>1.10997099999999</v>
      </c>
      <c r="L528">
        <v>367.27820000000003</v>
      </c>
      <c r="M528">
        <v>0.99994300000000003</v>
      </c>
      <c r="N528">
        <v>0</v>
      </c>
      <c r="O528">
        <v>-3.7596790000000001E-3</v>
      </c>
      <c r="P528">
        <v>0.99776350000000003</v>
      </c>
      <c r="Q528">
        <v>6.3515569999999993E-2</v>
      </c>
      <c r="R528">
        <v>-2.0830000000000001E-2</v>
      </c>
      <c r="S528">
        <v>3.002014</v>
      </c>
      <c r="T528">
        <v>-2.7528049999999998E-2</v>
      </c>
      <c r="U528">
        <v>-0.3053284</v>
      </c>
      <c r="V528">
        <v>1.7081240000000001E-2</v>
      </c>
      <c r="W528">
        <v>7.3488510000000007E-2</v>
      </c>
      <c r="X528">
        <v>0.99714979999999998</v>
      </c>
      <c r="Y528">
        <v>9.7440639999999995E-2</v>
      </c>
      <c r="Z528">
        <v>-4.1121339999999998E-4</v>
      </c>
      <c r="AA528">
        <v>0.99524120000000005</v>
      </c>
      <c r="AB528">
        <v>25</v>
      </c>
      <c r="AC528">
        <v>112.0702</v>
      </c>
      <c r="AD528">
        <v>-1.02998465999999</v>
      </c>
      <c r="AE528">
        <v>-11.4232</v>
      </c>
      <c r="AF528">
        <v>11.0008305998191</v>
      </c>
      <c r="AG528">
        <v>-1.02998465999999</v>
      </c>
      <c r="AH528">
        <v>112.102986051318</v>
      </c>
      <c r="AI528">
        <v>90.523893520919501</v>
      </c>
      <c r="AJ528">
        <v>84.395425356912995</v>
      </c>
      <c r="AK528">
        <v>112.64616559789199</v>
      </c>
      <c r="AL528">
        <v>85.785619489984796</v>
      </c>
      <c r="AM528">
        <v>89.018615608454397</v>
      </c>
      <c r="AN528">
        <v>1.0000000267509901</v>
      </c>
    </row>
    <row r="529" spans="1:40" x14ac:dyDescent="0.25">
      <c r="A529" t="str">
        <f>"20190312150957000"</f>
        <v>20190312150957000</v>
      </c>
      <c r="B529" t="str">
        <f>"1552374596991816"</f>
        <v>1552374596991816</v>
      </c>
      <c r="C529" t="s">
        <v>40</v>
      </c>
      <c r="D529">
        <v>5.2102690000000003</v>
      </c>
      <c r="E529">
        <v>0.52996369999999904</v>
      </c>
      <c r="F529" t="s">
        <v>42</v>
      </c>
      <c r="G529">
        <v>-183.63800000000001</v>
      </c>
      <c r="H529" s="1">
        <v>-4.1610359999999998E-6</v>
      </c>
      <c r="I529">
        <v>346.70170000000002</v>
      </c>
      <c r="J529">
        <v>-389.0693</v>
      </c>
      <c r="K529">
        <v>1.1099810000000001</v>
      </c>
      <c r="L529">
        <v>367.27719999999999</v>
      </c>
      <c r="M529">
        <v>0.99994329999999998</v>
      </c>
      <c r="N529">
        <v>0</v>
      </c>
      <c r="O529">
        <v>-3.759564E-3</v>
      </c>
      <c r="P529">
        <v>0.99779680000000004</v>
      </c>
      <c r="Q529">
        <v>6.3055120000000006E-2</v>
      </c>
      <c r="R529">
        <v>-2.0632999999999999E-2</v>
      </c>
      <c r="S529">
        <v>3.001465</v>
      </c>
      <c r="T529">
        <v>-1.6197320000000001E-2</v>
      </c>
      <c r="U529">
        <v>-0.30026249999999999</v>
      </c>
      <c r="V529">
        <v>1.688419E-2</v>
      </c>
      <c r="W529">
        <v>7.3005360000000005E-2</v>
      </c>
      <c r="X529">
        <v>0.99718859999999998</v>
      </c>
      <c r="Y529">
        <v>9.5798679999999997E-2</v>
      </c>
      <c r="Z529">
        <v>-2.3760440000000001E-4</v>
      </c>
      <c r="AA529">
        <v>0.99540070000000003</v>
      </c>
      <c r="AB529">
        <v>25</v>
      </c>
      <c r="AC529">
        <v>205.43129999999999</v>
      </c>
      <c r="AD529">
        <v>-1.1099851610360001</v>
      </c>
      <c r="AE529">
        <v>-20.575499999999899</v>
      </c>
      <c r="AF529">
        <v>19.802411740323699</v>
      </c>
      <c r="AG529">
        <v>-1.1099851610360001</v>
      </c>
      <c r="AH529">
        <v>205.50126686209001</v>
      </c>
      <c r="AI529">
        <v>90.308044948691602</v>
      </c>
      <c r="AJ529">
        <v>84.495886589897793</v>
      </c>
      <c r="AK529">
        <v>206.456141249697</v>
      </c>
      <c r="AL529">
        <v>85.813376314314993</v>
      </c>
      <c r="AM529">
        <v>89.029972467056893</v>
      </c>
      <c r="AN529">
        <v>0.99999998121532196</v>
      </c>
    </row>
    <row r="530" spans="1:40" x14ac:dyDescent="0.25">
      <c r="A530" t="str">
        <f>"20190312150957023"</f>
        <v>20190312150957023</v>
      </c>
      <c r="B530" t="str">
        <f>"1552374597011336"</f>
        <v>1552374597011336</v>
      </c>
      <c r="C530" t="s">
        <v>40</v>
      </c>
      <c r="D530">
        <v>5.2121950000000004</v>
      </c>
      <c r="E530">
        <v>0.53039999999999998</v>
      </c>
      <c r="F530" t="s">
        <v>43</v>
      </c>
      <c r="G530">
        <v>-235.0155</v>
      </c>
      <c r="H530">
        <v>-0.05</v>
      </c>
      <c r="I530">
        <v>351.84129999999999</v>
      </c>
      <c r="J530">
        <v>-388.82150000000001</v>
      </c>
      <c r="K530">
        <v>1.1099859999999999</v>
      </c>
      <c r="L530">
        <v>367.27629999999999</v>
      </c>
      <c r="M530">
        <v>0.99994360000000004</v>
      </c>
      <c r="N530">
        <v>0</v>
      </c>
      <c r="O530">
        <v>-3.7593290000000001E-3</v>
      </c>
      <c r="P530">
        <v>0.99780899999999995</v>
      </c>
      <c r="Q530">
        <v>6.2820580000000001E-2</v>
      </c>
      <c r="R530">
        <v>-2.0760799999999999E-2</v>
      </c>
      <c r="S530">
        <v>3.001862</v>
      </c>
      <c r="T530">
        <v>-2.2603149999999999E-2</v>
      </c>
      <c r="U530">
        <v>-0.30078129999999997</v>
      </c>
      <c r="V530">
        <v>1.7012260000000001E-2</v>
      </c>
      <c r="W530">
        <v>7.2748060000000003E-2</v>
      </c>
      <c r="X530">
        <v>0.99720529999999996</v>
      </c>
      <c r="Y530">
        <v>9.5954949999999997E-2</v>
      </c>
      <c r="Z530">
        <v>-3.3211379999999998E-4</v>
      </c>
      <c r="AA530">
        <v>0.99538559999999998</v>
      </c>
      <c r="AB530">
        <v>25</v>
      </c>
      <c r="AC530">
        <v>153.80600000000001</v>
      </c>
      <c r="AD530">
        <v>-1.159986</v>
      </c>
      <c r="AE530">
        <v>-15.435</v>
      </c>
      <c r="AF530">
        <v>14.855818465691399</v>
      </c>
      <c r="AG530">
        <v>-1.159986</v>
      </c>
      <c r="AH530">
        <v>153.85427719428199</v>
      </c>
      <c r="AI530">
        <v>90.429974285417501</v>
      </c>
      <c r="AJ530">
        <v>84.484747952976505</v>
      </c>
      <c r="AK530">
        <v>154.57418775714299</v>
      </c>
      <c r="AL530">
        <v>85.828158126657101</v>
      </c>
      <c r="AM530">
        <v>89.022632398625504</v>
      </c>
      <c r="AN530">
        <v>1.00000005378607</v>
      </c>
    </row>
    <row r="531" spans="1:40" x14ac:dyDescent="0.25">
      <c r="A531" t="str">
        <f>"20190312150957044"</f>
        <v>20190312150957044</v>
      </c>
      <c r="B531" t="str">
        <f>"1552374597041592"</f>
        <v>1552374597041592</v>
      </c>
      <c r="C531" t="s">
        <v>40</v>
      </c>
      <c r="D531">
        <v>5.1474000000000002</v>
      </c>
      <c r="E531">
        <v>0.53059499999999904</v>
      </c>
      <c r="F531" t="s">
        <v>43</v>
      </c>
      <c r="G531">
        <v>-296.81990000000002</v>
      </c>
      <c r="H531">
        <v>-0.05</v>
      </c>
      <c r="I531">
        <v>357.92919999999998</v>
      </c>
      <c r="J531">
        <v>-388.57560000000001</v>
      </c>
      <c r="K531">
        <v>1.1099870000000001</v>
      </c>
      <c r="L531">
        <v>367.27539999999999</v>
      </c>
      <c r="M531">
        <v>0.99994369999999999</v>
      </c>
      <c r="N531">
        <v>0</v>
      </c>
      <c r="O531">
        <v>-3.7589839999999999E-3</v>
      </c>
      <c r="P531">
        <v>0.99781529999999996</v>
      </c>
      <c r="Q531">
        <v>6.2819559999999997E-2</v>
      </c>
      <c r="R531">
        <v>-2.0459479999999999E-2</v>
      </c>
      <c r="S531">
        <v>3.0025940000000002</v>
      </c>
      <c r="T531">
        <v>-3.785765E-2</v>
      </c>
      <c r="U531">
        <v>-0.30505369999999998</v>
      </c>
      <c r="V531">
        <v>1.671098E-2</v>
      </c>
      <c r="W531">
        <v>7.2725239999999997E-2</v>
      </c>
      <c r="X531">
        <v>0.99721199999999999</v>
      </c>
      <c r="Y531">
        <v>9.7328440000000002E-2</v>
      </c>
      <c r="Z531">
        <v>-5.6470360000000005E-4</v>
      </c>
      <c r="AA531">
        <v>0.99525209999999997</v>
      </c>
      <c r="AB531">
        <v>25</v>
      </c>
      <c r="AC531">
        <v>91.755700000000004</v>
      </c>
      <c r="AD531">
        <v>-1.1599870000000001</v>
      </c>
      <c r="AE531">
        <v>-9.3462000000000103</v>
      </c>
      <c r="AF531">
        <v>8.9997851669967002</v>
      </c>
      <c r="AG531">
        <v>-1.1599870000000001</v>
      </c>
      <c r="AH531">
        <v>91.775668358220997</v>
      </c>
      <c r="AI531">
        <v>90.720687702235196</v>
      </c>
      <c r="AJ531">
        <v>84.399318442803704</v>
      </c>
      <c r="AK531">
        <v>92.223180413009203</v>
      </c>
      <c r="AL531">
        <v>85.829468843860695</v>
      </c>
      <c r="AM531">
        <v>89.039944349835594</v>
      </c>
      <c r="AN531">
        <v>0.99999999516480798</v>
      </c>
    </row>
    <row r="532" spans="1:40" x14ac:dyDescent="0.25">
      <c r="A532" t="str">
        <f>"20190312150957067"</f>
        <v>20190312150957067</v>
      </c>
      <c r="B532" t="str">
        <f>"1552374597061112"</f>
        <v>1552374597061112</v>
      </c>
      <c r="C532" t="s">
        <v>40</v>
      </c>
      <c r="D532">
        <v>5.1408969999999998</v>
      </c>
      <c r="E532">
        <v>0.53062980000000004</v>
      </c>
      <c r="F532" t="s">
        <v>42</v>
      </c>
      <c r="G532">
        <v>-327.35230000000001</v>
      </c>
      <c r="H532" s="1">
        <v>-3.1673959999999998E-6</v>
      </c>
      <c r="I532">
        <v>361.04629999999997</v>
      </c>
      <c r="J532">
        <v>-388.3159</v>
      </c>
      <c r="K532">
        <v>1.1099889999999999</v>
      </c>
      <c r="L532">
        <v>367.27440000000001</v>
      </c>
      <c r="M532">
        <v>0.99994400000000006</v>
      </c>
      <c r="N532">
        <v>0</v>
      </c>
      <c r="O532">
        <v>-3.7588819999999998E-3</v>
      </c>
      <c r="P532">
        <v>0.99782999999999999</v>
      </c>
      <c r="Q532">
        <v>6.26023E-2</v>
      </c>
      <c r="R532">
        <v>-2.0415590000000001E-2</v>
      </c>
      <c r="S532">
        <v>3.0036930000000002</v>
      </c>
      <c r="T532">
        <v>-5.4457430000000001E-2</v>
      </c>
      <c r="U532">
        <v>-0.30560300000000001</v>
      </c>
      <c r="V532">
        <v>1.6667040000000001E-2</v>
      </c>
      <c r="W532">
        <v>7.2487940000000001E-2</v>
      </c>
      <c r="X532">
        <v>0.99722999999999995</v>
      </c>
      <c r="Y532">
        <v>9.7464200000000001E-2</v>
      </c>
      <c r="Z532">
        <v>-8.1320619999999998E-4</v>
      </c>
      <c r="AA532">
        <v>0.99523870000000003</v>
      </c>
      <c r="AB532">
        <v>25</v>
      </c>
      <c r="AC532">
        <v>60.9635999999999</v>
      </c>
      <c r="AD532">
        <v>-1.10999216739599</v>
      </c>
      <c r="AE532">
        <v>-6.2281000000000404</v>
      </c>
      <c r="AF532">
        <v>5.9969222894492402</v>
      </c>
      <c r="AG532">
        <v>-1.10999216739599</v>
      </c>
      <c r="AH532">
        <v>60.966578750678501</v>
      </c>
      <c r="AI532">
        <v>91.038035710179599</v>
      </c>
      <c r="AJ532">
        <v>84.382224293757503</v>
      </c>
      <c r="AK532">
        <v>61.270864887971499</v>
      </c>
      <c r="AL532">
        <v>85.843101059012099</v>
      </c>
      <c r="AM532">
        <v>89.042485538339903</v>
      </c>
      <c r="AN532">
        <v>0.99999998228390197</v>
      </c>
    </row>
    <row r="533" spans="1:40" x14ac:dyDescent="0.25">
      <c r="A533" t="str">
        <f>"20190312150957090"</f>
        <v>20190312150957090</v>
      </c>
      <c r="B533" t="str">
        <f>"1552374597081620"</f>
        <v>1552374597081620</v>
      </c>
      <c r="C533" t="s">
        <v>40</v>
      </c>
      <c r="D533">
        <v>5.1485760000000003</v>
      </c>
      <c r="E533">
        <v>0.53077079999999999</v>
      </c>
      <c r="F533" t="s">
        <v>42</v>
      </c>
      <c r="G533">
        <v>-336.22539999999998</v>
      </c>
      <c r="H533" s="1">
        <v>-3.3034649999999999E-6</v>
      </c>
      <c r="I533">
        <v>361.97609999999997</v>
      </c>
      <c r="J533">
        <v>-388.06279999999998</v>
      </c>
      <c r="K533">
        <v>1.1099909999999999</v>
      </c>
      <c r="L533">
        <v>367.27339999999998</v>
      </c>
      <c r="M533">
        <v>0.9999441</v>
      </c>
      <c r="N533">
        <v>0</v>
      </c>
      <c r="O533">
        <v>-3.758548E-3</v>
      </c>
      <c r="P533">
        <v>0.9978361</v>
      </c>
      <c r="Q533">
        <v>6.237417E-2</v>
      </c>
      <c r="R533">
        <v>-2.080835E-2</v>
      </c>
      <c r="S533">
        <v>3.0043030000000002</v>
      </c>
      <c r="T533">
        <v>-6.4018370000000005E-2</v>
      </c>
      <c r="U533">
        <v>-0.30557250000000002</v>
      </c>
      <c r="V533">
        <v>1.706034E-2</v>
      </c>
      <c r="W533">
        <v>7.2240609999999997E-2</v>
      </c>
      <c r="X533">
        <v>0.9972413</v>
      </c>
      <c r="Y533">
        <v>9.742837E-2</v>
      </c>
      <c r="Z533">
        <v>-9.5538250000000002E-4</v>
      </c>
      <c r="AA533">
        <v>0.99524210000000002</v>
      </c>
      <c r="AB533">
        <v>25</v>
      </c>
      <c r="AC533">
        <v>51.837400000000002</v>
      </c>
      <c r="AD533">
        <v>-1.1099943034649999</v>
      </c>
      <c r="AE533">
        <v>-5.2972999999999999</v>
      </c>
      <c r="AF533">
        <v>5.1001053932553697</v>
      </c>
      <c r="AG533">
        <v>-1.1099943034649999</v>
      </c>
      <c r="AH533">
        <v>51.8334240870484</v>
      </c>
      <c r="AI533">
        <v>91.220887271572096</v>
      </c>
      <c r="AJ533">
        <v>84.380519065942195</v>
      </c>
      <c r="AK533">
        <v>52.095556576006103</v>
      </c>
      <c r="AL533">
        <v>85.857309288658897</v>
      </c>
      <c r="AM533">
        <v>89.019906078587297</v>
      </c>
      <c r="AN533">
        <v>0.99999998567988801</v>
      </c>
    </row>
    <row r="534" spans="1:40" x14ac:dyDescent="0.25">
      <c r="A534" t="str">
        <f>"20190312150957113"</f>
        <v>20190312150957113</v>
      </c>
      <c r="B534" t="str">
        <f>"1552374597101128"</f>
        <v>1552374597101128</v>
      </c>
      <c r="C534" t="s">
        <v>40</v>
      </c>
      <c r="D534">
        <v>5.1269390000000001</v>
      </c>
      <c r="E534">
        <v>0.53089449999999905</v>
      </c>
      <c r="F534" t="s">
        <v>42</v>
      </c>
      <c r="G534">
        <v>-340.88909999999998</v>
      </c>
      <c r="H534" s="1">
        <v>-5.5614039999999999E-6</v>
      </c>
      <c r="I534">
        <v>362.43340000000001</v>
      </c>
      <c r="J534">
        <v>-387.79610000000002</v>
      </c>
      <c r="K534">
        <v>1.1099870000000001</v>
      </c>
      <c r="L534">
        <v>367.2724</v>
      </c>
      <c r="M534">
        <v>0.99994439999999996</v>
      </c>
      <c r="N534">
        <v>0</v>
      </c>
      <c r="O534">
        <v>-3.7582000000000002E-3</v>
      </c>
      <c r="P534">
        <v>0.99787099999999995</v>
      </c>
      <c r="Q534">
        <v>6.1696439999999998E-2</v>
      </c>
      <c r="R534">
        <v>-2.11498E-2</v>
      </c>
      <c r="S534">
        <v>3.004486</v>
      </c>
      <c r="T534">
        <v>-7.0695519999999998E-2</v>
      </c>
      <c r="U534">
        <v>-0.30825809999999998</v>
      </c>
      <c r="V534">
        <v>1.7401980000000001E-2</v>
      </c>
      <c r="W534">
        <v>7.1541019999999997E-2</v>
      </c>
      <c r="X534">
        <v>0.9972858</v>
      </c>
      <c r="Y534">
        <v>9.8298109999999994E-2</v>
      </c>
      <c r="Z534">
        <v>-1.0651040000000001E-3</v>
      </c>
      <c r="AA534">
        <v>0.9951565</v>
      </c>
      <c r="AB534">
        <v>25</v>
      </c>
      <c r="AC534">
        <v>46.906999999999996</v>
      </c>
      <c r="AD534">
        <v>-1.109992561404</v>
      </c>
      <c r="AE534">
        <v>-4.8389999999999898</v>
      </c>
      <c r="AF534">
        <v>4.6600893472626099</v>
      </c>
      <c r="AG534">
        <v>-1.109992561404</v>
      </c>
      <c r="AH534">
        <v>46.898870101369297</v>
      </c>
      <c r="AI534">
        <v>91.349169731487393</v>
      </c>
      <c r="AJ534">
        <v>84.325452137640099</v>
      </c>
      <c r="AK534">
        <v>47.142894830461501</v>
      </c>
      <c r="AL534">
        <v>85.897496710175105</v>
      </c>
      <c r="AM534">
        <v>89.000327856993493</v>
      </c>
      <c r="AN534">
        <v>0.99999995666609898</v>
      </c>
    </row>
    <row r="535" spans="1:40" x14ac:dyDescent="0.25">
      <c r="A535" t="str">
        <f>"20190312150957135"</f>
        <v>20190312150957135</v>
      </c>
      <c r="B535" t="str">
        <f>"1552374597131384"</f>
        <v>1552374597131384</v>
      </c>
      <c r="C535" t="s">
        <v>40</v>
      </c>
      <c r="D535">
        <v>5.1426540000000003</v>
      </c>
      <c r="E535">
        <v>0.53083590000000003</v>
      </c>
      <c r="F535" t="s">
        <v>42</v>
      </c>
      <c r="G535">
        <v>-344.78980000000001</v>
      </c>
      <c r="H535" s="1">
        <v>-3.7883760000000002E-6</v>
      </c>
      <c r="I535">
        <v>362.83879999999999</v>
      </c>
      <c r="J535">
        <v>-387.54880000000003</v>
      </c>
      <c r="K535">
        <v>1.1099920000000001</v>
      </c>
      <c r="L535">
        <v>367.2715</v>
      </c>
      <c r="M535">
        <v>0.99994450000000001</v>
      </c>
      <c r="N535">
        <v>0</v>
      </c>
      <c r="O535">
        <v>-3.7577370000000001E-3</v>
      </c>
      <c r="P535">
        <v>0.99784110000000004</v>
      </c>
      <c r="Q535">
        <v>6.2080139999999999E-2</v>
      </c>
      <c r="R535">
        <v>-2.1433790000000001E-2</v>
      </c>
      <c r="S535">
        <v>3.0046080000000002</v>
      </c>
      <c r="T535">
        <v>-7.7548859999999997E-2</v>
      </c>
      <c r="U535">
        <v>-0.30975340000000001</v>
      </c>
      <c r="V535">
        <v>1.7686380000000002E-2</v>
      </c>
      <c r="W535">
        <v>7.1903419999999996E-2</v>
      </c>
      <c r="X535">
        <v>0.9972548</v>
      </c>
      <c r="Y535">
        <v>9.8779140000000001E-2</v>
      </c>
      <c r="Z535">
        <v>-1.1744500000000001E-3</v>
      </c>
      <c r="AA535">
        <v>0.99510869999999996</v>
      </c>
      <c r="AB535">
        <v>25</v>
      </c>
      <c r="AC535">
        <v>42.759</v>
      </c>
      <c r="AD535">
        <v>-1.1099957883759899</v>
      </c>
      <c r="AE535">
        <v>-4.4327000000000103</v>
      </c>
      <c r="AF535">
        <v>4.2691375103515101</v>
      </c>
      <c r="AG535">
        <v>-1.1099957883759899</v>
      </c>
      <c r="AH535">
        <v>42.746855511328803</v>
      </c>
      <c r="AI535">
        <v>91.480089786483006</v>
      </c>
      <c r="AJ535">
        <v>84.296769650716897</v>
      </c>
      <c r="AK535">
        <v>42.973844159429497</v>
      </c>
      <c r="AL535">
        <v>85.876679379868904</v>
      </c>
      <c r="AM535">
        <v>88.983962068137899</v>
      </c>
      <c r="AN535">
        <v>1.0000000229841199</v>
      </c>
    </row>
    <row r="536" spans="1:40" x14ac:dyDescent="0.25">
      <c r="A536" t="str">
        <f>"20190312150957156"</f>
        <v>20190312150957156</v>
      </c>
      <c r="B536" t="str">
        <f>"1552374597151880"</f>
        <v>1552374597151880</v>
      </c>
      <c r="C536" t="s">
        <v>40</v>
      </c>
      <c r="D536">
        <v>5.1690160000000001</v>
      </c>
      <c r="E536">
        <v>0.53070340000000005</v>
      </c>
      <c r="F536" t="s">
        <v>42</v>
      </c>
      <c r="G536">
        <v>-348.03980000000001</v>
      </c>
      <c r="H536" s="1">
        <v>-2.4477529999999999E-6</v>
      </c>
      <c r="I536">
        <v>363.1866</v>
      </c>
      <c r="J536">
        <v>-387.3109</v>
      </c>
      <c r="K536">
        <v>1.1099920000000001</v>
      </c>
      <c r="L536">
        <v>367.2706</v>
      </c>
      <c r="M536">
        <v>0.99994479999999997</v>
      </c>
      <c r="N536">
        <v>0</v>
      </c>
      <c r="O536">
        <v>-3.7576440000000001E-3</v>
      </c>
      <c r="P536">
        <v>0.99782499999999996</v>
      </c>
      <c r="Q536">
        <v>6.236216E-2</v>
      </c>
      <c r="R536">
        <v>-2.137087E-2</v>
      </c>
      <c r="S536">
        <v>3.0050659999999998</v>
      </c>
      <c r="T536">
        <v>-8.4426520000000005E-2</v>
      </c>
      <c r="U536">
        <v>-0.31069950000000002</v>
      </c>
      <c r="V536">
        <v>1.7623920000000001E-2</v>
      </c>
      <c r="W536">
        <v>7.2166430000000004E-2</v>
      </c>
      <c r="X536">
        <v>0.99723689999999998</v>
      </c>
      <c r="Y536">
        <v>9.9067829999999996E-2</v>
      </c>
      <c r="Z536">
        <v>-1.2824030000000001E-3</v>
      </c>
      <c r="AA536">
        <v>0.99507990000000002</v>
      </c>
      <c r="AB536">
        <v>25</v>
      </c>
      <c r="AC536">
        <v>39.271099999999898</v>
      </c>
      <c r="AD536">
        <v>-1.1099944477529999</v>
      </c>
      <c r="AE536">
        <v>-4.0839999999999996</v>
      </c>
      <c r="AF536">
        <v>3.9332885410689702</v>
      </c>
      <c r="AG536">
        <v>-1.1099944477529999</v>
      </c>
      <c r="AH536">
        <v>39.255144063038003</v>
      </c>
      <c r="AI536">
        <v>91.6116216570624</v>
      </c>
      <c r="AJ536">
        <v>84.278172505337693</v>
      </c>
      <c r="AK536">
        <v>39.4673178950788</v>
      </c>
      <c r="AL536">
        <v>85.861570735451494</v>
      </c>
      <c r="AM536">
        <v>88.987531320125896</v>
      </c>
      <c r="AN536">
        <v>1.0000000154483599</v>
      </c>
    </row>
    <row r="537" spans="1:40" x14ac:dyDescent="0.25">
      <c r="A537" t="str">
        <f>"20190312150957179"</f>
        <v>20190312150957179</v>
      </c>
      <c r="B537" t="str">
        <f>"1552374597171400"</f>
        <v>1552374597171400</v>
      </c>
      <c r="C537" t="s">
        <v>40</v>
      </c>
      <c r="D537">
        <v>5.1638659999999996</v>
      </c>
      <c r="E537">
        <v>0.53066579999999997</v>
      </c>
      <c r="F537" t="s">
        <v>42</v>
      </c>
      <c r="G537">
        <v>-349.11340000000001</v>
      </c>
      <c r="H537" s="1">
        <v>-1.9955100000000001E-6</v>
      </c>
      <c r="I537">
        <v>363.33690000000001</v>
      </c>
      <c r="J537">
        <v>-387.0446</v>
      </c>
      <c r="K537">
        <v>1.109996</v>
      </c>
      <c r="L537">
        <v>367.26960000000003</v>
      </c>
      <c r="M537">
        <v>0.99994490000000003</v>
      </c>
      <c r="N537">
        <v>0</v>
      </c>
      <c r="O537">
        <v>-3.7574319999999998E-3</v>
      </c>
      <c r="P537">
        <v>0.99780040000000003</v>
      </c>
      <c r="Q537">
        <v>6.2722539999999993E-2</v>
      </c>
      <c r="R537">
        <v>-2.146497E-2</v>
      </c>
      <c r="S537">
        <v>3.0054020000000001</v>
      </c>
      <c r="T537">
        <v>-8.7334990000000001E-2</v>
      </c>
      <c r="U537">
        <v>-0.30950929999999999</v>
      </c>
      <c r="V537">
        <v>1.7718210000000002E-2</v>
      </c>
      <c r="W537">
        <v>7.2507429999999998E-2</v>
      </c>
      <c r="X537">
        <v>0.9972105</v>
      </c>
      <c r="Y537">
        <v>9.8664329999999995E-2</v>
      </c>
      <c r="Z537">
        <v>-1.3206019999999999E-3</v>
      </c>
      <c r="AA537">
        <v>0.99511989999999995</v>
      </c>
      <c r="AB537">
        <v>25</v>
      </c>
      <c r="AC537">
        <v>37.931199999999897</v>
      </c>
      <c r="AD537">
        <v>-1.1099979955099999</v>
      </c>
      <c r="AE537">
        <v>-3.9327000000000099</v>
      </c>
      <c r="AF537">
        <v>3.7869330335292402</v>
      </c>
      <c r="AG537">
        <v>-1.1099979955099999</v>
      </c>
      <c r="AH537">
        <v>37.913587774653401</v>
      </c>
      <c r="AI537">
        <v>91.668673846250201</v>
      </c>
      <c r="AJ537">
        <v>84.296028992090797</v>
      </c>
      <c r="AK537">
        <v>38.118408876772698</v>
      </c>
      <c r="AL537">
        <v>85.841981582770998</v>
      </c>
      <c r="AM537">
        <v>88.982088691170603</v>
      </c>
      <c r="AN537">
        <v>1.0000000218405201</v>
      </c>
    </row>
    <row r="538" spans="1:40" x14ac:dyDescent="0.25">
      <c r="A538" t="str">
        <f>"20190312150957190"</f>
        <v>20190312150957190</v>
      </c>
      <c r="B538" t="str">
        <f>"1552374597181161"</f>
        <v>1552374597181161</v>
      </c>
      <c r="C538" t="s">
        <v>40</v>
      </c>
      <c r="D538">
        <v>5.1456489999999997</v>
      </c>
      <c r="E538">
        <v>0.53062149999999997</v>
      </c>
      <c r="F538" t="s">
        <v>42</v>
      </c>
      <c r="G538">
        <v>-349.8426</v>
      </c>
      <c r="H538" s="1">
        <v>-1.689227E-6</v>
      </c>
      <c r="I538">
        <v>363.43549999999999</v>
      </c>
      <c r="J538">
        <v>-386.91030000000001</v>
      </c>
      <c r="K538">
        <v>1.1099950000000001</v>
      </c>
      <c r="L538">
        <v>367.26909999999998</v>
      </c>
      <c r="M538">
        <v>0.99994490000000003</v>
      </c>
      <c r="N538">
        <v>0</v>
      </c>
      <c r="O538">
        <v>-3.7572719999999999E-3</v>
      </c>
      <c r="P538">
        <v>0.99779390000000001</v>
      </c>
      <c r="Q538">
        <v>6.280115E-2</v>
      </c>
      <c r="R538">
        <v>-2.1529079999999999E-2</v>
      </c>
      <c r="S538">
        <v>3.0055540000000001</v>
      </c>
      <c r="T538">
        <v>-8.9676859999999997E-2</v>
      </c>
      <c r="U538">
        <v>-0.30975340000000001</v>
      </c>
      <c r="V538">
        <v>1.7782679999999999E-2</v>
      </c>
      <c r="W538">
        <v>7.257827E-2</v>
      </c>
      <c r="X538">
        <v>0.99720419999999999</v>
      </c>
      <c r="Y538">
        <v>9.8737140000000001E-2</v>
      </c>
      <c r="Z538">
        <v>-1.3570120000000001E-3</v>
      </c>
      <c r="AA538">
        <v>0.99511260000000001</v>
      </c>
      <c r="AB538">
        <v>26</v>
      </c>
      <c r="AC538">
        <v>37.067700000000002</v>
      </c>
      <c r="AD538">
        <v>-1.1099966892269999</v>
      </c>
      <c r="AE538">
        <v>-3.8335999999999899</v>
      </c>
      <c r="AF538">
        <v>3.6910180685584799</v>
      </c>
      <c r="AG538">
        <v>-1.1099966892269999</v>
      </c>
      <c r="AH538">
        <v>37.048972294863397</v>
      </c>
      <c r="AI538">
        <v>91.707634519266506</v>
      </c>
      <c r="AJ538">
        <v>84.310659086912494</v>
      </c>
      <c r="AK538">
        <v>37.248920187544698</v>
      </c>
      <c r="AL538">
        <v>85.837912031522293</v>
      </c>
      <c r="AM538">
        <v>88.978379219854105</v>
      </c>
      <c r="AN538">
        <v>1.0000000227409001</v>
      </c>
    </row>
    <row r="539" spans="1:40" x14ac:dyDescent="0.25">
      <c r="A539" t="str">
        <f>"20190312150957212"</f>
        <v>20190312150957212</v>
      </c>
      <c r="B539" t="str">
        <f>"1552374597201661"</f>
        <v>1552374597201661</v>
      </c>
      <c r="C539" t="s">
        <v>40</v>
      </c>
      <c r="D539">
        <v>5.0321999999999996</v>
      </c>
      <c r="E539">
        <v>0.53038809999999903</v>
      </c>
      <c r="F539" t="s">
        <v>42</v>
      </c>
      <c r="G539">
        <v>-349.77679999999998</v>
      </c>
      <c r="H539" s="1">
        <v>-1.7113480000000001E-6</v>
      </c>
      <c r="I539">
        <v>363.44740000000002</v>
      </c>
      <c r="J539">
        <v>-386.66199999999998</v>
      </c>
      <c r="K539">
        <v>1.10999</v>
      </c>
      <c r="L539">
        <v>367.2681</v>
      </c>
      <c r="M539">
        <v>0.99994519999999998</v>
      </c>
      <c r="N539">
        <v>0</v>
      </c>
      <c r="O539">
        <v>-3.7569669999999999E-3</v>
      </c>
      <c r="P539">
        <v>0.99778690000000003</v>
      </c>
      <c r="Q539">
        <v>6.2782030000000003E-2</v>
      </c>
      <c r="R539">
        <v>-2.190721E-2</v>
      </c>
      <c r="S539">
        <v>3.005585</v>
      </c>
      <c r="T539">
        <v>-8.9843030000000004E-2</v>
      </c>
      <c r="U539">
        <v>-0.3093262</v>
      </c>
      <c r="V539">
        <v>1.816094E-2</v>
      </c>
      <c r="W539">
        <v>7.2544999999999998E-2</v>
      </c>
      <c r="X539">
        <v>0.99719979999999997</v>
      </c>
      <c r="Y539">
        <v>9.8596329999999996E-2</v>
      </c>
      <c r="Z539">
        <v>-1.357432E-3</v>
      </c>
      <c r="AA539">
        <v>0.99512659999999997</v>
      </c>
      <c r="AB539">
        <v>26</v>
      </c>
      <c r="AC539">
        <v>36.885199999999998</v>
      </c>
      <c r="AD539">
        <v>-1.109991711348</v>
      </c>
      <c r="AE539">
        <v>-3.82069999999998</v>
      </c>
      <c r="AF539">
        <v>3.6787937975252398</v>
      </c>
      <c r="AG539">
        <v>-1.109991711348</v>
      </c>
      <c r="AH539">
        <v>36.8662630103832</v>
      </c>
      <c r="AI539">
        <v>91.716057364002907</v>
      </c>
      <c r="AJ539">
        <v>84.301459493738605</v>
      </c>
      <c r="AK539">
        <v>37.065981084475801</v>
      </c>
      <c r="AL539">
        <v>85.839823284475003</v>
      </c>
      <c r="AM539">
        <v>88.956648210263594</v>
      </c>
      <c r="AN539">
        <v>1.00000001894336</v>
      </c>
    </row>
    <row r="540" spans="1:40" x14ac:dyDescent="0.25">
      <c r="A540" t="str">
        <f>"20190312150957235"</f>
        <v>20190312150957235</v>
      </c>
      <c r="B540" t="str">
        <f>"1552374597231912"</f>
        <v>1552374597231912</v>
      </c>
      <c r="C540" t="s">
        <v>40</v>
      </c>
      <c r="D540">
        <v>5.1734099999999996</v>
      </c>
      <c r="E540">
        <v>0.53042539999999905</v>
      </c>
      <c r="F540" t="s">
        <v>42</v>
      </c>
      <c r="G540">
        <v>-349.87699999999899</v>
      </c>
      <c r="H540" s="1">
        <v>-1.6616830000000001E-6</v>
      </c>
      <c r="I540">
        <v>363.48939999999999</v>
      </c>
      <c r="J540">
        <v>-386.40780000000001</v>
      </c>
      <c r="K540">
        <v>1.1099889999999999</v>
      </c>
      <c r="L540">
        <v>367.2672</v>
      </c>
      <c r="M540">
        <v>0.99994519999999998</v>
      </c>
      <c r="N540">
        <v>0</v>
      </c>
      <c r="O540">
        <v>-3.7567899999999999E-3</v>
      </c>
      <c r="P540">
        <v>0.99780760000000002</v>
      </c>
      <c r="Q540">
        <v>6.2486130000000001E-2</v>
      </c>
      <c r="R540">
        <v>-2.1813840000000001E-2</v>
      </c>
      <c r="S540">
        <v>3.0055540000000001</v>
      </c>
      <c r="T540">
        <v>-9.0692880000000003E-2</v>
      </c>
      <c r="U540">
        <v>-0.30874629999999997</v>
      </c>
      <c r="V540">
        <v>1.806754E-2</v>
      </c>
      <c r="W540">
        <v>7.2237759999999998E-2</v>
      </c>
      <c r="X540">
        <v>0.99722379999999999</v>
      </c>
      <c r="Y540">
        <v>9.8406869999999994E-2</v>
      </c>
      <c r="Z540">
        <v>-1.367449E-3</v>
      </c>
      <c r="AA540">
        <v>0.99514530000000001</v>
      </c>
      <c r="AB540">
        <v>26</v>
      </c>
      <c r="AC540">
        <v>36.530799999999999</v>
      </c>
      <c r="AD540">
        <v>-1.109990661683</v>
      </c>
      <c r="AE540">
        <v>-3.7778000000000098</v>
      </c>
      <c r="AF540">
        <v>3.6372057168204099</v>
      </c>
      <c r="AG540">
        <v>-1.109990661683</v>
      </c>
      <c r="AH540">
        <v>36.511382743707898</v>
      </c>
      <c r="AI540">
        <v>91.732754112351401</v>
      </c>
      <c r="AJ540">
        <v>84.311054983744796</v>
      </c>
      <c r="AK540">
        <v>36.708887405545603</v>
      </c>
      <c r="AL540">
        <v>85.857473146110706</v>
      </c>
      <c r="AM540">
        <v>88.962037868595203</v>
      </c>
      <c r="AN540">
        <v>1.0000000186289499</v>
      </c>
    </row>
    <row r="541" spans="1:40" x14ac:dyDescent="0.25">
      <c r="A541" t="str">
        <f>"20190312150957257"</f>
        <v>20190312150957257</v>
      </c>
      <c r="B541" t="str">
        <f>"1552374597251432"</f>
        <v>1552374597251432</v>
      </c>
      <c r="C541" t="s">
        <v>40</v>
      </c>
      <c r="D541">
        <v>5.2523549999999997</v>
      </c>
      <c r="E541">
        <v>0.53053830000000002</v>
      </c>
      <c r="F541" t="s">
        <v>42</v>
      </c>
      <c r="G541">
        <v>-348.98500000000001</v>
      </c>
      <c r="H541" s="1">
        <v>-2.022335E-6</v>
      </c>
      <c r="I541">
        <v>363.4212</v>
      </c>
      <c r="J541">
        <v>-386.15530000000001</v>
      </c>
      <c r="K541">
        <v>1.109985</v>
      </c>
      <c r="L541">
        <v>367.2663</v>
      </c>
      <c r="M541">
        <v>0.99994530000000004</v>
      </c>
      <c r="N541">
        <v>0</v>
      </c>
      <c r="O541">
        <v>-3.7563869999999999E-3</v>
      </c>
      <c r="P541">
        <v>0.99783580000000005</v>
      </c>
      <c r="Q541">
        <v>6.2091809999999997E-2</v>
      </c>
      <c r="R541">
        <v>-2.164584E-2</v>
      </c>
      <c r="S541">
        <v>3.0054020000000001</v>
      </c>
      <c r="T541">
        <v>-8.9142799999999994E-2</v>
      </c>
      <c r="U541">
        <v>-0.30886839999999999</v>
      </c>
      <c r="V541">
        <v>1.7899990000000001E-2</v>
      </c>
      <c r="W541">
        <v>7.1834449999999994E-2</v>
      </c>
      <c r="X541">
        <v>0.99725589999999997</v>
      </c>
      <c r="Y541">
        <v>9.8453819999999997E-2</v>
      </c>
      <c r="Z541">
        <v>-1.3448589999999999E-3</v>
      </c>
      <c r="AA541">
        <v>0.99514069999999999</v>
      </c>
      <c r="AB541">
        <v>26</v>
      </c>
      <c r="AC541">
        <v>37.170299999999997</v>
      </c>
      <c r="AD541">
        <v>-1.1099870223349999</v>
      </c>
      <c r="AE541">
        <v>-3.8451</v>
      </c>
      <c r="AF541">
        <v>3.7021737215773798</v>
      </c>
      <c r="AG541">
        <v>-1.1099870223349999</v>
      </c>
      <c r="AH541">
        <v>37.151702798499599</v>
      </c>
      <c r="AI541">
        <v>91.702896431399097</v>
      </c>
      <c r="AJ541">
        <v>84.309252539481903</v>
      </c>
      <c r="AK541">
        <v>37.352204517036697</v>
      </c>
      <c r="AL541">
        <v>85.880641071387004</v>
      </c>
      <c r="AM541">
        <v>88.971694465536302</v>
      </c>
      <c r="AN541">
        <v>0.99999996396680502</v>
      </c>
    </row>
    <row r="542" spans="1:40" x14ac:dyDescent="0.25">
      <c r="A542" t="str">
        <f>"20190312150957280"</f>
        <v>20190312150957280</v>
      </c>
      <c r="B542" t="str">
        <f>"1552374597270952"</f>
        <v>1552374597270952</v>
      </c>
      <c r="C542" t="s">
        <v>40</v>
      </c>
      <c r="D542">
        <v>5.2381799999999998</v>
      </c>
      <c r="E542">
        <v>0.53052719999999998</v>
      </c>
      <c r="F542" t="s">
        <v>42</v>
      </c>
      <c r="G542">
        <v>-348.91050000000001</v>
      </c>
      <c r="H542" s="1">
        <v>-2.049169E-6</v>
      </c>
      <c r="I542">
        <v>363.42790000000002</v>
      </c>
      <c r="J542">
        <v>-385.88729999999998</v>
      </c>
      <c r="K542">
        <v>1.1099870000000001</v>
      </c>
      <c r="L542">
        <v>367.26530000000002</v>
      </c>
      <c r="M542">
        <v>0.99994530000000004</v>
      </c>
      <c r="N542">
        <v>0</v>
      </c>
      <c r="O542">
        <v>-3.7561119999999998E-3</v>
      </c>
      <c r="P542">
        <v>0.99789269999999997</v>
      </c>
      <c r="Q542">
        <v>6.115375E-2</v>
      </c>
      <c r="R542">
        <v>-2.1689179999999999E-2</v>
      </c>
      <c r="S542">
        <v>3.0053709999999998</v>
      </c>
      <c r="T542">
        <v>-8.9567540000000001E-2</v>
      </c>
      <c r="U542">
        <v>-0.30972290000000002</v>
      </c>
      <c r="V542">
        <v>1.794314E-2</v>
      </c>
      <c r="W542">
        <v>7.0889389999999997E-2</v>
      </c>
      <c r="X542">
        <v>0.99732279999999995</v>
      </c>
      <c r="Y542">
        <v>9.8734569999999994E-2</v>
      </c>
      <c r="Z542">
        <v>-1.3554379999999901E-3</v>
      </c>
      <c r="AA542">
        <v>0.99511289999999997</v>
      </c>
      <c r="AB542">
        <v>26</v>
      </c>
      <c r="AC542">
        <v>36.976799999999898</v>
      </c>
      <c r="AD542">
        <v>-1.1099890491689901</v>
      </c>
      <c r="AE542">
        <v>-3.8374000000000001</v>
      </c>
      <c r="AF542">
        <v>3.6951830136641899</v>
      </c>
      <c r="AG542">
        <v>-1.1099890491689901</v>
      </c>
      <c r="AH542">
        <v>36.958005079131603</v>
      </c>
      <c r="AI542">
        <v>91.711762853791797</v>
      </c>
      <c r="AJ542">
        <v>84.290354683602104</v>
      </c>
      <c r="AK542">
        <v>37.158856180228</v>
      </c>
      <c r="AL542">
        <v>85.934927634852002</v>
      </c>
      <c r="AM542">
        <v>88.969285279723394</v>
      </c>
      <c r="AN542">
        <v>1.00000001464373</v>
      </c>
    </row>
    <row r="543" spans="1:40" x14ac:dyDescent="0.25">
      <c r="A543" t="str">
        <f>"20190312150957303"</f>
        <v>20190312150957303</v>
      </c>
      <c r="B543" t="str">
        <f>"1552374597291448"</f>
        <v>1552374597291448</v>
      </c>
      <c r="C543" t="s">
        <v>40</v>
      </c>
      <c r="D543">
        <v>5.3198699999999999</v>
      </c>
      <c r="E543">
        <v>0.53060859999999999</v>
      </c>
      <c r="F543" t="s">
        <v>42</v>
      </c>
      <c r="G543">
        <v>-350.79880000000003</v>
      </c>
      <c r="H543" s="1">
        <v>-4.9880049999999999E-6</v>
      </c>
      <c r="I543">
        <v>363.64960000000002</v>
      </c>
      <c r="J543">
        <v>-385.62360000000001</v>
      </c>
      <c r="K543">
        <v>1.109982</v>
      </c>
      <c r="L543">
        <v>367.26429999999999</v>
      </c>
      <c r="M543">
        <v>0.99994539999999998</v>
      </c>
      <c r="N543">
        <v>0</v>
      </c>
      <c r="O543">
        <v>-3.7559680000000002E-3</v>
      </c>
      <c r="P543">
        <v>0.99790900000000005</v>
      </c>
      <c r="Q543">
        <v>6.0732010000000003E-2</v>
      </c>
      <c r="R543">
        <v>-2.2121419999999999E-2</v>
      </c>
      <c r="S543">
        <v>3.0054630000000002</v>
      </c>
      <c r="T543">
        <v>-9.5074889999999995E-2</v>
      </c>
      <c r="U543">
        <v>-0.30969239999999998</v>
      </c>
      <c r="V543">
        <v>1.837571E-2</v>
      </c>
      <c r="W543">
        <v>7.0462739999999996E-2</v>
      </c>
      <c r="X543">
        <v>0.99734509999999998</v>
      </c>
      <c r="Y543">
        <v>9.8716349999999994E-2</v>
      </c>
      <c r="Z543">
        <v>-1.4384160000000001E-3</v>
      </c>
      <c r="AA543">
        <v>0.99511459999999996</v>
      </c>
      <c r="AB543">
        <v>26</v>
      </c>
      <c r="AC543">
        <v>34.824799999999897</v>
      </c>
      <c r="AD543">
        <v>-1.109986988005</v>
      </c>
      <c r="AE543">
        <v>-3.6146999999999601</v>
      </c>
      <c r="AF543">
        <v>3.4803693656590799</v>
      </c>
      <c r="AG543">
        <v>-1.109986988005</v>
      </c>
      <c r="AH543">
        <v>34.803151409503698</v>
      </c>
      <c r="AI543">
        <v>91.817671780320197</v>
      </c>
      <c r="AJ543">
        <v>84.289318477239405</v>
      </c>
      <c r="AK543">
        <v>34.994347973177</v>
      </c>
      <c r="AL543">
        <v>85.9594339265429</v>
      </c>
      <c r="AM543">
        <v>88.944466146309495</v>
      </c>
      <c r="AN543">
        <v>0.99999995647015905</v>
      </c>
    </row>
    <row r="544" spans="1:40" x14ac:dyDescent="0.25">
      <c r="A544" t="str">
        <f>"20190312150957325"</f>
        <v>20190312150957325</v>
      </c>
      <c r="B544" t="str">
        <f>"1552374597321704"</f>
        <v>1552374597321704</v>
      </c>
      <c r="C544" t="s">
        <v>40</v>
      </c>
      <c r="D544">
        <v>5.590973</v>
      </c>
      <c r="E544">
        <v>0.55103789999999997</v>
      </c>
      <c r="F544" t="s">
        <v>42</v>
      </c>
      <c r="G544">
        <v>-350.24349999999998</v>
      </c>
      <c r="H544" s="1">
        <v>-5.2361380000000003E-6</v>
      </c>
      <c r="I544">
        <v>363.59379999999999</v>
      </c>
      <c r="J544">
        <v>-385.37119999999999</v>
      </c>
      <c r="K544">
        <v>1.1099829999999999</v>
      </c>
      <c r="L544">
        <v>367.26339999999999</v>
      </c>
      <c r="M544">
        <v>0.99994550000000004</v>
      </c>
      <c r="N544">
        <v>0</v>
      </c>
      <c r="O544">
        <v>-3.7558320000000002E-3</v>
      </c>
      <c r="P544">
        <v>0.997915</v>
      </c>
      <c r="Q544">
        <v>6.0504080000000002E-2</v>
      </c>
      <c r="R544">
        <v>-2.2482889999999998E-2</v>
      </c>
      <c r="S544">
        <v>3.0051269999999999</v>
      </c>
      <c r="T544">
        <v>-9.4280119999999995E-2</v>
      </c>
      <c r="U544">
        <v>-0.31176759999999998</v>
      </c>
      <c r="V544">
        <v>1.8737139999999999E-2</v>
      </c>
      <c r="W544">
        <v>7.0231580000000002E-2</v>
      </c>
      <c r="X544">
        <v>0.99735469999999904</v>
      </c>
      <c r="Y544">
        <v>9.9408159999999995E-2</v>
      </c>
      <c r="Z544">
        <v>-1.4373299999999999E-3</v>
      </c>
      <c r="AA544">
        <v>0.99504570000000003</v>
      </c>
      <c r="AB544">
        <v>26</v>
      </c>
      <c r="AC544">
        <v>35.127699999999997</v>
      </c>
      <c r="AD544">
        <v>-1.109988236138</v>
      </c>
      <c r="AE544">
        <v>-3.6696</v>
      </c>
      <c r="AF544">
        <v>3.5341434535651701</v>
      </c>
      <c r="AG544">
        <v>-1.109988236138</v>
      </c>
      <c r="AH544">
        <v>35.106560635798601</v>
      </c>
      <c r="AI544">
        <v>91.801855543921803</v>
      </c>
      <c r="AJ544">
        <v>84.2514562400915</v>
      </c>
      <c r="AK544">
        <v>35.3014566768816</v>
      </c>
      <c r="AL544">
        <v>85.972711393854993</v>
      </c>
      <c r="AM544">
        <v>88.923720150545606</v>
      </c>
      <c r="AN544">
        <v>0.99999997642838201</v>
      </c>
    </row>
    <row r="545" spans="1:40" x14ac:dyDescent="0.25">
      <c r="A545" t="str">
        <f>"20190312150957347"</f>
        <v>20190312150957347</v>
      </c>
      <c r="B545" t="str">
        <f>"1552374597341225"</f>
        <v>1552374597341225</v>
      </c>
      <c r="C545" t="s">
        <v>40</v>
      </c>
      <c r="D545">
        <v>5.2428689999999998</v>
      </c>
      <c r="E545">
        <v>0.53598760000000001</v>
      </c>
      <c r="F545" t="s">
        <v>42</v>
      </c>
      <c r="G545">
        <v>-332.1447</v>
      </c>
      <c r="H545">
        <v>7.998624E-2</v>
      </c>
      <c r="I545">
        <v>358.82170000000002</v>
      </c>
      <c r="J545">
        <v>-385.12240000000003</v>
      </c>
      <c r="K545">
        <v>1.1099859999999999</v>
      </c>
      <c r="L545">
        <v>367.26240000000001</v>
      </c>
      <c r="M545">
        <v>0.99994550000000004</v>
      </c>
      <c r="N545">
        <v>0</v>
      </c>
      <c r="O545">
        <v>-3.7542669999999999E-3</v>
      </c>
      <c r="P545">
        <v>0.99790670000000004</v>
      </c>
      <c r="Q545">
        <v>6.0291930000000001E-2</v>
      </c>
      <c r="R545">
        <v>-2.3385510000000002E-2</v>
      </c>
      <c r="S545">
        <v>2.9990839999999999</v>
      </c>
      <c r="T545">
        <v>-5.803585E-2</v>
      </c>
      <c r="U545">
        <v>-0.47564699999999999</v>
      </c>
      <c r="V545">
        <v>1.9641550000000001E-2</v>
      </c>
      <c r="W545">
        <v>7.001752E-2</v>
      </c>
      <c r="X545">
        <v>0.99735240000000003</v>
      </c>
      <c r="Y545">
        <v>0.15290319999999999</v>
      </c>
      <c r="Z545">
        <v>-1.397917E-3</v>
      </c>
      <c r="AA545">
        <v>0.98824020000000001</v>
      </c>
      <c r="AB545">
        <v>26</v>
      </c>
      <c r="AC545">
        <v>52.977699999999999</v>
      </c>
      <c r="AD545">
        <v>-1.0299997599999999</v>
      </c>
      <c r="AE545">
        <v>-8.4406999999999908</v>
      </c>
      <c r="AF545">
        <v>8.2387015346520798</v>
      </c>
      <c r="AG545">
        <v>-1.0299997599999999</v>
      </c>
      <c r="AH545">
        <v>52.989482772357903</v>
      </c>
      <c r="AI545">
        <v>91.100347668316999</v>
      </c>
      <c r="AJ545">
        <v>81.162521228496502</v>
      </c>
      <c r="AK545">
        <v>53.636017627753603</v>
      </c>
      <c r="AL545">
        <v>85.985006598161306</v>
      </c>
      <c r="AM545">
        <v>88.871780463420194</v>
      </c>
      <c r="AN545">
        <v>1.0000000266895499</v>
      </c>
    </row>
    <row r="546" spans="1:40" x14ac:dyDescent="0.25">
      <c r="A546" t="str">
        <f>"20190312150957369"</f>
        <v>20190312150957369</v>
      </c>
      <c r="B546" t="str">
        <f>"1552374597361724"</f>
        <v>1552374597361724</v>
      </c>
      <c r="C546" t="s">
        <v>40</v>
      </c>
      <c r="D546">
        <v>5.2236320000000003</v>
      </c>
      <c r="E546">
        <v>0.5518999</v>
      </c>
      <c r="F546" t="s">
        <v>42</v>
      </c>
      <c r="G546">
        <v>-343.91730000000001</v>
      </c>
      <c r="H546" s="1">
        <v>-4.2541980000000002E-6</v>
      </c>
      <c r="I546">
        <v>362.34730000000002</v>
      </c>
      <c r="J546">
        <v>-384.85680000000002</v>
      </c>
      <c r="K546">
        <v>1.1099829999999999</v>
      </c>
      <c r="L546">
        <v>367.26139999999998</v>
      </c>
      <c r="M546">
        <v>0.99994550000000004</v>
      </c>
      <c r="N546">
        <v>0</v>
      </c>
      <c r="O546">
        <v>-3.746592E-3</v>
      </c>
      <c r="P546">
        <v>0.99792400000000003</v>
      </c>
      <c r="Q546">
        <v>5.9746170000000001E-2</v>
      </c>
      <c r="R546">
        <v>-2.404864E-2</v>
      </c>
      <c r="S546">
        <v>3.002777</v>
      </c>
      <c r="T546">
        <v>-8.0889230000000006E-2</v>
      </c>
      <c r="U546">
        <v>-0.35818480000000003</v>
      </c>
      <c r="V546">
        <v>2.031138E-2</v>
      </c>
      <c r="W546">
        <v>6.9471930000000001E-2</v>
      </c>
      <c r="X546">
        <v>0.99737710000000002</v>
      </c>
      <c r="Y546">
        <v>0.11468390000000001</v>
      </c>
      <c r="Z546">
        <v>-1.438403E-3</v>
      </c>
      <c r="AA546">
        <v>0.99340099999999998</v>
      </c>
      <c r="AB546">
        <v>26</v>
      </c>
      <c r="AC546">
        <v>40.939500000000002</v>
      </c>
      <c r="AD546">
        <v>-1.109987254198</v>
      </c>
      <c r="AE546">
        <v>-4.9140999999999604</v>
      </c>
      <c r="AF546">
        <v>4.7572272169510699</v>
      </c>
      <c r="AG546">
        <v>-1.109987254198</v>
      </c>
      <c r="AH546">
        <v>40.927965510093003</v>
      </c>
      <c r="AI546">
        <v>91.543125835003806</v>
      </c>
      <c r="AJ546">
        <v>83.370024866808293</v>
      </c>
      <c r="AK546">
        <v>41.218462408167802</v>
      </c>
      <c r="AL546">
        <v>86.0163427652422</v>
      </c>
      <c r="AM546">
        <v>88.833344468666098</v>
      </c>
      <c r="AN546">
        <v>0.99999999040991905</v>
      </c>
    </row>
    <row r="547" spans="1:40" x14ac:dyDescent="0.25">
      <c r="A547" t="str">
        <f>"20190312150957391"</f>
        <v>20190312150957391</v>
      </c>
      <c r="B547" t="str">
        <f>"1552374597381240"</f>
        <v>1552374597381240</v>
      </c>
      <c r="C547" t="s">
        <v>40</v>
      </c>
      <c r="D547">
        <v>5.262327</v>
      </c>
      <c r="E547">
        <v>0.55331580000000002</v>
      </c>
      <c r="F547" t="s">
        <v>46</v>
      </c>
      <c r="G547">
        <v>-326.18560000000002</v>
      </c>
      <c r="H547">
        <v>0.13437859999999999</v>
      </c>
      <c r="I547">
        <v>357.72500000000002</v>
      </c>
      <c r="J547">
        <v>-384.60390000000001</v>
      </c>
      <c r="K547">
        <v>1.10999</v>
      </c>
      <c r="L547">
        <v>367.26049999999998</v>
      </c>
      <c r="M547">
        <v>0.99994550000000004</v>
      </c>
      <c r="N547">
        <v>0</v>
      </c>
      <c r="O547">
        <v>-3.7275519999999999E-3</v>
      </c>
      <c r="P547">
        <v>0.99791010000000002</v>
      </c>
      <c r="Q547">
        <v>5.9627619999999999E-2</v>
      </c>
      <c r="R547">
        <v>-2.489951E-2</v>
      </c>
      <c r="S547">
        <v>2.9974980000000002</v>
      </c>
      <c r="T547">
        <v>-4.9839139999999997E-2</v>
      </c>
      <c r="U547">
        <v>-0.48721310000000001</v>
      </c>
      <c r="V547">
        <v>2.1180129999999998E-2</v>
      </c>
      <c r="W547">
        <v>6.9353949999999998E-2</v>
      </c>
      <c r="X547">
        <v>0.99736729999999996</v>
      </c>
      <c r="Y547">
        <v>0.15673329999999999</v>
      </c>
      <c r="Z547">
        <v>-1.232847E-3</v>
      </c>
      <c r="AA547">
        <v>0.98764019999999997</v>
      </c>
      <c r="AB547">
        <v>26</v>
      </c>
      <c r="AC547">
        <v>58.418299999999903</v>
      </c>
      <c r="AD547">
        <v>-0.97561139999999902</v>
      </c>
      <c r="AE547">
        <v>-9.5354999999999492</v>
      </c>
      <c r="AF547">
        <v>9.3151355294320499</v>
      </c>
      <c r="AG547">
        <v>-0.97561139999999902</v>
      </c>
      <c r="AH547">
        <v>58.437564335374603</v>
      </c>
      <c r="AI547">
        <v>90.944537933112201</v>
      </c>
      <c r="AJ547">
        <v>80.943066041438001</v>
      </c>
      <c r="AK547">
        <v>59.183380209198397</v>
      </c>
      <c r="AL547">
        <v>86.023119101405598</v>
      </c>
      <c r="AM547">
        <v>88.783447496247803</v>
      </c>
      <c r="AN547">
        <v>1.0000000496983501</v>
      </c>
    </row>
    <row r="548" spans="1:40" x14ac:dyDescent="0.25">
      <c r="A548" t="str">
        <f>"20190312150957413"</f>
        <v>20190312150957413</v>
      </c>
      <c r="B548" t="str">
        <f>"1552374597411496"</f>
        <v>1552374597411496</v>
      </c>
      <c r="C548" t="s">
        <v>40</v>
      </c>
      <c r="D548">
        <v>5.2219389999999999</v>
      </c>
      <c r="E548">
        <v>0.55451149999999905</v>
      </c>
      <c r="F548" t="s">
        <v>42</v>
      </c>
      <c r="G548">
        <v>-346.59469999999999</v>
      </c>
      <c r="H548" s="1">
        <v>-3.6088160000000001E-6</v>
      </c>
      <c r="I548">
        <v>360.90859999999998</v>
      </c>
      <c r="J548">
        <v>-384.35050000000001</v>
      </c>
      <c r="K548">
        <v>1.109999</v>
      </c>
      <c r="L548">
        <v>367.25959999999998</v>
      </c>
      <c r="M548">
        <v>0.99994559999999999</v>
      </c>
      <c r="N548">
        <v>0</v>
      </c>
      <c r="O548">
        <v>-3.6935750000000002E-3</v>
      </c>
      <c r="P548">
        <v>0.99787550000000003</v>
      </c>
      <c r="Q548">
        <v>5.9710869999999999E-2</v>
      </c>
      <c r="R548">
        <v>-2.606168E-2</v>
      </c>
      <c r="S548">
        <v>2.9990540000000001</v>
      </c>
      <c r="T548">
        <v>-8.7582229999999997E-2</v>
      </c>
      <c r="U548">
        <v>-0.50119020000000003</v>
      </c>
      <c r="V548">
        <v>2.2374390000000001E-2</v>
      </c>
      <c r="W548">
        <v>6.9438630000000001E-2</v>
      </c>
      <c r="X548">
        <v>0.99733530000000004</v>
      </c>
      <c r="Y548">
        <v>0.1611206</v>
      </c>
      <c r="Z548">
        <v>-2.228842E-3</v>
      </c>
      <c r="AA548">
        <v>0.98693220000000004</v>
      </c>
      <c r="AB548">
        <v>26</v>
      </c>
      <c r="AC548">
        <v>37.755800000000001</v>
      </c>
      <c r="AD548">
        <v>-1.110002608816</v>
      </c>
      <c r="AE548">
        <v>-6.3509999999999902</v>
      </c>
      <c r="AF548">
        <v>6.2062794814253301</v>
      </c>
      <c r="AG548">
        <v>-1.110002608816</v>
      </c>
      <c r="AH548">
        <v>37.747273034095301</v>
      </c>
      <c r="AI548">
        <v>91.662061327146503</v>
      </c>
      <c r="AJ548">
        <v>80.663156635264698</v>
      </c>
      <c r="AK548">
        <v>38.270179413006097</v>
      </c>
      <c r="AL548">
        <v>86.018255446051</v>
      </c>
      <c r="AM548">
        <v>88.714832298946703</v>
      </c>
      <c r="AN548">
        <v>1.0000000186451099</v>
      </c>
    </row>
    <row r="549" spans="1:40" x14ac:dyDescent="0.25">
      <c r="A549" t="str">
        <f>"20190312150957425"</f>
        <v>20190312150957425</v>
      </c>
      <c r="B549" t="str">
        <f>"1552374597421256"</f>
        <v>1552374597421256</v>
      </c>
      <c r="C549" t="s">
        <v>40</v>
      </c>
      <c r="D549">
        <v>5.2730189999999997</v>
      </c>
      <c r="E549">
        <v>0.55549930000000003</v>
      </c>
      <c r="F549" t="s">
        <v>42</v>
      </c>
      <c r="G549">
        <v>-350.53109999999998</v>
      </c>
      <c r="H549" s="1">
        <v>-5.4914259999999999E-6</v>
      </c>
      <c r="I549">
        <v>361.459</v>
      </c>
      <c r="J549">
        <v>-384.21550000000002</v>
      </c>
      <c r="K549">
        <v>1.110006</v>
      </c>
      <c r="L549">
        <v>367.25909999999999</v>
      </c>
      <c r="M549">
        <v>0.99994570000000005</v>
      </c>
      <c r="N549">
        <v>0</v>
      </c>
      <c r="O549">
        <v>-3.6681069999999999E-3</v>
      </c>
      <c r="P549">
        <v>0.99787219999999999</v>
      </c>
      <c r="Q549">
        <v>5.9597770000000001E-2</v>
      </c>
      <c r="R549">
        <v>-2.6441510000000001E-2</v>
      </c>
      <c r="S549">
        <v>2.99884</v>
      </c>
      <c r="T549">
        <v>-9.8426219999999995E-2</v>
      </c>
      <c r="U549">
        <v>-0.51434329999999995</v>
      </c>
      <c r="V549">
        <v>2.2778509999999998E-2</v>
      </c>
      <c r="W549">
        <v>6.9327310000000003E-2</v>
      </c>
      <c r="X549">
        <v>0.9973339</v>
      </c>
      <c r="Y549">
        <v>0.16534450000000001</v>
      </c>
      <c r="Z549">
        <v>-2.5735599999999999E-3</v>
      </c>
      <c r="AA549">
        <v>0.98623249999999996</v>
      </c>
      <c r="AB549">
        <v>26</v>
      </c>
      <c r="AC549">
        <v>33.684399999999997</v>
      </c>
      <c r="AD549">
        <v>-1.110011491426</v>
      </c>
      <c r="AE549">
        <v>-5.80009999999998</v>
      </c>
      <c r="AF549">
        <v>5.6705167085028796</v>
      </c>
      <c r="AG549">
        <v>-1.110011491426</v>
      </c>
      <c r="AH549">
        <v>33.669939790742298</v>
      </c>
      <c r="AI549">
        <v>91.862007824987501</v>
      </c>
      <c r="AJ549">
        <v>80.440251005816606</v>
      </c>
      <c r="AK549">
        <v>34.162138849385897</v>
      </c>
      <c r="AL549">
        <v>86.024649034388702</v>
      </c>
      <c r="AM549">
        <v>88.691626119014998</v>
      </c>
      <c r="AN549">
        <v>1.0000000222594301</v>
      </c>
    </row>
    <row r="550" spans="1:40" x14ac:dyDescent="0.25">
      <c r="A550" t="str">
        <f>"20190312150957527"</f>
        <v>20190312150957527</v>
      </c>
      <c r="B550" t="str">
        <f>"1552374597521784"</f>
        <v>1552374597521784</v>
      </c>
      <c r="C550" t="s">
        <v>40</v>
      </c>
      <c r="D550">
        <v>5.4064040000000002</v>
      </c>
      <c r="E550">
        <v>0.55549930000000003</v>
      </c>
      <c r="F550" t="s">
        <v>42</v>
      </c>
      <c r="G550">
        <v>-347.69130000000001</v>
      </c>
      <c r="H550" s="1">
        <v>-3.195278E-6</v>
      </c>
      <c r="I550">
        <v>360.88010000000003</v>
      </c>
      <c r="J550">
        <v>-383.02449999999999</v>
      </c>
      <c r="K550">
        <v>1.1100490000000001</v>
      </c>
      <c r="L550">
        <v>367.2552</v>
      </c>
      <c r="M550">
        <v>0.99994700000000003</v>
      </c>
      <c r="N550">
        <v>0</v>
      </c>
      <c r="O550">
        <v>-3.287781E-3</v>
      </c>
      <c r="P550">
        <v>0.997915</v>
      </c>
      <c r="Q550">
        <v>5.8584579999999997E-2</v>
      </c>
      <c r="R550">
        <v>-2.708851E-2</v>
      </c>
      <c r="S550">
        <v>2.997925</v>
      </c>
      <c r="T550">
        <v>-9.111023E-2</v>
      </c>
      <c r="U550">
        <v>-0.52359009999999995</v>
      </c>
      <c r="V550">
        <v>2.379771E-2</v>
      </c>
      <c r="W550">
        <v>6.8335469999999995E-2</v>
      </c>
      <c r="X550">
        <v>0.99737849999999995</v>
      </c>
      <c r="Y550">
        <v>0.16873270000000001</v>
      </c>
      <c r="Z550">
        <v>-2.4450079999999998E-3</v>
      </c>
      <c r="AA550">
        <v>0.98565879999999995</v>
      </c>
      <c r="AB550">
        <v>26</v>
      </c>
      <c r="AC550">
        <v>35.333199999999898</v>
      </c>
      <c r="AD550">
        <v>-1.110052195278</v>
      </c>
      <c r="AE550">
        <v>-6.3750999999999696</v>
      </c>
      <c r="AF550">
        <v>6.2529150882270397</v>
      </c>
      <c r="AG550">
        <v>-1.110052195278</v>
      </c>
      <c r="AH550">
        <v>35.320207707310701</v>
      </c>
      <c r="AI550">
        <v>91.772568261247599</v>
      </c>
      <c r="AJ550">
        <v>79.960658152752998</v>
      </c>
      <c r="AK550">
        <v>35.886602450836598</v>
      </c>
      <c r="AL550">
        <v>86.081612175355801</v>
      </c>
      <c r="AM550">
        <v>88.633167168187796</v>
      </c>
      <c r="AN550">
        <v>0.99999996986180695</v>
      </c>
    </row>
    <row r="551" spans="1:40" x14ac:dyDescent="0.25">
      <c r="A551" t="str">
        <f>"20190312150957549"</f>
        <v>20190312150957549</v>
      </c>
      <c r="B551" t="str">
        <f>"1552374597541304"</f>
        <v>1552374597541304</v>
      </c>
      <c r="C551" t="s">
        <v>40</v>
      </c>
      <c r="D551">
        <v>5.4435169999999999</v>
      </c>
      <c r="E551">
        <v>0.56747479999999995</v>
      </c>
      <c r="F551" t="s">
        <v>42</v>
      </c>
      <c r="G551">
        <v>-347.8023</v>
      </c>
      <c r="H551" s="1">
        <v>-3.0978900000000002E-6</v>
      </c>
      <c r="I551">
        <v>361.08589999999998</v>
      </c>
      <c r="J551">
        <v>-382.7697</v>
      </c>
      <c r="K551">
        <v>1.110055</v>
      </c>
      <c r="L551">
        <v>367.25450000000001</v>
      </c>
      <c r="M551">
        <v>0.99994720000000004</v>
      </c>
      <c r="N551">
        <v>0</v>
      </c>
      <c r="O551">
        <v>-3.184798E-3</v>
      </c>
      <c r="P551">
        <v>0.99789490000000003</v>
      </c>
      <c r="Q551">
        <v>5.9092789999999999E-2</v>
      </c>
      <c r="R551">
        <v>-2.672426E-2</v>
      </c>
      <c r="S551">
        <v>2.997528</v>
      </c>
      <c r="T551">
        <v>-9.4469189999999995E-2</v>
      </c>
      <c r="U551">
        <v>-0.52502439999999995</v>
      </c>
      <c r="V551">
        <v>2.353618E-2</v>
      </c>
      <c r="W551">
        <v>6.8848770000000004E-2</v>
      </c>
      <c r="X551">
        <v>0.99734940000000005</v>
      </c>
      <c r="Y551">
        <v>0.16930799999999999</v>
      </c>
      <c r="Z551">
        <v>-2.5475469999999998E-3</v>
      </c>
      <c r="AA551">
        <v>0.98555990000000004</v>
      </c>
      <c r="AB551">
        <v>26</v>
      </c>
      <c r="AC551">
        <v>34.967399999999998</v>
      </c>
      <c r="AD551">
        <v>-1.1100580978899901</v>
      </c>
      <c r="AE551">
        <v>-6.1686000000000201</v>
      </c>
      <c r="AF551">
        <v>6.0512849978354302</v>
      </c>
      <c r="AG551">
        <v>-1.1100580978899901</v>
      </c>
      <c r="AH551">
        <v>34.952707891253297</v>
      </c>
      <c r="AI551">
        <v>91.792391358195104</v>
      </c>
      <c r="AJ551">
        <v>80.177869808289898</v>
      </c>
      <c r="AK551">
        <v>35.490027726630402</v>
      </c>
      <c r="AL551">
        <v>86.052132802274997</v>
      </c>
      <c r="AM551">
        <v>88.648143235995803</v>
      </c>
      <c r="AN551">
        <v>0.99999996528993196</v>
      </c>
    </row>
    <row r="552" spans="1:40" x14ac:dyDescent="0.25">
      <c r="A552" t="str">
        <f>"20190312150957561"</f>
        <v>20190312150957561</v>
      </c>
      <c r="B552" t="str">
        <f>"1552374597551064"</f>
        <v>1552374597551064</v>
      </c>
      <c r="C552" t="s">
        <v>40</v>
      </c>
      <c r="D552">
        <v>5.3756899999999996</v>
      </c>
      <c r="E552">
        <v>0.56688760000000005</v>
      </c>
      <c r="F552" t="s">
        <v>41</v>
      </c>
      <c r="G552">
        <v>-381.96480000000003</v>
      </c>
      <c r="H552">
        <v>0.98165939999999996</v>
      </c>
      <c r="I552">
        <v>367.08850000000001</v>
      </c>
      <c r="J552">
        <v>-382.61759999999998</v>
      </c>
      <c r="K552">
        <v>1.11005</v>
      </c>
      <c r="L552">
        <v>367.25409999999999</v>
      </c>
      <c r="M552">
        <v>0.99994729999999998</v>
      </c>
      <c r="N552">
        <v>0</v>
      </c>
      <c r="O552">
        <v>-3.1225860000000001E-3</v>
      </c>
      <c r="P552">
        <v>0.99786589999999997</v>
      </c>
      <c r="Q552">
        <v>5.9514020000000001E-2</v>
      </c>
      <c r="R552">
        <v>-2.6861320000000001E-2</v>
      </c>
      <c r="S552">
        <v>3.0182799999999999</v>
      </c>
      <c r="T552">
        <v>-0.48168559999999999</v>
      </c>
      <c r="U552">
        <v>-0.62106319999999904</v>
      </c>
      <c r="V552">
        <v>2.373544E-2</v>
      </c>
      <c r="W552">
        <v>6.9273080000000001E-2</v>
      </c>
      <c r="X552">
        <v>0.99731530000000002</v>
      </c>
      <c r="Y552">
        <v>0.1961416</v>
      </c>
      <c r="Z552">
        <v>-1.4904239999999999E-2</v>
      </c>
      <c r="AA552">
        <v>0.98046230000000001</v>
      </c>
      <c r="AB552">
        <v>26</v>
      </c>
      <c r="AC552">
        <v>0.65279999999995597</v>
      </c>
      <c r="AD552">
        <v>-0.12839059999999899</v>
      </c>
      <c r="AE552">
        <v>-0.16559999999998301</v>
      </c>
      <c r="AF552">
        <v>0.15782483998425401</v>
      </c>
      <c r="AG552">
        <v>-0.12839059999999899</v>
      </c>
      <c r="AH552">
        <v>0.63040318784353799</v>
      </c>
      <c r="AI552">
        <v>101.17582121089499</v>
      </c>
      <c r="AJ552">
        <v>75.944593228205306</v>
      </c>
      <c r="AK552">
        <v>0.66242056544744299</v>
      </c>
      <c r="AL552">
        <v>86.027763461270297</v>
      </c>
      <c r="AM552">
        <v>88.636655966701198</v>
      </c>
      <c r="AN552">
        <v>0.99999996916938405</v>
      </c>
    </row>
    <row r="553" spans="1:40" x14ac:dyDescent="0.25">
      <c r="A553" t="str">
        <f>"20190312150957573"</f>
        <v>20190312150957573</v>
      </c>
      <c r="B553" t="str">
        <f>"1552374597560825"</f>
        <v>1552374597560825</v>
      </c>
      <c r="C553" t="s">
        <v>40</v>
      </c>
      <c r="D553">
        <v>5.3831899999999999</v>
      </c>
      <c r="E553">
        <v>0.56705669999999897</v>
      </c>
      <c r="F553" t="s">
        <v>41</v>
      </c>
      <c r="G553">
        <v>-381.73719999999997</v>
      </c>
      <c r="H553">
        <v>0.96562190000000003</v>
      </c>
      <c r="I553">
        <v>367.07400000000001</v>
      </c>
      <c r="J553">
        <v>-382.48410000000001</v>
      </c>
      <c r="K553">
        <v>1.110052</v>
      </c>
      <c r="L553">
        <v>367.25369999999998</v>
      </c>
      <c r="M553">
        <v>0.99994760000000005</v>
      </c>
      <c r="N553">
        <v>0</v>
      </c>
      <c r="O553">
        <v>-3.0685980000000001E-3</v>
      </c>
      <c r="P553">
        <v>0.99787459999999994</v>
      </c>
      <c r="Q553">
        <v>5.957316E-2</v>
      </c>
      <c r="R553">
        <v>-2.6415359999999999E-2</v>
      </c>
      <c r="S553">
        <v>3.0193479999999999</v>
      </c>
      <c r="T553">
        <v>-0.49540810000000002</v>
      </c>
      <c r="U553">
        <v>-0.616699199999999</v>
      </c>
      <c r="V553">
        <v>2.334309E-2</v>
      </c>
      <c r="W553">
        <v>6.933541E-2</v>
      </c>
      <c r="X553">
        <v>0.99732019999999999</v>
      </c>
      <c r="Y553">
        <v>0.19465060000000001</v>
      </c>
      <c r="Z553">
        <v>-1.52088E-2</v>
      </c>
      <c r="AA553">
        <v>0.98075469999999998</v>
      </c>
      <c r="AB553">
        <v>26</v>
      </c>
      <c r="AC553">
        <v>0.74690000000003898</v>
      </c>
      <c r="AD553">
        <v>-0.14443009999999901</v>
      </c>
      <c r="AE553">
        <v>-0.179699999999968</v>
      </c>
      <c r="AF553">
        <v>0.17135039734676899</v>
      </c>
      <c r="AG553">
        <v>-0.14443009999999901</v>
      </c>
      <c r="AH553">
        <v>0.72192992631445096</v>
      </c>
      <c r="AI553">
        <v>101.015071284896</v>
      </c>
      <c r="AJ553">
        <v>76.647892561088995</v>
      </c>
      <c r="AK553">
        <v>0.75591258156303598</v>
      </c>
      <c r="AL553">
        <v>86.0241834920717</v>
      </c>
      <c r="AM553">
        <v>88.659190515295407</v>
      </c>
      <c r="AN553">
        <v>0.99999994012932603</v>
      </c>
    </row>
    <row r="554" spans="1:40" x14ac:dyDescent="0.25">
      <c r="A554" t="str">
        <f>"20190312150957586"</f>
        <v>20190312150957586</v>
      </c>
      <c r="B554" t="str">
        <f>"1552374597581324"</f>
        <v>1552374597581324</v>
      </c>
      <c r="C554" t="s">
        <v>40</v>
      </c>
      <c r="D554">
        <v>5.2640169999999999</v>
      </c>
      <c r="E554">
        <v>0.56514919999999902</v>
      </c>
      <c r="F554" t="s">
        <v>41</v>
      </c>
      <c r="G554">
        <v>-381.72930000000002</v>
      </c>
      <c r="H554">
        <v>0.98411850000000001</v>
      </c>
      <c r="I554">
        <v>367.0994</v>
      </c>
      <c r="J554">
        <v>-382.33539999999999</v>
      </c>
      <c r="K554">
        <v>1.1100540000000001</v>
      </c>
      <c r="L554">
        <v>367.25330000000002</v>
      </c>
      <c r="M554">
        <v>0.99994769999999999</v>
      </c>
      <c r="N554">
        <v>0</v>
      </c>
      <c r="O554">
        <v>-3.0088910000000001E-3</v>
      </c>
      <c r="P554">
        <v>0.99786739999999996</v>
      </c>
      <c r="Q554">
        <v>5.967542E-2</v>
      </c>
      <c r="R554">
        <v>-2.6457149999999999E-2</v>
      </c>
      <c r="S554">
        <v>3.0201720000000001</v>
      </c>
      <c r="T554">
        <v>-0.50400590000000001</v>
      </c>
      <c r="U554">
        <v>-0.616394</v>
      </c>
      <c r="V554">
        <v>2.344452E-2</v>
      </c>
      <c r="W554">
        <v>6.9441009999999997E-2</v>
      </c>
      <c r="X554">
        <v>0.99731049999999999</v>
      </c>
      <c r="Y554">
        <v>0.19447880000000001</v>
      </c>
      <c r="Z554">
        <v>-1.546105E-2</v>
      </c>
      <c r="AA554">
        <v>0.98078489999999996</v>
      </c>
      <c r="AB554">
        <v>26</v>
      </c>
      <c r="AC554">
        <v>0.606099999999969</v>
      </c>
      <c r="AD554">
        <v>-0.12593550000000001</v>
      </c>
      <c r="AE554">
        <v>-0.15390000000002099</v>
      </c>
      <c r="AF554">
        <v>0.14614810778230999</v>
      </c>
      <c r="AG554">
        <v>-0.12593550000000001</v>
      </c>
      <c r="AH554">
        <v>0.582918556795472</v>
      </c>
      <c r="AI554">
        <v>101.835472200247</v>
      </c>
      <c r="AJ554">
        <v>75.925050802926606</v>
      </c>
      <c r="AK554">
        <v>0.61401389514009896</v>
      </c>
      <c r="AL554">
        <v>86.018118543765496</v>
      </c>
      <c r="AM554">
        <v>88.653353500513802</v>
      </c>
      <c r="AN554">
        <v>0.99999996639904898</v>
      </c>
    </row>
    <row r="555" spans="1:40" x14ac:dyDescent="0.25">
      <c r="A555" t="str">
        <f>"20190312150957604"</f>
        <v>20190312150957604</v>
      </c>
      <c r="B555" t="str">
        <f>"1552374597601821"</f>
        <v>1552374597601821</v>
      </c>
      <c r="C555" t="s">
        <v>40</v>
      </c>
      <c r="D555">
        <v>5.17849</v>
      </c>
      <c r="E555">
        <v>0.56431849999999995</v>
      </c>
      <c r="F555" t="s">
        <v>41</v>
      </c>
      <c r="G555">
        <v>-381.50619999999998</v>
      </c>
      <c r="H555">
        <v>0.95830059999999995</v>
      </c>
      <c r="I555">
        <v>367.0883</v>
      </c>
      <c r="J555">
        <v>-382.1216</v>
      </c>
      <c r="K555">
        <v>1.11006</v>
      </c>
      <c r="L555">
        <v>367.25279999999998</v>
      </c>
      <c r="M555">
        <v>0.9999479</v>
      </c>
      <c r="N555">
        <v>0</v>
      </c>
      <c r="O555">
        <v>-2.923564E-3</v>
      </c>
      <c r="P555">
        <v>0.99787720000000002</v>
      </c>
      <c r="Q555">
        <v>5.959652E-2</v>
      </c>
      <c r="R555">
        <v>-2.6259439999999998E-2</v>
      </c>
      <c r="S555">
        <v>3.0235599999999998</v>
      </c>
      <c r="T555">
        <v>-0.55331180000000002</v>
      </c>
      <c r="U555">
        <v>-0.60122679999999995</v>
      </c>
      <c r="V555">
        <v>2.3331890000000001E-2</v>
      </c>
      <c r="W555">
        <v>6.9367750000000006E-2</v>
      </c>
      <c r="X555">
        <v>0.99731829999999999</v>
      </c>
      <c r="Y555">
        <v>0.18918460000000001</v>
      </c>
      <c r="Z555">
        <v>-1.6479830000000001E-2</v>
      </c>
      <c r="AA555">
        <v>0.98180319999999999</v>
      </c>
      <c r="AB555">
        <v>26</v>
      </c>
      <c r="AC555">
        <v>0.61540000000002204</v>
      </c>
      <c r="AD555">
        <v>-0.15175939999999999</v>
      </c>
      <c r="AE555">
        <v>-0.164499999999975</v>
      </c>
      <c r="AF555">
        <v>0.15396157397909199</v>
      </c>
      <c r="AG555">
        <v>-0.15175939999999999</v>
      </c>
      <c r="AH555">
        <v>0.582800039833826</v>
      </c>
      <c r="AI555">
        <v>104.13112164502</v>
      </c>
      <c r="AJ555">
        <v>75.201915002780396</v>
      </c>
      <c r="AK555">
        <v>0.62160354582385402</v>
      </c>
      <c r="AL555">
        <v>86.022326419106406</v>
      </c>
      <c r="AM555">
        <v>88.659831047943101</v>
      </c>
      <c r="AN555">
        <v>1.0000000266729601</v>
      </c>
    </row>
    <row r="556" spans="1:40" x14ac:dyDescent="0.25">
      <c r="A556" t="str">
        <f>"20190312150957626"</f>
        <v>20190312150957626</v>
      </c>
      <c r="B556" t="str">
        <f>"1552374597621341"</f>
        <v>1552374597621341</v>
      </c>
      <c r="C556" t="s">
        <v>40</v>
      </c>
      <c r="D556">
        <v>5.2819659999999997</v>
      </c>
      <c r="E556">
        <v>0.56335590000000002</v>
      </c>
      <c r="F556" t="s">
        <v>41</v>
      </c>
      <c r="G556">
        <v>-381.27420000000001</v>
      </c>
      <c r="H556">
        <v>0.95111599999999996</v>
      </c>
      <c r="I556">
        <v>367.08640000000003</v>
      </c>
      <c r="J556">
        <v>-381.86200000000002</v>
      </c>
      <c r="K556">
        <v>1.1100559999999999</v>
      </c>
      <c r="L556">
        <v>367.25209999999998</v>
      </c>
      <c r="M556">
        <v>0.99994799999999995</v>
      </c>
      <c r="N556">
        <v>0</v>
      </c>
      <c r="O556">
        <v>-2.8216719999999999E-3</v>
      </c>
      <c r="P556">
        <v>0.99787079999999995</v>
      </c>
      <c r="Q556">
        <v>5.9723619999999998E-2</v>
      </c>
      <c r="R556">
        <v>-2.6214580000000001E-2</v>
      </c>
      <c r="S556">
        <v>3.024597</v>
      </c>
      <c r="T556">
        <v>-0.56734969999999996</v>
      </c>
      <c r="U556">
        <v>-0.59420779999999995</v>
      </c>
      <c r="V556">
        <v>2.3388599999999999E-2</v>
      </c>
      <c r="W556">
        <v>6.9500950000000006E-2</v>
      </c>
      <c r="X556">
        <v>0.99730770000000002</v>
      </c>
      <c r="Y556">
        <v>0.18691199999999999</v>
      </c>
      <c r="Z556">
        <v>-1.6698540000000001E-2</v>
      </c>
      <c r="AA556">
        <v>0.98223470000000002</v>
      </c>
      <c r="AB556">
        <v>26</v>
      </c>
      <c r="AC556">
        <v>0.58779999999995802</v>
      </c>
      <c r="AD556">
        <v>-0.158939999999999</v>
      </c>
      <c r="AE556">
        <v>-0.16569999999995799</v>
      </c>
      <c r="AF556">
        <v>0.153634605582912</v>
      </c>
      <c r="AG556">
        <v>-0.158939999999999</v>
      </c>
      <c r="AH556">
        <v>0.55094807017438496</v>
      </c>
      <c r="AI556">
        <v>105.52969124953501</v>
      </c>
      <c r="AJ556">
        <v>74.418607659853706</v>
      </c>
      <c r="AK556">
        <v>0.59364070923538903</v>
      </c>
      <c r="AL556">
        <v>86.014676165317695</v>
      </c>
      <c r="AM556">
        <v>88.656560580322207</v>
      </c>
      <c r="AN556">
        <v>1.0000000285700701</v>
      </c>
    </row>
    <row r="557" spans="1:40" x14ac:dyDescent="0.25">
      <c r="A557" t="str">
        <f>"20190312150957648"</f>
        <v>20190312150957648</v>
      </c>
      <c r="B557" t="str">
        <f>"1552374597641103"</f>
        <v>1552374597641103</v>
      </c>
      <c r="C557" t="s">
        <v>40</v>
      </c>
      <c r="D557">
        <v>5.1881550000000001</v>
      </c>
      <c r="E557">
        <v>0.5620908</v>
      </c>
      <c r="F557" t="s">
        <v>41</v>
      </c>
      <c r="G557">
        <v>-381.03190000000001</v>
      </c>
      <c r="H557">
        <v>0.96583039999999998</v>
      </c>
      <c r="I557">
        <v>367.09089999999998</v>
      </c>
      <c r="J557">
        <v>-381.59309999999999</v>
      </c>
      <c r="K557">
        <v>1.1100490000000001</v>
      </c>
      <c r="L557">
        <v>367.25150000000002</v>
      </c>
      <c r="M557">
        <v>0.99994830000000001</v>
      </c>
      <c r="N557">
        <v>0</v>
      </c>
      <c r="O557">
        <v>-2.7177540000000002E-3</v>
      </c>
      <c r="P557">
        <v>0.99787060000000005</v>
      </c>
      <c r="Q557">
        <v>5.9841100000000001E-2</v>
      </c>
      <c r="R557">
        <v>-2.594515E-2</v>
      </c>
      <c r="S557">
        <v>3.0224609999999998</v>
      </c>
      <c r="T557">
        <v>-0.52518500000000001</v>
      </c>
      <c r="U557">
        <v>-0.58615109999999904</v>
      </c>
      <c r="V557">
        <v>2.3223150000000001E-2</v>
      </c>
      <c r="W557">
        <v>6.9625090000000001E-2</v>
      </c>
      <c r="X557">
        <v>0.99730289999999999</v>
      </c>
      <c r="Y557">
        <v>0.18508189999999999</v>
      </c>
      <c r="Z557">
        <v>-1.5351790000000001E-2</v>
      </c>
      <c r="AA557">
        <v>0.98260320000000001</v>
      </c>
      <c r="AB557">
        <v>26</v>
      </c>
      <c r="AC557">
        <v>0.56119999999998504</v>
      </c>
      <c r="AD557">
        <v>-0.1442186</v>
      </c>
      <c r="AE557">
        <v>-0.16060000000004401</v>
      </c>
      <c r="AF557">
        <v>0.14992268678317999</v>
      </c>
      <c r="AG557">
        <v>-0.1442186</v>
      </c>
      <c r="AH557">
        <v>0.52932391410906399</v>
      </c>
      <c r="AI557">
        <v>104.68932973024801</v>
      </c>
      <c r="AJ557">
        <v>74.186058870053898</v>
      </c>
      <c r="AK557">
        <v>0.56873510762567403</v>
      </c>
      <c r="AL557">
        <v>86.007546165648805</v>
      </c>
      <c r="AM557">
        <v>88.666054151956899</v>
      </c>
      <c r="AN557">
        <v>1.0000000211009199</v>
      </c>
    </row>
    <row r="558" spans="1:40" x14ac:dyDescent="0.25">
      <c r="A558" t="str">
        <f>"20190312150957670"</f>
        <v>20190312150957670</v>
      </c>
      <c r="B558" t="str">
        <f>"1552374597661603"</f>
        <v>1552374597661603</v>
      </c>
      <c r="C558" t="s">
        <v>40</v>
      </c>
      <c r="D558">
        <v>5.3012620000000004</v>
      </c>
      <c r="E558">
        <v>0.56019929999999996</v>
      </c>
      <c r="F558" t="s">
        <v>41</v>
      </c>
      <c r="G558">
        <v>-380.78870000000001</v>
      </c>
      <c r="H558">
        <v>0.98165440000000004</v>
      </c>
      <c r="I558">
        <v>367.09820000000002</v>
      </c>
      <c r="J558">
        <v>-381.34269999999998</v>
      </c>
      <c r="K558">
        <v>1.110042</v>
      </c>
      <c r="L558">
        <v>367.2509</v>
      </c>
      <c r="M558">
        <v>0.99994859999999997</v>
      </c>
      <c r="N558">
        <v>0</v>
      </c>
      <c r="O558">
        <v>-2.6217050000000002E-3</v>
      </c>
      <c r="P558">
        <v>0.997946</v>
      </c>
      <c r="Q558">
        <v>5.8883119999999997E-2</v>
      </c>
      <c r="R558">
        <v>-2.5235170000000001E-2</v>
      </c>
      <c r="S558">
        <v>3.0203549999999999</v>
      </c>
      <c r="T558">
        <v>-0.48216969999999998</v>
      </c>
      <c r="U558">
        <v>-0.57550049999999997</v>
      </c>
      <c r="V558">
        <v>2.2608670000000001E-2</v>
      </c>
      <c r="W558">
        <v>6.8674650000000004E-2</v>
      </c>
      <c r="X558">
        <v>0.99738289999999996</v>
      </c>
      <c r="Y558">
        <v>0.18240020000000001</v>
      </c>
      <c r="Z558">
        <v>-1.392873E-2</v>
      </c>
      <c r="AA558">
        <v>0.98312569999999999</v>
      </c>
      <c r="AB558">
        <v>26</v>
      </c>
      <c r="AC558">
        <v>0.55399999999997296</v>
      </c>
      <c r="AD558">
        <v>-0.12838759999999899</v>
      </c>
      <c r="AE558">
        <v>-0.15269999999998099</v>
      </c>
      <c r="AF558">
        <v>0.144056496378794</v>
      </c>
      <c r="AG558">
        <v>-0.12838759999999899</v>
      </c>
      <c r="AH558">
        <v>0.52804160277180001</v>
      </c>
      <c r="AI558">
        <v>103.201026726208</v>
      </c>
      <c r="AJ558">
        <v>74.740321489992695</v>
      </c>
      <c r="AK558">
        <v>0.56219532570140096</v>
      </c>
      <c r="AL558">
        <v>86.062132966767393</v>
      </c>
      <c r="AM558">
        <v>88.701441976057794</v>
      </c>
      <c r="AN558">
        <v>1.0000000043621</v>
      </c>
    </row>
    <row r="559" spans="1:40" x14ac:dyDescent="0.25">
      <c r="A559" t="str">
        <f>"20190312150957693"</f>
        <v>20190312150957693</v>
      </c>
      <c r="B559" t="str">
        <f>"1552374597681120"</f>
        <v>1552374597681120</v>
      </c>
      <c r="C559" t="s">
        <v>40</v>
      </c>
      <c r="D559">
        <v>5.2940420000000001</v>
      </c>
      <c r="E559">
        <v>0.55790790000000001</v>
      </c>
      <c r="F559" t="s">
        <v>41</v>
      </c>
      <c r="G559">
        <v>-380.55070000000001</v>
      </c>
      <c r="H559">
        <v>0.98569879999999999</v>
      </c>
      <c r="I559">
        <v>367.10410000000002</v>
      </c>
      <c r="J559">
        <v>-381.07</v>
      </c>
      <c r="K559">
        <v>1.1100399999999999</v>
      </c>
      <c r="L559">
        <v>367.25029999999998</v>
      </c>
      <c r="M559">
        <v>0.99994870000000002</v>
      </c>
      <c r="N559">
        <v>0</v>
      </c>
      <c r="O559">
        <v>-2.5175530000000001E-3</v>
      </c>
      <c r="P559">
        <v>0.99803459999999999</v>
      </c>
      <c r="Q559">
        <v>5.754795E-2</v>
      </c>
      <c r="R559">
        <v>-2.48086E-2</v>
      </c>
      <c r="S559">
        <v>3.0200499999999999</v>
      </c>
      <c r="T559">
        <v>-0.4743018</v>
      </c>
      <c r="U559">
        <v>-0.55874630000000003</v>
      </c>
      <c r="V559">
        <v>2.2286130000000001E-2</v>
      </c>
      <c r="W559">
        <v>6.7347829999999997E-2</v>
      </c>
      <c r="X559">
        <v>0.99748060000000005</v>
      </c>
      <c r="Y559">
        <v>0.17737610000000001</v>
      </c>
      <c r="Z559">
        <v>-1.333957E-2</v>
      </c>
      <c r="AA559">
        <v>0.9840527</v>
      </c>
      <c r="AB559">
        <v>26</v>
      </c>
      <c r="AC559">
        <v>0.51929999999998699</v>
      </c>
      <c r="AD559">
        <v>-0.124341199999999</v>
      </c>
      <c r="AE559">
        <v>-0.146199999999964</v>
      </c>
      <c r="AF559">
        <v>0.13758352006683799</v>
      </c>
      <c r="AG559">
        <v>-0.124341199999999</v>
      </c>
      <c r="AH559">
        <v>0.49345363654965901</v>
      </c>
      <c r="AI559">
        <v>103.643189195717</v>
      </c>
      <c r="AJ559">
        <v>74.420598303986395</v>
      </c>
      <c r="AK559">
        <v>0.52714936254870404</v>
      </c>
      <c r="AL559">
        <v>86.138330474536104</v>
      </c>
      <c r="AM559">
        <v>88.720086601313398</v>
      </c>
      <c r="AN559">
        <v>0.99999997458622203</v>
      </c>
    </row>
    <row r="560" spans="1:40" x14ac:dyDescent="0.25">
      <c r="A560" t="str">
        <f>"20190312150957706"</f>
        <v>20190312150957706</v>
      </c>
      <c r="B560" t="str">
        <f>"1552374597701616"</f>
        <v>1552374597701616</v>
      </c>
      <c r="C560" t="s">
        <v>40</v>
      </c>
      <c r="D560">
        <v>5.5027619999999997</v>
      </c>
      <c r="E560">
        <v>0.5564865</v>
      </c>
      <c r="F560" t="s">
        <v>41</v>
      </c>
      <c r="G560">
        <v>-380.31299999999999</v>
      </c>
      <c r="H560">
        <v>0.98882780000000003</v>
      </c>
      <c r="I560">
        <v>367.11500000000001</v>
      </c>
      <c r="J560">
        <v>-380.92039999999997</v>
      </c>
      <c r="K560">
        <v>1.1100380000000001</v>
      </c>
      <c r="L560">
        <v>367.25</v>
      </c>
      <c r="M560">
        <v>0.99994879999999997</v>
      </c>
      <c r="N560">
        <v>0</v>
      </c>
      <c r="O560">
        <v>-2.4605920000000002E-3</v>
      </c>
      <c r="P560">
        <v>0.99805869999999997</v>
      </c>
      <c r="Q560">
        <v>5.7339199999999903E-2</v>
      </c>
      <c r="R560">
        <v>-2.4310499999999999E-2</v>
      </c>
      <c r="S560">
        <v>3.0204770000000001</v>
      </c>
      <c r="T560">
        <v>-0.48369689999999999</v>
      </c>
      <c r="U560">
        <v>-0.53875729999999999</v>
      </c>
      <c r="V560">
        <v>2.1844889999999999E-2</v>
      </c>
      <c r="W560">
        <v>6.7143259999999996E-2</v>
      </c>
      <c r="X560">
        <v>0.99750419999999995</v>
      </c>
      <c r="Y560">
        <v>0.171091299999999</v>
      </c>
      <c r="Z560">
        <v>-1.311936E-2</v>
      </c>
      <c r="AA560">
        <v>0.98516780000000004</v>
      </c>
      <c r="AB560">
        <v>26</v>
      </c>
      <c r="AC560">
        <v>0.607399999999927</v>
      </c>
      <c r="AD560">
        <v>-0.121210199999999</v>
      </c>
      <c r="AE560">
        <v>-0.13499999999998999</v>
      </c>
      <c r="AF560">
        <v>0.128623942946169</v>
      </c>
      <c r="AG560">
        <v>-0.121210199999999</v>
      </c>
      <c r="AH560">
        <v>0.58551140932887102</v>
      </c>
      <c r="AI560">
        <v>101.430788387242</v>
      </c>
      <c r="AJ560">
        <v>77.610183209766006</v>
      </c>
      <c r="AK560">
        <v>0.611604154447417</v>
      </c>
      <c r="AL560">
        <v>86.150078249549395</v>
      </c>
      <c r="AM560">
        <v>88.745448921142994</v>
      </c>
      <c r="AN560">
        <v>1.00000002280008</v>
      </c>
    </row>
    <row r="561" spans="1:40" x14ac:dyDescent="0.25">
      <c r="A561" t="str">
        <f>"20190312150957720"</f>
        <v>20190312150957720</v>
      </c>
      <c r="B561" t="str">
        <f>"1552374597711376"</f>
        <v>1552374597711376</v>
      </c>
      <c r="C561" t="s">
        <v>40</v>
      </c>
      <c r="D561">
        <v>5.5236289999999997</v>
      </c>
      <c r="E561">
        <v>0.55594980000000005</v>
      </c>
      <c r="F561" t="s">
        <v>41</v>
      </c>
      <c r="G561">
        <v>-380.08269999999999</v>
      </c>
      <c r="H561">
        <v>0.97437099999999999</v>
      </c>
      <c r="I561">
        <v>367.10379999999998</v>
      </c>
      <c r="J561">
        <v>-380.75189999999998</v>
      </c>
      <c r="K561">
        <v>1.1100399999999999</v>
      </c>
      <c r="L561">
        <v>367.24970000000002</v>
      </c>
      <c r="M561">
        <v>0.99994899999999998</v>
      </c>
      <c r="N561">
        <v>0</v>
      </c>
      <c r="O561">
        <v>-2.3962440000000001E-3</v>
      </c>
      <c r="P561">
        <v>0.9980888</v>
      </c>
      <c r="Q561">
        <v>5.6854490000000001E-2</v>
      </c>
      <c r="R561">
        <v>-2.4225549999999998E-2</v>
      </c>
      <c r="S561">
        <v>3.021118</v>
      </c>
      <c r="T561">
        <v>-0.4894985</v>
      </c>
      <c r="U561">
        <v>-0.52578740000000002</v>
      </c>
      <c r="V561">
        <v>2.1824E-2</v>
      </c>
      <c r="W561">
        <v>6.6663699999999895E-2</v>
      </c>
      <c r="X561">
        <v>0.9975368</v>
      </c>
      <c r="Y561">
        <v>0.16701479999999999</v>
      </c>
      <c r="Z561">
        <v>-1.296139E-2</v>
      </c>
      <c r="AA561">
        <v>0.9858692</v>
      </c>
      <c r="AB561">
        <v>26</v>
      </c>
      <c r="AC561">
        <v>0.66919999999998903</v>
      </c>
      <c r="AD561">
        <v>-0.13566900000000001</v>
      </c>
      <c r="AE561">
        <v>-0.14590000000004</v>
      </c>
      <c r="AF561">
        <v>0.13884813241423599</v>
      </c>
      <c r="AG561">
        <v>-0.13566900000000001</v>
      </c>
      <c r="AH561">
        <v>0.64426934254803103</v>
      </c>
      <c r="AI561">
        <v>101.63195847687</v>
      </c>
      <c r="AJ561">
        <v>77.838053047287204</v>
      </c>
      <c r="AK561">
        <v>0.67288027700564501</v>
      </c>
      <c r="AL561">
        <v>86.1776166333578</v>
      </c>
      <c r="AM561">
        <v>88.746689197155007</v>
      </c>
      <c r="AN561">
        <v>1.0000000016139601</v>
      </c>
    </row>
    <row r="562" spans="1:40" x14ac:dyDescent="0.25">
      <c r="A562" t="str">
        <f>"20190312150957739"</f>
        <v>20190312150957739</v>
      </c>
      <c r="B562" t="str">
        <f>"1552374597730895"</f>
        <v>1552374597730895</v>
      </c>
      <c r="C562" t="s">
        <v>40</v>
      </c>
      <c r="D562">
        <v>5.2160979999999997</v>
      </c>
      <c r="E562">
        <v>0.55481800000000003</v>
      </c>
      <c r="F562" t="s">
        <v>41</v>
      </c>
      <c r="G562">
        <v>-379.85039999999998</v>
      </c>
      <c r="H562">
        <v>0.96340630000000005</v>
      </c>
      <c r="I562">
        <v>367.09390000000002</v>
      </c>
      <c r="J562">
        <v>-380.53210000000001</v>
      </c>
      <c r="K562">
        <v>1.110036</v>
      </c>
      <c r="L562">
        <v>367.24919999999997</v>
      </c>
      <c r="M562">
        <v>0.99994899999999998</v>
      </c>
      <c r="N562">
        <v>0</v>
      </c>
      <c r="O562">
        <v>-2.312471E-3</v>
      </c>
      <c r="P562">
        <v>0.99813030000000003</v>
      </c>
      <c r="Q562">
        <v>5.6539300000000001E-2</v>
      </c>
      <c r="R562">
        <v>-2.3226750000000001E-2</v>
      </c>
      <c r="S562">
        <v>3.0210880000000002</v>
      </c>
      <c r="T562">
        <v>-0.49137690000000001</v>
      </c>
      <c r="U562">
        <v>-0.52154540000000005</v>
      </c>
      <c r="V562">
        <v>2.0908820000000002E-2</v>
      </c>
      <c r="W562">
        <v>6.6354430000000006E-2</v>
      </c>
      <c r="X562">
        <v>0.99757700000000005</v>
      </c>
      <c r="Y562">
        <v>0.1657535</v>
      </c>
      <c r="Z562">
        <v>-1.2924410000000001E-2</v>
      </c>
      <c r="AA562">
        <v>0.98608249999999997</v>
      </c>
      <c r="AB562">
        <v>26</v>
      </c>
      <c r="AC562">
        <v>0.68170000000003395</v>
      </c>
      <c r="AD562">
        <v>-0.146629699999999</v>
      </c>
      <c r="AE562">
        <v>-0.155299999999954</v>
      </c>
      <c r="AF562">
        <v>0.14724676432192099</v>
      </c>
      <c r="AG562">
        <v>-0.146629699999999</v>
      </c>
      <c r="AH562">
        <v>0.65332234097508202</v>
      </c>
      <c r="AI562">
        <v>102.34975014326599</v>
      </c>
      <c r="AJ562">
        <v>77.298813532674998</v>
      </c>
      <c r="AK562">
        <v>0.68557418252332603</v>
      </c>
      <c r="AL562">
        <v>86.195375738921101</v>
      </c>
      <c r="AM562">
        <v>88.799278893199997</v>
      </c>
      <c r="AN562">
        <v>0.99999998003170798</v>
      </c>
    </row>
    <row r="563" spans="1:40" x14ac:dyDescent="0.25">
      <c r="A563" t="str">
        <f>"20190312150957761"</f>
        <v>20190312150957761</v>
      </c>
      <c r="B563" t="str">
        <f>"1552374597751395"</f>
        <v>1552374597751395</v>
      </c>
      <c r="C563" t="s">
        <v>40</v>
      </c>
      <c r="D563">
        <v>5.2717359999999998</v>
      </c>
      <c r="E563">
        <v>0.55409869999999894</v>
      </c>
      <c r="F563" t="s">
        <v>41</v>
      </c>
      <c r="G563">
        <v>-379.61439999999999</v>
      </c>
      <c r="H563">
        <v>0.96036140000000003</v>
      </c>
      <c r="I563">
        <v>367.0942</v>
      </c>
      <c r="J563">
        <v>-380.26490000000001</v>
      </c>
      <c r="K563">
        <v>1.1100350000000001</v>
      </c>
      <c r="L563">
        <v>367.24869999999999</v>
      </c>
      <c r="M563">
        <v>0.99994930000000004</v>
      </c>
      <c r="N563">
        <v>0</v>
      </c>
      <c r="O563">
        <v>-2.2104630000000002E-3</v>
      </c>
      <c r="P563">
        <v>0.99818180000000001</v>
      </c>
      <c r="Q563">
        <v>5.5850169999999998E-2</v>
      </c>
      <c r="R563">
        <v>-2.2675910000000001E-2</v>
      </c>
      <c r="S563">
        <v>3.0216370000000001</v>
      </c>
      <c r="T563">
        <v>-0.49290299999999998</v>
      </c>
      <c r="U563">
        <v>-0.50979609999999997</v>
      </c>
      <c r="V563">
        <v>2.04598E-2</v>
      </c>
      <c r="W563">
        <v>6.5672610000000006E-2</v>
      </c>
      <c r="X563">
        <v>0.99763139999999995</v>
      </c>
      <c r="Y563">
        <v>0.16212860000000001</v>
      </c>
      <c r="Z563">
        <v>-1.26906E-2</v>
      </c>
      <c r="AA563">
        <v>0.98668800000000001</v>
      </c>
      <c r="AB563">
        <v>27</v>
      </c>
      <c r="AC563">
        <v>0.65050000000002195</v>
      </c>
      <c r="AD563">
        <v>-0.14967359999999999</v>
      </c>
      <c r="AE563">
        <v>-0.15449999999998401</v>
      </c>
      <c r="AF563">
        <v>0.145757109543031</v>
      </c>
      <c r="AG563">
        <v>-0.14967359999999999</v>
      </c>
      <c r="AH563">
        <v>0.61978000929689003</v>
      </c>
      <c r="AI563">
        <v>103.2289665198</v>
      </c>
      <c r="AJ563">
        <v>76.765916868239401</v>
      </c>
      <c r="AK563">
        <v>0.65404478550276102</v>
      </c>
      <c r="AL563">
        <v>86.234526444309196</v>
      </c>
      <c r="AM563">
        <v>88.825121299501902</v>
      </c>
      <c r="AN563">
        <v>0.99999995269310404</v>
      </c>
    </row>
    <row r="564" spans="1:40" x14ac:dyDescent="0.25">
      <c r="A564" t="str">
        <f>"20190312150957772"</f>
        <v>20190312150957772</v>
      </c>
      <c r="B564" t="str">
        <f>"1552374597761153"</f>
        <v>1552374597761153</v>
      </c>
      <c r="C564" t="s">
        <v>40</v>
      </c>
      <c r="D564">
        <v>5.4881979999999997</v>
      </c>
      <c r="E564">
        <v>0.55383479999999996</v>
      </c>
      <c r="F564" t="s">
        <v>41</v>
      </c>
      <c r="G564">
        <v>-379.37479999999999</v>
      </c>
      <c r="H564">
        <v>0.96460060000000003</v>
      </c>
      <c r="I564">
        <v>367.10059999999999</v>
      </c>
      <c r="J564">
        <v>-380.12130000000002</v>
      </c>
      <c r="K564">
        <v>1.110039</v>
      </c>
      <c r="L564">
        <v>367.2484</v>
      </c>
      <c r="M564">
        <v>0.99994919999999998</v>
      </c>
      <c r="N564">
        <v>0</v>
      </c>
      <c r="O564">
        <v>-2.1558739999999999E-3</v>
      </c>
      <c r="P564">
        <v>0.99818370000000001</v>
      </c>
      <c r="Q564">
        <v>5.6027689999999998E-2</v>
      </c>
      <c r="R564">
        <v>-2.2144879999999999E-2</v>
      </c>
      <c r="S564">
        <v>3.0216980000000002</v>
      </c>
      <c r="T564">
        <v>-0.49374869999999998</v>
      </c>
      <c r="U564">
        <v>-0.50250240000000002</v>
      </c>
      <c r="V564">
        <v>1.9983040000000001E-2</v>
      </c>
      <c r="W564">
        <v>6.5852469999999996E-2</v>
      </c>
      <c r="X564">
        <v>0.99762930000000005</v>
      </c>
      <c r="Y564">
        <v>0.15988239999999901</v>
      </c>
      <c r="Z564">
        <v>-1.2542029999999999E-2</v>
      </c>
      <c r="AA564">
        <v>0.98705639999999994</v>
      </c>
      <c r="AB564">
        <v>27</v>
      </c>
      <c r="AC564">
        <v>0.74650000000002503</v>
      </c>
      <c r="AD564">
        <v>-0.1454384</v>
      </c>
      <c r="AE564">
        <v>-0.147800000000017</v>
      </c>
      <c r="AF564">
        <v>0.14103867340644499</v>
      </c>
      <c r="AG564">
        <v>-0.1454384</v>
      </c>
      <c r="AH564">
        <v>0.72050010282541499</v>
      </c>
      <c r="AI564">
        <v>101.20510046128101</v>
      </c>
      <c r="AJ564">
        <v>78.924339541768504</v>
      </c>
      <c r="AK564">
        <v>0.74844146983063597</v>
      </c>
      <c r="AL564">
        <v>86.224199217681999</v>
      </c>
      <c r="AM564">
        <v>88.852488830125793</v>
      </c>
      <c r="AN564">
        <v>1.0000000449556099</v>
      </c>
    </row>
    <row r="565" spans="1:40" x14ac:dyDescent="0.25">
      <c r="A565" t="str">
        <f>"20190312150957786"</f>
        <v>20190312150957786</v>
      </c>
      <c r="B565" t="str">
        <f>"1552374597781648"</f>
        <v>1552374597781648</v>
      </c>
      <c r="C565" t="s">
        <v>40</v>
      </c>
      <c r="D565">
        <v>5.2882099999999896</v>
      </c>
      <c r="E565">
        <v>0.55316580000000004</v>
      </c>
      <c r="F565" t="s">
        <v>41</v>
      </c>
      <c r="G565">
        <v>-379.36489999999998</v>
      </c>
      <c r="H565">
        <v>0.98656690000000002</v>
      </c>
      <c r="I565">
        <v>367.12349999999998</v>
      </c>
      <c r="J565">
        <v>-379.96550000000002</v>
      </c>
      <c r="K565">
        <v>1.1100380000000001</v>
      </c>
      <c r="L565">
        <v>367.2482</v>
      </c>
      <c r="M565">
        <v>0.99994950000000005</v>
      </c>
      <c r="N565">
        <v>0</v>
      </c>
      <c r="O565">
        <v>-2.0963940000000001E-3</v>
      </c>
      <c r="P565">
        <v>0.99819639999999998</v>
      </c>
      <c r="Q565">
        <v>5.5953320000000001E-2</v>
      </c>
      <c r="R565">
        <v>-2.1757700000000001E-2</v>
      </c>
      <c r="S565">
        <v>3.0220639999999999</v>
      </c>
      <c r="T565">
        <v>-0.49338009999999899</v>
      </c>
      <c r="U565">
        <v>-0.49896239999999997</v>
      </c>
      <c r="V565">
        <v>1.9655349999999999E-2</v>
      </c>
      <c r="W565">
        <v>6.5778710000000004E-2</v>
      </c>
      <c r="X565">
        <v>0.99764059999999999</v>
      </c>
      <c r="Y565">
        <v>0.15881229999999999</v>
      </c>
      <c r="Z565">
        <v>-1.2455849999999999E-2</v>
      </c>
      <c r="AA565">
        <v>0.98723019999999995</v>
      </c>
      <c r="AB565">
        <v>27</v>
      </c>
      <c r="AC565">
        <v>0.60060000000004199</v>
      </c>
      <c r="AD565">
        <v>-0.123471099999999</v>
      </c>
      <c r="AE565">
        <v>-0.124700000000018</v>
      </c>
      <c r="AF565">
        <v>0.118633953804392</v>
      </c>
      <c r="AG565">
        <v>-0.123471099999999</v>
      </c>
      <c r="AH565">
        <v>0.57746339292648896</v>
      </c>
      <c r="AI565">
        <v>101.829165638771</v>
      </c>
      <c r="AJ565">
        <v>78.390694416899393</v>
      </c>
      <c r="AK565">
        <v>0.60231478290064</v>
      </c>
      <c r="AL565">
        <v>86.228434250763499</v>
      </c>
      <c r="AM565">
        <v>88.871314056664502</v>
      </c>
      <c r="AN565">
        <v>0.99999996912062294</v>
      </c>
    </row>
    <row r="566" spans="1:40" x14ac:dyDescent="0.25">
      <c r="A566" t="str">
        <f>"20190312150957805"</f>
        <v>20190312150957805</v>
      </c>
      <c r="B566" t="str">
        <f>"1552374597801168"</f>
        <v>1552374597801168</v>
      </c>
      <c r="C566" t="s">
        <v>40</v>
      </c>
      <c r="D566">
        <v>5.279064</v>
      </c>
      <c r="E566">
        <v>0.55239890000000003</v>
      </c>
      <c r="F566" t="s">
        <v>41</v>
      </c>
      <c r="G566">
        <v>-379.13200000000001</v>
      </c>
      <c r="H566">
        <v>0.97500039999999999</v>
      </c>
      <c r="I566">
        <v>367.11189999999999</v>
      </c>
      <c r="J566">
        <v>-379.74810000000002</v>
      </c>
      <c r="K566">
        <v>1.110034</v>
      </c>
      <c r="L566">
        <v>367.24779999999998</v>
      </c>
      <c r="M566">
        <v>0.99994959999999999</v>
      </c>
      <c r="N566">
        <v>0</v>
      </c>
      <c r="O566">
        <v>-2.0131789999999999E-3</v>
      </c>
      <c r="P566">
        <v>0.99824369999999996</v>
      </c>
      <c r="Q566">
        <v>5.5355189999999999E-2</v>
      </c>
      <c r="R566">
        <v>-2.1094870000000002E-2</v>
      </c>
      <c r="S566">
        <v>3.022125</v>
      </c>
      <c r="T566">
        <v>-0.48981550000000001</v>
      </c>
      <c r="U566">
        <v>-0.4926758</v>
      </c>
      <c r="V566">
        <v>1.9075640000000001E-2</v>
      </c>
      <c r="W566">
        <v>6.5178719999999996E-2</v>
      </c>
      <c r="X566">
        <v>0.99769129999999995</v>
      </c>
      <c r="Y566">
        <v>0.156942</v>
      </c>
      <c r="Z566">
        <v>-1.223249E-2</v>
      </c>
      <c r="AA566">
        <v>0.98753210000000002</v>
      </c>
      <c r="AB566">
        <v>27</v>
      </c>
      <c r="AC566">
        <v>0.61610000000007403</v>
      </c>
      <c r="AD566">
        <v>-0.135033599999999</v>
      </c>
      <c r="AE566">
        <v>-0.135899999999992</v>
      </c>
      <c r="AF566">
        <v>0.12876096890744099</v>
      </c>
      <c r="AG566">
        <v>-0.135033599999999</v>
      </c>
      <c r="AH566">
        <v>0.58937388803767898</v>
      </c>
      <c r="AI566">
        <v>102.61678882843999</v>
      </c>
      <c r="AJ566">
        <v>77.676181545307998</v>
      </c>
      <c r="AK566">
        <v>0.61820307354751403</v>
      </c>
      <c r="AL566">
        <v>86.262885336920405</v>
      </c>
      <c r="AM566">
        <v>88.904650656509205</v>
      </c>
      <c r="AN566">
        <v>1.00000003783896</v>
      </c>
    </row>
    <row r="567" spans="1:40" x14ac:dyDescent="0.25">
      <c r="A567" t="str">
        <f>"20190312150957816"</f>
        <v>20190312150957816</v>
      </c>
      <c r="B567" t="str">
        <f>"1552374597810929"</f>
        <v>1552374597810929</v>
      </c>
      <c r="C567" t="s">
        <v>40</v>
      </c>
      <c r="D567">
        <v>5.2760150000000001</v>
      </c>
      <c r="E567">
        <v>0.55222680000000002</v>
      </c>
      <c r="F567" t="s">
        <v>41</v>
      </c>
      <c r="G567">
        <v>-378.89499999999998</v>
      </c>
      <c r="H567">
        <v>0.97209610000000002</v>
      </c>
      <c r="I567">
        <v>367.11099999999999</v>
      </c>
      <c r="J567">
        <v>-379.59640000000002</v>
      </c>
      <c r="K567">
        <v>1.1100319999999999</v>
      </c>
      <c r="L567">
        <v>367.24759999999998</v>
      </c>
      <c r="M567">
        <v>0.99994989999999995</v>
      </c>
      <c r="N567">
        <v>0</v>
      </c>
      <c r="O567">
        <v>-1.9557020000000001E-3</v>
      </c>
      <c r="P567">
        <v>0.99826899999999996</v>
      </c>
      <c r="Q567">
        <v>5.5019270000000002E-2</v>
      </c>
      <c r="R567">
        <v>-2.0793160000000002E-2</v>
      </c>
      <c r="S567">
        <v>3.022186</v>
      </c>
      <c r="T567">
        <v>-0.48861650000000001</v>
      </c>
      <c r="U567">
        <v>-0.48461910000000002</v>
      </c>
      <c r="V567">
        <v>1.8831259999999999E-2</v>
      </c>
      <c r="W567">
        <v>6.4839919999999995E-2</v>
      </c>
      <c r="X567">
        <v>0.99771799999999999</v>
      </c>
      <c r="Y567">
        <v>0.15446879999999999</v>
      </c>
      <c r="Z567">
        <v>-1.201698E-2</v>
      </c>
      <c r="AA567">
        <v>0.98792460000000004</v>
      </c>
      <c r="AB567">
        <v>27</v>
      </c>
      <c r="AC567">
        <v>0.701400000000035</v>
      </c>
      <c r="AD567">
        <v>-0.1379359</v>
      </c>
      <c r="AE567">
        <v>-0.13659999999998701</v>
      </c>
      <c r="AF567">
        <v>0.13037020770017199</v>
      </c>
      <c r="AG567">
        <v>-0.1379359</v>
      </c>
      <c r="AH567">
        <v>0.67646017919341905</v>
      </c>
      <c r="AI567">
        <v>101.32226515165</v>
      </c>
      <c r="AJ567">
        <v>79.091464864326099</v>
      </c>
      <c r="AK567">
        <v>0.70258172307496602</v>
      </c>
      <c r="AL567">
        <v>86.282338227978101</v>
      </c>
      <c r="AM567">
        <v>88.918708867400198</v>
      </c>
      <c r="AN567">
        <v>1.0000000195513901</v>
      </c>
    </row>
    <row r="568" spans="1:40" x14ac:dyDescent="0.25">
      <c r="A568" t="str">
        <f>"20190312150957839"</f>
        <v>20190312150957839</v>
      </c>
      <c r="B568" t="str">
        <f>"1552374597831427"</f>
        <v>1552374597831427</v>
      </c>
      <c r="C568" t="s">
        <v>40</v>
      </c>
      <c r="D568">
        <v>5.2265709999999999</v>
      </c>
      <c r="E568">
        <v>0.55155909999999997</v>
      </c>
      <c r="F568" t="s">
        <v>41</v>
      </c>
      <c r="G568">
        <v>-378.88459999999998</v>
      </c>
      <c r="H568">
        <v>0.99468719999999999</v>
      </c>
      <c r="I568">
        <v>367.13389999999998</v>
      </c>
      <c r="J568">
        <v>-379.34039999999999</v>
      </c>
      <c r="K568">
        <v>1.110028</v>
      </c>
      <c r="L568">
        <v>367.24720000000002</v>
      </c>
      <c r="M568">
        <v>0.99995009999999995</v>
      </c>
      <c r="N568">
        <v>0</v>
      </c>
      <c r="O568">
        <v>-1.857884E-3</v>
      </c>
      <c r="P568">
        <v>0.99828119999999998</v>
      </c>
      <c r="Q568">
        <v>5.5154059999999998E-2</v>
      </c>
      <c r="R568">
        <v>-1.9817319999999999E-2</v>
      </c>
      <c r="S568">
        <v>3.022186</v>
      </c>
      <c r="T568">
        <v>-0.48970770000000002</v>
      </c>
      <c r="U568">
        <v>-0.48275760000000001</v>
      </c>
      <c r="V568">
        <v>1.7953110000000001E-2</v>
      </c>
      <c r="W568">
        <v>6.4960779999999996E-2</v>
      </c>
      <c r="X568">
        <v>0.99772629999999995</v>
      </c>
      <c r="Y568">
        <v>0.15396840000000001</v>
      </c>
      <c r="Z568">
        <v>-1.201967E-2</v>
      </c>
      <c r="AA568">
        <v>0.98800270000000001</v>
      </c>
      <c r="AB568">
        <v>27</v>
      </c>
      <c r="AC568">
        <v>0.45580000000000997</v>
      </c>
      <c r="AD568">
        <v>-0.11534079999999999</v>
      </c>
      <c r="AE568">
        <v>-0.113300000000037</v>
      </c>
      <c r="AF568">
        <v>0.106056805489934</v>
      </c>
      <c r="AG568">
        <v>-0.11534079999999999</v>
      </c>
      <c r="AH568">
        <v>0.43007265352834001</v>
      </c>
      <c r="AI568">
        <v>104.595064192205</v>
      </c>
      <c r="AJ568">
        <v>76.147137531273799</v>
      </c>
      <c r="AK568">
        <v>0.45772702940538401</v>
      </c>
      <c r="AL568">
        <v>86.275398732686995</v>
      </c>
      <c r="AM568">
        <v>88.969129675523305</v>
      </c>
      <c r="AN568">
        <v>0.99999999340428503</v>
      </c>
    </row>
    <row r="569" spans="1:40" x14ac:dyDescent="0.25">
      <c r="A569" t="str">
        <f>"20190312150957850"</f>
        <v>20190312150957850</v>
      </c>
      <c r="B569" t="str">
        <f>"1552374597841185"</f>
        <v>1552374597841185</v>
      </c>
      <c r="C569" t="s">
        <v>40</v>
      </c>
      <c r="D569">
        <v>5.5211319999999997</v>
      </c>
      <c r="E569">
        <v>0.55128619999999995</v>
      </c>
      <c r="F569" t="s">
        <v>41</v>
      </c>
      <c r="G569">
        <v>-378.42149999999998</v>
      </c>
      <c r="H569">
        <v>0.96200030000000003</v>
      </c>
      <c r="I569">
        <v>367.10270000000003</v>
      </c>
      <c r="J569">
        <v>-379.19139999999999</v>
      </c>
      <c r="K569">
        <v>1.110026</v>
      </c>
      <c r="L569">
        <v>367.24700000000001</v>
      </c>
      <c r="M569">
        <v>0.99995040000000002</v>
      </c>
      <c r="N569">
        <v>0</v>
      </c>
      <c r="O569">
        <v>-1.8009499999999999E-3</v>
      </c>
      <c r="P569">
        <v>0.99829619999999997</v>
      </c>
      <c r="Q569">
        <v>5.4968820000000002E-2</v>
      </c>
      <c r="R569">
        <v>-1.9584580000000001E-2</v>
      </c>
      <c r="S569">
        <v>3.0226440000000001</v>
      </c>
      <c r="T569">
        <v>-0.48701139999999998</v>
      </c>
      <c r="U569">
        <v>-0.47445680000000001</v>
      </c>
      <c r="V569">
        <v>1.7777000000000001E-2</v>
      </c>
      <c r="W569">
        <v>6.4760479999999995E-2</v>
      </c>
      <c r="X569">
        <v>0.99774249999999998</v>
      </c>
      <c r="Y569">
        <v>0.15140600000000001</v>
      </c>
      <c r="Z569">
        <v>-1.176025E-2</v>
      </c>
      <c r="AA569">
        <v>0.98840170000000005</v>
      </c>
      <c r="AB569">
        <v>27</v>
      </c>
      <c r="AC569">
        <v>0.76990000000000602</v>
      </c>
      <c r="AD569">
        <v>-0.14802569999999901</v>
      </c>
      <c r="AE569">
        <v>-0.14429999999993001</v>
      </c>
      <c r="AF569">
        <v>0.13798544562394599</v>
      </c>
      <c r="AG569">
        <v>-0.14802569999999901</v>
      </c>
      <c r="AH569">
        <v>0.74360326342347205</v>
      </c>
      <c r="AI569">
        <v>101.074176534047</v>
      </c>
      <c r="AJ569">
        <v>79.487580560338998</v>
      </c>
      <c r="AK569">
        <v>0.77064739306544405</v>
      </c>
      <c r="AL569">
        <v>86.286899388587997</v>
      </c>
      <c r="AM569">
        <v>88.9792563587161</v>
      </c>
      <c r="AN569">
        <v>1.00000001890254</v>
      </c>
    </row>
    <row r="570" spans="1:40" x14ac:dyDescent="0.25">
      <c r="A570" t="str">
        <f>"20190312150957863"</f>
        <v>20190312150957863</v>
      </c>
      <c r="B570" t="str">
        <f>"1552374597850945"</f>
        <v>1552374597850945</v>
      </c>
      <c r="C570" t="s">
        <v>40</v>
      </c>
      <c r="D570">
        <v>11.000209999999999</v>
      </c>
      <c r="E570">
        <v>0.55116239999999905</v>
      </c>
      <c r="F570" t="s">
        <v>41</v>
      </c>
      <c r="G570">
        <v>-378.41140000000001</v>
      </c>
      <c r="H570">
        <v>0.98437059999999998</v>
      </c>
      <c r="I570">
        <v>367.12509999999997</v>
      </c>
      <c r="J570">
        <v>-379.04759999999999</v>
      </c>
      <c r="K570">
        <v>1.110017</v>
      </c>
      <c r="L570">
        <v>367.24680000000001</v>
      </c>
      <c r="M570">
        <v>0.99995049999999996</v>
      </c>
      <c r="N570">
        <v>0</v>
      </c>
      <c r="O570">
        <v>-1.7456749999999999E-3</v>
      </c>
      <c r="P570">
        <v>0.99831380000000003</v>
      </c>
      <c r="Q570">
        <v>5.4731589999999997E-2</v>
      </c>
      <c r="R570">
        <v>-1.9334569999999999E-2</v>
      </c>
      <c r="S570">
        <v>3.022675</v>
      </c>
      <c r="T570">
        <v>-0.48706389999999999</v>
      </c>
      <c r="U570">
        <v>-0.4716187</v>
      </c>
      <c r="V570">
        <v>1.7582540000000001E-2</v>
      </c>
      <c r="W570">
        <v>6.4506369999999993E-2</v>
      </c>
      <c r="X570">
        <v>0.99776240000000005</v>
      </c>
      <c r="Y570">
        <v>0.15056240000000001</v>
      </c>
      <c r="Z570">
        <v>-1.170387E-2</v>
      </c>
      <c r="AA570">
        <v>0.98853120000000005</v>
      </c>
      <c r="AB570">
        <v>27</v>
      </c>
      <c r="AC570">
        <v>0.63619999999997301</v>
      </c>
      <c r="AD570">
        <v>-0.12564639999999999</v>
      </c>
      <c r="AE570">
        <v>-0.121700000000032</v>
      </c>
      <c r="AF570">
        <v>0.116216243364637</v>
      </c>
      <c r="AG570">
        <v>-0.12564639999999999</v>
      </c>
      <c r="AH570">
        <v>0.61333332775571403</v>
      </c>
      <c r="AI570">
        <v>101.38025806191401</v>
      </c>
      <c r="AJ570">
        <v>79.2706250466086</v>
      </c>
      <c r="AK570">
        <v>0.63676605122340302</v>
      </c>
      <c r="AL570">
        <v>86.301489300418496</v>
      </c>
      <c r="AM570">
        <v>88.990439931668504</v>
      </c>
      <c r="AN570">
        <v>1.0000000121685899</v>
      </c>
    </row>
    <row r="571" spans="1:40" x14ac:dyDescent="0.25">
      <c r="A571" t="str">
        <f>"20190312150957875"</f>
        <v>20190312150957875</v>
      </c>
      <c r="B571" t="str">
        <f>"1552374597871440"</f>
        <v>1552374597871440</v>
      </c>
      <c r="C571" t="s">
        <v>40</v>
      </c>
      <c r="D571">
        <v>5.4573369999999999</v>
      </c>
      <c r="E571">
        <v>0.55077290000000001</v>
      </c>
      <c r="F571" t="s">
        <v>41</v>
      </c>
      <c r="G571">
        <v>-378.17840000000001</v>
      </c>
      <c r="H571">
        <v>0.96973469999999995</v>
      </c>
      <c r="I571">
        <v>367.11149999999998</v>
      </c>
      <c r="J571">
        <v>-378.90499999999997</v>
      </c>
      <c r="K571">
        <v>1.110012</v>
      </c>
      <c r="L571">
        <v>367.2466</v>
      </c>
      <c r="M571">
        <v>0.99995089999999998</v>
      </c>
      <c r="N571">
        <v>0</v>
      </c>
      <c r="O571">
        <v>-1.6909830000000001E-3</v>
      </c>
      <c r="P571">
        <v>0.9983303</v>
      </c>
      <c r="Q571">
        <v>5.4617020000000002E-2</v>
      </c>
      <c r="R571">
        <v>-1.88095E-2</v>
      </c>
      <c r="S571">
        <v>3.0227360000000001</v>
      </c>
      <c r="T571">
        <v>-0.48803259999999998</v>
      </c>
      <c r="U571">
        <v>-0.46975709999999998</v>
      </c>
      <c r="V571">
        <v>1.711182E-2</v>
      </c>
      <c r="W571">
        <v>6.4372180000000001E-2</v>
      </c>
      <c r="X571">
        <v>0.99777930000000004</v>
      </c>
      <c r="Y571">
        <v>0.1500177</v>
      </c>
      <c r="Z571">
        <v>-1.169246E-2</v>
      </c>
      <c r="AA571">
        <v>0.98861410000000005</v>
      </c>
      <c r="AB571">
        <v>27</v>
      </c>
      <c r="AC571">
        <v>0.72659999999996205</v>
      </c>
      <c r="AD571">
        <v>-0.14027729999999999</v>
      </c>
      <c r="AE571">
        <v>-0.13510000000002201</v>
      </c>
      <c r="AF571">
        <v>0.12921586978510899</v>
      </c>
      <c r="AG571">
        <v>-0.14027729999999999</v>
      </c>
      <c r="AH571">
        <v>0.70155285026013403</v>
      </c>
      <c r="AI571">
        <v>101.124972929558</v>
      </c>
      <c r="AJ571">
        <v>79.563910921586697</v>
      </c>
      <c r="AK571">
        <v>0.72701503671363699</v>
      </c>
      <c r="AL571">
        <v>86.309194017010398</v>
      </c>
      <c r="AM571">
        <v>89.017479154816002</v>
      </c>
      <c r="AN571">
        <v>1.0000000617250699</v>
      </c>
    </row>
    <row r="572" spans="1:40" x14ac:dyDescent="0.25">
      <c r="A572" t="str">
        <f>"20190312150957888"</f>
        <v>20190312150957888</v>
      </c>
      <c r="B572" t="str">
        <f>"1552374597881201"</f>
        <v>1552374597881201</v>
      </c>
      <c r="C572" t="s">
        <v>40</v>
      </c>
      <c r="D572">
        <v>5.277107</v>
      </c>
      <c r="E572">
        <v>0.55055189999999998</v>
      </c>
      <c r="F572" t="s">
        <v>41</v>
      </c>
      <c r="G572">
        <v>-378.16860000000003</v>
      </c>
      <c r="H572">
        <v>0.99139270000000002</v>
      </c>
      <c r="I572">
        <v>367.13290000000001</v>
      </c>
      <c r="J572">
        <v>-378.7586</v>
      </c>
      <c r="K572">
        <v>1.1100049999999999</v>
      </c>
      <c r="L572">
        <v>367.24639999999999</v>
      </c>
      <c r="M572">
        <v>0.99995129999999999</v>
      </c>
      <c r="N572">
        <v>0</v>
      </c>
      <c r="O572">
        <v>-1.6351899999999999E-3</v>
      </c>
      <c r="P572">
        <v>0.9983341</v>
      </c>
      <c r="Q572">
        <v>5.4543229999999998E-2</v>
      </c>
      <c r="R572">
        <v>-1.882093E-2</v>
      </c>
      <c r="S572">
        <v>3.022888</v>
      </c>
      <c r="T572">
        <v>-0.48703780000000002</v>
      </c>
      <c r="U572">
        <v>-0.46551510000000001</v>
      </c>
      <c r="V572">
        <v>1.7179059999999999E-2</v>
      </c>
      <c r="W572">
        <v>6.4273209999999997E-2</v>
      </c>
      <c r="X572">
        <v>0.99778440000000002</v>
      </c>
      <c r="Y572">
        <v>0.148733</v>
      </c>
      <c r="Z572">
        <v>-1.157621E-2</v>
      </c>
      <c r="AA572">
        <v>0.98880959999999996</v>
      </c>
      <c r="AB572">
        <v>27</v>
      </c>
      <c r="AC572">
        <v>0.58999999999997499</v>
      </c>
      <c r="AD572">
        <v>-0.118612299999999</v>
      </c>
      <c r="AE572">
        <v>-0.113499999999987</v>
      </c>
      <c r="AF572">
        <v>0.108313638070758</v>
      </c>
      <c r="AG572">
        <v>-0.118612299999999</v>
      </c>
      <c r="AH572">
        <v>0.56804586449883299</v>
      </c>
      <c r="AI572">
        <v>101.59129382102201</v>
      </c>
      <c r="AJ572">
        <v>79.204565101254104</v>
      </c>
      <c r="AK572">
        <v>0.590319257756038</v>
      </c>
      <c r="AL572">
        <v>86.314875887884</v>
      </c>
      <c r="AM572">
        <v>89.013624192646702</v>
      </c>
      <c r="AN572">
        <v>0.99999993725477099</v>
      </c>
    </row>
    <row r="573" spans="1:40" x14ac:dyDescent="0.25">
      <c r="A573" t="str">
        <f>"20190312150957904"</f>
        <v>20190312150957904</v>
      </c>
      <c r="B573" t="str">
        <f>"1552374597901696"</f>
        <v>1552374597901696</v>
      </c>
      <c r="C573" t="s">
        <v>40</v>
      </c>
      <c r="D573">
        <v>5.3937150000000003</v>
      </c>
      <c r="E573">
        <v>0.55038229999999999</v>
      </c>
      <c r="F573" t="s">
        <v>41</v>
      </c>
      <c r="G573">
        <v>-377.935</v>
      </c>
      <c r="H573">
        <v>0.97745190000000004</v>
      </c>
      <c r="I573">
        <v>367.12</v>
      </c>
      <c r="J573">
        <v>-378.55079999999998</v>
      </c>
      <c r="K573">
        <v>1.1100000000000001</v>
      </c>
      <c r="L573">
        <v>367.24610000000001</v>
      </c>
      <c r="M573">
        <v>0.99995160000000005</v>
      </c>
      <c r="N573">
        <v>0</v>
      </c>
      <c r="O573">
        <v>-1.55536E-3</v>
      </c>
      <c r="P573">
        <v>0.99834719999999999</v>
      </c>
      <c r="Q573">
        <v>5.4421400000000002E-2</v>
      </c>
      <c r="R573">
        <v>-1.8483690000000001E-2</v>
      </c>
      <c r="S573">
        <v>3.0228269999999999</v>
      </c>
      <c r="T573">
        <v>-0.4864695</v>
      </c>
      <c r="U573">
        <v>-0.46377560000000001</v>
      </c>
      <c r="V573">
        <v>1.692138E-2</v>
      </c>
      <c r="W573">
        <v>6.4109990000000006E-2</v>
      </c>
      <c r="X573">
        <v>0.9977994</v>
      </c>
      <c r="Y573">
        <v>0.14826789999999901</v>
      </c>
      <c r="Z573">
        <v>-1.1539310000000001E-2</v>
      </c>
      <c r="AA573">
        <v>0.98887990000000003</v>
      </c>
      <c r="AB573">
        <v>27</v>
      </c>
      <c r="AC573">
        <v>0.61579999999997803</v>
      </c>
      <c r="AD573">
        <v>-0.1325481</v>
      </c>
      <c r="AE573">
        <v>-0.12610000000000801</v>
      </c>
      <c r="AF573">
        <v>0.119814346894343</v>
      </c>
      <c r="AG573">
        <v>-0.1325481</v>
      </c>
      <c r="AH573">
        <v>0.58977065370097603</v>
      </c>
      <c r="AI573">
        <v>102.42087038278601</v>
      </c>
      <c r="AJ573">
        <v>78.516405498043895</v>
      </c>
      <c r="AK573">
        <v>0.61624175491620503</v>
      </c>
      <c r="AL573">
        <v>86.324247386184197</v>
      </c>
      <c r="AM573">
        <v>89.028431236394397</v>
      </c>
      <c r="AN573">
        <v>1.0000000332796299</v>
      </c>
    </row>
    <row r="574" spans="1:40" x14ac:dyDescent="0.25">
      <c r="A574" t="str">
        <f>"20190312150957919"</f>
        <v>20190312150957919</v>
      </c>
      <c r="B574" t="str">
        <f>"1552374597911457"</f>
        <v>1552374597911457</v>
      </c>
      <c r="C574" t="s">
        <v>40</v>
      </c>
      <c r="D574">
        <v>5.2799809999999896</v>
      </c>
      <c r="E574">
        <v>0.55025419999999903</v>
      </c>
      <c r="F574" t="s">
        <v>41</v>
      </c>
      <c r="G574">
        <v>-377.69659999999999</v>
      </c>
      <c r="H574">
        <v>0.97283140000000001</v>
      </c>
      <c r="I574">
        <v>367.1155</v>
      </c>
      <c r="J574">
        <v>-378.38189999999997</v>
      </c>
      <c r="K574">
        <v>1.1099889999999999</v>
      </c>
      <c r="L574">
        <v>367.24599999999998</v>
      </c>
      <c r="M574">
        <v>0.99995219999999996</v>
      </c>
      <c r="N574">
        <v>0</v>
      </c>
      <c r="O574">
        <v>-1.49021299999999E-3</v>
      </c>
      <c r="P574">
        <v>0.99835189999999996</v>
      </c>
      <c r="Q574">
        <v>5.438925E-2</v>
      </c>
      <c r="R574">
        <v>-1.8317980000000001E-2</v>
      </c>
      <c r="S574">
        <v>3.0229189999999999</v>
      </c>
      <c r="T574">
        <v>-0.48563099999999998</v>
      </c>
      <c r="U574">
        <v>-0.46127319999999999</v>
      </c>
      <c r="V574">
        <v>1.6820769999999999E-2</v>
      </c>
      <c r="W574">
        <v>6.40405E-2</v>
      </c>
      <c r="X574">
        <v>0.99780550000000001</v>
      </c>
      <c r="Y574">
        <v>0.14754229999999999</v>
      </c>
      <c r="Z574">
        <v>-1.147279E-2</v>
      </c>
      <c r="AA574">
        <v>0.98898920000000001</v>
      </c>
      <c r="AB574">
        <v>27</v>
      </c>
      <c r="AC574">
        <v>0.68529999999998303</v>
      </c>
      <c r="AD574">
        <v>-0.13715759999999899</v>
      </c>
      <c r="AE574">
        <v>-0.13049999999998299</v>
      </c>
      <c r="AF574">
        <v>0.124659808817561</v>
      </c>
      <c r="AG574">
        <v>-0.13715759999999899</v>
      </c>
      <c r="AH574">
        <v>0.65998195581604302</v>
      </c>
      <c r="AI574">
        <v>101.541646032307</v>
      </c>
      <c r="AJ574">
        <v>79.303778413669505</v>
      </c>
      <c r="AK574">
        <v>0.68551328008650503</v>
      </c>
      <c r="AL574">
        <v>86.328236835205203</v>
      </c>
      <c r="AM574">
        <v>89.034212730157705</v>
      </c>
      <c r="AN574">
        <v>0.99999996988694595</v>
      </c>
    </row>
    <row r="575" spans="1:40" x14ac:dyDescent="0.25">
      <c r="A575" t="str">
        <f>"20190312150957940"</f>
        <v>20190312150957940</v>
      </c>
      <c r="B575" t="str">
        <f>"1552374597930976"</f>
        <v>1552374597930976</v>
      </c>
      <c r="C575" t="s">
        <v>40</v>
      </c>
      <c r="D575">
        <v>5.2773399999999997</v>
      </c>
      <c r="E575">
        <v>0.55004410000000004</v>
      </c>
      <c r="F575" t="s">
        <v>41</v>
      </c>
      <c r="G575">
        <v>-377.46050000000002</v>
      </c>
      <c r="H575">
        <v>0.96213769999999998</v>
      </c>
      <c r="I575">
        <v>367.10559999999998</v>
      </c>
      <c r="J575">
        <v>-378.12709999999998</v>
      </c>
      <c r="K575">
        <v>1.1099779999999999</v>
      </c>
      <c r="L575">
        <v>367.2457</v>
      </c>
      <c r="M575">
        <v>0.99995290000000003</v>
      </c>
      <c r="N575">
        <v>0</v>
      </c>
      <c r="O575">
        <v>-1.392519E-3</v>
      </c>
      <c r="P575">
        <v>0.99836939999999996</v>
      </c>
      <c r="Q575">
        <v>5.4102419999999998E-2</v>
      </c>
      <c r="R575">
        <v>-1.8209900000000001E-2</v>
      </c>
      <c r="S575">
        <v>3.0230100000000002</v>
      </c>
      <c r="T575">
        <v>-0.4851588</v>
      </c>
      <c r="U575">
        <v>-0.45986939999999998</v>
      </c>
      <c r="V575">
        <v>1.681005E-2</v>
      </c>
      <c r="W575">
        <v>6.3690750000000004E-2</v>
      </c>
      <c r="X575">
        <v>0.9978281</v>
      </c>
      <c r="Y575">
        <v>0.147192299999999</v>
      </c>
      <c r="Z575">
        <v>-1.1449559999999999E-2</v>
      </c>
      <c r="AA575">
        <v>0.98904159999999997</v>
      </c>
      <c r="AB575">
        <v>27</v>
      </c>
      <c r="AC575">
        <v>0.666599999999959</v>
      </c>
      <c r="AD575">
        <v>-0.14784030000000001</v>
      </c>
      <c r="AE575">
        <v>-0.14010000000001799</v>
      </c>
      <c r="AF575">
        <v>0.132910583599818</v>
      </c>
      <c r="AG575">
        <v>-0.14784030000000001</v>
      </c>
      <c r="AH575">
        <v>0.63679702157294304</v>
      </c>
      <c r="AI575">
        <v>102.803843151488</v>
      </c>
      <c r="AJ575">
        <v>78.210625676827803</v>
      </c>
      <c r="AK575">
        <v>0.66710750574484301</v>
      </c>
      <c r="AL575">
        <v>86.348317150488398</v>
      </c>
      <c r="AM575">
        <v>89.034849973220105</v>
      </c>
      <c r="AN575">
        <v>1.00000000328308</v>
      </c>
    </row>
    <row r="576" spans="1:40" x14ac:dyDescent="0.25">
      <c r="A576" t="str">
        <f>"20190312150957961"</f>
        <v>20190312150957961</v>
      </c>
      <c r="B576" t="str">
        <f>"1552374597951471"</f>
        <v>1552374597951471</v>
      </c>
      <c r="C576" t="s">
        <v>40</v>
      </c>
      <c r="D576">
        <v>5.463419</v>
      </c>
      <c r="E576">
        <v>0.54998210000000003</v>
      </c>
      <c r="F576" t="s">
        <v>41</v>
      </c>
      <c r="G576">
        <v>-377.21820000000002</v>
      </c>
      <c r="H576">
        <v>0.96425819999999995</v>
      </c>
      <c r="I576">
        <v>367.10750000000002</v>
      </c>
      <c r="J576">
        <v>-377.86579999999998</v>
      </c>
      <c r="K576">
        <v>1.1099589999999999</v>
      </c>
      <c r="L576">
        <v>367.24540000000002</v>
      </c>
      <c r="M576">
        <v>0.9999538</v>
      </c>
      <c r="N576">
        <v>0</v>
      </c>
      <c r="O576">
        <v>-1.2925390000000001E-3</v>
      </c>
      <c r="P576">
        <v>0.99837880000000001</v>
      </c>
      <c r="Q576">
        <v>5.381785E-2</v>
      </c>
      <c r="R576">
        <v>-1.8544850000000002E-2</v>
      </c>
      <c r="S576">
        <v>3.0227970000000002</v>
      </c>
      <c r="T576">
        <v>-0.48471930000000002</v>
      </c>
      <c r="U576">
        <v>-0.45849609999999902</v>
      </c>
      <c r="V576">
        <v>1.7244860000000001E-2</v>
      </c>
      <c r="W576">
        <v>6.3338619999999998E-2</v>
      </c>
      <c r="X576">
        <v>0.99784309999999998</v>
      </c>
      <c r="Y576">
        <v>0.146868</v>
      </c>
      <c r="Z576">
        <v>-1.1430640000000001E-2</v>
      </c>
      <c r="AA576">
        <v>0.98909000000000002</v>
      </c>
      <c r="AB576">
        <v>27</v>
      </c>
      <c r="AC576">
        <v>0.64759999999995399</v>
      </c>
      <c r="AD576">
        <v>-0.14570079999999899</v>
      </c>
      <c r="AE576">
        <v>-0.13790000000000099</v>
      </c>
      <c r="AF576">
        <v>0.13073235332411801</v>
      </c>
      <c r="AG576">
        <v>-0.14570079999999899</v>
      </c>
      <c r="AH576">
        <v>0.61785915003907899</v>
      </c>
      <c r="AI576">
        <v>102.991269986867</v>
      </c>
      <c r="AJ576">
        <v>78.053037589297205</v>
      </c>
      <c r="AK576">
        <v>0.64812776565528696</v>
      </c>
      <c r="AL576">
        <v>86.368533553330593</v>
      </c>
      <c r="AM576">
        <v>89.009905118894295</v>
      </c>
      <c r="AN576">
        <v>1.00000000909876</v>
      </c>
    </row>
    <row r="577" spans="1:40" x14ac:dyDescent="0.25">
      <c r="A577" t="str">
        <f>"20190312150957984"</f>
        <v>20190312150957984</v>
      </c>
      <c r="B577" t="str">
        <f>"1552374597970992"</f>
        <v>1552374597970992</v>
      </c>
      <c r="C577" t="s">
        <v>40</v>
      </c>
      <c r="D577">
        <v>5.7399149999999999</v>
      </c>
      <c r="E577">
        <v>0.54984089999999997</v>
      </c>
      <c r="F577" t="s">
        <v>41</v>
      </c>
      <c r="G577">
        <v>-376.97500000000002</v>
      </c>
      <c r="H577">
        <v>0.96719040000000001</v>
      </c>
      <c r="I577">
        <v>367.11020000000002</v>
      </c>
      <c r="J577">
        <v>-377.59609999999998</v>
      </c>
      <c r="K577">
        <v>1.109947</v>
      </c>
      <c r="L577">
        <v>367.24520000000001</v>
      </c>
      <c r="M577">
        <v>0.99995460000000003</v>
      </c>
      <c r="N577">
        <v>0</v>
      </c>
      <c r="O577">
        <v>-1.189809E-3</v>
      </c>
      <c r="P577">
        <v>0.99838510000000003</v>
      </c>
      <c r="Q577">
        <v>5.3665089999999999E-2</v>
      </c>
      <c r="R577">
        <v>-1.8644839999999999E-2</v>
      </c>
      <c r="S577">
        <v>3.0225219999999999</v>
      </c>
      <c r="T577">
        <v>-0.4844793</v>
      </c>
      <c r="U577">
        <v>-0.45825199999999999</v>
      </c>
      <c r="V577">
        <v>1.7447529999999999E-2</v>
      </c>
      <c r="W577">
        <v>6.3116359999999996E-2</v>
      </c>
      <c r="X577">
        <v>0.99785360000000001</v>
      </c>
      <c r="Y577">
        <v>0.14690449999999999</v>
      </c>
      <c r="Z577">
        <v>-1.144529E-2</v>
      </c>
      <c r="AA577">
        <v>0.98908450000000003</v>
      </c>
      <c r="AB577">
        <v>27</v>
      </c>
      <c r="AC577">
        <v>0.62109999999995502</v>
      </c>
      <c r="AD577">
        <v>-0.14275660000000001</v>
      </c>
      <c r="AE577">
        <v>-0.13499999999998999</v>
      </c>
      <c r="AF577">
        <v>0.12781328883954399</v>
      </c>
      <c r="AG577">
        <v>-0.14275660000000001</v>
      </c>
      <c r="AH577">
        <v>0.59142549725805105</v>
      </c>
      <c r="AI577">
        <v>103.275069285348</v>
      </c>
      <c r="AJ577">
        <v>77.805315296657795</v>
      </c>
      <c r="AK577">
        <v>0.62169108281724095</v>
      </c>
      <c r="AL577">
        <v>86.381293427001907</v>
      </c>
      <c r="AM577">
        <v>88.9982819371983</v>
      </c>
      <c r="AN577">
        <v>0.99999994911785395</v>
      </c>
    </row>
    <row r="578" spans="1:40" x14ac:dyDescent="0.25">
      <c r="A578" t="str">
        <f>"20190312150957998"</f>
        <v>20190312150957998</v>
      </c>
      <c r="B578" t="str">
        <f>"1552374597991488"</f>
        <v>1552374597991488</v>
      </c>
      <c r="C578" t="s">
        <v>40</v>
      </c>
      <c r="D578">
        <v>5.4173539999999996</v>
      </c>
      <c r="E578">
        <v>0.54976729999999996</v>
      </c>
      <c r="F578" t="s">
        <v>41</v>
      </c>
      <c r="G578">
        <v>-376.73070000000001</v>
      </c>
      <c r="H578">
        <v>0.9716361</v>
      </c>
      <c r="I578">
        <v>367.11399999999998</v>
      </c>
      <c r="J578">
        <v>-377.42610000000002</v>
      </c>
      <c r="K578">
        <v>1.109945</v>
      </c>
      <c r="L578">
        <v>367.245</v>
      </c>
      <c r="M578">
        <v>0.99995509999999999</v>
      </c>
      <c r="N578">
        <v>0</v>
      </c>
      <c r="O578">
        <v>-1.1245230000000001E-3</v>
      </c>
      <c r="P578">
        <v>0.99838629999999995</v>
      </c>
      <c r="Q578">
        <v>5.3720259999999999E-2</v>
      </c>
      <c r="R578">
        <v>-1.8424860000000001E-2</v>
      </c>
      <c r="S578">
        <v>3.022278</v>
      </c>
      <c r="T578">
        <v>-0.4830681</v>
      </c>
      <c r="U578">
        <v>-0.45767210000000003</v>
      </c>
      <c r="V578">
        <v>1.7292559999999998E-2</v>
      </c>
      <c r="W578">
        <v>6.3128740000000003E-2</v>
      </c>
      <c r="X578">
        <v>0.99785550000000001</v>
      </c>
      <c r="Y578">
        <v>0.14680599999999999</v>
      </c>
      <c r="Z578">
        <v>-1.1415959999999999E-2</v>
      </c>
      <c r="AA578">
        <v>0.98909939999999996</v>
      </c>
      <c r="AB578">
        <v>27</v>
      </c>
      <c r="AC578">
        <v>0.69540000000000601</v>
      </c>
      <c r="AD578">
        <v>-0.13830890000000001</v>
      </c>
      <c r="AE578">
        <v>-0.130999999999971</v>
      </c>
      <c r="AF578">
        <v>0.125426351804414</v>
      </c>
      <c r="AG578">
        <v>-0.13830890000000001</v>
      </c>
      <c r="AH578">
        <v>0.66995332271335195</v>
      </c>
      <c r="AI578">
        <v>101.470712114842</v>
      </c>
      <c r="AJ578">
        <v>79.396034283307401</v>
      </c>
      <c r="AK578">
        <v>0.69548441834510999</v>
      </c>
      <c r="AL578">
        <v>86.380582635458893</v>
      </c>
      <c r="AM578">
        <v>89.007179357817904</v>
      </c>
      <c r="AN578">
        <v>0.99999993466279302</v>
      </c>
    </row>
    <row r="579" spans="1:40" x14ac:dyDescent="0.25">
      <c r="A579" t="str">
        <f>"20190312150958016"</f>
        <v>20190312150958016</v>
      </c>
      <c r="B579" t="str">
        <f>"1552374598011009"</f>
        <v>1552374598011009</v>
      </c>
      <c r="C579" t="s">
        <v>40</v>
      </c>
      <c r="D579">
        <v>5.4920249999999999</v>
      </c>
      <c r="E579">
        <v>0.54970980000000003</v>
      </c>
      <c r="F579" t="s">
        <v>41</v>
      </c>
      <c r="G579">
        <v>-376.49259999999998</v>
      </c>
      <c r="H579">
        <v>0.96117070000000004</v>
      </c>
      <c r="I579">
        <v>367.10379999999998</v>
      </c>
      <c r="J579">
        <v>-377.1909</v>
      </c>
      <c r="K579">
        <v>1.1099349999999999</v>
      </c>
      <c r="L579">
        <v>367.24489999999997</v>
      </c>
      <c r="M579">
        <v>0.9999557</v>
      </c>
      <c r="N579">
        <v>0</v>
      </c>
      <c r="O579">
        <v>-1.0352029999999999E-3</v>
      </c>
      <c r="P579">
        <v>0.99839089999999997</v>
      </c>
      <c r="Q579">
        <v>5.3665480000000002E-2</v>
      </c>
      <c r="R579">
        <v>-1.833599E-2</v>
      </c>
      <c r="S579">
        <v>3.0223390000000001</v>
      </c>
      <c r="T579">
        <v>-0.48164960000000001</v>
      </c>
      <c r="U579">
        <v>-0.45706180000000002</v>
      </c>
      <c r="V579">
        <v>1.7292970000000001E-2</v>
      </c>
      <c r="W579">
        <v>6.3016420000000004E-2</v>
      </c>
      <c r="X579">
        <v>0.99786260000000004</v>
      </c>
      <c r="Y579">
        <v>0.1467067</v>
      </c>
      <c r="Z579">
        <v>-1.138904E-2</v>
      </c>
      <c r="AA579">
        <v>0.98911450000000001</v>
      </c>
      <c r="AB579">
        <v>27</v>
      </c>
      <c r="AC579">
        <v>0.69830000000001702</v>
      </c>
      <c r="AD579">
        <v>-0.14876429999999999</v>
      </c>
      <c r="AE579">
        <v>-0.14109999999999401</v>
      </c>
      <c r="AF579">
        <v>0.13451166137606799</v>
      </c>
      <c r="AG579">
        <v>-0.14876429999999999</v>
      </c>
      <c r="AH579">
        <v>0.66926265965415899</v>
      </c>
      <c r="AI579">
        <v>102.293858307196</v>
      </c>
      <c r="AJ579">
        <v>78.6358198626844</v>
      </c>
      <c r="AK579">
        <v>0.69866781205949202</v>
      </c>
      <c r="AL579">
        <v>86.387030964189194</v>
      </c>
      <c r="AM579">
        <v>89.007162886009894</v>
      </c>
      <c r="AN579">
        <v>0.99999994223989697</v>
      </c>
    </row>
    <row r="580" spans="1:40" x14ac:dyDescent="0.25">
      <c r="A580" t="str">
        <f>"20190312150958027"</f>
        <v>20190312150958027</v>
      </c>
      <c r="B580" t="str">
        <f>"1552374598021744"</f>
        <v>1552374598021744</v>
      </c>
      <c r="C580" t="s">
        <v>40</v>
      </c>
      <c r="D580">
        <v>5.4862760000000002</v>
      </c>
      <c r="E580">
        <v>0.54974419999999902</v>
      </c>
      <c r="F580" t="s">
        <v>41</v>
      </c>
      <c r="G580">
        <v>-376.47649999999999</v>
      </c>
      <c r="H580">
        <v>0.9963514</v>
      </c>
      <c r="I580">
        <v>367.13690000000003</v>
      </c>
      <c r="J580">
        <v>-377.05939999999998</v>
      </c>
      <c r="K580">
        <v>1.1099330000000001</v>
      </c>
      <c r="L580">
        <v>367.2448</v>
      </c>
      <c r="M580">
        <v>0.99995610000000001</v>
      </c>
      <c r="N580">
        <v>0</v>
      </c>
      <c r="O580">
        <v>-9.8487209999999995E-4</v>
      </c>
      <c r="P580">
        <v>0.99838610000000005</v>
      </c>
      <c r="Q580">
        <v>5.3743499999999902E-2</v>
      </c>
      <c r="R580">
        <v>-1.8364700000000001E-2</v>
      </c>
      <c r="S580">
        <v>3.022278</v>
      </c>
      <c r="T580">
        <v>-0.4805545</v>
      </c>
      <c r="U580">
        <v>-0.4564819</v>
      </c>
      <c r="V580">
        <v>1.73715999999999E-2</v>
      </c>
      <c r="W580">
        <v>6.3063530000000007E-2</v>
      </c>
      <c r="X580">
        <v>0.99785829999999998</v>
      </c>
      <c r="Y580">
        <v>0.14658280000000001</v>
      </c>
      <c r="Z580">
        <v>-1.136202E-2</v>
      </c>
      <c r="AA580">
        <v>0.98913320000000005</v>
      </c>
      <c r="AB580">
        <v>27</v>
      </c>
      <c r="AC580">
        <v>0.58289999999999498</v>
      </c>
      <c r="AD580">
        <v>-0.11358159999999901</v>
      </c>
      <c r="AE580">
        <v>-0.107899999999972</v>
      </c>
      <c r="AF580">
        <v>0.10352532540032799</v>
      </c>
      <c r="AG580">
        <v>-0.11358159999999901</v>
      </c>
      <c r="AH580">
        <v>0.56236116424956495</v>
      </c>
      <c r="AI580">
        <v>101.234708690429</v>
      </c>
      <c r="AJ580">
        <v>79.569178308369999</v>
      </c>
      <c r="AK580">
        <v>0.58298229125242695</v>
      </c>
      <c r="AL580">
        <v>86.384326531970004</v>
      </c>
      <c r="AM580">
        <v>89.0026451336484</v>
      </c>
      <c r="AN580">
        <v>0.99999998409075497</v>
      </c>
    </row>
    <row r="581" spans="1:40" x14ac:dyDescent="0.25">
      <c r="A581" t="str">
        <f>"20190312150958041"</f>
        <v>20190312150958041</v>
      </c>
      <c r="B581" t="str">
        <f>"1552374598031505"</f>
        <v>1552374598031505</v>
      </c>
      <c r="C581" t="s">
        <v>40</v>
      </c>
      <c r="D581">
        <v>5.4638920000000004</v>
      </c>
      <c r="E581">
        <v>0.54994180000000004</v>
      </c>
      <c r="F581" t="s">
        <v>41</v>
      </c>
      <c r="G581">
        <v>-376.24079999999998</v>
      </c>
      <c r="H581">
        <v>0.97998600000000002</v>
      </c>
      <c r="I581">
        <v>367.12079999999997</v>
      </c>
      <c r="J581">
        <v>-376.9051</v>
      </c>
      <c r="K581">
        <v>1.1099289999999999</v>
      </c>
      <c r="L581">
        <v>367.24470000000002</v>
      </c>
      <c r="M581">
        <v>0.99995639999999997</v>
      </c>
      <c r="N581">
        <v>0</v>
      </c>
      <c r="O581">
        <v>-9.2593630000000003E-4</v>
      </c>
      <c r="P581">
        <v>0.99839409999999895</v>
      </c>
      <c r="Q581">
        <v>5.3667470000000002E-2</v>
      </c>
      <c r="R581">
        <v>-1.81429E-2</v>
      </c>
      <c r="S581">
        <v>3.022278</v>
      </c>
      <c r="T581">
        <v>-0.47998049999999998</v>
      </c>
      <c r="U581">
        <v>-0.45681759999999899</v>
      </c>
      <c r="V581">
        <v>1.7208979999999999E-2</v>
      </c>
      <c r="W581">
        <v>6.2951709999999994E-2</v>
      </c>
      <c r="X581">
        <v>0.99786819999999998</v>
      </c>
      <c r="Y581">
        <v>0.14674999999999999</v>
      </c>
      <c r="Z581">
        <v>-1.137089E-2</v>
      </c>
      <c r="AA581">
        <v>0.98910830000000005</v>
      </c>
      <c r="AB581">
        <v>27</v>
      </c>
      <c r="AC581">
        <v>0.66430000000002498</v>
      </c>
      <c r="AD581">
        <v>-0.129943</v>
      </c>
      <c r="AE581">
        <v>-0.123900000000048</v>
      </c>
      <c r="AF581">
        <v>0.118888725750281</v>
      </c>
      <c r="AG581">
        <v>-0.129943</v>
      </c>
      <c r="AH581">
        <v>0.640722726753442</v>
      </c>
      <c r="AI581">
        <v>101.27705013117701</v>
      </c>
      <c r="AJ581">
        <v>79.488088187373506</v>
      </c>
      <c r="AK581">
        <v>0.66448876961005998</v>
      </c>
      <c r="AL581">
        <v>86.390746179547605</v>
      </c>
      <c r="AM581">
        <v>89.011989569016606</v>
      </c>
      <c r="AN581">
        <v>1.0000000056778999</v>
      </c>
    </row>
    <row r="582" spans="1:40" x14ac:dyDescent="0.25">
      <c r="A582" t="str">
        <f>"20190312150958052"</f>
        <v>20190312150958052</v>
      </c>
      <c r="B582" t="str">
        <f>"1552374598041265"</f>
        <v>1552374598041265</v>
      </c>
      <c r="C582" t="s">
        <v>40</v>
      </c>
      <c r="D582">
        <v>5.4623369999999998</v>
      </c>
      <c r="E582">
        <v>0.55011279999999996</v>
      </c>
      <c r="F582" t="s">
        <v>41</v>
      </c>
      <c r="G582">
        <v>-376.00349999999997</v>
      </c>
      <c r="H582">
        <v>0.96580160000000004</v>
      </c>
      <c r="I582">
        <v>367.10809999999998</v>
      </c>
      <c r="J582">
        <v>-376.76240000000001</v>
      </c>
      <c r="K582">
        <v>1.1099239999999999</v>
      </c>
      <c r="L582">
        <v>367.24459999999999</v>
      </c>
      <c r="M582">
        <v>0.99995670000000003</v>
      </c>
      <c r="N582">
        <v>0</v>
      </c>
      <c r="O582">
        <v>-8.7143189999999997E-4</v>
      </c>
      <c r="P582">
        <v>0.99841009999999997</v>
      </c>
      <c r="Q582">
        <v>5.3380579999999997E-2</v>
      </c>
      <c r="R582">
        <v>-1.8105949999999999E-2</v>
      </c>
      <c r="S582">
        <v>3.0224609999999998</v>
      </c>
      <c r="T582">
        <v>-0.48320410000000003</v>
      </c>
      <c r="U582">
        <v>-0.45770260000000001</v>
      </c>
      <c r="V582">
        <v>1.7226379999999999E-2</v>
      </c>
      <c r="W582">
        <v>6.2633339999999996E-2</v>
      </c>
      <c r="X582">
        <v>0.99788790000000005</v>
      </c>
      <c r="Y582">
        <v>0.14705019999999999</v>
      </c>
      <c r="Z582">
        <v>-1.147772E-2</v>
      </c>
      <c r="AA582">
        <v>0.98906240000000001</v>
      </c>
      <c r="AB582">
        <v>27</v>
      </c>
      <c r="AC582">
        <v>0.75890000000003899</v>
      </c>
      <c r="AD582">
        <v>-0.14412239999999901</v>
      </c>
      <c r="AE582">
        <v>-0.136500000000012</v>
      </c>
      <c r="AF582">
        <v>0.13125320176402699</v>
      </c>
      <c r="AG582">
        <v>-0.14412239999999901</v>
      </c>
      <c r="AH582">
        <v>0.73339711646245198</v>
      </c>
      <c r="AI582">
        <v>100.94807870012799</v>
      </c>
      <c r="AJ582">
        <v>79.8534171381351</v>
      </c>
      <c r="AK582">
        <v>0.758860988317695</v>
      </c>
      <c r="AL582">
        <v>86.409023384927806</v>
      </c>
      <c r="AM582">
        <v>89.011010310816602</v>
      </c>
      <c r="AN582">
        <v>0.99999997220693404</v>
      </c>
    </row>
    <row r="583" spans="1:40" x14ac:dyDescent="0.25">
      <c r="A583" t="str">
        <f>"20190312150958063"</f>
        <v>20190312150958063</v>
      </c>
      <c r="B583" t="str">
        <f>"1552374598061760"</f>
        <v>1552374598061760</v>
      </c>
      <c r="C583" t="s">
        <v>40</v>
      </c>
      <c r="D583">
        <v>5.561566</v>
      </c>
      <c r="E583">
        <v>0.55007659999999903</v>
      </c>
      <c r="F583" t="s">
        <v>41</v>
      </c>
      <c r="G583">
        <v>-375.99430000000001</v>
      </c>
      <c r="H583">
        <v>0.98622019999999999</v>
      </c>
      <c r="I583">
        <v>367.12790000000001</v>
      </c>
      <c r="J583">
        <v>-376.62630000000001</v>
      </c>
      <c r="K583">
        <v>1.109917</v>
      </c>
      <c r="L583">
        <v>367.24459999999999</v>
      </c>
      <c r="M583">
        <v>0.99995699999999998</v>
      </c>
      <c r="N583">
        <v>0</v>
      </c>
      <c r="O583">
        <v>-8.1920720000000003E-4</v>
      </c>
      <c r="P583">
        <v>0.99841400000000002</v>
      </c>
      <c r="Q583">
        <v>5.3444909999999998E-2</v>
      </c>
      <c r="R583">
        <v>-1.7698729999999999E-2</v>
      </c>
      <c r="S583">
        <v>3.022491</v>
      </c>
      <c r="T583">
        <v>-0.48674420000000002</v>
      </c>
      <c r="U583">
        <v>-0.45898440000000001</v>
      </c>
      <c r="V583">
        <v>1.6871290000000001E-2</v>
      </c>
      <c r="W583">
        <v>6.2669020000000006E-2</v>
      </c>
      <c r="X583">
        <v>0.9978918</v>
      </c>
      <c r="Y583">
        <v>0.1474779</v>
      </c>
      <c r="Z583">
        <v>-1.1602629999999999E-2</v>
      </c>
      <c r="AA583">
        <v>0.98899729999999997</v>
      </c>
      <c r="AB583">
        <v>27</v>
      </c>
      <c r="AC583">
        <v>0.632000000000005</v>
      </c>
      <c r="AD583">
        <v>-0.1236968</v>
      </c>
      <c r="AE583">
        <v>-0.11669999999998</v>
      </c>
      <c r="AF583">
        <v>0.112032047337489</v>
      </c>
      <c r="AG583">
        <v>-0.1236968</v>
      </c>
      <c r="AH583">
        <v>0.60951626984870699</v>
      </c>
      <c r="AI583">
        <v>101.287835062249</v>
      </c>
      <c r="AJ583">
        <v>79.585006893055805</v>
      </c>
      <c r="AK583">
        <v>0.63195107498219405</v>
      </c>
      <c r="AL583">
        <v>86.406975311160096</v>
      </c>
      <c r="AM583">
        <v>89.031396366265099</v>
      </c>
      <c r="AN583">
        <v>1.0000000455006299</v>
      </c>
    </row>
    <row r="584" spans="1:40" x14ac:dyDescent="0.25">
      <c r="A584" t="str">
        <f>"20190312150958075"</f>
        <v>20190312150958075</v>
      </c>
      <c r="B584" t="str">
        <f>"1552374598071522"</f>
        <v>1552374598071522</v>
      </c>
      <c r="C584" t="s">
        <v>40</v>
      </c>
      <c r="D584">
        <v>5.6131919999999997</v>
      </c>
      <c r="E584">
        <v>0.55000879999999996</v>
      </c>
      <c r="F584" t="s">
        <v>41</v>
      </c>
      <c r="G584">
        <v>-375.75729999999999</v>
      </c>
      <c r="H584">
        <v>0.97025969999999995</v>
      </c>
      <c r="I584">
        <v>367.11270000000002</v>
      </c>
      <c r="J584">
        <v>-376.47949999999997</v>
      </c>
      <c r="K584">
        <v>1.1099129999999999</v>
      </c>
      <c r="L584">
        <v>367.24450000000002</v>
      </c>
      <c r="M584">
        <v>0.9999574</v>
      </c>
      <c r="N584">
        <v>0</v>
      </c>
      <c r="O584">
        <v>-7.6292739999999997E-4</v>
      </c>
      <c r="P584">
        <v>0.99839809999999996</v>
      </c>
      <c r="Q584">
        <v>5.3761259999999998E-2</v>
      </c>
      <c r="R584">
        <v>-1.7635430000000001E-2</v>
      </c>
      <c r="S584">
        <v>3.022675</v>
      </c>
      <c r="T584">
        <v>-0.48594559999999998</v>
      </c>
      <c r="U584">
        <v>-0.45715329999999899</v>
      </c>
      <c r="V584">
        <v>1.686414E-2</v>
      </c>
      <c r="W584">
        <v>6.2955510000000006E-2</v>
      </c>
      <c r="X584">
        <v>0.99787380000000003</v>
      </c>
      <c r="Y584">
        <v>0.1469509</v>
      </c>
      <c r="Z584">
        <v>-1.155074E-2</v>
      </c>
      <c r="AA584">
        <v>0.98907630000000002</v>
      </c>
      <c r="AB584">
        <v>27</v>
      </c>
      <c r="AC584">
        <v>0.72219999999998596</v>
      </c>
      <c r="AD584">
        <v>-0.13965329999999901</v>
      </c>
      <c r="AE584">
        <v>-0.131799999999998</v>
      </c>
      <c r="AF584">
        <v>0.126665252100779</v>
      </c>
      <c r="AG584">
        <v>-0.13965329999999901</v>
      </c>
      <c r="AH584">
        <v>0.69707494157581495</v>
      </c>
      <c r="AI584">
        <v>101.15085459891699</v>
      </c>
      <c r="AJ584">
        <v>79.701172400226596</v>
      </c>
      <c r="AK584">
        <v>0.72212229190322696</v>
      </c>
      <c r="AL584">
        <v>86.390527850874903</v>
      </c>
      <c r="AM584">
        <v>89.031789318017303</v>
      </c>
      <c r="AN584">
        <v>0.99999995809186903</v>
      </c>
    </row>
    <row r="585" spans="1:40" x14ac:dyDescent="0.25">
      <c r="A585" t="str">
        <f>"20190312150958088"</f>
        <v>20190312150958088</v>
      </c>
      <c r="B585" t="str">
        <f>"1552374598081280"</f>
        <v>1552374598081280</v>
      </c>
      <c r="C585" t="s">
        <v>40</v>
      </c>
      <c r="D585">
        <v>5.5349170000000001</v>
      </c>
      <c r="E585">
        <v>0.54991190000000001</v>
      </c>
      <c r="F585" t="s">
        <v>41</v>
      </c>
      <c r="G585">
        <v>-375.74709999999999</v>
      </c>
      <c r="H585">
        <v>0.99259229999999998</v>
      </c>
      <c r="I585">
        <v>367.13339999999999</v>
      </c>
      <c r="J585">
        <v>-376.32819999999998</v>
      </c>
      <c r="K585">
        <v>1.109912</v>
      </c>
      <c r="L585">
        <v>367.24439999999998</v>
      </c>
      <c r="M585">
        <v>0.9999576</v>
      </c>
      <c r="N585">
        <v>0</v>
      </c>
      <c r="O585">
        <v>-7.0510399999999904E-4</v>
      </c>
      <c r="P585">
        <v>0.99840989999999996</v>
      </c>
      <c r="Q585">
        <v>5.3675100000000003E-2</v>
      </c>
      <c r="R585">
        <v>-1.7230539999999999E-2</v>
      </c>
      <c r="S585">
        <v>3.0228269999999999</v>
      </c>
      <c r="T585">
        <v>-0.48433769999999998</v>
      </c>
      <c r="U585">
        <v>-0.4569397</v>
      </c>
      <c r="V585">
        <v>1.6516940000000001E-2</v>
      </c>
      <c r="W585">
        <v>6.2842250000000002E-2</v>
      </c>
      <c r="X585">
        <v>0.99788679999999996</v>
      </c>
      <c r="Y585">
        <v>0.14694399999999999</v>
      </c>
      <c r="Z585">
        <v>-1.1521089999999999E-2</v>
      </c>
      <c r="AA585">
        <v>0.98907769999999995</v>
      </c>
      <c r="AB585">
        <v>27</v>
      </c>
      <c r="AC585">
        <v>0.58109999999999196</v>
      </c>
      <c r="AD585">
        <v>-0.117319699999999</v>
      </c>
      <c r="AE585">
        <v>-0.11099999999999</v>
      </c>
      <c r="AF585">
        <v>0.106405742712659</v>
      </c>
      <c r="AG585">
        <v>-0.117319699999999</v>
      </c>
      <c r="AH585">
        <v>0.55918769785724398</v>
      </c>
      <c r="AI585">
        <v>101.64590160848</v>
      </c>
      <c r="AJ585">
        <v>79.226203019988901</v>
      </c>
      <c r="AK585">
        <v>0.581185835619905</v>
      </c>
      <c r="AL585">
        <v>86.397030239337397</v>
      </c>
      <c r="AM585">
        <v>89.051731575143705</v>
      </c>
      <c r="AN585">
        <v>1.00000001165313</v>
      </c>
    </row>
    <row r="586" spans="1:40" x14ac:dyDescent="0.25">
      <c r="A586" t="str">
        <f>"20190312150958099"</f>
        <v>20190312150958099</v>
      </c>
      <c r="B586" t="str">
        <f>"1552374598091041"</f>
        <v>1552374598091041</v>
      </c>
      <c r="C586" t="s">
        <v>40</v>
      </c>
      <c r="D586">
        <v>5.4200439999999999</v>
      </c>
      <c r="E586">
        <v>0.54988909999999902</v>
      </c>
      <c r="F586" t="s">
        <v>41</v>
      </c>
      <c r="G586">
        <v>-375.50880000000001</v>
      </c>
      <c r="H586">
        <v>0.97874260000000002</v>
      </c>
      <c r="I586">
        <v>367.12119999999999</v>
      </c>
      <c r="J586">
        <v>-376.18490000000003</v>
      </c>
      <c r="K586">
        <v>1.109907</v>
      </c>
      <c r="L586">
        <v>367.24439999999998</v>
      </c>
      <c r="M586">
        <v>0.99995789999999996</v>
      </c>
      <c r="N586">
        <v>0</v>
      </c>
      <c r="O586">
        <v>-6.5051080000000003E-4</v>
      </c>
      <c r="P586">
        <v>0.99840930000000006</v>
      </c>
      <c r="Q586">
        <v>5.3714060000000001E-2</v>
      </c>
      <c r="R586">
        <v>-1.7146649999999999E-2</v>
      </c>
      <c r="S586">
        <v>3.02298</v>
      </c>
      <c r="T586">
        <v>-0.48383799999999999</v>
      </c>
      <c r="U586">
        <v>-0.45468140000000001</v>
      </c>
      <c r="V586">
        <v>1.6487410000000001E-2</v>
      </c>
      <c r="W586">
        <v>6.2856040000000002E-2</v>
      </c>
      <c r="X586">
        <v>0.99788639999999995</v>
      </c>
      <c r="Y586">
        <v>0.1462793</v>
      </c>
      <c r="Z586">
        <v>-1.146548E-2</v>
      </c>
      <c r="AA586">
        <v>0.98917690000000003</v>
      </c>
      <c r="AB586">
        <v>27</v>
      </c>
      <c r="AC586">
        <v>0.67610000000001902</v>
      </c>
      <c r="AD586">
        <v>-0.13116439999999999</v>
      </c>
      <c r="AE586">
        <v>-0.12319999999999701</v>
      </c>
      <c r="AF586">
        <v>0.118445526928305</v>
      </c>
      <c r="AG586">
        <v>-0.13116439999999999</v>
      </c>
      <c r="AH586">
        <v>0.65241448418841896</v>
      </c>
      <c r="AI586">
        <v>101.189288914624</v>
      </c>
      <c r="AJ586">
        <v>79.710055650908799</v>
      </c>
      <c r="AK586">
        <v>0.675927586251312</v>
      </c>
      <c r="AL586">
        <v>86.396238494082695</v>
      </c>
      <c r="AM586">
        <v>89.053426259578799</v>
      </c>
      <c r="AN586">
        <v>0.99999999187897404</v>
      </c>
    </row>
    <row r="587" spans="1:40" x14ac:dyDescent="0.25">
      <c r="A587" t="str">
        <f>"20190312150958116"</f>
        <v>20190312150958116</v>
      </c>
      <c r="B587" t="str">
        <f>"1552374598111536"</f>
        <v>1552374598111536</v>
      </c>
      <c r="C587" t="s">
        <v>40</v>
      </c>
      <c r="D587">
        <v>5.3638659999999998</v>
      </c>
      <c r="E587">
        <v>0.5497938</v>
      </c>
      <c r="F587" t="s">
        <v>41</v>
      </c>
      <c r="G587">
        <v>-375.2704</v>
      </c>
      <c r="H587">
        <v>0.96365460000000003</v>
      </c>
      <c r="I587">
        <v>367.10660000000001</v>
      </c>
      <c r="J587">
        <v>-375.97410000000002</v>
      </c>
      <c r="K587">
        <v>1.109904</v>
      </c>
      <c r="L587">
        <v>367.24430000000001</v>
      </c>
      <c r="M587">
        <v>0.99995829999999997</v>
      </c>
      <c r="N587">
        <v>0</v>
      </c>
      <c r="O587">
        <v>-5.7025399999999996E-4</v>
      </c>
      <c r="P587">
        <v>0.99842430000000004</v>
      </c>
      <c r="Q587">
        <v>5.3601349999999999E-2</v>
      </c>
      <c r="R587">
        <v>-1.6609869999999999E-2</v>
      </c>
      <c r="S587">
        <v>3.02298</v>
      </c>
      <c r="T587">
        <v>-0.48361179999999898</v>
      </c>
      <c r="U587">
        <v>-0.45431519999999997</v>
      </c>
      <c r="V587">
        <v>1.603075E-2</v>
      </c>
      <c r="W587">
        <v>6.27109E-2</v>
      </c>
      <c r="X587">
        <v>0.99790299999999998</v>
      </c>
      <c r="Y587">
        <v>0.1462427</v>
      </c>
      <c r="Z587">
        <v>-1.1470080000000001E-2</v>
      </c>
      <c r="AA587">
        <v>0.98918220000000001</v>
      </c>
      <c r="AB587">
        <v>27</v>
      </c>
      <c r="AC587">
        <v>0.70370000000002597</v>
      </c>
      <c r="AD587">
        <v>-0.146249399999999</v>
      </c>
      <c r="AE587">
        <v>-0.13769999999999499</v>
      </c>
      <c r="AF587">
        <v>0.131815152638218</v>
      </c>
      <c r="AG587">
        <v>-0.146249399999999</v>
      </c>
      <c r="AH587">
        <v>0.67567046895636795</v>
      </c>
      <c r="AI587">
        <v>101.99392596642301</v>
      </c>
      <c r="AJ587">
        <v>78.960937653915195</v>
      </c>
      <c r="AK587">
        <v>0.70377176988361401</v>
      </c>
      <c r="AL587">
        <v>86.404570941926195</v>
      </c>
      <c r="AM587">
        <v>89.079654717041606</v>
      </c>
      <c r="AN587">
        <v>1.0000000196666801</v>
      </c>
    </row>
    <row r="588" spans="1:40" x14ac:dyDescent="0.25">
      <c r="A588" t="str">
        <f>"20190312150958131"</f>
        <v>20190312150958131</v>
      </c>
      <c r="B588" t="str">
        <f>"1552374598121297"</f>
        <v>1552374598121297</v>
      </c>
      <c r="C588" t="s">
        <v>40</v>
      </c>
      <c r="D588">
        <v>5.7859879999999997</v>
      </c>
      <c r="E588">
        <v>0.54976550000000002</v>
      </c>
      <c r="F588" t="s">
        <v>41</v>
      </c>
      <c r="G588">
        <v>-375.25599999999997</v>
      </c>
      <c r="H588">
        <v>0.99519469999999999</v>
      </c>
      <c r="I588">
        <v>367.13670000000002</v>
      </c>
      <c r="J588">
        <v>-375.7989</v>
      </c>
      <c r="K588">
        <v>1.109899</v>
      </c>
      <c r="L588">
        <v>367.24430000000001</v>
      </c>
      <c r="M588">
        <v>0.99995860000000003</v>
      </c>
      <c r="N588">
        <v>0</v>
      </c>
      <c r="O588">
        <v>-5.0350769999999996E-4</v>
      </c>
      <c r="P588">
        <v>0.99842149999999996</v>
      </c>
      <c r="Q588">
        <v>5.3713440000000001E-2</v>
      </c>
      <c r="R588">
        <v>-1.6420730000000001E-2</v>
      </c>
      <c r="S588">
        <v>3.0231629999999998</v>
      </c>
      <c r="T588">
        <v>-0.48317579999999999</v>
      </c>
      <c r="U588">
        <v>-0.45175169999999998</v>
      </c>
      <c r="V588">
        <v>1.5908249999999999E-2</v>
      </c>
      <c r="W588">
        <v>6.2799419999999995E-2</v>
      </c>
      <c r="X588">
        <v>0.99789939999999999</v>
      </c>
      <c r="Y588">
        <v>0.14549110000000001</v>
      </c>
      <c r="Z588">
        <v>-1.1411080000000001E-2</v>
      </c>
      <c r="AA588">
        <v>0.9892938</v>
      </c>
      <c r="AB588">
        <v>27</v>
      </c>
      <c r="AC588">
        <v>0.54290000000003102</v>
      </c>
      <c r="AD588">
        <v>-0.114704299999999</v>
      </c>
      <c r="AE588">
        <v>-0.10759999999999</v>
      </c>
      <c r="AF588">
        <v>0.10290654573663199</v>
      </c>
      <c r="AG588">
        <v>-0.114704299999999</v>
      </c>
      <c r="AH588">
        <v>0.52059341523608205</v>
      </c>
      <c r="AI588">
        <v>102.196913263277</v>
      </c>
      <c r="AJ588">
        <v>78.818399897796098</v>
      </c>
      <c r="AK588">
        <v>0.54292203637456304</v>
      </c>
      <c r="AL588">
        <v>86.399489126072893</v>
      </c>
      <c r="AM588">
        <v>89.086683104144598</v>
      </c>
      <c r="AN588">
        <v>1.0000000260453701</v>
      </c>
    </row>
    <row r="589" spans="1:40" x14ac:dyDescent="0.25">
      <c r="A589" t="str">
        <f>"20190312150958152"</f>
        <v>20190312150958152</v>
      </c>
      <c r="B589" t="str">
        <f>"1552374598141792"</f>
        <v>1552374598141792</v>
      </c>
      <c r="C589" t="s">
        <v>40</v>
      </c>
      <c r="D589">
        <v>5.5674250000000001</v>
      </c>
      <c r="E589">
        <v>0.54968470000000003</v>
      </c>
      <c r="F589" t="s">
        <v>41</v>
      </c>
      <c r="G589">
        <v>-375.01530000000002</v>
      </c>
      <c r="H589">
        <v>0.98464980000000002</v>
      </c>
      <c r="I589">
        <v>367.12720000000002</v>
      </c>
      <c r="J589">
        <v>-375.54270000000002</v>
      </c>
      <c r="K589">
        <v>1.1098969999999999</v>
      </c>
      <c r="L589">
        <v>367.24430000000001</v>
      </c>
      <c r="M589">
        <v>0.99995889999999998</v>
      </c>
      <c r="N589">
        <v>0</v>
      </c>
      <c r="O589">
        <v>-4.0561820000000002E-4</v>
      </c>
      <c r="P589">
        <v>0.99843890000000002</v>
      </c>
      <c r="Q589">
        <v>5.338594E-2</v>
      </c>
      <c r="R589">
        <v>-1.6437750000000001E-2</v>
      </c>
      <c r="S589">
        <v>3.0233759999999998</v>
      </c>
      <c r="T589">
        <v>-0.48339120000000002</v>
      </c>
      <c r="U589">
        <v>-0.45071410000000001</v>
      </c>
      <c r="V589">
        <v>1.6023119999999998E-2</v>
      </c>
      <c r="W589">
        <v>6.2441049999999998E-2</v>
      </c>
      <c r="X589">
        <v>0.99792000000000003</v>
      </c>
      <c r="Y589">
        <v>0.14524599999999999</v>
      </c>
      <c r="Z589">
        <v>-1.14117E-2</v>
      </c>
      <c r="AA589">
        <v>0.98932980000000004</v>
      </c>
      <c r="AB589">
        <v>27</v>
      </c>
      <c r="AC589">
        <v>0.52739999999999998</v>
      </c>
      <c r="AD589">
        <v>-0.1252472</v>
      </c>
      <c r="AE589">
        <v>-0.117099999999993</v>
      </c>
      <c r="AF589">
        <v>0.110924181847935</v>
      </c>
      <c r="AG589">
        <v>-0.1252472</v>
      </c>
      <c r="AH589">
        <v>0.500544532847366</v>
      </c>
      <c r="AI589">
        <v>103.72819679370301</v>
      </c>
      <c r="AJ589">
        <v>77.504786451443707</v>
      </c>
      <c r="AK589">
        <v>0.52776497097653396</v>
      </c>
      <c r="AL589">
        <v>86.420062410784098</v>
      </c>
      <c r="AM589">
        <v>89.080108357859501</v>
      </c>
      <c r="AN589">
        <v>0.99999997574981803</v>
      </c>
    </row>
    <row r="590" spans="1:40" x14ac:dyDescent="0.25">
      <c r="A590" t="str">
        <f>"20190312150958166"</f>
        <v>20190312150958166</v>
      </c>
      <c r="B590" t="str">
        <f>"1552374598161313"</f>
        <v>1552374598161313</v>
      </c>
      <c r="C590" t="s">
        <v>40</v>
      </c>
      <c r="D590">
        <v>5.5098690000000001</v>
      </c>
      <c r="E590">
        <v>0.54952749999999995</v>
      </c>
      <c r="F590" t="s">
        <v>41</v>
      </c>
      <c r="G590">
        <v>-374.76859999999999</v>
      </c>
      <c r="H590">
        <v>0.98577769999999998</v>
      </c>
      <c r="I590">
        <v>367.12880000000001</v>
      </c>
      <c r="J590">
        <v>-375.37439999999998</v>
      </c>
      <c r="K590">
        <v>1.1098950000000001</v>
      </c>
      <c r="L590">
        <v>367.24430000000001</v>
      </c>
      <c r="M590">
        <v>0.99995909999999999</v>
      </c>
      <c r="N590">
        <v>0</v>
      </c>
      <c r="O590">
        <v>-3.4128519999999902E-4</v>
      </c>
      <c r="P590">
        <v>0.99844750000000004</v>
      </c>
      <c r="Q590">
        <v>5.320797E-2</v>
      </c>
      <c r="R590">
        <v>-1.6484889999999999E-2</v>
      </c>
      <c r="S590">
        <v>3.023193</v>
      </c>
      <c r="T590">
        <v>-0.48485859999999897</v>
      </c>
      <c r="U590">
        <v>-0.45016479999999998</v>
      </c>
      <c r="V590">
        <v>1.613436E-2</v>
      </c>
      <c r="W590">
        <v>6.2245469999999997E-2</v>
      </c>
      <c r="X590">
        <v>0.99793050000000005</v>
      </c>
      <c r="Y590">
        <v>0.14513190000000001</v>
      </c>
      <c r="Z590">
        <v>-1.14479E-2</v>
      </c>
      <c r="AA590">
        <v>0.98934610000000001</v>
      </c>
      <c r="AB590">
        <v>27</v>
      </c>
      <c r="AC590">
        <v>0.60579999999998702</v>
      </c>
      <c r="AD590">
        <v>-0.1241173</v>
      </c>
      <c r="AE590">
        <v>-0.11549999999999699</v>
      </c>
      <c r="AF590">
        <v>0.11080516431750601</v>
      </c>
      <c r="AG590">
        <v>-0.1241173</v>
      </c>
      <c r="AH590">
        <v>0.58225561120969704</v>
      </c>
      <c r="AI590">
        <v>101.827298285441</v>
      </c>
      <c r="AJ590">
        <v>79.225261510272802</v>
      </c>
      <c r="AK590">
        <v>0.60556129779230194</v>
      </c>
      <c r="AL590">
        <v>86.431290423644697</v>
      </c>
      <c r="AM590">
        <v>89.073732892678194</v>
      </c>
      <c r="AN590">
        <v>1.0000000494691801</v>
      </c>
    </row>
    <row r="591" spans="1:40" x14ac:dyDescent="0.25">
      <c r="A591" t="str">
        <f>"20190312150958184"</f>
        <v>20190312150958184</v>
      </c>
      <c r="B591" t="str">
        <f>"1552374598181808"</f>
        <v>1552374598181808</v>
      </c>
      <c r="C591" t="s">
        <v>40</v>
      </c>
      <c r="D591">
        <v>5.5142559999999996</v>
      </c>
      <c r="E591">
        <v>0.54940310000000003</v>
      </c>
      <c r="F591" t="s">
        <v>41</v>
      </c>
      <c r="G591">
        <v>-374.5274</v>
      </c>
      <c r="H591">
        <v>0.97413400000000006</v>
      </c>
      <c r="I591">
        <v>367.11810000000003</v>
      </c>
      <c r="J591">
        <v>-375.14269999999999</v>
      </c>
      <c r="K591">
        <v>1.10989</v>
      </c>
      <c r="L591">
        <v>367.24430000000001</v>
      </c>
      <c r="M591">
        <v>0.9999593</v>
      </c>
      <c r="N591">
        <v>0</v>
      </c>
      <c r="O591">
        <v>-2.5333119999999999E-4</v>
      </c>
      <c r="P591">
        <v>0.9984537</v>
      </c>
      <c r="Q591">
        <v>5.2926399999999998E-2</v>
      </c>
      <c r="R591">
        <v>-1.7004169999999999E-2</v>
      </c>
      <c r="S591">
        <v>3.0230410000000001</v>
      </c>
      <c r="T591">
        <v>-0.48474450000000002</v>
      </c>
      <c r="U591">
        <v>-0.4489746</v>
      </c>
      <c r="V591">
        <v>1.674169E-2</v>
      </c>
      <c r="W591">
        <v>6.194326E-2</v>
      </c>
      <c r="X591">
        <v>0.99793920000000003</v>
      </c>
      <c r="Y591">
        <v>0.14484810000000001</v>
      </c>
      <c r="Z591">
        <v>-1.1437579999999999E-2</v>
      </c>
      <c r="AA591">
        <v>0.98938780000000004</v>
      </c>
      <c r="AB591">
        <v>28</v>
      </c>
      <c r="AC591">
        <v>0.61529999999998997</v>
      </c>
      <c r="AD591">
        <v>-0.13575599999999999</v>
      </c>
      <c r="AE591">
        <v>-0.12619999999998299</v>
      </c>
      <c r="AF591">
        <v>0.12041885057717699</v>
      </c>
      <c r="AG591">
        <v>-0.13575599999999999</v>
      </c>
      <c r="AH591">
        <v>0.58787009946889501</v>
      </c>
      <c r="AI591">
        <v>102.747504238931</v>
      </c>
      <c r="AJ591">
        <v>78.423714741025904</v>
      </c>
      <c r="AK591">
        <v>0.61524112749384496</v>
      </c>
      <c r="AL591">
        <v>86.448638902420399</v>
      </c>
      <c r="AM591">
        <v>89.038881121452704</v>
      </c>
      <c r="AN591">
        <v>0.99999994927005997</v>
      </c>
    </row>
    <row r="592" spans="1:40" x14ac:dyDescent="0.25">
      <c r="A592" t="str">
        <f>"20190312150958195"</f>
        <v>20190312150958195</v>
      </c>
      <c r="B592" t="str">
        <f>"1552374598191569"</f>
        <v>1552374598191569</v>
      </c>
      <c r="C592" t="s">
        <v>40</v>
      </c>
      <c r="D592">
        <v>5.3500709999999998</v>
      </c>
      <c r="E592">
        <v>0.54938350000000002</v>
      </c>
      <c r="F592" t="s">
        <v>41</v>
      </c>
      <c r="G592">
        <v>-374.28149999999999</v>
      </c>
      <c r="H592">
        <v>0.97164499999999998</v>
      </c>
      <c r="I592">
        <v>367.11579999999998</v>
      </c>
      <c r="J592">
        <v>-374.99799999999999</v>
      </c>
      <c r="K592">
        <v>1.1098950000000001</v>
      </c>
      <c r="L592">
        <v>367.24430000000001</v>
      </c>
      <c r="M592">
        <v>0.9999593</v>
      </c>
      <c r="N592">
        <v>0</v>
      </c>
      <c r="O592">
        <v>-1.9832270000000001E-4</v>
      </c>
      <c r="P592">
        <v>0.99846449999999998</v>
      </c>
      <c r="Q592">
        <v>5.2618699999999997E-2</v>
      </c>
      <c r="R592">
        <v>-1.7324229999999999E-2</v>
      </c>
      <c r="S592">
        <v>3.0227050000000002</v>
      </c>
      <c r="T592">
        <v>-0.48531649999999998</v>
      </c>
      <c r="U592">
        <v>-0.44970700000000002</v>
      </c>
      <c r="V592">
        <v>1.71164E-2</v>
      </c>
      <c r="W592">
        <v>6.1624379999999999E-2</v>
      </c>
      <c r="X592">
        <v>0.99795259999999997</v>
      </c>
      <c r="Y592">
        <v>0.1451441</v>
      </c>
      <c r="Z592">
        <v>-1.148416E-2</v>
      </c>
      <c r="AA592">
        <v>0.98934390000000005</v>
      </c>
      <c r="AB592">
        <v>28</v>
      </c>
      <c r="AC592">
        <v>0.71650000000005298</v>
      </c>
      <c r="AD592">
        <v>-0.13824999999999901</v>
      </c>
      <c r="AE592">
        <v>-0.12850000000003001</v>
      </c>
      <c r="AF592">
        <v>0.123889180667002</v>
      </c>
      <c r="AG592">
        <v>-0.13824999999999901</v>
      </c>
      <c r="AH592">
        <v>0.69158001253675006</v>
      </c>
      <c r="AI592">
        <v>101.131996107627</v>
      </c>
      <c r="AJ592">
        <v>79.843798556451006</v>
      </c>
      <c r="AK592">
        <v>0.71606180272841802</v>
      </c>
      <c r="AL592">
        <v>86.466944403862897</v>
      </c>
      <c r="AM592">
        <v>89.017386865838802</v>
      </c>
      <c r="AN592">
        <v>0.99999996360305099</v>
      </c>
    </row>
    <row r="593" spans="1:40" x14ac:dyDescent="0.25">
      <c r="A593" t="str">
        <f>"20190312150958208"</f>
        <v>20190312150958208</v>
      </c>
      <c r="B593" t="str">
        <f>"1552374598201328"</f>
        <v>1552374598201328</v>
      </c>
      <c r="C593" t="s">
        <v>40</v>
      </c>
      <c r="D593">
        <v>5.5255219999999996</v>
      </c>
      <c r="E593">
        <v>0.54932569999999903</v>
      </c>
      <c r="F593" t="s">
        <v>41</v>
      </c>
      <c r="G593">
        <v>-374.27170000000001</v>
      </c>
      <c r="H593">
        <v>0.99296379999999995</v>
      </c>
      <c r="I593">
        <v>367.13560000000001</v>
      </c>
      <c r="J593">
        <v>-374.85449999999997</v>
      </c>
      <c r="K593">
        <v>1.1098920000000001</v>
      </c>
      <c r="L593">
        <v>367.24430000000001</v>
      </c>
      <c r="M593">
        <v>0.9999595</v>
      </c>
      <c r="N593">
        <v>0</v>
      </c>
      <c r="O593">
        <v>-1.4344440000000001E-4</v>
      </c>
      <c r="P593">
        <v>0.99844599999999994</v>
      </c>
      <c r="Q593">
        <v>5.293341E-2</v>
      </c>
      <c r="R593">
        <v>-1.7427080000000001E-2</v>
      </c>
      <c r="S593">
        <v>3.022491</v>
      </c>
      <c r="T593">
        <v>-0.48671700000000001</v>
      </c>
      <c r="U593">
        <v>-0.45068359999999902</v>
      </c>
      <c r="V593">
        <v>1.727426E-2</v>
      </c>
      <c r="W593">
        <v>6.1928980000000002E-2</v>
      </c>
      <c r="X593">
        <v>0.99793109999999996</v>
      </c>
      <c r="Y593">
        <v>0.14550539999999901</v>
      </c>
      <c r="Z593">
        <v>-1.15549E-2</v>
      </c>
      <c r="AA593">
        <v>0.98929</v>
      </c>
      <c r="AB593">
        <v>28</v>
      </c>
      <c r="AC593">
        <v>0.58279999999996301</v>
      </c>
      <c r="AD593">
        <v>-0.1169282</v>
      </c>
      <c r="AE593">
        <v>-0.10869999999999801</v>
      </c>
      <c r="AF593">
        <v>0.10454943456624601</v>
      </c>
      <c r="AG593">
        <v>-0.1169282</v>
      </c>
      <c r="AH593">
        <v>0.56099302010840901</v>
      </c>
      <c r="AI593">
        <v>101.579781461519</v>
      </c>
      <c r="AJ593">
        <v>79.443182660442005</v>
      </c>
      <c r="AK593">
        <v>0.58250833198651797</v>
      </c>
      <c r="AL593">
        <v>86.449458980755196</v>
      </c>
      <c r="AM593">
        <v>89.008304927078399</v>
      </c>
      <c r="AN593">
        <v>1.0000000394847901</v>
      </c>
    </row>
    <row r="594" spans="1:40" x14ac:dyDescent="0.25">
      <c r="A594" t="str">
        <f>"20190312150958219"</f>
        <v>20190312150958219</v>
      </c>
      <c r="B594" t="str">
        <f>"1552374598211089"</f>
        <v>1552374598211089</v>
      </c>
      <c r="C594" t="s">
        <v>40</v>
      </c>
      <c r="D594">
        <v>5.547447</v>
      </c>
      <c r="E594">
        <v>0.54932579999999998</v>
      </c>
      <c r="F594" t="s">
        <v>41</v>
      </c>
      <c r="G594">
        <v>-374.03140000000002</v>
      </c>
      <c r="H594">
        <v>0.97745680000000001</v>
      </c>
      <c r="I594">
        <v>367.12150000000003</v>
      </c>
      <c r="J594">
        <v>-374.70400000000001</v>
      </c>
      <c r="K594">
        <v>1.1098920000000001</v>
      </c>
      <c r="L594">
        <v>367.24439999999998</v>
      </c>
      <c r="M594">
        <v>0.9999595</v>
      </c>
      <c r="N594">
        <v>0</v>
      </c>
      <c r="O594" s="1">
        <v>-8.5944789999999895E-5</v>
      </c>
      <c r="P594">
        <v>0.99845910000000004</v>
      </c>
      <c r="Q594">
        <v>5.2580099999999901E-2</v>
      </c>
      <c r="R594">
        <v>-1.774798E-2</v>
      </c>
      <c r="S594">
        <v>3.0226139999999999</v>
      </c>
      <c r="T594">
        <v>-0.48651620000000001</v>
      </c>
      <c r="U594">
        <v>-0.44992070000000001</v>
      </c>
      <c r="V594">
        <v>1.765239E-2</v>
      </c>
      <c r="W594">
        <v>6.1566320000000001E-2</v>
      </c>
      <c r="X594">
        <v>0.99794689999999997</v>
      </c>
      <c r="Y594">
        <v>0.14531540000000001</v>
      </c>
      <c r="Z594">
        <v>-1.1543980000000001E-2</v>
      </c>
      <c r="AA594">
        <v>0.98931800000000003</v>
      </c>
      <c r="AB594">
        <v>28</v>
      </c>
      <c r="AC594">
        <v>0.67259999999998799</v>
      </c>
      <c r="AD594">
        <v>-0.132435199999999</v>
      </c>
      <c r="AE594">
        <v>-0.122899999999958</v>
      </c>
      <c r="AF594">
        <v>0.118400155416734</v>
      </c>
      <c r="AG594">
        <v>-0.132435199999999</v>
      </c>
      <c r="AH594">
        <v>0.64828862482663696</v>
      </c>
      <c r="AI594">
        <v>101.36282451386801</v>
      </c>
      <c r="AJ594">
        <v>79.649860639478206</v>
      </c>
      <c r="AK594">
        <v>0.67218734001865799</v>
      </c>
      <c r="AL594">
        <v>86.470277513933993</v>
      </c>
      <c r="AM594">
        <v>88.986617445701</v>
      </c>
      <c r="AN594">
        <v>1.00000001692533</v>
      </c>
    </row>
    <row r="595" spans="1:40" x14ac:dyDescent="0.25">
      <c r="A595" t="str">
        <f>"20190312150958232"</f>
        <v>20190312150958232</v>
      </c>
      <c r="B595" t="str">
        <f>"1552374598221825"</f>
        <v>1552374598221825</v>
      </c>
      <c r="C595" t="s">
        <v>40</v>
      </c>
      <c r="D595">
        <v>5.5699239999999897</v>
      </c>
      <c r="E595">
        <v>0.549292</v>
      </c>
      <c r="F595" t="s">
        <v>41</v>
      </c>
      <c r="G595">
        <v>-373.79020000000003</v>
      </c>
      <c r="H595">
        <v>0.96231529999999998</v>
      </c>
      <c r="I595">
        <v>367.10750000000002</v>
      </c>
      <c r="J595">
        <v>-374.54719999999998</v>
      </c>
      <c r="K595">
        <v>1.1098920000000001</v>
      </c>
      <c r="L595">
        <v>367.24439999999998</v>
      </c>
      <c r="M595">
        <v>0.99995959999999995</v>
      </c>
      <c r="N595">
        <v>0</v>
      </c>
      <c r="O595" s="1">
        <v>-2.6185540000000001E-5</v>
      </c>
      <c r="P595">
        <v>0.99845989999999996</v>
      </c>
      <c r="Q595">
        <v>5.2506339999999999E-2</v>
      </c>
      <c r="R595">
        <v>-1.7917559999999999E-2</v>
      </c>
      <c r="S595">
        <v>3.0223390000000001</v>
      </c>
      <c r="T595">
        <v>-0.48827540000000003</v>
      </c>
      <c r="U595">
        <v>-0.45101930000000001</v>
      </c>
      <c r="V595">
        <v>1.788172E-2</v>
      </c>
      <c r="W595">
        <v>6.1484940000000002E-2</v>
      </c>
      <c r="X595">
        <v>0.99794780000000005</v>
      </c>
      <c r="Y595">
        <v>0.14572009999999999</v>
      </c>
      <c r="Z595">
        <v>-1.1627770000000001E-2</v>
      </c>
      <c r="AA595">
        <v>0.98925750000000001</v>
      </c>
      <c r="AB595">
        <v>28</v>
      </c>
      <c r="AC595">
        <v>0.75699999999994805</v>
      </c>
      <c r="AD595">
        <v>-0.14757670000000001</v>
      </c>
      <c r="AE595">
        <v>-0.13689999999996799</v>
      </c>
      <c r="AF595">
        <v>0.13202156279096999</v>
      </c>
      <c r="AG595">
        <v>-0.14757670000000001</v>
      </c>
      <c r="AH595">
        <v>0.73013345466946</v>
      </c>
      <c r="AI595">
        <v>101.24918369106901</v>
      </c>
      <c r="AJ595">
        <v>79.750613506866799</v>
      </c>
      <c r="AK595">
        <v>0.75650739391774702</v>
      </c>
      <c r="AL595">
        <v>86.4749489736774</v>
      </c>
      <c r="AM595">
        <v>88.973455869835405</v>
      </c>
      <c r="AN595">
        <v>0.99999998264090095</v>
      </c>
    </row>
    <row r="596" spans="1:40" x14ac:dyDescent="0.25">
      <c r="A596" t="str">
        <f>"20190312150958245"</f>
        <v>20190312150958245</v>
      </c>
      <c r="B596" t="str">
        <f>"1552374598241345"</f>
        <v>1552374598241345</v>
      </c>
      <c r="C596" t="s">
        <v>40</v>
      </c>
      <c r="D596">
        <v>5.2396729999999998</v>
      </c>
      <c r="E596">
        <v>0.54910269999999906</v>
      </c>
      <c r="F596" t="s">
        <v>41</v>
      </c>
      <c r="G596">
        <v>-373.77960000000002</v>
      </c>
      <c r="H596">
        <v>0.98567570000000004</v>
      </c>
      <c r="I596">
        <v>367.12939999999998</v>
      </c>
      <c r="J596">
        <v>-374.39580000000001</v>
      </c>
      <c r="K596">
        <v>1.109891</v>
      </c>
      <c r="L596">
        <v>367.24439999999998</v>
      </c>
      <c r="M596">
        <v>0.99995970000000001</v>
      </c>
      <c r="N596">
        <v>0</v>
      </c>
      <c r="O596" s="1">
        <v>3.1481759999999998E-5</v>
      </c>
      <c r="P596">
        <v>0.99846659999999998</v>
      </c>
      <c r="Q596">
        <v>5.2345830000000003E-2</v>
      </c>
      <c r="R596">
        <v>-1.8020910000000001E-2</v>
      </c>
      <c r="S596">
        <v>3.022278</v>
      </c>
      <c r="T596">
        <v>-0.4892783</v>
      </c>
      <c r="U596">
        <v>-0.45108029999999999</v>
      </c>
      <c r="V596">
        <v>1.8042550000000001E-2</v>
      </c>
      <c r="W596">
        <v>6.1318369999999997E-2</v>
      </c>
      <c r="X596">
        <v>0.99795509999999998</v>
      </c>
      <c r="Y596">
        <v>0.14579039999999999</v>
      </c>
      <c r="Z596">
        <v>-1.166641E-2</v>
      </c>
      <c r="AA596">
        <v>0.98924670000000003</v>
      </c>
      <c r="AB596">
        <v>28</v>
      </c>
      <c r="AC596">
        <v>0.61619999999999198</v>
      </c>
      <c r="AD596">
        <v>-0.1242153</v>
      </c>
      <c r="AE596">
        <v>-0.115000000000009</v>
      </c>
      <c r="AF596">
        <v>0.110673483019385</v>
      </c>
      <c r="AG596">
        <v>-0.1242153</v>
      </c>
      <c r="AH596">
        <v>0.59291388784270105</v>
      </c>
      <c r="AI596">
        <v>101.63695177350699</v>
      </c>
      <c r="AJ596">
        <v>79.426829190565996</v>
      </c>
      <c r="AK596">
        <v>0.61581242192284402</v>
      </c>
      <c r="AL596">
        <v>86.484510584349593</v>
      </c>
      <c r="AM596">
        <v>88.964232605454598</v>
      </c>
      <c r="AN596">
        <v>0.99999992886298195</v>
      </c>
    </row>
    <row r="597" spans="1:40" x14ac:dyDescent="0.25">
      <c r="A597" t="str">
        <f>"20190312150958263"</f>
        <v>20190312150958263</v>
      </c>
      <c r="B597" t="str">
        <f>"1552374598251104"</f>
        <v>1552374598251104</v>
      </c>
      <c r="C597" t="s">
        <v>40</v>
      </c>
      <c r="D597">
        <v>5.5620960000000004</v>
      </c>
      <c r="E597">
        <v>0.54895119999999997</v>
      </c>
      <c r="F597" t="s">
        <v>41</v>
      </c>
      <c r="G597">
        <v>-373.53800000000001</v>
      </c>
      <c r="H597">
        <v>0.97075319999999998</v>
      </c>
      <c r="I597">
        <v>367.11660000000001</v>
      </c>
      <c r="J597">
        <v>-374.16699999999997</v>
      </c>
      <c r="K597">
        <v>1.1098870000000001</v>
      </c>
      <c r="L597">
        <v>367.24450000000002</v>
      </c>
      <c r="M597">
        <v>0.99995979999999995</v>
      </c>
      <c r="N597">
        <v>0</v>
      </c>
      <c r="O597">
        <v>1.1866059999999999E-4</v>
      </c>
      <c r="P597">
        <v>0.99846979999999996</v>
      </c>
      <c r="Q597">
        <v>5.2208549999999999E-2</v>
      </c>
      <c r="R597">
        <v>-1.8239109999999999E-2</v>
      </c>
      <c r="S597">
        <v>3.0222169999999999</v>
      </c>
      <c r="T597">
        <v>-0.49028670000000002</v>
      </c>
      <c r="U597">
        <v>-0.4499512</v>
      </c>
      <c r="V597">
        <v>1.8347860000000001E-2</v>
      </c>
      <c r="W597">
        <v>6.1173199999999997E-2</v>
      </c>
      <c r="X597">
        <v>0.99795849999999997</v>
      </c>
      <c r="Y597">
        <v>0.14551259999999999</v>
      </c>
      <c r="Z597">
        <v>-1.1682400000000001E-2</v>
      </c>
      <c r="AA597">
        <v>0.98928740000000004</v>
      </c>
      <c r="AB597">
        <v>28</v>
      </c>
      <c r="AC597">
        <v>0.62899999999996203</v>
      </c>
      <c r="AD597">
        <v>-0.1391338</v>
      </c>
      <c r="AE597">
        <v>-0.127900000000011</v>
      </c>
      <c r="AF597">
        <v>0.122231468847685</v>
      </c>
      <c r="AG597">
        <v>-0.1391338</v>
      </c>
      <c r="AH597">
        <v>0.60075760674335799</v>
      </c>
      <c r="AI597">
        <v>102.786541095641</v>
      </c>
      <c r="AJ597">
        <v>78.499454873772606</v>
      </c>
      <c r="AK597">
        <v>0.62865606522096795</v>
      </c>
      <c r="AL597">
        <v>86.492844057984499</v>
      </c>
      <c r="AM597">
        <v>88.946713199228</v>
      </c>
      <c r="AN597">
        <v>0.99999998604353402</v>
      </c>
    </row>
    <row r="598" spans="1:40" x14ac:dyDescent="0.25">
      <c r="A598" t="str">
        <f>"20190312150958284"</f>
        <v>20190312150958284</v>
      </c>
      <c r="B598" t="str">
        <f>"1552374598281360"</f>
        <v>1552374598281360</v>
      </c>
      <c r="C598" t="s">
        <v>40</v>
      </c>
      <c r="D598">
        <v>5.4209069999999997</v>
      </c>
      <c r="E598">
        <v>0.54859269999999904</v>
      </c>
      <c r="F598" t="s">
        <v>41</v>
      </c>
      <c r="G598">
        <v>-373.29050000000001</v>
      </c>
      <c r="H598">
        <v>0.96752499999999997</v>
      </c>
      <c r="I598">
        <v>367.1139</v>
      </c>
      <c r="J598">
        <v>-373.90179999999998</v>
      </c>
      <c r="K598">
        <v>1.10989</v>
      </c>
      <c r="L598">
        <v>367.24470000000002</v>
      </c>
      <c r="M598">
        <v>0.99995979999999995</v>
      </c>
      <c r="N598">
        <v>0</v>
      </c>
      <c r="O598">
        <v>2.1948249999999999E-4</v>
      </c>
      <c r="P598">
        <v>0.99848959999999998</v>
      </c>
      <c r="Q598">
        <v>5.1782090000000003E-2</v>
      </c>
      <c r="R598">
        <v>-1.836904E-2</v>
      </c>
      <c r="S598">
        <v>3.0220639999999999</v>
      </c>
      <c r="T598">
        <v>-0.49097479999999899</v>
      </c>
      <c r="U598">
        <v>-0.44934079999999899</v>
      </c>
      <c r="V598">
        <v>1.8578460000000002E-2</v>
      </c>
      <c r="W598">
        <v>6.0740080000000002E-2</v>
      </c>
      <c r="X598">
        <v>0.99798070000000005</v>
      </c>
      <c r="Y598">
        <v>0.14541860000000001</v>
      </c>
      <c r="Z598">
        <v>-1.170797E-2</v>
      </c>
      <c r="AA598">
        <v>0.98930099999999999</v>
      </c>
      <c r="AB598">
        <v>28</v>
      </c>
      <c r="AC598">
        <v>0.61129999999997098</v>
      </c>
      <c r="AD598">
        <v>-0.14236499999999999</v>
      </c>
      <c r="AE598">
        <v>-0.13080000000002101</v>
      </c>
      <c r="AF598">
        <v>0.124478374433637</v>
      </c>
      <c r="AG598">
        <v>-0.14236499999999999</v>
      </c>
      <c r="AH598">
        <v>0.58113213419593801</v>
      </c>
      <c r="AI598">
        <v>103.471080428897</v>
      </c>
      <c r="AJ598">
        <v>77.909950597806699</v>
      </c>
      <c r="AK598">
        <v>0.61112782322666903</v>
      </c>
      <c r="AL598">
        <v>86.517706278209701</v>
      </c>
      <c r="AM598">
        <v>88.933502013535303</v>
      </c>
      <c r="AN598">
        <v>0.99999999703343401</v>
      </c>
    </row>
    <row r="599" spans="1:40" x14ac:dyDescent="0.25">
      <c r="A599" t="str">
        <f>"20190312150958296"</f>
        <v>20190312150958296</v>
      </c>
      <c r="B599" t="str">
        <f>"1552374598291121"</f>
        <v>1552374598291121</v>
      </c>
      <c r="C599" t="s">
        <v>40</v>
      </c>
      <c r="D599">
        <v>5.5504389999999999</v>
      </c>
      <c r="E599">
        <v>0.54849829999999999</v>
      </c>
      <c r="F599" t="s">
        <v>41</v>
      </c>
      <c r="G599">
        <v>-373.04059999999998</v>
      </c>
      <c r="H599">
        <v>0.9688329</v>
      </c>
      <c r="I599">
        <v>367.1173</v>
      </c>
      <c r="J599">
        <v>-373.74549999999999</v>
      </c>
      <c r="K599">
        <v>1.1098859999999999</v>
      </c>
      <c r="L599">
        <v>367.2448</v>
      </c>
      <c r="M599">
        <v>0.99995990000000001</v>
      </c>
      <c r="N599">
        <v>0</v>
      </c>
      <c r="O599">
        <v>2.79158E-4</v>
      </c>
      <c r="P599">
        <v>0.99848519999999996</v>
      </c>
      <c r="Q599">
        <v>5.1826949999999997E-2</v>
      </c>
      <c r="R599">
        <v>-1.8483690000000001E-2</v>
      </c>
      <c r="S599">
        <v>3.0220030000000002</v>
      </c>
      <c r="T599">
        <v>-0.49503639999999999</v>
      </c>
      <c r="U599">
        <v>-0.44665529999999998</v>
      </c>
      <c r="V599">
        <v>1.875272E-2</v>
      </c>
      <c r="W599">
        <v>6.0782450000000002E-2</v>
      </c>
      <c r="X599">
        <v>0.9979749</v>
      </c>
      <c r="Y599">
        <v>0.1445989</v>
      </c>
      <c r="Z599">
        <v>-1.174788E-2</v>
      </c>
      <c r="AA599">
        <v>0.98942059999999998</v>
      </c>
      <c r="AB599">
        <v>28</v>
      </c>
      <c r="AC599">
        <v>0.70490000000000896</v>
      </c>
      <c r="AD599">
        <v>-0.14105309999999999</v>
      </c>
      <c r="AE599">
        <v>-0.127499999999997</v>
      </c>
      <c r="AF599">
        <v>0.122930403324243</v>
      </c>
      <c r="AG599">
        <v>-0.14105309999999999</v>
      </c>
      <c r="AH599">
        <v>0.67855478728882501</v>
      </c>
      <c r="AI599">
        <v>101.560011695632</v>
      </c>
      <c r="AJ599">
        <v>79.731382599834305</v>
      </c>
      <c r="AK599">
        <v>0.70387815737786197</v>
      </c>
      <c r="AL599">
        <v>86.515274297816603</v>
      </c>
      <c r="AM599">
        <v>88.923494692442006</v>
      </c>
      <c r="AN599">
        <v>1.0000000358826999</v>
      </c>
    </row>
    <row r="600" spans="1:40" x14ac:dyDescent="0.25">
      <c r="A600" t="str">
        <f>"20190312150958307"</f>
        <v>20190312150958307</v>
      </c>
      <c r="B600" t="str">
        <f>"1552374598300881"</f>
        <v>1552374598300881</v>
      </c>
      <c r="C600" t="s">
        <v>40</v>
      </c>
      <c r="D600">
        <v>5.5084559999999998</v>
      </c>
      <c r="E600">
        <v>0.54844490000000001</v>
      </c>
      <c r="F600" t="s">
        <v>41</v>
      </c>
      <c r="G600">
        <v>-373.0299</v>
      </c>
      <c r="H600">
        <v>0.99236999999999997</v>
      </c>
      <c r="I600">
        <v>367.13900000000001</v>
      </c>
      <c r="J600">
        <v>-373.60980000000001</v>
      </c>
      <c r="K600">
        <v>1.109885</v>
      </c>
      <c r="L600">
        <v>367.24489999999997</v>
      </c>
      <c r="M600">
        <v>0.99995979999999995</v>
      </c>
      <c r="N600">
        <v>0</v>
      </c>
      <c r="O600">
        <v>3.3096109999999998E-4</v>
      </c>
      <c r="P600">
        <v>0.99848809999999999</v>
      </c>
      <c r="Q600">
        <v>5.1729199999999899E-2</v>
      </c>
      <c r="R600">
        <v>-1.8591659999999999E-2</v>
      </c>
      <c r="S600">
        <v>3.0220639999999999</v>
      </c>
      <c r="T600">
        <v>-0.49625370000000002</v>
      </c>
      <c r="U600">
        <v>-0.44619750000000002</v>
      </c>
      <c r="V600">
        <v>1.8912310000000002E-2</v>
      </c>
      <c r="W600">
        <v>6.0683439999999998E-2</v>
      </c>
      <c r="X600">
        <v>0.99797789999999997</v>
      </c>
      <c r="Y600">
        <v>0.14449210000000001</v>
      </c>
      <c r="Z600">
        <v>-1.177603E-2</v>
      </c>
      <c r="AA600">
        <v>0.98943590000000003</v>
      </c>
      <c r="AB600">
        <v>28</v>
      </c>
      <c r="AC600">
        <v>0.57990000000000896</v>
      </c>
      <c r="AD600">
        <v>-0.117514999999999</v>
      </c>
      <c r="AE600">
        <v>-0.105899999999962</v>
      </c>
      <c r="AF600">
        <v>0.10203692818124099</v>
      </c>
      <c r="AG600">
        <v>-0.117514999999999</v>
      </c>
      <c r="AH600">
        <v>0.55770158098877198</v>
      </c>
      <c r="AI600">
        <v>101.71002134805001</v>
      </c>
      <c r="AJ600">
        <v>79.631853618655697</v>
      </c>
      <c r="AK600">
        <v>0.57900981284866004</v>
      </c>
      <c r="AL600">
        <v>86.520957595985905</v>
      </c>
      <c r="AM600">
        <v>88.914338828673905</v>
      </c>
      <c r="AN600">
        <v>1.0000000221240799</v>
      </c>
    </row>
    <row r="601" spans="1:40" x14ac:dyDescent="0.25">
      <c r="A601" t="str">
        <f>"20190312150958319"</f>
        <v>20190312150958319</v>
      </c>
      <c r="B601" t="str">
        <f>"1552374598311617"</f>
        <v>1552374598311617</v>
      </c>
      <c r="C601" t="s">
        <v>40</v>
      </c>
      <c r="D601">
        <v>5.5128279999999998</v>
      </c>
      <c r="E601">
        <v>0.54844490000000001</v>
      </c>
      <c r="F601" t="s">
        <v>41</v>
      </c>
      <c r="G601">
        <v>-372.78829999999999</v>
      </c>
      <c r="H601">
        <v>0.97461240000000005</v>
      </c>
      <c r="I601">
        <v>367.12299999999999</v>
      </c>
      <c r="J601">
        <v>-373.46190000000001</v>
      </c>
      <c r="K601">
        <v>1.109885</v>
      </c>
      <c r="L601">
        <v>367.245</v>
      </c>
      <c r="M601">
        <v>0.99995990000000001</v>
      </c>
      <c r="N601">
        <v>0</v>
      </c>
      <c r="O601">
        <v>3.8723389999999999E-4</v>
      </c>
      <c r="P601">
        <v>0.99849520000000003</v>
      </c>
      <c r="Q601">
        <v>5.1612810000000002E-2</v>
      </c>
      <c r="R601">
        <v>-1.8534519999999999E-2</v>
      </c>
      <c r="S601">
        <v>3.0220639999999999</v>
      </c>
      <c r="T601">
        <v>-0.49786659999999999</v>
      </c>
      <c r="U601">
        <v>-0.44598389999999999</v>
      </c>
      <c r="V601">
        <v>1.8911460000000001E-2</v>
      </c>
      <c r="W601">
        <v>6.0565880000000002E-2</v>
      </c>
      <c r="X601">
        <v>0.99798509999999996</v>
      </c>
      <c r="Y601">
        <v>0.1444665</v>
      </c>
      <c r="Z601">
        <v>-1.182095E-2</v>
      </c>
      <c r="AA601">
        <v>0.98943910000000002</v>
      </c>
      <c r="AB601">
        <v>28</v>
      </c>
      <c r="AC601">
        <v>0.67360000000002096</v>
      </c>
      <c r="AD601">
        <v>-0.13527259999999999</v>
      </c>
      <c r="AE601">
        <v>-0.121999999999957</v>
      </c>
      <c r="AF601">
        <v>0.117666220251429</v>
      </c>
      <c r="AG601">
        <v>-0.13527259999999999</v>
      </c>
      <c r="AH601">
        <v>0.64824026742924601</v>
      </c>
      <c r="AI601">
        <v>101.602806276181</v>
      </c>
      <c r="AJ601">
        <v>79.711893600273996</v>
      </c>
      <c r="AK601">
        <v>0.67257673169368404</v>
      </c>
      <c r="AL601">
        <v>86.527705847170196</v>
      </c>
      <c r="AM601">
        <v>88.914395441562704</v>
      </c>
      <c r="AN601">
        <v>1.0000000644807501</v>
      </c>
    </row>
    <row r="602" spans="1:40" x14ac:dyDescent="0.25">
      <c r="A602" t="str">
        <f>"20190312150958333"</f>
        <v>20190312150958333</v>
      </c>
      <c r="B602" t="str">
        <f>"1552374598321379"</f>
        <v>1552374598321379</v>
      </c>
      <c r="C602" t="s">
        <v>40</v>
      </c>
      <c r="D602">
        <v>5.44123</v>
      </c>
      <c r="E602">
        <v>0.55398930000000002</v>
      </c>
      <c r="F602" t="s">
        <v>41</v>
      </c>
      <c r="G602">
        <v>-372.54520000000002</v>
      </c>
      <c r="H602">
        <v>0.95872409999999997</v>
      </c>
      <c r="I602">
        <v>367.10980000000001</v>
      </c>
      <c r="J602">
        <v>-373.29079999999999</v>
      </c>
      <c r="K602">
        <v>1.109888</v>
      </c>
      <c r="L602">
        <v>367.24509999999998</v>
      </c>
      <c r="M602">
        <v>0.99995979999999995</v>
      </c>
      <c r="N602">
        <v>0</v>
      </c>
      <c r="O602">
        <v>4.5279949999999999E-4</v>
      </c>
      <c r="P602">
        <v>0.99850000000000005</v>
      </c>
      <c r="Q602">
        <v>5.1482640000000003E-2</v>
      </c>
      <c r="R602">
        <v>-1.8650610000000001E-2</v>
      </c>
      <c r="S602">
        <v>3.0220340000000001</v>
      </c>
      <c r="T602">
        <v>-0.49829580000000001</v>
      </c>
      <c r="U602">
        <v>-0.44549559999999999</v>
      </c>
      <c r="V602">
        <v>1.909282E-2</v>
      </c>
      <c r="W602">
        <v>6.0434990000000001E-2</v>
      </c>
      <c r="X602">
        <v>0.99798949999999997</v>
      </c>
      <c r="Y602">
        <v>0.14437340000000001</v>
      </c>
      <c r="Z602">
        <v>-1.183435E-2</v>
      </c>
      <c r="AA602">
        <v>0.98945249999999996</v>
      </c>
      <c r="AB602">
        <v>28</v>
      </c>
      <c r="AC602">
        <v>0.74559999999996696</v>
      </c>
      <c r="AD602">
        <v>-0.15116389999999999</v>
      </c>
      <c r="AE602">
        <v>-0.135299999999972</v>
      </c>
      <c r="AF602">
        <v>0.13044665872769401</v>
      </c>
      <c r="AG602">
        <v>-0.15116389999999999</v>
      </c>
      <c r="AH602">
        <v>0.71700635960033099</v>
      </c>
      <c r="AI602">
        <v>101.71821562981</v>
      </c>
      <c r="AJ602">
        <v>79.688821103942999</v>
      </c>
      <c r="AK602">
        <v>0.74428823391462295</v>
      </c>
      <c r="AL602">
        <v>86.535218771354593</v>
      </c>
      <c r="AM602">
        <v>88.903991904045597</v>
      </c>
      <c r="AN602">
        <v>0.99999998295105097</v>
      </c>
    </row>
    <row r="603" spans="1:40" x14ac:dyDescent="0.25">
      <c r="A603" t="str">
        <f>"20190312150958353"</f>
        <v>20190312150958353</v>
      </c>
      <c r="B603" t="str">
        <f>"1552374598340897"</f>
        <v>1552374598340897</v>
      </c>
      <c r="C603" t="s">
        <v>40</v>
      </c>
      <c r="D603">
        <v>5.4654470000000002</v>
      </c>
      <c r="E603">
        <v>0.55368319999999904</v>
      </c>
      <c r="F603" t="s">
        <v>41</v>
      </c>
      <c r="G603">
        <v>-372.55840000000001</v>
      </c>
      <c r="H603">
        <v>0.93161119999999997</v>
      </c>
      <c r="I603">
        <v>367.12619999999998</v>
      </c>
      <c r="J603">
        <v>-373.04469999999998</v>
      </c>
      <c r="K603">
        <v>1.1098889999999999</v>
      </c>
      <c r="L603">
        <v>367.24529999999999</v>
      </c>
      <c r="M603">
        <v>0.99995979999999995</v>
      </c>
      <c r="N603">
        <v>0</v>
      </c>
      <c r="O603">
        <v>5.4631919999999896E-4</v>
      </c>
      <c r="P603">
        <v>0.99849719999999997</v>
      </c>
      <c r="Q603">
        <v>5.1427689999999998E-2</v>
      </c>
      <c r="R603">
        <v>-1.8935799999999999E-2</v>
      </c>
      <c r="S603">
        <v>3.033417</v>
      </c>
      <c r="T603">
        <v>-0.73842750000000001</v>
      </c>
      <c r="U603">
        <v>-0.49200440000000001</v>
      </c>
      <c r="V603">
        <v>1.9471550000000001E-2</v>
      </c>
      <c r="W603">
        <v>6.0380730000000001E-2</v>
      </c>
      <c r="X603">
        <v>0.99798549999999997</v>
      </c>
      <c r="Y603">
        <v>0.1561805</v>
      </c>
      <c r="Z603">
        <v>-1.8749729999999999E-2</v>
      </c>
      <c r="AA603">
        <v>0.98755059999999995</v>
      </c>
      <c r="AB603">
        <v>28</v>
      </c>
      <c r="AC603">
        <v>0.48629999999997098</v>
      </c>
      <c r="AD603">
        <v>-0.17827779999999999</v>
      </c>
      <c r="AE603">
        <v>-0.119100000000003</v>
      </c>
      <c r="AF603">
        <v>0.105934184825728</v>
      </c>
      <c r="AG603">
        <v>-0.17827779999999999</v>
      </c>
      <c r="AH603">
        <v>0.43152184582472197</v>
      </c>
      <c r="AI603">
        <v>111.861855476831</v>
      </c>
      <c r="AJ603">
        <v>76.207231319496103</v>
      </c>
      <c r="AK603">
        <v>0.47876521272071099</v>
      </c>
      <c r="AL603">
        <v>86.538333442865095</v>
      </c>
      <c r="AM603">
        <v>88.882252193682802</v>
      </c>
      <c r="AN603">
        <v>1.00000001601249</v>
      </c>
    </row>
    <row r="604" spans="1:40" x14ac:dyDescent="0.25">
      <c r="A604" t="str">
        <f>"20190312150958374"</f>
        <v>20190312150958374</v>
      </c>
      <c r="B604" t="str">
        <f>"1552374598361393"</f>
        <v>1552374598361393</v>
      </c>
      <c r="C604" t="s">
        <v>40</v>
      </c>
      <c r="D604">
        <v>5.517989</v>
      </c>
      <c r="E604">
        <v>0.54309839999999998</v>
      </c>
      <c r="F604" t="s">
        <v>41</v>
      </c>
      <c r="G604">
        <v>-372.30880000000002</v>
      </c>
      <c r="H604">
        <v>0.92931209999999997</v>
      </c>
      <c r="I604">
        <v>367.1259</v>
      </c>
      <c r="J604">
        <v>-372.78129999999999</v>
      </c>
      <c r="K604">
        <v>1.1098790000000001</v>
      </c>
      <c r="L604">
        <v>367.24549999999999</v>
      </c>
      <c r="M604">
        <v>0.99995959999999995</v>
      </c>
      <c r="N604">
        <v>0</v>
      </c>
      <c r="O604">
        <v>6.4609230000000001E-4</v>
      </c>
      <c r="P604">
        <v>0.9984769</v>
      </c>
      <c r="Q604">
        <v>5.1754559999999998E-2</v>
      </c>
      <c r="R604">
        <v>-1.9122150000000001E-2</v>
      </c>
      <c r="S604">
        <v>3.033569</v>
      </c>
      <c r="T604">
        <v>-0.74447750000000001</v>
      </c>
      <c r="U604">
        <v>-0.4901123</v>
      </c>
      <c r="V604">
        <v>1.9757360000000002E-2</v>
      </c>
      <c r="W604">
        <v>6.0710100000000003E-2</v>
      </c>
      <c r="X604">
        <v>0.99795990000000001</v>
      </c>
      <c r="Y604">
        <v>0.155612</v>
      </c>
      <c r="Z604">
        <v>-1.885467E-2</v>
      </c>
      <c r="AA604">
        <v>0.98763829999999997</v>
      </c>
      <c r="AB604">
        <v>28</v>
      </c>
      <c r="AC604">
        <v>0.472499999999968</v>
      </c>
      <c r="AD604">
        <v>-0.1805669</v>
      </c>
      <c r="AE604">
        <v>-0.11959999999999101</v>
      </c>
      <c r="AF604">
        <v>0.105434692126102</v>
      </c>
      <c r="AG604">
        <v>-0.1805669</v>
      </c>
      <c r="AH604">
        <v>0.415409062358637</v>
      </c>
      <c r="AI604">
        <v>112.846370389585</v>
      </c>
      <c r="AJ604">
        <v>75.758522045965506</v>
      </c>
      <c r="AK604">
        <v>0.46506512314838</v>
      </c>
      <c r="AL604">
        <v>86.519427246828997</v>
      </c>
      <c r="AM604">
        <v>88.865820681555903</v>
      </c>
      <c r="AN604">
        <v>1.0000000157620901</v>
      </c>
    </row>
    <row r="605" spans="1:40" x14ac:dyDescent="0.25">
      <c r="A605" t="str">
        <f>"20190312150958386"</f>
        <v>20190312150958386</v>
      </c>
      <c r="B605" t="str">
        <f>"1552374598380913"</f>
        <v>1552374598380913</v>
      </c>
      <c r="C605" t="s">
        <v>40</v>
      </c>
      <c r="D605">
        <v>5.5333569999999996</v>
      </c>
      <c r="E605">
        <v>0.54199719999999996</v>
      </c>
      <c r="F605" t="s">
        <v>41</v>
      </c>
      <c r="G605">
        <v>-372.04059999999998</v>
      </c>
      <c r="H605">
        <v>0.96666149999999995</v>
      </c>
      <c r="I605">
        <v>367.14640000000003</v>
      </c>
      <c r="J605">
        <v>-372.62950000000001</v>
      </c>
      <c r="K605">
        <v>1.109874</v>
      </c>
      <c r="L605">
        <v>367.2457</v>
      </c>
      <c r="M605">
        <v>0.99995959999999995</v>
      </c>
      <c r="N605">
        <v>0</v>
      </c>
      <c r="O605">
        <v>7.0360210000000004E-4</v>
      </c>
      <c r="P605">
        <v>0.99848809999999999</v>
      </c>
      <c r="Q605">
        <v>5.1639369999999997E-2</v>
      </c>
      <c r="R605">
        <v>-1.885326E-2</v>
      </c>
      <c r="S605">
        <v>3.0271910000000002</v>
      </c>
      <c r="T605">
        <v>-0.58522890000000005</v>
      </c>
      <c r="U605">
        <v>-0.40542600000000001</v>
      </c>
      <c r="V605">
        <v>1.954583E-2</v>
      </c>
      <c r="W605">
        <v>6.0596820000000003E-2</v>
      </c>
      <c r="X605">
        <v>0.99797089999999999</v>
      </c>
      <c r="Y605">
        <v>0.1310434</v>
      </c>
      <c r="Z605">
        <v>-1.263065E-2</v>
      </c>
      <c r="AA605">
        <v>0.99129619999999996</v>
      </c>
      <c r="AB605">
        <v>28</v>
      </c>
      <c r="AC605">
        <v>0.58890000000002296</v>
      </c>
      <c r="AD605">
        <v>-0.14321249999999999</v>
      </c>
      <c r="AE605">
        <v>-9.9299999999970995E-2</v>
      </c>
      <c r="AF605">
        <v>9.4292108898585594E-2</v>
      </c>
      <c r="AG605">
        <v>-0.14321249999999999</v>
      </c>
      <c r="AH605">
        <v>0.55681077658719602</v>
      </c>
      <c r="AI605">
        <v>104.229722957794</v>
      </c>
      <c r="AJ605">
        <v>80.388534483766307</v>
      </c>
      <c r="AK605">
        <v>0.58261399131880598</v>
      </c>
      <c r="AL605">
        <v>86.525929510087707</v>
      </c>
      <c r="AM605">
        <v>88.877972890803704</v>
      </c>
      <c r="AN605">
        <v>0.99999996565565497</v>
      </c>
    </row>
    <row r="606" spans="1:40" x14ac:dyDescent="0.25">
      <c r="A606" t="str">
        <f>"20190312150958399"</f>
        <v>20190312150958399</v>
      </c>
      <c r="B606" t="str">
        <f>"1552374598391650"</f>
        <v>1552374598391650</v>
      </c>
      <c r="C606" t="s">
        <v>40</v>
      </c>
      <c r="D606">
        <v>5.507835</v>
      </c>
      <c r="E606">
        <v>0.54205009999999998</v>
      </c>
      <c r="F606" t="s">
        <v>41</v>
      </c>
      <c r="G606">
        <v>-371.79689999999999</v>
      </c>
      <c r="H606">
        <v>0.9493878</v>
      </c>
      <c r="I606">
        <v>367.13650000000001</v>
      </c>
      <c r="J606">
        <v>-372.4658</v>
      </c>
      <c r="K606">
        <v>1.1098779999999999</v>
      </c>
      <c r="L606">
        <v>367.24579999999997</v>
      </c>
      <c r="M606">
        <v>0.9999593</v>
      </c>
      <c r="N606">
        <v>0</v>
      </c>
      <c r="O606">
        <v>7.6623529999999998E-4</v>
      </c>
      <c r="P606">
        <v>0.99850589999999995</v>
      </c>
      <c r="Q606">
        <v>5.1313379999999999E-2</v>
      </c>
      <c r="R606">
        <v>-1.8784479999999999E-2</v>
      </c>
      <c r="S606">
        <v>3.0272519999999998</v>
      </c>
      <c r="T606">
        <v>-0.58367069999999999</v>
      </c>
      <c r="U606">
        <v>-0.39596559999999997</v>
      </c>
      <c r="V606">
        <v>1.953966E-2</v>
      </c>
      <c r="W606">
        <v>6.0273640000000003E-2</v>
      </c>
      <c r="X606">
        <v>0.99799059999999995</v>
      </c>
      <c r="Y606">
        <v>0.12812109999999999</v>
      </c>
      <c r="Z606">
        <v>-1.2333800000000001E-2</v>
      </c>
      <c r="AA606">
        <v>0.99168179999999995</v>
      </c>
      <c r="AB606">
        <v>28</v>
      </c>
      <c r="AC606">
        <v>0.66890000000000704</v>
      </c>
      <c r="AD606">
        <v>-0.1604902</v>
      </c>
      <c r="AE606">
        <v>-0.109299999999961</v>
      </c>
      <c r="AF606">
        <v>0.103982234771291</v>
      </c>
      <c r="AG606">
        <v>-0.1604902</v>
      </c>
      <c r="AH606">
        <v>0.633306524999384</v>
      </c>
      <c r="AI606">
        <v>104.039912149283</v>
      </c>
      <c r="AJ606">
        <v>80.675832369695101</v>
      </c>
      <c r="AK606">
        <v>0.66154861049726899</v>
      </c>
      <c r="AL606">
        <v>86.544480297691393</v>
      </c>
      <c r="AM606">
        <v>88.878349124544499</v>
      </c>
      <c r="AN606">
        <v>0.99999997384006201</v>
      </c>
    </row>
    <row r="607" spans="1:40" x14ac:dyDescent="0.25">
      <c r="A607" t="str">
        <f>"20190312150958419"</f>
        <v>20190312150958419</v>
      </c>
      <c r="B607" t="str">
        <f>"1552374598411168"</f>
        <v>1552374598411168</v>
      </c>
      <c r="C607" t="s">
        <v>40</v>
      </c>
      <c r="D607">
        <v>5.4835039999999999</v>
      </c>
      <c r="E607">
        <v>0.54222429999999999</v>
      </c>
      <c r="F607" t="s">
        <v>41</v>
      </c>
      <c r="G607">
        <v>-371.55169999999998</v>
      </c>
      <c r="H607">
        <v>0.9340484</v>
      </c>
      <c r="I607">
        <v>367.12619999999998</v>
      </c>
      <c r="J607">
        <v>-372.20830000000001</v>
      </c>
      <c r="K607">
        <v>1.1098749999999999</v>
      </c>
      <c r="L607">
        <v>367.24619999999999</v>
      </c>
      <c r="M607">
        <v>0.9999593</v>
      </c>
      <c r="N607">
        <v>0</v>
      </c>
      <c r="O607">
        <v>8.6398089999999996E-4</v>
      </c>
      <c r="P607">
        <v>0.99853040000000004</v>
      </c>
      <c r="Q607">
        <v>5.080635E-2</v>
      </c>
      <c r="R607">
        <v>-1.8855980000000001E-2</v>
      </c>
      <c r="S607">
        <v>3.0269469999999998</v>
      </c>
      <c r="T607">
        <v>-0.58227489999999904</v>
      </c>
      <c r="U607">
        <v>-0.39630130000000002</v>
      </c>
      <c r="V607">
        <v>1.9708960000000001E-2</v>
      </c>
      <c r="W607">
        <v>5.9768149999999999E-2</v>
      </c>
      <c r="X607">
        <v>0.99801770000000001</v>
      </c>
      <c r="Y607">
        <v>0.12834380000000001</v>
      </c>
      <c r="Z607">
        <v>-1.234565E-2</v>
      </c>
      <c r="AA607">
        <v>0.99165289999999995</v>
      </c>
      <c r="AB607">
        <v>28</v>
      </c>
      <c r="AC607">
        <v>0.65660000000002505</v>
      </c>
      <c r="AD607">
        <v>-0.175826599999999</v>
      </c>
      <c r="AE607">
        <v>-0.12000000000000401</v>
      </c>
      <c r="AF607">
        <v>0.112743937420937</v>
      </c>
      <c r="AG607">
        <v>-0.175826599999999</v>
      </c>
      <c r="AH607">
        <v>0.61389756470205503</v>
      </c>
      <c r="AI607">
        <v>105.73248047619001</v>
      </c>
      <c r="AJ607">
        <v>79.593440564109201</v>
      </c>
      <c r="AK607">
        <v>0.64845694432232703</v>
      </c>
      <c r="AL607">
        <v>86.573495149689194</v>
      </c>
      <c r="AM607">
        <v>88.868663888099405</v>
      </c>
      <c r="AN607">
        <v>1.0000000021859901</v>
      </c>
    </row>
    <row r="608" spans="1:40" x14ac:dyDescent="0.25">
      <c r="A608" t="str">
        <f>"20190312150958430"</f>
        <v>20190312150958430</v>
      </c>
      <c r="B608" t="str">
        <f>"1552374598420929"</f>
        <v>1552374598420929</v>
      </c>
      <c r="C608" t="s">
        <v>40</v>
      </c>
      <c r="D608">
        <v>5.4396649999999998</v>
      </c>
      <c r="E608">
        <v>0.54222429999999999</v>
      </c>
      <c r="F608" t="s">
        <v>41</v>
      </c>
      <c r="G608">
        <v>-371.2989</v>
      </c>
      <c r="H608">
        <v>0.93470509999999996</v>
      </c>
      <c r="I608">
        <v>367.12630000000001</v>
      </c>
      <c r="J608">
        <v>-372.05520000000001</v>
      </c>
      <c r="K608">
        <v>1.1098749999999999</v>
      </c>
      <c r="L608">
        <v>367.24639999999999</v>
      </c>
      <c r="M608">
        <v>0.9999593</v>
      </c>
      <c r="N608">
        <v>0</v>
      </c>
      <c r="O608">
        <v>9.2245330000000005E-4</v>
      </c>
      <c r="P608">
        <v>0.99855640000000001</v>
      </c>
      <c r="Q608">
        <v>5.0259400000000003E-2</v>
      </c>
      <c r="R608">
        <v>-1.89579E-2</v>
      </c>
      <c r="S608">
        <v>3.0265499999999999</v>
      </c>
      <c r="T608">
        <v>-0.58321880000000004</v>
      </c>
      <c r="U608">
        <v>-0.3971558</v>
      </c>
      <c r="V608">
        <v>1.9869270000000001E-2</v>
      </c>
      <c r="W608">
        <v>5.922123E-2</v>
      </c>
      <c r="X608">
        <v>0.99804709999999996</v>
      </c>
      <c r="Y608">
        <v>0.12867870000000001</v>
      </c>
      <c r="Z608">
        <v>-1.240962E-2</v>
      </c>
      <c r="AA608">
        <v>0.99160870000000001</v>
      </c>
      <c r="AB608">
        <v>28</v>
      </c>
      <c r="AC608">
        <v>0.75630000000000996</v>
      </c>
      <c r="AD608">
        <v>-0.17516989999999999</v>
      </c>
      <c r="AE608">
        <v>-0.120099999999979</v>
      </c>
      <c r="AF608">
        <v>0.114791106085842</v>
      </c>
      <c r="AG608">
        <v>-0.17516989999999999</v>
      </c>
      <c r="AH608">
        <v>0.71858826940054599</v>
      </c>
      <c r="AI608">
        <v>103.534595646884</v>
      </c>
      <c r="AJ608">
        <v>80.923952041183298</v>
      </c>
      <c r="AK608">
        <v>0.74848553280774399</v>
      </c>
      <c r="AL608">
        <v>86.604886881951899</v>
      </c>
      <c r="AM608">
        <v>88.859497763452296</v>
      </c>
      <c r="AN608">
        <v>0.99999997789572703</v>
      </c>
    </row>
    <row r="609" spans="1:40" x14ac:dyDescent="0.25">
      <c r="A609" t="str">
        <f>"20190312150958442"</f>
        <v>20190312150958442</v>
      </c>
      <c r="B609" t="str">
        <f>"1552374598431666"</f>
        <v>1552374598431666</v>
      </c>
      <c r="C609" t="s">
        <v>40</v>
      </c>
      <c r="D609">
        <v>5.4464009999999998</v>
      </c>
      <c r="E609">
        <v>0.55459369999999997</v>
      </c>
      <c r="F609" t="s">
        <v>41</v>
      </c>
      <c r="G609">
        <v>-371.2869</v>
      </c>
      <c r="H609">
        <v>0.96142289999999997</v>
      </c>
      <c r="I609">
        <v>367.14510000000001</v>
      </c>
      <c r="J609">
        <v>-371.91489999999999</v>
      </c>
      <c r="K609">
        <v>1.1098730000000001</v>
      </c>
      <c r="L609">
        <v>367.2466</v>
      </c>
      <c r="M609">
        <v>0.99995919999999905</v>
      </c>
      <c r="N609">
        <v>0</v>
      </c>
      <c r="O609">
        <v>9.7604080000000001E-4</v>
      </c>
      <c r="P609">
        <v>0.99857739999999995</v>
      </c>
      <c r="Q609">
        <v>4.976042E-2</v>
      </c>
      <c r="R609">
        <v>-1.916383E-2</v>
      </c>
      <c r="S609">
        <v>3.0261840000000002</v>
      </c>
      <c r="T609">
        <v>-0.58492900000000003</v>
      </c>
      <c r="U609">
        <v>-0.39718629999999999</v>
      </c>
      <c r="V609">
        <v>2.0128799999999999E-2</v>
      </c>
      <c r="W609">
        <v>5.87219E-2</v>
      </c>
      <c r="X609">
        <v>0.99807140000000005</v>
      </c>
      <c r="Y609">
        <v>0.12874079999999999</v>
      </c>
      <c r="Z609">
        <v>-1.246296E-2</v>
      </c>
      <c r="AA609">
        <v>0.99160000000000004</v>
      </c>
      <c r="AB609">
        <v>28</v>
      </c>
      <c r="AC609">
        <v>0.62799999999998501</v>
      </c>
      <c r="AD609">
        <v>-0.148450099999999</v>
      </c>
      <c r="AE609">
        <v>-0.101499999999987</v>
      </c>
      <c r="AF609">
        <v>9.6839478187785294E-2</v>
      </c>
      <c r="AG609">
        <v>-0.148450099999999</v>
      </c>
      <c r="AH609">
        <v>0.59547374895971195</v>
      </c>
      <c r="AI609">
        <v>103.823842701407</v>
      </c>
      <c r="AJ609">
        <v>80.763083705271399</v>
      </c>
      <c r="AK609">
        <v>0.62129244517041005</v>
      </c>
      <c r="AL609">
        <v>86.633546251066093</v>
      </c>
      <c r="AM609">
        <v>88.844632796213602</v>
      </c>
      <c r="AN609">
        <v>0.999999974813504</v>
      </c>
    </row>
    <row r="610" spans="1:40" x14ac:dyDescent="0.25">
      <c r="A610" t="str">
        <f>"20190312150958463"</f>
        <v>20190312150958463</v>
      </c>
      <c r="B610" t="str">
        <f>"1552374598451185"</f>
        <v>1552374598451185</v>
      </c>
      <c r="C610" t="s">
        <v>40</v>
      </c>
      <c r="D610">
        <v>5.4690120000000002</v>
      </c>
      <c r="E610">
        <v>0.5546894</v>
      </c>
      <c r="F610" t="s">
        <v>41</v>
      </c>
      <c r="G610">
        <v>-371.06079999999997</v>
      </c>
      <c r="H610">
        <v>0.89844539999999995</v>
      </c>
      <c r="I610">
        <v>367.10649999999998</v>
      </c>
      <c r="J610">
        <v>-371.64789999999999</v>
      </c>
      <c r="K610">
        <v>1.1098680000000001</v>
      </c>
      <c r="L610">
        <v>367.24689999999998</v>
      </c>
      <c r="M610">
        <v>0.99995919999999905</v>
      </c>
      <c r="N610">
        <v>0</v>
      </c>
      <c r="O610">
        <v>1.077141E-3</v>
      </c>
      <c r="P610">
        <v>0.99862709999999999</v>
      </c>
      <c r="Q610">
        <v>4.8831079999999999E-2</v>
      </c>
      <c r="R610">
        <v>-1.8957700000000001E-2</v>
      </c>
      <c r="S610">
        <v>3.0321039999999999</v>
      </c>
      <c r="T610">
        <v>-0.75057320000000005</v>
      </c>
      <c r="U610">
        <v>-0.49676510000000001</v>
      </c>
      <c r="V610">
        <v>2.0024E-2</v>
      </c>
      <c r="W610">
        <v>5.7790800000000003E-2</v>
      </c>
      <c r="X610">
        <v>0.99812789999999996</v>
      </c>
      <c r="Y610">
        <v>0.1580627</v>
      </c>
      <c r="Z610">
        <v>-1.9411629999999999E-2</v>
      </c>
      <c r="AA610">
        <v>0.98723819999999995</v>
      </c>
      <c r="AB610">
        <v>28</v>
      </c>
      <c r="AC610">
        <v>0.58710000000002005</v>
      </c>
      <c r="AD610">
        <v>-0.21142259999999999</v>
      </c>
      <c r="AE610">
        <v>-0.140399999999999</v>
      </c>
      <c r="AF610">
        <v>0.125622637754257</v>
      </c>
      <c r="AG610">
        <v>-0.21142259999999999</v>
      </c>
      <c r="AH610">
        <v>0.52281634484990802</v>
      </c>
      <c r="AI610">
        <v>111.464767931301</v>
      </c>
      <c r="AJ610">
        <v>76.489064784703203</v>
      </c>
      <c r="AK610">
        <v>0.57776941191907605</v>
      </c>
      <c r="AL610">
        <v>86.686985265226397</v>
      </c>
      <c r="AM610">
        <v>88.850711606266401</v>
      </c>
      <c r="AN610">
        <v>1.0000000209495199</v>
      </c>
    </row>
    <row r="611" spans="1:40" x14ac:dyDescent="0.25">
      <c r="A611" t="str">
        <f>"20190312150958475"</f>
        <v>20190312150958475</v>
      </c>
      <c r="B611" t="str">
        <f>"1552374598471681"</f>
        <v>1552374598471681</v>
      </c>
      <c r="C611" t="s">
        <v>40</v>
      </c>
      <c r="D611">
        <v>5.4925160000000002</v>
      </c>
      <c r="E611">
        <v>0.54067699999999996</v>
      </c>
      <c r="F611" t="s">
        <v>41</v>
      </c>
      <c r="G611">
        <v>-370.80720000000002</v>
      </c>
      <c r="H611">
        <v>0.89910100000000004</v>
      </c>
      <c r="I611">
        <v>367.1087</v>
      </c>
      <c r="J611">
        <v>-371.49459999999999</v>
      </c>
      <c r="K611">
        <v>1.1098619999999999</v>
      </c>
      <c r="L611">
        <v>367.24709999999999</v>
      </c>
      <c r="M611">
        <v>0.99995919999999905</v>
      </c>
      <c r="N611">
        <v>0</v>
      </c>
      <c r="O611">
        <v>1.1353190000000001E-3</v>
      </c>
      <c r="P611">
        <v>0.99864569999999997</v>
      </c>
      <c r="Q611">
        <v>4.8435619999999999E-2</v>
      </c>
      <c r="R611">
        <v>-1.8996260000000001E-2</v>
      </c>
      <c r="S611">
        <v>3.03186</v>
      </c>
      <c r="T611">
        <v>-0.76012500000000005</v>
      </c>
      <c r="U611">
        <v>-0.49746699999999999</v>
      </c>
      <c r="V611">
        <v>2.0120590000000001E-2</v>
      </c>
      <c r="W611">
        <v>5.7394720000000003E-2</v>
      </c>
      <c r="X611">
        <v>0.99814879999999995</v>
      </c>
      <c r="Y611">
        <v>0.15822990000000001</v>
      </c>
      <c r="Z611">
        <v>-1.9687380000000001E-2</v>
      </c>
      <c r="AA611">
        <v>0.98720600000000003</v>
      </c>
      <c r="AB611">
        <v>28</v>
      </c>
      <c r="AC611">
        <v>0.68739999999996804</v>
      </c>
      <c r="AD611">
        <v>-0.210761</v>
      </c>
      <c r="AE611">
        <v>-0.13839999999999</v>
      </c>
      <c r="AF611">
        <v>0.12764800812635901</v>
      </c>
      <c r="AG611">
        <v>-0.210761</v>
      </c>
      <c r="AH611">
        <v>0.63029816899483404</v>
      </c>
      <c r="AI611">
        <v>108.14550830851</v>
      </c>
      <c r="AJ611">
        <v>78.551300960455507</v>
      </c>
      <c r="AK611">
        <v>0.67674958067062596</v>
      </c>
      <c r="AL611">
        <v>86.709716670051506</v>
      </c>
      <c r="AM611">
        <v>88.8451934424738</v>
      </c>
      <c r="AN611">
        <v>1.0000000094836301</v>
      </c>
    </row>
    <row r="612" spans="1:40" x14ac:dyDescent="0.25">
      <c r="A612" t="str">
        <f>"20190312150958497"</f>
        <v>20190312150958497</v>
      </c>
      <c r="B612" t="str">
        <f>"1552374598491574"</f>
        <v>1552374598491574</v>
      </c>
      <c r="C612" t="s">
        <v>40</v>
      </c>
      <c r="D612">
        <v>5.2651209999999997</v>
      </c>
      <c r="E612">
        <v>0.54068799999999995</v>
      </c>
      <c r="F612" t="s">
        <v>41</v>
      </c>
      <c r="G612">
        <v>-370.77609999999999</v>
      </c>
      <c r="H612">
        <v>0.97082259999999998</v>
      </c>
      <c r="I612">
        <v>367.15550000000002</v>
      </c>
      <c r="J612">
        <v>-371.22609999999997</v>
      </c>
      <c r="K612">
        <v>1.1098539999999999</v>
      </c>
      <c r="L612">
        <v>367.2475</v>
      </c>
      <c r="M612">
        <v>0.99995909999999999</v>
      </c>
      <c r="N612">
        <v>0</v>
      </c>
      <c r="O612">
        <v>1.2372489999999999E-3</v>
      </c>
      <c r="P612">
        <v>0.99867709999999998</v>
      </c>
      <c r="Q612">
        <v>4.766596E-2</v>
      </c>
      <c r="R612">
        <v>-1.9291969999999999E-2</v>
      </c>
      <c r="S612">
        <v>3.0251459999999999</v>
      </c>
      <c r="T612">
        <v>-0.58553829999999996</v>
      </c>
      <c r="U612">
        <v>-0.38476559999999999</v>
      </c>
      <c r="V612">
        <v>2.0518249999999998E-2</v>
      </c>
      <c r="W612">
        <v>5.6624929999999997E-2</v>
      </c>
      <c r="X612">
        <v>0.99818470000000004</v>
      </c>
      <c r="Y612">
        <v>0.12509219999999999</v>
      </c>
      <c r="Z612">
        <v>-1.2184459999999999E-2</v>
      </c>
      <c r="AA612">
        <v>0.99207029999999996</v>
      </c>
      <c r="AB612">
        <v>28</v>
      </c>
      <c r="AC612">
        <v>0.44999999999998802</v>
      </c>
      <c r="AD612">
        <v>-0.1390314</v>
      </c>
      <c r="AE612">
        <v>-9.1999999999984497E-2</v>
      </c>
      <c r="AF612">
        <v>8.4787955760447606E-2</v>
      </c>
      <c r="AG612">
        <v>-0.1390314</v>
      </c>
      <c r="AH612">
        <v>0.41212460674569901</v>
      </c>
      <c r="AI612">
        <v>108.285223192665</v>
      </c>
      <c r="AJ612">
        <v>78.374532342907102</v>
      </c>
      <c r="AK612">
        <v>0.44313137906640299</v>
      </c>
      <c r="AL612">
        <v>86.753894332109098</v>
      </c>
      <c r="AM612">
        <v>88.822418743978602</v>
      </c>
      <c r="AN612">
        <v>1.00000003829732</v>
      </c>
    </row>
    <row r="613" spans="1:40" x14ac:dyDescent="0.25">
      <c r="A613" t="str">
        <f>"20190312150958509"</f>
        <v>20190312150958509</v>
      </c>
      <c r="B613" t="str">
        <f>"1552374598501334"</f>
        <v>1552374598501334</v>
      </c>
      <c r="C613" t="s">
        <v>40</v>
      </c>
      <c r="D613">
        <v>5.083755</v>
      </c>
      <c r="E613">
        <v>0.54068799999999995</v>
      </c>
      <c r="F613" t="s">
        <v>41</v>
      </c>
      <c r="G613">
        <v>-370.52339999999998</v>
      </c>
      <c r="H613">
        <v>0.96863690000000002</v>
      </c>
      <c r="I613">
        <v>367.15769999999998</v>
      </c>
      <c r="J613">
        <v>-371.0763</v>
      </c>
      <c r="K613">
        <v>1.1098490000000001</v>
      </c>
      <c r="L613">
        <v>367.24779999999998</v>
      </c>
      <c r="M613">
        <v>0.99995909999999999</v>
      </c>
      <c r="N613">
        <v>0</v>
      </c>
      <c r="O613">
        <v>1.2943570000000001E-3</v>
      </c>
      <c r="P613">
        <v>0.99868409999999996</v>
      </c>
      <c r="Q613">
        <v>4.7433379999999997E-2</v>
      </c>
      <c r="R613">
        <v>-1.951433E-2</v>
      </c>
      <c r="S613">
        <v>3.0255429999999999</v>
      </c>
      <c r="T613">
        <v>-0.60806700000000002</v>
      </c>
      <c r="U613">
        <v>-0.3859863</v>
      </c>
      <c r="V613">
        <v>2.0797360000000001E-2</v>
      </c>
      <c r="W613">
        <v>5.639023E-2</v>
      </c>
      <c r="X613">
        <v>0.99819219999999997</v>
      </c>
      <c r="Y613">
        <v>0.12534189999999901</v>
      </c>
      <c r="Z613">
        <v>-1.2678490000000001E-2</v>
      </c>
      <c r="AA613">
        <v>0.99203260000000004</v>
      </c>
      <c r="AB613">
        <v>28</v>
      </c>
      <c r="AC613">
        <v>0.55290000000002204</v>
      </c>
      <c r="AD613">
        <v>-0.14121210000000001</v>
      </c>
      <c r="AE613">
        <v>-9.0100000000006703E-2</v>
      </c>
      <c r="AF613">
        <v>8.5389681115205895E-2</v>
      </c>
      <c r="AG613">
        <v>-0.14121210000000001</v>
      </c>
      <c r="AH613">
        <v>0.51975601998878895</v>
      </c>
      <c r="AI613">
        <v>105.007808948096</v>
      </c>
      <c r="AJ613">
        <v>80.670332396864794</v>
      </c>
      <c r="AK613">
        <v>0.54532428438677905</v>
      </c>
      <c r="AL613">
        <v>86.7673631392544</v>
      </c>
      <c r="AM613">
        <v>88.806413660684797</v>
      </c>
      <c r="AN613">
        <v>1.0000000281816299</v>
      </c>
    </row>
    <row r="614" spans="1:40" x14ac:dyDescent="0.25">
      <c r="A614" t="str">
        <f>"20190312150958520"</f>
        <v>20190312150958520</v>
      </c>
      <c r="B614" t="str">
        <f>"1552374598511094"</f>
        <v>1552374598511094</v>
      </c>
      <c r="C614" t="s">
        <v>40</v>
      </c>
      <c r="D614">
        <v>5.1643569999999999</v>
      </c>
      <c r="E614">
        <v>0.52379160000000002</v>
      </c>
      <c r="F614" t="s">
        <v>41</v>
      </c>
      <c r="G614">
        <v>-370.27809999999999</v>
      </c>
      <c r="H614">
        <v>0.94923230000000003</v>
      </c>
      <c r="I614">
        <v>367.14550000000003</v>
      </c>
      <c r="J614">
        <v>-370.92200000000003</v>
      </c>
      <c r="K614">
        <v>1.109847</v>
      </c>
      <c r="L614">
        <v>367.24810000000002</v>
      </c>
      <c r="M614">
        <v>0.99995889999999998</v>
      </c>
      <c r="N614">
        <v>0</v>
      </c>
      <c r="O614">
        <v>1.3531369999999999E-3</v>
      </c>
      <c r="P614">
        <v>0.99869560000000002</v>
      </c>
      <c r="Q614">
        <v>4.7108990000000003E-2</v>
      </c>
      <c r="R614">
        <v>-1.9701440000000001E-2</v>
      </c>
      <c r="S614">
        <v>3.0253299999999999</v>
      </c>
      <c r="T614">
        <v>-0.60881660000000004</v>
      </c>
      <c r="U614">
        <v>-0.38653559999999998</v>
      </c>
      <c r="V614">
        <v>2.1043530000000001E-2</v>
      </c>
      <c r="W614">
        <v>5.606411E-2</v>
      </c>
      <c r="X614">
        <v>0.99820540000000002</v>
      </c>
      <c r="Y614">
        <v>0.12557409999999999</v>
      </c>
      <c r="Z614">
        <v>-1.2729249999999999E-2</v>
      </c>
      <c r="AA614">
        <v>0.99200250000000001</v>
      </c>
      <c r="AB614">
        <v>28</v>
      </c>
      <c r="AC614">
        <v>0.64389999999997305</v>
      </c>
      <c r="AD614">
        <v>-0.1606147</v>
      </c>
      <c r="AE614">
        <v>-0.102599999999995</v>
      </c>
      <c r="AF614">
        <v>9.7551794016501894E-2</v>
      </c>
      <c r="AG614">
        <v>-0.1606147</v>
      </c>
      <c r="AH614">
        <v>0.606932006603914</v>
      </c>
      <c r="AI614">
        <v>104.642907447273</v>
      </c>
      <c r="AJ614">
        <v>80.868981478530301</v>
      </c>
      <c r="AK614">
        <v>0.63535808408501504</v>
      </c>
      <c r="AL614">
        <v>86.7860780112958</v>
      </c>
      <c r="AM614">
        <v>88.792305784043094</v>
      </c>
      <c r="AN614">
        <v>1.00000001758705</v>
      </c>
    </row>
    <row r="615" spans="1:40" x14ac:dyDescent="0.25">
      <c r="A615" t="str">
        <f>"20190312150958533"</f>
        <v>20190312150958533</v>
      </c>
      <c r="B615" t="str">
        <f>"1552374598521830"</f>
        <v>1552374598521830</v>
      </c>
      <c r="C615" t="s">
        <v>40</v>
      </c>
      <c r="D615">
        <v>5.2528309999999996</v>
      </c>
      <c r="E615">
        <v>0.52379160000000002</v>
      </c>
      <c r="F615" t="s">
        <v>41</v>
      </c>
      <c r="G615">
        <v>-370.01400000000001</v>
      </c>
      <c r="H615">
        <v>0.96941949999999999</v>
      </c>
      <c r="I615">
        <v>367.17219999999998</v>
      </c>
      <c r="J615">
        <v>-370.76429999999999</v>
      </c>
      <c r="K615">
        <v>1.1098410000000001</v>
      </c>
      <c r="L615">
        <v>367.2484</v>
      </c>
      <c r="M615">
        <v>0.99995900000000004</v>
      </c>
      <c r="N615">
        <v>0</v>
      </c>
      <c r="O615">
        <v>1.4131720000000001E-3</v>
      </c>
      <c r="P615">
        <v>0.99870099999999995</v>
      </c>
      <c r="Q615">
        <v>4.7010059999999999E-2</v>
      </c>
      <c r="R615">
        <v>-1.9669579999999999E-2</v>
      </c>
      <c r="S615">
        <v>3.0209959999999998</v>
      </c>
      <c r="T615">
        <v>-0.46726980000000001</v>
      </c>
      <c r="U615">
        <v>-0.25183109999999997</v>
      </c>
      <c r="V615">
        <v>2.1071530000000002E-2</v>
      </c>
      <c r="W615">
        <v>5.596222E-2</v>
      </c>
      <c r="X615">
        <v>0.9982105</v>
      </c>
      <c r="Y615">
        <v>8.3477839999999998E-2</v>
      </c>
      <c r="Z615">
        <v>-6.6237880000000002E-3</v>
      </c>
      <c r="AA615">
        <v>0.99648760000000003</v>
      </c>
      <c r="AB615">
        <v>28</v>
      </c>
      <c r="AC615">
        <v>0.75029999999998098</v>
      </c>
      <c r="AD615">
        <v>-0.1404215</v>
      </c>
      <c r="AE615">
        <v>-7.6200000000028398E-2</v>
      </c>
      <c r="AF615">
        <v>7.4671486459853803E-2</v>
      </c>
      <c r="AG615">
        <v>-0.1404215</v>
      </c>
      <c r="AH615">
        <v>0.72505467099462095</v>
      </c>
      <c r="AI615">
        <v>100.904508224024</v>
      </c>
      <c r="AJ615">
        <v>84.119987464102195</v>
      </c>
      <c r="AK615">
        <v>0.74229260031573296</v>
      </c>
      <c r="AL615">
        <v>86.791924972078704</v>
      </c>
      <c r="AM615">
        <v>88.790705509547195</v>
      </c>
      <c r="AN615">
        <v>0.99999999087705904</v>
      </c>
    </row>
    <row r="616" spans="1:40" x14ac:dyDescent="0.25">
      <c r="A616" t="str">
        <f>"20190312150958555"</f>
        <v>20190312150958555</v>
      </c>
      <c r="B616" t="str">
        <f>"1552374598551111"</f>
        <v>1552374598551111</v>
      </c>
      <c r="C616" t="s">
        <v>40</v>
      </c>
      <c r="D616">
        <v>5.1060509999999999</v>
      </c>
      <c r="E616">
        <v>0.50829629999999904</v>
      </c>
      <c r="F616" t="s">
        <v>41</v>
      </c>
      <c r="G616">
        <v>-370.00299999999999</v>
      </c>
      <c r="H616">
        <v>0.99201620000000001</v>
      </c>
      <c r="I616">
        <v>367.18470000000002</v>
      </c>
      <c r="J616">
        <v>-370.4984</v>
      </c>
      <c r="K616">
        <v>1.1098399999999999</v>
      </c>
      <c r="L616">
        <v>367.24880000000002</v>
      </c>
      <c r="M616">
        <v>0.99995889999999998</v>
      </c>
      <c r="N616">
        <v>0</v>
      </c>
      <c r="O616">
        <v>1.5141229999999901E-3</v>
      </c>
      <c r="P616">
        <v>0.99870289999999995</v>
      </c>
      <c r="Q616">
        <v>4.7124649999999997E-2</v>
      </c>
      <c r="R616">
        <v>-1.9296600000000001E-2</v>
      </c>
      <c r="S616">
        <v>3.020966</v>
      </c>
      <c r="T616">
        <v>-0.4675936</v>
      </c>
      <c r="U616">
        <v>-0.2517395</v>
      </c>
      <c r="V616">
        <v>2.0799209999999999E-2</v>
      </c>
      <c r="W616">
        <v>5.606792E-2</v>
      </c>
      <c r="X616">
        <v>0.99821029999999999</v>
      </c>
      <c r="Y616">
        <v>8.354586E-2</v>
      </c>
      <c r="Z616">
        <v>-6.6491279999999998E-3</v>
      </c>
      <c r="AA616">
        <v>0.99648179999999997</v>
      </c>
      <c r="AB616">
        <v>28</v>
      </c>
      <c r="AC616">
        <v>0.49539999999996098</v>
      </c>
      <c r="AD616">
        <v>-0.11782379999999899</v>
      </c>
      <c r="AE616">
        <v>-6.4099999999996202E-2</v>
      </c>
      <c r="AF616">
        <v>6.1432304206910898E-2</v>
      </c>
      <c r="AG616">
        <v>-0.11782379999999899</v>
      </c>
      <c r="AH616">
        <v>0.46919878442641899</v>
      </c>
      <c r="AI616">
        <v>103.981867708113</v>
      </c>
      <c r="AJ616">
        <v>82.540681702730396</v>
      </c>
      <c r="AK616">
        <v>0.48765138690855803</v>
      </c>
      <c r="AL616">
        <v>86.785859348981404</v>
      </c>
      <c r="AM616">
        <v>88.806329155913303</v>
      </c>
      <c r="AN616">
        <v>1.0000000109079199</v>
      </c>
    </row>
    <row r="617" spans="1:40" x14ac:dyDescent="0.25">
      <c r="A617" t="str">
        <f>"20190312150958576"</f>
        <v>20190312150958576</v>
      </c>
      <c r="B617" t="str">
        <f>"1552374598571606"</f>
        <v>1552374598571606</v>
      </c>
      <c r="C617" t="s">
        <v>40</v>
      </c>
      <c r="D617">
        <v>5.2525130000000004</v>
      </c>
      <c r="E617">
        <v>0.50804439999999995</v>
      </c>
      <c r="F617" t="s">
        <v>42</v>
      </c>
      <c r="G617">
        <v>-344.01830000000001</v>
      </c>
      <c r="H617" s="1">
        <v>-3.423679E-6</v>
      </c>
      <c r="I617">
        <v>366.14580000000001</v>
      </c>
      <c r="J617">
        <v>-370.22300000000001</v>
      </c>
      <c r="K617">
        <v>1.109831</v>
      </c>
      <c r="L617">
        <v>367.24939999999998</v>
      </c>
      <c r="M617">
        <v>0.99995880000000004</v>
      </c>
      <c r="N617">
        <v>0</v>
      </c>
      <c r="O617">
        <v>1.618619E-3</v>
      </c>
      <c r="P617">
        <v>0.99869019999999997</v>
      </c>
      <c r="Q617">
        <v>4.7556639999999997E-2</v>
      </c>
      <c r="R617">
        <v>-1.8881950000000002E-2</v>
      </c>
      <c r="S617">
        <v>3.0074459999999998</v>
      </c>
      <c r="T617">
        <v>-0.1260493</v>
      </c>
      <c r="U617">
        <v>-0.12527469999999999</v>
      </c>
      <c r="V617">
        <v>2.0488840000000001E-2</v>
      </c>
      <c r="W617">
        <v>5.6484970000000002E-2</v>
      </c>
      <c r="X617">
        <v>0.9981932</v>
      </c>
      <c r="Y617">
        <v>4.3196680000000001E-2</v>
      </c>
      <c r="Z617">
        <v>-9.7223369999999999E-4</v>
      </c>
      <c r="AA617">
        <v>0.99906609999999996</v>
      </c>
      <c r="AB617">
        <v>29</v>
      </c>
      <c r="AC617">
        <v>26.204699999999999</v>
      </c>
      <c r="AD617">
        <v>-1.1098344236790001</v>
      </c>
      <c r="AE617">
        <v>-1.1035999999999699</v>
      </c>
      <c r="AF617">
        <v>1.1439673316499299</v>
      </c>
      <c r="AG617">
        <v>-1.1098344236790001</v>
      </c>
      <c r="AH617">
        <v>26.156045373918101</v>
      </c>
      <c r="AI617">
        <v>92.427357979653493</v>
      </c>
      <c r="AJ617">
        <v>87.495693462278993</v>
      </c>
      <c r="AK617">
        <v>26.204562642912599</v>
      </c>
      <c r="AL617">
        <v>86.761926194702596</v>
      </c>
      <c r="AM617">
        <v>88.824116175733806</v>
      </c>
      <c r="AN617">
        <v>1.0000000044633399</v>
      </c>
    </row>
    <row r="618" spans="1:40" x14ac:dyDescent="0.25">
      <c r="A618" t="str">
        <f>"20190312150958598"</f>
        <v>20190312150958598</v>
      </c>
      <c r="B618" t="str">
        <f>"1552374598591126"</f>
        <v>1552374598591126</v>
      </c>
      <c r="C618" t="s">
        <v>40</v>
      </c>
      <c r="D618">
        <v>5.2680730000000002</v>
      </c>
      <c r="E618">
        <v>0.50813090000000005</v>
      </c>
      <c r="F618" t="s">
        <v>42</v>
      </c>
      <c r="G618">
        <v>-335.99759999999998</v>
      </c>
      <c r="H618" s="1">
        <v>-2.3655480000000001E-6</v>
      </c>
      <c r="I618">
        <v>365.86059999999998</v>
      </c>
      <c r="J618">
        <v>-369.9316</v>
      </c>
      <c r="K618">
        <v>1.109828</v>
      </c>
      <c r="L618">
        <v>367.24990000000003</v>
      </c>
      <c r="M618">
        <v>0.99995880000000004</v>
      </c>
      <c r="N618">
        <v>0</v>
      </c>
      <c r="O618">
        <v>1.7286889999999901E-3</v>
      </c>
      <c r="P618">
        <v>0.99869350000000001</v>
      </c>
      <c r="Q618">
        <v>4.7658199999999998E-2</v>
      </c>
      <c r="R618">
        <v>-1.8446560000000001E-2</v>
      </c>
      <c r="S618">
        <v>3.0062869999999999</v>
      </c>
      <c r="T618">
        <v>-9.7485180000000005E-2</v>
      </c>
      <c r="U618">
        <v>-0.1219788</v>
      </c>
      <c r="V618">
        <v>2.016335E-2</v>
      </c>
      <c r="W618">
        <v>5.6564469999999999E-2</v>
      </c>
      <c r="X618">
        <v>0.99819539999999995</v>
      </c>
      <c r="Y618">
        <v>4.2245409999999997E-2</v>
      </c>
      <c r="Z618">
        <v>-7.4050820000000003E-4</v>
      </c>
      <c r="AA618">
        <v>0.99910699999999997</v>
      </c>
      <c r="AB618">
        <v>29</v>
      </c>
      <c r="AC618">
        <v>33.933999999999997</v>
      </c>
      <c r="AD618">
        <v>-1.109830365548</v>
      </c>
      <c r="AE618">
        <v>-1.3893000000000399</v>
      </c>
      <c r="AF618">
        <v>1.44641700983022</v>
      </c>
      <c r="AG618">
        <v>-1.109830365548</v>
      </c>
      <c r="AH618">
        <v>33.8953519198405</v>
      </c>
      <c r="AI618">
        <v>91.873653065597097</v>
      </c>
      <c r="AJ618">
        <v>87.556498564559803</v>
      </c>
      <c r="AK618">
        <v>33.944347502588002</v>
      </c>
      <c r="AL618">
        <v>86.757364125600006</v>
      </c>
      <c r="AM618">
        <v>88.842793941356703</v>
      </c>
      <c r="AN618">
        <v>1.00000007826537</v>
      </c>
    </row>
    <row r="619" spans="1:40" x14ac:dyDescent="0.25">
      <c r="A619" t="str">
        <f>"20190312150958612"</f>
        <v>20190312150958612</v>
      </c>
      <c r="B619" t="str">
        <f>"1552374598600886"</f>
        <v>1552374598600886</v>
      </c>
      <c r="C619" t="s">
        <v>40</v>
      </c>
      <c r="D619">
        <v>5.2152989999999999</v>
      </c>
      <c r="E619">
        <v>0.5082544</v>
      </c>
      <c r="F619" t="s">
        <v>42</v>
      </c>
      <c r="G619">
        <v>-320.23930000000001</v>
      </c>
      <c r="H619" s="1">
        <v>-4.9459899999999999E-6</v>
      </c>
      <c r="I619">
        <v>365.23970000000003</v>
      </c>
      <c r="J619">
        <v>-369.74799999999999</v>
      </c>
      <c r="K619">
        <v>1.109828</v>
      </c>
      <c r="L619">
        <v>367.25029999999998</v>
      </c>
      <c r="M619">
        <v>0.99995889999999998</v>
      </c>
      <c r="N619">
        <v>0</v>
      </c>
      <c r="O619">
        <v>1.798142E-3</v>
      </c>
      <c r="P619">
        <v>0.99869969999999997</v>
      </c>
      <c r="Q619">
        <v>4.7692579999999998E-2</v>
      </c>
      <c r="R619">
        <v>-1.8022699999999999E-2</v>
      </c>
      <c r="S619">
        <v>3.004883</v>
      </c>
      <c r="T619">
        <v>-6.7111249999999997E-2</v>
      </c>
      <c r="U619">
        <v>-0.12155150000000001</v>
      </c>
      <c r="V619">
        <v>1.9808800000000001E-2</v>
      </c>
      <c r="W619">
        <v>5.6582559999999997E-2</v>
      </c>
      <c r="X619">
        <v>0.99820140000000002</v>
      </c>
      <c r="Y619">
        <v>4.220401E-2</v>
      </c>
      <c r="Z619">
        <v>-5.1118259999999999E-4</v>
      </c>
      <c r="AA619">
        <v>0.99910889999999997</v>
      </c>
      <c r="AB619">
        <v>29</v>
      </c>
      <c r="AC619">
        <v>49.508699999999997</v>
      </c>
      <c r="AD619">
        <v>-1.10983294598999</v>
      </c>
      <c r="AE619">
        <v>-2.01059999999995</v>
      </c>
      <c r="AF619">
        <v>2.0985711024973899</v>
      </c>
      <c r="AG619">
        <v>-1.10983294598999</v>
      </c>
      <c r="AH619">
        <v>49.480180695361298</v>
      </c>
      <c r="AI619">
        <v>91.283766471092207</v>
      </c>
      <c r="AJ619">
        <v>87.571406421374505</v>
      </c>
      <c r="AK619">
        <v>49.537097326002502</v>
      </c>
      <c r="AL619">
        <v>86.756325743849999</v>
      </c>
      <c r="AM619">
        <v>88.8631435615642</v>
      </c>
      <c r="AN619">
        <v>1.00000000480777</v>
      </c>
    </row>
    <row r="620" spans="1:40" x14ac:dyDescent="0.25">
      <c r="A620" t="str">
        <f>"20190312150958631"</f>
        <v>20190312150958631</v>
      </c>
      <c r="B620" t="str">
        <f>"1552374598621382"</f>
        <v>1552374598621382</v>
      </c>
      <c r="C620" t="s">
        <v>40</v>
      </c>
      <c r="D620">
        <v>5.112851</v>
      </c>
      <c r="E620">
        <v>0.50821229999999995</v>
      </c>
      <c r="F620" t="s">
        <v>42</v>
      </c>
      <c r="G620">
        <v>-320.1918</v>
      </c>
      <c r="H620" s="1">
        <v>-4.9640549999999999E-6</v>
      </c>
      <c r="I620">
        <v>365.25279999999998</v>
      </c>
      <c r="J620">
        <v>-369.50639999999999</v>
      </c>
      <c r="K620">
        <v>1.1098190000000001</v>
      </c>
      <c r="L620">
        <v>367.2509</v>
      </c>
      <c r="M620">
        <v>0.99995900000000004</v>
      </c>
      <c r="N620">
        <v>0</v>
      </c>
      <c r="O620">
        <v>1.8899159999999999E-3</v>
      </c>
      <c r="P620">
        <v>0.99867059999999996</v>
      </c>
      <c r="Q620">
        <v>4.8455280000000003E-2</v>
      </c>
      <c r="R620">
        <v>-1.7595840000000001E-2</v>
      </c>
      <c r="S620">
        <v>3.0050050000000001</v>
      </c>
      <c r="T620">
        <v>-6.7298170000000004E-2</v>
      </c>
      <c r="U620">
        <v>-0.1211243</v>
      </c>
      <c r="V620">
        <v>1.9473339999999999E-2</v>
      </c>
      <c r="W620">
        <v>5.7321410000000003E-2</v>
      </c>
      <c r="X620">
        <v>0.99816579999999999</v>
      </c>
      <c r="Y620">
        <v>4.2152170000000003E-2</v>
      </c>
      <c r="Z620">
        <v>-5.1406080000000005E-4</v>
      </c>
      <c r="AA620">
        <v>0.99911110000000003</v>
      </c>
      <c r="AB620">
        <v>29</v>
      </c>
      <c r="AC620">
        <v>49.314599999999899</v>
      </c>
      <c r="AD620">
        <v>-1.1098239640550001</v>
      </c>
      <c r="AE620">
        <v>-1.99810000000002</v>
      </c>
      <c r="AF620">
        <v>2.09024361883945</v>
      </c>
      <c r="AG620">
        <v>-1.1098239640550001</v>
      </c>
      <c r="AH620">
        <v>49.285814460973199</v>
      </c>
      <c r="AI620">
        <v>91.288817164386501</v>
      </c>
      <c r="AJ620">
        <v>87.571503843795199</v>
      </c>
      <c r="AK620">
        <v>49.342601620696598</v>
      </c>
      <c r="AL620">
        <v>86.713923786246895</v>
      </c>
      <c r="AM620">
        <v>88.882351333912297</v>
      </c>
      <c r="AN620">
        <v>0.99999995965239097</v>
      </c>
    </row>
    <row r="621" spans="1:40" x14ac:dyDescent="0.25">
      <c r="A621" t="str">
        <f>"20190312150958653"</f>
        <v>20190312150958653</v>
      </c>
      <c r="B621" t="str">
        <f>"1552374598640902"</f>
        <v>1552374598640902</v>
      </c>
      <c r="C621" t="s">
        <v>40</v>
      </c>
      <c r="D621">
        <v>5.1241700000000003</v>
      </c>
      <c r="E621">
        <v>0.508853</v>
      </c>
      <c r="F621" t="s">
        <v>42</v>
      </c>
      <c r="G621">
        <v>-322.9939</v>
      </c>
      <c r="H621" s="1">
        <v>-3.7353699999999999E-6</v>
      </c>
      <c r="I621">
        <v>365.40260000000001</v>
      </c>
      <c r="J621">
        <v>-369.22329999999999</v>
      </c>
      <c r="K621">
        <v>1.10981</v>
      </c>
      <c r="L621">
        <v>367.25150000000002</v>
      </c>
      <c r="M621">
        <v>0.99995889999999998</v>
      </c>
      <c r="N621">
        <v>0</v>
      </c>
      <c r="O621">
        <v>1.997824E-3</v>
      </c>
      <c r="P621">
        <v>0.99865060000000005</v>
      </c>
      <c r="Q621">
        <v>4.8947249999999998E-2</v>
      </c>
      <c r="R621">
        <v>-1.736215E-2</v>
      </c>
      <c r="S621">
        <v>3.0054020000000001</v>
      </c>
      <c r="T621">
        <v>-7.1710940000000001E-2</v>
      </c>
      <c r="U621">
        <v>-0.1194153</v>
      </c>
      <c r="V621">
        <v>1.9347219999999998E-2</v>
      </c>
      <c r="W621">
        <v>5.7780320000000003E-2</v>
      </c>
      <c r="X621">
        <v>0.99814179999999997</v>
      </c>
      <c r="Y621">
        <v>4.1686059999999997E-2</v>
      </c>
      <c r="Z621">
        <v>-5.447084E-4</v>
      </c>
      <c r="AA621">
        <v>0.99913059999999998</v>
      </c>
      <c r="AB621">
        <v>29</v>
      </c>
      <c r="AC621">
        <v>46.229399999999998</v>
      </c>
      <c r="AD621">
        <v>-1.1098137353699999</v>
      </c>
      <c r="AE621">
        <v>-1.84890000000001</v>
      </c>
      <c r="AF621">
        <v>1.9401417696857599</v>
      </c>
      <c r="AG621">
        <v>-1.1098137353699999</v>
      </c>
      <c r="AH621">
        <v>46.199030909045597</v>
      </c>
      <c r="AI621">
        <v>91.374908715385502</v>
      </c>
      <c r="AJ621">
        <v>87.595260043918699</v>
      </c>
      <c r="AK621">
        <v>46.253067936609902</v>
      </c>
      <c r="AL621">
        <v>86.687586549804394</v>
      </c>
      <c r="AM621">
        <v>88.889561326832194</v>
      </c>
      <c r="AN621">
        <v>0.99999996660413404</v>
      </c>
    </row>
    <row r="622" spans="1:40" x14ac:dyDescent="0.25">
      <c r="A622" t="str">
        <f>"20190312150958666"</f>
        <v>20190312150958666</v>
      </c>
      <c r="B622" t="str">
        <f>"1552374598661398"</f>
        <v>1552374598661398</v>
      </c>
      <c r="C622" t="s">
        <v>40</v>
      </c>
      <c r="D622">
        <v>5.1864330000000001</v>
      </c>
      <c r="E622">
        <v>0.50903569999999998</v>
      </c>
      <c r="F622" t="s">
        <v>42</v>
      </c>
      <c r="G622">
        <v>-323.95929999999998</v>
      </c>
      <c r="H622" s="1">
        <v>-3.3249440000000001E-6</v>
      </c>
      <c r="I622">
        <v>365.38170000000002</v>
      </c>
      <c r="J622">
        <v>-369.0616</v>
      </c>
      <c r="K622">
        <v>1.109809</v>
      </c>
      <c r="L622">
        <v>367.25189999999998</v>
      </c>
      <c r="M622">
        <v>0.99995909999999999</v>
      </c>
      <c r="N622">
        <v>0</v>
      </c>
      <c r="O622">
        <v>2.0592520000000001E-3</v>
      </c>
      <c r="P622">
        <v>0.99865389999999998</v>
      </c>
      <c r="Q622">
        <v>4.896615E-2</v>
      </c>
      <c r="R622">
        <v>-1.711151E-2</v>
      </c>
      <c r="S622">
        <v>3.005493</v>
      </c>
      <c r="T622">
        <v>-7.3690530000000004E-2</v>
      </c>
      <c r="U622">
        <v>-0.12414550000000001</v>
      </c>
      <c r="V622">
        <v>1.9158089999999999E-2</v>
      </c>
      <c r="W622">
        <v>5.7777460000000003E-2</v>
      </c>
      <c r="X622">
        <v>0.99814559999999997</v>
      </c>
      <c r="Y622">
        <v>4.3314890000000002E-2</v>
      </c>
      <c r="Z622">
        <v>-5.8116799999999996E-4</v>
      </c>
      <c r="AA622">
        <v>0.99906130000000004</v>
      </c>
      <c r="AB622">
        <v>29</v>
      </c>
      <c r="AC622">
        <v>45.1023</v>
      </c>
      <c r="AD622">
        <v>-1.109812324944</v>
      </c>
      <c r="AE622">
        <v>-1.8701999999999499</v>
      </c>
      <c r="AF622">
        <v>1.9618907858521799</v>
      </c>
      <c r="AG622">
        <v>-1.109812324944</v>
      </c>
      <c r="AH622">
        <v>45.071110067660399</v>
      </c>
      <c r="AI622">
        <v>91.409208599705593</v>
      </c>
      <c r="AJ622">
        <v>87.507557566944996</v>
      </c>
      <c r="AK622">
        <v>45.127438012625603</v>
      </c>
      <c r="AL622">
        <v>86.687750644999497</v>
      </c>
      <c r="AM622">
        <v>88.900417998709798</v>
      </c>
      <c r="AN622">
        <v>0.99999995304792799</v>
      </c>
    </row>
    <row r="623" spans="1:40" x14ac:dyDescent="0.25">
      <c r="A623" t="str">
        <f>"20190312150958678"</f>
        <v>20190312150958678</v>
      </c>
      <c r="B623" t="str">
        <f>"1552374598671159"</f>
        <v>1552374598671159</v>
      </c>
      <c r="C623" t="s">
        <v>40</v>
      </c>
      <c r="D623">
        <v>5.2349119999999996</v>
      </c>
      <c r="E623">
        <v>0.50910349999999904</v>
      </c>
      <c r="F623" t="s">
        <v>42</v>
      </c>
      <c r="G623">
        <v>-325.56599999999997</v>
      </c>
      <c r="H623" s="1">
        <v>-2.6252650000000002E-6</v>
      </c>
      <c r="I623">
        <v>365.4402</v>
      </c>
      <c r="J623">
        <v>-368.8974</v>
      </c>
      <c r="K623">
        <v>1.109804</v>
      </c>
      <c r="L623">
        <v>367.25229999999999</v>
      </c>
      <c r="M623">
        <v>0.99995909999999999</v>
      </c>
      <c r="N623">
        <v>0</v>
      </c>
      <c r="O623">
        <v>2.12182E-3</v>
      </c>
      <c r="P623">
        <v>0.9986507</v>
      </c>
      <c r="Q623">
        <v>4.9079900000000003E-2</v>
      </c>
      <c r="R623">
        <v>-1.6969350000000001E-2</v>
      </c>
      <c r="S623">
        <v>3.0056150000000001</v>
      </c>
      <c r="T623">
        <v>-7.6689720000000003E-2</v>
      </c>
      <c r="U623">
        <v>-0.12518309999999999</v>
      </c>
      <c r="V623">
        <v>1.9078370000000001E-2</v>
      </c>
      <c r="W623">
        <v>5.7867910000000002E-2</v>
      </c>
      <c r="X623">
        <v>0.99814190000000003</v>
      </c>
      <c r="Y623">
        <v>4.3718739999999999E-2</v>
      </c>
      <c r="Z623">
        <v>-6.115297E-4</v>
      </c>
      <c r="AA623">
        <v>0.99904369999999998</v>
      </c>
      <c r="AB623">
        <v>29</v>
      </c>
      <c r="AC623">
        <v>43.331400000000002</v>
      </c>
      <c r="AD623">
        <v>-1.1098066252650001</v>
      </c>
      <c r="AE623">
        <v>-1.8120999999999801</v>
      </c>
      <c r="AF623">
        <v>1.90279489304065</v>
      </c>
      <c r="AG623">
        <v>-1.1098066252650001</v>
      </c>
      <c r="AH623">
        <v>43.299103685617098</v>
      </c>
      <c r="AI623">
        <v>91.466821259985593</v>
      </c>
      <c r="AJ623">
        <v>87.483735052387004</v>
      </c>
      <c r="AK623">
        <v>43.355099805308797</v>
      </c>
      <c r="AL623">
        <v>86.682559598716907</v>
      </c>
      <c r="AM623">
        <v>88.904988367895996</v>
      </c>
      <c r="AN623">
        <v>0.99999996587261697</v>
      </c>
    </row>
    <row r="624" spans="1:40" x14ac:dyDescent="0.25">
      <c r="A624" t="str">
        <f>"20190312150958690"</f>
        <v>20190312150958690</v>
      </c>
      <c r="B624" t="str">
        <f>"1552374598680918"</f>
        <v>1552374598680918</v>
      </c>
      <c r="C624" t="s">
        <v>40</v>
      </c>
      <c r="D624">
        <v>5.219436</v>
      </c>
      <c r="E624">
        <v>0.50914700000000002</v>
      </c>
      <c r="F624" t="s">
        <v>42</v>
      </c>
      <c r="G624">
        <v>-326.29000000000002</v>
      </c>
      <c r="H624" s="1">
        <v>-2.3500470000000002E-6</v>
      </c>
      <c r="I624">
        <v>365.47680000000003</v>
      </c>
      <c r="J624">
        <v>-368.73559999999998</v>
      </c>
      <c r="K624">
        <v>1.109802</v>
      </c>
      <c r="L624">
        <v>367.2527</v>
      </c>
      <c r="M624">
        <v>0.9999593</v>
      </c>
      <c r="N624">
        <v>0</v>
      </c>
      <c r="O624">
        <v>2.1829079999999999E-3</v>
      </c>
      <c r="P624">
        <v>0.99865349999999997</v>
      </c>
      <c r="Q624">
        <v>4.906576E-2</v>
      </c>
      <c r="R624">
        <v>-1.6858669999999999E-2</v>
      </c>
      <c r="S624">
        <v>3.0057680000000002</v>
      </c>
      <c r="T624">
        <v>-7.8291769999999997E-2</v>
      </c>
      <c r="U624">
        <v>-0.1252441</v>
      </c>
      <c r="V624">
        <v>1.90286E-2</v>
      </c>
      <c r="W624">
        <v>5.782793E-2</v>
      </c>
      <c r="X624">
        <v>0.99814519999999995</v>
      </c>
      <c r="Y624">
        <v>4.3797240000000001E-2</v>
      </c>
      <c r="Z624">
        <v>-6.2688040000000004E-4</v>
      </c>
      <c r="AA624">
        <v>0.99904020000000004</v>
      </c>
      <c r="AB624">
        <v>29</v>
      </c>
      <c r="AC624">
        <v>42.445599999999899</v>
      </c>
      <c r="AD624">
        <v>-1.1098043500470001</v>
      </c>
      <c r="AE624">
        <v>-1.7758999999999701</v>
      </c>
      <c r="AF624">
        <v>1.86727984221375</v>
      </c>
      <c r="AG624">
        <v>-1.1098043500470001</v>
      </c>
      <c r="AH624">
        <v>42.412677752192003</v>
      </c>
      <c r="AI624">
        <v>91.497455645019102</v>
      </c>
      <c r="AJ624">
        <v>87.479097888002798</v>
      </c>
      <c r="AK624">
        <v>42.468266197430303</v>
      </c>
      <c r="AL624">
        <v>86.684854235391697</v>
      </c>
      <c r="AM624">
        <v>88.907847856571905</v>
      </c>
      <c r="AN624">
        <v>0.99999999869454204</v>
      </c>
    </row>
    <row r="625" spans="1:40" x14ac:dyDescent="0.25">
      <c r="A625" t="str">
        <f>"20190312150958710"</f>
        <v>20190312150958710</v>
      </c>
      <c r="B625" t="str">
        <f>"1552374598701414"</f>
        <v>1552374598701414</v>
      </c>
      <c r="C625" t="s">
        <v>40</v>
      </c>
      <c r="D625">
        <v>5.2756360000000004</v>
      </c>
      <c r="E625">
        <v>0.5091639</v>
      </c>
      <c r="F625" t="s">
        <v>42</v>
      </c>
      <c r="G625">
        <v>-325.86399999999998</v>
      </c>
      <c r="H625" s="1">
        <v>-2.4976969999999999E-6</v>
      </c>
      <c r="I625">
        <v>365.4667</v>
      </c>
      <c r="J625">
        <v>-368.49720000000002</v>
      </c>
      <c r="K625">
        <v>1.109799</v>
      </c>
      <c r="L625">
        <v>367.25330000000002</v>
      </c>
      <c r="M625">
        <v>0.9999593</v>
      </c>
      <c r="N625">
        <v>0</v>
      </c>
      <c r="O625">
        <v>2.272966E-3</v>
      </c>
      <c r="P625">
        <v>0.99861599999999995</v>
      </c>
      <c r="Q625">
        <v>4.9836819999999997E-2</v>
      </c>
      <c r="R625">
        <v>-1.6806689999999999E-2</v>
      </c>
      <c r="S625">
        <v>3.005798</v>
      </c>
      <c r="T625">
        <v>-7.7810050000000006E-2</v>
      </c>
      <c r="U625">
        <v>-0.12521360000000001</v>
      </c>
      <c r="V625">
        <v>1.9066320000000001E-2</v>
      </c>
      <c r="W625">
        <v>5.8559100000000003E-2</v>
      </c>
      <c r="X625">
        <v>0.99810180000000004</v>
      </c>
      <c r="Y625">
        <v>4.3876800000000001E-2</v>
      </c>
      <c r="Z625">
        <v>-6.263776E-4</v>
      </c>
      <c r="AA625">
        <v>0.9990367</v>
      </c>
      <c r="AB625">
        <v>29</v>
      </c>
      <c r="AC625">
        <v>42.633199999999903</v>
      </c>
      <c r="AD625">
        <v>-1.1098014976970001</v>
      </c>
      <c r="AE625">
        <v>-1.7866000000000199</v>
      </c>
      <c r="AF625">
        <v>1.88222966681647</v>
      </c>
      <c r="AG625">
        <v>-1.1098014976970001</v>
      </c>
      <c r="AH625">
        <v>42.600212109228103</v>
      </c>
      <c r="AI625">
        <v>91.490852401290496</v>
      </c>
      <c r="AJ625">
        <v>87.4701130443609</v>
      </c>
      <c r="AK625">
        <v>42.656213142215996</v>
      </c>
      <c r="AL625">
        <v>86.642889993145602</v>
      </c>
      <c r="AM625">
        <v>88.905635859828493</v>
      </c>
      <c r="AN625">
        <v>0.99999994795719405</v>
      </c>
    </row>
    <row r="626" spans="1:40" x14ac:dyDescent="0.25">
      <c r="A626" t="str">
        <f>"20190312150958722"</f>
        <v>20190312150958722</v>
      </c>
      <c r="B626" t="str">
        <f>"1552374598711174"</f>
        <v>1552374598711174</v>
      </c>
      <c r="C626" t="s">
        <v>40</v>
      </c>
      <c r="D626">
        <v>5.2249980000000003</v>
      </c>
      <c r="E626">
        <v>0.50913980000000003</v>
      </c>
      <c r="F626" t="s">
        <v>42</v>
      </c>
      <c r="G626">
        <v>-326.30810000000002</v>
      </c>
      <c r="H626" s="1">
        <v>-2.338004E-6</v>
      </c>
      <c r="I626">
        <v>365.49880000000002</v>
      </c>
      <c r="J626">
        <v>-368.327</v>
      </c>
      <c r="K626">
        <v>1.1097939999999999</v>
      </c>
      <c r="L626">
        <v>367.25369999999998</v>
      </c>
      <c r="M626">
        <v>0.99995940000000005</v>
      </c>
      <c r="N626">
        <v>0</v>
      </c>
      <c r="O626">
        <v>2.337296E-3</v>
      </c>
      <c r="P626">
        <v>0.99861650000000002</v>
      </c>
      <c r="Q626">
        <v>4.9949109999999998E-2</v>
      </c>
      <c r="R626">
        <v>-1.6440679999999999E-2</v>
      </c>
      <c r="S626">
        <v>3.0060120000000001</v>
      </c>
      <c r="T626">
        <v>-7.9074259999999993E-2</v>
      </c>
      <c r="U626">
        <v>-0.125</v>
      </c>
      <c r="V626">
        <v>1.8764429999999999E-2</v>
      </c>
      <c r="W626">
        <v>5.864051E-2</v>
      </c>
      <c r="X626">
        <v>0.99810279999999996</v>
      </c>
      <c r="Y626">
        <v>4.3866719999999998E-2</v>
      </c>
      <c r="Z626">
        <v>-6.3806569999999996E-4</v>
      </c>
      <c r="AA626">
        <v>0.99903719999999996</v>
      </c>
      <c r="AB626">
        <v>29</v>
      </c>
      <c r="AC626">
        <v>42.018899999999903</v>
      </c>
      <c r="AD626">
        <v>-1.1097963380039999</v>
      </c>
      <c r="AE626">
        <v>-1.7548999999999599</v>
      </c>
      <c r="AF626">
        <v>1.85181997952618</v>
      </c>
      <c r="AG626">
        <v>-1.1097963380039999</v>
      </c>
      <c r="AH626">
        <v>41.9854459166799</v>
      </c>
      <c r="AI626">
        <v>91.512670058539001</v>
      </c>
      <c r="AJ626">
        <v>87.474535633189205</v>
      </c>
      <c r="AK626">
        <v>42.040915237074401</v>
      </c>
      <c r="AL626">
        <v>86.638217710476795</v>
      </c>
      <c r="AM626">
        <v>88.922960635190606</v>
      </c>
      <c r="AN626">
        <v>1.00000000630706</v>
      </c>
    </row>
    <row r="627" spans="1:40" x14ac:dyDescent="0.25">
      <c r="A627" t="str">
        <f>"20190312150958735"</f>
        <v>20190312150958735</v>
      </c>
      <c r="B627" t="str">
        <f>"1552374598731670"</f>
        <v>1552374598731670</v>
      </c>
      <c r="C627" t="s">
        <v>40</v>
      </c>
      <c r="D627">
        <v>5.2392059999999896</v>
      </c>
      <c r="E627">
        <v>0.50930149999999996</v>
      </c>
      <c r="F627" t="s">
        <v>42</v>
      </c>
      <c r="G627">
        <v>-326.00729999999999</v>
      </c>
      <c r="H627" s="1">
        <v>-2.4376000000000002E-6</v>
      </c>
      <c r="I627">
        <v>365.5093</v>
      </c>
      <c r="J627">
        <v>-368.1558</v>
      </c>
      <c r="K627">
        <v>1.1097859999999999</v>
      </c>
      <c r="L627">
        <v>367.25420000000003</v>
      </c>
      <c r="M627">
        <v>0.99995959999999995</v>
      </c>
      <c r="N627">
        <v>0</v>
      </c>
      <c r="O627">
        <v>2.4019369999999998E-3</v>
      </c>
      <c r="P627">
        <v>0.9986121</v>
      </c>
      <c r="Q627">
        <v>5.01336E-2</v>
      </c>
      <c r="R627">
        <v>-1.6146529999999999E-2</v>
      </c>
      <c r="S627">
        <v>3.0060730000000002</v>
      </c>
      <c r="T627">
        <v>-7.8831319999999996E-2</v>
      </c>
      <c r="U627">
        <v>-0.12390139999999999</v>
      </c>
      <c r="V627">
        <v>1.8534849999999999E-2</v>
      </c>
      <c r="W627">
        <v>5.8790450000000001E-2</v>
      </c>
      <c r="X627">
        <v>0.99809829999999999</v>
      </c>
      <c r="Y627">
        <v>4.3566149999999998E-2</v>
      </c>
      <c r="Z627">
        <v>-6.3385340000000001E-4</v>
      </c>
      <c r="AA627">
        <v>0.99905029999999995</v>
      </c>
      <c r="AB627">
        <v>29</v>
      </c>
      <c r="AC627">
        <v>42.148499999999999</v>
      </c>
      <c r="AD627">
        <v>-1.1097884376</v>
      </c>
      <c r="AE627">
        <v>-1.7449000000000201</v>
      </c>
      <c r="AF627">
        <v>1.84485996774654</v>
      </c>
      <c r="AG627">
        <v>-1.1097884376</v>
      </c>
      <c r="AH627">
        <v>42.115039049068102</v>
      </c>
      <c r="AI627">
        <v>91.508026713126796</v>
      </c>
      <c r="AJ627">
        <v>87.491747387779199</v>
      </c>
      <c r="AK627">
        <v>42.170032639083402</v>
      </c>
      <c r="AL627">
        <v>86.629612038096496</v>
      </c>
      <c r="AM627">
        <v>88.936130208319</v>
      </c>
      <c r="AN627">
        <v>1.0000000370693001</v>
      </c>
    </row>
    <row r="628" spans="1:40" x14ac:dyDescent="0.25">
      <c r="A628" t="str">
        <f>"20190312150958756"</f>
        <v>20190312150958756</v>
      </c>
      <c r="B628" t="str">
        <f>"1552374598751190"</f>
        <v>1552374598751190</v>
      </c>
      <c r="C628" t="s">
        <v>40</v>
      </c>
      <c r="D628">
        <v>5.1872480000000003</v>
      </c>
      <c r="E628">
        <v>0.50930839999999999</v>
      </c>
      <c r="F628" t="s">
        <v>42</v>
      </c>
      <c r="G628">
        <v>-325.47230000000002</v>
      </c>
      <c r="H628" s="1">
        <v>-2.6567189999999998E-6</v>
      </c>
      <c r="I628">
        <v>365.4896</v>
      </c>
      <c r="J628">
        <v>-367.90559999999999</v>
      </c>
      <c r="K628">
        <v>1.109775</v>
      </c>
      <c r="L628">
        <v>367.25490000000002</v>
      </c>
      <c r="M628">
        <v>0.99995979999999995</v>
      </c>
      <c r="N628">
        <v>0</v>
      </c>
      <c r="O628">
        <v>2.4964750000000002E-3</v>
      </c>
      <c r="P628">
        <v>0.99861350000000004</v>
      </c>
      <c r="Q628">
        <v>5.0163600000000003E-2</v>
      </c>
      <c r="R628">
        <v>-1.595825E-2</v>
      </c>
      <c r="S628">
        <v>3.0060419999999999</v>
      </c>
      <c r="T628">
        <v>-7.8158259999999993E-2</v>
      </c>
      <c r="U628">
        <v>-0.12426760000000001</v>
      </c>
      <c r="V628">
        <v>1.8440890000000001E-2</v>
      </c>
      <c r="W628">
        <v>5.8763320000000001E-2</v>
      </c>
      <c r="X628">
        <v>0.99810160000000003</v>
      </c>
      <c r="Y628">
        <v>4.3782679999999997E-2</v>
      </c>
      <c r="Z628">
        <v>-6.3371819999999998E-4</v>
      </c>
      <c r="AA628">
        <v>0.99904090000000001</v>
      </c>
      <c r="AB628">
        <v>29</v>
      </c>
      <c r="AC628">
        <v>42.433299999999903</v>
      </c>
      <c r="AD628">
        <v>-1.1097776567190001</v>
      </c>
      <c r="AE628">
        <v>-1.7653000000000201</v>
      </c>
      <c r="AF628">
        <v>1.8699552536066799</v>
      </c>
      <c r="AG628">
        <v>-1.1097776567190001</v>
      </c>
      <c r="AH628">
        <v>42.399809056679402</v>
      </c>
      <c r="AI628">
        <v>91.497868881856206</v>
      </c>
      <c r="AJ628">
        <v>87.474725427785302</v>
      </c>
      <c r="AK628">
        <v>42.4555314080594</v>
      </c>
      <c r="AL628">
        <v>86.631169036395804</v>
      </c>
      <c r="AM628">
        <v>88.941525625918004</v>
      </c>
      <c r="AN628">
        <v>0.999999999061987</v>
      </c>
    </row>
    <row r="629" spans="1:40" x14ac:dyDescent="0.25">
      <c r="A629" t="str">
        <f>"20190312150958777"</f>
        <v>20190312150958777</v>
      </c>
      <c r="B629" t="str">
        <f>"1552374598771686"</f>
        <v>1552374598771686</v>
      </c>
      <c r="C629" t="s">
        <v>40</v>
      </c>
      <c r="D629">
        <v>5.2626229999999996</v>
      </c>
      <c r="E629">
        <v>0.50939299999999998</v>
      </c>
      <c r="F629" t="s">
        <v>42</v>
      </c>
      <c r="G629">
        <v>-322.83420000000001</v>
      </c>
      <c r="H629" s="1">
        <v>-3.803965E-6</v>
      </c>
      <c r="I629">
        <v>365.40210000000002</v>
      </c>
      <c r="J629">
        <v>-367.6191</v>
      </c>
      <c r="K629">
        <v>1.1097600000000001</v>
      </c>
      <c r="L629">
        <v>367.25569999999999</v>
      </c>
      <c r="M629">
        <v>0.99996019999999997</v>
      </c>
      <c r="N629">
        <v>0</v>
      </c>
      <c r="O629">
        <v>2.605507E-3</v>
      </c>
      <c r="P629">
        <v>0.99862490000000004</v>
      </c>
      <c r="Q629">
        <v>4.983104E-2</v>
      </c>
      <c r="R629">
        <v>-1.6283430000000002E-2</v>
      </c>
      <c r="S629">
        <v>3.005951</v>
      </c>
      <c r="T629">
        <v>-7.4014540000000004E-2</v>
      </c>
      <c r="U629">
        <v>-0.1235657</v>
      </c>
      <c r="V629">
        <v>1.887519E-2</v>
      </c>
      <c r="W629">
        <v>5.8356320000000003E-2</v>
      </c>
      <c r="X629">
        <v>0.99811740000000004</v>
      </c>
      <c r="Y629">
        <v>4.366159E-2</v>
      </c>
      <c r="Z629">
        <v>-6.0134519999999897E-4</v>
      </c>
      <c r="AA629">
        <v>0.9990462</v>
      </c>
      <c r="AB629">
        <v>29</v>
      </c>
      <c r="AC629">
        <v>44.784899999999901</v>
      </c>
      <c r="AD629">
        <v>-1.109763803965</v>
      </c>
      <c r="AE629">
        <v>-1.8535999999999699</v>
      </c>
      <c r="AF629">
        <v>1.96907829788985</v>
      </c>
      <c r="AG629">
        <v>-1.109763803965</v>
      </c>
      <c r="AH629">
        <v>44.752485330010401</v>
      </c>
      <c r="AI629">
        <v>91.419146488929201</v>
      </c>
      <c r="AJ629">
        <v>87.480650393195901</v>
      </c>
      <c r="AK629">
        <v>44.809527873618698</v>
      </c>
      <c r="AL629">
        <v>86.654528638195899</v>
      </c>
      <c r="AM629">
        <v>88.916620595343204</v>
      </c>
      <c r="AN629">
        <v>1.0000000385321099</v>
      </c>
    </row>
    <row r="630" spans="1:40" x14ac:dyDescent="0.25">
      <c r="A630" t="str">
        <f>"20190312150958799"</f>
        <v>20190312150958799</v>
      </c>
      <c r="B630" t="str">
        <f>"1552374598791206"</f>
        <v>1552374598791206</v>
      </c>
      <c r="C630" t="s">
        <v>40</v>
      </c>
      <c r="D630">
        <v>5.2416179999999999</v>
      </c>
      <c r="E630">
        <v>0.50942520000000002</v>
      </c>
      <c r="F630" t="s">
        <v>42</v>
      </c>
      <c r="G630">
        <v>-321.95839999999998</v>
      </c>
      <c r="H630" s="1">
        <v>-4.1889800000000003E-6</v>
      </c>
      <c r="I630">
        <v>365.34980000000002</v>
      </c>
      <c r="J630">
        <v>-367.3279</v>
      </c>
      <c r="K630">
        <v>1.1097399999999999</v>
      </c>
      <c r="L630">
        <v>367.25659999999999</v>
      </c>
      <c r="M630">
        <v>0.99996059999999998</v>
      </c>
      <c r="N630">
        <v>0</v>
      </c>
      <c r="O630">
        <v>2.7161809999999998E-3</v>
      </c>
      <c r="P630">
        <v>0.99863150000000001</v>
      </c>
      <c r="Q630">
        <v>4.9654169999999997E-2</v>
      </c>
      <c r="R630">
        <v>-1.6427029999999999E-2</v>
      </c>
      <c r="S630">
        <v>3.0057369999999999</v>
      </c>
      <c r="T630">
        <v>-7.3052999999999896E-2</v>
      </c>
      <c r="U630">
        <v>-0.12545780000000001</v>
      </c>
      <c r="V630">
        <v>1.9129150000000001E-2</v>
      </c>
      <c r="W630">
        <v>5.8097360000000001E-2</v>
      </c>
      <c r="X630">
        <v>0.9981276</v>
      </c>
      <c r="Y630">
        <v>4.4402980000000002E-2</v>
      </c>
      <c r="Z630">
        <v>-6.0526250000000003E-4</v>
      </c>
      <c r="AA630">
        <v>0.9990135</v>
      </c>
      <c r="AB630">
        <v>29</v>
      </c>
      <c r="AC630">
        <v>45.369500000000002</v>
      </c>
      <c r="AD630">
        <v>-1.1097441889799999</v>
      </c>
      <c r="AE630">
        <v>-1.9067999999999701</v>
      </c>
      <c r="AF630">
        <v>2.0288174426861398</v>
      </c>
      <c r="AG630">
        <v>-1.1097441889799999</v>
      </c>
      <c r="AH630">
        <v>45.3370759617518</v>
      </c>
      <c r="AI630">
        <v>91.400783623163093</v>
      </c>
      <c r="AJ630">
        <v>87.4377443985978</v>
      </c>
      <c r="AK630">
        <v>45.396014022625103</v>
      </c>
      <c r="AL630">
        <v>86.669390929472101</v>
      </c>
      <c r="AM630">
        <v>88.902058813484004</v>
      </c>
      <c r="AN630">
        <v>0.99999996675022496</v>
      </c>
    </row>
    <row r="631" spans="1:40" x14ac:dyDescent="0.25">
      <c r="A631" t="str">
        <f>"20190312150958821"</f>
        <v>20190312150958821</v>
      </c>
      <c r="B631" t="str">
        <f>"1552374598811703"</f>
        <v>1552374598811703</v>
      </c>
      <c r="C631" t="s">
        <v>40</v>
      </c>
      <c r="D631">
        <v>5.2362190000000002</v>
      </c>
      <c r="E631">
        <v>0.50950320000000004</v>
      </c>
      <c r="F631" t="s">
        <v>42</v>
      </c>
      <c r="G631">
        <v>-322.9633</v>
      </c>
      <c r="H631" s="1">
        <v>-3.7494850000000001E-6</v>
      </c>
      <c r="I631">
        <v>365.39710000000002</v>
      </c>
      <c r="J631">
        <v>-367.03969999999998</v>
      </c>
      <c r="K631">
        <v>1.109723</v>
      </c>
      <c r="L631">
        <v>367.25749999999999</v>
      </c>
      <c r="M631">
        <v>0.99996110000000005</v>
      </c>
      <c r="N631">
        <v>0</v>
      </c>
      <c r="O631">
        <v>2.8256050000000001E-3</v>
      </c>
      <c r="P631">
        <v>0.99863080000000004</v>
      </c>
      <c r="Q631">
        <v>4.9672420000000002E-2</v>
      </c>
      <c r="R631">
        <v>-1.6405119999999999E-2</v>
      </c>
      <c r="S631">
        <v>3.0057070000000001</v>
      </c>
      <c r="T631">
        <v>-7.5185180000000004E-2</v>
      </c>
      <c r="U631">
        <v>-0.12597659999999999</v>
      </c>
      <c r="V631">
        <v>1.9216560000000001E-2</v>
      </c>
      <c r="W631">
        <v>5.8031190000000003E-2</v>
      </c>
      <c r="X631">
        <v>0.99812979999999996</v>
      </c>
      <c r="Y631">
        <v>4.468391E-2</v>
      </c>
      <c r="Z631">
        <v>-6.291739E-4</v>
      </c>
      <c r="AA631">
        <v>0.99900100000000003</v>
      </c>
      <c r="AB631">
        <v>29</v>
      </c>
      <c r="AC631">
        <v>44.0763999999999</v>
      </c>
      <c r="AD631">
        <v>-1.1097267494850001</v>
      </c>
      <c r="AE631">
        <v>-1.8603999999999601</v>
      </c>
      <c r="AF631">
        <v>1.98368419795575</v>
      </c>
      <c r="AG631">
        <v>-1.1097267494850001</v>
      </c>
      <c r="AH631">
        <v>44.043097881466799</v>
      </c>
      <c r="AI631">
        <v>91.441879884626701</v>
      </c>
      <c r="AJ631">
        <v>87.421162954744702</v>
      </c>
      <c r="AK631">
        <v>44.101711615902303</v>
      </c>
      <c r="AL631">
        <v>86.673188697394707</v>
      </c>
      <c r="AM631">
        <v>88.897045475573705</v>
      </c>
      <c r="AN631">
        <v>0.99999999641954396</v>
      </c>
    </row>
    <row r="632" spans="1:40" x14ac:dyDescent="0.25">
      <c r="A632" t="str">
        <f>"20190312150958833"</f>
        <v>20190312150958833</v>
      </c>
      <c r="B632" t="str">
        <f>"1552374598821464"</f>
        <v>1552374598821464</v>
      </c>
      <c r="C632" t="s">
        <v>40</v>
      </c>
      <c r="D632">
        <v>5.2597829999999997</v>
      </c>
      <c r="E632">
        <v>0.50941599999999998</v>
      </c>
      <c r="F632" t="s">
        <v>42</v>
      </c>
      <c r="G632">
        <v>-321.29669999999999</v>
      </c>
      <c r="H632" s="1">
        <v>-4.4761740000000001E-6</v>
      </c>
      <c r="I632">
        <v>365.33089999999999</v>
      </c>
      <c r="J632">
        <v>-366.87790000000001</v>
      </c>
      <c r="K632">
        <v>1.109718</v>
      </c>
      <c r="L632">
        <v>367.25799999999998</v>
      </c>
      <c r="M632">
        <v>0.99996130000000005</v>
      </c>
      <c r="N632">
        <v>0</v>
      </c>
      <c r="O632">
        <v>2.8872479999999998E-3</v>
      </c>
      <c r="P632">
        <v>0.99864269999999999</v>
      </c>
      <c r="Q632">
        <v>4.9421729999999997E-2</v>
      </c>
      <c r="R632">
        <v>-1.6444110000000001E-2</v>
      </c>
      <c r="S632">
        <v>3.0056759999999998</v>
      </c>
      <c r="T632">
        <v>-7.2917819999999994E-2</v>
      </c>
      <c r="U632">
        <v>-0.1265869</v>
      </c>
      <c r="V632">
        <v>1.9317109999999998E-2</v>
      </c>
      <c r="W632">
        <v>5.7734149999999998E-2</v>
      </c>
      <c r="X632">
        <v>0.99814510000000001</v>
      </c>
      <c r="Y632">
        <v>4.4949210000000003E-2</v>
      </c>
      <c r="Z632">
        <v>-6.1491989999999999E-4</v>
      </c>
      <c r="AA632">
        <v>0.99898909999999996</v>
      </c>
      <c r="AB632">
        <v>29</v>
      </c>
      <c r="AC632">
        <v>45.581200000000003</v>
      </c>
      <c r="AD632">
        <v>-1.1097224761740001</v>
      </c>
      <c r="AE632">
        <v>-1.92710000000005</v>
      </c>
      <c r="AF632">
        <v>2.0574833831818098</v>
      </c>
      <c r="AG632">
        <v>-1.1097224761740001</v>
      </c>
      <c r="AH632">
        <v>45.548495981903798</v>
      </c>
      <c r="AI632">
        <v>91.394230617019204</v>
      </c>
      <c r="AJ632">
        <v>87.413635062040399</v>
      </c>
      <c r="AK632">
        <v>45.608444481912599</v>
      </c>
      <c r="AL632">
        <v>86.690236468943496</v>
      </c>
      <c r="AM632">
        <v>88.891292730954305</v>
      </c>
      <c r="AN632">
        <v>1.00000001173449</v>
      </c>
    </row>
    <row r="633" spans="1:40" x14ac:dyDescent="0.25">
      <c r="A633" t="str">
        <f>"20190312150958845"</f>
        <v>20190312150958845</v>
      </c>
      <c r="B633" t="str">
        <f>"1552374598840982"</f>
        <v>1552374598840982</v>
      </c>
      <c r="C633" t="s">
        <v>40</v>
      </c>
      <c r="D633">
        <v>5.2294900000000002</v>
      </c>
      <c r="E633">
        <v>0.50948679999999902</v>
      </c>
      <c r="F633" t="s">
        <v>42</v>
      </c>
      <c r="G633">
        <v>-323.75540000000001</v>
      </c>
      <c r="H633" s="1">
        <v>-3.4006320000000001E-6</v>
      </c>
      <c r="I633">
        <v>365.44799999999998</v>
      </c>
      <c r="J633">
        <v>-366.7217</v>
      </c>
      <c r="K633">
        <v>1.1097129999999999</v>
      </c>
      <c r="L633">
        <v>367.25850000000003</v>
      </c>
      <c r="M633">
        <v>0.99996149999999995</v>
      </c>
      <c r="N633">
        <v>0</v>
      </c>
      <c r="O633">
        <v>2.9463200000000001E-3</v>
      </c>
      <c r="P633">
        <v>0.99864799999999998</v>
      </c>
      <c r="Q633">
        <v>4.9190039999999997E-2</v>
      </c>
      <c r="R633">
        <v>-1.6813129999999999E-2</v>
      </c>
      <c r="S633">
        <v>3.0058289999999999</v>
      </c>
      <c r="T633">
        <v>-7.7352399999999905E-2</v>
      </c>
      <c r="U633">
        <v>-0.12615970000000001</v>
      </c>
      <c r="V633">
        <v>1.9745349999999998E-2</v>
      </c>
      <c r="W633">
        <v>5.7458040000000002E-2</v>
      </c>
      <c r="X633">
        <v>0.99815259999999995</v>
      </c>
      <c r="Y633">
        <v>4.4862600000000002E-2</v>
      </c>
      <c r="Z633">
        <v>-6.526794E-4</v>
      </c>
      <c r="AA633">
        <v>0.99899300000000002</v>
      </c>
      <c r="AB633">
        <v>29</v>
      </c>
      <c r="AC633">
        <v>42.966299999999897</v>
      </c>
      <c r="AD633">
        <v>-1.1097164006319999</v>
      </c>
      <c r="AE633">
        <v>-1.81049999999999</v>
      </c>
      <c r="AF633">
        <v>1.93579991919687</v>
      </c>
      <c r="AG633">
        <v>-1.1097164006319999</v>
      </c>
      <c r="AH633">
        <v>42.932191203048298</v>
      </c>
      <c r="AI633">
        <v>91.479156258074298</v>
      </c>
      <c r="AJ633">
        <v>87.418298749061194</v>
      </c>
      <c r="AK633">
        <v>42.990136465381099</v>
      </c>
      <c r="AL633">
        <v>86.706082538034806</v>
      </c>
      <c r="AM633">
        <v>88.866728711307005</v>
      </c>
      <c r="AN633">
        <v>0.999999959047011</v>
      </c>
    </row>
    <row r="634" spans="1:40" x14ac:dyDescent="0.25">
      <c r="A634" t="str">
        <f>"20190312150958857"</f>
        <v>20190312150958857</v>
      </c>
      <c r="B634" t="str">
        <f>"1552374598851718"</f>
        <v>1552374598851718</v>
      </c>
      <c r="C634" t="s">
        <v>40</v>
      </c>
      <c r="D634">
        <v>5.2324129999999904</v>
      </c>
      <c r="E634">
        <v>0.50951570000000002</v>
      </c>
      <c r="F634" t="s">
        <v>42</v>
      </c>
      <c r="G634">
        <v>-323.01459999999997</v>
      </c>
      <c r="H634" s="1">
        <v>-3.7264999999999998E-6</v>
      </c>
      <c r="I634">
        <v>365.40260000000001</v>
      </c>
      <c r="J634">
        <v>-366.5582</v>
      </c>
      <c r="K634">
        <v>1.1097049999999999</v>
      </c>
      <c r="L634">
        <v>367.25900000000001</v>
      </c>
      <c r="M634">
        <v>0.99996169999999995</v>
      </c>
      <c r="N634">
        <v>0</v>
      </c>
      <c r="O634">
        <v>3.0079630000000002E-3</v>
      </c>
      <c r="P634">
        <v>0.99863440000000003</v>
      </c>
      <c r="Q634">
        <v>4.9474850000000001E-2</v>
      </c>
      <c r="R634">
        <v>-1.678675E-2</v>
      </c>
      <c r="S634">
        <v>3.0056759999999998</v>
      </c>
      <c r="T634">
        <v>-7.6313499999999895E-2</v>
      </c>
      <c r="U634">
        <v>-0.1276245</v>
      </c>
      <c r="V634">
        <v>1.9780269999999999E-2</v>
      </c>
      <c r="W634">
        <v>5.769701E-2</v>
      </c>
      <c r="X634">
        <v>0.99813819999999998</v>
      </c>
      <c r="Y634">
        <v>4.5412519999999998E-2</v>
      </c>
      <c r="Z634">
        <v>-6.5248339999999995E-4</v>
      </c>
      <c r="AA634">
        <v>0.99896810000000003</v>
      </c>
      <c r="AB634">
        <v>29</v>
      </c>
      <c r="AC634">
        <v>43.543599999999998</v>
      </c>
      <c r="AD634">
        <v>-1.1097087265000001</v>
      </c>
      <c r="AE634">
        <v>-1.8564000000000001</v>
      </c>
      <c r="AF634">
        <v>1.9860859695588</v>
      </c>
      <c r="AG634">
        <v>-1.1097087265000001</v>
      </c>
      <c r="AH634">
        <v>43.509611243230999</v>
      </c>
      <c r="AI634">
        <v>91.459487885022597</v>
      </c>
      <c r="AJ634">
        <v>87.386430188806102</v>
      </c>
      <c r="AK634">
        <v>43.569051647622999</v>
      </c>
      <c r="AL634">
        <v>86.692368064876703</v>
      </c>
      <c r="AM634">
        <v>88.864708650935697</v>
      </c>
      <c r="AN634">
        <v>1.00000003517172</v>
      </c>
    </row>
    <row r="635" spans="1:40" x14ac:dyDescent="0.25">
      <c r="A635" t="str">
        <f>"20190312150958870"</f>
        <v>20190312150958870</v>
      </c>
      <c r="B635" t="str">
        <f>"1552374598861479"</f>
        <v>1552374598861479</v>
      </c>
      <c r="C635" t="s">
        <v>40</v>
      </c>
      <c r="D635">
        <v>5.1729010000000004</v>
      </c>
      <c r="E635">
        <v>0.50938839999999996</v>
      </c>
      <c r="F635" t="s">
        <v>42</v>
      </c>
      <c r="G635">
        <v>-323.01819999999998</v>
      </c>
      <c r="H635" s="1">
        <v>-3.7238179999999999E-6</v>
      </c>
      <c r="I635">
        <v>365.40890000000002</v>
      </c>
      <c r="J635">
        <v>-366.3963</v>
      </c>
      <c r="K635">
        <v>1.1096980000000001</v>
      </c>
      <c r="L635">
        <v>367.25959999999998</v>
      </c>
      <c r="M635">
        <v>0.99996189999999996</v>
      </c>
      <c r="N635">
        <v>0</v>
      </c>
      <c r="O635">
        <v>3.0687610000000001E-3</v>
      </c>
      <c r="P635">
        <v>0.99863489999999999</v>
      </c>
      <c r="Q635">
        <v>4.94227E-2</v>
      </c>
      <c r="R635">
        <v>-1.6913689999999999E-2</v>
      </c>
      <c r="S635">
        <v>3.0057369999999999</v>
      </c>
      <c r="T635">
        <v>-7.6607469999999997E-2</v>
      </c>
      <c r="U635">
        <v>-0.1277161</v>
      </c>
      <c r="V635">
        <v>1.9967809999999999E-2</v>
      </c>
      <c r="W635">
        <v>5.7600850000000002E-2</v>
      </c>
      <c r="X635">
        <v>0.99814000000000003</v>
      </c>
      <c r="Y635">
        <v>4.5502599999999997E-2</v>
      </c>
      <c r="Z635">
        <v>-6.5767829999999997E-4</v>
      </c>
      <c r="AA635">
        <v>0.99896399999999996</v>
      </c>
      <c r="AB635">
        <v>29</v>
      </c>
      <c r="AC635">
        <v>43.378100000000003</v>
      </c>
      <c r="AD635">
        <v>-1.10970172381799</v>
      </c>
      <c r="AE635">
        <v>-1.85069999999996</v>
      </c>
      <c r="AF635">
        <v>1.9825176653597401</v>
      </c>
      <c r="AG635">
        <v>-1.10970172381799</v>
      </c>
      <c r="AH635">
        <v>43.343901637917703</v>
      </c>
      <c r="AI635">
        <v>91.465049880619901</v>
      </c>
      <c r="AJ635">
        <v>87.381159124826297</v>
      </c>
      <c r="AK635">
        <v>43.403405665993397</v>
      </c>
      <c r="AL635">
        <v>86.697886739860905</v>
      </c>
      <c r="AM635">
        <v>88.853949690075694</v>
      </c>
      <c r="AN635">
        <v>1.0000000154784501</v>
      </c>
    </row>
    <row r="636" spans="1:40" x14ac:dyDescent="0.25">
      <c r="A636" t="str">
        <f>"20190312150958888"</f>
        <v>20190312150958888</v>
      </c>
      <c r="B636" t="str">
        <f>"1552374598880998"</f>
        <v>1552374598880998</v>
      </c>
      <c r="C636" t="s">
        <v>40</v>
      </c>
      <c r="D636">
        <v>5.6730879999999999</v>
      </c>
      <c r="E636">
        <v>0.50944060000000002</v>
      </c>
      <c r="F636" t="s">
        <v>42</v>
      </c>
      <c r="G636">
        <v>-324.94200000000001</v>
      </c>
      <c r="H636" s="1">
        <v>-2.8817310000000001E-6</v>
      </c>
      <c r="I636">
        <v>365.50369999999998</v>
      </c>
      <c r="J636">
        <v>-366.14929999999998</v>
      </c>
      <c r="K636">
        <v>1.1096889999999999</v>
      </c>
      <c r="L636">
        <v>367.2604</v>
      </c>
      <c r="M636">
        <v>0.99996209999999996</v>
      </c>
      <c r="N636">
        <v>0</v>
      </c>
      <c r="O636">
        <v>3.1617640000000001E-3</v>
      </c>
      <c r="P636">
        <v>0.99863659999999999</v>
      </c>
      <c r="Q636">
        <v>4.9302060000000002E-2</v>
      </c>
      <c r="R636">
        <v>-1.7165349999999999E-2</v>
      </c>
      <c r="S636">
        <v>3.0059200000000001</v>
      </c>
      <c r="T636">
        <v>-8.0466029999999994E-2</v>
      </c>
      <c r="U636">
        <v>-0.1273193</v>
      </c>
      <c r="V636">
        <v>2.0312259999999999E-2</v>
      </c>
      <c r="W636">
        <v>5.7417099999999902E-2</v>
      </c>
      <c r="X636">
        <v>0.99814360000000002</v>
      </c>
      <c r="Y636">
        <v>4.5459680000000002E-2</v>
      </c>
      <c r="Z636">
        <v>-6.9266670000000001E-4</v>
      </c>
      <c r="AA636">
        <v>0.99896589999999996</v>
      </c>
      <c r="AB636">
        <v>30</v>
      </c>
      <c r="AC636">
        <v>41.207299999999897</v>
      </c>
      <c r="AD636">
        <v>-1.109691881731</v>
      </c>
      <c r="AE636">
        <v>-1.7567000000000199</v>
      </c>
      <c r="AF636">
        <v>1.88561829758858</v>
      </c>
      <c r="AG636">
        <v>-1.109691881731</v>
      </c>
      <c r="AH636">
        <v>41.171736073343403</v>
      </c>
      <c r="AI636">
        <v>91.542289680476003</v>
      </c>
      <c r="AJ636">
        <v>87.377751398448495</v>
      </c>
      <c r="AK636">
        <v>41.229829295421901</v>
      </c>
      <c r="AL636">
        <v>86.708432171171296</v>
      </c>
      <c r="AM636">
        <v>88.834189632808801</v>
      </c>
      <c r="AN636">
        <v>0.99999997874983804</v>
      </c>
    </row>
    <row r="637" spans="1:40" x14ac:dyDescent="0.25">
      <c r="A637" t="str">
        <f>"20190312150958911"</f>
        <v>20190312150958911</v>
      </c>
      <c r="B637" t="str">
        <f>"1552374598901497"</f>
        <v>1552374598901497</v>
      </c>
      <c r="C637" t="s">
        <v>40</v>
      </c>
      <c r="D637">
        <v>5.2023320000000002</v>
      </c>
      <c r="E637">
        <v>0.50950589999999996</v>
      </c>
      <c r="F637" t="s">
        <v>42</v>
      </c>
      <c r="G637">
        <v>-324.45209999999997</v>
      </c>
      <c r="H637" s="1">
        <v>-3.0963220000000001E-6</v>
      </c>
      <c r="I637">
        <v>365.4785</v>
      </c>
      <c r="J637">
        <v>-365.85579999999999</v>
      </c>
      <c r="K637">
        <v>1.1096729999999999</v>
      </c>
      <c r="L637">
        <v>367.26139999999998</v>
      </c>
      <c r="M637">
        <v>0.99996229999999997</v>
      </c>
      <c r="N637">
        <v>0</v>
      </c>
      <c r="O637">
        <v>3.2721400000000002E-3</v>
      </c>
      <c r="P637">
        <v>0.99864149999999996</v>
      </c>
      <c r="Q637">
        <v>4.9190009999999999E-2</v>
      </c>
      <c r="R637">
        <v>-1.7192099999999998E-2</v>
      </c>
      <c r="S637">
        <v>3.005798</v>
      </c>
      <c r="T637">
        <v>-7.9993610000000007E-2</v>
      </c>
      <c r="U637">
        <v>-0.12844849999999999</v>
      </c>
      <c r="V637">
        <v>2.044932E-2</v>
      </c>
      <c r="W637">
        <v>5.723429E-2</v>
      </c>
      <c r="X637">
        <v>0.99815129999999996</v>
      </c>
      <c r="Y637">
        <v>4.5946260000000003E-2</v>
      </c>
      <c r="Z637">
        <v>-6.9803009999999904E-4</v>
      </c>
      <c r="AA637">
        <v>0.99894369999999999</v>
      </c>
      <c r="AB637">
        <v>30</v>
      </c>
      <c r="AC637">
        <v>41.403700000000001</v>
      </c>
      <c r="AD637">
        <v>-1.10967609632199</v>
      </c>
      <c r="AE637">
        <v>-1.7828999999999799</v>
      </c>
      <c r="AF637">
        <v>1.9169990819034199</v>
      </c>
      <c r="AG637">
        <v>-1.10967609632199</v>
      </c>
      <c r="AH637">
        <v>41.367984053553101</v>
      </c>
      <c r="AI637">
        <v>91.5349166283725</v>
      </c>
      <c r="AJ637">
        <v>87.346802378408299</v>
      </c>
      <c r="AK637">
        <v>41.427241896773502</v>
      </c>
      <c r="AL637">
        <v>86.718923663890394</v>
      </c>
      <c r="AM637">
        <v>88.826334398236796</v>
      </c>
      <c r="AN637">
        <v>0.99999997816597697</v>
      </c>
    </row>
    <row r="638" spans="1:40" x14ac:dyDescent="0.25">
      <c r="A638" t="str">
        <f>"20190312150958922"</f>
        <v>20190312150958922</v>
      </c>
      <c r="B638" t="str">
        <f>"1552374598911254"</f>
        <v>1552374598911254</v>
      </c>
      <c r="C638" t="s">
        <v>40</v>
      </c>
      <c r="D638">
        <v>5.1582800000000004</v>
      </c>
      <c r="E638">
        <v>0.50951429999999998</v>
      </c>
      <c r="F638" t="s">
        <v>42</v>
      </c>
      <c r="G638">
        <v>-321.94779999999997</v>
      </c>
      <c r="H638" s="1">
        <v>-4.1883899999999997E-6</v>
      </c>
      <c r="I638">
        <v>365.37860000000001</v>
      </c>
      <c r="J638">
        <v>-365.69900000000001</v>
      </c>
      <c r="K638">
        <v>1.109669</v>
      </c>
      <c r="L638">
        <v>367.262</v>
      </c>
      <c r="M638">
        <v>0.99996229999999997</v>
      </c>
      <c r="N638">
        <v>0</v>
      </c>
      <c r="O638">
        <v>3.3309939999999999E-3</v>
      </c>
      <c r="P638">
        <v>0.99865490000000001</v>
      </c>
      <c r="Q638">
        <v>4.8939219999999999E-2</v>
      </c>
      <c r="R638">
        <v>-1.7128810000000001E-2</v>
      </c>
      <c r="S638">
        <v>3.0055540000000001</v>
      </c>
      <c r="T638">
        <v>-7.5958490000000004E-2</v>
      </c>
      <c r="U638">
        <v>-0.12887570000000001</v>
      </c>
      <c r="V638">
        <v>2.0444779999999999E-2</v>
      </c>
      <c r="W638">
        <v>5.6947699999999997E-2</v>
      </c>
      <c r="X638">
        <v>0.99816780000000005</v>
      </c>
      <c r="Y638">
        <v>4.6151860000000003E-2</v>
      </c>
      <c r="Z638">
        <v>-6.6696569999999996E-4</v>
      </c>
      <c r="AA638">
        <v>0.99893419999999999</v>
      </c>
      <c r="AB638">
        <v>30</v>
      </c>
      <c r="AC638">
        <v>43.751199999999997</v>
      </c>
      <c r="AD638">
        <v>-1.10967318839</v>
      </c>
      <c r="AE638">
        <v>-1.88339999999993</v>
      </c>
      <c r="AF638">
        <v>2.0278271428088099</v>
      </c>
      <c r="AG638">
        <v>-1.10967318839</v>
      </c>
      <c r="AH638">
        <v>43.7166128021803</v>
      </c>
      <c r="AI638">
        <v>91.452484319098303</v>
      </c>
      <c r="AJ638">
        <v>87.344196933903405</v>
      </c>
      <c r="AK638">
        <v>43.777684867999803</v>
      </c>
      <c r="AL638">
        <v>86.735370936856398</v>
      </c>
      <c r="AM638">
        <v>88.826614284843302</v>
      </c>
      <c r="AN638">
        <v>0.999999993260689</v>
      </c>
    </row>
    <row r="639" spans="1:40" x14ac:dyDescent="0.25">
      <c r="A639" t="str">
        <f>"20190312150958933"</f>
        <v>20190312150958933</v>
      </c>
      <c r="B639" t="str">
        <f>"1552374598931750"</f>
        <v>1552374598931750</v>
      </c>
      <c r="C639" t="s">
        <v>40</v>
      </c>
      <c r="D639">
        <v>5.1609579999999999</v>
      </c>
      <c r="E639">
        <v>0.50953159999999997</v>
      </c>
      <c r="F639" t="s">
        <v>42</v>
      </c>
      <c r="G639">
        <v>-321.14859999999999</v>
      </c>
      <c r="H639" s="1">
        <v>-4.5357270000000002E-6</v>
      </c>
      <c r="I639">
        <v>365.35340000000002</v>
      </c>
      <c r="J639">
        <v>-365.54020000000003</v>
      </c>
      <c r="K639">
        <v>1.1096649999999999</v>
      </c>
      <c r="L639">
        <v>367.26260000000002</v>
      </c>
      <c r="M639">
        <v>0.99996240000000003</v>
      </c>
      <c r="N639">
        <v>0</v>
      </c>
      <c r="O639">
        <v>3.3908559999999998E-3</v>
      </c>
      <c r="P639">
        <v>0.99864719999999996</v>
      </c>
      <c r="Q639">
        <v>4.9115859999999997E-2</v>
      </c>
      <c r="R639">
        <v>-1.708026E-2</v>
      </c>
      <c r="S639">
        <v>3.005493</v>
      </c>
      <c r="T639">
        <v>-7.4861410000000003E-2</v>
      </c>
      <c r="U639">
        <v>-0.1287537</v>
      </c>
      <c r="V639">
        <v>2.0455870000000001E-2</v>
      </c>
      <c r="W639">
        <v>5.7089580000000001E-2</v>
      </c>
      <c r="X639">
        <v>0.99815949999999998</v>
      </c>
      <c r="Y639">
        <v>4.6172449999999997E-2</v>
      </c>
      <c r="Z639">
        <v>-6.590961E-4</v>
      </c>
      <c r="AA639">
        <v>0.99893330000000002</v>
      </c>
      <c r="AB639">
        <v>30</v>
      </c>
      <c r="AC639">
        <v>44.391599999999997</v>
      </c>
      <c r="AD639">
        <v>-1.1096695357269999</v>
      </c>
      <c r="AE639">
        <v>-1.90919999999999</v>
      </c>
      <c r="AF639">
        <v>2.05843547297843</v>
      </c>
      <c r="AG639">
        <v>-1.1096695357269999</v>
      </c>
      <c r="AH639">
        <v>44.357204688540698</v>
      </c>
      <c r="AI639">
        <v>91.431510774242</v>
      </c>
      <c r="AJ639">
        <v>87.343044635560503</v>
      </c>
      <c r="AK639">
        <v>44.4188037981218</v>
      </c>
      <c r="AL639">
        <v>86.727228669205999</v>
      </c>
      <c r="AM639">
        <v>88.825968215787398</v>
      </c>
      <c r="AN639">
        <v>1.0000000251011401</v>
      </c>
    </row>
    <row r="640" spans="1:40" x14ac:dyDescent="0.25">
      <c r="A640" t="str">
        <f>"20190312150958947"</f>
        <v>20190312150958947</v>
      </c>
      <c r="B640" t="str">
        <f>"1552374598941511"</f>
        <v>1552374598941511</v>
      </c>
      <c r="C640" t="s">
        <v>40</v>
      </c>
      <c r="D640">
        <v>5.1509859999999996</v>
      </c>
      <c r="E640">
        <v>0.50945689999999999</v>
      </c>
      <c r="F640" t="s">
        <v>43</v>
      </c>
      <c r="G640">
        <v>-316.63839999999999</v>
      </c>
      <c r="H640">
        <v>-0.05</v>
      </c>
      <c r="I640">
        <v>365.16609999999997</v>
      </c>
      <c r="J640">
        <v>-365.37689999999998</v>
      </c>
      <c r="K640">
        <v>1.1096600000000001</v>
      </c>
      <c r="L640">
        <v>367.26319999999998</v>
      </c>
      <c r="M640">
        <v>0.99996240000000003</v>
      </c>
      <c r="N640">
        <v>0</v>
      </c>
      <c r="O640">
        <v>3.4522609999999999E-3</v>
      </c>
      <c r="P640">
        <v>0.99865749999999998</v>
      </c>
      <c r="Q640">
        <v>4.8952410000000002E-2</v>
      </c>
      <c r="R640">
        <v>-1.6934049999999999E-2</v>
      </c>
      <c r="S640">
        <v>3.005341</v>
      </c>
      <c r="T640">
        <v>-7.1269040000000006E-2</v>
      </c>
      <c r="U640">
        <v>-0.12884519999999999</v>
      </c>
      <c r="V640">
        <v>2.0371139999999999E-2</v>
      </c>
      <c r="W640">
        <v>5.6892959999999999E-2</v>
      </c>
      <c r="X640">
        <v>0.99817250000000002</v>
      </c>
      <c r="Y640">
        <v>4.626773E-2</v>
      </c>
      <c r="Z640">
        <v>-6.3009280000000001E-4</v>
      </c>
      <c r="AA640">
        <v>0.99892890000000001</v>
      </c>
      <c r="AB640">
        <v>30</v>
      </c>
      <c r="AC640">
        <v>48.738499999999902</v>
      </c>
      <c r="AD640">
        <v>-1.1596599999999999</v>
      </c>
      <c r="AE640">
        <v>-2.09710000000001</v>
      </c>
      <c r="AF640">
        <v>2.2640714564669899</v>
      </c>
      <c r="AG640">
        <v>-1.1596599999999999</v>
      </c>
      <c r="AH640">
        <v>48.703447994471702</v>
      </c>
      <c r="AI640">
        <v>91.362520260857295</v>
      </c>
      <c r="AJ640">
        <v>87.338413991525698</v>
      </c>
      <c r="AK640">
        <v>48.769833682572603</v>
      </c>
      <c r="AL640">
        <v>86.738512638522593</v>
      </c>
      <c r="AM640">
        <v>88.830845028137304</v>
      </c>
      <c r="AN640">
        <v>1.00000006599935</v>
      </c>
    </row>
    <row r="641" spans="1:40" x14ac:dyDescent="0.25">
      <c r="A641" t="str">
        <f>"20190312150958968"</f>
        <v>20190312150958968</v>
      </c>
      <c r="B641" t="str">
        <f>"1552374598961030"</f>
        <v>1552374598961030</v>
      </c>
      <c r="C641" t="s">
        <v>40</v>
      </c>
      <c r="D641">
        <v>5.184507</v>
      </c>
      <c r="E641">
        <v>0.50920489999999996</v>
      </c>
      <c r="F641" t="s">
        <v>43</v>
      </c>
      <c r="G641">
        <v>-317.36590000000001</v>
      </c>
      <c r="H641">
        <v>-0.05</v>
      </c>
      <c r="I641">
        <v>365.22250000000003</v>
      </c>
      <c r="J641">
        <v>-365.07870000000003</v>
      </c>
      <c r="K641">
        <v>1.109645</v>
      </c>
      <c r="L641">
        <v>367.26429999999999</v>
      </c>
      <c r="M641">
        <v>0.99996249999999998</v>
      </c>
      <c r="N641">
        <v>0</v>
      </c>
      <c r="O641">
        <v>3.5640609999999999E-3</v>
      </c>
      <c r="P641">
        <v>0.99868480000000004</v>
      </c>
      <c r="Q641">
        <v>4.8514120000000001E-2</v>
      </c>
      <c r="R641">
        <v>-1.6584700000000001E-2</v>
      </c>
      <c r="S641">
        <v>3.0054319999999999</v>
      </c>
      <c r="T641">
        <v>-7.2593329999999998E-2</v>
      </c>
      <c r="U641">
        <v>-0.12774659999999999</v>
      </c>
      <c r="V641">
        <v>2.0133419999999999E-2</v>
      </c>
      <c r="W641">
        <v>5.6399749999999998E-2</v>
      </c>
      <c r="X641">
        <v>0.99820520000000001</v>
      </c>
      <c r="Y641">
        <v>4.6013129999999999E-2</v>
      </c>
      <c r="Z641">
        <v>-6.4140910000000005E-4</v>
      </c>
      <c r="AA641">
        <v>0.99894059999999996</v>
      </c>
      <c r="AB641">
        <v>30</v>
      </c>
      <c r="AC641">
        <v>47.712800000000001</v>
      </c>
      <c r="AD641">
        <v>-1.159645</v>
      </c>
      <c r="AE641">
        <v>-2.0417999999999599</v>
      </c>
      <c r="AF641">
        <v>2.210540238533</v>
      </c>
      <c r="AG641">
        <v>-1.159645</v>
      </c>
      <c r="AH641">
        <v>47.677107366202598</v>
      </c>
      <c r="AI641">
        <v>91.391829562333399</v>
      </c>
      <c r="AJ641">
        <v>87.345392921932799</v>
      </c>
      <c r="AK641">
        <v>47.7424112449362</v>
      </c>
      <c r="AL641">
        <v>86.766816573421707</v>
      </c>
      <c r="AM641">
        <v>88.844522545689699</v>
      </c>
      <c r="AN641">
        <v>0.99999995385399798</v>
      </c>
    </row>
    <row r="642" spans="1:40" x14ac:dyDescent="0.25">
      <c r="A642" t="str">
        <f>"20190312150958991"</f>
        <v>20190312150958991</v>
      </c>
      <c r="B642" t="str">
        <f>"1552374598981527"</f>
        <v>1552374598981527</v>
      </c>
      <c r="C642" t="s">
        <v>40</v>
      </c>
      <c r="D642">
        <v>5.1609030000000002</v>
      </c>
      <c r="E642">
        <v>0.50900570000000001</v>
      </c>
      <c r="F642" t="s">
        <v>43</v>
      </c>
      <c r="G642">
        <v>-317.03519999999997</v>
      </c>
      <c r="H642">
        <v>-0.05</v>
      </c>
      <c r="I642">
        <v>365.26859999999999</v>
      </c>
      <c r="J642">
        <v>-364.78410000000002</v>
      </c>
      <c r="K642">
        <v>1.1096349999999999</v>
      </c>
      <c r="L642">
        <v>367.26549999999997</v>
      </c>
      <c r="M642">
        <v>0.99996260000000003</v>
      </c>
      <c r="N642">
        <v>0</v>
      </c>
      <c r="O642">
        <v>3.674811E-3</v>
      </c>
      <c r="P642">
        <v>0.99872709999999998</v>
      </c>
      <c r="Q642">
        <v>4.7704730000000001E-2</v>
      </c>
      <c r="R642">
        <v>-1.6398550000000001E-2</v>
      </c>
      <c r="S642">
        <v>3.0054319999999999</v>
      </c>
      <c r="T642">
        <v>-7.2543140000000006E-2</v>
      </c>
      <c r="U642">
        <v>-0.1248474</v>
      </c>
      <c r="V642">
        <v>2.005798E-2</v>
      </c>
      <c r="W642">
        <v>5.5543740000000001E-2</v>
      </c>
      <c r="X642">
        <v>0.9982548</v>
      </c>
      <c r="Y642">
        <v>4.5162069999999999E-2</v>
      </c>
      <c r="Z642">
        <v>-6.3338529999999997E-4</v>
      </c>
      <c r="AA642">
        <v>0.99897939999999996</v>
      </c>
      <c r="AB642">
        <v>30</v>
      </c>
      <c r="AC642">
        <v>47.748899999999999</v>
      </c>
      <c r="AD642">
        <v>-1.159635</v>
      </c>
      <c r="AE642">
        <v>-1.9968999999999799</v>
      </c>
      <c r="AF642">
        <v>2.171081775547</v>
      </c>
      <c r="AG642">
        <v>-1.159635</v>
      </c>
      <c r="AH642">
        <v>47.7131463176257</v>
      </c>
      <c r="AI642">
        <v>91.390821634508399</v>
      </c>
      <c r="AJ642">
        <v>87.394678696818204</v>
      </c>
      <c r="AK642">
        <v>47.776591349074899</v>
      </c>
      <c r="AL642">
        <v>86.815939611735203</v>
      </c>
      <c r="AM642">
        <v>88.8489081382329</v>
      </c>
      <c r="AN642">
        <v>1.00000003766895</v>
      </c>
    </row>
    <row r="643" spans="1:40" x14ac:dyDescent="0.25">
      <c r="A643" t="str">
        <f>"20190312150959011"</f>
        <v>20190312150959011</v>
      </c>
      <c r="B643" t="str">
        <f>"1552374599001046"</f>
        <v>1552374599001046</v>
      </c>
      <c r="C643" t="s">
        <v>40</v>
      </c>
      <c r="D643">
        <v>5.1563879999999997</v>
      </c>
      <c r="E643">
        <v>0.50886500000000001</v>
      </c>
      <c r="F643" t="s">
        <v>43</v>
      </c>
      <c r="G643">
        <v>-317.01420000000002</v>
      </c>
      <c r="H643">
        <v>-0.05</v>
      </c>
      <c r="I643">
        <v>365.31939999999997</v>
      </c>
      <c r="J643">
        <v>-364.50650000000002</v>
      </c>
      <c r="K643">
        <v>1.1096349999999999</v>
      </c>
      <c r="L643">
        <v>367.26659999999998</v>
      </c>
      <c r="M643">
        <v>0.99996229999999997</v>
      </c>
      <c r="N643">
        <v>0</v>
      </c>
      <c r="O643">
        <v>3.779442E-3</v>
      </c>
      <c r="P643">
        <v>0.99877300000000002</v>
      </c>
      <c r="Q643">
        <v>4.6721600000000002E-2</v>
      </c>
      <c r="R643">
        <v>-1.6423549999999999E-2</v>
      </c>
      <c r="S643">
        <v>3.00528</v>
      </c>
      <c r="T643">
        <v>-7.2954420000000006E-2</v>
      </c>
      <c r="U643">
        <v>-0.1224365</v>
      </c>
      <c r="V643">
        <v>2.0187879999999998E-2</v>
      </c>
      <c r="W643">
        <v>5.45239E-2</v>
      </c>
      <c r="X643">
        <v>0.99830839999999998</v>
      </c>
      <c r="Y643">
        <v>4.4468649999999998E-2</v>
      </c>
      <c r="Z643">
        <v>-6.3114469999999995E-4</v>
      </c>
      <c r="AA643">
        <v>0.99901059999999997</v>
      </c>
      <c r="AB643">
        <v>30</v>
      </c>
      <c r="AC643">
        <v>47.4923</v>
      </c>
      <c r="AD643">
        <v>-1.159635</v>
      </c>
      <c r="AE643">
        <v>-1.9472</v>
      </c>
      <c r="AF643">
        <v>2.1254209086634499</v>
      </c>
      <c r="AG643">
        <v>-1.159635</v>
      </c>
      <c r="AH643">
        <v>47.456354956246102</v>
      </c>
      <c r="AI643">
        <v>91.398389624633793</v>
      </c>
      <c r="AJ643">
        <v>87.435615890593894</v>
      </c>
      <c r="AK643">
        <v>47.518078592315</v>
      </c>
      <c r="AL643">
        <v>86.874460817325897</v>
      </c>
      <c r="AM643">
        <v>88.841517619400094</v>
      </c>
      <c r="AN643">
        <v>1.0000000338403301</v>
      </c>
    </row>
    <row r="644" spans="1:40" x14ac:dyDescent="0.25">
      <c r="A644" t="str">
        <f>"20190312150959023"</f>
        <v>20190312150959023</v>
      </c>
      <c r="B644" t="str">
        <f>"1552374599011784"</f>
        <v>1552374599011784</v>
      </c>
      <c r="C644" t="s">
        <v>40</v>
      </c>
      <c r="D644">
        <v>5.1431420000000001</v>
      </c>
      <c r="E644">
        <v>0.50878140000000005</v>
      </c>
      <c r="F644" t="s">
        <v>43</v>
      </c>
      <c r="G644">
        <v>-317.93849999999998</v>
      </c>
      <c r="H644">
        <v>-0.05</v>
      </c>
      <c r="I644">
        <v>365.38819999999998</v>
      </c>
      <c r="J644">
        <v>-364.3433</v>
      </c>
      <c r="K644">
        <v>1.109631</v>
      </c>
      <c r="L644">
        <v>367.26729999999998</v>
      </c>
      <c r="M644">
        <v>0.99996229999999997</v>
      </c>
      <c r="N644">
        <v>0</v>
      </c>
      <c r="O644">
        <v>3.8409669999999998E-3</v>
      </c>
      <c r="P644">
        <v>0.99879779999999996</v>
      </c>
      <c r="Q644">
        <v>4.617433E-2</v>
      </c>
      <c r="R644">
        <v>-1.6456129999999999E-2</v>
      </c>
      <c r="S644">
        <v>3.005188</v>
      </c>
      <c r="T644">
        <v>-7.4835180000000001E-2</v>
      </c>
      <c r="U644">
        <v>-0.1212158</v>
      </c>
      <c r="V644">
        <v>2.0282229999999998E-2</v>
      </c>
      <c r="W644">
        <v>5.3958249999999999E-2</v>
      </c>
      <c r="X644">
        <v>0.99833720000000004</v>
      </c>
      <c r="Y644">
        <v>4.4125570000000003E-2</v>
      </c>
      <c r="Z644">
        <v>-6.4469769999999998E-4</v>
      </c>
      <c r="AA644">
        <v>0.99902579999999996</v>
      </c>
      <c r="AB644">
        <v>30</v>
      </c>
      <c r="AC644">
        <v>46.404800000000002</v>
      </c>
      <c r="AD644">
        <v>-1.1596309999999901</v>
      </c>
      <c r="AE644">
        <v>-1.87909999999999</v>
      </c>
      <c r="AF644">
        <v>2.0560490026345302</v>
      </c>
      <c r="AG644">
        <v>-1.1596309999999901</v>
      </c>
      <c r="AH644">
        <v>46.368331512931398</v>
      </c>
      <c r="AI644">
        <v>91.4312124527072</v>
      </c>
      <c r="AJ644">
        <v>87.4610728905934</v>
      </c>
      <c r="AK644">
        <v>46.428377624578999</v>
      </c>
      <c r="AL644">
        <v>86.906917891745493</v>
      </c>
      <c r="AM644">
        <v>88.836138393165896</v>
      </c>
      <c r="AN644">
        <v>1.0000000132503299</v>
      </c>
    </row>
    <row r="645" spans="1:40" x14ac:dyDescent="0.25">
      <c r="A645" t="str">
        <f>"20190312150959036"</f>
        <v>20190312150959036</v>
      </c>
      <c r="B645" t="str">
        <f>"1552374599031302"</f>
        <v>1552374599031302</v>
      </c>
      <c r="C645" t="s">
        <v>40</v>
      </c>
      <c r="D645">
        <v>5.1511060000000004</v>
      </c>
      <c r="E645">
        <v>0.50863219999999998</v>
      </c>
      <c r="F645" t="s">
        <v>42</v>
      </c>
      <c r="G645">
        <v>-320.4896</v>
      </c>
      <c r="H645" s="1">
        <v>-4.7916269999999997E-6</v>
      </c>
      <c r="I645">
        <v>365.50450000000001</v>
      </c>
      <c r="J645">
        <v>-364.17680000000001</v>
      </c>
      <c r="K645">
        <v>1.1096250000000001</v>
      </c>
      <c r="L645">
        <v>367.26799999999997</v>
      </c>
      <c r="M645">
        <v>0.99996240000000003</v>
      </c>
      <c r="N645">
        <v>0</v>
      </c>
      <c r="O645">
        <v>3.9036190000000001E-3</v>
      </c>
      <c r="P645">
        <v>0.99880939999999996</v>
      </c>
      <c r="Q645">
        <v>4.5859730000000001E-2</v>
      </c>
      <c r="R645">
        <v>-1.6644269999999999E-2</v>
      </c>
      <c r="S645">
        <v>3.005096</v>
      </c>
      <c r="T645">
        <v>-7.6038240000000007E-2</v>
      </c>
      <c r="U645">
        <v>-0.1207886</v>
      </c>
      <c r="V645">
        <v>2.0533019999999999E-2</v>
      </c>
      <c r="W645">
        <v>5.3626380000000001E-2</v>
      </c>
      <c r="X645">
        <v>0.99834999999999996</v>
      </c>
      <c r="Y645">
        <v>4.4047099999999999E-2</v>
      </c>
      <c r="Z645">
        <v>-6.5567269999999996E-4</v>
      </c>
      <c r="AA645">
        <v>0.99902919999999995</v>
      </c>
      <c r="AB645">
        <v>30</v>
      </c>
      <c r="AC645">
        <v>43.687199999999997</v>
      </c>
      <c r="AD645">
        <v>-1.1096297916269999</v>
      </c>
      <c r="AE645">
        <v>-1.7635000000000201</v>
      </c>
      <c r="AF645">
        <v>1.9327849890772799</v>
      </c>
      <c r="AG645">
        <v>-1.1096297916269999</v>
      </c>
      <c r="AH645">
        <v>43.651867529529603</v>
      </c>
      <c r="AI645">
        <v>91.454719574272204</v>
      </c>
      <c r="AJ645">
        <v>87.4647558996611</v>
      </c>
      <c r="AK645">
        <v>43.708723098531102</v>
      </c>
      <c r="AL645">
        <v>86.925960350201294</v>
      </c>
      <c r="AM645">
        <v>88.821766365833497</v>
      </c>
      <c r="AN645">
        <v>1.0000000580211099</v>
      </c>
    </row>
    <row r="646" spans="1:40" x14ac:dyDescent="0.25">
      <c r="A646" t="str">
        <f>"20190312150959048"</f>
        <v>20190312150959048</v>
      </c>
      <c r="B646" t="str">
        <f>"1552374599042038"</f>
        <v>1552374599042038</v>
      </c>
      <c r="C646" t="s">
        <v>40</v>
      </c>
      <c r="D646">
        <v>5.1465560000000004</v>
      </c>
      <c r="E646">
        <v>0.50858740000000002</v>
      </c>
      <c r="F646" t="s">
        <v>42</v>
      </c>
      <c r="G646">
        <v>-320.3528</v>
      </c>
      <c r="H646" s="1">
        <v>-4.8487300000000002E-6</v>
      </c>
      <c r="I646">
        <v>365.5136</v>
      </c>
      <c r="J646">
        <v>-364.0009</v>
      </c>
      <c r="K646">
        <v>1.1096239999999999</v>
      </c>
      <c r="L646">
        <v>367.2688</v>
      </c>
      <c r="M646">
        <v>0.99996220000000002</v>
      </c>
      <c r="N646">
        <v>0</v>
      </c>
      <c r="O646">
        <v>3.970314E-3</v>
      </c>
      <c r="P646">
        <v>0.99881370000000003</v>
      </c>
      <c r="Q646">
        <v>4.5618409999999998E-2</v>
      </c>
      <c r="R646">
        <v>-1.703708E-2</v>
      </c>
      <c r="S646">
        <v>3.005096</v>
      </c>
      <c r="T646">
        <v>-7.608914E-2</v>
      </c>
      <c r="U646">
        <v>-0.1203003</v>
      </c>
      <c r="V646">
        <v>2.099237E-2</v>
      </c>
      <c r="W646">
        <v>5.3370210000000001E-2</v>
      </c>
      <c r="X646">
        <v>0.99835410000000002</v>
      </c>
      <c r="Y646">
        <v>4.3951650000000002E-2</v>
      </c>
      <c r="Z646">
        <v>-6.565939E-4</v>
      </c>
      <c r="AA646">
        <v>0.99903350000000002</v>
      </c>
      <c r="AB646">
        <v>30</v>
      </c>
      <c r="AC646">
        <v>43.648099999999999</v>
      </c>
      <c r="AD646">
        <v>-1.1096288487299999</v>
      </c>
      <c r="AE646">
        <v>-1.7552000000000001</v>
      </c>
      <c r="AF646">
        <v>1.9272444721367199</v>
      </c>
      <c r="AG646">
        <v>-1.1096288487299999</v>
      </c>
      <c r="AH646">
        <v>43.612646312712002</v>
      </c>
      <c r="AI646">
        <v>91.456031620185897</v>
      </c>
      <c r="AJ646">
        <v>87.469743497133294</v>
      </c>
      <c r="AK646">
        <v>43.669308053082602</v>
      </c>
      <c r="AL646">
        <v>86.940658631535598</v>
      </c>
      <c r="AM646">
        <v>88.795420394824305</v>
      </c>
      <c r="AN646">
        <v>0.99999998395023504</v>
      </c>
    </row>
    <row r="647" spans="1:40" x14ac:dyDescent="0.25">
      <c r="A647" t="str">
        <f>"20190312150959067"</f>
        <v>20190312150959067</v>
      </c>
      <c r="B647" t="str">
        <f>"1552374599061560"</f>
        <v>1552374599061560</v>
      </c>
      <c r="C647" t="s">
        <v>40</v>
      </c>
      <c r="D647">
        <v>5.145181</v>
      </c>
      <c r="E647">
        <v>0.50846639999999999</v>
      </c>
      <c r="F647" t="s">
        <v>42</v>
      </c>
      <c r="G647">
        <v>-321.21850000000001</v>
      </c>
      <c r="H647" s="1">
        <v>-4.4721989999999999E-6</v>
      </c>
      <c r="I647">
        <v>365.54250000000002</v>
      </c>
      <c r="J647">
        <v>-363.75990000000002</v>
      </c>
      <c r="K647">
        <v>1.1096239999999999</v>
      </c>
      <c r="L647">
        <v>367.26979999999998</v>
      </c>
      <c r="M647">
        <v>0.99996189999999996</v>
      </c>
      <c r="N647">
        <v>0</v>
      </c>
      <c r="O647">
        <v>4.0613969999999996E-3</v>
      </c>
      <c r="P647">
        <v>0.99882029999999999</v>
      </c>
      <c r="Q647">
        <v>4.5272630000000001E-2</v>
      </c>
      <c r="R647">
        <v>-1.7565799999999999E-2</v>
      </c>
      <c r="S647">
        <v>3.0050659999999998</v>
      </c>
      <c r="T647">
        <v>-7.794094E-2</v>
      </c>
      <c r="U647">
        <v>-0.1212463</v>
      </c>
      <c r="V647">
        <v>2.161215E-2</v>
      </c>
      <c r="W647">
        <v>5.300738E-2</v>
      </c>
      <c r="X647">
        <v>0.99836020000000003</v>
      </c>
      <c r="Y647">
        <v>4.4356140000000002E-2</v>
      </c>
      <c r="Z647">
        <v>-6.801744E-4</v>
      </c>
      <c r="AA647">
        <v>0.9990156</v>
      </c>
      <c r="AB647">
        <v>30</v>
      </c>
      <c r="AC647">
        <v>42.541400000000003</v>
      </c>
      <c r="AD647">
        <v>-1.109628472199</v>
      </c>
      <c r="AE647">
        <v>-1.7272999999999501</v>
      </c>
      <c r="AF647">
        <v>1.89877871987325</v>
      </c>
      <c r="AG647">
        <v>-1.109628472199</v>
      </c>
      <c r="AH647">
        <v>42.505162917155801</v>
      </c>
      <c r="AI647">
        <v>91.493919537358096</v>
      </c>
      <c r="AJ647">
        <v>87.442199515147706</v>
      </c>
      <c r="AK647">
        <v>42.562019578343701</v>
      </c>
      <c r="AL647">
        <v>86.961476710588101</v>
      </c>
      <c r="AM647">
        <v>88.759874835823496</v>
      </c>
      <c r="AN647">
        <v>0.99999997815306296</v>
      </c>
    </row>
    <row r="648" spans="1:40" x14ac:dyDescent="0.25">
      <c r="A648" t="str">
        <f>"20190312150959089"</f>
        <v>20190312150959089</v>
      </c>
      <c r="B648" t="str">
        <f>"1552374599081078"</f>
        <v>1552374599081078</v>
      </c>
      <c r="C648" t="s">
        <v>40</v>
      </c>
      <c r="D648">
        <v>5.1452390000000001</v>
      </c>
      <c r="E648">
        <v>0.5084168</v>
      </c>
      <c r="F648" t="s">
        <v>42</v>
      </c>
      <c r="G648">
        <v>-321.88310000000001</v>
      </c>
      <c r="H648" s="1">
        <v>-4.1811950000000004E-6</v>
      </c>
      <c r="I648">
        <v>365.57580000000002</v>
      </c>
      <c r="J648">
        <v>-363.4538</v>
      </c>
      <c r="K648">
        <v>1.109629</v>
      </c>
      <c r="L648">
        <v>367.27109999999999</v>
      </c>
      <c r="M648">
        <v>0.99996149999999995</v>
      </c>
      <c r="N648">
        <v>0</v>
      </c>
      <c r="O648">
        <v>4.1770349999999999E-3</v>
      </c>
      <c r="P648">
        <v>0.99879249999999997</v>
      </c>
      <c r="Q648">
        <v>4.5738239999999999E-2</v>
      </c>
      <c r="R648">
        <v>-1.793691E-2</v>
      </c>
      <c r="S648">
        <v>3.0050050000000001</v>
      </c>
      <c r="T648">
        <v>-7.9624769999999997E-2</v>
      </c>
      <c r="U648">
        <v>-0.12155150000000001</v>
      </c>
      <c r="V648">
        <v>2.209844E-2</v>
      </c>
      <c r="W648">
        <v>5.3456389999999999E-2</v>
      </c>
      <c r="X648">
        <v>0.99832560000000004</v>
      </c>
      <c r="Y648">
        <v>4.457295E-2</v>
      </c>
      <c r="Z648">
        <v>-7.0080979999999999E-4</v>
      </c>
      <c r="AA648">
        <v>0.9990059</v>
      </c>
      <c r="AB648">
        <v>30</v>
      </c>
      <c r="AC648">
        <v>41.570699999999903</v>
      </c>
      <c r="AD648">
        <v>-1.109633181195</v>
      </c>
      <c r="AE648">
        <v>-1.6952999999999701</v>
      </c>
      <c r="AF648">
        <v>1.8676041923947699</v>
      </c>
      <c r="AG648">
        <v>-1.109633181195</v>
      </c>
      <c r="AH648">
        <v>41.5337121935504</v>
      </c>
      <c r="AI648">
        <v>91.528831472712895</v>
      </c>
      <c r="AJ648">
        <v>87.425373269967295</v>
      </c>
      <c r="AK648">
        <v>41.590485447911497</v>
      </c>
      <c r="AL648">
        <v>86.935713764747703</v>
      </c>
      <c r="AM648">
        <v>88.731936143127101</v>
      </c>
      <c r="AN648">
        <v>0.99999996514881195</v>
      </c>
    </row>
    <row r="649" spans="1:40" x14ac:dyDescent="0.25">
      <c r="A649" t="str">
        <f>"20190312150959111"</f>
        <v>20190312150959111</v>
      </c>
      <c r="B649" t="str">
        <f>"1552374599101578"</f>
        <v>1552374599101578</v>
      </c>
      <c r="C649" t="s">
        <v>40</v>
      </c>
      <c r="D649">
        <v>5.190258</v>
      </c>
      <c r="E649">
        <v>0.50829979999999997</v>
      </c>
      <c r="F649" t="s">
        <v>42</v>
      </c>
      <c r="G649">
        <v>-321.87029999999999</v>
      </c>
      <c r="H649" s="1">
        <v>-4.1865690000000001E-6</v>
      </c>
      <c r="I649">
        <v>365.57639999999998</v>
      </c>
      <c r="J649">
        <v>-363.15429999999998</v>
      </c>
      <c r="K649">
        <v>1.1096280000000001</v>
      </c>
      <c r="L649">
        <v>367.27249999999998</v>
      </c>
      <c r="M649">
        <v>0.99996110000000005</v>
      </c>
      <c r="N649">
        <v>0</v>
      </c>
      <c r="O649">
        <v>4.2900869999999997E-3</v>
      </c>
      <c r="P649">
        <v>0.99874439999999998</v>
      </c>
      <c r="Q649">
        <v>4.6722859999999998E-2</v>
      </c>
      <c r="R649">
        <v>-1.8082290000000001E-2</v>
      </c>
      <c r="S649">
        <v>3.005096</v>
      </c>
      <c r="T649">
        <v>-8.018923E-2</v>
      </c>
      <c r="U649">
        <v>-0.12246700000000001</v>
      </c>
      <c r="V649">
        <v>2.235639E-2</v>
      </c>
      <c r="W649">
        <v>5.4430100000000002E-2</v>
      </c>
      <c r="X649">
        <v>0.99826729999999997</v>
      </c>
      <c r="Y649">
        <v>4.4988090000000001E-2</v>
      </c>
      <c r="Z649">
        <v>-7.1430099999999998E-4</v>
      </c>
      <c r="AA649">
        <v>0.99898730000000002</v>
      </c>
      <c r="AB649">
        <v>30</v>
      </c>
      <c r="AC649">
        <v>41.283999999999899</v>
      </c>
      <c r="AD649">
        <v>-1.109632186569</v>
      </c>
      <c r="AE649">
        <v>-1.6960999999999999</v>
      </c>
      <c r="AF649">
        <v>1.87185160304543</v>
      </c>
      <c r="AG649">
        <v>-1.109632186569</v>
      </c>
      <c r="AH649">
        <v>41.2465959455118</v>
      </c>
      <c r="AI649">
        <v>91.539438281448597</v>
      </c>
      <c r="AJ649">
        <v>87.401587749676494</v>
      </c>
      <c r="AK649">
        <v>41.303956095095799</v>
      </c>
      <c r="AL649">
        <v>86.879843120365095</v>
      </c>
      <c r="AM649">
        <v>88.717064348184905</v>
      </c>
      <c r="AN649">
        <v>1.00000002310456</v>
      </c>
    </row>
    <row r="650" spans="1:40" x14ac:dyDescent="0.25">
      <c r="A650" t="str">
        <f>"20190312150959132"</f>
        <v>20190312150959132</v>
      </c>
      <c r="B650" t="str">
        <f>"1552374599121094"</f>
        <v>1552374599121094</v>
      </c>
      <c r="C650" t="s">
        <v>40</v>
      </c>
      <c r="D650">
        <v>5.1904079999999997</v>
      </c>
      <c r="E650">
        <v>0.50823220000000002</v>
      </c>
      <c r="F650" t="s">
        <v>42</v>
      </c>
      <c r="G650">
        <v>-320.55110000000002</v>
      </c>
      <c r="H650" s="1">
        <v>-4.7579120000000001E-6</v>
      </c>
      <c r="I650">
        <v>365.54579999999999</v>
      </c>
      <c r="J650">
        <v>-362.85410000000002</v>
      </c>
      <c r="K650">
        <v>1.1096330000000001</v>
      </c>
      <c r="L650">
        <v>367.27390000000003</v>
      </c>
      <c r="M650">
        <v>0.99996070000000004</v>
      </c>
      <c r="N650">
        <v>0</v>
      </c>
      <c r="O650">
        <v>4.4033609999999997E-3</v>
      </c>
      <c r="P650">
        <v>0.99874039999999997</v>
      </c>
      <c r="Q650">
        <v>4.6923319999999998E-2</v>
      </c>
      <c r="R650">
        <v>-1.7777939999999999E-2</v>
      </c>
      <c r="S650">
        <v>3.0052189999999999</v>
      </c>
      <c r="T650">
        <v>-7.8273060000000005E-2</v>
      </c>
      <c r="U650">
        <v>-0.12179570000000001</v>
      </c>
      <c r="V650">
        <v>2.2165020000000001E-2</v>
      </c>
      <c r="W650">
        <v>5.4623890000000001E-2</v>
      </c>
      <c r="X650">
        <v>0.99826099999999995</v>
      </c>
      <c r="Y650">
        <v>4.4877609999999998E-2</v>
      </c>
      <c r="Z650">
        <v>-6.9872390000000003E-4</v>
      </c>
      <c r="AA650">
        <v>0.99899230000000006</v>
      </c>
      <c r="AB650">
        <v>30</v>
      </c>
      <c r="AC650">
        <v>42.302999999999997</v>
      </c>
      <c r="AD650">
        <v>-1.109637757912</v>
      </c>
      <c r="AE650">
        <v>-1.7281000000000399</v>
      </c>
      <c r="AF650">
        <v>1.9130500590004</v>
      </c>
      <c r="AG650">
        <v>-1.109637757912</v>
      </c>
      <c r="AH650">
        <v>42.2659475369747</v>
      </c>
      <c r="AI650">
        <v>91.502343682315498</v>
      </c>
      <c r="AJ650">
        <v>87.408435363078794</v>
      </c>
      <c r="AK650">
        <v>42.323768472104703</v>
      </c>
      <c r="AL650">
        <v>86.868723283844801</v>
      </c>
      <c r="AM650">
        <v>88.728034589262805</v>
      </c>
      <c r="AN650">
        <v>1.00000004079566</v>
      </c>
    </row>
    <row r="651" spans="1:40" x14ac:dyDescent="0.25">
      <c r="A651" t="str">
        <f>"20190312150959157"</f>
        <v>20190312150959157</v>
      </c>
      <c r="B651" t="str">
        <f>"1552374599151350"</f>
        <v>1552374599151350</v>
      </c>
      <c r="C651" t="s">
        <v>40</v>
      </c>
      <c r="D651">
        <v>5.1170239999999998</v>
      </c>
      <c r="E651">
        <v>0.50812279999999999</v>
      </c>
      <c r="F651" t="s">
        <v>43</v>
      </c>
      <c r="G651">
        <v>-317.6062</v>
      </c>
      <c r="H651">
        <v>-0.05</v>
      </c>
      <c r="I651">
        <v>365.46260000000001</v>
      </c>
      <c r="J651">
        <v>-362.53379999999999</v>
      </c>
      <c r="K651">
        <v>1.109632</v>
      </c>
      <c r="L651">
        <v>367.27550000000002</v>
      </c>
      <c r="M651">
        <v>0.99996010000000002</v>
      </c>
      <c r="N651">
        <v>0</v>
      </c>
      <c r="O651">
        <v>4.5236540000000002E-3</v>
      </c>
      <c r="P651">
        <v>0.9987395</v>
      </c>
      <c r="Q651">
        <v>4.718986E-2</v>
      </c>
      <c r="R651">
        <v>-1.7096279999999998E-2</v>
      </c>
      <c r="S651">
        <v>3.0052490000000001</v>
      </c>
      <c r="T651">
        <v>-7.701993E-2</v>
      </c>
      <c r="U651">
        <v>-0.1203003</v>
      </c>
      <c r="V651">
        <v>2.1603520000000001E-2</v>
      </c>
      <c r="W651">
        <v>5.4889090000000001E-2</v>
      </c>
      <c r="X651">
        <v>0.99825870000000005</v>
      </c>
      <c r="Y651">
        <v>4.4501720000000002E-2</v>
      </c>
      <c r="Z651">
        <v>-6.8580840000000002E-4</v>
      </c>
      <c r="AA651">
        <v>0.99900909999999998</v>
      </c>
      <c r="AB651">
        <v>31</v>
      </c>
      <c r="AC651">
        <v>44.927599999999899</v>
      </c>
      <c r="AD651">
        <v>-1.159632</v>
      </c>
      <c r="AE651">
        <v>-1.8129000000000099</v>
      </c>
      <c r="AF651">
        <v>2.0147843008818498</v>
      </c>
      <c r="AG651">
        <v>-1.159632</v>
      </c>
      <c r="AH651">
        <v>44.889081975030997</v>
      </c>
      <c r="AI651">
        <v>91.4783208439177</v>
      </c>
      <c r="AJ651">
        <v>87.430083062198506</v>
      </c>
      <c r="AK651">
        <v>44.949235618812899</v>
      </c>
      <c r="AL651">
        <v>86.853505416051505</v>
      </c>
      <c r="AM651">
        <v>88.760243876059207</v>
      </c>
      <c r="AN651">
        <v>0.99999997820155395</v>
      </c>
    </row>
    <row r="652" spans="1:40" x14ac:dyDescent="0.25">
      <c r="A652" t="str">
        <f>"20190312150959179"</f>
        <v>20190312150959179</v>
      </c>
      <c r="B652" t="str">
        <f>"1552374599171846"</f>
        <v>1552374599171846</v>
      </c>
      <c r="C652" t="s">
        <v>40</v>
      </c>
      <c r="D652">
        <v>5.1232389999999999</v>
      </c>
      <c r="E652">
        <v>0.50803959999999904</v>
      </c>
      <c r="F652" t="s">
        <v>43</v>
      </c>
      <c r="G652">
        <v>-316.24700000000001</v>
      </c>
      <c r="H652">
        <v>-0.05</v>
      </c>
      <c r="I652">
        <v>365.46589999999998</v>
      </c>
      <c r="J652">
        <v>-362.2226</v>
      </c>
      <c r="K652">
        <v>1.1096360000000001</v>
      </c>
      <c r="L652">
        <v>367.27690000000001</v>
      </c>
      <c r="M652">
        <v>0.9999595</v>
      </c>
      <c r="N652">
        <v>0</v>
      </c>
      <c r="O652">
        <v>4.6408880000000001E-3</v>
      </c>
      <c r="P652">
        <v>0.99874859999999999</v>
      </c>
      <c r="Q652">
        <v>4.7159060000000003E-2</v>
      </c>
      <c r="R652">
        <v>-1.664763E-2</v>
      </c>
      <c r="S652">
        <v>3.005341</v>
      </c>
      <c r="T652">
        <v>-7.529342E-2</v>
      </c>
      <c r="U652">
        <v>-0.11749270000000001</v>
      </c>
      <c r="V652">
        <v>2.127186E-2</v>
      </c>
      <c r="W652">
        <v>5.4861E-2</v>
      </c>
      <c r="X652">
        <v>0.99826740000000003</v>
      </c>
      <c r="Y652">
        <v>4.3686709999999997E-2</v>
      </c>
      <c r="Z652">
        <v>-6.6316379999999998E-4</v>
      </c>
      <c r="AA652">
        <v>0.99904510000000002</v>
      </c>
      <c r="AB652">
        <v>31</v>
      </c>
      <c r="AC652">
        <v>45.975599999999901</v>
      </c>
      <c r="AD652">
        <v>-1.1596359999999999</v>
      </c>
      <c r="AE652">
        <v>-1.8110000000000299</v>
      </c>
      <c r="AF652">
        <v>2.0230693825977601</v>
      </c>
      <c r="AG652">
        <v>-1.1596359999999999</v>
      </c>
      <c r="AH652">
        <v>45.937520130650498</v>
      </c>
      <c r="AI652">
        <v>91.444654457064999</v>
      </c>
      <c r="AJ652">
        <v>87.478346966931696</v>
      </c>
      <c r="AK652">
        <v>45.996666413265402</v>
      </c>
      <c r="AL652">
        <v>86.855117388468202</v>
      </c>
      <c r="AM652">
        <v>88.779281601926996</v>
      </c>
      <c r="AN652">
        <v>1.0000000116258001</v>
      </c>
    </row>
    <row r="653" spans="1:40" x14ac:dyDescent="0.25">
      <c r="A653" t="str">
        <f>"20190312150959201"</f>
        <v>20190312150959201</v>
      </c>
      <c r="B653" t="str">
        <f>"1552374599191366"</f>
        <v>1552374599191366</v>
      </c>
      <c r="C653" t="s">
        <v>40</v>
      </c>
      <c r="D653">
        <v>5.1749780000000003</v>
      </c>
      <c r="E653">
        <v>0.50828770000000001</v>
      </c>
      <c r="F653" t="s">
        <v>43</v>
      </c>
      <c r="G653">
        <v>-315.75490000000002</v>
      </c>
      <c r="H653">
        <v>-0.05</v>
      </c>
      <c r="I653">
        <v>365.49279999999999</v>
      </c>
      <c r="J653">
        <v>-361.92610000000002</v>
      </c>
      <c r="K653">
        <v>1.1096269999999999</v>
      </c>
      <c r="L653">
        <v>367.27839999999998</v>
      </c>
      <c r="M653">
        <v>0.99995909999999999</v>
      </c>
      <c r="N653">
        <v>0</v>
      </c>
      <c r="O653">
        <v>4.7520330000000001E-3</v>
      </c>
      <c r="P653">
        <v>0.99875040000000004</v>
      </c>
      <c r="Q653">
        <v>4.7277609999999998E-2</v>
      </c>
      <c r="R653">
        <v>-1.621415E-2</v>
      </c>
      <c r="S653">
        <v>3.0053100000000001</v>
      </c>
      <c r="T653">
        <v>-7.4999570000000002E-2</v>
      </c>
      <c r="U653">
        <v>-0.115387</v>
      </c>
      <c r="V653">
        <v>2.0949189999999999E-2</v>
      </c>
      <c r="W653">
        <v>5.4984789999999999E-2</v>
      </c>
      <c r="X653">
        <v>0.99826740000000003</v>
      </c>
      <c r="Y653">
        <v>4.3099459999999999E-2</v>
      </c>
      <c r="Z653">
        <v>-6.5604059999999997E-4</v>
      </c>
      <c r="AA653">
        <v>0.99907060000000003</v>
      </c>
      <c r="AB653">
        <v>31</v>
      </c>
      <c r="AC653">
        <v>46.171199999999999</v>
      </c>
      <c r="AD653">
        <v>-1.159627</v>
      </c>
      <c r="AE653">
        <v>-1.7855999999999801</v>
      </c>
      <c r="AF653">
        <v>2.0037313264770402</v>
      </c>
      <c r="AG653">
        <v>-1.159627</v>
      </c>
      <c r="AH653">
        <v>46.133135671357202</v>
      </c>
      <c r="AI653">
        <v>91.438558229543403</v>
      </c>
      <c r="AJ653">
        <v>87.512997210812799</v>
      </c>
      <c r="AK653">
        <v>46.191188346693103</v>
      </c>
      <c r="AL653">
        <v>86.848013981695502</v>
      </c>
      <c r="AM653">
        <v>88.797793039839704</v>
      </c>
      <c r="AN653">
        <v>0.99999999879788004</v>
      </c>
    </row>
    <row r="654" spans="1:40" x14ac:dyDescent="0.25">
      <c r="A654" t="str">
        <f>"20190312150959222"</f>
        <v>20190312150959222</v>
      </c>
      <c r="B654" t="str">
        <f>"1552374599211862"</f>
        <v>1552374599211862</v>
      </c>
      <c r="C654" t="s">
        <v>40</v>
      </c>
      <c r="D654">
        <v>5.5029969999999997</v>
      </c>
      <c r="E654">
        <v>0.52442880000000003</v>
      </c>
      <c r="F654" t="s">
        <v>43</v>
      </c>
      <c r="G654">
        <v>-316.01749999999998</v>
      </c>
      <c r="H654">
        <v>-0.05</v>
      </c>
      <c r="I654">
        <v>365.50659999999999</v>
      </c>
      <c r="J654">
        <v>-361.62259999999998</v>
      </c>
      <c r="K654">
        <v>1.1096250000000001</v>
      </c>
      <c r="L654">
        <v>367.28</v>
      </c>
      <c r="M654">
        <v>0.99995829999999997</v>
      </c>
      <c r="N654">
        <v>0</v>
      </c>
      <c r="O654">
        <v>4.8660279999999997E-3</v>
      </c>
      <c r="P654">
        <v>0.99874300000000005</v>
      </c>
      <c r="Q654">
        <v>4.7500920000000002E-2</v>
      </c>
      <c r="R654">
        <v>-1.6010010000000002E-2</v>
      </c>
      <c r="S654">
        <v>3.0054630000000002</v>
      </c>
      <c r="T654">
        <v>-7.5916410000000004E-2</v>
      </c>
      <c r="U654">
        <v>-0.1159973</v>
      </c>
      <c r="V654">
        <v>2.085863E-2</v>
      </c>
      <c r="W654">
        <v>5.5216179999999997E-2</v>
      </c>
      <c r="X654">
        <v>0.99825649999999999</v>
      </c>
      <c r="Y654">
        <v>4.3413500000000001E-2</v>
      </c>
      <c r="Z654">
        <v>-6.7086399999999997E-4</v>
      </c>
      <c r="AA654">
        <v>0.99905690000000003</v>
      </c>
      <c r="AB654">
        <v>31</v>
      </c>
      <c r="AC654">
        <v>45.605099999999901</v>
      </c>
      <c r="AD654">
        <v>-1.1596249999999999</v>
      </c>
      <c r="AE654">
        <v>-1.7733999999999801</v>
      </c>
      <c r="AF654">
        <v>1.99401402177196</v>
      </c>
      <c r="AG654">
        <v>-1.1596249999999999</v>
      </c>
      <c r="AH654">
        <v>45.566513401121497</v>
      </c>
      <c r="AI654">
        <v>91.456415912136194</v>
      </c>
      <c r="AJ654">
        <v>87.494305908492905</v>
      </c>
      <c r="AK654">
        <v>45.624861266575202</v>
      </c>
      <c r="AL654">
        <v>86.834736062370993</v>
      </c>
      <c r="AM654">
        <v>88.802975406618998</v>
      </c>
      <c r="AN654">
        <v>0.99999997438575905</v>
      </c>
    </row>
    <row r="655" spans="1:40" x14ac:dyDescent="0.25">
      <c r="A655" t="str">
        <f>"20190312150959245"</f>
        <v>20190312150959245</v>
      </c>
      <c r="B655" t="str">
        <f>"1552374599241142"</f>
        <v>1552374599241142</v>
      </c>
      <c r="C655" t="s">
        <v>40</v>
      </c>
      <c r="D655">
        <v>5.1181910000000004</v>
      </c>
      <c r="E655">
        <v>0.52555689999999999</v>
      </c>
      <c r="F655" t="s">
        <v>43</v>
      </c>
      <c r="G655">
        <v>-289.44779999999997</v>
      </c>
      <c r="H655">
        <v>-0.05</v>
      </c>
      <c r="I655">
        <v>361.41059999999999</v>
      </c>
      <c r="J655">
        <v>-361.31369999999998</v>
      </c>
      <c r="K655">
        <v>1.1096239999999999</v>
      </c>
      <c r="L655">
        <v>367.28160000000003</v>
      </c>
      <c r="M655">
        <v>0.99995780000000001</v>
      </c>
      <c r="N655">
        <v>0</v>
      </c>
      <c r="O655">
        <v>4.9816829999999998E-3</v>
      </c>
      <c r="P655">
        <v>0.99872459999999996</v>
      </c>
      <c r="Q655">
        <v>4.7899909999999997E-2</v>
      </c>
      <c r="R655">
        <v>-1.5971760000000002E-2</v>
      </c>
      <c r="S655">
        <v>3.002167</v>
      </c>
      <c r="T655">
        <v>-4.823554E-2</v>
      </c>
      <c r="U655">
        <v>-0.24414060000000001</v>
      </c>
      <c r="V655">
        <v>2.0935829999999999E-2</v>
      </c>
      <c r="W655">
        <v>5.5626099999999998E-2</v>
      </c>
      <c r="X655">
        <v>0.99823209999999996</v>
      </c>
      <c r="Y655">
        <v>8.6006689999999997E-2</v>
      </c>
      <c r="Z655">
        <v>-7.6965740000000001E-4</v>
      </c>
      <c r="AA655">
        <v>0.99629429999999997</v>
      </c>
      <c r="AB655">
        <v>31</v>
      </c>
      <c r="AC655">
        <v>71.865899999999996</v>
      </c>
      <c r="AD655">
        <v>-1.159624</v>
      </c>
      <c r="AE655">
        <v>-5.8710000000000298</v>
      </c>
      <c r="AF655">
        <v>6.2273402878814199</v>
      </c>
      <c r="AG655">
        <v>-1.159624</v>
      </c>
      <c r="AH655">
        <v>71.817184880484305</v>
      </c>
      <c r="AI655">
        <v>90.921610498842298</v>
      </c>
      <c r="AJ655">
        <v>85.044221062962507</v>
      </c>
      <c r="AK655">
        <v>72.095995305149302</v>
      </c>
      <c r="AL655">
        <v>86.811213140734907</v>
      </c>
      <c r="AM655">
        <v>88.798517029175301</v>
      </c>
      <c r="AN655">
        <v>0.99999994872470299</v>
      </c>
    </row>
    <row r="656" spans="1:40" x14ac:dyDescent="0.25">
      <c r="A656" t="str">
        <f>"20190312150959267"</f>
        <v>20190312150959267</v>
      </c>
      <c r="B656" t="str">
        <f>"1552374599261638"</f>
        <v>1552374599261638</v>
      </c>
      <c r="C656" t="s">
        <v>40</v>
      </c>
      <c r="D656">
        <v>5.1465100000000001</v>
      </c>
      <c r="E656">
        <v>0.52463950000000004</v>
      </c>
      <c r="F656" t="s">
        <v>43</v>
      </c>
      <c r="G656">
        <v>-307.77620000000002</v>
      </c>
      <c r="H656">
        <v>-0.05</v>
      </c>
      <c r="I656">
        <v>362.76569999999998</v>
      </c>
      <c r="J656">
        <v>-361.0016</v>
      </c>
      <c r="K656">
        <v>1.109629</v>
      </c>
      <c r="L656">
        <v>367.2833</v>
      </c>
      <c r="M656">
        <v>0.99995699999999998</v>
      </c>
      <c r="N656">
        <v>0</v>
      </c>
      <c r="O656">
        <v>5.098333E-3</v>
      </c>
      <c r="P656">
        <v>0.99871960000000004</v>
      </c>
      <c r="Q656">
        <v>4.8038289999999997E-2</v>
      </c>
      <c r="R656">
        <v>-1.5873200000000001E-2</v>
      </c>
      <c r="S656">
        <v>3.0029300000000001</v>
      </c>
      <c r="T656">
        <v>-6.5043569999999995E-2</v>
      </c>
      <c r="U656">
        <v>-0.25329590000000002</v>
      </c>
      <c r="V656">
        <v>2.095354E-2</v>
      </c>
      <c r="W656">
        <v>5.5779879999999997E-2</v>
      </c>
      <c r="X656">
        <v>0.99822319999999998</v>
      </c>
      <c r="Y656">
        <v>8.9108530000000005E-2</v>
      </c>
      <c r="Z656">
        <v>-1.0734550000000001E-3</v>
      </c>
      <c r="AA656">
        <v>0.9960213</v>
      </c>
      <c r="AB656">
        <v>31</v>
      </c>
      <c r="AC656">
        <v>53.225399999999901</v>
      </c>
      <c r="AD656">
        <v>-1.159629</v>
      </c>
      <c r="AE656">
        <v>-4.5176000000000096</v>
      </c>
      <c r="AF656">
        <v>4.7866543641144297</v>
      </c>
      <c r="AG656">
        <v>-1.159629</v>
      </c>
      <c r="AH656">
        <v>53.176613996682498</v>
      </c>
      <c r="AI656">
        <v>91.244229182293395</v>
      </c>
      <c r="AJ656">
        <v>84.856424108818203</v>
      </c>
      <c r="AK656">
        <v>53.404204661911201</v>
      </c>
      <c r="AL656">
        <v>86.802388662725804</v>
      </c>
      <c r="AM656">
        <v>88.797490253001797</v>
      </c>
      <c r="AN656">
        <v>1.0000000014347901</v>
      </c>
    </row>
    <row r="657" spans="1:40" x14ac:dyDescent="0.25">
      <c r="A657" t="str">
        <f>"20190312150959289"</f>
        <v>20190312150959289</v>
      </c>
      <c r="B657" t="str">
        <f>"1552374599281162"</f>
        <v>1552374599281162</v>
      </c>
      <c r="C657" t="s">
        <v>40</v>
      </c>
      <c r="D657">
        <v>5.2246940000000004</v>
      </c>
      <c r="E657">
        <v>0.52437800000000001</v>
      </c>
      <c r="F657" t="s">
        <v>43</v>
      </c>
      <c r="G657">
        <v>-313.58449999999999</v>
      </c>
      <c r="H657">
        <v>-0.05</v>
      </c>
      <c r="I657">
        <v>363.40379999999999</v>
      </c>
      <c r="J657">
        <v>-360.69510000000002</v>
      </c>
      <c r="K657">
        <v>1.1096330000000001</v>
      </c>
      <c r="L657">
        <v>367.28489999999999</v>
      </c>
      <c r="M657">
        <v>0.99995630000000002</v>
      </c>
      <c r="N657">
        <v>0</v>
      </c>
      <c r="O657">
        <v>5.2123899999999999E-3</v>
      </c>
      <c r="P657">
        <v>0.99870510000000001</v>
      </c>
      <c r="Q657">
        <v>4.8245749999999997E-2</v>
      </c>
      <c r="R657">
        <v>-1.6147789999999999E-2</v>
      </c>
      <c r="S657">
        <v>3.003479</v>
      </c>
      <c r="T657">
        <v>-7.3452829999999997E-2</v>
      </c>
      <c r="U657">
        <v>-0.24572749999999999</v>
      </c>
      <c r="V657">
        <v>2.1341820000000001E-2</v>
      </c>
      <c r="W657">
        <v>5.6011739999999997E-2</v>
      </c>
      <c r="X657">
        <v>0.99820200000000003</v>
      </c>
      <c r="Y657">
        <v>8.6708640000000003E-2</v>
      </c>
      <c r="Z657">
        <v>-1.1855959999999999E-3</v>
      </c>
      <c r="AA657">
        <v>0.99623300000000004</v>
      </c>
      <c r="AB657">
        <v>31</v>
      </c>
      <c r="AC657">
        <v>47.110599999999998</v>
      </c>
      <c r="AD657">
        <v>-1.1596329999999999</v>
      </c>
      <c r="AE657">
        <v>-3.8811</v>
      </c>
      <c r="AF657">
        <v>4.1241315061993804</v>
      </c>
      <c r="AG657">
        <v>-1.1596329999999999</v>
      </c>
      <c r="AH657">
        <v>47.061407091603797</v>
      </c>
      <c r="AI657">
        <v>91.406144217813406</v>
      </c>
      <c r="AJ657">
        <v>84.9917939952213</v>
      </c>
      <c r="AK657">
        <v>47.255996940248501</v>
      </c>
      <c r="AL657">
        <v>86.789083291010797</v>
      </c>
      <c r="AM657">
        <v>88.775187843266906</v>
      </c>
      <c r="AN657">
        <v>1.00000001055137</v>
      </c>
    </row>
    <row r="658" spans="1:40" x14ac:dyDescent="0.25">
      <c r="A658" t="str">
        <f>"20190312150959312"</f>
        <v>20190312150959312</v>
      </c>
      <c r="B658" t="str">
        <f>"1552374599301655"</f>
        <v>1552374599301655</v>
      </c>
      <c r="C658" t="s">
        <v>40</v>
      </c>
      <c r="D658">
        <v>5.1439110000000001</v>
      </c>
      <c r="E658">
        <v>0.52404090000000003</v>
      </c>
      <c r="F658" t="s">
        <v>43</v>
      </c>
      <c r="G658">
        <v>-309.89249999999998</v>
      </c>
      <c r="H658">
        <v>-0.05</v>
      </c>
      <c r="I658">
        <v>363.15199999999999</v>
      </c>
      <c r="J658">
        <v>-360.37150000000003</v>
      </c>
      <c r="K658">
        <v>1.1096429999999999</v>
      </c>
      <c r="L658">
        <v>367.2867</v>
      </c>
      <c r="M658">
        <v>0.9999555</v>
      </c>
      <c r="N658">
        <v>0</v>
      </c>
      <c r="O658">
        <v>5.3330299999999999E-3</v>
      </c>
      <c r="P658">
        <v>0.99870890000000001</v>
      </c>
      <c r="Q658">
        <v>4.8139969999999997E-2</v>
      </c>
      <c r="R658">
        <v>-1.623078E-2</v>
      </c>
      <c r="S658">
        <v>3.0032649999999999</v>
      </c>
      <c r="T658">
        <v>-6.8553210000000003E-2</v>
      </c>
      <c r="U658">
        <v>-0.2443237</v>
      </c>
      <c r="V658">
        <v>2.1545310000000002E-2</v>
      </c>
      <c r="W658">
        <v>5.5937470000000003E-2</v>
      </c>
      <c r="X658">
        <v>0.99820180000000003</v>
      </c>
      <c r="Y658">
        <v>8.6375560000000004E-2</v>
      </c>
      <c r="Z658">
        <v>-1.1055870000000001E-3</v>
      </c>
      <c r="AA658">
        <v>0.99626199999999998</v>
      </c>
      <c r="AB658">
        <v>31</v>
      </c>
      <c r="AC658">
        <v>50.478999999999999</v>
      </c>
      <c r="AD658">
        <v>-1.159643</v>
      </c>
      <c r="AE658">
        <v>-4.1346999999999996</v>
      </c>
      <c r="AF658">
        <v>4.4015479408075402</v>
      </c>
      <c r="AG658">
        <v>-1.159643</v>
      </c>
      <c r="AH658">
        <v>50.429794075308102</v>
      </c>
      <c r="AI658">
        <v>91.312308235322604</v>
      </c>
      <c r="AJ658">
        <v>85.011824894345693</v>
      </c>
      <c r="AK658">
        <v>50.634795611720001</v>
      </c>
      <c r="AL658">
        <v>86.793345351999903</v>
      </c>
      <c r="AM658">
        <v>88.763512864321598</v>
      </c>
      <c r="AN658">
        <v>1.00000001722811</v>
      </c>
    </row>
    <row r="659" spans="1:40" x14ac:dyDescent="0.25">
      <c r="A659" t="str">
        <f>"20190312150959334"</f>
        <v>20190312150959334</v>
      </c>
      <c r="B659" t="str">
        <f>"1552374599331910"</f>
        <v>1552374599331910</v>
      </c>
      <c r="C659" t="s">
        <v>40</v>
      </c>
      <c r="D659">
        <v>5.2010560000000003</v>
      </c>
      <c r="E659">
        <v>0.52404729999999999</v>
      </c>
      <c r="F659" t="s">
        <v>43</v>
      </c>
      <c r="G659">
        <v>-307.30180000000001</v>
      </c>
      <c r="H659">
        <v>-0.05</v>
      </c>
      <c r="I659">
        <v>363.01600000000002</v>
      </c>
      <c r="J659">
        <v>-360.07119999999998</v>
      </c>
      <c r="K659">
        <v>1.10965</v>
      </c>
      <c r="L659">
        <v>367.28840000000002</v>
      </c>
      <c r="M659">
        <v>0.99995440000000002</v>
      </c>
      <c r="N659">
        <v>0</v>
      </c>
      <c r="O659">
        <v>5.4448439999999999E-3</v>
      </c>
      <c r="P659">
        <v>0.99867740000000005</v>
      </c>
      <c r="Q659">
        <v>4.8717360000000001E-2</v>
      </c>
      <c r="R659">
        <v>-1.6423670000000001E-2</v>
      </c>
      <c r="S659">
        <v>3.003082</v>
      </c>
      <c r="T659">
        <v>-6.5621380000000007E-2</v>
      </c>
      <c r="U659">
        <v>-0.24166869999999999</v>
      </c>
      <c r="V659">
        <v>2.1849540000000001E-2</v>
      </c>
      <c r="W659">
        <v>5.6548279999999999E-2</v>
      </c>
      <c r="X659">
        <v>0.99816079999999996</v>
      </c>
      <c r="Y659">
        <v>8.5618929999999996E-2</v>
      </c>
      <c r="Z659">
        <v>-1.0526050000000001E-3</v>
      </c>
      <c r="AA659">
        <v>0.99632739999999997</v>
      </c>
      <c r="AB659">
        <v>31</v>
      </c>
      <c r="AC659">
        <v>52.769399999999898</v>
      </c>
      <c r="AD659">
        <v>-1.1596500000000001</v>
      </c>
      <c r="AE659">
        <v>-4.2724000000000597</v>
      </c>
      <c r="AF659">
        <v>4.5574800216743601</v>
      </c>
      <c r="AG659">
        <v>-1.1596500000000001</v>
      </c>
      <c r="AH659">
        <v>52.720059864730501</v>
      </c>
      <c r="AI659">
        <v>91.255415373652795</v>
      </c>
      <c r="AJ659">
        <v>85.059246760020599</v>
      </c>
      <c r="AK659">
        <v>52.929388097834902</v>
      </c>
      <c r="AL659">
        <v>86.758293128275199</v>
      </c>
      <c r="AM659">
        <v>88.746007125226399</v>
      </c>
      <c r="AN659">
        <v>1.0000000465129</v>
      </c>
    </row>
    <row r="660" spans="1:40" x14ac:dyDescent="0.25">
      <c r="A660" t="str">
        <f>"20190312150959358"</f>
        <v>20190312150959358</v>
      </c>
      <c r="B660" t="str">
        <f>"1552374599351430"</f>
        <v>1552374599351430</v>
      </c>
      <c r="C660" t="s">
        <v>40</v>
      </c>
      <c r="D660">
        <v>5.2572559999999999</v>
      </c>
      <c r="E660">
        <v>0.52366469999999998</v>
      </c>
      <c r="F660" t="s">
        <v>42</v>
      </c>
      <c r="G660">
        <v>-321.02109999999999</v>
      </c>
      <c r="H660" s="1">
        <v>-4.8070309999999997E-6</v>
      </c>
      <c r="I660">
        <v>364.13229999999999</v>
      </c>
      <c r="J660">
        <v>-359.74590000000001</v>
      </c>
      <c r="K660">
        <v>1.109653</v>
      </c>
      <c r="L660">
        <v>367.2903</v>
      </c>
      <c r="M660">
        <v>0.9999536</v>
      </c>
      <c r="N660">
        <v>0</v>
      </c>
      <c r="O660">
        <v>5.5662949999999997E-3</v>
      </c>
      <c r="P660">
        <v>0.99865839999999995</v>
      </c>
      <c r="Q660">
        <v>4.9004199999999998E-2</v>
      </c>
      <c r="R660">
        <v>-1.6733689999999999E-2</v>
      </c>
      <c r="S660">
        <v>3.004181</v>
      </c>
      <c r="T660">
        <v>-8.5367200000000004E-2</v>
      </c>
      <c r="U660">
        <v>-0.24279790000000001</v>
      </c>
      <c r="V660">
        <v>2.2280680000000001E-2</v>
      </c>
      <c r="W660">
        <v>5.6872480000000003E-2</v>
      </c>
      <c r="X660">
        <v>0.99813280000000004</v>
      </c>
      <c r="Y660">
        <v>8.6067699999999997E-2</v>
      </c>
      <c r="Z660">
        <v>-1.378516E-3</v>
      </c>
      <c r="AA660">
        <v>0.99628839999999996</v>
      </c>
      <c r="AB660">
        <v>31</v>
      </c>
      <c r="AC660">
        <v>38.724800000000002</v>
      </c>
      <c r="AD660">
        <v>-1.1096578070309999</v>
      </c>
      <c r="AE660">
        <v>-3.1580000000000101</v>
      </c>
      <c r="AF660">
        <v>3.3707619251299201</v>
      </c>
      <c r="AG660">
        <v>-1.1096578070309999</v>
      </c>
      <c r="AH660">
        <v>38.6750745579293</v>
      </c>
      <c r="AI660">
        <v>91.637265316616904</v>
      </c>
      <c r="AJ660">
        <v>85.018920202167905</v>
      </c>
      <c r="AK660">
        <v>38.8375432856663</v>
      </c>
      <c r="AL660">
        <v>86.739687734</v>
      </c>
      <c r="AM660">
        <v>88.721235334781795</v>
      </c>
      <c r="AN660">
        <v>0.99999999705922604</v>
      </c>
    </row>
    <row r="661" spans="1:40" x14ac:dyDescent="0.25">
      <c r="A661" t="str">
        <f>"20190312150959381"</f>
        <v>20190312150959381</v>
      </c>
      <c r="B661" t="str">
        <f>"1552374599371926"</f>
        <v>1552374599371926</v>
      </c>
      <c r="C661" t="s">
        <v>40</v>
      </c>
      <c r="D661">
        <v>5.1922009999999998</v>
      </c>
      <c r="E661">
        <v>0.5237887</v>
      </c>
      <c r="F661" t="s">
        <v>43</v>
      </c>
      <c r="G661">
        <v>-315.92</v>
      </c>
      <c r="H661">
        <v>-0.05</v>
      </c>
      <c r="I661">
        <v>363.78050000000002</v>
      </c>
      <c r="J661">
        <v>-359.42399999999998</v>
      </c>
      <c r="K661">
        <v>1.109656</v>
      </c>
      <c r="L661">
        <v>367.29219999999998</v>
      </c>
      <c r="M661">
        <v>0.99995259999999997</v>
      </c>
      <c r="N661">
        <v>0</v>
      </c>
      <c r="O661">
        <v>5.6870119999999904E-3</v>
      </c>
      <c r="P661">
        <v>0.99864019999999998</v>
      </c>
      <c r="Q661">
        <v>4.9137189999999997E-2</v>
      </c>
      <c r="R661">
        <v>-1.7418630000000001E-2</v>
      </c>
      <c r="S661">
        <v>3.0039060000000002</v>
      </c>
      <c r="T661">
        <v>-7.9484699999999894E-2</v>
      </c>
      <c r="U661">
        <v>-0.24057010000000001</v>
      </c>
      <c r="V661">
        <v>2.3085870000000001E-2</v>
      </c>
      <c r="W661">
        <v>5.7047199999999999E-2</v>
      </c>
      <c r="X661">
        <v>0.99810449999999995</v>
      </c>
      <c r="Y661">
        <v>8.5466199999999895E-2</v>
      </c>
      <c r="Z661">
        <v>-1.27896E-3</v>
      </c>
      <c r="AA661">
        <v>0.99634029999999996</v>
      </c>
      <c r="AB661">
        <v>31</v>
      </c>
      <c r="AC661">
        <v>43.503999999999998</v>
      </c>
      <c r="AD661">
        <v>-1.159656</v>
      </c>
      <c r="AE661">
        <v>-3.5116999999999599</v>
      </c>
      <c r="AF661">
        <v>3.7564068362506999</v>
      </c>
      <c r="AG661">
        <v>-1.159656</v>
      </c>
      <c r="AH661">
        <v>43.4526489634369</v>
      </c>
      <c r="AI661">
        <v>91.523058097170207</v>
      </c>
      <c r="AJ661">
        <v>85.059162012323895</v>
      </c>
      <c r="AK661">
        <v>43.630128309431399</v>
      </c>
      <c r="AL661">
        <v>86.729660636744896</v>
      </c>
      <c r="AM661">
        <v>88.675001350339699</v>
      </c>
      <c r="AN661">
        <v>0.99999996667087199</v>
      </c>
    </row>
    <row r="662" spans="1:40" x14ac:dyDescent="0.25">
      <c r="A662" t="str">
        <f>"20190312150959401"</f>
        <v>20190312150959401</v>
      </c>
      <c r="B662" t="str">
        <f>"1552374599391446"</f>
        <v>1552374599391446</v>
      </c>
      <c r="C662" t="s">
        <v>40</v>
      </c>
      <c r="D662">
        <v>5.252014</v>
      </c>
      <c r="E662">
        <v>0.52387320000000004</v>
      </c>
      <c r="F662" t="s">
        <v>42</v>
      </c>
      <c r="G662">
        <v>-322.86829999999998</v>
      </c>
      <c r="H662" s="1">
        <v>-3.9797360000000003E-6</v>
      </c>
      <c r="I662">
        <v>364.32859999999999</v>
      </c>
      <c r="J662">
        <v>-359.12759999999997</v>
      </c>
      <c r="K662">
        <v>1.109661</v>
      </c>
      <c r="L662">
        <v>367.29399999999998</v>
      </c>
      <c r="M662">
        <v>0.99995160000000005</v>
      </c>
      <c r="N662">
        <v>0</v>
      </c>
      <c r="O662">
        <v>5.7981350000000003E-3</v>
      </c>
      <c r="P662">
        <v>0.99861480000000002</v>
      </c>
      <c r="Q662">
        <v>4.9373390000000003E-2</v>
      </c>
      <c r="R662">
        <v>-1.8190769999999998E-2</v>
      </c>
      <c r="S662">
        <v>3.0043329999999999</v>
      </c>
      <c r="T662">
        <v>-9.119737E-2</v>
      </c>
      <c r="U662">
        <v>-0.24356079999999999</v>
      </c>
      <c r="V662">
        <v>2.3968739999999999E-2</v>
      </c>
      <c r="W662">
        <v>5.7323319999999997E-2</v>
      </c>
      <c r="X662">
        <v>0.99806790000000001</v>
      </c>
      <c r="Y662">
        <v>8.6540469999999994E-2</v>
      </c>
      <c r="Z662">
        <v>-1.4867189999999901E-3</v>
      </c>
      <c r="AA662">
        <v>0.9962472</v>
      </c>
      <c r="AB662">
        <v>31</v>
      </c>
      <c r="AC662">
        <v>36.259300000000003</v>
      </c>
      <c r="AD662">
        <v>-1.1096649797360001</v>
      </c>
      <c r="AE662">
        <v>-2.9654000000000398</v>
      </c>
      <c r="AF662">
        <v>3.1726414179830802</v>
      </c>
      <c r="AG662">
        <v>-1.1096649797360001</v>
      </c>
      <c r="AH662">
        <v>36.207809929553697</v>
      </c>
      <c r="AI662">
        <v>91.748704906470493</v>
      </c>
      <c r="AJ662">
        <v>84.992354594246095</v>
      </c>
      <c r="AK662">
        <v>36.363477691621299</v>
      </c>
      <c r="AL662">
        <v>86.713814298082397</v>
      </c>
      <c r="AM662">
        <v>88.624298280978195</v>
      </c>
      <c r="AN662">
        <v>0.99999999826170904</v>
      </c>
    </row>
    <row r="663" spans="1:40" x14ac:dyDescent="0.25">
      <c r="A663" t="str">
        <f>"20190312150959423"</f>
        <v>20190312150959423</v>
      </c>
      <c r="B663" t="str">
        <f>"1552374599411942"</f>
        <v>1552374599411942</v>
      </c>
      <c r="C663" t="s">
        <v>40</v>
      </c>
      <c r="D663">
        <v>5.1496399999999998</v>
      </c>
      <c r="E663">
        <v>0.52441309999999997</v>
      </c>
      <c r="F663" t="s">
        <v>42</v>
      </c>
      <c r="G663">
        <v>-325.45389999999998</v>
      </c>
      <c r="H663" s="1">
        <v>-2.8865650000000001E-6</v>
      </c>
      <c r="I663">
        <v>364.52969999999999</v>
      </c>
      <c r="J663">
        <v>-358.82049999999998</v>
      </c>
      <c r="K663">
        <v>1.1096649999999999</v>
      </c>
      <c r="L663">
        <v>367.29590000000002</v>
      </c>
      <c r="M663">
        <v>0.99995049999999996</v>
      </c>
      <c r="N663">
        <v>0</v>
      </c>
      <c r="O663">
        <v>5.9132389999999998E-3</v>
      </c>
      <c r="P663">
        <v>0.99862499999999998</v>
      </c>
      <c r="Q663">
        <v>4.8963069999999997E-2</v>
      </c>
      <c r="R663">
        <v>-1.8731580000000001E-2</v>
      </c>
      <c r="S663">
        <v>3.004578</v>
      </c>
      <c r="T663">
        <v>-9.9010940000000006E-2</v>
      </c>
      <c r="U663">
        <v>-0.2466431</v>
      </c>
      <c r="V663">
        <v>2.462458E-2</v>
      </c>
      <c r="W663">
        <v>5.695675E-2</v>
      </c>
      <c r="X663">
        <v>0.99807290000000004</v>
      </c>
      <c r="Y663">
        <v>8.7655640000000007E-2</v>
      </c>
      <c r="Z663">
        <v>-1.635959E-3</v>
      </c>
      <c r="AA663">
        <v>0.99614950000000002</v>
      </c>
      <c r="AB663">
        <v>31</v>
      </c>
      <c r="AC663">
        <v>33.366599999999998</v>
      </c>
      <c r="AD663">
        <v>-1.10966788656499</v>
      </c>
      <c r="AE663">
        <v>-2.76620000000002</v>
      </c>
      <c r="AF663">
        <v>2.9602109347037802</v>
      </c>
      <c r="AG663">
        <v>-1.10966788656499</v>
      </c>
      <c r="AH663">
        <v>33.313065537239297</v>
      </c>
      <c r="AI663">
        <v>91.900351167296705</v>
      </c>
      <c r="AJ663">
        <v>84.922014020183695</v>
      </c>
      <c r="AK663">
        <v>33.462733706091797</v>
      </c>
      <c r="AL663">
        <v>86.734851515586001</v>
      </c>
      <c r="AM663">
        <v>88.586678051429303</v>
      </c>
      <c r="AN663">
        <v>0.99999997751257397</v>
      </c>
    </row>
    <row r="664" spans="1:40" x14ac:dyDescent="0.25">
      <c r="A664" t="str">
        <f>"20190312150959446"</f>
        <v>20190312150959446</v>
      </c>
      <c r="B664" t="str">
        <f>"1552374599441223"</f>
        <v>1552374599441223</v>
      </c>
      <c r="C664" t="s">
        <v>40</v>
      </c>
      <c r="D664">
        <v>5.1787999999999998</v>
      </c>
      <c r="E664">
        <v>0.52641400000000005</v>
      </c>
      <c r="F664" t="s">
        <v>42</v>
      </c>
      <c r="G664">
        <v>-326.54820000000001</v>
      </c>
      <c r="H664" s="1">
        <v>-2.5006939999999999E-6</v>
      </c>
      <c r="I664">
        <v>364.58030000000002</v>
      </c>
      <c r="J664">
        <v>-358.49869999999999</v>
      </c>
      <c r="K664">
        <v>1.1096649999999999</v>
      </c>
      <c r="L664">
        <v>367.298</v>
      </c>
      <c r="M664">
        <v>0.99994950000000005</v>
      </c>
      <c r="N664">
        <v>0</v>
      </c>
      <c r="O664">
        <v>6.0339230000000001E-3</v>
      </c>
      <c r="P664">
        <v>0.99862969999999895</v>
      </c>
      <c r="Q664">
        <v>4.856746E-2</v>
      </c>
      <c r="R664">
        <v>-1.9496969999999999E-2</v>
      </c>
      <c r="S664">
        <v>3.0044559999999998</v>
      </c>
      <c r="T664">
        <v>-0.1033065</v>
      </c>
      <c r="U664">
        <v>-0.25280760000000002</v>
      </c>
      <c r="V664">
        <v>2.551049E-2</v>
      </c>
      <c r="W664">
        <v>5.6609699999999999E-2</v>
      </c>
      <c r="X664">
        <v>0.99807040000000002</v>
      </c>
      <c r="Y664">
        <v>8.9803030000000006E-2</v>
      </c>
      <c r="Z664">
        <v>-1.7478019999999999E-3</v>
      </c>
      <c r="AA664">
        <v>0.99595800000000001</v>
      </c>
      <c r="AB664">
        <v>32</v>
      </c>
      <c r="AC664">
        <v>31.950499999999899</v>
      </c>
      <c r="AD664">
        <v>-1.109667500694</v>
      </c>
      <c r="AE664">
        <v>-2.7176999999999798</v>
      </c>
      <c r="AF664">
        <v>2.9069623262062798</v>
      </c>
      <c r="AG664">
        <v>-1.109667500694</v>
      </c>
      <c r="AH664">
        <v>31.895322643124199</v>
      </c>
      <c r="AI664">
        <v>91.984351015510597</v>
      </c>
      <c r="AJ664">
        <v>84.792409392855106</v>
      </c>
      <c r="AK664">
        <v>32.046737719104399</v>
      </c>
      <c r="AL664">
        <v>86.754768170075096</v>
      </c>
      <c r="AM664">
        <v>88.535849539363497</v>
      </c>
      <c r="AN664">
        <v>0.99999998329514395</v>
      </c>
    </row>
    <row r="665" spans="1:40" x14ac:dyDescent="0.25">
      <c r="A665" t="str">
        <f>"20190312150959469"</f>
        <v>20190312150959469</v>
      </c>
      <c r="B665" t="str">
        <f>"1552374599461723"</f>
        <v>1552374599461723</v>
      </c>
      <c r="C665" t="s">
        <v>40</v>
      </c>
      <c r="D665">
        <v>5.1979949999999997</v>
      </c>
      <c r="E665">
        <v>0.52752849999999996</v>
      </c>
      <c r="F665" t="s">
        <v>42</v>
      </c>
      <c r="G665">
        <v>-325.05990000000003</v>
      </c>
      <c r="H665" s="1">
        <v>-3.086477E-6</v>
      </c>
      <c r="I665">
        <v>364.28230000000002</v>
      </c>
      <c r="J665">
        <v>-358.17419999999998</v>
      </c>
      <c r="K665">
        <v>1.109667</v>
      </c>
      <c r="L665">
        <v>367.3</v>
      </c>
      <c r="M665">
        <v>0.99994830000000001</v>
      </c>
      <c r="N665">
        <v>0</v>
      </c>
      <c r="O665">
        <v>6.1555519999999999E-3</v>
      </c>
      <c r="P665">
        <v>0.99863849999999998</v>
      </c>
      <c r="Q665">
        <v>4.8148580000000003E-2</v>
      </c>
      <c r="R665">
        <v>-2.0075969999999999E-2</v>
      </c>
      <c r="S665">
        <v>3.0036010000000002</v>
      </c>
      <c r="T665">
        <v>-9.967434E-2</v>
      </c>
      <c r="U665">
        <v>-0.270874</v>
      </c>
      <c r="V665">
        <v>2.6211229999999999E-2</v>
      </c>
      <c r="W665">
        <v>5.6242640000000003E-2</v>
      </c>
      <c r="X665">
        <v>0.99807299999999999</v>
      </c>
      <c r="Y665">
        <v>9.5892019999999994E-2</v>
      </c>
      <c r="Z665">
        <v>-1.7912519999999999E-3</v>
      </c>
      <c r="AA665">
        <v>0.99539010000000006</v>
      </c>
      <c r="AB665">
        <v>32</v>
      </c>
      <c r="AC665">
        <v>33.114299999999901</v>
      </c>
      <c r="AD665">
        <v>-1.1096700864769999</v>
      </c>
      <c r="AE665">
        <v>-3.0176999999999898</v>
      </c>
      <c r="AF665">
        <v>3.21790254627106</v>
      </c>
      <c r="AG665">
        <v>-1.1096700864769999</v>
      </c>
      <c r="AH665">
        <v>33.058279652319897</v>
      </c>
      <c r="AI665">
        <v>91.913493296531499</v>
      </c>
      <c r="AJ665">
        <v>84.440327570014801</v>
      </c>
      <c r="AK665">
        <v>33.233057609390997</v>
      </c>
      <c r="AL665">
        <v>86.775832735883199</v>
      </c>
      <c r="AM665">
        <v>88.495653380615806</v>
      </c>
      <c r="AN665">
        <v>0.99999998823064096</v>
      </c>
    </row>
    <row r="666" spans="1:40" x14ac:dyDescent="0.25">
      <c r="A666" t="str">
        <f>"20190312150959490"</f>
        <v>20190312150959490</v>
      </c>
      <c r="B666" t="str">
        <f>"1552374599481239"</f>
        <v>1552374599481239</v>
      </c>
      <c r="C666" t="s">
        <v>40</v>
      </c>
      <c r="D666">
        <v>5.1352630000000001</v>
      </c>
      <c r="E666">
        <v>0.52854029999999996</v>
      </c>
      <c r="F666" t="s">
        <v>42</v>
      </c>
      <c r="G666">
        <v>-323.38260000000002</v>
      </c>
      <c r="H666" s="1">
        <v>-3.8104829999999999E-6</v>
      </c>
      <c r="I666">
        <v>364.03910000000002</v>
      </c>
      <c r="J666">
        <v>-357.8734</v>
      </c>
      <c r="K666">
        <v>1.109667</v>
      </c>
      <c r="L666">
        <v>367.30200000000002</v>
      </c>
      <c r="M666">
        <v>0.99994709999999998</v>
      </c>
      <c r="N666">
        <v>0</v>
      </c>
      <c r="O666">
        <v>6.2677719999999996E-3</v>
      </c>
      <c r="P666">
        <v>0.99860780000000005</v>
      </c>
      <c r="Q666">
        <v>4.8250050000000003E-2</v>
      </c>
      <c r="R666">
        <v>-2.13232E-2</v>
      </c>
      <c r="S666">
        <v>3.0030209999999999</v>
      </c>
      <c r="T666">
        <v>-9.5780610000000002E-2</v>
      </c>
      <c r="U666">
        <v>-0.28146359999999998</v>
      </c>
      <c r="V666">
        <v>2.75701E-2</v>
      </c>
      <c r="W666">
        <v>5.6392610000000003E-2</v>
      </c>
      <c r="X666">
        <v>0.99802789999999997</v>
      </c>
      <c r="Y666">
        <v>9.9503309999999998E-2</v>
      </c>
      <c r="Z666">
        <v>-1.7823889999999999E-3</v>
      </c>
      <c r="AA666">
        <v>0.99503560000000002</v>
      </c>
      <c r="AB666">
        <v>32</v>
      </c>
      <c r="AC666">
        <v>34.490799999999901</v>
      </c>
      <c r="AD666">
        <v>-1.109670810483</v>
      </c>
      <c r="AE666">
        <v>-3.2628999999999402</v>
      </c>
      <c r="AF666">
        <v>3.4754580314210499</v>
      </c>
      <c r="AG666">
        <v>-1.109670810483</v>
      </c>
      <c r="AH666">
        <v>34.434343881918302</v>
      </c>
      <c r="AI666">
        <v>91.836434185954602</v>
      </c>
      <c r="AJ666">
        <v>84.236654723389094</v>
      </c>
      <c r="AK666">
        <v>34.627073460141098</v>
      </c>
      <c r="AL666">
        <v>86.767226347114104</v>
      </c>
      <c r="AM666">
        <v>88.417630674344394</v>
      </c>
      <c r="AN666">
        <v>0.99999996302751504</v>
      </c>
    </row>
    <row r="667" spans="1:40" x14ac:dyDescent="0.25">
      <c r="A667" t="str">
        <f>"20190312150959513"</f>
        <v>20190312150959513</v>
      </c>
      <c r="B667" t="str">
        <f>"1552374599501734"</f>
        <v>1552374599501734</v>
      </c>
      <c r="C667" t="s">
        <v>40</v>
      </c>
      <c r="D667">
        <v>5.1867769999999904</v>
      </c>
      <c r="E667">
        <v>0.52958680000000002</v>
      </c>
      <c r="F667" t="s">
        <v>42</v>
      </c>
      <c r="G667">
        <v>-322.71839999999997</v>
      </c>
      <c r="H667" s="1">
        <v>-4.1262889999999997E-6</v>
      </c>
      <c r="I667">
        <v>363.86489999999998</v>
      </c>
      <c r="J667">
        <v>-357.54770000000002</v>
      </c>
      <c r="K667">
        <v>1.1096790000000001</v>
      </c>
      <c r="L667">
        <v>367.30410000000001</v>
      </c>
      <c r="M667">
        <v>0.99994609999999995</v>
      </c>
      <c r="N667">
        <v>0</v>
      </c>
      <c r="O667">
        <v>6.3890869999999999E-3</v>
      </c>
      <c r="P667">
        <v>0.99858670000000005</v>
      </c>
      <c r="Q667">
        <v>4.8482919999999999E-2</v>
      </c>
      <c r="R667">
        <v>-2.1781060000000001E-2</v>
      </c>
      <c r="S667">
        <v>3.0025629999999999</v>
      </c>
      <c r="T667">
        <v>-9.4776150000000003E-2</v>
      </c>
      <c r="U667">
        <v>-0.29354859999999999</v>
      </c>
      <c r="V667">
        <v>2.8148909999999999E-2</v>
      </c>
      <c r="W667">
        <v>5.6680149999999999E-2</v>
      </c>
      <c r="X667">
        <v>0.99799550000000004</v>
      </c>
      <c r="Y667">
        <v>0.1036048</v>
      </c>
      <c r="Z667">
        <v>-1.8320190000000001E-3</v>
      </c>
      <c r="AA667">
        <v>0.99461690000000003</v>
      </c>
      <c r="AB667">
        <v>32</v>
      </c>
      <c r="AC667">
        <v>34.829300000000003</v>
      </c>
      <c r="AD667">
        <v>-1.1096831262889999</v>
      </c>
      <c r="AE667">
        <v>-3.43920000000002</v>
      </c>
      <c r="AF667">
        <v>3.6579873161871599</v>
      </c>
      <c r="AG667">
        <v>-1.1096831262889999</v>
      </c>
      <c r="AH667">
        <v>34.771659141169302</v>
      </c>
      <c r="AI667">
        <v>91.817860078394901</v>
      </c>
      <c r="AJ667">
        <v>83.994558789892295</v>
      </c>
      <c r="AK667">
        <v>34.981145596961497</v>
      </c>
      <c r="AL667">
        <v>86.750725275400995</v>
      </c>
      <c r="AM667">
        <v>88.384375225077704</v>
      </c>
      <c r="AN667">
        <v>1.0000000092792301</v>
      </c>
    </row>
    <row r="668" spans="1:40" x14ac:dyDescent="0.25">
      <c r="A668" t="str">
        <f>"20190312150959534"</f>
        <v>20190312150959534</v>
      </c>
      <c r="B668" t="str">
        <f>"1552374599531015"</f>
        <v>1552374599531015</v>
      </c>
      <c r="C668" t="s">
        <v>40</v>
      </c>
      <c r="D668">
        <v>5.0829519999999997</v>
      </c>
      <c r="E668">
        <v>0.53087220000000002</v>
      </c>
      <c r="F668" t="s">
        <v>42</v>
      </c>
      <c r="G668">
        <v>-322.65199999999999</v>
      </c>
      <c r="H668" s="1">
        <v>-4.1693640000000001E-6</v>
      </c>
      <c r="I668">
        <v>363.78280000000001</v>
      </c>
      <c r="J668">
        <v>-357.23500000000001</v>
      </c>
      <c r="K668">
        <v>1.1096790000000001</v>
      </c>
      <c r="L668">
        <v>367.30619999999999</v>
      </c>
      <c r="M668">
        <v>0.99994490000000003</v>
      </c>
      <c r="N668">
        <v>0</v>
      </c>
      <c r="O668">
        <v>6.506164E-3</v>
      </c>
      <c r="P668">
        <v>0.99857720000000005</v>
      </c>
      <c r="Q668">
        <v>4.8549830000000002E-2</v>
      </c>
      <c r="R668">
        <v>-2.2062350000000001E-2</v>
      </c>
      <c r="S668">
        <v>3.0022579999999999</v>
      </c>
      <c r="T668">
        <v>-9.5471619999999993E-2</v>
      </c>
      <c r="U668">
        <v>-0.302948</v>
      </c>
      <c r="V668">
        <v>2.8547019999999999E-2</v>
      </c>
      <c r="W668">
        <v>5.6802030000000003E-2</v>
      </c>
      <c r="X668">
        <v>0.99797729999999996</v>
      </c>
      <c r="Y668">
        <v>0.1068115</v>
      </c>
      <c r="Z668">
        <v>-1.899916E-3</v>
      </c>
      <c r="AA668">
        <v>0.99427750000000004</v>
      </c>
      <c r="AB668">
        <v>32</v>
      </c>
      <c r="AC668">
        <v>34.582999999999998</v>
      </c>
      <c r="AD668">
        <v>-1.1096831693639999</v>
      </c>
      <c r="AE668">
        <v>-3.5233999999999801</v>
      </c>
      <c r="AF668">
        <v>3.7445199397313198</v>
      </c>
      <c r="AG668">
        <v>-1.1096831693639999</v>
      </c>
      <c r="AH668">
        <v>34.5241621607057</v>
      </c>
      <c r="AI668">
        <v>91.830253176954898</v>
      </c>
      <c r="AJ668">
        <v>83.809848572577806</v>
      </c>
      <c r="AK668">
        <v>34.744360682190198</v>
      </c>
      <c r="AL668">
        <v>86.743730920651601</v>
      </c>
      <c r="AM668">
        <v>88.361507950010804</v>
      </c>
      <c r="AN668">
        <v>1.0000000471391399</v>
      </c>
    </row>
    <row r="669" spans="1:40" x14ac:dyDescent="0.25">
      <c r="A669" t="str">
        <f>"20190312150959559"</f>
        <v>20190312150959559</v>
      </c>
      <c r="B669" t="str">
        <f>"1552374599551510"</f>
        <v>1552374599551510</v>
      </c>
      <c r="C669" t="s">
        <v>40</v>
      </c>
      <c r="D669">
        <v>5.1989409999999996</v>
      </c>
      <c r="E669">
        <v>0.5315204</v>
      </c>
      <c r="F669" t="s">
        <v>42</v>
      </c>
      <c r="G669">
        <v>-323.4452</v>
      </c>
      <c r="H669" s="1">
        <v>-3.8308300000000002E-6</v>
      </c>
      <c r="I669">
        <v>363.7731</v>
      </c>
      <c r="J669">
        <v>-356.8974</v>
      </c>
      <c r="K669">
        <v>1.109688</v>
      </c>
      <c r="L669">
        <v>367.30860000000001</v>
      </c>
      <c r="M669">
        <v>0.99994360000000004</v>
      </c>
      <c r="N669">
        <v>0</v>
      </c>
      <c r="O669">
        <v>6.6315619999999997E-3</v>
      </c>
      <c r="P669">
        <v>0.99857359999999995</v>
      </c>
      <c r="Q669">
        <v>4.8641320000000002E-2</v>
      </c>
      <c r="R669">
        <v>-2.2020609999999999E-2</v>
      </c>
      <c r="S669">
        <v>3.0021360000000001</v>
      </c>
      <c r="T669">
        <v>-9.8592040000000006E-2</v>
      </c>
      <c r="U669">
        <v>-0.31390380000000001</v>
      </c>
      <c r="V669">
        <v>2.863046E-2</v>
      </c>
      <c r="W669">
        <v>5.695484E-2</v>
      </c>
      <c r="X669">
        <v>0.99796620000000003</v>
      </c>
      <c r="Y669">
        <v>0.11052430000000001</v>
      </c>
      <c r="Z669">
        <v>-2.0265859999999999E-3</v>
      </c>
      <c r="AA669">
        <v>0.99387130000000001</v>
      </c>
      <c r="AB669">
        <v>32</v>
      </c>
      <c r="AC669">
        <v>33.452199999999998</v>
      </c>
      <c r="AD669">
        <v>-1.1096918308299999</v>
      </c>
      <c r="AE669">
        <v>-3.5355000000000101</v>
      </c>
      <c r="AF669">
        <v>3.7531857959595598</v>
      </c>
      <c r="AG669">
        <v>-1.1096918308299999</v>
      </c>
      <c r="AH669">
        <v>33.391678963712501</v>
      </c>
      <c r="AI669">
        <v>91.891484602738402</v>
      </c>
      <c r="AJ669">
        <v>83.586937249626004</v>
      </c>
      <c r="AK669">
        <v>33.62026239627</v>
      </c>
      <c r="AL669">
        <v>86.734961354576299</v>
      </c>
      <c r="AM669">
        <v>88.356703160960507</v>
      </c>
      <c r="AN669">
        <v>1.0000000466908301</v>
      </c>
    </row>
    <row r="670" spans="1:40" x14ac:dyDescent="0.25">
      <c r="A670" t="str">
        <f>"20190312150959580"</f>
        <v>20190312150959580</v>
      </c>
      <c r="B670" t="str">
        <f>"1552374599571031"</f>
        <v>1552374599571031</v>
      </c>
      <c r="C670" t="s">
        <v>40</v>
      </c>
      <c r="D670">
        <v>5.1640059999999997</v>
      </c>
      <c r="E670">
        <v>0.5319834</v>
      </c>
      <c r="F670" t="s">
        <v>42</v>
      </c>
      <c r="G670">
        <v>-322.90859999999998</v>
      </c>
      <c r="H670" s="1">
        <v>-4.0744789999999998E-6</v>
      </c>
      <c r="I670">
        <v>363.69709999999998</v>
      </c>
      <c r="J670">
        <v>-356.58010000000002</v>
      </c>
      <c r="K670">
        <v>1.109693</v>
      </c>
      <c r="L670">
        <v>367.31079999999997</v>
      </c>
      <c r="M670">
        <v>0.99994209999999994</v>
      </c>
      <c r="N670">
        <v>0</v>
      </c>
      <c r="O670">
        <v>6.7492849999999998E-3</v>
      </c>
      <c r="P670">
        <v>0.99855479999999996</v>
      </c>
      <c r="Q670">
        <v>4.9093440000000002E-2</v>
      </c>
      <c r="R670">
        <v>-2.187072E-2</v>
      </c>
      <c r="S670">
        <v>3.0019840000000002</v>
      </c>
      <c r="T670">
        <v>-9.8010899999999998E-2</v>
      </c>
      <c r="U670">
        <v>-0.31896970000000002</v>
      </c>
      <c r="V670">
        <v>2.8597649999999999E-2</v>
      </c>
      <c r="W670">
        <v>5.7465179999999998E-2</v>
      </c>
      <c r="X670">
        <v>0.99793790000000004</v>
      </c>
      <c r="Y670">
        <v>0.1123048</v>
      </c>
      <c r="Z670">
        <v>-2.047381E-3</v>
      </c>
      <c r="AA670">
        <v>0.99367169999999905</v>
      </c>
      <c r="AB670">
        <v>32</v>
      </c>
      <c r="AC670">
        <v>33.671500000000002</v>
      </c>
      <c r="AD670">
        <v>-1.109697074479</v>
      </c>
      <c r="AE670">
        <v>-3.6136999999999899</v>
      </c>
      <c r="AF670">
        <v>3.8367644246604198</v>
      </c>
      <c r="AG670">
        <v>-1.109697074479</v>
      </c>
      <c r="AH670">
        <v>33.610252671248503</v>
      </c>
      <c r="AI670">
        <v>91.878832939105493</v>
      </c>
      <c r="AJ670">
        <v>83.487614681794199</v>
      </c>
      <c r="AK670">
        <v>33.8467320944373</v>
      </c>
      <c r="AL670">
        <v>86.705673109876898</v>
      </c>
      <c r="AM670">
        <v>88.358538796678502</v>
      </c>
      <c r="AN670">
        <v>1.0000000623771801</v>
      </c>
    </row>
    <row r="671" spans="1:40" x14ac:dyDescent="0.25">
      <c r="A671" t="str">
        <f>"20190312150959603"</f>
        <v>20190312150959603</v>
      </c>
      <c r="B671" t="str">
        <f>"1552374599591527"</f>
        <v>1552374599591527</v>
      </c>
      <c r="C671" t="s">
        <v>40</v>
      </c>
      <c r="D671">
        <v>5.1254119999999999</v>
      </c>
      <c r="E671">
        <v>0.53236059999999996</v>
      </c>
      <c r="F671" t="s">
        <v>42</v>
      </c>
      <c r="G671">
        <v>-321.00200000000001</v>
      </c>
      <c r="H671" s="1">
        <v>-4.9285210000000003E-6</v>
      </c>
      <c r="I671">
        <v>363.49340000000001</v>
      </c>
      <c r="J671">
        <v>-356.26499999999999</v>
      </c>
      <c r="K671">
        <v>1.109704</v>
      </c>
      <c r="L671">
        <v>367.31299999999999</v>
      </c>
      <c r="M671">
        <v>0.99994090000000002</v>
      </c>
      <c r="N671">
        <v>0</v>
      </c>
      <c r="O671">
        <v>6.8665339999999997E-3</v>
      </c>
      <c r="P671">
        <v>0.99854469999999995</v>
      </c>
      <c r="Q671">
        <v>4.9165979999999998E-2</v>
      </c>
      <c r="R671">
        <v>-2.2167699999999999E-2</v>
      </c>
      <c r="S671">
        <v>3.0018919999999998</v>
      </c>
      <c r="T671">
        <v>-9.3630190000000002E-2</v>
      </c>
      <c r="U671">
        <v>-0.32208249999999999</v>
      </c>
      <c r="V671">
        <v>2.9011579999999999E-2</v>
      </c>
      <c r="W671">
        <v>5.7593709999999999E-2</v>
      </c>
      <c r="X671">
        <v>0.99791850000000004</v>
      </c>
      <c r="Y671">
        <v>0.1134481</v>
      </c>
      <c r="Z671">
        <v>-1.9772890000000001E-3</v>
      </c>
      <c r="AA671">
        <v>0.99354200000000004</v>
      </c>
      <c r="AB671">
        <v>32</v>
      </c>
      <c r="AC671">
        <v>35.262999999999899</v>
      </c>
      <c r="AD671">
        <v>-1.109708928521</v>
      </c>
      <c r="AE671">
        <v>-3.8196000000000301</v>
      </c>
      <c r="AF671">
        <v>4.0576812967149403</v>
      </c>
      <c r="AG671">
        <v>-1.109708928521</v>
      </c>
      <c r="AH671">
        <v>35.201483482026298</v>
      </c>
      <c r="AI671">
        <v>91.793752608641796</v>
      </c>
      <c r="AJ671">
        <v>83.424526012813999</v>
      </c>
      <c r="AK671">
        <v>35.451948758102397</v>
      </c>
      <c r="AL671">
        <v>86.698296526677495</v>
      </c>
      <c r="AM671">
        <v>88.334760777526398</v>
      </c>
      <c r="AN671">
        <v>1.00000001992395</v>
      </c>
    </row>
    <row r="672" spans="1:40" x14ac:dyDescent="0.25">
      <c r="A672" t="str">
        <f>"20190312150959615"</f>
        <v>20190312150959615</v>
      </c>
      <c r="B672" t="str">
        <f>"1552374599611047"</f>
        <v>1552374599611047</v>
      </c>
      <c r="C672" t="s">
        <v>40</v>
      </c>
      <c r="D672">
        <v>5.1694959999999996</v>
      </c>
      <c r="E672">
        <v>0.53297749999999999</v>
      </c>
      <c r="F672" t="s">
        <v>43</v>
      </c>
      <c r="G672">
        <v>-317.88200000000001</v>
      </c>
      <c r="H672">
        <v>-0.05</v>
      </c>
      <c r="I672">
        <v>363.1447</v>
      </c>
      <c r="J672">
        <v>-356.07670000000002</v>
      </c>
      <c r="K672">
        <v>1.1097079999999999</v>
      </c>
      <c r="L672">
        <v>367.31439999999998</v>
      </c>
      <c r="M672">
        <v>0.9999401</v>
      </c>
      <c r="N672">
        <v>0</v>
      </c>
      <c r="O672">
        <v>6.9369039999999998E-3</v>
      </c>
      <c r="P672">
        <v>0.99855700000000003</v>
      </c>
      <c r="Q672">
        <v>4.8892190000000002E-2</v>
      </c>
      <c r="R672">
        <v>-2.2217819999999999E-2</v>
      </c>
      <c r="S672">
        <v>3.0015559999999999</v>
      </c>
      <c r="T672">
        <v>-9.0688939999999996E-2</v>
      </c>
      <c r="U672">
        <v>-0.32595829999999998</v>
      </c>
      <c r="V672">
        <v>2.9132269999999998E-2</v>
      </c>
      <c r="W672">
        <v>5.7353790000000002E-2</v>
      </c>
      <c r="X672">
        <v>0.99792879999999995</v>
      </c>
      <c r="Y672">
        <v>0.11480079999999999</v>
      </c>
      <c r="Z672">
        <v>-1.9377750000000001E-3</v>
      </c>
      <c r="AA672">
        <v>0.99338660000000001</v>
      </c>
      <c r="AB672">
        <v>32</v>
      </c>
      <c r="AC672">
        <v>38.194699999999997</v>
      </c>
      <c r="AD672">
        <v>-1.159708</v>
      </c>
      <c r="AE672">
        <v>-4.1696999999999704</v>
      </c>
      <c r="AF672">
        <v>4.4305256668162798</v>
      </c>
      <c r="AG672">
        <v>-1.159708</v>
      </c>
      <c r="AH672">
        <v>38.130116373418801</v>
      </c>
      <c r="AI672">
        <v>91.730449506258196</v>
      </c>
      <c r="AJ672">
        <v>83.372242766793903</v>
      </c>
      <c r="AK672">
        <v>38.404169760327299</v>
      </c>
      <c r="AL672">
        <v>86.712065684120304</v>
      </c>
      <c r="AM672">
        <v>88.327854451559702</v>
      </c>
      <c r="AN672">
        <v>1.00000001812607</v>
      </c>
    </row>
    <row r="673" spans="1:40" x14ac:dyDescent="0.25">
      <c r="A673" t="str">
        <f>"20190312150959637"</f>
        <v>20190312150959637</v>
      </c>
      <c r="B673" t="str">
        <f>"1552374599631545"</f>
        <v>1552374599631545</v>
      </c>
      <c r="C673" t="s">
        <v>40</v>
      </c>
      <c r="D673">
        <v>5.1987019999999999</v>
      </c>
      <c r="E673">
        <v>0.53352489999999997</v>
      </c>
      <c r="F673" t="s">
        <v>42</v>
      </c>
      <c r="G673">
        <v>-320.70389999999998</v>
      </c>
      <c r="H673" s="1">
        <v>-5.0708849999999998E-6</v>
      </c>
      <c r="I673">
        <v>363.4119</v>
      </c>
      <c r="J673">
        <v>-355.78210000000001</v>
      </c>
      <c r="K673">
        <v>1.109704</v>
      </c>
      <c r="L673">
        <v>367.31659999999999</v>
      </c>
      <c r="M673">
        <v>0.99993880000000002</v>
      </c>
      <c r="N673">
        <v>0</v>
      </c>
      <c r="O673">
        <v>7.0465930000000003E-3</v>
      </c>
      <c r="P673">
        <v>0.99861169999999999</v>
      </c>
      <c r="Q673">
        <v>4.7992479999999997E-2</v>
      </c>
      <c r="R673">
        <v>-2.1715439999999999E-2</v>
      </c>
      <c r="S673">
        <v>3.001617</v>
      </c>
      <c r="T673">
        <v>-9.4166399999999997E-2</v>
      </c>
      <c r="U673">
        <v>-0.3311462</v>
      </c>
      <c r="V673">
        <v>2.8739819999999999E-2</v>
      </c>
      <c r="W673">
        <v>5.650782E-2</v>
      </c>
      <c r="X673">
        <v>0.9979884</v>
      </c>
      <c r="Y673">
        <v>0.1165988</v>
      </c>
      <c r="Z673">
        <v>-2.0433579999999999E-3</v>
      </c>
      <c r="AA673">
        <v>0.99317699999999998</v>
      </c>
      <c r="AB673">
        <v>32</v>
      </c>
      <c r="AC673">
        <v>35.078200000000002</v>
      </c>
      <c r="AD673">
        <v>-1.1097090708849999</v>
      </c>
      <c r="AE673">
        <v>-3.9046999999999898</v>
      </c>
      <c r="AF673">
        <v>4.1476936655236099</v>
      </c>
      <c r="AG673">
        <v>-1.1097090708849999</v>
      </c>
      <c r="AH673">
        <v>35.015199176512297</v>
      </c>
      <c r="AI673">
        <v>91.802628129542896</v>
      </c>
      <c r="AJ673">
        <v>83.244559069022401</v>
      </c>
      <c r="AK673">
        <v>35.277457254397703</v>
      </c>
      <c r="AL673">
        <v>86.760614808368402</v>
      </c>
      <c r="AM673">
        <v>88.350466382123201</v>
      </c>
      <c r="AN673">
        <v>0.99999997875467195</v>
      </c>
    </row>
    <row r="674" spans="1:40" x14ac:dyDescent="0.25">
      <c r="A674" t="str">
        <f>"20190312150959651"</f>
        <v>20190312150959651</v>
      </c>
      <c r="B674" t="str">
        <f>"1552374599641303"</f>
        <v>1552374599641303</v>
      </c>
      <c r="C674" t="s">
        <v>40</v>
      </c>
      <c r="D674">
        <v>5.0369029999999997</v>
      </c>
      <c r="E674">
        <v>0.53368159999999998</v>
      </c>
      <c r="F674" t="s">
        <v>42</v>
      </c>
      <c r="G674">
        <v>-322.39359999999999</v>
      </c>
      <c r="H674" s="1">
        <v>-4.3119390000000002E-6</v>
      </c>
      <c r="I674">
        <v>363.60390000000001</v>
      </c>
      <c r="J674">
        <v>-355.58530000000002</v>
      </c>
      <c r="K674">
        <v>1.1097060000000001</v>
      </c>
      <c r="L674">
        <v>367.31799999999998</v>
      </c>
      <c r="M674">
        <v>0.99993810000000005</v>
      </c>
      <c r="N674">
        <v>0</v>
      </c>
      <c r="O674">
        <v>7.119813E-3</v>
      </c>
      <c r="P674">
        <v>0.99863829999999998</v>
      </c>
      <c r="Q674">
        <v>4.7511850000000001E-2</v>
      </c>
      <c r="R674">
        <v>-2.155367E-2</v>
      </c>
      <c r="S674">
        <v>3.0017399999999999</v>
      </c>
      <c r="T674">
        <v>-9.9766369999999993E-2</v>
      </c>
      <c r="U674">
        <v>-0.33377079999999998</v>
      </c>
      <c r="V674">
        <v>2.8651490000000002E-2</v>
      </c>
      <c r="W674">
        <v>5.6063639999999998E-2</v>
      </c>
      <c r="X674">
        <v>0.99801600000000001</v>
      </c>
      <c r="Y674">
        <v>0.117517</v>
      </c>
      <c r="Z674">
        <v>-2.182252E-3</v>
      </c>
      <c r="AA674">
        <v>0.99306850000000002</v>
      </c>
      <c r="AB674">
        <v>32</v>
      </c>
      <c r="AC674">
        <v>33.191699999999997</v>
      </c>
      <c r="AD674">
        <v>-1.1097103119389999</v>
      </c>
      <c r="AE674">
        <v>-3.7141000000000299</v>
      </c>
      <c r="AF674">
        <v>3.9459769620228902</v>
      </c>
      <c r="AG674">
        <v>-1.1097103119389999</v>
      </c>
      <c r="AH674">
        <v>33.127841946479698</v>
      </c>
      <c r="AI674">
        <v>91.905108749553705</v>
      </c>
      <c r="AJ674">
        <v>83.207297089934301</v>
      </c>
      <c r="AK674">
        <v>33.380474879668498</v>
      </c>
      <c r="AL674">
        <v>86.786104887326502</v>
      </c>
      <c r="AM674">
        <v>88.3555787827936</v>
      </c>
      <c r="AN674">
        <v>0.999999987932634</v>
      </c>
    </row>
    <row r="675" spans="1:40" x14ac:dyDescent="0.25">
      <c r="A675" t="str">
        <f>"20190312150959670"</f>
        <v>20190312150959670</v>
      </c>
      <c r="B675" t="str">
        <f>"1552374599661798"</f>
        <v>1552374599661798</v>
      </c>
      <c r="C675" t="s">
        <v>40</v>
      </c>
      <c r="D675">
        <v>5.0464500000000001</v>
      </c>
      <c r="E675">
        <v>0.53390439999999995</v>
      </c>
      <c r="F675" t="s">
        <v>42</v>
      </c>
      <c r="G675">
        <v>-322.83569999999997</v>
      </c>
      <c r="H675" s="1">
        <v>-4.1112520000000003E-6</v>
      </c>
      <c r="I675">
        <v>363.666</v>
      </c>
      <c r="J675">
        <v>-355.29199999999997</v>
      </c>
      <c r="K675">
        <v>1.1097129999999999</v>
      </c>
      <c r="L675">
        <v>367.3202</v>
      </c>
      <c r="M675">
        <v>0.99993679999999996</v>
      </c>
      <c r="N675">
        <v>0</v>
      </c>
      <c r="O675">
        <v>7.2291259999999998E-3</v>
      </c>
      <c r="P675">
        <v>0.99865470000000001</v>
      </c>
      <c r="Q675">
        <v>4.7264E-2</v>
      </c>
      <c r="R675">
        <v>-2.1330180000000001E-2</v>
      </c>
      <c r="S675">
        <v>3.001709</v>
      </c>
      <c r="T675">
        <v>-0.101712</v>
      </c>
      <c r="U675">
        <v>-0.33471679999999998</v>
      </c>
      <c r="V675">
        <v>2.853719E-2</v>
      </c>
      <c r="W675">
        <v>5.5872720000000001E-2</v>
      </c>
      <c r="X675">
        <v>0.99802999999999997</v>
      </c>
      <c r="Y675">
        <v>0.11793289999999999</v>
      </c>
      <c r="Z675">
        <v>-2.2354829999999999E-3</v>
      </c>
      <c r="AA675">
        <v>0.99301899999999999</v>
      </c>
      <c r="AB675">
        <v>32</v>
      </c>
      <c r="AC675">
        <v>32.456299999999999</v>
      </c>
      <c r="AD675">
        <v>-1.1097171112519999</v>
      </c>
      <c r="AE675">
        <v>-3.6541999999999999</v>
      </c>
      <c r="AF675">
        <v>3.88425990079622</v>
      </c>
      <c r="AG675">
        <v>-1.1097171112519999</v>
      </c>
      <c r="AH675">
        <v>32.391641305972499</v>
      </c>
      <c r="AI675">
        <v>91.948203240699002</v>
      </c>
      <c r="AJ675">
        <v>83.161999334750305</v>
      </c>
      <c r="AK675">
        <v>32.642569959161001</v>
      </c>
      <c r="AL675">
        <v>86.797061030238197</v>
      </c>
      <c r="AM675">
        <v>88.362158289895802</v>
      </c>
      <c r="AN675">
        <v>1.0000000064766399</v>
      </c>
    </row>
    <row r="676" spans="1:40" x14ac:dyDescent="0.25">
      <c r="A676" t="str">
        <f>"20190312150959683"</f>
        <v>20190312150959683</v>
      </c>
      <c r="B676" t="str">
        <f>"1552374599671559"</f>
        <v>1552374599671559</v>
      </c>
      <c r="C676" t="s">
        <v>40</v>
      </c>
      <c r="D676">
        <v>5.1784970000000001</v>
      </c>
      <c r="E676">
        <v>0.533979599999999</v>
      </c>
      <c r="F676" t="s">
        <v>42</v>
      </c>
      <c r="G676">
        <v>-322.00920000000002</v>
      </c>
      <c r="H676" s="1">
        <v>-4.4787099999999998E-6</v>
      </c>
      <c r="I676">
        <v>363.59339999999997</v>
      </c>
      <c r="J676">
        <v>-355.1121</v>
      </c>
      <c r="K676">
        <v>1.1097189999999999</v>
      </c>
      <c r="L676">
        <v>367.32159999999999</v>
      </c>
      <c r="M676">
        <v>0.99993609999999999</v>
      </c>
      <c r="N676">
        <v>0</v>
      </c>
      <c r="O676">
        <v>7.2957889999999996E-3</v>
      </c>
      <c r="P676">
        <v>0.99866549999999998</v>
      </c>
      <c r="Q676">
        <v>4.7099450000000001E-2</v>
      </c>
      <c r="R676">
        <v>-2.1198390000000001E-2</v>
      </c>
      <c r="S676">
        <v>3.0015559999999999</v>
      </c>
      <c r="T676">
        <v>-0.1000779</v>
      </c>
      <c r="U676">
        <v>-0.3360901</v>
      </c>
      <c r="V676">
        <v>2.847208E-2</v>
      </c>
      <c r="W676">
        <v>5.574465E-2</v>
      </c>
      <c r="X676">
        <v>0.99803900000000001</v>
      </c>
      <c r="Y676">
        <v>0.1184553</v>
      </c>
      <c r="Z676">
        <v>-2.2105380000000002E-3</v>
      </c>
      <c r="AA676">
        <v>0.99295690000000003</v>
      </c>
      <c r="AB676">
        <v>32</v>
      </c>
      <c r="AC676">
        <v>33.102899999999899</v>
      </c>
      <c r="AD676">
        <v>-1.1097234787100001</v>
      </c>
      <c r="AE676">
        <v>-3.72820000000001</v>
      </c>
      <c r="AF676">
        <v>3.96522116028956</v>
      </c>
      <c r="AG676">
        <v>-1.1097234787100001</v>
      </c>
      <c r="AH676">
        <v>33.038153796062801</v>
      </c>
      <c r="AI676">
        <v>91.910095517391497</v>
      </c>
      <c r="AJ676">
        <v>83.156127813962698</v>
      </c>
      <c r="AK676">
        <v>33.293754238618199</v>
      </c>
      <c r="AL676">
        <v>86.804410287421106</v>
      </c>
      <c r="AM676">
        <v>88.365907863008104</v>
      </c>
      <c r="AN676">
        <v>0.99999998543207402</v>
      </c>
    </row>
    <row r="677" spans="1:40" x14ac:dyDescent="0.25">
      <c r="A677" t="str">
        <f>"20190312150959694"</f>
        <v>20190312150959694</v>
      </c>
      <c r="B677" t="str">
        <f>"1552374599691079"</f>
        <v>1552374599691079</v>
      </c>
      <c r="C677" t="s">
        <v>40</v>
      </c>
      <c r="D677">
        <v>5.1145509999999996</v>
      </c>
      <c r="E677">
        <v>0.53418069999999995</v>
      </c>
      <c r="F677" t="s">
        <v>42</v>
      </c>
      <c r="G677">
        <v>-321.52789999999999</v>
      </c>
      <c r="H677" s="1">
        <v>-4.6911370000000002E-6</v>
      </c>
      <c r="I677">
        <v>363.56</v>
      </c>
      <c r="J677">
        <v>-354.9434</v>
      </c>
      <c r="K677">
        <v>1.1097239999999999</v>
      </c>
      <c r="L677">
        <v>367.3229</v>
      </c>
      <c r="M677">
        <v>0.99993520000000002</v>
      </c>
      <c r="N677">
        <v>0</v>
      </c>
      <c r="O677">
        <v>7.35900099999999E-3</v>
      </c>
      <c r="P677">
        <v>0.99864439999999999</v>
      </c>
      <c r="Q677">
        <v>4.7490339999999999E-2</v>
      </c>
      <c r="R677">
        <v>-2.1313060000000002E-2</v>
      </c>
      <c r="S677">
        <v>3.0015559999999999</v>
      </c>
      <c r="T677">
        <v>-9.9180219999999999E-2</v>
      </c>
      <c r="U677">
        <v>-0.33618160000000002</v>
      </c>
      <c r="V677">
        <v>2.8649600000000001E-2</v>
      </c>
      <c r="W677">
        <v>5.6170280000000003E-2</v>
      </c>
      <c r="X677">
        <v>0.99801010000000001</v>
      </c>
      <c r="Y677">
        <v>0.1185491</v>
      </c>
      <c r="Z677">
        <v>-2.1943449999999999E-3</v>
      </c>
      <c r="AA677">
        <v>0.99294579999999999</v>
      </c>
      <c r="AB677">
        <v>32</v>
      </c>
      <c r="AC677">
        <v>33.415500000000002</v>
      </c>
      <c r="AD677">
        <v>-1.1097286911369999</v>
      </c>
      <c r="AE677">
        <v>-3.7629000000000001</v>
      </c>
      <c r="AF677">
        <v>4.0043509634345202</v>
      </c>
      <c r="AG677">
        <v>-1.1097286911369999</v>
      </c>
      <c r="AH677">
        <v>33.350580988924698</v>
      </c>
      <c r="AI677">
        <v>91.892212800791796</v>
      </c>
      <c r="AJ677">
        <v>83.153363110130698</v>
      </c>
      <c r="AK677">
        <v>33.608445020635997</v>
      </c>
      <c r="AL677">
        <v>86.779985356980902</v>
      </c>
      <c r="AM677">
        <v>88.355677482290105</v>
      </c>
      <c r="AN677">
        <v>1.0000000298187199</v>
      </c>
    </row>
    <row r="678" spans="1:40" x14ac:dyDescent="0.25">
      <c r="A678" t="str">
        <f>"20190312150959714"</f>
        <v>20190312150959714</v>
      </c>
      <c r="B678" t="str">
        <f>"1552374599701815"</f>
        <v>1552374599701815</v>
      </c>
      <c r="C678" t="s">
        <v>40</v>
      </c>
      <c r="D678">
        <v>5.2060519999999997</v>
      </c>
      <c r="E678">
        <v>0.53430679999999997</v>
      </c>
      <c r="F678" t="s">
        <v>42</v>
      </c>
      <c r="G678">
        <v>-320.18830000000003</v>
      </c>
      <c r="H678" s="1">
        <v>-5.2927789999999996E-6</v>
      </c>
      <c r="I678">
        <v>363.40800000000002</v>
      </c>
      <c r="J678">
        <v>-354.66640000000001</v>
      </c>
      <c r="K678">
        <v>1.1097360000000001</v>
      </c>
      <c r="L678">
        <v>367.32499999999999</v>
      </c>
      <c r="M678">
        <v>0.99993399999999999</v>
      </c>
      <c r="N678">
        <v>0</v>
      </c>
      <c r="O678">
        <v>7.461868E-3</v>
      </c>
      <c r="P678">
        <v>0.9986197</v>
      </c>
      <c r="Q678">
        <v>4.8002049999999997E-2</v>
      </c>
      <c r="R678">
        <v>-2.1327220000000001E-2</v>
      </c>
      <c r="S678">
        <v>3.0013730000000001</v>
      </c>
      <c r="T678">
        <v>-9.5833539999999995E-2</v>
      </c>
      <c r="U678">
        <v>-0.33807369999999998</v>
      </c>
      <c r="V678">
        <v>2.8766130000000001E-2</v>
      </c>
      <c r="W678">
        <v>5.6740140000000001E-2</v>
      </c>
      <c r="X678">
        <v>0.99797449999999999</v>
      </c>
      <c r="Y678">
        <v>0.1192802</v>
      </c>
      <c r="Z678">
        <v>-2.1352989999999998E-3</v>
      </c>
      <c r="AA678">
        <v>0.99285840000000003</v>
      </c>
      <c r="AB678">
        <v>32</v>
      </c>
      <c r="AC678">
        <v>34.478099999999898</v>
      </c>
      <c r="AD678">
        <v>-1.109741292779</v>
      </c>
      <c r="AE678">
        <v>-3.9169999999999701</v>
      </c>
      <c r="AF678">
        <v>4.1699068430844397</v>
      </c>
      <c r="AG678">
        <v>-1.109741292779</v>
      </c>
      <c r="AH678">
        <v>34.412713750787702</v>
      </c>
      <c r="AI678">
        <v>91.833631083710401</v>
      </c>
      <c r="AJ678">
        <v>83.090957171938598</v>
      </c>
      <c r="AK678">
        <v>34.682193075273602</v>
      </c>
      <c r="AL678">
        <v>86.747282590210503</v>
      </c>
      <c r="AM678">
        <v>88.348934161088295</v>
      </c>
      <c r="AN678">
        <v>1.00000001818632</v>
      </c>
    </row>
    <row r="679" spans="1:40" x14ac:dyDescent="0.25">
      <c r="A679" t="str">
        <f>"20190312150959727"</f>
        <v>20190312150959727</v>
      </c>
      <c r="B679" t="str">
        <f>"1552374599721336"</f>
        <v>1552374599721336</v>
      </c>
      <c r="C679" t="s">
        <v>40</v>
      </c>
      <c r="D679">
        <v>5.2038029999999997</v>
      </c>
      <c r="E679">
        <v>0.53462310000000002</v>
      </c>
      <c r="F679" t="s">
        <v>43</v>
      </c>
      <c r="G679">
        <v>-317.37470000000002</v>
      </c>
      <c r="H679">
        <v>-0.05</v>
      </c>
      <c r="I679">
        <v>363.10980000000001</v>
      </c>
      <c r="J679">
        <v>-354.48110000000003</v>
      </c>
      <c r="K679">
        <v>1.109742</v>
      </c>
      <c r="L679">
        <v>367.32639999999998</v>
      </c>
      <c r="M679">
        <v>0.99993310000000002</v>
      </c>
      <c r="N679">
        <v>0</v>
      </c>
      <c r="O679">
        <v>7.5305379999999998E-3</v>
      </c>
      <c r="P679">
        <v>0.99860780000000005</v>
      </c>
      <c r="Q679">
        <v>4.8257719999999997E-2</v>
      </c>
      <c r="R679">
        <v>-2.1310820000000001E-2</v>
      </c>
      <c r="S679">
        <v>3.001404</v>
      </c>
      <c r="T679">
        <v>-9.334075E-2</v>
      </c>
      <c r="U679">
        <v>-0.33926390000000001</v>
      </c>
      <c r="V679">
        <v>2.8817990000000002E-2</v>
      </c>
      <c r="W679">
        <v>5.7036719999999999E-2</v>
      </c>
      <c r="X679">
        <v>0.99795610000000001</v>
      </c>
      <c r="Y679">
        <v>0.119739</v>
      </c>
      <c r="Z679">
        <v>-2.0889559999999999E-3</v>
      </c>
      <c r="AA679">
        <v>0.9928032</v>
      </c>
      <c r="AB679">
        <v>32</v>
      </c>
      <c r="AC679">
        <v>37.106400000000001</v>
      </c>
      <c r="AD679">
        <v>-1.1597420000000001</v>
      </c>
      <c r="AE679">
        <v>-4.2165999999999704</v>
      </c>
      <c r="AF679">
        <v>4.4915907075619099</v>
      </c>
      <c r="AG679">
        <v>-1.1597420000000001</v>
      </c>
      <c r="AH679">
        <v>37.037874301119302</v>
      </c>
      <c r="AI679">
        <v>91.780442408857098</v>
      </c>
      <c r="AJ679">
        <v>83.085492985565807</v>
      </c>
      <c r="AK679">
        <v>37.327249045922699</v>
      </c>
      <c r="AL679">
        <v>86.7302622528303</v>
      </c>
      <c r="AM679">
        <v>88.345928767692499</v>
      </c>
      <c r="AN679">
        <v>1.0000000207516</v>
      </c>
    </row>
    <row r="680" spans="1:40" x14ac:dyDescent="0.25">
      <c r="A680" t="str">
        <f>"20190312150959747"</f>
        <v>20190312150959747</v>
      </c>
      <c r="B680" t="str">
        <f>"1552374599741831"</f>
        <v>1552374599741831</v>
      </c>
      <c r="C680" t="s">
        <v>40</v>
      </c>
      <c r="D680">
        <v>5.319096</v>
      </c>
      <c r="E680">
        <v>0.53481849999999997</v>
      </c>
      <c r="F680" t="s">
        <v>43</v>
      </c>
      <c r="G680">
        <v>-317.08940000000001</v>
      </c>
      <c r="H680">
        <v>-0.05</v>
      </c>
      <c r="I680">
        <v>363.06599999999997</v>
      </c>
      <c r="J680">
        <v>-354.17779999999999</v>
      </c>
      <c r="K680">
        <v>1.109756</v>
      </c>
      <c r="L680">
        <v>367.3288</v>
      </c>
      <c r="M680">
        <v>0.99993160000000003</v>
      </c>
      <c r="N680">
        <v>0</v>
      </c>
      <c r="O680">
        <v>7.6424809999999996E-3</v>
      </c>
      <c r="P680">
        <v>0.99859109999999995</v>
      </c>
      <c r="Q680">
        <v>4.8679149999999997E-2</v>
      </c>
      <c r="R680">
        <v>-2.111973E-2</v>
      </c>
      <c r="S680">
        <v>3.0013730000000001</v>
      </c>
      <c r="T680">
        <v>-9.3090649999999997E-2</v>
      </c>
      <c r="U680">
        <v>-0.34198000000000001</v>
      </c>
      <c r="V680">
        <v>2.8738489999999998E-2</v>
      </c>
      <c r="W680">
        <v>5.7527059999999998E-2</v>
      </c>
      <c r="X680">
        <v>0.99793019999999999</v>
      </c>
      <c r="Y680">
        <v>0.120738</v>
      </c>
      <c r="Z680">
        <v>-2.1021759999999999E-3</v>
      </c>
      <c r="AA680">
        <v>0.99268219999999996</v>
      </c>
      <c r="AB680">
        <v>32</v>
      </c>
      <c r="AC680">
        <v>37.088399999999901</v>
      </c>
      <c r="AD680">
        <v>-1.159756</v>
      </c>
      <c r="AE680">
        <v>-4.2628000000000199</v>
      </c>
      <c r="AF680">
        <v>4.5417509072582298</v>
      </c>
      <c r="AG680">
        <v>-1.159756</v>
      </c>
      <c r="AH680">
        <v>37.019011308733702</v>
      </c>
      <c r="AI680">
        <v>91.781067420995896</v>
      </c>
      <c r="AJ680">
        <v>83.005507685042602</v>
      </c>
      <c r="AK680">
        <v>37.3146048291988</v>
      </c>
      <c r="AL680">
        <v>86.702121479804603</v>
      </c>
      <c r="AM680">
        <v>88.350446531462097</v>
      </c>
      <c r="AN680">
        <v>0.99999997375588101</v>
      </c>
    </row>
    <row r="681" spans="1:40" x14ac:dyDescent="0.25">
      <c r="A681" t="str">
        <f>"20190312150959761"</f>
        <v>20190312150959761</v>
      </c>
      <c r="B681" t="str">
        <f>"1552374599751591"</f>
        <v>1552374599751591</v>
      </c>
      <c r="C681" t="s">
        <v>40</v>
      </c>
      <c r="D681">
        <v>5.242667</v>
      </c>
      <c r="E681">
        <v>0.53496350000000004</v>
      </c>
      <c r="F681" t="s">
        <v>43</v>
      </c>
      <c r="G681">
        <v>-315.36700000000002</v>
      </c>
      <c r="H681">
        <v>-0.05</v>
      </c>
      <c r="I681">
        <v>362.8972</v>
      </c>
      <c r="J681">
        <v>-353.98</v>
      </c>
      <c r="K681">
        <v>1.1097669999999999</v>
      </c>
      <c r="L681">
        <v>367.3304</v>
      </c>
      <c r="M681">
        <v>0.9999306</v>
      </c>
      <c r="N681">
        <v>0</v>
      </c>
      <c r="O681">
        <v>7.7154260000000001E-3</v>
      </c>
      <c r="P681">
        <v>0.99860170000000004</v>
      </c>
      <c r="Q681">
        <v>4.8465969999999997E-2</v>
      </c>
      <c r="R681">
        <v>-2.1111830000000002E-2</v>
      </c>
      <c r="S681">
        <v>3.0013429999999999</v>
      </c>
      <c r="T681">
        <v>-8.9686989999999994E-2</v>
      </c>
      <c r="U681">
        <v>-0.34271239999999997</v>
      </c>
      <c r="V681">
        <v>2.880344E-2</v>
      </c>
      <c r="W681">
        <v>5.737188E-2</v>
      </c>
      <c r="X681">
        <v>0.99793730000000003</v>
      </c>
      <c r="Y681">
        <v>0.12105489999999999</v>
      </c>
      <c r="Z681">
        <v>-2.032233E-3</v>
      </c>
      <c r="AA681">
        <v>0.99264370000000002</v>
      </c>
      <c r="AB681">
        <v>32</v>
      </c>
      <c r="AC681">
        <v>38.613</v>
      </c>
      <c r="AD681">
        <v>-1.159767</v>
      </c>
      <c r="AE681">
        <v>-4.4331999999999896</v>
      </c>
      <c r="AF681">
        <v>4.7267868405413802</v>
      </c>
      <c r="AG681">
        <v>-1.159767</v>
      </c>
      <c r="AH681">
        <v>38.5433261031515</v>
      </c>
      <c r="AI681">
        <v>91.710699142738605</v>
      </c>
      <c r="AJ681">
        <v>83.008403948758101</v>
      </c>
      <c r="AK681">
        <v>38.849395882356802</v>
      </c>
      <c r="AL681">
        <v>86.711027476302505</v>
      </c>
      <c r="AM681">
        <v>88.3467323052121</v>
      </c>
      <c r="AN681">
        <v>1.0000000127509201</v>
      </c>
    </row>
    <row r="682" spans="1:40" x14ac:dyDescent="0.25">
      <c r="A682" t="str">
        <f>"20190312150959782"</f>
        <v>20190312150959782</v>
      </c>
      <c r="B682" t="str">
        <f>"1552374599771111"</f>
        <v>1552374599771111</v>
      </c>
      <c r="C682" t="s">
        <v>40</v>
      </c>
      <c r="D682">
        <v>5.2349969999999999</v>
      </c>
      <c r="E682">
        <v>0.53538299999999905</v>
      </c>
      <c r="F682" t="s">
        <v>43</v>
      </c>
      <c r="G682">
        <v>-315.1044</v>
      </c>
      <c r="H682">
        <v>-0.05</v>
      </c>
      <c r="I682">
        <v>362.87310000000002</v>
      </c>
      <c r="J682">
        <v>-353.67570000000001</v>
      </c>
      <c r="K682">
        <v>1.1098059999999901</v>
      </c>
      <c r="L682">
        <v>367.3329</v>
      </c>
      <c r="M682">
        <v>0.99992809999999999</v>
      </c>
      <c r="N682">
        <v>0</v>
      </c>
      <c r="O682">
        <v>7.8282319999999992E-3</v>
      </c>
      <c r="P682">
        <v>0.99859640000000005</v>
      </c>
      <c r="Q682">
        <v>4.84384E-2</v>
      </c>
      <c r="R682">
        <v>-2.142407E-2</v>
      </c>
      <c r="S682">
        <v>3.001312</v>
      </c>
      <c r="T682">
        <v>-8.9537500000000006E-2</v>
      </c>
      <c r="U682">
        <v>-0.34411619999999998</v>
      </c>
      <c r="V682">
        <v>2.922812E-2</v>
      </c>
      <c r="W682">
        <v>5.7511350000000003E-2</v>
      </c>
      <c r="X682">
        <v>0.9979169</v>
      </c>
      <c r="Y682">
        <v>0.12162630000000001</v>
      </c>
      <c r="Z682">
        <v>-2.0406619999999999E-3</v>
      </c>
      <c r="AA682">
        <v>0.99257390000000001</v>
      </c>
      <c r="AB682">
        <v>32</v>
      </c>
      <c r="AC682">
        <v>38.571300000000001</v>
      </c>
      <c r="AD682">
        <v>-1.1598059999999999</v>
      </c>
      <c r="AE682">
        <v>-4.4597999999999702</v>
      </c>
      <c r="AF682">
        <v>4.7573762276336398</v>
      </c>
      <c r="AG682">
        <v>-1.1598059999999999</v>
      </c>
      <c r="AH682">
        <v>38.5008528151657</v>
      </c>
      <c r="AI682">
        <v>91.712449805156496</v>
      </c>
      <c r="AJ682">
        <v>82.9559255300898</v>
      </c>
      <c r="AK682">
        <v>38.810996457498199</v>
      </c>
      <c r="AL682">
        <v>86.703023139021198</v>
      </c>
      <c r="AM682">
        <v>88.322335960003301</v>
      </c>
      <c r="AN682">
        <v>0.99999998884158303</v>
      </c>
    </row>
    <row r="683" spans="1:40" x14ac:dyDescent="0.25">
      <c r="A683" t="str">
        <f>"20190312150959804"</f>
        <v>20190312150959804</v>
      </c>
      <c r="B683" t="str">
        <f>"1552374599791607"</f>
        <v>1552374599791607</v>
      </c>
      <c r="C683" t="s">
        <v>40</v>
      </c>
      <c r="D683">
        <v>5.233778</v>
      </c>
      <c r="E683">
        <v>0.53578840000000005</v>
      </c>
      <c r="F683" t="s">
        <v>43</v>
      </c>
      <c r="G683">
        <v>-315.5403</v>
      </c>
      <c r="H683">
        <v>-0.05</v>
      </c>
      <c r="I683">
        <v>362.90820000000002</v>
      </c>
      <c r="J683">
        <v>-353.36130000000003</v>
      </c>
      <c r="K683">
        <v>1.1098539999999999</v>
      </c>
      <c r="L683">
        <v>367.33550000000002</v>
      </c>
      <c r="M683">
        <v>0.99992499999999995</v>
      </c>
      <c r="N683">
        <v>0</v>
      </c>
      <c r="O683">
        <v>7.9431329999999998E-3</v>
      </c>
      <c r="P683">
        <v>0.99859719999999996</v>
      </c>
      <c r="Q683">
        <v>4.8305170000000001E-2</v>
      </c>
      <c r="R683">
        <v>-2.1684019999999998E-2</v>
      </c>
      <c r="S683">
        <v>3.001099</v>
      </c>
      <c r="T683">
        <v>-9.1272000000000006E-2</v>
      </c>
      <c r="U683">
        <v>-0.348205599999999</v>
      </c>
      <c r="V683">
        <v>2.960279E-2</v>
      </c>
      <c r="W683">
        <v>5.7619900000000002E-2</v>
      </c>
      <c r="X683">
        <v>0.9978996</v>
      </c>
      <c r="Y683">
        <v>0.12307999999999999</v>
      </c>
      <c r="Z683">
        <v>-2.1056709999999999E-3</v>
      </c>
      <c r="AA683">
        <v>0.99239449999999996</v>
      </c>
      <c r="AB683">
        <v>32</v>
      </c>
      <c r="AC683">
        <v>37.820999999999998</v>
      </c>
      <c r="AD683">
        <v>-1.1598539999999999</v>
      </c>
      <c r="AE683">
        <v>-4.4272999999999998</v>
      </c>
      <c r="AF683">
        <v>4.7232086597169003</v>
      </c>
      <c r="AG683">
        <v>-1.1598539999999999</v>
      </c>
      <c r="AH683">
        <v>37.749616464379699</v>
      </c>
      <c r="AI683">
        <v>91.746247661802101</v>
      </c>
      <c r="AJ683">
        <v>82.868248931842999</v>
      </c>
      <c r="AK683">
        <v>38.061627718114003</v>
      </c>
      <c r="AL683">
        <v>86.696793371299805</v>
      </c>
      <c r="AM683">
        <v>88.300813374323198</v>
      </c>
      <c r="AN683">
        <v>0.99999999486597702</v>
      </c>
    </row>
    <row r="684" spans="1:40" x14ac:dyDescent="0.25">
      <c r="A684" t="str">
        <f>"20190312150959817"</f>
        <v>20190312150959817</v>
      </c>
      <c r="B684" t="str">
        <f>"1552374599811128"</f>
        <v>1552374599811128</v>
      </c>
      <c r="C684" t="s">
        <v>40</v>
      </c>
      <c r="D684">
        <v>5.220485</v>
      </c>
      <c r="E684">
        <v>0.53613109999999997</v>
      </c>
      <c r="F684" t="s">
        <v>43</v>
      </c>
      <c r="G684">
        <v>-315.92239999999998</v>
      </c>
      <c r="H684">
        <v>-0.05</v>
      </c>
      <c r="I684">
        <v>362.93979999999999</v>
      </c>
      <c r="J684">
        <v>-353.17790000000002</v>
      </c>
      <c r="K684">
        <v>1.109869</v>
      </c>
      <c r="L684">
        <v>367.33699999999999</v>
      </c>
      <c r="M684">
        <v>0.99992360000000002</v>
      </c>
      <c r="N684">
        <v>0</v>
      </c>
      <c r="O684">
        <v>8.0086840000000003E-3</v>
      </c>
      <c r="P684">
        <v>0.99859520000000002</v>
      </c>
      <c r="Q684">
        <v>4.8424590000000003E-2</v>
      </c>
      <c r="R684">
        <v>-2.1514869999999998E-2</v>
      </c>
      <c r="S684">
        <v>3.0010680000000001</v>
      </c>
      <c r="T684">
        <v>-9.2972760000000002E-2</v>
      </c>
      <c r="U684">
        <v>-0.352356</v>
      </c>
      <c r="V684">
        <v>2.949893E-2</v>
      </c>
      <c r="W684">
        <v>5.7835060000000001E-2</v>
      </c>
      <c r="X684">
        <v>0.99789019999999995</v>
      </c>
      <c r="Y684">
        <v>0.1244971</v>
      </c>
      <c r="Z684">
        <v>-2.1686349999999999E-3</v>
      </c>
      <c r="AA684">
        <v>0.99221760000000003</v>
      </c>
      <c r="AB684">
        <v>32</v>
      </c>
      <c r="AC684">
        <v>37.255499999999998</v>
      </c>
      <c r="AD684">
        <v>-1.159869</v>
      </c>
      <c r="AE684">
        <v>-4.39719999999999</v>
      </c>
      <c r="AF684">
        <v>4.69095546935168</v>
      </c>
      <c r="AG684">
        <v>-1.159869</v>
      </c>
      <c r="AH684">
        <v>37.183542674411299</v>
      </c>
      <c r="AI684">
        <v>91.772610901768303</v>
      </c>
      <c r="AJ684">
        <v>82.809734852485605</v>
      </c>
      <c r="AK684">
        <v>37.496215877503801</v>
      </c>
      <c r="AL684">
        <v>86.684444923586398</v>
      </c>
      <c r="AM684">
        <v>88.306755473701102</v>
      </c>
      <c r="AN684">
        <v>0.99999996614619302</v>
      </c>
    </row>
    <row r="685" spans="1:40" x14ac:dyDescent="0.25">
      <c r="A685" t="str">
        <f>"20190312150959828"</f>
        <v>20190312150959828</v>
      </c>
      <c r="B685" t="str">
        <f>"1552374599821933"</f>
        <v>1552374599821933</v>
      </c>
      <c r="C685" t="s">
        <v>40</v>
      </c>
      <c r="D685">
        <v>5.2060139999999997</v>
      </c>
      <c r="E685">
        <v>0.53632369999999996</v>
      </c>
      <c r="F685" t="s">
        <v>43</v>
      </c>
      <c r="G685">
        <v>-316.0136</v>
      </c>
      <c r="H685">
        <v>-0.05</v>
      </c>
      <c r="I685">
        <v>362.94720000000001</v>
      </c>
      <c r="J685">
        <v>-353.00290000000001</v>
      </c>
      <c r="K685">
        <v>1.109882</v>
      </c>
      <c r="L685">
        <v>367.33850000000001</v>
      </c>
      <c r="M685">
        <v>0.99992230000000004</v>
      </c>
      <c r="N685">
        <v>0</v>
      </c>
      <c r="O685">
        <v>8.0715549999999994E-3</v>
      </c>
      <c r="P685">
        <v>0.99859770000000003</v>
      </c>
      <c r="Q685">
        <v>4.8361290000000001E-2</v>
      </c>
      <c r="R685">
        <v>-2.1546260000000001E-2</v>
      </c>
      <c r="S685">
        <v>3.00116</v>
      </c>
      <c r="T685">
        <v>-9.3663930000000006E-2</v>
      </c>
      <c r="U685">
        <v>-0.35449219999999998</v>
      </c>
      <c r="V685">
        <v>2.959293E-2</v>
      </c>
      <c r="W685">
        <v>5.7864100000000002E-2</v>
      </c>
      <c r="X685">
        <v>0.99788580000000004</v>
      </c>
      <c r="Y685">
        <v>0.12525129999999901</v>
      </c>
      <c r="Z685">
        <v>-2.1982730000000002E-3</v>
      </c>
      <c r="AA685">
        <v>0.99212259999999997</v>
      </c>
      <c r="AB685">
        <v>32</v>
      </c>
      <c r="AC685">
        <v>36.9893</v>
      </c>
      <c r="AD685">
        <v>-1.1598820000000001</v>
      </c>
      <c r="AE685">
        <v>-4.3913000000000002</v>
      </c>
      <c r="AF685">
        <v>4.6851887732055104</v>
      </c>
      <c r="AG685">
        <v>-1.1598820000000001</v>
      </c>
      <c r="AH685">
        <v>36.916853767686398</v>
      </c>
      <c r="AI685">
        <v>91.785260259680101</v>
      </c>
      <c r="AJ685">
        <v>82.767149542088006</v>
      </c>
      <c r="AK685">
        <v>37.2310409765727</v>
      </c>
      <c r="AL685">
        <v>86.682778484002199</v>
      </c>
      <c r="AM685">
        <v>88.301355525330607</v>
      </c>
      <c r="AN685">
        <v>1.0000000327082099</v>
      </c>
    </row>
    <row r="686" spans="1:40" x14ac:dyDescent="0.25">
      <c r="A686" t="str">
        <f>"20190312150959841"</f>
        <v>20190312150959841</v>
      </c>
      <c r="B686" t="str">
        <f>"1552374599831692"</f>
        <v>1552374599831692</v>
      </c>
      <c r="C686" t="s">
        <v>40</v>
      </c>
      <c r="D686">
        <v>5.2540060000000004</v>
      </c>
      <c r="E686">
        <v>0.53649880000000005</v>
      </c>
      <c r="F686" t="s">
        <v>43</v>
      </c>
      <c r="G686">
        <v>-316.49599999999998</v>
      </c>
      <c r="H686">
        <v>-0.05</v>
      </c>
      <c r="I686">
        <v>363.00330000000002</v>
      </c>
      <c r="J686">
        <v>-352.81889999999999</v>
      </c>
      <c r="K686">
        <v>1.1098950000000001</v>
      </c>
      <c r="L686">
        <v>367.34</v>
      </c>
      <c r="M686">
        <v>0.9999207</v>
      </c>
      <c r="N686">
        <v>0</v>
      </c>
      <c r="O686">
        <v>8.1387660000000004E-3</v>
      </c>
      <c r="P686">
        <v>0.99859290000000001</v>
      </c>
      <c r="Q686">
        <v>4.8320450000000001E-2</v>
      </c>
      <c r="R686">
        <v>-2.1862139999999999E-2</v>
      </c>
      <c r="S686">
        <v>3.0011290000000002</v>
      </c>
      <c r="T686">
        <v>-9.5350740000000003E-2</v>
      </c>
      <c r="U686">
        <v>-0.35638429999999999</v>
      </c>
      <c r="V686">
        <v>2.9975729999999999E-2</v>
      </c>
      <c r="W686">
        <v>5.7930269999999999E-2</v>
      </c>
      <c r="X686">
        <v>0.99787049999999999</v>
      </c>
      <c r="Y686">
        <v>0.1259333</v>
      </c>
      <c r="Z686">
        <v>-2.2507040000000001E-3</v>
      </c>
      <c r="AA686">
        <v>0.99203620000000003</v>
      </c>
      <c r="AB686">
        <v>32</v>
      </c>
      <c r="AC686">
        <v>36.322899999999997</v>
      </c>
      <c r="AD686">
        <v>-1.1598949999999999</v>
      </c>
      <c r="AE686">
        <v>-4.3366999999999498</v>
      </c>
      <c r="AF686">
        <v>4.6275411622041096</v>
      </c>
      <c r="AG686">
        <v>-1.1598949999999999</v>
      </c>
      <c r="AH686">
        <v>36.249954946342903</v>
      </c>
      <c r="AI686">
        <v>91.817933195176494</v>
      </c>
      <c r="AJ686">
        <v>82.725170255493694</v>
      </c>
      <c r="AK686">
        <v>36.562531739894702</v>
      </c>
      <c r="AL686">
        <v>86.678980735571301</v>
      </c>
      <c r="AM686">
        <v>88.279369430263202</v>
      </c>
      <c r="AN686">
        <v>0.99999999767077796</v>
      </c>
    </row>
    <row r="687" spans="1:40" x14ac:dyDescent="0.25">
      <c r="A687" t="str">
        <f>"20190312150959853"</f>
        <v>20190312150959853</v>
      </c>
      <c r="B687" t="str">
        <f>"1552374599841452"</f>
        <v>1552374599841452</v>
      </c>
      <c r="C687" t="s">
        <v>40</v>
      </c>
      <c r="D687">
        <v>5.2085910000000002</v>
      </c>
      <c r="E687">
        <v>0.53665689999999999</v>
      </c>
      <c r="F687" t="s">
        <v>43</v>
      </c>
      <c r="G687">
        <v>-316.51830000000001</v>
      </c>
      <c r="H687">
        <v>-0.05</v>
      </c>
      <c r="I687">
        <v>363.0027</v>
      </c>
      <c r="J687">
        <v>-352.6447</v>
      </c>
      <c r="K687">
        <v>1.1099129999999999</v>
      </c>
      <c r="L687">
        <v>367.3415</v>
      </c>
      <c r="M687">
        <v>0.99991890000000005</v>
      </c>
      <c r="N687">
        <v>0</v>
      </c>
      <c r="O687">
        <v>8.2048269999999996E-3</v>
      </c>
      <c r="P687">
        <v>0.99860139999999997</v>
      </c>
      <c r="Q687">
        <v>4.8075319999999998E-2</v>
      </c>
      <c r="R687">
        <v>-2.1999990000000001E-2</v>
      </c>
      <c r="S687">
        <v>3.0010680000000001</v>
      </c>
      <c r="T687">
        <v>-9.5891589999999999E-2</v>
      </c>
      <c r="U687">
        <v>-0.3585815</v>
      </c>
      <c r="V687">
        <v>3.017972E-2</v>
      </c>
      <c r="W687">
        <v>5.7806499999999997E-2</v>
      </c>
      <c r="X687">
        <v>0.99787150000000002</v>
      </c>
      <c r="Y687">
        <v>0.1267162</v>
      </c>
      <c r="Z687">
        <v>-2.277977E-3</v>
      </c>
      <c r="AA687">
        <v>0.99193640000000005</v>
      </c>
      <c r="AB687">
        <v>32</v>
      </c>
      <c r="AC687">
        <v>36.126399999999897</v>
      </c>
      <c r="AD687">
        <v>-1.159913</v>
      </c>
      <c r="AE687">
        <v>-4.3387999999999902</v>
      </c>
      <c r="AF687">
        <v>4.6303734507649104</v>
      </c>
      <c r="AG687">
        <v>-1.159913</v>
      </c>
      <c r="AH687">
        <v>36.052945841182201</v>
      </c>
      <c r="AI687">
        <v>91.827710211537706</v>
      </c>
      <c r="AJ687">
        <v>82.681418606958005</v>
      </c>
      <c r="AK687">
        <v>36.367577047259203</v>
      </c>
      <c r="AL687">
        <v>86.686084041931394</v>
      </c>
      <c r="AM687">
        <v>88.267669088743204</v>
      </c>
      <c r="AN687">
        <v>0.99999996872688801</v>
      </c>
    </row>
    <row r="688" spans="1:40" x14ac:dyDescent="0.25">
      <c r="A688" t="str">
        <f>"20190312150959870"</f>
        <v>20190312150959870</v>
      </c>
      <c r="B688" t="str">
        <f>"1552374599860972"</f>
        <v>1552374599860972</v>
      </c>
      <c r="C688" t="s">
        <v>40</v>
      </c>
      <c r="D688">
        <v>5.2808619999999999</v>
      </c>
      <c r="E688">
        <v>0.53684639999999995</v>
      </c>
      <c r="F688" t="s">
        <v>43</v>
      </c>
      <c r="G688">
        <v>-316.81700000000001</v>
      </c>
      <c r="H688">
        <v>-0.05</v>
      </c>
      <c r="I688">
        <v>363.04230000000001</v>
      </c>
      <c r="J688">
        <v>-352.40109999999999</v>
      </c>
      <c r="K688">
        <v>1.1099399999999999</v>
      </c>
      <c r="L688">
        <v>367.34359999999998</v>
      </c>
      <c r="M688">
        <v>0.99991640000000004</v>
      </c>
      <c r="N688">
        <v>0</v>
      </c>
      <c r="O688">
        <v>8.2958119999999996E-3</v>
      </c>
      <c r="P688">
        <v>0.99861100000000003</v>
      </c>
      <c r="Q688">
        <v>4.7732789999999997E-2</v>
      </c>
      <c r="R688">
        <v>-2.2315249999999998E-2</v>
      </c>
      <c r="S688">
        <v>3.0009769999999998</v>
      </c>
      <c r="T688">
        <v>-9.715617E-2</v>
      </c>
      <c r="U688">
        <v>-0.36010740000000002</v>
      </c>
      <c r="V688">
        <v>3.058574E-2</v>
      </c>
      <c r="W688">
        <v>5.7644170000000002E-2</v>
      </c>
      <c r="X688">
        <v>0.99786850000000005</v>
      </c>
      <c r="Y688">
        <v>0.127305</v>
      </c>
      <c r="Z688">
        <v>-2.3204329999999998E-3</v>
      </c>
      <c r="AA688">
        <v>0.99186090000000005</v>
      </c>
      <c r="AB688">
        <v>32</v>
      </c>
      <c r="AC688">
        <v>35.5840999999999</v>
      </c>
      <c r="AD688">
        <v>-1.15994</v>
      </c>
      <c r="AE688">
        <v>-4.3012999999999604</v>
      </c>
      <c r="AF688">
        <v>4.5915568907065296</v>
      </c>
      <c r="AG688">
        <v>-1.15994</v>
      </c>
      <c r="AH688">
        <v>35.510002245939702</v>
      </c>
      <c r="AI688">
        <v>91.855474813104905</v>
      </c>
      <c r="AJ688">
        <v>82.632351614976102</v>
      </c>
      <c r="AK688">
        <v>35.824406694191502</v>
      </c>
      <c r="AL688">
        <v>86.695400307941</v>
      </c>
      <c r="AM688">
        <v>88.244372552665396</v>
      </c>
      <c r="AN688">
        <v>0.99999994055929098</v>
      </c>
    </row>
    <row r="689" spans="1:40" x14ac:dyDescent="0.25">
      <c r="A689" t="str">
        <f>"20190312150959883"</f>
        <v>20190312150959883</v>
      </c>
      <c r="B689" t="str">
        <f>"1552374599871707"</f>
        <v>1552374599871707</v>
      </c>
      <c r="C689" t="s">
        <v>40</v>
      </c>
      <c r="D689">
        <v>5.2469010000000003</v>
      </c>
      <c r="E689">
        <v>0.53699790000000003</v>
      </c>
      <c r="F689" t="s">
        <v>43</v>
      </c>
      <c r="G689">
        <v>-316.21010000000001</v>
      </c>
      <c r="H689">
        <v>-0.05</v>
      </c>
      <c r="I689">
        <v>362.97019999999998</v>
      </c>
      <c r="J689">
        <v>-352.2176</v>
      </c>
      <c r="K689">
        <v>1.1099589999999999</v>
      </c>
      <c r="L689">
        <v>367.34519999999998</v>
      </c>
      <c r="M689">
        <v>0.99991459999999999</v>
      </c>
      <c r="N689">
        <v>0</v>
      </c>
      <c r="O689">
        <v>8.3631030000000002E-3</v>
      </c>
      <c r="P689">
        <v>0.99861279999999997</v>
      </c>
      <c r="Q689">
        <v>4.7560650000000003E-2</v>
      </c>
      <c r="R689">
        <v>-2.2596310000000001E-2</v>
      </c>
      <c r="S689">
        <v>3.000702</v>
      </c>
      <c r="T689">
        <v>-9.6173880000000003E-2</v>
      </c>
      <c r="U689">
        <v>-0.36260989999999999</v>
      </c>
      <c r="V689">
        <v>3.0934050000000001E-2</v>
      </c>
      <c r="W689">
        <v>5.7607510000000001E-2</v>
      </c>
      <c r="X689">
        <v>0.99785999999999997</v>
      </c>
      <c r="Y689">
        <v>0.1281987</v>
      </c>
      <c r="Z689">
        <v>-2.313496E-3</v>
      </c>
      <c r="AA689">
        <v>0.99174580000000001</v>
      </c>
      <c r="AB689">
        <v>32</v>
      </c>
      <c r="AC689">
        <v>36.007499999999901</v>
      </c>
      <c r="AD689">
        <v>-1.159959</v>
      </c>
      <c r="AE689">
        <v>-4.375</v>
      </c>
      <c r="AF689">
        <v>4.6712194942441299</v>
      </c>
      <c r="AG689">
        <v>-1.159959</v>
      </c>
      <c r="AH689">
        <v>35.932902781671601</v>
      </c>
      <c r="AI689">
        <v>91.833519997994799</v>
      </c>
      <c r="AJ689">
        <v>82.593178608823195</v>
      </c>
      <c r="AK689">
        <v>36.253817712927102</v>
      </c>
      <c r="AL689">
        <v>86.697504662913005</v>
      </c>
      <c r="AM689">
        <v>88.224377101666605</v>
      </c>
      <c r="AN689">
        <v>1.0000000601288901</v>
      </c>
    </row>
    <row r="690" spans="1:40" x14ac:dyDescent="0.25">
      <c r="A690" t="str">
        <f>"20190312150959894"</f>
        <v>20190312150959894</v>
      </c>
      <c r="B690" t="str">
        <f>"1552374599891228"</f>
        <v>1552374599891228</v>
      </c>
      <c r="C690" t="s">
        <v>40</v>
      </c>
      <c r="D690">
        <v>5.3192059999999897</v>
      </c>
      <c r="E690">
        <v>0.53729229999999994</v>
      </c>
      <c r="F690" t="s">
        <v>43</v>
      </c>
      <c r="G690">
        <v>-316.4744</v>
      </c>
      <c r="H690">
        <v>-0.05</v>
      </c>
      <c r="I690">
        <v>362.9984</v>
      </c>
      <c r="J690">
        <v>-352.04390000000001</v>
      </c>
      <c r="K690">
        <v>1.1099779999999999</v>
      </c>
      <c r="L690">
        <v>367.3467</v>
      </c>
      <c r="M690">
        <v>0.99991269999999999</v>
      </c>
      <c r="N690">
        <v>0</v>
      </c>
      <c r="O690">
        <v>8.4259780000000006E-3</v>
      </c>
      <c r="P690">
        <v>0.99862119999999999</v>
      </c>
      <c r="Q690">
        <v>4.7279719999999997E-2</v>
      </c>
      <c r="R690">
        <v>-2.2816779999999998E-2</v>
      </c>
      <c r="S690">
        <v>3.0005190000000002</v>
      </c>
      <c r="T690">
        <v>-9.7374680000000005E-2</v>
      </c>
      <c r="U690">
        <v>-0.36489870000000002</v>
      </c>
      <c r="V690">
        <v>3.1217120000000001E-2</v>
      </c>
      <c r="W690">
        <v>5.7450889999999998E-2</v>
      </c>
      <c r="X690">
        <v>0.99786010000000003</v>
      </c>
      <c r="Y690">
        <v>0.1290116</v>
      </c>
      <c r="Z690">
        <v>-2.357573E-3</v>
      </c>
      <c r="AA690">
        <v>0.99164030000000003</v>
      </c>
      <c r="AB690">
        <v>32</v>
      </c>
      <c r="AC690">
        <v>35.569499999999998</v>
      </c>
      <c r="AD690">
        <v>-1.159978</v>
      </c>
      <c r="AE690">
        <v>-4.3482999999999903</v>
      </c>
      <c r="AF690">
        <v>4.6430037727717401</v>
      </c>
      <c r="AG690">
        <v>-1.159978</v>
      </c>
      <c r="AH690">
        <v>35.494403574483499</v>
      </c>
      <c r="AI690">
        <v>91.855993112269303</v>
      </c>
      <c r="AJ690">
        <v>82.547484718520494</v>
      </c>
      <c r="AK690">
        <v>35.815579265213202</v>
      </c>
      <c r="AL690">
        <v>86.706492838539802</v>
      </c>
      <c r="AM690">
        <v>88.208139530429094</v>
      </c>
      <c r="AN690">
        <v>0.99999994625744604</v>
      </c>
    </row>
    <row r="691" spans="1:40" x14ac:dyDescent="0.25">
      <c r="A691" t="str">
        <f>"20190312150959906"</f>
        <v>20190312150959906</v>
      </c>
      <c r="B691" t="str">
        <f>"1552374599900988"</f>
        <v>1552374599900988</v>
      </c>
      <c r="C691" t="s">
        <v>40</v>
      </c>
      <c r="D691">
        <v>5.2071300000000003</v>
      </c>
      <c r="E691">
        <v>0.53733129999999996</v>
      </c>
      <c r="F691" t="s">
        <v>43</v>
      </c>
      <c r="G691">
        <v>-316.87979999999999</v>
      </c>
      <c r="H691">
        <v>-0.05</v>
      </c>
      <c r="I691">
        <v>363.03620000000001</v>
      </c>
      <c r="J691">
        <v>-351.87880000000001</v>
      </c>
      <c r="K691">
        <v>1.1099950000000001</v>
      </c>
      <c r="L691">
        <v>367.34809999999999</v>
      </c>
      <c r="M691">
        <v>0.99991110000000005</v>
      </c>
      <c r="N691">
        <v>0</v>
      </c>
      <c r="O691">
        <v>8.4850389999999998E-3</v>
      </c>
      <c r="P691">
        <v>0.99862169999999895</v>
      </c>
      <c r="Q691">
        <v>4.7204370000000002E-2</v>
      </c>
      <c r="R691">
        <v>-2.295055E-2</v>
      </c>
      <c r="S691">
        <v>3.0004270000000002</v>
      </c>
      <c r="T691">
        <v>-9.8976850000000005E-2</v>
      </c>
      <c r="U691">
        <v>-0.36779790000000001</v>
      </c>
      <c r="V691">
        <v>3.1409520000000003E-2</v>
      </c>
      <c r="W691">
        <v>5.7486599999999999E-2</v>
      </c>
      <c r="X691">
        <v>0.99785210000000002</v>
      </c>
      <c r="Y691">
        <v>0.13001489999999999</v>
      </c>
      <c r="Z691">
        <v>-2.4147000000000001E-3</v>
      </c>
      <c r="AA691">
        <v>0.99150910000000003</v>
      </c>
      <c r="AB691">
        <v>32</v>
      </c>
      <c r="AC691">
        <v>34.999000000000002</v>
      </c>
      <c r="AD691">
        <v>-1.1599950000000001</v>
      </c>
      <c r="AE691">
        <v>-4.3118999999999801</v>
      </c>
      <c r="AF691">
        <v>4.6037467381398596</v>
      </c>
      <c r="AG691">
        <v>-1.1599950000000001</v>
      </c>
      <c r="AH691">
        <v>34.923361573342802</v>
      </c>
      <c r="AI691">
        <v>91.886099947605501</v>
      </c>
      <c r="AJ691">
        <v>82.490325907411304</v>
      </c>
      <c r="AK691">
        <v>35.244591868985999</v>
      </c>
      <c r="AL691">
        <v>86.7044437293454</v>
      </c>
      <c r="AM691">
        <v>88.197088605578898</v>
      </c>
      <c r="AN691">
        <v>1.00000004030029</v>
      </c>
    </row>
    <row r="692" spans="1:40" x14ac:dyDescent="0.25">
      <c r="A692" t="str">
        <f>"20190312150959919"</f>
        <v>20190312150959919</v>
      </c>
      <c r="B692" t="str">
        <f>"1552374599911724"</f>
        <v>1552374599911724</v>
      </c>
      <c r="C692" t="s">
        <v>40</v>
      </c>
      <c r="D692">
        <v>5.2190510000000003</v>
      </c>
      <c r="E692">
        <v>0.53743469999999904</v>
      </c>
      <c r="F692" t="s">
        <v>43</v>
      </c>
      <c r="G692">
        <v>-316.37430000000001</v>
      </c>
      <c r="H692">
        <v>-0.05</v>
      </c>
      <c r="I692">
        <v>362.98419999999999</v>
      </c>
      <c r="J692">
        <v>-351.69880000000001</v>
      </c>
      <c r="K692">
        <v>1.1100099999999999</v>
      </c>
      <c r="L692">
        <v>367.34980000000002</v>
      </c>
      <c r="M692">
        <v>0.99990919999999905</v>
      </c>
      <c r="N692">
        <v>0</v>
      </c>
      <c r="O692">
        <v>8.5490669999999901E-3</v>
      </c>
      <c r="P692">
        <v>0.99861279999999997</v>
      </c>
      <c r="Q692">
        <v>4.7306239999999999E-2</v>
      </c>
      <c r="R692">
        <v>-2.312144E-2</v>
      </c>
      <c r="S692">
        <v>3.000305</v>
      </c>
      <c r="T692">
        <v>-9.8025319999999999E-2</v>
      </c>
      <c r="U692">
        <v>-0.3687744</v>
      </c>
      <c r="V692">
        <v>3.1644180000000001E-2</v>
      </c>
      <c r="W692">
        <v>5.7706529999999999E-2</v>
      </c>
      <c r="X692">
        <v>0.99783189999999999</v>
      </c>
      <c r="Y692">
        <v>0.1304024</v>
      </c>
      <c r="Z692">
        <v>-2.399937E-3</v>
      </c>
      <c r="AA692">
        <v>0.99145819999999996</v>
      </c>
      <c r="AB692">
        <v>32</v>
      </c>
      <c r="AC692">
        <v>35.3245</v>
      </c>
      <c r="AD692">
        <v>-1.16001</v>
      </c>
      <c r="AE692">
        <v>-4.3656000000000201</v>
      </c>
      <c r="AF692">
        <v>4.6624960495277596</v>
      </c>
      <c r="AG692">
        <v>-1.16001</v>
      </c>
      <c r="AH692">
        <v>35.248445774528498</v>
      </c>
      <c r="AI692">
        <v>91.868632347523203</v>
      </c>
      <c r="AJ692">
        <v>82.464931129088697</v>
      </c>
      <c r="AK692">
        <v>35.5743927865514</v>
      </c>
      <c r="AL692">
        <v>86.691821414012594</v>
      </c>
      <c r="AM692">
        <v>88.183591328131001</v>
      </c>
      <c r="AN692">
        <v>0.99999994919505997</v>
      </c>
    </row>
    <row r="693" spans="1:40" x14ac:dyDescent="0.25">
      <c r="A693" t="str">
        <f>"20190312150959931"</f>
        <v>20190312150959931</v>
      </c>
      <c r="B693" t="str">
        <f>"1552374599921485"</f>
        <v>1552374599921485</v>
      </c>
      <c r="C693" t="s">
        <v>40</v>
      </c>
      <c r="D693">
        <v>5.3216409999999996</v>
      </c>
      <c r="E693">
        <v>0.53750509999999996</v>
      </c>
      <c r="F693" t="s">
        <v>43</v>
      </c>
      <c r="G693">
        <v>-316.3263</v>
      </c>
      <c r="H693">
        <v>-0.05</v>
      </c>
      <c r="I693">
        <v>362.98719999999997</v>
      </c>
      <c r="J693">
        <v>-351.50779999999997</v>
      </c>
      <c r="K693">
        <v>1.1100239999999999</v>
      </c>
      <c r="L693">
        <v>367.35149999999999</v>
      </c>
      <c r="M693">
        <v>0.99990760000000001</v>
      </c>
      <c r="N693">
        <v>0</v>
      </c>
      <c r="O693">
        <v>8.6157739999999997E-3</v>
      </c>
      <c r="P693">
        <v>0.99861460000000002</v>
      </c>
      <c r="Q693">
        <v>4.7060119999999997E-2</v>
      </c>
      <c r="R693">
        <v>-2.3544860000000001E-2</v>
      </c>
      <c r="S693">
        <v>3.0002439999999999</v>
      </c>
      <c r="T693">
        <v>-9.8390459999999999E-2</v>
      </c>
      <c r="U693">
        <v>-0.37002560000000001</v>
      </c>
      <c r="V693">
        <v>3.2134129999999997E-2</v>
      </c>
      <c r="W693">
        <v>5.7576099999999998E-2</v>
      </c>
      <c r="X693">
        <v>0.99782380000000004</v>
      </c>
      <c r="Y693">
        <v>0.13087750000000001</v>
      </c>
      <c r="Z693">
        <v>-2.4187969999999999E-3</v>
      </c>
      <c r="AA693">
        <v>0.99139560000000004</v>
      </c>
      <c r="AB693">
        <v>32</v>
      </c>
      <c r="AC693">
        <v>35.1814999999999</v>
      </c>
      <c r="AD693">
        <v>-1.1600239999999999</v>
      </c>
      <c r="AE693">
        <v>-4.3643000000000098</v>
      </c>
      <c r="AF693">
        <v>4.6622786444757898</v>
      </c>
      <c r="AG693">
        <v>-1.1600239999999999</v>
      </c>
      <c r="AH693">
        <v>35.105002770108499</v>
      </c>
      <c r="AI693">
        <v>91.876154490624003</v>
      </c>
      <c r="AJ693">
        <v>82.434846590062506</v>
      </c>
      <c r="AK693">
        <v>35.432241212328599</v>
      </c>
      <c r="AL693">
        <v>86.699307026439698</v>
      </c>
      <c r="AM693">
        <v>88.155472007596501</v>
      </c>
      <c r="AN693">
        <v>0.99999997272425301</v>
      </c>
    </row>
    <row r="694" spans="1:40" x14ac:dyDescent="0.25">
      <c r="A694" t="str">
        <f>"20190312150959949"</f>
        <v>20190312150959949</v>
      </c>
      <c r="B694" t="str">
        <f>"1552374599941003"</f>
        <v>1552374599941003</v>
      </c>
      <c r="C694" t="s">
        <v>40</v>
      </c>
      <c r="D694">
        <v>5.3858800000000002</v>
      </c>
      <c r="E694">
        <v>0.53780689999999998</v>
      </c>
      <c r="F694" t="s">
        <v>43</v>
      </c>
      <c r="G694">
        <v>-316.05759999999998</v>
      </c>
      <c r="H694">
        <v>-0.05</v>
      </c>
      <c r="I694">
        <v>362.95949999999999</v>
      </c>
      <c r="J694">
        <v>-351.25069999999999</v>
      </c>
      <c r="K694">
        <v>1.110039</v>
      </c>
      <c r="L694">
        <v>367.35390000000001</v>
      </c>
      <c r="M694">
        <v>0.99990520000000005</v>
      </c>
      <c r="N694">
        <v>0</v>
      </c>
      <c r="O694">
        <v>8.7098109999999996E-3</v>
      </c>
      <c r="P694">
        <v>0.99859830000000005</v>
      </c>
      <c r="Q694">
        <v>4.7077460000000002E-2</v>
      </c>
      <c r="R694">
        <v>-2.4199990000000001E-2</v>
      </c>
      <c r="S694">
        <v>3</v>
      </c>
      <c r="T694">
        <v>-9.8168019999999995E-2</v>
      </c>
      <c r="U694">
        <v>-0.37167359999999999</v>
      </c>
      <c r="V694">
        <v>3.2882939999999999E-2</v>
      </c>
      <c r="W694">
        <v>5.7740809999999997E-2</v>
      </c>
      <c r="X694">
        <v>0.99778990000000001</v>
      </c>
      <c r="Y694">
        <v>0.13151679999999999</v>
      </c>
      <c r="Z694">
        <v>-2.4269299999999999E-3</v>
      </c>
      <c r="AA694">
        <v>0.99131100000000005</v>
      </c>
      <c r="AB694">
        <v>32</v>
      </c>
      <c r="AC694">
        <v>35.193100000000001</v>
      </c>
      <c r="AD694">
        <v>-1.160039</v>
      </c>
      <c r="AE694">
        <v>-4.3944000000000099</v>
      </c>
      <c r="AF694">
        <v>4.6957523634262603</v>
      </c>
      <c r="AG694">
        <v>-1.160039</v>
      </c>
      <c r="AH694">
        <v>35.1159206135886</v>
      </c>
      <c r="AI694">
        <v>91.875372038576202</v>
      </c>
      <c r="AJ694">
        <v>82.383507856360197</v>
      </c>
      <c r="AK694">
        <v>35.447477502355603</v>
      </c>
      <c r="AL694">
        <v>86.689854158505</v>
      </c>
      <c r="AM694">
        <v>88.112456295190697</v>
      </c>
      <c r="AN694">
        <v>0.99999998671225399</v>
      </c>
    </row>
    <row r="695" spans="1:40" x14ac:dyDescent="0.25">
      <c r="A695" t="str">
        <f>"20190312150959962"</f>
        <v>20190312150959962</v>
      </c>
      <c r="B695" t="str">
        <f>"1552374599951740"</f>
        <v>1552374599951740</v>
      </c>
      <c r="C695" t="s">
        <v>40</v>
      </c>
      <c r="D695">
        <v>5.3273960000000002</v>
      </c>
      <c r="E695">
        <v>0.53788579999999997</v>
      </c>
      <c r="F695" t="s">
        <v>43</v>
      </c>
      <c r="G695">
        <v>-315.8254</v>
      </c>
      <c r="H695">
        <v>-0.05</v>
      </c>
      <c r="I695">
        <v>362.91109999999998</v>
      </c>
      <c r="J695">
        <v>-351.07279999999997</v>
      </c>
      <c r="K695">
        <v>1.1100449999999999</v>
      </c>
      <c r="L695">
        <v>367.35550000000001</v>
      </c>
      <c r="M695">
        <v>0.9999036</v>
      </c>
      <c r="N695">
        <v>0</v>
      </c>
      <c r="O695">
        <v>8.777633E-3</v>
      </c>
      <c r="P695">
        <v>0.99859120000000001</v>
      </c>
      <c r="Q695">
        <v>4.697225E-2</v>
      </c>
      <c r="R695">
        <v>-2.4686550000000002E-2</v>
      </c>
      <c r="S695">
        <v>2.999695</v>
      </c>
      <c r="T695">
        <v>-9.8228099999999999E-2</v>
      </c>
      <c r="U695">
        <v>-0.37619019999999997</v>
      </c>
      <c r="V695">
        <v>3.343749E-2</v>
      </c>
      <c r="W695">
        <v>5.7731289999999998E-2</v>
      </c>
      <c r="X695">
        <v>0.99777199999999999</v>
      </c>
      <c r="Y695">
        <v>0.13306509999999999</v>
      </c>
      <c r="Z695">
        <v>-2.4558900000000001E-3</v>
      </c>
      <c r="AA695">
        <v>0.99110419999999999</v>
      </c>
      <c r="AB695">
        <v>32</v>
      </c>
      <c r="AC695">
        <v>35.247399999999899</v>
      </c>
      <c r="AD695">
        <v>-1.160045</v>
      </c>
      <c r="AE695">
        <v>-4.4444000000000301</v>
      </c>
      <c r="AF695">
        <v>4.7485724104858598</v>
      </c>
      <c r="AG695">
        <v>-1.160045</v>
      </c>
      <c r="AH695">
        <v>35.169530103475303</v>
      </c>
      <c r="AI695">
        <v>91.872204539917206</v>
      </c>
      <c r="AJ695">
        <v>82.310454897892498</v>
      </c>
      <c r="AK695">
        <v>35.507611747890202</v>
      </c>
      <c r="AL695">
        <v>86.690400456394102</v>
      </c>
      <c r="AM695">
        <v>88.080613268103306</v>
      </c>
      <c r="AN695">
        <v>0.99999996578328099</v>
      </c>
    </row>
    <row r="696" spans="1:40" x14ac:dyDescent="0.25">
      <c r="A696" t="str">
        <f>"20190312150959976"</f>
        <v>20190312150959976</v>
      </c>
      <c r="B696" t="str">
        <f>"1552374599971260"</f>
        <v>1552374599971260</v>
      </c>
      <c r="C696" t="s">
        <v>40</v>
      </c>
      <c r="D696">
        <v>5.2794860000000003</v>
      </c>
      <c r="E696">
        <v>0.53807579999999999</v>
      </c>
      <c r="F696" t="s">
        <v>43</v>
      </c>
      <c r="G696">
        <v>-315.4119</v>
      </c>
      <c r="H696">
        <v>-0.05</v>
      </c>
      <c r="I696">
        <v>362.86189999999999</v>
      </c>
      <c r="J696">
        <v>-350.8682</v>
      </c>
      <c r="K696">
        <v>1.11005</v>
      </c>
      <c r="L696">
        <v>367.35739999999998</v>
      </c>
      <c r="M696">
        <v>0.9999017</v>
      </c>
      <c r="N696">
        <v>0</v>
      </c>
      <c r="O696">
        <v>8.8583889999999995E-3</v>
      </c>
      <c r="P696">
        <v>0.99858420000000003</v>
      </c>
      <c r="Q696">
        <v>4.700182E-2</v>
      </c>
      <c r="R696">
        <v>-2.4908429999999999E-2</v>
      </c>
      <c r="S696">
        <v>2.9994809999999998</v>
      </c>
      <c r="T696">
        <v>-9.7572679999999995E-2</v>
      </c>
      <c r="U696">
        <v>-0.37796020000000002</v>
      </c>
      <c r="V696">
        <v>3.374071E-2</v>
      </c>
      <c r="W696">
        <v>5.7865050000000001E-2</v>
      </c>
      <c r="X696">
        <v>0.99775409999999998</v>
      </c>
      <c r="Y696">
        <v>0.13373009999999999</v>
      </c>
      <c r="Z696">
        <v>-2.452985E-3</v>
      </c>
      <c r="AA696">
        <v>0.99101470000000003</v>
      </c>
      <c r="AB696">
        <v>32</v>
      </c>
      <c r="AC696">
        <v>35.456299999999999</v>
      </c>
      <c r="AD696">
        <v>-1.16005</v>
      </c>
      <c r="AE696">
        <v>-4.4954999999999901</v>
      </c>
      <c r="AF696">
        <v>4.8043663718620602</v>
      </c>
      <c r="AG696">
        <v>-1.16005</v>
      </c>
      <c r="AH696">
        <v>35.377812381880297</v>
      </c>
      <c r="AI696">
        <v>91.861004536548705</v>
      </c>
      <c r="AJ696">
        <v>82.266446271447805</v>
      </c>
      <c r="AK696">
        <v>35.721383808093201</v>
      </c>
      <c r="AL696">
        <v>86.682723925414706</v>
      </c>
      <c r="AM696">
        <v>88.063186238288694</v>
      </c>
      <c r="AN696">
        <v>1.0000000217948</v>
      </c>
    </row>
    <row r="697" spans="1:40" x14ac:dyDescent="0.25">
      <c r="A697" t="str">
        <f>"20190312150959997"</f>
        <v>20190312150959997</v>
      </c>
      <c r="B697" t="str">
        <f>"1552374599991756"</f>
        <v>1552374599991756</v>
      </c>
      <c r="C697" t="s">
        <v>40</v>
      </c>
      <c r="D697">
        <v>5.2819789999999998</v>
      </c>
      <c r="E697">
        <v>0.53818449999999995</v>
      </c>
      <c r="F697" t="s">
        <v>43</v>
      </c>
      <c r="G697">
        <v>-314.61680000000001</v>
      </c>
      <c r="H697">
        <v>-0.05</v>
      </c>
      <c r="I697">
        <v>362.75779999999997</v>
      </c>
      <c r="J697">
        <v>-350.5829</v>
      </c>
      <c r="K697">
        <v>1.1100589999999999</v>
      </c>
      <c r="L697">
        <v>367.36</v>
      </c>
      <c r="M697">
        <v>0.99989930000000005</v>
      </c>
      <c r="N697">
        <v>0</v>
      </c>
      <c r="O697">
        <v>8.9712960000000001E-3</v>
      </c>
      <c r="P697">
        <v>0.99855360000000004</v>
      </c>
      <c r="Q697">
        <v>4.7406129999999998E-2</v>
      </c>
      <c r="R697">
        <v>-2.5367399999999998E-2</v>
      </c>
      <c r="S697">
        <v>2.999298</v>
      </c>
      <c r="T697">
        <v>-9.5977900000000005E-2</v>
      </c>
      <c r="U697">
        <v>-0.38055420000000001</v>
      </c>
      <c r="V697">
        <v>3.4312269999999999E-2</v>
      </c>
      <c r="W697">
        <v>5.840012E-2</v>
      </c>
      <c r="X697">
        <v>0.99770340000000002</v>
      </c>
      <c r="Y697">
        <v>0.13469500000000001</v>
      </c>
      <c r="Z697">
        <v>-2.431899E-3</v>
      </c>
      <c r="AA697">
        <v>0.99088410000000005</v>
      </c>
      <c r="AB697">
        <v>32</v>
      </c>
      <c r="AC697">
        <v>35.966099999999898</v>
      </c>
      <c r="AD697">
        <v>-1.160059</v>
      </c>
      <c r="AE697">
        <v>-4.60220000000003</v>
      </c>
      <c r="AF697">
        <v>4.9196611615382899</v>
      </c>
      <c r="AG697">
        <v>-1.160059</v>
      </c>
      <c r="AH697">
        <v>35.886629558903401</v>
      </c>
      <c r="AI697">
        <v>91.834334628202598</v>
      </c>
      <c r="AJ697">
        <v>82.194037946181894</v>
      </c>
      <c r="AK697">
        <v>36.240846898572698</v>
      </c>
      <c r="AL697">
        <v>86.652014633652001</v>
      </c>
      <c r="AM697">
        <v>88.030302667543296</v>
      </c>
      <c r="AN697">
        <v>0.99999999013006302</v>
      </c>
    </row>
    <row r="698" spans="1:40" x14ac:dyDescent="0.25">
      <c r="A698" t="str">
        <f>"20190312151000017"</f>
        <v>20190312151000017</v>
      </c>
      <c r="B698" t="str">
        <f>"1552374600011276"</f>
        <v>1552374600011276</v>
      </c>
      <c r="C698" t="s">
        <v>40</v>
      </c>
      <c r="D698">
        <v>5.2979649999999996</v>
      </c>
      <c r="E698">
        <v>0.53846149999999904</v>
      </c>
      <c r="F698" t="s">
        <v>43</v>
      </c>
      <c r="G698">
        <v>-313.03609999999998</v>
      </c>
      <c r="H698">
        <v>-0.05</v>
      </c>
      <c r="I698">
        <v>362.56619999999998</v>
      </c>
      <c r="J698">
        <v>-350.28019999999998</v>
      </c>
      <c r="K698">
        <v>1.1100699999999999</v>
      </c>
      <c r="L698">
        <v>367.36290000000002</v>
      </c>
      <c r="M698">
        <v>0.99989680000000003</v>
      </c>
      <c r="N698">
        <v>0</v>
      </c>
      <c r="O698">
        <v>9.0883730000000003E-3</v>
      </c>
      <c r="P698">
        <v>0.99853559999999997</v>
      </c>
      <c r="Q698">
        <v>4.7600379999999998E-2</v>
      </c>
      <c r="R698">
        <v>-2.571025E-2</v>
      </c>
      <c r="S698">
        <v>2.9990540000000001</v>
      </c>
      <c r="T698">
        <v>-9.2660069999999997E-2</v>
      </c>
      <c r="U698">
        <v>-0.38290410000000002</v>
      </c>
      <c r="V698">
        <v>3.4771999999999997E-2</v>
      </c>
      <c r="W698">
        <v>5.8720000000000001E-2</v>
      </c>
      <c r="X698">
        <v>0.99766869999999996</v>
      </c>
      <c r="Y698">
        <v>0.1355895</v>
      </c>
      <c r="Z698">
        <v>-2.3653089999999999E-3</v>
      </c>
      <c r="AA698">
        <v>0.99076229999999998</v>
      </c>
      <c r="AB698">
        <v>32</v>
      </c>
      <c r="AC698">
        <v>37.244100000000003</v>
      </c>
      <c r="AD698">
        <v>-1.1600699999999999</v>
      </c>
      <c r="AE698">
        <v>-4.7967000000000404</v>
      </c>
      <c r="AF698">
        <v>5.13011515843937</v>
      </c>
      <c r="AG698">
        <v>-1.1600699999999999</v>
      </c>
      <c r="AH698">
        <v>37.1634976482258</v>
      </c>
      <c r="AI698">
        <v>91.771140274813405</v>
      </c>
      <c r="AJ698">
        <v>82.140460319673707</v>
      </c>
      <c r="AK698">
        <v>37.5338434135572</v>
      </c>
      <c r="AL698">
        <v>86.633655327707302</v>
      </c>
      <c r="AM698">
        <v>88.003863685194105</v>
      </c>
      <c r="AN698">
        <v>0.99999998267184398</v>
      </c>
    </row>
    <row r="699" spans="1:40" x14ac:dyDescent="0.25">
      <c r="A699" t="str">
        <f>"20190312151000039"</f>
        <v>20190312151000039</v>
      </c>
      <c r="B699" t="str">
        <f>"1552374600031772"</f>
        <v>1552374600031772</v>
      </c>
      <c r="C699" t="s">
        <v>40</v>
      </c>
      <c r="D699">
        <v>5.2853909999999997</v>
      </c>
      <c r="E699">
        <v>0.53871859999999905</v>
      </c>
      <c r="F699" t="s">
        <v>43</v>
      </c>
      <c r="G699">
        <v>-312.90589999999997</v>
      </c>
      <c r="H699">
        <v>-0.05</v>
      </c>
      <c r="I699">
        <v>362.5498</v>
      </c>
      <c r="J699">
        <v>-349.95949999999999</v>
      </c>
      <c r="K699">
        <v>1.110069</v>
      </c>
      <c r="L699">
        <v>367.36590000000001</v>
      </c>
      <c r="M699">
        <v>0.99989430000000001</v>
      </c>
      <c r="N699">
        <v>0</v>
      </c>
      <c r="O699">
        <v>9.2093820000000003E-3</v>
      </c>
      <c r="P699">
        <v>0.99849200000000005</v>
      </c>
      <c r="Q699">
        <v>4.8031659999999997E-2</v>
      </c>
      <c r="R699">
        <v>-2.6587670000000001E-2</v>
      </c>
      <c r="S699">
        <v>2.998901</v>
      </c>
      <c r="T699">
        <v>-9.3083739999999998E-2</v>
      </c>
      <c r="U699">
        <v>-0.38619999999999999</v>
      </c>
      <c r="V699">
        <v>3.5769509999999997E-2</v>
      </c>
      <c r="W699">
        <v>5.9267889999999997E-2</v>
      </c>
      <c r="X699">
        <v>0.99760099999999996</v>
      </c>
      <c r="Y699">
        <v>0.13678560000000001</v>
      </c>
      <c r="Z699">
        <v>-2.3982980000000001E-3</v>
      </c>
      <c r="AA699">
        <v>0.99059779999999997</v>
      </c>
      <c r="AB699">
        <v>32</v>
      </c>
      <c r="AC699">
        <v>37.053600000000003</v>
      </c>
      <c r="AD699">
        <v>-1.160069</v>
      </c>
      <c r="AE699">
        <v>-4.8160999999999996</v>
      </c>
      <c r="AF699">
        <v>5.1521919033305599</v>
      </c>
      <c r="AG699">
        <v>-1.160069</v>
      </c>
      <c r="AH699">
        <v>36.972035068733</v>
      </c>
      <c r="AI699">
        <v>91.779987230105206</v>
      </c>
      <c r="AJ699">
        <v>82.066708174602994</v>
      </c>
      <c r="AK699">
        <v>37.347318760750802</v>
      </c>
      <c r="AL699">
        <v>86.602208654704</v>
      </c>
      <c r="AM699">
        <v>87.946509307798195</v>
      </c>
      <c r="AN699">
        <v>0.99999994791584401</v>
      </c>
    </row>
    <row r="700" spans="1:40" x14ac:dyDescent="0.25">
      <c r="A700" t="str">
        <f>"20190312151000053"</f>
        <v>20190312151000053</v>
      </c>
      <c r="B700" t="str">
        <f>"1552374600041532"</f>
        <v>1552374600041532</v>
      </c>
      <c r="C700" t="s">
        <v>40</v>
      </c>
      <c r="D700">
        <v>5.262473</v>
      </c>
      <c r="E700">
        <v>0.5388444</v>
      </c>
      <c r="F700" t="s">
        <v>43</v>
      </c>
      <c r="G700">
        <v>-312.6857</v>
      </c>
      <c r="H700">
        <v>-0.05</v>
      </c>
      <c r="I700">
        <v>362.51029999999997</v>
      </c>
      <c r="J700">
        <v>-349.755</v>
      </c>
      <c r="K700">
        <v>1.1100719999999999</v>
      </c>
      <c r="L700">
        <v>367.36790000000002</v>
      </c>
      <c r="M700">
        <v>0.99989289999999997</v>
      </c>
      <c r="N700">
        <v>0</v>
      </c>
      <c r="O700">
        <v>9.2859039999999993E-3</v>
      </c>
      <c r="P700">
        <v>0.99848460000000006</v>
      </c>
      <c r="Q700">
        <v>4.8078910000000002E-2</v>
      </c>
      <c r="R700">
        <v>-2.6780310000000002E-2</v>
      </c>
      <c r="S700">
        <v>2.9986269999999999</v>
      </c>
      <c r="T700">
        <v>-9.332609E-2</v>
      </c>
      <c r="U700">
        <v>-0.390625</v>
      </c>
      <c r="V700">
        <v>3.6038300000000002E-2</v>
      </c>
      <c r="W700">
        <v>5.9381639999999999E-2</v>
      </c>
      <c r="X700">
        <v>0.99758460000000004</v>
      </c>
      <c r="Y700">
        <v>0.1383094</v>
      </c>
      <c r="Z700">
        <v>-2.4305099999999999E-3</v>
      </c>
      <c r="AA700">
        <v>0.99038610000000005</v>
      </c>
      <c r="AB700">
        <v>32</v>
      </c>
      <c r="AC700">
        <v>37.069299999999998</v>
      </c>
      <c r="AD700">
        <v>-1.160072</v>
      </c>
      <c r="AE700">
        <v>-4.8576000000000397</v>
      </c>
      <c r="AF700">
        <v>5.1966310845616102</v>
      </c>
      <c r="AG700">
        <v>-1.160072</v>
      </c>
      <c r="AH700">
        <v>36.986979516527597</v>
      </c>
      <c r="AI700">
        <v>91.778993659285405</v>
      </c>
      <c r="AJ700">
        <v>82.002354413003204</v>
      </c>
      <c r="AK700">
        <v>37.368267225418002</v>
      </c>
      <c r="AL700">
        <v>86.595679890801094</v>
      </c>
      <c r="AM700">
        <v>87.931057728279796</v>
      </c>
      <c r="AN700">
        <v>0.99999998619656905</v>
      </c>
    </row>
    <row r="701" spans="1:40" x14ac:dyDescent="0.25">
      <c r="A701" t="str">
        <f>"20190312151000072"</f>
        <v>20190312151000072</v>
      </c>
      <c r="B701" t="str">
        <f>"1552374600061052"</f>
        <v>1552374600061052</v>
      </c>
      <c r="C701" t="s">
        <v>40</v>
      </c>
      <c r="D701">
        <v>5.2721489999999998</v>
      </c>
      <c r="E701">
        <v>0.53870050000000003</v>
      </c>
      <c r="F701" t="s">
        <v>43</v>
      </c>
      <c r="G701">
        <v>-312.62549999999999</v>
      </c>
      <c r="H701">
        <v>-0.05</v>
      </c>
      <c r="I701">
        <v>362.51130000000001</v>
      </c>
      <c r="J701">
        <v>-349.4828</v>
      </c>
      <c r="K701">
        <v>1.1100840000000001</v>
      </c>
      <c r="L701">
        <v>367.37060000000002</v>
      </c>
      <c r="M701">
        <v>0.99989090000000003</v>
      </c>
      <c r="N701">
        <v>0</v>
      </c>
      <c r="O701">
        <v>9.3886200000000003E-3</v>
      </c>
      <c r="P701">
        <v>0.99846820000000003</v>
      </c>
      <c r="Q701">
        <v>4.8238450000000002E-2</v>
      </c>
      <c r="R701">
        <v>-2.709375E-2</v>
      </c>
      <c r="S701">
        <v>2.998535</v>
      </c>
      <c r="T701">
        <v>-9.3685980000000002E-2</v>
      </c>
      <c r="U701">
        <v>-0.3922119</v>
      </c>
      <c r="V701">
        <v>3.6454090000000001E-2</v>
      </c>
      <c r="W701">
        <v>5.962249E-2</v>
      </c>
      <c r="X701">
        <v>0.99755510000000003</v>
      </c>
      <c r="Y701">
        <v>0.13892939999999901</v>
      </c>
      <c r="Z701">
        <v>-2.4527080000000001E-3</v>
      </c>
      <c r="AA701">
        <v>0.99029920000000005</v>
      </c>
      <c r="AB701">
        <v>32</v>
      </c>
      <c r="AC701">
        <v>36.857300000000002</v>
      </c>
      <c r="AD701">
        <v>-1.1600839999999999</v>
      </c>
      <c r="AE701">
        <v>-4.8593000000000099</v>
      </c>
      <c r="AF701">
        <v>5.2000839036779496</v>
      </c>
      <c r="AG701">
        <v>-1.1600839999999999</v>
      </c>
      <c r="AH701">
        <v>36.7742413070429</v>
      </c>
      <c r="AI701">
        <v>91.789072871920098</v>
      </c>
      <c r="AJ701">
        <v>81.951417713550498</v>
      </c>
      <c r="AK701">
        <v>37.158195478265199</v>
      </c>
      <c r="AL701">
        <v>86.581855617692597</v>
      </c>
      <c r="AM701">
        <v>87.907146686090201</v>
      </c>
      <c r="AN701">
        <v>0.99999995976376799</v>
      </c>
    </row>
    <row r="702" spans="1:40" x14ac:dyDescent="0.25">
      <c r="A702" t="str">
        <f>"20190312151000094"</f>
        <v>20190312151000094</v>
      </c>
      <c r="B702" t="str">
        <f>"1552374600081548"</f>
        <v>1552374600081548</v>
      </c>
      <c r="C702" t="s">
        <v>40</v>
      </c>
      <c r="D702">
        <v>5.2843839999999904</v>
      </c>
      <c r="E702">
        <v>0.5120188</v>
      </c>
      <c r="F702" t="s">
        <v>43</v>
      </c>
      <c r="G702">
        <v>-312.2484</v>
      </c>
      <c r="H702">
        <v>-0.05</v>
      </c>
      <c r="I702">
        <v>362.50549999999998</v>
      </c>
      <c r="J702">
        <v>-349.16820000000001</v>
      </c>
      <c r="K702">
        <v>1.1100829999999999</v>
      </c>
      <c r="L702">
        <v>367.37369999999999</v>
      </c>
      <c r="M702">
        <v>0.99988880000000002</v>
      </c>
      <c r="N702">
        <v>0</v>
      </c>
      <c r="O702">
        <v>9.5084209999999995E-3</v>
      </c>
      <c r="P702">
        <v>0.9984653</v>
      </c>
      <c r="Q702">
        <v>4.8266570000000002E-2</v>
      </c>
      <c r="R702">
        <v>-2.715735E-2</v>
      </c>
      <c r="S702">
        <v>2.9985050000000002</v>
      </c>
      <c r="T702">
        <v>-9.3422290000000005E-2</v>
      </c>
      <c r="U702">
        <v>-0.39178469999999999</v>
      </c>
      <c r="V702">
        <v>3.663727E-2</v>
      </c>
      <c r="W702">
        <v>5.973436E-2</v>
      </c>
      <c r="X702">
        <v>0.99754169999999998</v>
      </c>
      <c r="Y702">
        <v>0.13891099999999901</v>
      </c>
      <c r="Z702">
        <v>-2.4492870000000001E-3</v>
      </c>
      <c r="AA702">
        <v>0.99030180000000001</v>
      </c>
      <c r="AB702">
        <v>32</v>
      </c>
      <c r="AC702">
        <v>36.919800000000002</v>
      </c>
      <c r="AD702">
        <v>-1.160083</v>
      </c>
      <c r="AE702">
        <v>-4.8681999999999999</v>
      </c>
      <c r="AF702">
        <v>5.2139921469399502</v>
      </c>
      <c r="AG702">
        <v>-1.160083</v>
      </c>
      <c r="AH702">
        <v>36.8360912292462</v>
      </c>
      <c r="AI702">
        <v>91.786034629694001</v>
      </c>
      <c r="AJ702">
        <v>81.943545677260005</v>
      </c>
      <c r="AK702">
        <v>37.221353061442997</v>
      </c>
      <c r="AL702">
        <v>86.575434505964694</v>
      </c>
      <c r="AM702">
        <v>87.896611394890101</v>
      </c>
      <c r="AN702">
        <v>0.99999996327827501</v>
      </c>
    </row>
    <row r="703" spans="1:40" x14ac:dyDescent="0.25">
      <c r="A703" t="str">
        <f>"20190312151000106"</f>
        <v>20190312151000106</v>
      </c>
      <c r="B703" t="str">
        <f>"1552374600101069"</f>
        <v>1552374600101069</v>
      </c>
      <c r="C703" t="s">
        <v>40</v>
      </c>
      <c r="D703">
        <v>5.5740790000000002</v>
      </c>
      <c r="E703">
        <v>0.50968270000000004</v>
      </c>
      <c r="F703" t="s">
        <v>43</v>
      </c>
      <c r="G703">
        <v>-318.59539999999998</v>
      </c>
      <c r="H703">
        <v>-0.05</v>
      </c>
      <c r="I703">
        <v>365.54660000000001</v>
      </c>
      <c r="J703">
        <v>-348.98070000000001</v>
      </c>
      <c r="K703">
        <v>1.110088</v>
      </c>
      <c r="L703">
        <v>367.37549999999999</v>
      </c>
      <c r="M703">
        <v>0.99988770000000005</v>
      </c>
      <c r="N703">
        <v>0</v>
      </c>
      <c r="O703">
        <v>9.5801229999999994E-3</v>
      </c>
      <c r="P703">
        <v>0.99847330000000001</v>
      </c>
      <c r="Q703">
        <v>4.7951969999999997E-2</v>
      </c>
      <c r="R703">
        <v>-2.7415149999999999E-2</v>
      </c>
      <c r="S703">
        <v>3.005188</v>
      </c>
      <c r="T703">
        <v>-0.1140318</v>
      </c>
      <c r="U703">
        <v>-0.179595899999999</v>
      </c>
      <c r="V703">
        <v>3.6966890000000002E-2</v>
      </c>
      <c r="W703">
        <v>5.9472079999999997E-2</v>
      </c>
      <c r="X703">
        <v>0.99754520000000002</v>
      </c>
      <c r="Y703">
        <v>6.9160029999999997E-2</v>
      </c>
      <c r="Z703">
        <v>-1.6736079999999901E-3</v>
      </c>
      <c r="AA703">
        <v>0.99760420000000005</v>
      </c>
      <c r="AB703">
        <v>32</v>
      </c>
      <c r="AC703">
        <v>30.385300000000001</v>
      </c>
      <c r="AD703">
        <v>-1.160088</v>
      </c>
      <c r="AE703">
        <v>-1.82889999999997</v>
      </c>
      <c r="AF703">
        <v>2.1168557957638199</v>
      </c>
      <c r="AG703">
        <v>-1.160088</v>
      </c>
      <c r="AH703">
        <v>30.322343199044401</v>
      </c>
      <c r="AI703">
        <v>92.185668728331805</v>
      </c>
      <c r="AJ703">
        <v>86.006560625552197</v>
      </c>
      <c r="AK703">
        <v>30.418273779234099</v>
      </c>
      <c r="AL703">
        <v>86.590488771656197</v>
      </c>
      <c r="AM703">
        <v>87.877712191652407</v>
      </c>
      <c r="AN703">
        <v>0.99999995264941799</v>
      </c>
    </row>
    <row r="704" spans="1:40" x14ac:dyDescent="0.25">
      <c r="A704" t="str">
        <f>"20190312151000129"</f>
        <v>20190312151000129</v>
      </c>
      <c r="B704" t="str">
        <f>"1552374600121564"</f>
        <v>1552374600121564</v>
      </c>
      <c r="C704" t="s">
        <v>40</v>
      </c>
      <c r="D704">
        <v>5.2325410000000003</v>
      </c>
      <c r="E704">
        <v>0.50885170000000002</v>
      </c>
      <c r="F704" t="s">
        <v>43</v>
      </c>
      <c r="G704">
        <v>-295.20429999999999</v>
      </c>
      <c r="H704">
        <v>-0.05</v>
      </c>
      <c r="I704">
        <v>364.4821</v>
      </c>
      <c r="J704">
        <v>-348.66399999999999</v>
      </c>
      <c r="K704">
        <v>1.1099600000000001</v>
      </c>
      <c r="L704">
        <v>367.37869999999998</v>
      </c>
      <c r="M704">
        <v>0.99989119999999998</v>
      </c>
      <c r="N704">
        <v>0</v>
      </c>
      <c r="O704">
        <v>9.6991779999999993E-3</v>
      </c>
      <c r="P704">
        <v>0.99844549999999999</v>
      </c>
      <c r="Q704">
        <v>4.840034E-2</v>
      </c>
      <c r="R704">
        <v>-2.7646250000000001E-2</v>
      </c>
      <c r="S704">
        <v>3.0032649999999999</v>
      </c>
      <c r="T704">
        <v>-6.4787750000000005E-2</v>
      </c>
      <c r="U704">
        <v>-0.1615906</v>
      </c>
      <c r="V704">
        <v>3.7316679999999998E-2</v>
      </c>
      <c r="W704">
        <v>5.9506829999999997E-2</v>
      </c>
      <c r="X704">
        <v>0.99753020000000003</v>
      </c>
      <c r="Y704">
        <v>6.3393539999999998E-2</v>
      </c>
      <c r="Z704">
        <v>-8.9228660000000004E-4</v>
      </c>
      <c r="AA704">
        <v>0.99798819999999999</v>
      </c>
      <c r="AB704">
        <v>32</v>
      </c>
      <c r="AC704">
        <v>53.459699999999998</v>
      </c>
      <c r="AD704">
        <v>-1.1599600000000001</v>
      </c>
      <c r="AE704">
        <v>-2.8965999999999701</v>
      </c>
      <c r="AF704">
        <v>3.4134085876737799</v>
      </c>
      <c r="AG704">
        <v>-1.1599600000000001</v>
      </c>
      <c r="AH704">
        <v>53.404019855171803</v>
      </c>
      <c r="AI704">
        <v>91.241762034820397</v>
      </c>
      <c r="AJ704">
        <v>86.342817855736399</v>
      </c>
      <c r="AK704">
        <v>53.525565873511297</v>
      </c>
      <c r="AL704">
        <v>86.588494538678106</v>
      </c>
      <c r="AM704">
        <v>87.857617010946896</v>
      </c>
      <c r="AN704">
        <v>1.0000000486674501</v>
      </c>
    </row>
    <row r="705" spans="1:40" x14ac:dyDescent="0.25">
      <c r="A705" t="str">
        <f>"20190312151000140"</f>
        <v>20190312151000140</v>
      </c>
      <c r="B705" t="str">
        <f>"1552374600131095"</f>
        <v>1552374600131095</v>
      </c>
      <c r="C705" t="s">
        <v>40</v>
      </c>
      <c r="D705">
        <v>5.2720060000000002</v>
      </c>
      <c r="E705">
        <v>0.50866400000000001</v>
      </c>
      <c r="F705" t="s">
        <v>43</v>
      </c>
      <c r="G705">
        <v>-295.70830000000001</v>
      </c>
      <c r="H705">
        <v>-0.05</v>
      </c>
      <c r="I705">
        <v>364.64170000000001</v>
      </c>
      <c r="J705">
        <v>-348.48230000000001</v>
      </c>
      <c r="K705">
        <v>1.1097980000000001</v>
      </c>
      <c r="L705">
        <v>367.38049999999998</v>
      </c>
      <c r="M705">
        <v>0.99989680000000003</v>
      </c>
      <c r="N705">
        <v>0</v>
      </c>
      <c r="O705">
        <v>9.7656449999999999E-3</v>
      </c>
      <c r="P705">
        <v>0.99840469999999903</v>
      </c>
      <c r="Q705">
        <v>4.9024730000000002E-2</v>
      </c>
      <c r="R705">
        <v>-2.8020460000000001E-2</v>
      </c>
      <c r="S705">
        <v>3.0036010000000002</v>
      </c>
      <c r="T705">
        <v>-6.5791959999999997E-2</v>
      </c>
      <c r="U705">
        <v>-0.15524289999999999</v>
      </c>
      <c r="V705">
        <v>3.7757020000000002E-2</v>
      </c>
      <c r="W705">
        <v>5.9556329999999998E-2</v>
      </c>
      <c r="X705">
        <v>0.99751060000000003</v>
      </c>
      <c r="Y705">
        <v>6.1350389999999998E-2</v>
      </c>
      <c r="Z705">
        <v>-8.8515679999999995E-4</v>
      </c>
      <c r="AA705">
        <v>0.99811589999999994</v>
      </c>
      <c r="AB705">
        <v>32</v>
      </c>
      <c r="AC705">
        <v>52.773999999999901</v>
      </c>
      <c r="AD705">
        <v>-1.1597979999999899</v>
      </c>
      <c r="AE705">
        <v>-2.7387999999999599</v>
      </c>
      <c r="AF705">
        <v>3.2525034874482399</v>
      </c>
      <c r="AG705">
        <v>-1.1597979999999899</v>
      </c>
      <c r="AH705">
        <v>52.719341822660397</v>
      </c>
      <c r="AI705">
        <v>91.257883096891305</v>
      </c>
      <c r="AJ705">
        <v>86.469629207610495</v>
      </c>
      <c r="AK705">
        <v>52.832309362275403</v>
      </c>
      <c r="AL705">
        <v>86.585653100212994</v>
      </c>
      <c r="AM705">
        <v>87.832318133254404</v>
      </c>
      <c r="AN705">
        <v>0.999999973057354</v>
      </c>
    </row>
    <row r="706" spans="1:40" x14ac:dyDescent="0.25">
      <c r="A706" t="str">
        <f>"20190312151000152"</f>
        <v>20190312151000152</v>
      </c>
      <c r="B706" t="str">
        <f>"1552374600141831"</f>
        <v>1552374600141831</v>
      </c>
      <c r="C706" t="s">
        <v>40</v>
      </c>
      <c r="D706">
        <v>5.2692680000000003</v>
      </c>
      <c r="E706">
        <v>0.50861869999999998</v>
      </c>
      <c r="F706" t="s">
        <v>43</v>
      </c>
      <c r="G706">
        <v>-286.71690000000001</v>
      </c>
      <c r="H706">
        <v>-0.05</v>
      </c>
      <c r="I706">
        <v>364.19650000000001</v>
      </c>
      <c r="J706">
        <v>-348.3023</v>
      </c>
      <c r="K706">
        <v>1.1096200000000001</v>
      </c>
      <c r="L706">
        <v>367.38229999999999</v>
      </c>
      <c r="M706">
        <v>0.99990330000000005</v>
      </c>
      <c r="N706">
        <v>0</v>
      </c>
      <c r="O706">
        <v>9.8309550000000006E-3</v>
      </c>
      <c r="P706">
        <v>0.99837379999999998</v>
      </c>
      <c r="Q706">
        <v>4.9572419999999999E-2</v>
      </c>
      <c r="R706">
        <v>-2.8152199999999999E-2</v>
      </c>
      <c r="S706">
        <v>3.0032350000000001</v>
      </c>
      <c r="T706">
        <v>-5.6393150000000003E-2</v>
      </c>
      <c r="U706">
        <v>-0.1548157</v>
      </c>
      <c r="V706">
        <v>3.7954450000000001E-2</v>
      </c>
      <c r="W706">
        <v>5.941258E-2</v>
      </c>
      <c r="X706">
        <v>0.9975117</v>
      </c>
      <c r="Y706">
        <v>6.1284690000000003E-2</v>
      </c>
      <c r="Z706">
        <v>-7.5943349999999996E-4</v>
      </c>
      <c r="AA706">
        <v>0.99812000000000001</v>
      </c>
      <c r="AB706">
        <v>33</v>
      </c>
      <c r="AC706">
        <v>61.5853999999999</v>
      </c>
      <c r="AD706">
        <v>-1.1596200000000001</v>
      </c>
      <c r="AE706">
        <v>-3.1857999999999702</v>
      </c>
      <c r="AF706">
        <v>3.7897785407349098</v>
      </c>
      <c r="AG706">
        <v>-1.1596200000000001</v>
      </c>
      <c r="AH706">
        <v>61.529345698929703</v>
      </c>
      <c r="AI706">
        <v>91.077662031835402</v>
      </c>
      <c r="AJ706">
        <v>86.475432159911605</v>
      </c>
      <c r="AK706">
        <v>61.656853001678698</v>
      </c>
      <c r="AL706">
        <v>86.593904048125594</v>
      </c>
      <c r="AM706">
        <v>87.8209967067598</v>
      </c>
      <c r="AN706">
        <v>0.99999999328697398</v>
      </c>
    </row>
    <row r="707" spans="1:40" x14ac:dyDescent="0.25">
      <c r="A707" t="str">
        <f>"20190312151000166"</f>
        <v>20190312151000166</v>
      </c>
      <c r="B707" t="str">
        <f>"1552374600161350"</f>
        <v>1552374600161350</v>
      </c>
      <c r="C707" t="s">
        <v>40</v>
      </c>
      <c r="D707">
        <v>5.2661680000000004</v>
      </c>
      <c r="E707">
        <v>0.50856570000000001</v>
      </c>
      <c r="F707" t="s">
        <v>43</v>
      </c>
      <c r="G707">
        <v>-277.39960000000002</v>
      </c>
      <c r="H707">
        <v>-0.05</v>
      </c>
      <c r="I707">
        <v>363.72980000000001</v>
      </c>
      <c r="J707">
        <v>-348.11509999999998</v>
      </c>
      <c r="K707">
        <v>1.1094520000000001</v>
      </c>
      <c r="L707">
        <v>367.38420000000002</v>
      </c>
      <c r="M707">
        <v>0.9999093</v>
      </c>
      <c r="N707">
        <v>0</v>
      </c>
      <c r="O707">
        <v>9.8990929999999994E-3</v>
      </c>
      <c r="P707">
        <v>0.99832619999999905</v>
      </c>
      <c r="Q707">
        <v>5.0358550000000002E-2</v>
      </c>
      <c r="R707">
        <v>-2.84429E-2</v>
      </c>
      <c r="S707">
        <v>3.0029599999999999</v>
      </c>
      <c r="T707">
        <v>-4.9113629999999998E-2</v>
      </c>
      <c r="U707">
        <v>-0.15469359999999999</v>
      </c>
      <c r="V707">
        <v>3.8313199999999902E-2</v>
      </c>
      <c r="W707">
        <v>5.9474939999999997E-2</v>
      </c>
      <c r="X707">
        <v>0.99749429999999994</v>
      </c>
      <c r="Y707">
        <v>6.1319869999999999E-2</v>
      </c>
      <c r="Z707">
        <v>-6.6287720000000004E-4</v>
      </c>
      <c r="AA707">
        <v>0.9981179</v>
      </c>
      <c r="AB707">
        <v>33</v>
      </c>
      <c r="AC707">
        <v>70.715499999999906</v>
      </c>
      <c r="AD707">
        <v>-1.1594519999999999</v>
      </c>
      <c r="AE707">
        <v>-3.6543999999999999</v>
      </c>
      <c r="AF707">
        <v>4.3531023094000698</v>
      </c>
      <c r="AG707">
        <v>-1.1594519999999999</v>
      </c>
      <c r="AH707">
        <v>70.656914048969696</v>
      </c>
      <c r="AI707">
        <v>90.938337887383199</v>
      </c>
      <c r="AJ707">
        <v>86.474519934656897</v>
      </c>
      <c r="AK707">
        <v>70.800376634449506</v>
      </c>
      <c r="AL707">
        <v>86.590324859250003</v>
      </c>
      <c r="AM707">
        <v>87.800382311643205</v>
      </c>
      <c r="AN707">
        <v>1.0000000241573599</v>
      </c>
    </row>
    <row r="708" spans="1:40" x14ac:dyDescent="0.25">
      <c r="A708" t="str">
        <f>"20190312151000184"</f>
        <v>20190312151000184</v>
      </c>
      <c r="B708" t="str">
        <f>"1552374600171111"</f>
        <v>1552374600171111</v>
      </c>
      <c r="C708" t="s">
        <v>40</v>
      </c>
      <c r="D708">
        <v>5.2660019999999896</v>
      </c>
      <c r="E708">
        <v>0.50857109999999905</v>
      </c>
      <c r="F708" t="s">
        <v>43</v>
      </c>
      <c r="G708">
        <v>-278.86369999999999</v>
      </c>
      <c r="H708">
        <v>-0.05</v>
      </c>
      <c r="I708">
        <v>363.80579999999998</v>
      </c>
      <c r="J708">
        <v>-347.84219999999999</v>
      </c>
      <c r="K708">
        <v>1.109232</v>
      </c>
      <c r="L708">
        <v>367.387</v>
      </c>
      <c r="M708">
        <v>0.99991739999999996</v>
      </c>
      <c r="N708">
        <v>0</v>
      </c>
      <c r="O708">
        <v>9.9974390000000003E-3</v>
      </c>
      <c r="P708">
        <v>0.99824789999999997</v>
      </c>
      <c r="Q708">
        <v>5.1675159999999998E-2</v>
      </c>
      <c r="R708">
        <v>-2.882502E-2</v>
      </c>
      <c r="S708">
        <v>3.0031430000000001</v>
      </c>
      <c r="T708">
        <v>-5.0280569999999997E-2</v>
      </c>
      <c r="U708">
        <v>-0.15518189999999901</v>
      </c>
      <c r="V708">
        <v>3.879349E-2</v>
      </c>
      <c r="W708">
        <v>5.9740069999999999E-2</v>
      </c>
      <c r="X708">
        <v>0.99745989999999995</v>
      </c>
      <c r="Y708">
        <v>6.157617E-2</v>
      </c>
      <c r="Z708">
        <v>-6.8236899999999897E-4</v>
      </c>
      <c r="AA708">
        <v>0.99810209999999999</v>
      </c>
      <c r="AB708">
        <v>33</v>
      </c>
      <c r="AC708">
        <v>68.978499999999997</v>
      </c>
      <c r="AD708">
        <v>-1.159232</v>
      </c>
      <c r="AE708">
        <v>-3.58119999999996</v>
      </c>
      <c r="AF708">
        <v>4.26944927351727</v>
      </c>
      <c r="AG708">
        <v>-1.159232</v>
      </c>
      <c r="AH708">
        <v>68.919835722777506</v>
      </c>
      <c r="AI708">
        <v>90.961781114101001</v>
      </c>
      <c r="AJ708">
        <v>86.455168186727605</v>
      </c>
      <c r="AK708">
        <v>69.061680923531</v>
      </c>
      <c r="AL708">
        <v>86.575106995570096</v>
      </c>
      <c r="AM708">
        <v>87.772759013572994</v>
      </c>
      <c r="AN708">
        <v>1.0000000314689901</v>
      </c>
    </row>
    <row r="709" spans="1:40" x14ac:dyDescent="0.25">
      <c r="A709" t="str">
        <f>"20190312151000206"</f>
        <v>20190312151000206</v>
      </c>
      <c r="B709" t="str">
        <f>"1552374600201367"</f>
        <v>1552374600201367</v>
      </c>
      <c r="C709" t="s">
        <v>40</v>
      </c>
      <c r="D709">
        <v>5.2702200000000001</v>
      </c>
      <c r="E709">
        <v>0.5085035</v>
      </c>
      <c r="F709" t="s">
        <v>42</v>
      </c>
      <c r="G709">
        <v>-271.28809999999999</v>
      </c>
      <c r="H709" s="1">
        <v>-4.823374E-6</v>
      </c>
      <c r="I709">
        <v>363.39440000000002</v>
      </c>
      <c r="J709">
        <v>-347.5095</v>
      </c>
      <c r="K709">
        <v>1.109008</v>
      </c>
      <c r="L709">
        <v>367.3904</v>
      </c>
      <c r="M709">
        <v>0.99992559999999997</v>
      </c>
      <c r="N709">
        <v>0</v>
      </c>
      <c r="O709">
        <v>1.0113509999999999E-2</v>
      </c>
      <c r="P709">
        <v>0.99815880000000001</v>
      </c>
      <c r="Q709">
        <v>5.3211229999999998E-2</v>
      </c>
      <c r="R709">
        <v>-2.911418E-2</v>
      </c>
      <c r="S709">
        <v>3.0029910000000002</v>
      </c>
      <c r="T709">
        <v>-4.351199E-2</v>
      </c>
      <c r="U709">
        <v>-0.15661620000000001</v>
      </c>
      <c r="V709">
        <v>3.9198259999999999E-2</v>
      </c>
      <c r="W709">
        <v>6.0029939999999997E-2</v>
      </c>
      <c r="X709">
        <v>0.99742660000000005</v>
      </c>
      <c r="Y709">
        <v>6.2172430000000001E-2</v>
      </c>
      <c r="Z709">
        <v>-5.9654019999999996E-4</v>
      </c>
      <c r="AA709">
        <v>0.99806519999999999</v>
      </c>
      <c r="AB709">
        <v>33</v>
      </c>
      <c r="AC709">
        <v>76.221400000000003</v>
      </c>
      <c r="AD709">
        <v>-1.109012823374</v>
      </c>
      <c r="AE709">
        <v>-3.99599999999998</v>
      </c>
      <c r="AF709">
        <v>4.7656733183578801</v>
      </c>
      <c r="AG709">
        <v>-1.109012823374</v>
      </c>
      <c r="AH709">
        <v>76.161008079268001</v>
      </c>
      <c r="AI709">
        <v>90.832621022255694</v>
      </c>
      <c r="AJ709">
        <v>86.419461439012807</v>
      </c>
      <c r="AK709">
        <v>76.318023449707098</v>
      </c>
      <c r="AL709">
        <v>86.558468560756594</v>
      </c>
      <c r="AM709">
        <v>87.749468768764302</v>
      </c>
      <c r="AN709">
        <v>0.99999995983549494</v>
      </c>
    </row>
    <row r="710" spans="1:40" x14ac:dyDescent="0.25">
      <c r="A710" t="str">
        <f>"20190312151000228"</f>
        <v>20190312151000228</v>
      </c>
      <c r="B710" t="str">
        <f>"1552374600221862"</f>
        <v>1552374600221862</v>
      </c>
      <c r="C710" t="s">
        <v>40</v>
      </c>
      <c r="D710">
        <v>5.1949750000000003</v>
      </c>
      <c r="E710">
        <v>0.5083609</v>
      </c>
      <c r="F710" t="s">
        <v>42</v>
      </c>
      <c r="G710">
        <v>-248.83240000000001</v>
      </c>
      <c r="H710" s="1">
        <v>-2.3942989999999999E-6</v>
      </c>
      <c r="I710">
        <v>362.24369999999999</v>
      </c>
      <c r="J710">
        <v>-347.16800000000001</v>
      </c>
      <c r="K710">
        <v>1.108835</v>
      </c>
      <c r="L710">
        <v>367.39389999999997</v>
      </c>
      <c r="M710">
        <v>0.99993189999999998</v>
      </c>
      <c r="N710">
        <v>0</v>
      </c>
      <c r="O710">
        <v>1.0227089999999999E-2</v>
      </c>
      <c r="P710">
        <v>0.99808909999999995</v>
      </c>
      <c r="Q710">
        <v>5.428376E-2</v>
      </c>
      <c r="R710">
        <v>-2.951606E-2</v>
      </c>
      <c r="S710">
        <v>3.002777</v>
      </c>
      <c r="T710">
        <v>-3.3747550000000001E-2</v>
      </c>
      <c r="U710">
        <v>-0.15661620000000001</v>
      </c>
      <c r="V710">
        <v>3.9712530000000003E-2</v>
      </c>
      <c r="W710">
        <v>5.9889999999999999E-2</v>
      </c>
      <c r="X710">
        <v>0.99741469999999999</v>
      </c>
      <c r="Y710">
        <v>6.2292409999999999E-2</v>
      </c>
      <c r="Z710">
        <v>-4.6466299999999998E-4</v>
      </c>
      <c r="AA710">
        <v>0.99805779999999999</v>
      </c>
      <c r="AB710">
        <v>34</v>
      </c>
      <c r="AC710">
        <v>98.335599999999999</v>
      </c>
      <c r="AD710">
        <v>-1.108837394299</v>
      </c>
      <c r="AE710">
        <v>-5.1501999999999803</v>
      </c>
      <c r="AF710">
        <v>6.1548531238158004</v>
      </c>
      <c r="AG710">
        <v>-1.108837394299</v>
      </c>
      <c r="AH710">
        <v>98.265324491024998</v>
      </c>
      <c r="AI710">
        <v>90.6452404851766</v>
      </c>
      <c r="AJ710">
        <v>86.415958228878907</v>
      </c>
      <c r="AK710">
        <v>98.464134255418998</v>
      </c>
      <c r="AL710">
        <v>86.566501089816498</v>
      </c>
      <c r="AM710">
        <v>87.719946226303904</v>
      </c>
      <c r="AN710">
        <v>0.99999999045754495</v>
      </c>
    </row>
    <row r="711" spans="1:40" x14ac:dyDescent="0.25">
      <c r="A711" t="str">
        <f>"20190312151000241"</f>
        <v>20190312151000241</v>
      </c>
      <c r="B711" t="str">
        <f>"1552374600231623"</f>
        <v>1552374600231623</v>
      </c>
      <c r="C711" t="s">
        <v>40</v>
      </c>
      <c r="D711">
        <v>5.2668949999999999</v>
      </c>
      <c r="E711">
        <v>0.50828960000000001</v>
      </c>
      <c r="F711" t="s">
        <v>42</v>
      </c>
      <c r="G711">
        <v>-244.09049999999999</v>
      </c>
      <c r="H711" s="1">
        <v>-4.2778220000000001E-6</v>
      </c>
      <c r="I711">
        <v>362.00839999999999</v>
      </c>
      <c r="J711">
        <v>-346.97070000000002</v>
      </c>
      <c r="K711">
        <v>1.1087549999999999</v>
      </c>
      <c r="L711">
        <v>367.39600000000002</v>
      </c>
      <c r="M711">
        <v>0.99993489999999996</v>
      </c>
      <c r="N711">
        <v>0</v>
      </c>
      <c r="O711">
        <v>1.0290519999999999E-2</v>
      </c>
      <c r="P711">
        <v>0.99803319999999995</v>
      </c>
      <c r="Q711">
        <v>5.52203E-2</v>
      </c>
      <c r="R711">
        <v>-2.9683060000000001E-2</v>
      </c>
      <c r="S711">
        <v>3.002869</v>
      </c>
      <c r="T711">
        <v>-3.2302860000000003E-2</v>
      </c>
      <c r="U711">
        <v>-0.1568909</v>
      </c>
      <c r="V711">
        <v>3.9941690000000002E-2</v>
      </c>
      <c r="W711">
        <v>6.0180820000000003E-2</v>
      </c>
      <c r="X711">
        <v>0.9973881</v>
      </c>
      <c r="Y711">
        <v>6.2445510000000003E-2</v>
      </c>
      <c r="Z711">
        <v>-4.4626220000000002E-4</v>
      </c>
      <c r="AA711">
        <v>0.99804820000000005</v>
      </c>
      <c r="AB711">
        <v>34</v>
      </c>
      <c r="AC711">
        <v>102.8802</v>
      </c>
      <c r="AD711">
        <v>-1.1087592778219999</v>
      </c>
      <c r="AE711">
        <v>-5.38759999999996</v>
      </c>
      <c r="AF711">
        <v>6.44527178893106</v>
      </c>
      <c r="AG711">
        <v>-1.1087592778219999</v>
      </c>
      <c r="AH711">
        <v>102.80740240962599</v>
      </c>
      <c r="AI711">
        <v>90.616690055654004</v>
      </c>
      <c r="AJ711">
        <v>86.412668846996496</v>
      </c>
      <c r="AK711">
        <v>103.01520696374899</v>
      </c>
      <c r="AL711">
        <v>86.549808412580603</v>
      </c>
      <c r="AM711">
        <v>87.706742154919297</v>
      </c>
      <c r="AN711">
        <v>1.0000000458587599</v>
      </c>
    </row>
    <row r="712" spans="1:40" x14ac:dyDescent="0.25">
      <c r="A712" t="str">
        <f>"20190312151000253"</f>
        <v>20190312151000253</v>
      </c>
      <c r="B712" t="str">
        <f>"1552374600241383"</f>
        <v>1552374600241383</v>
      </c>
      <c r="C712" t="s">
        <v>40</v>
      </c>
      <c r="D712">
        <v>5.2059930000000003</v>
      </c>
      <c r="E712">
        <v>0.50822849999999997</v>
      </c>
      <c r="F712" t="s">
        <v>42</v>
      </c>
      <c r="G712">
        <v>-229.5438</v>
      </c>
      <c r="H712" s="1">
        <v>-2.3623299999999998E-6</v>
      </c>
      <c r="I712">
        <v>361.26900000000001</v>
      </c>
      <c r="J712">
        <v>-346.79450000000003</v>
      </c>
      <c r="K712">
        <v>1.1087049999999901</v>
      </c>
      <c r="L712">
        <v>367.39780000000002</v>
      </c>
      <c r="M712">
        <v>0.99993659999999995</v>
      </c>
      <c r="N712">
        <v>0</v>
      </c>
      <c r="O712">
        <v>1.0345719999999999E-2</v>
      </c>
      <c r="P712">
        <v>0.99799179999999998</v>
      </c>
      <c r="Q712">
        <v>5.5928279999999997E-2</v>
      </c>
      <c r="R712">
        <v>-2.9742979999999999E-2</v>
      </c>
      <c r="S712">
        <v>3.0028380000000001</v>
      </c>
      <c r="T712">
        <v>-2.8353099999999999E-2</v>
      </c>
      <c r="U712">
        <v>-0.15667719999999999</v>
      </c>
      <c r="V712">
        <v>4.0055880000000002E-2</v>
      </c>
      <c r="W712">
        <v>6.037501E-2</v>
      </c>
      <c r="X712">
        <v>0.99737169999999997</v>
      </c>
      <c r="Y712">
        <v>6.2431260000000002E-2</v>
      </c>
      <c r="Z712">
        <v>-3.9215719999999998E-4</v>
      </c>
      <c r="AA712">
        <v>0.99804919999999997</v>
      </c>
      <c r="AB712">
        <v>34</v>
      </c>
      <c r="AC712">
        <v>117.25069999999999</v>
      </c>
      <c r="AD712">
        <v>-1.1087073623299999</v>
      </c>
      <c r="AE712">
        <v>-6.1288000000000098</v>
      </c>
      <c r="AF712">
        <v>7.3408723038661199</v>
      </c>
      <c r="AG712">
        <v>-1.1087073623299999</v>
      </c>
      <c r="AH712">
        <v>117.17056925060101</v>
      </c>
      <c r="AI712">
        <v>90.541074968138702</v>
      </c>
      <c r="AJ712">
        <v>86.415038467597</v>
      </c>
      <c r="AK712">
        <v>117.405536226818</v>
      </c>
      <c r="AL712">
        <v>86.538661585359506</v>
      </c>
      <c r="AM712">
        <v>87.700155173904093</v>
      </c>
      <c r="AN712">
        <v>0.999999961657981</v>
      </c>
    </row>
    <row r="713" spans="1:40" x14ac:dyDescent="0.25">
      <c r="A713" t="str">
        <f>"20190312151000264"</f>
        <v>20190312151000264</v>
      </c>
      <c r="B713" t="str">
        <f>"1552374600261879"</f>
        <v>1552374600261879</v>
      </c>
      <c r="C713" t="s">
        <v>40</v>
      </c>
      <c r="D713">
        <v>5.193746</v>
      </c>
      <c r="E713">
        <v>0.50816570000000005</v>
      </c>
      <c r="F713" t="s">
        <v>42</v>
      </c>
      <c r="G713">
        <v>-243.65770000000001</v>
      </c>
      <c r="H713" s="1">
        <v>-4.4375119999999998E-6</v>
      </c>
      <c r="I713">
        <v>362.03289999999998</v>
      </c>
      <c r="J713">
        <v>-346.61779999999999</v>
      </c>
      <c r="K713">
        <v>1.108684</v>
      </c>
      <c r="L713">
        <v>367.3997</v>
      </c>
      <c r="M713">
        <v>0.99993779999999999</v>
      </c>
      <c r="N713">
        <v>0</v>
      </c>
      <c r="O713">
        <v>1.0400070000000001E-2</v>
      </c>
      <c r="P713">
        <v>0.99797060000000004</v>
      </c>
      <c r="Q713">
        <v>5.6221130000000001E-2</v>
      </c>
      <c r="R713">
        <v>-2.990313E-2</v>
      </c>
      <c r="S713">
        <v>3.0032040000000002</v>
      </c>
      <c r="T713">
        <v>-3.2284140000000003E-2</v>
      </c>
      <c r="U713">
        <v>-0.15621949999999901</v>
      </c>
      <c r="V713">
        <v>4.026954E-2</v>
      </c>
      <c r="W713">
        <v>6.0250789999999999E-2</v>
      </c>
      <c r="X713">
        <v>0.99737070000000005</v>
      </c>
      <c r="Y713">
        <v>6.2326479999999997E-2</v>
      </c>
      <c r="Z713">
        <v>-4.464936E-4</v>
      </c>
      <c r="AA713">
        <v>0.99805569999999999</v>
      </c>
      <c r="AB713">
        <v>34</v>
      </c>
      <c r="AC713">
        <v>102.960099999999</v>
      </c>
      <c r="AD713">
        <v>-1.1086884375120001</v>
      </c>
      <c r="AE713">
        <v>-5.3668000000000102</v>
      </c>
      <c r="AF713">
        <v>6.4365663709079097</v>
      </c>
      <c r="AG713">
        <v>-1.1086884375120001</v>
      </c>
      <c r="AH713">
        <v>102.886818367853</v>
      </c>
      <c r="AI713">
        <v>90.616179827721496</v>
      </c>
      <c r="AJ713">
        <v>86.420259565261802</v>
      </c>
      <c r="AK713">
        <v>103.093918203539</v>
      </c>
      <c r="AL713">
        <v>86.5457921650912</v>
      </c>
      <c r="AM713">
        <v>87.687898652946402</v>
      </c>
      <c r="AN713">
        <v>1.0000000533829601</v>
      </c>
    </row>
    <row r="714" spans="1:40" x14ac:dyDescent="0.25">
      <c r="A714" t="str">
        <f>"20190312151000276"</f>
        <v>20190312151000276</v>
      </c>
      <c r="B714" t="str">
        <f>"1552374600271639"</f>
        <v>1552374600271639</v>
      </c>
      <c r="C714" t="s">
        <v>40</v>
      </c>
      <c r="D714">
        <v>5.1620100000000004</v>
      </c>
      <c r="E714">
        <v>0.50814769999999998</v>
      </c>
      <c r="F714" t="s">
        <v>42</v>
      </c>
      <c r="G714">
        <v>-262.33229999999998</v>
      </c>
      <c r="H714" s="1">
        <v>-4.444187E-6</v>
      </c>
      <c r="I714">
        <v>363.00650000000002</v>
      </c>
      <c r="J714">
        <v>-346.43470000000002</v>
      </c>
      <c r="K714">
        <v>1.108681</v>
      </c>
      <c r="L714">
        <v>367.40159999999997</v>
      </c>
      <c r="M714">
        <v>0.99993860000000001</v>
      </c>
      <c r="N714">
        <v>0</v>
      </c>
      <c r="O714">
        <v>1.045595E-2</v>
      </c>
      <c r="P714">
        <v>0.9979519</v>
      </c>
      <c r="Q714">
        <v>5.6563290000000002E-2</v>
      </c>
      <c r="R714">
        <v>-2.987356E-2</v>
      </c>
      <c r="S714">
        <v>3.0036320000000001</v>
      </c>
      <c r="T714">
        <v>-3.950965E-2</v>
      </c>
      <c r="U714">
        <v>-0.15655520000000001</v>
      </c>
      <c r="V714">
        <v>4.0295070000000002E-2</v>
      </c>
      <c r="W714">
        <v>6.0229379999999999E-2</v>
      </c>
      <c r="X714">
        <v>0.99737089999999995</v>
      </c>
      <c r="Y714">
        <v>6.2484030000000003E-2</v>
      </c>
      <c r="Z714">
        <v>-5.4810619999999999E-4</v>
      </c>
      <c r="AA714">
        <v>0.99804579999999998</v>
      </c>
      <c r="AB714">
        <v>34</v>
      </c>
      <c r="AC714">
        <v>84.102400000000003</v>
      </c>
      <c r="AD714">
        <v>-1.108685444187</v>
      </c>
      <c r="AE714">
        <v>-4.3950999999999496</v>
      </c>
      <c r="AF714">
        <v>5.2733222481666999</v>
      </c>
      <c r="AG714">
        <v>-1.108685444187</v>
      </c>
      <c r="AH714">
        <v>84.037283001881903</v>
      </c>
      <c r="AI714">
        <v>90.754363268404404</v>
      </c>
      <c r="AJ714">
        <v>86.409409359361305</v>
      </c>
      <c r="AK714">
        <v>84.209869049212699</v>
      </c>
      <c r="AL714">
        <v>86.547020885655698</v>
      </c>
      <c r="AM714">
        <v>87.686434887442402</v>
      </c>
      <c r="AN714">
        <v>0.99999999152414898</v>
      </c>
    </row>
    <row r="715" spans="1:40" x14ac:dyDescent="0.25">
      <c r="A715" t="str">
        <f>"20190312151000288"</f>
        <v>20190312151000288</v>
      </c>
      <c r="B715" t="str">
        <f>"1552374600281399"</f>
        <v>1552374600281399</v>
      </c>
      <c r="C715" t="s">
        <v>40</v>
      </c>
      <c r="D715">
        <v>5.147424</v>
      </c>
      <c r="E715">
        <v>0.50806490000000004</v>
      </c>
      <c r="F715" t="s">
        <v>42</v>
      </c>
      <c r="G715">
        <v>-265.86779999999999</v>
      </c>
      <c r="H715" s="1">
        <v>-3.095545E-6</v>
      </c>
      <c r="I715">
        <v>363.21480000000003</v>
      </c>
      <c r="J715">
        <v>-346.25790000000001</v>
      </c>
      <c r="K715">
        <v>1.1087260000000001</v>
      </c>
      <c r="L715">
        <v>367.40350000000001</v>
      </c>
      <c r="M715">
        <v>0.99993869999999896</v>
      </c>
      <c r="N715">
        <v>0</v>
      </c>
      <c r="O715">
        <v>1.050821E-2</v>
      </c>
      <c r="P715">
        <v>0.99795339999999999</v>
      </c>
      <c r="Q715">
        <v>5.6529250000000003E-2</v>
      </c>
      <c r="R715">
        <v>-2.9901529999999999E-2</v>
      </c>
      <c r="S715">
        <v>3.0038149999999999</v>
      </c>
      <c r="T715">
        <v>-4.1335579999999997E-2</v>
      </c>
      <c r="U715">
        <v>-0.1560974</v>
      </c>
      <c r="V715">
        <v>4.0374199999999999E-2</v>
      </c>
      <c r="W715">
        <v>6.0042320000000003E-2</v>
      </c>
      <c r="X715">
        <v>0.99737900000000002</v>
      </c>
      <c r="Y715">
        <v>6.2380739999999997E-2</v>
      </c>
      <c r="Z715">
        <v>-5.7341010000000003E-4</v>
      </c>
      <c r="AA715">
        <v>0.99805219999999994</v>
      </c>
      <c r="AB715">
        <v>34</v>
      </c>
      <c r="AC715">
        <v>80.390100000000004</v>
      </c>
      <c r="AD715">
        <v>-1.108729095545</v>
      </c>
      <c r="AE715">
        <v>-4.1886999999999803</v>
      </c>
      <c r="AF715">
        <v>5.0322752974639604</v>
      </c>
      <c r="AG715">
        <v>-1.108729095545</v>
      </c>
      <c r="AH715">
        <v>80.326407426349604</v>
      </c>
      <c r="AI715">
        <v>90.7892447149177</v>
      </c>
      <c r="AJ715">
        <v>86.415228496712302</v>
      </c>
      <c r="AK715">
        <v>80.491520080693505</v>
      </c>
      <c r="AL715">
        <v>86.557758140174499</v>
      </c>
      <c r="AM715">
        <v>87.6819153489119</v>
      </c>
      <c r="AN715">
        <v>1.00000001292881</v>
      </c>
    </row>
    <row r="716" spans="1:40" x14ac:dyDescent="0.25">
      <c r="A716" t="str">
        <f>"20190312151000305"</f>
        <v>20190312151000305</v>
      </c>
      <c r="B716" t="str">
        <f>"1552374600301895"</f>
        <v>1552374600301895</v>
      </c>
      <c r="C716" t="s">
        <v>40</v>
      </c>
      <c r="D716">
        <v>5.1544930000000004</v>
      </c>
      <c r="E716">
        <v>0.50808229999999999</v>
      </c>
      <c r="F716" t="s">
        <v>42</v>
      </c>
      <c r="G716">
        <v>-271.99020000000002</v>
      </c>
      <c r="H716" s="1">
        <v>-4.4934050000000004E-6</v>
      </c>
      <c r="I716">
        <v>363.5564</v>
      </c>
      <c r="J716">
        <v>-345.98140000000001</v>
      </c>
      <c r="K716">
        <v>1.108827</v>
      </c>
      <c r="L716">
        <v>367.40649999999999</v>
      </c>
      <c r="M716">
        <v>0.99993810000000005</v>
      </c>
      <c r="N716">
        <v>0</v>
      </c>
      <c r="O716">
        <v>1.059091E-2</v>
      </c>
      <c r="P716">
        <v>0.9979711</v>
      </c>
      <c r="Q716">
        <v>5.63636E-2</v>
      </c>
      <c r="R716">
        <v>-2.961544E-2</v>
      </c>
      <c r="S716">
        <v>3.0040279999999999</v>
      </c>
      <c r="T716">
        <v>-4.4846650000000002E-2</v>
      </c>
      <c r="U716">
        <v>-0.1556091</v>
      </c>
      <c r="V716">
        <v>4.0169950000000003E-2</v>
      </c>
      <c r="W716">
        <v>5.9809080000000001E-2</v>
      </c>
      <c r="X716">
        <v>0.99740119999999999</v>
      </c>
      <c r="Y716">
        <v>6.2296579999999997E-2</v>
      </c>
      <c r="Z716">
        <v>-6.2267509999999998E-4</v>
      </c>
      <c r="AA716">
        <v>0.99805750000000004</v>
      </c>
      <c r="AB716">
        <v>35</v>
      </c>
      <c r="AC716">
        <v>73.991199999999907</v>
      </c>
      <c r="AD716">
        <v>-1.1088314934049901</v>
      </c>
      <c r="AE716">
        <v>-3.8500999999999901</v>
      </c>
      <c r="AF716">
        <v>4.6324852060439596</v>
      </c>
      <c r="AG716">
        <v>-1.1088314934049901</v>
      </c>
      <c r="AH716">
        <v>73.929715538400302</v>
      </c>
      <c r="AI716">
        <v>90.857602002078394</v>
      </c>
      <c r="AJ716">
        <v>86.414496057327696</v>
      </c>
      <c r="AK716">
        <v>74.083009293992504</v>
      </c>
      <c r="AL716">
        <v>86.571145659555896</v>
      </c>
      <c r="AM716">
        <v>87.693680945783598</v>
      </c>
      <c r="AN716">
        <v>0.99999995234744299</v>
      </c>
    </row>
    <row r="717" spans="1:40" x14ac:dyDescent="0.25">
      <c r="A717" t="str">
        <f>"20190312151000319"</f>
        <v>20190312151000319</v>
      </c>
      <c r="B717" t="str">
        <f>"1552374600311655"</f>
        <v>1552374600311655</v>
      </c>
      <c r="C717" t="s">
        <v>40</v>
      </c>
      <c r="D717">
        <v>5.1260620000000001</v>
      </c>
      <c r="E717">
        <v>0.50801600000000002</v>
      </c>
      <c r="F717" t="s">
        <v>42</v>
      </c>
      <c r="G717">
        <v>-267.60879999999997</v>
      </c>
      <c r="H717" s="1">
        <v>-2.4622969999999998E-6</v>
      </c>
      <c r="I717">
        <v>363.36810000000003</v>
      </c>
      <c r="J717">
        <v>-345.77409999999998</v>
      </c>
      <c r="K717">
        <v>1.1089310000000001</v>
      </c>
      <c r="L717">
        <v>367.40879999999999</v>
      </c>
      <c r="M717">
        <v>0.99993710000000002</v>
      </c>
      <c r="N717">
        <v>0</v>
      </c>
      <c r="O717">
        <v>1.0654500000000001E-2</v>
      </c>
      <c r="P717">
        <v>0.99798989999999999</v>
      </c>
      <c r="Q717">
        <v>5.6053840000000001E-2</v>
      </c>
      <c r="R717">
        <v>-2.9565709999999999E-2</v>
      </c>
      <c r="S717">
        <v>3.0039060000000002</v>
      </c>
      <c r="T717">
        <v>-4.2499780000000001E-2</v>
      </c>
      <c r="U717">
        <v>-0.15478520000000001</v>
      </c>
      <c r="V717">
        <v>4.0183249999999997E-2</v>
      </c>
      <c r="W717">
        <v>5.9582990000000002E-2</v>
      </c>
      <c r="X717">
        <v>0.99741420000000003</v>
      </c>
      <c r="Y717">
        <v>6.208996E-2</v>
      </c>
      <c r="Z717">
        <v>-5.8956000000000004E-4</v>
      </c>
      <c r="AA717">
        <v>0.99807040000000002</v>
      </c>
      <c r="AB717">
        <v>35</v>
      </c>
      <c r="AC717">
        <v>78.165300000000002</v>
      </c>
      <c r="AD717">
        <v>-1.108933462297</v>
      </c>
      <c r="AE717">
        <v>-4.0406999999999504</v>
      </c>
      <c r="AF717">
        <v>4.8723099001670596</v>
      </c>
      <c r="AG717">
        <v>-1.108933462297</v>
      </c>
      <c r="AH717">
        <v>78.102133455649195</v>
      </c>
      <c r="AI717">
        <v>90.811881628741702</v>
      </c>
      <c r="AJ717">
        <v>86.430296055496498</v>
      </c>
      <c r="AK717">
        <v>78.261819474831498</v>
      </c>
      <c r="AL717">
        <v>86.5841228200035</v>
      </c>
      <c r="AM717">
        <v>87.692948201384993</v>
      </c>
      <c r="AN717">
        <v>0.99999995631977001</v>
      </c>
    </row>
    <row r="718" spans="1:40" x14ac:dyDescent="0.25">
      <c r="A718" t="str">
        <f>"20190312151000332"</f>
        <v>20190312151000332</v>
      </c>
      <c r="B718" t="str">
        <f>"1552374600321415"</f>
        <v>1552374600321415</v>
      </c>
      <c r="C718" t="s">
        <v>40</v>
      </c>
      <c r="D718">
        <v>5.1589299999999998</v>
      </c>
      <c r="E718">
        <v>0.50805339999999999</v>
      </c>
      <c r="F718" t="s">
        <v>42</v>
      </c>
      <c r="G718">
        <v>-266.95179999999999</v>
      </c>
      <c r="H718" s="1">
        <v>-2.686339E-6</v>
      </c>
      <c r="I718">
        <v>363.36630000000002</v>
      </c>
      <c r="J718">
        <v>-345.57409999999999</v>
      </c>
      <c r="K718">
        <v>1.109035</v>
      </c>
      <c r="L718">
        <v>367.41090000000003</v>
      </c>
      <c r="M718">
        <v>0.99993569999999998</v>
      </c>
      <c r="N718">
        <v>0</v>
      </c>
      <c r="O718">
        <v>1.071893E-2</v>
      </c>
      <c r="P718">
        <v>0.99798679999999995</v>
      </c>
      <c r="Q718">
        <v>5.6100450000000003E-2</v>
      </c>
      <c r="R718">
        <v>-2.9586109999999999E-2</v>
      </c>
      <c r="S718">
        <v>3.0038450000000001</v>
      </c>
      <c r="T718">
        <v>-4.2260409999999998E-2</v>
      </c>
      <c r="U718">
        <v>-0.15405269999999999</v>
      </c>
      <c r="V718">
        <v>4.0267579999999997E-2</v>
      </c>
      <c r="W718">
        <v>5.9810509999999997E-2</v>
      </c>
      <c r="X718">
        <v>0.99739719999999998</v>
      </c>
      <c r="Y718">
        <v>6.1912689999999999E-2</v>
      </c>
      <c r="Z718">
        <v>-5.8591519999999996E-4</v>
      </c>
      <c r="AA718">
        <v>0.99808140000000001</v>
      </c>
      <c r="AB718">
        <v>35</v>
      </c>
      <c r="AC718">
        <v>78.622299999999996</v>
      </c>
      <c r="AD718">
        <v>-1.1090376863389999</v>
      </c>
      <c r="AE718">
        <v>-4.0446</v>
      </c>
      <c r="AF718">
        <v>4.8861506787093996</v>
      </c>
      <c r="AG718">
        <v>-1.1090376863389999</v>
      </c>
      <c r="AH718">
        <v>78.558838973631296</v>
      </c>
      <c r="AI718">
        <v>90.807247534448294</v>
      </c>
      <c r="AJ718">
        <v>86.440939716281505</v>
      </c>
      <c r="AK718">
        <v>78.718457898574798</v>
      </c>
      <c r="AL718">
        <v>86.571063656853497</v>
      </c>
      <c r="AM718">
        <v>87.688072426411097</v>
      </c>
      <c r="AN718">
        <v>0.99999997483667802</v>
      </c>
    </row>
    <row r="719" spans="1:40" x14ac:dyDescent="0.25">
      <c r="A719" t="str">
        <f>"20190312151000343"</f>
        <v>20190312151000343</v>
      </c>
      <c r="B719" t="str">
        <f>"1552374600331174"</f>
        <v>1552374600331174</v>
      </c>
      <c r="C719" t="s">
        <v>40</v>
      </c>
      <c r="D719">
        <v>5.1147999999999998</v>
      </c>
      <c r="E719">
        <v>0.50805990000000001</v>
      </c>
      <c r="F719" t="s">
        <v>42</v>
      </c>
      <c r="G719">
        <v>-270.47800000000001</v>
      </c>
      <c r="H719" s="1">
        <v>-5.1432000000000002E-6</v>
      </c>
      <c r="I719">
        <v>363.5505</v>
      </c>
      <c r="J719">
        <v>-345.39319999999998</v>
      </c>
      <c r="K719">
        <v>1.109124</v>
      </c>
      <c r="L719">
        <v>367.41289999999998</v>
      </c>
      <c r="M719">
        <v>0.9999344</v>
      </c>
      <c r="N719">
        <v>0</v>
      </c>
      <c r="O719">
        <v>1.077911E-2</v>
      </c>
      <c r="P719">
        <v>0.99803920000000002</v>
      </c>
      <c r="Q719">
        <v>5.5381069999999998E-2</v>
      </c>
      <c r="R719">
        <v>-2.9171760000000001E-2</v>
      </c>
      <c r="S719">
        <v>3.0039370000000001</v>
      </c>
      <c r="T719">
        <v>-4.4362899999999997E-2</v>
      </c>
      <c r="U719">
        <v>-0.1544189</v>
      </c>
      <c r="V719">
        <v>3.99136E-2</v>
      </c>
      <c r="W719">
        <v>5.9274550000000002E-2</v>
      </c>
      <c r="X719">
        <v>0.99744339999999998</v>
      </c>
      <c r="Y719">
        <v>6.2091809999999997E-2</v>
      </c>
      <c r="Z719">
        <v>-6.1725129999999997E-4</v>
      </c>
      <c r="AA719">
        <v>0.99807020000000002</v>
      </c>
      <c r="AB719">
        <v>35</v>
      </c>
      <c r="AC719">
        <v>74.915199999999899</v>
      </c>
      <c r="AD719">
        <v>-1.1091291431999999</v>
      </c>
      <c r="AE719">
        <v>-3.8623999999999801</v>
      </c>
      <c r="AF719">
        <v>4.6686802224742703</v>
      </c>
      <c r="AG719">
        <v>-1.1091291431999999</v>
      </c>
      <c r="AH719">
        <v>74.852850456184896</v>
      </c>
      <c r="AI719">
        <v>90.847269633473402</v>
      </c>
      <c r="AJ719">
        <v>86.431002852384097</v>
      </c>
      <c r="AK719">
        <v>75.006506143747302</v>
      </c>
      <c r="AL719">
        <v>86.601826406547204</v>
      </c>
      <c r="AM719">
        <v>87.7084801436432</v>
      </c>
      <c r="AN719">
        <v>0.99999995197310998</v>
      </c>
    </row>
    <row r="720" spans="1:40" x14ac:dyDescent="0.25">
      <c r="A720" t="str">
        <f>"20190312151000356"</f>
        <v>20190312151000356</v>
      </c>
      <c r="B720" t="str">
        <f>"1552374600351671"</f>
        <v>1552374600351671</v>
      </c>
      <c r="C720" t="s">
        <v>40</v>
      </c>
      <c r="D720">
        <v>5.2791540000000001</v>
      </c>
      <c r="E720">
        <v>0.50782129999999903</v>
      </c>
      <c r="F720" t="s">
        <v>42</v>
      </c>
      <c r="G720">
        <v>-276.85570000000001</v>
      </c>
      <c r="H720" s="1">
        <v>-2.5739839999999998E-6</v>
      </c>
      <c r="I720">
        <v>363.91140000000001</v>
      </c>
      <c r="J720">
        <v>-345.19619999999998</v>
      </c>
      <c r="K720">
        <v>1.1092109999999999</v>
      </c>
      <c r="L720">
        <v>367.4151</v>
      </c>
      <c r="M720">
        <v>0.99993270000000001</v>
      </c>
      <c r="N720">
        <v>0</v>
      </c>
      <c r="O720">
        <v>1.084676E-2</v>
      </c>
      <c r="P720">
        <v>0.99804349999999997</v>
      </c>
      <c r="Q720">
        <v>5.5383189999999999E-2</v>
      </c>
      <c r="R720">
        <v>-2.9016219999999999E-2</v>
      </c>
      <c r="S720">
        <v>3.004089</v>
      </c>
      <c r="T720">
        <v>-4.8614499999999998E-2</v>
      </c>
      <c r="U720">
        <v>-0.1534729</v>
      </c>
      <c r="V720">
        <v>3.9825489999999998E-2</v>
      </c>
      <c r="W720">
        <v>5.9497319999999999E-2</v>
      </c>
      <c r="X720">
        <v>0.99743369999999998</v>
      </c>
      <c r="Y720">
        <v>6.1841689999999998E-2</v>
      </c>
      <c r="Z720">
        <v>-6.7544220000000002E-4</v>
      </c>
      <c r="AA720">
        <v>0.99808569999999996</v>
      </c>
      <c r="AB720">
        <v>35</v>
      </c>
      <c r="AC720">
        <v>68.340499999999906</v>
      </c>
      <c r="AD720">
        <v>-1.1092135739839999</v>
      </c>
      <c r="AE720">
        <v>-3.5036999999999798</v>
      </c>
      <c r="AF720">
        <v>4.2436581642290303</v>
      </c>
      <c r="AG720">
        <v>-1.1092135739839999</v>
      </c>
      <c r="AH720">
        <v>68.280535142072694</v>
      </c>
      <c r="AI720">
        <v>90.928892997353401</v>
      </c>
      <c r="AJ720">
        <v>86.443622406738001</v>
      </c>
      <c r="AK720">
        <v>68.421272047919103</v>
      </c>
      <c r="AL720">
        <v>86.589040199644501</v>
      </c>
      <c r="AM720">
        <v>87.713511128533696</v>
      </c>
      <c r="AN720">
        <v>0.99999999331830602</v>
      </c>
    </row>
    <row r="721" spans="1:40" x14ac:dyDescent="0.25">
      <c r="A721" t="str">
        <f>"20190312151000374"</f>
        <v>20190312151000374</v>
      </c>
      <c r="B721" t="str">
        <f>"1552374600361431"</f>
        <v>1552374600361431</v>
      </c>
      <c r="C721" t="s">
        <v>40</v>
      </c>
      <c r="D721">
        <v>5.1387660000000004</v>
      </c>
      <c r="E721">
        <v>0.50782260000000001</v>
      </c>
      <c r="F721" t="s">
        <v>43</v>
      </c>
      <c r="G721">
        <v>-278.87709999999998</v>
      </c>
      <c r="H721">
        <v>-0.05</v>
      </c>
      <c r="I721">
        <v>364.07990000000001</v>
      </c>
      <c r="J721">
        <v>-344.93270000000001</v>
      </c>
      <c r="K721">
        <v>1.1093109999999999</v>
      </c>
      <c r="L721">
        <v>367.41809999999998</v>
      </c>
      <c r="M721">
        <v>0.9999304</v>
      </c>
      <c r="N721">
        <v>0</v>
      </c>
      <c r="O721">
        <v>1.0941009999999999E-2</v>
      </c>
      <c r="P721">
        <v>0.99804230000000005</v>
      </c>
      <c r="Q721">
        <v>5.549254E-2</v>
      </c>
      <c r="R721">
        <v>-2.885211E-2</v>
      </c>
      <c r="S721">
        <v>3.0043950000000001</v>
      </c>
      <c r="T721">
        <v>-5.2514669999999999E-2</v>
      </c>
      <c r="U721">
        <v>-0.15109249999999999</v>
      </c>
      <c r="V721">
        <v>3.9755190000000003E-2</v>
      </c>
      <c r="W721">
        <v>5.9919989999999999E-2</v>
      </c>
      <c r="X721">
        <v>0.99741120000000005</v>
      </c>
      <c r="Y721">
        <v>6.1140350000000003E-2</v>
      </c>
      <c r="Z721">
        <v>-7.2508469999999999E-4</v>
      </c>
      <c r="AA721">
        <v>0.99812889999999999</v>
      </c>
      <c r="AB721">
        <v>35</v>
      </c>
      <c r="AC721">
        <v>66.055599999999998</v>
      </c>
      <c r="AD721">
        <v>-1.159311</v>
      </c>
      <c r="AE721">
        <v>-3.3381999999999699</v>
      </c>
      <c r="AF721">
        <v>4.0594749931261802</v>
      </c>
      <c r="AG721">
        <v>-1.159311</v>
      </c>
      <c r="AH721">
        <v>65.994846523521204</v>
      </c>
      <c r="AI721">
        <v>91.004495492316707</v>
      </c>
      <c r="AJ721">
        <v>86.480057045474993</v>
      </c>
      <c r="AK721">
        <v>66.129744494271705</v>
      </c>
      <c r="AL721">
        <v>86.564779700137805</v>
      </c>
      <c r="AM721">
        <v>87.717491534703498</v>
      </c>
      <c r="AN721">
        <v>0.99999999110948801</v>
      </c>
    </row>
    <row r="722" spans="1:40" x14ac:dyDescent="0.25">
      <c r="A722" t="str">
        <f>"20190312151000396"</f>
        <v>20190312151000396</v>
      </c>
      <c r="B722" t="str">
        <f>"1552374600391687"</f>
        <v>1552374600391687</v>
      </c>
      <c r="C722" t="s">
        <v>40</v>
      </c>
      <c r="D722">
        <v>5.1222269999999996</v>
      </c>
      <c r="E722">
        <v>0.50782700000000003</v>
      </c>
      <c r="F722" t="s">
        <v>43</v>
      </c>
      <c r="G722">
        <v>-280.72250000000003</v>
      </c>
      <c r="H722">
        <v>-0.05</v>
      </c>
      <c r="I722">
        <v>364.20479999999998</v>
      </c>
      <c r="J722">
        <v>-344.5772</v>
      </c>
      <c r="K722">
        <v>1.1094189999999999</v>
      </c>
      <c r="L722">
        <v>367.4221</v>
      </c>
      <c r="M722">
        <v>0.99992700000000001</v>
      </c>
      <c r="N722">
        <v>0</v>
      </c>
      <c r="O722">
        <v>1.1071350000000001E-2</v>
      </c>
      <c r="P722">
        <v>0.99804459999999995</v>
      </c>
      <c r="Q722">
        <v>5.5666100000000003E-2</v>
      </c>
      <c r="R722">
        <v>-2.8440569999999998E-2</v>
      </c>
      <c r="S722">
        <v>3.004578</v>
      </c>
      <c r="T722">
        <v>-5.4247379999999998E-2</v>
      </c>
      <c r="U722">
        <v>-0.1503601</v>
      </c>
      <c r="V722">
        <v>3.9473620000000001E-2</v>
      </c>
      <c r="W722">
        <v>6.0528749999999999E-2</v>
      </c>
      <c r="X722">
        <v>0.99738559999999998</v>
      </c>
      <c r="Y722">
        <v>6.102399E-2</v>
      </c>
      <c r="Z722">
        <v>-7.5026619999999896E-4</v>
      </c>
      <c r="AA722">
        <v>0.99813600000000002</v>
      </c>
      <c r="AB722">
        <v>35</v>
      </c>
      <c r="AC722">
        <v>63.854699999999902</v>
      </c>
      <c r="AD722">
        <v>-1.159419</v>
      </c>
      <c r="AE722">
        <v>-3.2173000000000198</v>
      </c>
      <c r="AF722">
        <v>3.92277882649846</v>
      </c>
      <c r="AG722">
        <v>-1.159419</v>
      </c>
      <c r="AH722">
        <v>63.794187497000202</v>
      </c>
      <c r="AI722">
        <v>91.039237439573697</v>
      </c>
      <c r="AJ722">
        <v>86.481246373539904</v>
      </c>
      <c r="AK722">
        <v>63.925196945661497</v>
      </c>
      <c r="AL722">
        <v>86.529836806256498</v>
      </c>
      <c r="AM722">
        <v>87.733582595299694</v>
      </c>
      <c r="AN722">
        <v>0.99999996566991201</v>
      </c>
    </row>
    <row r="723" spans="1:40" x14ac:dyDescent="0.25">
      <c r="A723" t="str">
        <f>"20190312151000419"</f>
        <v>20190312151000419</v>
      </c>
      <c r="B723" t="str">
        <f>"1552374600411208"</f>
        <v>1552374600411208</v>
      </c>
      <c r="C723" t="s">
        <v>40</v>
      </c>
      <c r="D723">
        <v>5.1200210000000004</v>
      </c>
      <c r="E723">
        <v>0.507826</v>
      </c>
      <c r="F723" t="s">
        <v>43</v>
      </c>
      <c r="G723">
        <v>-285.20089999999999</v>
      </c>
      <c r="H723">
        <v>-0.05</v>
      </c>
      <c r="I723">
        <v>364.47149999999999</v>
      </c>
      <c r="J723">
        <v>-344.22809999999998</v>
      </c>
      <c r="K723">
        <v>1.1094999999999999</v>
      </c>
      <c r="L723">
        <v>367.42610000000002</v>
      </c>
      <c r="M723">
        <v>0.99992329999999996</v>
      </c>
      <c r="N723">
        <v>0</v>
      </c>
      <c r="O723">
        <v>1.1201539999999999E-2</v>
      </c>
      <c r="P723">
        <v>0.99806010000000001</v>
      </c>
      <c r="Q723">
        <v>5.561174E-2</v>
      </c>
      <c r="R723">
        <v>-2.7994149999999999E-2</v>
      </c>
      <c r="S723">
        <v>3.0049130000000002</v>
      </c>
      <c r="T723">
        <v>-5.8675770000000002E-2</v>
      </c>
      <c r="U723">
        <v>-0.1493225</v>
      </c>
      <c r="V723">
        <v>3.9157409999999997E-2</v>
      </c>
      <c r="W723">
        <v>6.090334E-2</v>
      </c>
      <c r="X723">
        <v>0.99737529999999996</v>
      </c>
      <c r="Y723">
        <v>6.0802639999999998E-2</v>
      </c>
      <c r="Z723">
        <v>-8.1179970000000001E-4</v>
      </c>
      <c r="AA723">
        <v>0.99814950000000002</v>
      </c>
      <c r="AB723">
        <v>35</v>
      </c>
      <c r="AC723">
        <v>59.027199999999901</v>
      </c>
      <c r="AD723">
        <v>-1.1595</v>
      </c>
      <c r="AE723">
        <v>-2.9546000000000201</v>
      </c>
      <c r="AF723">
        <v>3.6142282734064102</v>
      </c>
      <c r="AG723">
        <v>-1.1595</v>
      </c>
      <c r="AH723">
        <v>58.967703246144502</v>
      </c>
      <c r="AI723">
        <v>91.124369865226598</v>
      </c>
      <c r="AJ723">
        <v>86.492634314278206</v>
      </c>
      <c r="AK723">
        <v>59.089737792510597</v>
      </c>
      <c r="AL723">
        <v>86.508334844778901</v>
      </c>
      <c r="AM723">
        <v>87.751696208329705</v>
      </c>
      <c r="AN723">
        <v>1.0000000043155699</v>
      </c>
    </row>
    <row r="724" spans="1:40" x14ac:dyDescent="0.25">
      <c r="A724" t="str">
        <f>"20190312151000431"</f>
        <v>20190312151000431</v>
      </c>
      <c r="B724" t="str">
        <f>"1552374600421943"</f>
        <v>1552374600421943</v>
      </c>
      <c r="C724" t="s">
        <v>40</v>
      </c>
      <c r="D724">
        <v>5.1253539999999997</v>
      </c>
      <c r="E724">
        <v>0.50783699999999998</v>
      </c>
      <c r="F724" t="s">
        <v>43</v>
      </c>
      <c r="G724">
        <v>-289.0616</v>
      </c>
      <c r="H724">
        <v>-0.05</v>
      </c>
      <c r="I724">
        <v>364.70569999999998</v>
      </c>
      <c r="J724">
        <v>-344.01859999999999</v>
      </c>
      <c r="K724">
        <v>1.10954</v>
      </c>
      <c r="L724">
        <v>367.42849999999999</v>
      </c>
      <c r="M724">
        <v>0.99992099999999995</v>
      </c>
      <c r="N724">
        <v>0</v>
      </c>
      <c r="O724">
        <v>1.1279330000000001E-2</v>
      </c>
      <c r="P724">
        <v>0.99808240000000004</v>
      </c>
      <c r="Q724">
        <v>5.5189019999999998E-2</v>
      </c>
      <c r="R724">
        <v>-2.8033099999999998E-2</v>
      </c>
      <c r="S724">
        <v>3.0051570000000001</v>
      </c>
      <c r="T724">
        <v>-6.3163040000000004E-2</v>
      </c>
      <c r="U724">
        <v>-0.1481934</v>
      </c>
      <c r="V724">
        <v>3.9274320000000001E-2</v>
      </c>
      <c r="W724">
        <v>6.073104E-2</v>
      </c>
      <c r="X724">
        <v>0.99738119999999997</v>
      </c>
      <c r="Y724">
        <v>6.0500020000000002E-2</v>
      </c>
      <c r="Z724">
        <v>-8.7226280000000001E-4</v>
      </c>
      <c r="AA724">
        <v>0.99816780000000005</v>
      </c>
      <c r="AB724">
        <v>35</v>
      </c>
      <c r="AC724">
        <v>54.957000000000001</v>
      </c>
      <c r="AD724">
        <v>-1.15954</v>
      </c>
      <c r="AE724">
        <v>-2.7227999999999999</v>
      </c>
      <c r="AF724">
        <v>3.3410307801552901</v>
      </c>
      <c r="AG724">
        <v>-1.15954</v>
      </c>
      <c r="AH724">
        <v>54.898412785083501</v>
      </c>
      <c r="AI724">
        <v>91.207762314291998</v>
      </c>
      <c r="AJ724">
        <v>86.517364625873896</v>
      </c>
      <c r="AK724">
        <v>55.012205427586402</v>
      </c>
      <c r="AL724">
        <v>86.518225182142601</v>
      </c>
      <c r="AM724">
        <v>87.745003823738998</v>
      </c>
      <c r="AN724">
        <v>0.99999999477219104</v>
      </c>
    </row>
    <row r="725" spans="1:40" x14ac:dyDescent="0.25">
      <c r="A725" t="str">
        <f>"20190312151000444"</f>
        <v>20190312151000444</v>
      </c>
      <c r="B725" t="str">
        <f>"1552374600441464"</f>
        <v>1552374600441464</v>
      </c>
      <c r="C725" t="s">
        <v>40</v>
      </c>
      <c r="D725">
        <v>5.1191180000000003</v>
      </c>
      <c r="E725">
        <v>0.50782850000000002</v>
      </c>
      <c r="F725" t="s">
        <v>43</v>
      </c>
      <c r="G725">
        <v>-291.20769999999999</v>
      </c>
      <c r="H725">
        <v>-0.05</v>
      </c>
      <c r="I725">
        <v>364.82429999999999</v>
      </c>
      <c r="J725">
        <v>-343.82960000000003</v>
      </c>
      <c r="K725">
        <v>1.109569</v>
      </c>
      <c r="L725">
        <v>367.4307</v>
      </c>
      <c r="M725">
        <v>0.99991909999999895</v>
      </c>
      <c r="N725">
        <v>0</v>
      </c>
      <c r="O725">
        <v>1.134917E-2</v>
      </c>
      <c r="P725">
        <v>0.99809959999999998</v>
      </c>
      <c r="Q725">
        <v>5.4872520000000001E-2</v>
      </c>
      <c r="R725">
        <v>-2.8042890000000001E-2</v>
      </c>
      <c r="S725">
        <v>3.0052189999999999</v>
      </c>
      <c r="T725">
        <v>-6.5983890000000003E-2</v>
      </c>
      <c r="U725">
        <v>-0.1481934</v>
      </c>
      <c r="V725">
        <v>3.9353890000000002E-2</v>
      </c>
      <c r="W725">
        <v>6.0635380000000003E-2</v>
      </c>
      <c r="X725">
        <v>0.99738389999999999</v>
      </c>
      <c r="Y725">
        <v>6.0567290000000003E-2</v>
      </c>
      <c r="Z725">
        <v>-9.1346109999999999E-4</v>
      </c>
      <c r="AA725">
        <v>0.99816369999999999</v>
      </c>
      <c r="AB725">
        <v>35</v>
      </c>
      <c r="AC725">
        <v>52.621899999999997</v>
      </c>
      <c r="AD725">
        <v>-1.1595690000000001</v>
      </c>
      <c r="AE725">
        <v>-2.6063999999999998</v>
      </c>
      <c r="AF725">
        <v>3.2019058980370398</v>
      </c>
      <c r="AG725">
        <v>-1.1595690000000001</v>
      </c>
      <c r="AH725">
        <v>52.5634686006726</v>
      </c>
      <c r="AI725">
        <v>91.261423078005095</v>
      </c>
      <c r="AJ725">
        <v>86.514132528328801</v>
      </c>
      <c r="AK725">
        <v>52.673665459881697</v>
      </c>
      <c r="AL725">
        <v>86.523716272386906</v>
      </c>
      <c r="AM725">
        <v>87.740446029573604</v>
      </c>
      <c r="AN725">
        <v>1.00000001097254</v>
      </c>
    </row>
    <row r="726" spans="1:40" x14ac:dyDescent="0.25">
      <c r="A726" t="str">
        <f>"20190312151000456"</f>
        <v>20190312151000456</v>
      </c>
      <c r="B726" t="str">
        <f>"1552374600451223"</f>
        <v>1552374600451223</v>
      </c>
      <c r="C726" t="s">
        <v>40</v>
      </c>
      <c r="D726">
        <v>5.0824299999999996</v>
      </c>
      <c r="E726">
        <v>0.50784609999999997</v>
      </c>
      <c r="F726" t="s">
        <v>43</v>
      </c>
      <c r="G726">
        <v>-295.05309999999997</v>
      </c>
      <c r="H726">
        <v>-0.05</v>
      </c>
      <c r="I726">
        <v>365.02859999999998</v>
      </c>
      <c r="J726">
        <v>-343.6352</v>
      </c>
      <c r="K726">
        <v>1.1095930000000001</v>
      </c>
      <c r="L726">
        <v>367.43299999999999</v>
      </c>
      <c r="M726">
        <v>0.9999169</v>
      </c>
      <c r="N726">
        <v>0</v>
      </c>
      <c r="O726">
        <v>1.1421260000000001E-2</v>
      </c>
      <c r="P726">
        <v>0.99810390000000004</v>
      </c>
      <c r="Q726">
        <v>5.4794719999999998E-2</v>
      </c>
      <c r="R726">
        <v>-2.804131E-2</v>
      </c>
      <c r="S726">
        <v>3.005493</v>
      </c>
      <c r="T726">
        <v>-7.1449879999999993E-2</v>
      </c>
      <c r="U726">
        <v>-0.14801029999999901</v>
      </c>
      <c r="V726">
        <v>3.9424269999999997E-2</v>
      </c>
      <c r="W726">
        <v>6.0778640000000002E-2</v>
      </c>
      <c r="X726">
        <v>0.99737240000000005</v>
      </c>
      <c r="Y726">
        <v>6.0571100000000003E-2</v>
      </c>
      <c r="Z726">
        <v>-9.9077939999999993E-4</v>
      </c>
      <c r="AA726">
        <v>0.99816340000000003</v>
      </c>
      <c r="AB726">
        <v>35</v>
      </c>
      <c r="AC726">
        <v>48.582099999999997</v>
      </c>
      <c r="AD726">
        <v>-1.1595930000000001</v>
      </c>
      <c r="AE726">
        <v>-2.4044000000000598</v>
      </c>
      <c r="AF726">
        <v>2.9574410961883002</v>
      </c>
      <c r="AG726">
        <v>-1.1595930000000001</v>
      </c>
      <c r="AH726">
        <v>48.523892063051903</v>
      </c>
      <c r="AI726">
        <v>91.366422817793804</v>
      </c>
      <c r="AJ726">
        <v>86.512243015573006</v>
      </c>
      <c r="AK726">
        <v>48.627761769484998</v>
      </c>
      <c r="AL726">
        <v>86.515492909518798</v>
      </c>
      <c r="AM726">
        <v>87.736383198783201</v>
      </c>
      <c r="AN726">
        <v>1.00000001021352</v>
      </c>
    </row>
    <row r="727" spans="1:40" x14ac:dyDescent="0.25">
      <c r="A727" t="str">
        <f>"20190312151000474"</f>
        <v>20190312151000474</v>
      </c>
      <c r="B727" t="str">
        <f>"1552374600461959"</f>
        <v>1552374600461959</v>
      </c>
      <c r="C727" t="s">
        <v>40</v>
      </c>
      <c r="D727">
        <v>5.207001</v>
      </c>
      <c r="E727">
        <v>0.50768530000000001</v>
      </c>
      <c r="F727" t="s">
        <v>43</v>
      </c>
      <c r="G727">
        <v>-296.06319999999999</v>
      </c>
      <c r="H727">
        <v>-0.05</v>
      </c>
      <c r="I727">
        <v>365.08980000000003</v>
      </c>
      <c r="J727">
        <v>-343.36520000000002</v>
      </c>
      <c r="K727">
        <v>1.109618</v>
      </c>
      <c r="L727">
        <v>367.43610000000001</v>
      </c>
      <c r="M727">
        <v>0.99991410000000003</v>
      </c>
      <c r="N727">
        <v>0</v>
      </c>
      <c r="O727">
        <v>1.152013E-2</v>
      </c>
      <c r="P727">
        <v>0.99810810000000005</v>
      </c>
      <c r="Q727">
        <v>5.4641700000000001E-2</v>
      </c>
      <c r="R727">
        <v>-2.8190509999999998E-2</v>
      </c>
      <c r="S727">
        <v>3.0055540000000001</v>
      </c>
      <c r="T727">
        <v>-7.3262099999999997E-2</v>
      </c>
      <c r="U727">
        <v>-0.1480408</v>
      </c>
      <c r="V727">
        <v>3.9672140000000002E-2</v>
      </c>
      <c r="W727">
        <v>6.0912849999999998E-2</v>
      </c>
      <c r="X727">
        <v>0.99735439999999997</v>
      </c>
      <c r="Y727">
        <v>6.0677839999999997E-2</v>
      </c>
      <c r="Z727">
        <v>-1.019589E-3</v>
      </c>
      <c r="AA727">
        <v>0.99815690000000001</v>
      </c>
      <c r="AB727">
        <v>35</v>
      </c>
      <c r="AC727">
        <v>47.302</v>
      </c>
      <c r="AD727">
        <v>-1.159618</v>
      </c>
      <c r="AE727">
        <v>-2.3462999999999798</v>
      </c>
      <c r="AF727">
        <v>2.88934791144393</v>
      </c>
      <c r="AG727">
        <v>-1.159618</v>
      </c>
      <c r="AH727">
        <v>47.2435073331932</v>
      </c>
      <c r="AI727">
        <v>91.403453022544099</v>
      </c>
      <c r="AJ727">
        <v>86.500228097189506</v>
      </c>
      <c r="AK727">
        <v>47.345982199134603</v>
      </c>
      <c r="AL727">
        <v>86.507789026290098</v>
      </c>
      <c r="AM727">
        <v>87.722125165800506</v>
      </c>
      <c r="AN727">
        <v>1.00000002659333</v>
      </c>
    </row>
    <row r="728" spans="1:40" x14ac:dyDescent="0.25">
      <c r="A728" t="str">
        <f>"20190312151000487"</f>
        <v>20190312151000487</v>
      </c>
      <c r="B728" t="str">
        <f>"1552374600481479"</f>
        <v>1552374600481479</v>
      </c>
      <c r="C728" t="s">
        <v>40</v>
      </c>
      <c r="D728">
        <v>5.2784779999999998</v>
      </c>
      <c r="E728">
        <v>0.4850256</v>
      </c>
      <c r="F728" t="s">
        <v>43</v>
      </c>
      <c r="G728">
        <v>-295.33229999999998</v>
      </c>
      <c r="H728">
        <v>-0.05</v>
      </c>
      <c r="I728">
        <v>365.08089999999999</v>
      </c>
      <c r="J728">
        <v>-343.14729999999997</v>
      </c>
      <c r="K728">
        <v>1.109632</v>
      </c>
      <c r="L728">
        <v>367.43869999999998</v>
      </c>
      <c r="M728">
        <v>0.99991169999999996</v>
      </c>
      <c r="N728">
        <v>0</v>
      </c>
      <c r="O728">
        <v>1.1599740000000001E-2</v>
      </c>
      <c r="P728">
        <v>0.9981257</v>
      </c>
      <c r="Q728">
        <v>5.4364019999999999E-2</v>
      </c>
      <c r="R728">
        <v>-2.810354E-2</v>
      </c>
      <c r="S728">
        <v>3.005493</v>
      </c>
      <c r="T728">
        <v>-7.2558999999999998E-2</v>
      </c>
      <c r="U728">
        <v>-0.14736939999999901</v>
      </c>
      <c r="V728">
        <v>3.966459E-2</v>
      </c>
      <c r="W728">
        <v>6.0853839999999999E-2</v>
      </c>
      <c r="X728">
        <v>0.99735830000000003</v>
      </c>
      <c r="Y728">
        <v>6.0536300000000001E-2</v>
      </c>
      <c r="Z728">
        <v>-1.010047E-3</v>
      </c>
      <c r="AA728">
        <v>0.99816550000000004</v>
      </c>
      <c r="AB728">
        <v>35</v>
      </c>
      <c r="AC728">
        <v>47.814999999999998</v>
      </c>
      <c r="AD728">
        <v>-1.159632</v>
      </c>
      <c r="AE728">
        <v>-2.3577999999999899</v>
      </c>
      <c r="AF728">
        <v>2.9105867854310801</v>
      </c>
      <c r="AG728">
        <v>-1.159632</v>
      </c>
      <c r="AH728">
        <v>47.756411118466197</v>
      </c>
      <c r="AI728">
        <v>91.388420532218404</v>
      </c>
      <c r="AJ728">
        <v>86.512335978038195</v>
      </c>
      <c r="AK728">
        <v>47.859075050892002</v>
      </c>
      <c r="AL728">
        <v>86.511176325136503</v>
      </c>
      <c r="AM728">
        <v>87.722567107533493</v>
      </c>
      <c r="AN728">
        <v>1.0000000240607501</v>
      </c>
    </row>
    <row r="729" spans="1:40" x14ac:dyDescent="0.25">
      <c r="A729" t="str">
        <f>"20190312151000507"</f>
        <v>20190312151000507</v>
      </c>
      <c r="B729" t="str">
        <f>"1552374600501000"</f>
        <v>1552374600501000</v>
      </c>
      <c r="C729" t="s">
        <v>40</v>
      </c>
      <c r="D729">
        <v>5.2799100000000001</v>
      </c>
      <c r="E729">
        <v>0.48180840000000003</v>
      </c>
      <c r="F729" t="s">
        <v>43</v>
      </c>
      <c r="G729">
        <v>-308.00709999999998</v>
      </c>
      <c r="H729">
        <v>-0.05</v>
      </c>
      <c r="I729">
        <v>367.82639999999998</v>
      </c>
      <c r="J729">
        <v>-342.83929999999998</v>
      </c>
      <c r="K729">
        <v>1.1096459999999999</v>
      </c>
      <c r="L729">
        <v>367.44240000000002</v>
      </c>
      <c r="M729">
        <v>0.99990840000000003</v>
      </c>
      <c r="N729">
        <v>0</v>
      </c>
      <c r="O729">
        <v>1.171211E-2</v>
      </c>
      <c r="P729">
        <v>0.99814630000000004</v>
      </c>
      <c r="Q729">
        <v>5.3769320000000002E-2</v>
      </c>
      <c r="R729">
        <v>-2.8512969999999999E-2</v>
      </c>
      <c r="S729">
        <v>3.0119929999999999</v>
      </c>
      <c r="T729">
        <v>-9.9396230000000002E-2</v>
      </c>
      <c r="U729">
        <v>3.3233640000000002E-2</v>
      </c>
      <c r="V729">
        <v>4.0186230000000003E-2</v>
      </c>
      <c r="W729">
        <v>6.0551130000000002E-2</v>
      </c>
      <c r="X729">
        <v>0.99735580000000001</v>
      </c>
      <c r="Y729">
        <v>6.7258929999999904E-4</v>
      </c>
      <c r="Z729">
        <v>-3.9747509999999998E-4</v>
      </c>
      <c r="AA729">
        <v>0.99999970000000005</v>
      </c>
      <c r="AB729">
        <v>35</v>
      </c>
      <c r="AC729">
        <v>34.8322</v>
      </c>
      <c r="AD729">
        <v>-1.159646</v>
      </c>
      <c r="AE729">
        <v>0.38399999999995699</v>
      </c>
      <c r="AF729">
        <v>2.3967722295056799E-2</v>
      </c>
      <c r="AG729">
        <v>-1.159646</v>
      </c>
      <c r="AH729">
        <v>34.7957460781995</v>
      </c>
      <c r="AI729">
        <v>91.908802948701506</v>
      </c>
      <c r="AJ729">
        <v>89.960533994248095</v>
      </c>
      <c r="AK729">
        <v>34.8150728627066</v>
      </c>
      <c r="AL729">
        <v>86.528552227496306</v>
      </c>
      <c r="AM729">
        <v>87.692642341707696</v>
      </c>
      <c r="AN729">
        <v>0.99999998210976404</v>
      </c>
    </row>
    <row r="730" spans="1:40" x14ac:dyDescent="0.25">
      <c r="A730" t="str">
        <f>"20190312151000521"</f>
        <v>20190312151000521</v>
      </c>
      <c r="B730" t="str">
        <f>"1552374600511736"</f>
        <v>1552374600511736</v>
      </c>
      <c r="C730" t="s">
        <v>40</v>
      </c>
      <c r="D730">
        <v>5.2703769999999999</v>
      </c>
      <c r="E730">
        <v>0.48076770000000002</v>
      </c>
      <c r="F730" t="s">
        <v>42</v>
      </c>
      <c r="G730">
        <v>-320.53129999999999</v>
      </c>
      <c r="H730" s="1">
        <v>-4.3545049999999999E-6</v>
      </c>
      <c r="I730">
        <v>367.86790000000002</v>
      </c>
      <c r="J730">
        <v>-342.61770000000001</v>
      </c>
      <c r="K730">
        <v>1.1096520000000001</v>
      </c>
      <c r="L730">
        <v>367.44499999999999</v>
      </c>
      <c r="M730">
        <v>0.99990619999999997</v>
      </c>
      <c r="N730">
        <v>0</v>
      </c>
      <c r="O730">
        <v>1.1792759999999999E-2</v>
      </c>
      <c r="P730">
        <v>0.99815319999999996</v>
      </c>
      <c r="Q730">
        <v>5.3533440000000002E-2</v>
      </c>
      <c r="R730">
        <v>-2.8714E-2</v>
      </c>
      <c r="S730">
        <v>3.0152890000000001</v>
      </c>
      <c r="T730">
        <v>-0.14998689999999901</v>
      </c>
      <c r="U730">
        <v>5.7525630000000001E-2</v>
      </c>
      <c r="V730">
        <v>4.0467749999999997E-2</v>
      </c>
      <c r="W730">
        <v>6.0511139999999998E-2</v>
      </c>
      <c r="X730">
        <v>0.99734690000000004</v>
      </c>
      <c r="Y730">
        <v>-7.2878489999999999E-3</v>
      </c>
      <c r="Z730">
        <v>-4.050406E-4</v>
      </c>
      <c r="AA730">
        <v>0.99997340000000001</v>
      </c>
      <c r="AB730">
        <v>35</v>
      </c>
      <c r="AC730">
        <v>22.086400000000001</v>
      </c>
      <c r="AD730">
        <v>-1.109656354505</v>
      </c>
      <c r="AE730">
        <v>0.42290000000002598</v>
      </c>
      <c r="AF730">
        <v>-0.161995894309409</v>
      </c>
      <c r="AG730">
        <v>-1.109656354505</v>
      </c>
      <c r="AH730">
        <v>22.034252473554801</v>
      </c>
      <c r="AI730">
        <v>92.882931685603694</v>
      </c>
      <c r="AJ730">
        <v>90.421231163977495</v>
      </c>
      <c r="AK730">
        <v>22.062770949344099</v>
      </c>
      <c r="AL730">
        <v>86.530847888707697</v>
      </c>
      <c r="AM730">
        <v>87.676475356271894</v>
      </c>
      <c r="AN730">
        <v>1.0000000378968801</v>
      </c>
    </row>
    <row r="731" spans="1:40" x14ac:dyDescent="0.25">
      <c r="A731" t="str">
        <f>"20190312151000533"</f>
        <v>20190312151000533</v>
      </c>
      <c r="B731" t="str">
        <f>"1552374600521496"</f>
        <v>1552374600521496</v>
      </c>
      <c r="C731" t="s">
        <v>40</v>
      </c>
      <c r="D731">
        <v>5.1673359999999997</v>
      </c>
      <c r="E731">
        <v>0.48091780000000001</v>
      </c>
      <c r="F731" t="s">
        <v>42</v>
      </c>
      <c r="G731">
        <v>-320.44369999999998</v>
      </c>
      <c r="H731" s="1">
        <v>-4.3821860000000002E-6</v>
      </c>
      <c r="I731">
        <v>367.9239</v>
      </c>
      <c r="J731">
        <v>-342.42720000000003</v>
      </c>
      <c r="K731">
        <v>1.1096539999999999</v>
      </c>
      <c r="L731">
        <v>367.44729999999998</v>
      </c>
      <c r="M731">
        <v>0.99990420000000002</v>
      </c>
      <c r="N731">
        <v>0</v>
      </c>
      <c r="O731">
        <v>1.1862080000000001E-2</v>
      </c>
      <c r="P731">
        <v>0.99815659999999895</v>
      </c>
      <c r="Q731">
        <v>5.3345139999999999E-2</v>
      </c>
      <c r="R731">
        <v>-2.894687E-2</v>
      </c>
      <c r="S731">
        <v>3.0154719999999999</v>
      </c>
      <c r="T731">
        <v>-0.1509027</v>
      </c>
      <c r="U731">
        <v>6.5124509999999997E-2</v>
      </c>
      <c r="V731">
        <v>4.076979E-2</v>
      </c>
      <c r="W731">
        <v>6.0479730000000002E-2</v>
      </c>
      <c r="X731">
        <v>0.99733640000000001</v>
      </c>
      <c r="Y731">
        <v>-9.7332819999999994E-3</v>
      </c>
      <c r="Z731">
        <v>-3.4979750000000001E-4</v>
      </c>
      <c r="AA731">
        <v>0.99995259999999997</v>
      </c>
      <c r="AB731">
        <v>35</v>
      </c>
      <c r="AC731">
        <v>21.983499999999999</v>
      </c>
      <c r="AD731">
        <v>-1.109658382186</v>
      </c>
      <c r="AE731">
        <v>0.47660000000001901</v>
      </c>
      <c r="AF731">
        <v>-0.215241636275156</v>
      </c>
      <c r="AG731">
        <v>-1.109658382186</v>
      </c>
      <c r="AH731">
        <v>21.931752852755501</v>
      </c>
      <c r="AI731">
        <v>92.896326568752201</v>
      </c>
      <c r="AJ731">
        <v>90.562291646086393</v>
      </c>
      <c r="AK731">
        <v>21.960861865634801</v>
      </c>
      <c r="AL731">
        <v>86.532650491049793</v>
      </c>
      <c r="AM731">
        <v>87.659127819439107</v>
      </c>
      <c r="AN731">
        <v>0.999999934141236</v>
      </c>
    </row>
    <row r="732" spans="1:40" x14ac:dyDescent="0.25">
      <c r="A732" t="str">
        <f>"20190312151000545"</f>
        <v>20190312151000545</v>
      </c>
      <c r="B732" t="str">
        <f>"1552374600541017"</f>
        <v>1552374600541017</v>
      </c>
      <c r="C732" t="s">
        <v>40</v>
      </c>
      <c r="D732">
        <v>5.2266979999999998</v>
      </c>
      <c r="E732">
        <v>0.48139189999999998</v>
      </c>
      <c r="F732" t="s">
        <v>43</v>
      </c>
      <c r="G732">
        <v>-318.75580000000002</v>
      </c>
      <c r="H732">
        <v>-0.05</v>
      </c>
      <c r="I732">
        <v>367.94369999999998</v>
      </c>
      <c r="J732">
        <v>-342.23809999999997</v>
      </c>
      <c r="K732">
        <v>1.1096549999999901</v>
      </c>
      <c r="L732">
        <v>367.44959999999998</v>
      </c>
      <c r="M732">
        <v>0.99990239999999997</v>
      </c>
      <c r="N732">
        <v>0</v>
      </c>
      <c r="O732">
        <v>1.1930939999999999E-2</v>
      </c>
      <c r="P732">
        <v>0.99816539999999998</v>
      </c>
      <c r="Q732">
        <v>5.3195180000000002E-2</v>
      </c>
      <c r="R732">
        <v>-2.8926380000000002E-2</v>
      </c>
      <c r="S732">
        <v>3.015228</v>
      </c>
      <c r="T732">
        <v>-0.1477145</v>
      </c>
      <c r="U732">
        <v>6.3232419999999998E-2</v>
      </c>
      <c r="V732">
        <v>4.0817869999999999E-2</v>
      </c>
      <c r="W732">
        <v>6.0477830000000003E-2</v>
      </c>
      <c r="X732">
        <v>0.99733459999999996</v>
      </c>
      <c r="Y732">
        <v>-9.0397529999999993E-3</v>
      </c>
      <c r="Z732">
        <v>-3.6279379999999998E-4</v>
      </c>
      <c r="AA732">
        <v>0.99995909999999999</v>
      </c>
      <c r="AB732">
        <v>35</v>
      </c>
      <c r="AC732">
        <v>23.482299999999899</v>
      </c>
      <c r="AD732">
        <v>-1.1596550000000001</v>
      </c>
      <c r="AE732">
        <v>0.49410000000000298</v>
      </c>
      <c r="AF732">
        <v>-0.21337137488971999</v>
      </c>
      <c r="AG732">
        <v>-1.1596550000000001</v>
      </c>
      <c r="AH732">
        <v>23.429409386317499</v>
      </c>
      <c r="AI732">
        <v>92.833464947214694</v>
      </c>
      <c r="AJ732">
        <v>90.521777612415093</v>
      </c>
      <c r="AK732">
        <v>23.459061175893499</v>
      </c>
      <c r="AL732">
        <v>86.532759730603601</v>
      </c>
      <c r="AM732">
        <v>87.656366069479901</v>
      </c>
      <c r="AN732">
        <v>0.99999998539500201</v>
      </c>
    </row>
    <row r="733" spans="1:40" x14ac:dyDescent="0.25">
      <c r="A733" t="str">
        <f>"20190312151000557"</f>
        <v>20190312151000557</v>
      </c>
      <c r="B733" t="str">
        <f>"1552374600551752"</f>
        <v>1552374600551752</v>
      </c>
      <c r="C733" t="s">
        <v>40</v>
      </c>
      <c r="D733">
        <v>5.2278609999999999</v>
      </c>
      <c r="E733">
        <v>0.48166789999999998</v>
      </c>
      <c r="F733" t="s">
        <v>43</v>
      </c>
      <c r="G733">
        <v>-315.25580000000002</v>
      </c>
      <c r="H733">
        <v>-0.05</v>
      </c>
      <c r="I733">
        <v>367.98430000000002</v>
      </c>
      <c r="J733">
        <v>-342.04489999999998</v>
      </c>
      <c r="K733">
        <v>1.1096600000000001</v>
      </c>
      <c r="L733">
        <v>367.452</v>
      </c>
      <c r="M733">
        <v>0.99990040000000002</v>
      </c>
      <c r="N733">
        <v>0</v>
      </c>
      <c r="O733">
        <v>1.200147E-2</v>
      </c>
      <c r="P733">
        <v>0.99818200000000001</v>
      </c>
      <c r="Q733">
        <v>5.3014840000000001E-2</v>
      </c>
      <c r="R733">
        <v>-2.8673750000000001E-2</v>
      </c>
      <c r="S733">
        <v>3.0141909999999998</v>
      </c>
      <c r="T733">
        <v>-0.12954499999999999</v>
      </c>
      <c r="U733">
        <v>5.9722900000000002E-2</v>
      </c>
      <c r="V733">
        <v>4.0636070000000003E-2</v>
      </c>
      <c r="W733">
        <v>6.0443070000000002E-2</v>
      </c>
      <c r="X733">
        <v>0.99734409999999896</v>
      </c>
      <c r="Y733">
        <v>-7.8130170000000002E-3</v>
      </c>
      <c r="Z733">
        <v>-3.4770310000000002E-4</v>
      </c>
      <c r="AA733">
        <v>0.99996940000000001</v>
      </c>
      <c r="AB733">
        <v>35</v>
      </c>
      <c r="AC733">
        <v>26.789099999999902</v>
      </c>
      <c r="AD733">
        <v>-1.1596599999999999</v>
      </c>
      <c r="AE733">
        <v>0.53230000000001998</v>
      </c>
      <c r="AF733">
        <v>-0.21035019631593899</v>
      </c>
      <c r="AG733">
        <v>-1.1596599999999999</v>
      </c>
      <c r="AH733">
        <v>26.743464445598502</v>
      </c>
      <c r="AI733">
        <v>92.482848654216596</v>
      </c>
      <c r="AJ733">
        <v>90.450649539562903</v>
      </c>
      <c r="AK733">
        <v>26.769421903987499</v>
      </c>
      <c r="AL733">
        <v>86.534754874346206</v>
      </c>
      <c r="AM733">
        <v>87.666815092706301</v>
      </c>
      <c r="AN733">
        <v>0.99999995435043798</v>
      </c>
    </row>
    <row r="734" spans="1:40" x14ac:dyDescent="0.25">
      <c r="A734" t="str">
        <f>"20190312151000575"</f>
        <v>20190312151000575</v>
      </c>
      <c r="B734" t="str">
        <f>"1552374600571272"</f>
        <v>1552374600571272</v>
      </c>
      <c r="C734" t="s">
        <v>40</v>
      </c>
      <c r="D734">
        <v>5.1538250000000003</v>
      </c>
      <c r="E734">
        <v>0.48189769999999998</v>
      </c>
      <c r="F734" t="s">
        <v>43</v>
      </c>
      <c r="G734">
        <v>-314.00810000000001</v>
      </c>
      <c r="H734">
        <v>-0.05</v>
      </c>
      <c r="I734">
        <v>367.99400000000003</v>
      </c>
      <c r="J734">
        <v>-341.7799</v>
      </c>
      <c r="K734">
        <v>1.1096649999999999</v>
      </c>
      <c r="L734">
        <v>367.45530000000002</v>
      </c>
      <c r="M734">
        <v>0.99989779999999995</v>
      </c>
      <c r="N734">
        <v>0</v>
      </c>
      <c r="O734">
        <v>1.2098299999999999E-2</v>
      </c>
      <c r="P734">
        <v>0.99816150000000003</v>
      </c>
      <c r="Q734">
        <v>5.3199780000000002E-2</v>
      </c>
      <c r="R734">
        <v>-2.904435E-2</v>
      </c>
      <c r="S734">
        <v>3.0137330000000002</v>
      </c>
      <c r="T734">
        <v>-0.1246539</v>
      </c>
      <c r="U734">
        <v>5.825806E-2</v>
      </c>
      <c r="V734">
        <v>4.1102840000000002E-2</v>
      </c>
      <c r="W734">
        <v>6.081338E-2</v>
      </c>
      <c r="X734">
        <v>0.99730249999999998</v>
      </c>
      <c r="Y734">
        <v>-7.2336090000000002E-3</v>
      </c>
      <c r="Z734">
        <v>-3.5061929999999998E-4</v>
      </c>
      <c r="AA734">
        <v>0.99997380000000002</v>
      </c>
      <c r="AB734">
        <v>35</v>
      </c>
      <c r="AC734">
        <v>27.771799999999899</v>
      </c>
      <c r="AD734">
        <v>-1.1596649999999999</v>
      </c>
      <c r="AE734">
        <v>0.53870000000000495</v>
      </c>
      <c r="AF734">
        <v>-0.202306638770686</v>
      </c>
      <c r="AG734">
        <v>-1.1596649999999999</v>
      </c>
      <c r="AH734">
        <v>27.727955475322499</v>
      </c>
      <c r="AI734">
        <v>92.394819377257605</v>
      </c>
      <c r="AJ734">
        <v>90.418029771579</v>
      </c>
      <c r="AK734">
        <v>27.7529325608985</v>
      </c>
      <c r="AL734">
        <v>86.513498707331394</v>
      </c>
      <c r="AM734">
        <v>87.639946548499196</v>
      </c>
      <c r="AN734">
        <v>0.99999999357466895</v>
      </c>
    </row>
    <row r="735" spans="1:40" x14ac:dyDescent="0.25">
      <c r="A735" t="str">
        <f>"20190312151000590"</f>
        <v>20190312151000590</v>
      </c>
      <c r="B735" t="str">
        <f>"1552374600582008"</f>
        <v>1552374600582008</v>
      </c>
      <c r="C735" t="s">
        <v>40</v>
      </c>
      <c r="D735">
        <v>5.2885350000000004</v>
      </c>
      <c r="E735">
        <v>0.48212189999999999</v>
      </c>
      <c r="F735" t="s">
        <v>43</v>
      </c>
      <c r="G735">
        <v>-311.55919999999998</v>
      </c>
      <c r="H735">
        <v>-0.05</v>
      </c>
      <c r="I735">
        <v>368.01069999999999</v>
      </c>
      <c r="J735">
        <v>-341.5342</v>
      </c>
      <c r="K735">
        <v>1.109667</v>
      </c>
      <c r="L735">
        <v>367.45830000000001</v>
      </c>
      <c r="M735">
        <v>0.99989550000000005</v>
      </c>
      <c r="N735">
        <v>0</v>
      </c>
      <c r="O735">
        <v>1.218786E-2</v>
      </c>
      <c r="P735">
        <v>0.99816150000000003</v>
      </c>
      <c r="Q735">
        <v>5.3268830000000003E-2</v>
      </c>
      <c r="R735">
        <v>-2.892227E-2</v>
      </c>
      <c r="S735">
        <v>3.013306</v>
      </c>
      <c r="T735">
        <v>-0.11563030000000001</v>
      </c>
      <c r="U735">
        <v>5.5389399999999998E-2</v>
      </c>
      <c r="V735">
        <v>4.1069950000000001E-2</v>
      </c>
      <c r="W735">
        <v>6.1046589999999998E-2</v>
      </c>
      <c r="X735">
        <v>0.9972896</v>
      </c>
      <c r="Y735">
        <v>-6.1953779999999996E-3</v>
      </c>
      <c r="Z735">
        <v>-3.4865390000000002E-4</v>
      </c>
      <c r="AA735">
        <v>0.99998069999999895</v>
      </c>
      <c r="AB735">
        <v>35</v>
      </c>
      <c r="AC735">
        <v>29.975000000000001</v>
      </c>
      <c r="AD735">
        <v>-1.159667</v>
      </c>
      <c r="AE735">
        <v>0.55239999999997702</v>
      </c>
      <c r="AF735">
        <v>-0.18673741925050999</v>
      </c>
      <c r="AG735">
        <v>-1.159667</v>
      </c>
      <c r="AH735">
        <v>29.934716790397399</v>
      </c>
      <c r="AI735">
        <v>92.218478465240807</v>
      </c>
      <c r="AJ735">
        <v>90.357415347956803</v>
      </c>
      <c r="AK735">
        <v>29.957753048850901</v>
      </c>
      <c r="AL735">
        <v>86.500111861908906</v>
      </c>
      <c r="AM735">
        <v>87.641802433580395</v>
      </c>
      <c r="AN735">
        <v>0.99999998660589495</v>
      </c>
    </row>
    <row r="736" spans="1:40" x14ac:dyDescent="0.25">
      <c r="A736" t="str">
        <f>"20190312151000613"</f>
        <v>20190312151000613</v>
      </c>
      <c r="B736" t="str">
        <f>"1552374600601527"</f>
        <v>1552374600601527</v>
      </c>
      <c r="C736" t="s">
        <v>40</v>
      </c>
      <c r="D736">
        <v>5.1292759999999999</v>
      </c>
      <c r="E736">
        <v>0.48214940000000001</v>
      </c>
      <c r="F736" t="s">
        <v>43</v>
      </c>
      <c r="G736">
        <v>-310.16590000000002</v>
      </c>
      <c r="H736">
        <v>-0.05</v>
      </c>
      <c r="I736">
        <v>368.02260000000001</v>
      </c>
      <c r="J736">
        <v>-341.18830000000003</v>
      </c>
      <c r="K736">
        <v>1.1096729999999999</v>
      </c>
      <c r="L736">
        <v>367.46260000000001</v>
      </c>
      <c r="M736">
        <v>0.99989220000000001</v>
      </c>
      <c r="N736">
        <v>0</v>
      </c>
      <c r="O736">
        <v>1.231404E-2</v>
      </c>
      <c r="P736">
        <v>0.99817940000000005</v>
      </c>
      <c r="Q736">
        <v>5.2924150000000003E-2</v>
      </c>
      <c r="R736">
        <v>-2.8928519999999999E-2</v>
      </c>
      <c r="S736">
        <v>3.0129999999999999</v>
      </c>
      <c r="T736">
        <v>-0.1113884</v>
      </c>
      <c r="U736">
        <v>5.4199219999999999E-2</v>
      </c>
      <c r="V736">
        <v>4.1202549999999998E-2</v>
      </c>
      <c r="W736">
        <v>6.0917609999999997E-2</v>
      </c>
      <c r="X736">
        <v>0.99729199999999996</v>
      </c>
      <c r="Y736">
        <v>-5.6762679999999999E-3</v>
      </c>
      <c r="Z736">
        <v>-3.5016289999999998E-4</v>
      </c>
      <c r="AA736">
        <v>0.99998379999999998</v>
      </c>
      <c r="AB736">
        <v>35</v>
      </c>
      <c r="AC736">
        <v>31.022400000000001</v>
      </c>
      <c r="AD736">
        <v>-1.159673</v>
      </c>
      <c r="AE736">
        <v>0.56000000000000205</v>
      </c>
      <c r="AF736">
        <v>-0.17768602996423499</v>
      </c>
      <c r="AG736">
        <v>-1.159673</v>
      </c>
      <c r="AH736">
        <v>30.983661372146901</v>
      </c>
      <c r="AI736">
        <v>92.143461210387798</v>
      </c>
      <c r="AJ736">
        <v>90.3285779516887</v>
      </c>
      <c r="AK736">
        <v>31.005865345383299</v>
      </c>
      <c r="AL736">
        <v>86.507515590626696</v>
      </c>
      <c r="AM736">
        <v>87.634202991468598</v>
      </c>
      <c r="AN736">
        <v>0.99999996929930601</v>
      </c>
    </row>
    <row r="737" spans="1:40" x14ac:dyDescent="0.25">
      <c r="A737" t="str">
        <f>"20190312151000631"</f>
        <v>20190312151000631</v>
      </c>
      <c r="B737" t="str">
        <f>"1552374600621048"</f>
        <v>1552374600621048</v>
      </c>
      <c r="C737" t="s">
        <v>40</v>
      </c>
      <c r="D737">
        <v>5.157</v>
      </c>
      <c r="E737">
        <v>0.4822514</v>
      </c>
      <c r="F737" t="s">
        <v>43</v>
      </c>
      <c r="G737">
        <v>-309.04410000000001</v>
      </c>
      <c r="H737">
        <v>-0.05</v>
      </c>
      <c r="I737">
        <v>368.03539999999998</v>
      </c>
      <c r="J737">
        <v>-340.8741</v>
      </c>
      <c r="K737">
        <v>1.1096710000000001</v>
      </c>
      <c r="L737">
        <v>367.46660000000003</v>
      </c>
      <c r="M737">
        <v>0.99988940000000004</v>
      </c>
      <c r="N737">
        <v>0</v>
      </c>
      <c r="O737">
        <v>1.242825E-2</v>
      </c>
      <c r="P737">
        <v>0.99819100000000005</v>
      </c>
      <c r="Q737">
        <v>5.2657929999999999E-2</v>
      </c>
      <c r="R737">
        <v>-2.902281E-2</v>
      </c>
      <c r="S737">
        <v>3.012848</v>
      </c>
      <c r="T737">
        <v>-0.108695</v>
      </c>
      <c r="U737">
        <v>5.368042E-2</v>
      </c>
      <c r="V737">
        <v>4.1410679999999998E-2</v>
      </c>
      <c r="W737">
        <v>6.0832900000000002E-2</v>
      </c>
      <c r="X737">
        <v>0.99728859999999997</v>
      </c>
      <c r="Y737">
        <v>-5.3908539999999996E-3</v>
      </c>
      <c r="Z737">
        <v>-3.5098440000000001E-4</v>
      </c>
      <c r="AA737">
        <v>0.99998540000000002</v>
      </c>
      <c r="AB737">
        <v>35</v>
      </c>
      <c r="AC737">
        <v>31.829999999999899</v>
      </c>
      <c r="AD737">
        <v>-1.1596709999999999</v>
      </c>
      <c r="AE737">
        <v>0.56879999999995301</v>
      </c>
      <c r="AF737">
        <v>-0.172922209446637</v>
      </c>
      <c r="AG737">
        <v>-1.1596709999999999</v>
      </c>
      <c r="AH737">
        <v>31.7924236551485</v>
      </c>
      <c r="AI737">
        <v>92.088982837723705</v>
      </c>
      <c r="AJ737">
        <v>90.311634469642797</v>
      </c>
      <c r="AK737">
        <v>31.8140368514781</v>
      </c>
      <c r="AL737">
        <v>86.512378307677807</v>
      </c>
      <c r="AM737">
        <v>87.622258021330197</v>
      </c>
      <c r="AN737">
        <v>1.0000000189152101</v>
      </c>
    </row>
    <row r="738" spans="1:40" x14ac:dyDescent="0.25">
      <c r="A738" t="str">
        <f>"20190312151000653"</f>
        <v>20190312151000653</v>
      </c>
      <c r="B738" t="str">
        <f>"1552374600641544"</f>
        <v>1552374600641544</v>
      </c>
      <c r="C738" t="s">
        <v>40</v>
      </c>
      <c r="D738">
        <v>5.1238359999999998</v>
      </c>
      <c r="E738">
        <v>0.48235879999999998</v>
      </c>
      <c r="F738" t="s">
        <v>43</v>
      </c>
      <c r="G738">
        <v>-308.55619999999999</v>
      </c>
      <c r="H738">
        <v>-0.05</v>
      </c>
      <c r="I738">
        <v>368.0342</v>
      </c>
      <c r="J738">
        <v>-340.5333</v>
      </c>
      <c r="K738">
        <v>1.109672</v>
      </c>
      <c r="L738">
        <v>367.47089999999997</v>
      </c>
      <c r="M738">
        <v>0.99988630000000001</v>
      </c>
      <c r="N738">
        <v>0</v>
      </c>
      <c r="O738">
        <v>1.255262E-2</v>
      </c>
      <c r="P738">
        <v>0.99819979999999997</v>
      </c>
      <c r="Q738">
        <v>5.2684500000000002E-2</v>
      </c>
      <c r="R738">
        <v>-2.8669030000000002E-2</v>
      </c>
      <c r="S738">
        <v>3.0126339999999998</v>
      </c>
      <c r="T738">
        <v>-0.1081028</v>
      </c>
      <c r="U738">
        <v>5.2917480000000003E-2</v>
      </c>
      <c r="V738">
        <v>4.1181009999999997E-2</v>
      </c>
      <c r="W738">
        <v>6.1039459999999997E-2</v>
      </c>
      <c r="X738">
        <v>0.99728550000000005</v>
      </c>
      <c r="Y738">
        <v>-5.0148190000000002E-3</v>
      </c>
      <c r="Z738">
        <v>-3.6030470000000001E-4</v>
      </c>
      <c r="AA738">
        <v>0.99998739999999997</v>
      </c>
      <c r="AB738">
        <v>35</v>
      </c>
      <c r="AC738">
        <v>31.9771</v>
      </c>
      <c r="AD738">
        <v>-1.159672</v>
      </c>
      <c r="AE738">
        <v>0.563300000000026</v>
      </c>
      <c r="AF738">
        <v>-0.161632704227652</v>
      </c>
      <c r="AG738">
        <v>-1.159672</v>
      </c>
      <c r="AH738">
        <v>31.9396575301908</v>
      </c>
      <c r="AI738">
        <v>92.079367539278493</v>
      </c>
      <c r="AJ738">
        <v>90.289946525604705</v>
      </c>
      <c r="AK738">
        <v>31.961112111823301</v>
      </c>
      <c r="AL738">
        <v>86.500521295724397</v>
      </c>
      <c r="AM738">
        <v>87.635422992152598</v>
      </c>
      <c r="AN738">
        <v>1.0000000298859799</v>
      </c>
    </row>
    <row r="739" spans="1:40" x14ac:dyDescent="0.25">
      <c r="A739" t="str">
        <f>"20190312151000674"</f>
        <v>20190312151000674</v>
      </c>
      <c r="B739" t="str">
        <f>"1552374600671800"</f>
        <v>1552374600671800</v>
      </c>
      <c r="C739" t="s">
        <v>40</v>
      </c>
      <c r="D739">
        <v>5.1631879999999999</v>
      </c>
      <c r="E739">
        <v>0.48243629999999998</v>
      </c>
      <c r="F739" t="s">
        <v>43</v>
      </c>
      <c r="G739">
        <v>-307.62099999999998</v>
      </c>
      <c r="H739">
        <v>-0.05</v>
      </c>
      <c r="I739">
        <v>368.04840000000002</v>
      </c>
      <c r="J739">
        <v>-340.19310000000002</v>
      </c>
      <c r="K739">
        <v>1.1096809999999999</v>
      </c>
      <c r="L739">
        <v>367.4753</v>
      </c>
      <c r="M739">
        <v>0.99988339999999998</v>
      </c>
      <c r="N739">
        <v>0</v>
      </c>
      <c r="O739">
        <v>1.267676E-2</v>
      </c>
      <c r="P739">
        <v>0.99818810000000002</v>
      </c>
      <c r="Q739">
        <v>5.3081999999999997E-2</v>
      </c>
      <c r="R739">
        <v>-2.83384E-2</v>
      </c>
      <c r="S739">
        <v>3.012543</v>
      </c>
      <c r="T739">
        <v>-0.10614750000000001</v>
      </c>
      <c r="U739">
        <v>5.2856449999999999E-2</v>
      </c>
      <c r="V739">
        <v>4.0974030000000002E-2</v>
      </c>
      <c r="W739">
        <v>6.1599170000000002E-2</v>
      </c>
      <c r="X739">
        <v>0.99725960000000002</v>
      </c>
      <c r="Y739">
        <v>-4.8709249999999999E-3</v>
      </c>
      <c r="Z739">
        <v>-3.6070919999999998E-4</v>
      </c>
      <c r="AA739">
        <v>0.99998810000000005</v>
      </c>
      <c r="AB739">
        <v>35</v>
      </c>
      <c r="AC739">
        <v>32.572099999999999</v>
      </c>
      <c r="AD739">
        <v>-1.159681</v>
      </c>
      <c r="AE739">
        <v>0.57310000000001005</v>
      </c>
      <c r="AF739">
        <v>-0.159927622792853</v>
      </c>
      <c r="AG739">
        <v>-1.159681</v>
      </c>
      <c r="AH739">
        <v>32.535518271533199</v>
      </c>
      <c r="AI739">
        <v>92.041335488610997</v>
      </c>
      <c r="AJ739">
        <v>90.281633872808996</v>
      </c>
      <c r="AK739">
        <v>32.556572087115697</v>
      </c>
      <c r="AL739">
        <v>86.468391776952103</v>
      </c>
      <c r="AM739">
        <v>87.647233177543001</v>
      </c>
      <c r="AN739">
        <v>1.00000001933564</v>
      </c>
    </row>
    <row r="740" spans="1:40" x14ac:dyDescent="0.25">
      <c r="A740" t="str">
        <f>"20190312151000687"</f>
        <v>20190312151000687</v>
      </c>
      <c r="B740" t="str">
        <f>"1552374600681560"</f>
        <v>1552374600681560</v>
      </c>
      <c r="C740" t="s">
        <v>40</v>
      </c>
      <c r="D740">
        <v>5.1709269999999998</v>
      </c>
      <c r="E740">
        <v>0.48262359999999999</v>
      </c>
      <c r="F740" t="s">
        <v>43</v>
      </c>
      <c r="G740">
        <v>-306.49529999999999</v>
      </c>
      <c r="H740">
        <v>-0.05</v>
      </c>
      <c r="I740">
        <v>368.07479999999998</v>
      </c>
      <c r="J740">
        <v>-339.99119999999999</v>
      </c>
      <c r="K740">
        <v>1.1096809999999999</v>
      </c>
      <c r="L740">
        <v>367.47800000000001</v>
      </c>
      <c r="M740">
        <v>0.99988160000000004</v>
      </c>
      <c r="N740">
        <v>0</v>
      </c>
      <c r="O740">
        <v>1.275042E-2</v>
      </c>
      <c r="P740">
        <v>0.99819049999999998</v>
      </c>
      <c r="Q740">
        <v>5.3221579999999998E-2</v>
      </c>
      <c r="R740">
        <v>-2.798964E-2</v>
      </c>
      <c r="S740">
        <v>3.0124819999999999</v>
      </c>
      <c r="T740">
        <v>-0.1036719</v>
      </c>
      <c r="U740">
        <v>5.3588869999999997E-2</v>
      </c>
      <c r="V740">
        <v>4.0698860000000003E-2</v>
      </c>
      <c r="W740">
        <v>6.1825699999999997E-2</v>
      </c>
      <c r="X740">
        <v>0.99725680000000005</v>
      </c>
      <c r="Y740">
        <v>-5.0403699999999997E-3</v>
      </c>
      <c r="Z740">
        <v>-3.5192749999999999E-4</v>
      </c>
      <c r="AA740">
        <v>0.99998719999999996</v>
      </c>
      <c r="AB740">
        <v>35</v>
      </c>
      <c r="AC740">
        <v>33.495899999999999</v>
      </c>
      <c r="AD740">
        <v>-1.159681</v>
      </c>
      <c r="AE740">
        <v>0.59679999999997302</v>
      </c>
      <c r="AF740">
        <v>-0.169445798372866</v>
      </c>
      <c r="AG740">
        <v>-1.159681</v>
      </c>
      <c r="AH740">
        <v>33.460691593950799</v>
      </c>
      <c r="AI740">
        <v>91.984937786143206</v>
      </c>
      <c r="AJ740">
        <v>90.290144813275901</v>
      </c>
      <c r="AK740">
        <v>33.4812104596868</v>
      </c>
      <c r="AL740">
        <v>86.455387602317202</v>
      </c>
      <c r="AM740">
        <v>87.6630095621842</v>
      </c>
      <c r="AN740">
        <v>0.99999996976601402</v>
      </c>
    </row>
    <row r="741" spans="1:40" x14ac:dyDescent="0.25">
      <c r="A741" t="str">
        <f>"20190312151000699"</f>
        <v>20190312151000699</v>
      </c>
      <c r="B741" t="str">
        <f>"1552374600691320"</f>
        <v>1552374600691320</v>
      </c>
      <c r="C741" t="s">
        <v>40</v>
      </c>
      <c r="D741">
        <v>5.1607779999999996</v>
      </c>
      <c r="E741">
        <v>0.48262359999999999</v>
      </c>
      <c r="F741" t="s">
        <v>43</v>
      </c>
      <c r="G741">
        <v>-306.91489999999999</v>
      </c>
      <c r="H741">
        <v>-0.05</v>
      </c>
      <c r="I741">
        <v>368.05959999999999</v>
      </c>
      <c r="J741">
        <v>-339.80489999999998</v>
      </c>
      <c r="K741">
        <v>1.109677</v>
      </c>
      <c r="L741">
        <v>367.48039999999997</v>
      </c>
      <c r="M741">
        <v>0.99988010000000005</v>
      </c>
      <c r="N741">
        <v>0</v>
      </c>
      <c r="O741">
        <v>1.281828E-2</v>
      </c>
      <c r="P741">
        <v>0.99819349999999996</v>
      </c>
      <c r="Q741">
        <v>5.3182470000000003E-2</v>
      </c>
      <c r="R741">
        <v>-2.7954980000000001E-2</v>
      </c>
      <c r="S741">
        <v>3.012543</v>
      </c>
      <c r="T741">
        <v>-0.1056218</v>
      </c>
      <c r="U741">
        <v>5.2978520000000001E-2</v>
      </c>
      <c r="V741">
        <v>4.0731839999999998E-2</v>
      </c>
      <c r="W741">
        <v>6.1864250000000003E-2</v>
      </c>
      <c r="X741">
        <v>0.9972531</v>
      </c>
      <c r="Y741">
        <v>-4.7699800000000001E-3</v>
      </c>
      <c r="Z741">
        <v>-3.6565270000000002E-4</v>
      </c>
      <c r="AA741">
        <v>0.99998860000000001</v>
      </c>
      <c r="AB741">
        <v>36</v>
      </c>
      <c r="AC741">
        <v>32.889999999999901</v>
      </c>
      <c r="AD741">
        <v>-1.1596770000000001</v>
      </c>
      <c r="AE741">
        <v>0.57920000000001404</v>
      </c>
      <c r="AF741">
        <v>-0.15734771386736901</v>
      </c>
      <c r="AG741">
        <v>-1.1596770000000001</v>
      </c>
      <c r="AH741">
        <v>32.853890466944399</v>
      </c>
      <c r="AI741">
        <v>92.021564592452506</v>
      </c>
      <c r="AJ741">
        <v>90.274405583732104</v>
      </c>
      <c r="AK741">
        <v>32.874727799045999</v>
      </c>
      <c r="AL741">
        <v>86.453174745433699</v>
      </c>
      <c r="AM741">
        <v>87.6611092346173</v>
      </c>
      <c r="AN741">
        <v>1.00000000683872</v>
      </c>
    </row>
    <row r="742" spans="1:40" x14ac:dyDescent="0.25">
      <c r="A742" t="str">
        <f>"20190312151000710"</f>
        <v>20190312151000710</v>
      </c>
      <c r="B742" t="str">
        <f>"1552374600701081"</f>
        <v>1552374600701081</v>
      </c>
      <c r="C742" t="s">
        <v>40</v>
      </c>
      <c r="D742">
        <v>5.0544440000000002</v>
      </c>
      <c r="E742">
        <v>0.51287109999999902</v>
      </c>
      <c r="F742" t="s">
        <v>43</v>
      </c>
      <c r="G742">
        <v>-306.73689999999999</v>
      </c>
      <c r="H742">
        <v>-0.05</v>
      </c>
      <c r="I742">
        <v>368.06490000000002</v>
      </c>
      <c r="J742">
        <v>-339.61829999999998</v>
      </c>
      <c r="K742">
        <v>1.1096779999999999</v>
      </c>
      <c r="L742">
        <v>367.48289999999997</v>
      </c>
      <c r="M742">
        <v>0.99987859999999995</v>
      </c>
      <c r="N742">
        <v>0</v>
      </c>
      <c r="O742">
        <v>1.288652E-2</v>
      </c>
      <c r="P742">
        <v>0.99819029999999997</v>
      </c>
      <c r="Q742">
        <v>5.3157639999999999E-2</v>
      </c>
      <c r="R742">
        <v>-2.8112080000000001E-2</v>
      </c>
      <c r="S742">
        <v>3.0125730000000002</v>
      </c>
      <c r="T742">
        <v>-0.10564949999999999</v>
      </c>
      <c r="U742">
        <v>5.3253170000000002E-2</v>
      </c>
      <c r="V742">
        <v>4.0957029999999998E-2</v>
      </c>
      <c r="W742">
        <v>6.1909459999999999E-2</v>
      </c>
      <c r="X742">
        <v>0.99724109999999999</v>
      </c>
      <c r="Y742">
        <v>-4.792714E-3</v>
      </c>
      <c r="Z742">
        <v>-3.6773829999999999E-4</v>
      </c>
      <c r="AA742">
        <v>0.9999884</v>
      </c>
      <c r="AB742">
        <v>36</v>
      </c>
      <c r="AC742">
        <v>32.8813999999999</v>
      </c>
      <c r="AD742">
        <v>-1.159678</v>
      </c>
      <c r="AE742">
        <v>0.58200000000005003</v>
      </c>
      <c r="AF742">
        <v>-0.15801211107150201</v>
      </c>
      <c r="AG742">
        <v>-1.159678</v>
      </c>
      <c r="AH742">
        <v>32.845327286953498</v>
      </c>
      <c r="AI742">
        <v>92.0220927356266</v>
      </c>
      <c r="AJ742">
        <v>90.275636079215602</v>
      </c>
      <c r="AK742">
        <v>32.866173270979097</v>
      </c>
      <c r="AL742">
        <v>86.450579530472993</v>
      </c>
      <c r="AM742">
        <v>87.648164657505703</v>
      </c>
      <c r="AN742">
        <v>1.0000000355365599</v>
      </c>
    </row>
    <row r="743" spans="1:40" x14ac:dyDescent="0.25">
      <c r="A743" t="str">
        <f>"20190312151000722"</f>
        <v>20190312151000722</v>
      </c>
      <c r="B743" t="str">
        <f>"1552374600711816"</f>
        <v>1552374600711816</v>
      </c>
      <c r="C743" t="s">
        <v>40</v>
      </c>
      <c r="D743">
        <v>5.1211370000000001</v>
      </c>
      <c r="E743">
        <v>0.52091169999999998</v>
      </c>
      <c r="F743" t="s">
        <v>45</v>
      </c>
      <c r="G743">
        <v>-158.19499999999999</v>
      </c>
      <c r="H743">
        <v>1.4628920000000001</v>
      </c>
      <c r="I743">
        <v>356.13420000000002</v>
      </c>
      <c r="J743">
        <v>-339.43470000000002</v>
      </c>
      <c r="K743">
        <v>1.109677</v>
      </c>
      <c r="L743">
        <v>367.4853</v>
      </c>
      <c r="M743">
        <v>0.99987709999999996</v>
      </c>
      <c r="N743">
        <v>0</v>
      </c>
      <c r="O743">
        <v>1.295353E-2</v>
      </c>
      <c r="P743">
        <v>0.9981833</v>
      </c>
      <c r="Q743">
        <v>5.3245349999999997E-2</v>
      </c>
      <c r="R743">
        <v>-2.8201009999999999E-2</v>
      </c>
      <c r="S743">
        <v>2.9998469999999999</v>
      </c>
      <c r="T743">
        <v>5.8418510000000003E-3</v>
      </c>
      <c r="U743">
        <v>-0.1876526</v>
      </c>
      <c r="V743">
        <v>4.1112610000000001E-2</v>
      </c>
      <c r="W743">
        <v>6.206366E-2</v>
      </c>
      <c r="X743">
        <v>0.99722509999999998</v>
      </c>
      <c r="Y743">
        <v>7.5355389999999994E-2</v>
      </c>
      <c r="Z743" s="1">
        <v>9.8505019999999994E-5</v>
      </c>
      <c r="AA743">
        <v>0.99715670000000001</v>
      </c>
      <c r="AB743">
        <v>36</v>
      </c>
      <c r="AC743">
        <v>181.2397</v>
      </c>
      <c r="AD743">
        <v>0.353215</v>
      </c>
      <c r="AE743">
        <v>-11.351099999999899</v>
      </c>
      <c r="AF743">
        <v>13.6978811855451</v>
      </c>
      <c r="AG743">
        <v>0.353215</v>
      </c>
      <c r="AH743">
        <v>181.07676509721</v>
      </c>
      <c r="AI743">
        <v>89.888555298454307</v>
      </c>
      <c r="AJ743">
        <v>85.673995779555199</v>
      </c>
      <c r="AK743">
        <v>181.594470091684</v>
      </c>
      <c r="AL743">
        <v>86.441727451935293</v>
      </c>
      <c r="AM743">
        <v>87.639203194033897</v>
      </c>
      <c r="AN743">
        <v>1.0000000223318</v>
      </c>
    </row>
    <row r="744" spans="1:40" x14ac:dyDescent="0.25">
      <c r="A744" t="str">
        <f>"20190312151000752"</f>
        <v>20190312151000752</v>
      </c>
      <c r="B744" t="str">
        <f>"1552374600741096"</f>
        <v>1552374600741096</v>
      </c>
      <c r="C744" t="s">
        <v>40</v>
      </c>
      <c r="D744">
        <v>5.1689350000000003</v>
      </c>
      <c r="E744">
        <v>0.53292910000000004</v>
      </c>
      <c r="F744" t="s">
        <v>45</v>
      </c>
      <c r="G744">
        <v>-158.78319999999999</v>
      </c>
      <c r="H744">
        <v>2.2200310000000001</v>
      </c>
      <c r="I744">
        <v>352.29259999999999</v>
      </c>
      <c r="J744">
        <v>-338.95319999999998</v>
      </c>
      <c r="K744">
        <v>1.109685</v>
      </c>
      <c r="L744">
        <v>367.49169999999998</v>
      </c>
      <c r="M744">
        <v>0.99987349999999997</v>
      </c>
      <c r="N744">
        <v>0</v>
      </c>
      <c r="O744">
        <v>1.312875E-2</v>
      </c>
      <c r="P744">
        <v>0.99817069999999997</v>
      </c>
      <c r="Q744">
        <v>5.3477999999999998E-2</v>
      </c>
      <c r="R744">
        <v>-2.8204170000000001E-2</v>
      </c>
      <c r="S744">
        <v>2.9973450000000001</v>
      </c>
      <c r="T744">
        <v>1.842427E-2</v>
      </c>
      <c r="U744">
        <v>-0.2520752</v>
      </c>
      <c r="V744">
        <v>4.1290260000000002E-2</v>
      </c>
      <c r="W744">
        <v>6.2448679999999999E-2</v>
      </c>
      <c r="X744">
        <v>0.99719369999999996</v>
      </c>
      <c r="Y744">
        <v>9.6877489999999997E-2</v>
      </c>
      <c r="Z744">
        <v>3.777893E-4</v>
      </c>
      <c r="AA744">
        <v>0.99529619999999996</v>
      </c>
      <c r="AB744">
        <v>36</v>
      </c>
      <c r="AC744">
        <v>180.17</v>
      </c>
      <c r="AD744">
        <v>1.1103459999999901</v>
      </c>
      <c r="AE744">
        <v>-15.1990999999999</v>
      </c>
      <c r="AF744">
        <v>17.562629880927201</v>
      </c>
      <c r="AG744">
        <v>1.1103459999999901</v>
      </c>
      <c r="AH744">
        <v>179.94813134753099</v>
      </c>
      <c r="AI744">
        <v>89.648140295835603</v>
      </c>
      <c r="AJ744">
        <v>84.425684412725403</v>
      </c>
      <c r="AK744">
        <v>180.80655079958399</v>
      </c>
      <c r="AL744">
        <v>86.419624473431995</v>
      </c>
      <c r="AM744">
        <v>87.628939096083101</v>
      </c>
      <c r="AN744">
        <v>0.999999999262149</v>
      </c>
    </row>
    <row r="745" spans="1:40" x14ac:dyDescent="0.25">
      <c r="A745" t="str">
        <f>"20190312151000776"</f>
        <v>20190312151000776</v>
      </c>
      <c r="B745" t="str">
        <f>"1552374600771351"</f>
        <v>1552374600771351</v>
      </c>
      <c r="C745" t="s">
        <v>40</v>
      </c>
      <c r="D745">
        <v>5.1521710000000001</v>
      </c>
      <c r="E745">
        <v>0.53714849999999903</v>
      </c>
      <c r="F745" t="s">
        <v>44</v>
      </c>
      <c r="G745">
        <v>0</v>
      </c>
      <c r="H745">
        <v>0</v>
      </c>
      <c r="I745">
        <v>0</v>
      </c>
      <c r="J745">
        <v>-338.58460000000002</v>
      </c>
      <c r="K745">
        <v>1.109693</v>
      </c>
      <c r="L745">
        <v>367.49669999999998</v>
      </c>
      <c r="M745">
        <v>0.99987079999999995</v>
      </c>
      <c r="N745">
        <v>0</v>
      </c>
      <c r="O745">
        <v>1.3262950000000001E-2</v>
      </c>
      <c r="P745">
        <v>0.99819860000000005</v>
      </c>
      <c r="Q745">
        <v>5.2859929999999999E-2</v>
      </c>
      <c r="R745">
        <v>-2.838067E-2</v>
      </c>
      <c r="S745">
        <v>2.9952999999999999</v>
      </c>
      <c r="T745">
        <v>5.9722660000000004E-3</v>
      </c>
      <c r="U745">
        <v>-0.34799190000000002</v>
      </c>
      <c r="V745">
        <v>4.160121E-2</v>
      </c>
      <c r="W745">
        <v>6.193278E-2</v>
      </c>
      <c r="X745">
        <v>0.99721289999999996</v>
      </c>
      <c r="Y745">
        <v>0.1285675</v>
      </c>
      <c r="Z745">
        <v>1.5410599999999999E-4</v>
      </c>
      <c r="AA745">
        <v>0.99170080000000005</v>
      </c>
      <c r="AB745">
        <v>36</v>
      </c>
      <c r="AC745">
        <v>2.9952999999999999</v>
      </c>
      <c r="AD745">
        <v>5.9722660000000004E-3</v>
      </c>
      <c r="AE745">
        <v>-0.34799190000000002</v>
      </c>
      <c r="AF745">
        <v>0.38768792098462301</v>
      </c>
      <c r="AG745">
        <v>5.9722660000000004E-3</v>
      </c>
      <c r="AH745">
        <v>2.9904092015785402</v>
      </c>
      <c r="AI745">
        <v>89.886522119697005</v>
      </c>
      <c r="AJ745">
        <v>82.613160088820294</v>
      </c>
      <c r="AK745">
        <v>3.01544105976624</v>
      </c>
      <c r="AL745">
        <v>86.449240516074894</v>
      </c>
      <c r="AM745">
        <v>87.6111495867234</v>
      </c>
      <c r="AN745">
        <v>0.99999994891919897</v>
      </c>
    </row>
    <row r="746" spans="1:40" x14ac:dyDescent="0.25">
      <c r="A746" t="str">
        <f>"20190312151000799"</f>
        <v>20190312151000799</v>
      </c>
      <c r="B746" t="str">
        <f>"1552374600791848"</f>
        <v>1552374600791848</v>
      </c>
      <c r="C746" t="s">
        <v>40</v>
      </c>
      <c r="D746">
        <v>5.1000519999999998</v>
      </c>
      <c r="E746">
        <v>0.53814619999999902</v>
      </c>
      <c r="F746" t="s">
        <v>49</v>
      </c>
      <c r="G746">
        <v>-143.63030000000001</v>
      </c>
      <c r="H746">
        <v>1.078538</v>
      </c>
      <c r="I746">
        <v>342.62</v>
      </c>
      <c r="J746">
        <v>-338.22390000000001</v>
      </c>
      <c r="K746">
        <v>1.1096950000000001</v>
      </c>
      <c r="L746">
        <v>367.5016</v>
      </c>
      <c r="M746">
        <v>0.99986830000000004</v>
      </c>
      <c r="N746">
        <v>0</v>
      </c>
      <c r="O746">
        <v>1.339417E-2</v>
      </c>
      <c r="P746">
        <v>0.99820050000000005</v>
      </c>
      <c r="Q746">
        <v>5.269588E-2</v>
      </c>
      <c r="R746">
        <v>-2.8618459999999998E-2</v>
      </c>
      <c r="S746">
        <v>2.9945369999999998</v>
      </c>
      <c r="T746">
        <v>-4.785061E-4</v>
      </c>
      <c r="U746">
        <v>-0.38211060000000002</v>
      </c>
      <c r="V746">
        <v>4.1970019999999997E-2</v>
      </c>
      <c r="W746">
        <v>6.1855220000000002E-2</v>
      </c>
      <c r="X746">
        <v>0.99720229999999999</v>
      </c>
      <c r="Y746">
        <v>0.1398519</v>
      </c>
      <c r="Z746" s="1">
        <v>-1.3260710000000001E-5</v>
      </c>
      <c r="AA746">
        <v>0.99017239999999995</v>
      </c>
      <c r="AB746">
        <v>36</v>
      </c>
      <c r="AC746">
        <v>194.59360000000001</v>
      </c>
      <c r="AD746">
        <v>-3.1157000000000101E-2</v>
      </c>
      <c r="AE746">
        <v>-24.881599999999899</v>
      </c>
      <c r="AF746">
        <v>27.4858963007417</v>
      </c>
      <c r="AG746">
        <v>-3.1157000000000101E-2</v>
      </c>
      <c r="AH746">
        <v>194.24285506176901</v>
      </c>
      <c r="AI746">
        <v>90.009099724048895</v>
      </c>
      <c r="AJ746">
        <v>81.945961535943695</v>
      </c>
      <c r="AK746">
        <v>196.177884096962</v>
      </c>
      <c r="AL746">
        <v>86.453693055641395</v>
      </c>
      <c r="AM746">
        <v>87.589970824469901</v>
      </c>
      <c r="AN746">
        <v>0.99999998897266895</v>
      </c>
    </row>
    <row r="747" spans="1:40" x14ac:dyDescent="0.25">
      <c r="A747" t="str">
        <f>"20190312151000820"</f>
        <v>20190312151000820</v>
      </c>
      <c r="B747" t="str">
        <f>"1552374600811877"</f>
        <v>1552374600811877</v>
      </c>
      <c r="C747" t="s">
        <v>40</v>
      </c>
      <c r="D747">
        <v>5.0688550000000001</v>
      </c>
      <c r="E747">
        <v>0.53909249999999997</v>
      </c>
      <c r="F747" t="s">
        <v>49</v>
      </c>
      <c r="G747">
        <v>-147.65049999999999</v>
      </c>
      <c r="H747">
        <v>1.5776520000000001</v>
      </c>
      <c r="I747">
        <v>342.64400000000001</v>
      </c>
      <c r="J747">
        <v>-337.87040000000002</v>
      </c>
      <c r="K747">
        <v>1.1096999999999999</v>
      </c>
      <c r="L747">
        <v>367.50639999999999</v>
      </c>
      <c r="M747">
        <v>0.99986589999999997</v>
      </c>
      <c r="N747">
        <v>0</v>
      </c>
      <c r="O747">
        <v>1.3522940000000001E-2</v>
      </c>
      <c r="P747">
        <v>0.99818589999999996</v>
      </c>
      <c r="Q747">
        <v>5.3105409999999999E-2</v>
      </c>
      <c r="R747">
        <v>-2.8368689999999998E-2</v>
      </c>
      <c r="S747">
        <v>2.9938349999999998</v>
      </c>
      <c r="T747">
        <v>7.3515179999999996E-3</v>
      </c>
      <c r="U747">
        <v>-0.39050289999999999</v>
      </c>
      <c r="V747">
        <v>4.184823E-2</v>
      </c>
      <c r="W747">
        <v>6.2338270000000001E-2</v>
      </c>
      <c r="X747">
        <v>0.99717739999999999</v>
      </c>
      <c r="Y747">
        <v>0.1427377</v>
      </c>
      <c r="Z747">
        <v>2.0758460000000001E-4</v>
      </c>
      <c r="AA747">
        <v>0.98976050000000004</v>
      </c>
      <c r="AB747">
        <v>36</v>
      </c>
      <c r="AC747">
        <v>190.2199</v>
      </c>
      <c r="AD747">
        <v>0.46795199999999998</v>
      </c>
      <c r="AE747">
        <v>-24.862399999999901</v>
      </c>
      <c r="AF747">
        <v>27.432405207514599</v>
      </c>
      <c r="AG747">
        <v>0.46795199999999998</v>
      </c>
      <c r="AH747">
        <v>189.86514814483701</v>
      </c>
      <c r="AI747">
        <v>89.860237251799404</v>
      </c>
      <c r="AJ747">
        <v>81.778591661983299</v>
      </c>
      <c r="AK747">
        <v>191.83724954920601</v>
      </c>
      <c r="AL747">
        <v>86.425963033921605</v>
      </c>
      <c r="AM747">
        <v>87.596896182171506</v>
      </c>
      <c r="AN747">
        <v>1.00000005066574</v>
      </c>
    </row>
    <row r="748" spans="1:40" x14ac:dyDescent="0.25">
      <c r="A748" t="str">
        <f>"20190312151000842"</f>
        <v>20190312151000842</v>
      </c>
      <c r="B748" t="str">
        <f>"1552374600831396"</f>
        <v>1552374600831396</v>
      </c>
      <c r="C748" t="s">
        <v>40</v>
      </c>
      <c r="D748">
        <v>5.0622720000000001</v>
      </c>
      <c r="E748">
        <v>0.53984299999999996</v>
      </c>
      <c r="F748" t="s">
        <v>49</v>
      </c>
      <c r="G748">
        <v>-149.96600000000001</v>
      </c>
      <c r="H748">
        <v>1.9727479999999999</v>
      </c>
      <c r="I748">
        <v>342.57420000000002</v>
      </c>
      <c r="J748">
        <v>-337.51839999999999</v>
      </c>
      <c r="K748">
        <v>1.109707</v>
      </c>
      <c r="L748">
        <v>367.51130000000001</v>
      </c>
      <c r="M748">
        <v>0.99986350000000002</v>
      </c>
      <c r="N748">
        <v>0</v>
      </c>
      <c r="O748">
        <v>1.365091E-2</v>
      </c>
      <c r="P748">
        <v>0.99817929999999999</v>
      </c>
      <c r="Q748">
        <v>5.316419E-2</v>
      </c>
      <c r="R748">
        <v>-2.8496270000000001E-2</v>
      </c>
      <c r="S748">
        <v>2.993439</v>
      </c>
      <c r="T748">
        <v>1.3749000000000001E-2</v>
      </c>
      <c r="U748">
        <v>-0.39718629999999999</v>
      </c>
      <c r="V748">
        <v>4.2103149999999999E-2</v>
      </c>
      <c r="W748">
        <v>6.2461999999999997E-2</v>
      </c>
      <c r="X748">
        <v>0.99715889999999996</v>
      </c>
      <c r="Y748">
        <v>0.14505179999999901</v>
      </c>
      <c r="Z748">
        <v>3.9410049999999999E-4</v>
      </c>
      <c r="AA748">
        <v>0.98942399999999997</v>
      </c>
      <c r="AB748">
        <v>36</v>
      </c>
      <c r="AC748">
        <v>187.55240000000001</v>
      </c>
      <c r="AD748">
        <v>0.86304099999999995</v>
      </c>
      <c r="AE748">
        <v>-24.937099999999901</v>
      </c>
      <c r="AF748">
        <v>27.494575975617199</v>
      </c>
      <c r="AG748">
        <v>0.86304099999999995</v>
      </c>
      <c r="AH748">
        <v>187.19059901888099</v>
      </c>
      <c r="AI748">
        <v>89.738644196589604</v>
      </c>
      <c r="AJ748">
        <v>81.644136849010195</v>
      </c>
      <c r="AK748">
        <v>189.20099605682401</v>
      </c>
      <c r="AL748">
        <v>86.418859890484697</v>
      </c>
      <c r="AM748">
        <v>87.582230105004797</v>
      </c>
      <c r="AN748">
        <v>1.0000000242665601</v>
      </c>
    </row>
    <row r="749" spans="1:40" x14ac:dyDescent="0.25">
      <c r="A749" t="str">
        <f>"20190312151000863"</f>
        <v>20190312151000863</v>
      </c>
      <c r="B749" t="str">
        <f>"1552374600851892"</f>
        <v>1552374600851892</v>
      </c>
      <c r="C749" t="s">
        <v>40</v>
      </c>
      <c r="D749">
        <v>5.0583640000000001</v>
      </c>
      <c r="E749">
        <v>0.54038160000000002</v>
      </c>
      <c r="F749" t="s">
        <v>49</v>
      </c>
      <c r="G749">
        <v>-149.96610000000001</v>
      </c>
      <c r="H749">
        <v>2.320567</v>
      </c>
      <c r="I749">
        <v>342.21800000000002</v>
      </c>
      <c r="J749">
        <v>-337.17009999999999</v>
      </c>
      <c r="K749">
        <v>1.109707</v>
      </c>
      <c r="L749">
        <v>367.51620000000003</v>
      </c>
      <c r="M749">
        <v>0.99986129999999995</v>
      </c>
      <c r="N749">
        <v>0</v>
      </c>
      <c r="O749">
        <v>1.37772E-2</v>
      </c>
      <c r="P749">
        <v>0.99815390000000004</v>
      </c>
      <c r="Q749">
        <v>5.3313369999999999E-2</v>
      </c>
      <c r="R749">
        <v>-2.9097959999999999E-2</v>
      </c>
      <c r="S749">
        <v>2.9929199999999998</v>
      </c>
      <c r="T749">
        <v>1.932275E-2</v>
      </c>
      <c r="U749">
        <v>-0.40362550000000003</v>
      </c>
      <c r="V749">
        <v>4.2830500000000001E-2</v>
      </c>
      <c r="W749">
        <v>6.2668080000000001E-2</v>
      </c>
      <c r="X749">
        <v>0.99711499999999997</v>
      </c>
      <c r="Y749">
        <v>0.14728840000000001</v>
      </c>
      <c r="Z749">
        <v>5.6187939999999997E-4</v>
      </c>
      <c r="AA749">
        <v>0.98909340000000001</v>
      </c>
      <c r="AB749">
        <v>36</v>
      </c>
      <c r="AC749">
        <v>187.20400000000001</v>
      </c>
      <c r="AD749">
        <v>1.21086</v>
      </c>
      <c r="AE749">
        <v>-25.298200000000001</v>
      </c>
      <c r="AF749">
        <v>27.8739133792681</v>
      </c>
      <c r="AG749">
        <v>1.21086</v>
      </c>
      <c r="AH749">
        <v>186.83000109456799</v>
      </c>
      <c r="AI749">
        <v>89.632731601037406</v>
      </c>
      <c r="AJ749">
        <v>81.514404466430406</v>
      </c>
      <c r="AK749">
        <v>188.90174837203301</v>
      </c>
      <c r="AL749">
        <v>86.4070292252634</v>
      </c>
      <c r="AM749">
        <v>87.540404796470497</v>
      </c>
      <c r="AN749">
        <v>1.0000000316030599</v>
      </c>
    </row>
    <row r="750" spans="1:40" x14ac:dyDescent="0.25">
      <c r="A750" t="str">
        <f>"20190312151000887"</f>
        <v>20190312151000887</v>
      </c>
      <c r="B750" t="str">
        <f>"1552374600881172"</f>
        <v>1552374600881172</v>
      </c>
      <c r="C750" t="s">
        <v>40</v>
      </c>
      <c r="D750">
        <v>5.0706850000000001</v>
      </c>
      <c r="E750">
        <v>0.54141779999999995</v>
      </c>
      <c r="F750" t="s">
        <v>49</v>
      </c>
      <c r="G750">
        <v>-155.50280000000001</v>
      </c>
      <c r="H750">
        <v>2.0859030000000001</v>
      </c>
      <c r="I750">
        <v>342.64400000000001</v>
      </c>
      <c r="J750">
        <v>-336.80599999999998</v>
      </c>
      <c r="K750">
        <v>1.109712</v>
      </c>
      <c r="L750">
        <v>367.5213</v>
      </c>
      <c r="M750">
        <v>0.99985900000000005</v>
      </c>
      <c r="N750">
        <v>0</v>
      </c>
      <c r="O750">
        <v>1.390987E-2</v>
      </c>
      <c r="P750">
        <v>0.99813879999999999</v>
      </c>
      <c r="Q750">
        <v>5.323634E-2</v>
      </c>
      <c r="R750">
        <v>-2.9746249999999998E-2</v>
      </c>
      <c r="S750">
        <v>2.9926759999999999</v>
      </c>
      <c r="T750">
        <v>1.6081330000000001E-2</v>
      </c>
      <c r="U750">
        <v>-0.40972900000000001</v>
      </c>
      <c r="V750">
        <v>4.3610990000000002E-2</v>
      </c>
      <c r="W750">
        <v>6.264285E-2</v>
      </c>
      <c r="X750">
        <v>0.99708269999999999</v>
      </c>
      <c r="Y750">
        <v>0.14941170000000001</v>
      </c>
      <c r="Z750">
        <v>4.7398710000000002E-4</v>
      </c>
      <c r="AA750">
        <v>0.98877499999999996</v>
      </c>
      <c r="AB750">
        <v>36</v>
      </c>
      <c r="AC750">
        <v>181.3032</v>
      </c>
      <c r="AD750">
        <v>0.97619100000000003</v>
      </c>
      <c r="AE750">
        <v>-24.877299999999899</v>
      </c>
      <c r="AF750">
        <v>27.396128967824701</v>
      </c>
      <c r="AG750">
        <v>0.97619100000000003</v>
      </c>
      <c r="AH750">
        <v>180.93445411727501</v>
      </c>
      <c r="AI750">
        <v>89.694360243957405</v>
      </c>
      <c r="AJ750">
        <v>81.389980390386299</v>
      </c>
      <c r="AK750">
        <v>182.99939212469201</v>
      </c>
      <c r="AL750">
        <v>86.408477450334402</v>
      </c>
      <c r="AM750">
        <v>87.495559709958499</v>
      </c>
      <c r="AN750">
        <v>0.99999997787209605</v>
      </c>
    </row>
    <row r="751" spans="1:40" x14ac:dyDescent="0.25">
      <c r="A751" t="str">
        <f>"20190312151000909"</f>
        <v>20190312151000909</v>
      </c>
      <c r="B751" t="str">
        <f>"1552374600901674"</f>
        <v>1552374600901674</v>
      </c>
      <c r="C751" t="s">
        <v>40</v>
      </c>
      <c r="D751">
        <v>5.018033</v>
      </c>
      <c r="E751">
        <v>0.54178570000000004</v>
      </c>
      <c r="F751" t="s">
        <v>49</v>
      </c>
      <c r="G751">
        <v>-156.4675</v>
      </c>
      <c r="H751">
        <v>1.623046</v>
      </c>
      <c r="I751">
        <v>342.22179999999997</v>
      </c>
      <c r="J751">
        <v>-336.44779999999997</v>
      </c>
      <c r="K751">
        <v>1.109721</v>
      </c>
      <c r="L751">
        <v>367.52640000000002</v>
      </c>
      <c r="M751">
        <v>0.99985670000000004</v>
      </c>
      <c r="N751">
        <v>0</v>
      </c>
      <c r="O751">
        <v>1.404008E-2</v>
      </c>
      <c r="P751">
        <v>0.99810239999999995</v>
      </c>
      <c r="Q751">
        <v>5.3350630000000003E-2</v>
      </c>
      <c r="R751">
        <v>-3.0746699999999998E-2</v>
      </c>
      <c r="S751">
        <v>2.9926149999999998</v>
      </c>
      <c r="T751">
        <v>8.5185769999999994E-3</v>
      </c>
      <c r="U751">
        <v>-0.41983029999999999</v>
      </c>
      <c r="V751">
        <v>4.4740500000000002E-2</v>
      </c>
      <c r="W751">
        <v>6.2801800000000005E-2</v>
      </c>
      <c r="X751">
        <v>0.99702270000000004</v>
      </c>
      <c r="Y751">
        <v>0.1528185</v>
      </c>
      <c r="Z751">
        <v>2.562226E-4</v>
      </c>
      <c r="AA751">
        <v>0.98825419999999997</v>
      </c>
      <c r="AB751">
        <v>36</v>
      </c>
      <c r="AC751">
        <v>179.980299999999</v>
      </c>
      <c r="AD751">
        <v>0.51332500000000003</v>
      </c>
      <c r="AE751">
        <v>-25.304600000000001</v>
      </c>
      <c r="AF751">
        <v>27.828934437848801</v>
      </c>
      <c r="AG751">
        <v>0.51332500000000003</v>
      </c>
      <c r="AH751">
        <v>179.605831137238</v>
      </c>
      <c r="AI751">
        <v>89.838176410805104</v>
      </c>
      <c r="AJ751">
        <v>81.192372744793701</v>
      </c>
      <c r="AK751">
        <v>181.74973912773601</v>
      </c>
      <c r="AL751">
        <v>86.399352475560406</v>
      </c>
      <c r="AM751">
        <v>87.430626961354605</v>
      </c>
      <c r="AN751">
        <v>1.00000002136938</v>
      </c>
    </row>
    <row r="752" spans="1:40" x14ac:dyDescent="0.25">
      <c r="A752" t="str">
        <f>"20190312151000930"</f>
        <v>20190312151000930</v>
      </c>
      <c r="B752" t="str">
        <f>"1552374600921192"</f>
        <v>1552374600921192</v>
      </c>
      <c r="C752" t="s">
        <v>40</v>
      </c>
      <c r="D752">
        <v>5.1153709999999997</v>
      </c>
      <c r="E752">
        <v>0.54212360000000004</v>
      </c>
      <c r="F752" t="s">
        <v>49</v>
      </c>
      <c r="G752">
        <v>-161.6611</v>
      </c>
      <c r="H752">
        <v>1.78226</v>
      </c>
      <c r="I752">
        <v>342.64389999999997</v>
      </c>
      <c r="J752">
        <v>-336.08260000000001</v>
      </c>
      <c r="K752">
        <v>1.1097269999999999</v>
      </c>
      <c r="L752">
        <v>367.53160000000003</v>
      </c>
      <c r="M752">
        <v>0.99985449999999998</v>
      </c>
      <c r="N752">
        <v>0</v>
      </c>
      <c r="O752">
        <v>1.4172809999999999E-2</v>
      </c>
      <c r="P752">
        <v>0.9980869</v>
      </c>
      <c r="Q752">
        <v>5.3457810000000001E-2</v>
      </c>
      <c r="R752">
        <v>-3.1066750000000001E-2</v>
      </c>
      <c r="S752">
        <v>2.9919739999999999</v>
      </c>
      <c r="T752">
        <v>1.151252E-2</v>
      </c>
      <c r="U752">
        <v>-0.42593379999999997</v>
      </c>
      <c r="V752">
        <v>4.519273E-2</v>
      </c>
      <c r="W752">
        <v>6.29498E-2</v>
      </c>
      <c r="X752">
        <v>0.99699289999999996</v>
      </c>
      <c r="Y752">
        <v>0.15495439999999999</v>
      </c>
      <c r="Z752">
        <v>3.5089559999999998E-4</v>
      </c>
      <c r="AA752">
        <v>0.98792150000000001</v>
      </c>
      <c r="AB752">
        <v>36</v>
      </c>
      <c r="AC752">
        <v>174.42150000000001</v>
      </c>
      <c r="AD752">
        <v>0.67253299999999905</v>
      </c>
      <c r="AE752">
        <v>-24.887699999999999</v>
      </c>
      <c r="AF752">
        <v>27.356955632330301</v>
      </c>
      <c r="AG752">
        <v>0.67253299999999905</v>
      </c>
      <c r="AH752">
        <v>174.04869913495099</v>
      </c>
      <c r="AI752">
        <v>89.781292436096393</v>
      </c>
      <c r="AJ752">
        <v>81.067339138801799</v>
      </c>
      <c r="AK752">
        <v>176.186846820851</v>
      </c>
      <c r="AL752">
        <v>86.390855635837994</v>
      </c>
      <c r="AM752">
        <v>87.404614004365897</v>
      </c>
      <c r="AN752">
        <v>0.99999995140764997</v>
      </c>
    </row>
    <row r="753" spans="1:40" x14ac:dyDescent="0.25">
      <c r="A753" t="str">
        <f>"20190312151000953"</f>
        <v>20190312151000953</v>
      </c>
      <c r="B753" t="str">
        <f>"1552374600941684"</f>
        <v>1552374600941684</v>
      </c>
      <c r="C753" t="s">
        <v>40</v>
      </c>
      <c r="D753">
        <v>5.0998359999999998</v>
      </c>
      <c r="E753">
        <v>0.54264029999999996</v>
      </c>
      <c r="F753" t="s">
        <v>49</v>
      </c>
      <c r="G753">
        <v>-162.62790000000001</v>
      </c>
      <c r="H753">
        <v>1.9745550000000001</v>
      </c>
      <c r="I753">
        <v>342.62520000000001</v>
      </c>
      <c r="J753">
        <v>-335.7346</v>
      </c>
      <c r="K753">
        <v>1.109734</v>
      </c>
      <c r="L753">
        <v>367.5367</v>
      </c>
      <c r="M753">
        <v>0.99985219999999997</v>
      </c>
      <c r="N753">
        <v>0</v>
      </c>
      <c r="O753">
        <v>1.429883E-2</v>
      </c>
      <c r="P753">
        <v>0.99812849999999997</v>
      </c>
      <c r="Q753">
        <v>5.2732330000000001E-2</v>
      </c>
      <c r="R753">
        <v>-3.096192E-2</v>
      </c>
      <c r="S753">
        <v>2.9916079999999998</v>
      </c>
      <c r="T753">
        <v>1.4915940000000001E-2</v>
      </c>
      <c r="U753">
        <v>-0.42956539999999999</v>
      </c>
      <c r="V753">
        <v>4.5214270000000001E-2</v>
      </c>
      <c r="W753">
        <v>6.2258790000000001E-2</v>
      </c>
      <c r="X753">
        <v>0.99703540000000002</v>
      </c>
      <c r="Y753">
        <v>0.1562701</v>
      </c>
      <c r="Z753">
        <v>4.5853400000000002E-4</v>
      </c>
      <c r="AA753">
        <v>0.98771419999999999</v>
      </c>
      <c r="AB753">
        <v>36</v>
      </c>
      <c r="AC753">
        <v>173.10669999999999</v>
      </c>
      <c r="AD753">
        <v>0.86482099999999895</v>
      </c>
      <c r="AE753">
        <v>-24.911499999999901</v>
      </c>
      <c r="AF753">
        <v>27.383619437455199</v>
      </c>
      <c r="AG753">
        <v>0.86482099999999895</v>
      </c>
      <c r="AH753">
        <v>172.72855591298099</v>
      </c>
      <c r="AI753">
        <v>89.716671045745798</v>
      </c>
      <c r="AJ753">
        <v>80.991553211507394</v>
      </c>
      <c r="AK753">
        <v>174.88786280540199</v>
      </c>
      <c r="AL753">
        <v>86.430525719804393</v>
      </c>
      <c r="AM753">
        <v>87.403489203403197</v>
      </c>
      <c r="AN753">
        <v>1.0000000379985201</v>
      </c>
    </row>
    <row r="754" spans="1:40" x14ac:dyDescent="0.25">
      <c r="A754" t="str">
        <f>"20190312151000975"</f>
        <v>20190312151000975</v>
      </c>
      <c r="B754" t="str">
        <f>"1552374600970965"</f>
        <v>1552374600970965</v>
      </c>
      <c r="C754" t="s">
        <v>40</v>
      </c>
      <c r="D754">
        <v>5.0581569999999996</v>
      </c>
      <c r="E754">
        <v>0.54295649999999995</v>
      </c>
      <c r="F754" t="s">
        <v>49</v>
      </c>
      <c r="G754">
        <v>-162.6277</v>
      </c>
      <c r="H754">
        <v>1.3817729999999999</v>
      </c>
      <c r="I754">
        <v>342.45</v>
      </c>
      <c r="J754">
        <v>-335.36849999999998</v>
      </c>
      <c r="K754">
        <v>1.1097349999999999</v>
      </c>
      <c r="L754">
        <v>367.5421</v>
      </c>
      <c r="M754">
        <v>0.99985020000000002</v>
      </c>
      <c r="N754">
        <v>0</v>
      </c>
      <c r="O754">
        <v>1.443142E-2</v>
      </c>
      <c r="P754">
        <v>0.99814389999999997</v>
      </c>
      <c r="Q754">
        <v>5.2768589999999997E-2</v>
      </c>
      <c r="R754">
        <v>-3.0409140000000001E-2</v>
      </c>
      <c r="S754">
        <v>2.991943</v>
      </c>
      <c r="T754">
        <v>4.7019719999999996E-3</v>
      </c>
      <c r="U754">
        <v>-0.43359379999999997</v>
      </c>
      <c r="V754">
        <v>4.4794E-2</v>
      </c>
      <c r="W754">
        <v>6.2327319999999999E-2</v>
      </c>
      <c r="X754">
        <v>0.99704999999999999</v>
      </c>
      <c r="Y754">
        <v>0.15768989999999999</v>
      </c>
      <c r="Z754">
        <v>1.4583249999999999E-4</v>
      </c>
      <c r="AA754">
        <v>0.9874887</v>
      </c>
      <c r="AB754">
        <v>36</v>
      </c>
      <c r="AC754">
        <v>172.74079999999901</v>
      </c>
      <c r="AD754">
        <v>0.272037999999999</v>
      </c>
      <c r="AE754">
        <v>-25.092099999999999</v>
      </c>
      <c r="AF754">
        <v>27.5824285764382</v>
      </c>
      <c r="AG754">
        <v>0.272037999999999</v>
      </c>
      <c r="AH754">
        <v>172.36025960779901</v>
      </c>
      <c r="AI754">
        <v>89.910705681599893</v>
      </c>
      <c r="AJ754">
        <v>80.908171504861897</v>
      </c>
      <c r="AK754">
        <v>174.55349742390001</v>
      </c>
      <c r="AL754">
        <v>86.4265912844333</v>
      </c>
      <c r="AM754">
        <v>87.427629010292193</v>
      </c>
      <c r="AN754">
        <v>0.99999994987718899</v>
      </c>
    </row>
    <row r="755" spans="1:40" x14ac:dyDescent="0.25">
      <c r="A755" t="str">
        <f>"20190312151001000"</f>
        <v>20190312151001000</v>
      </c>
      <c r="B755" t="str">
        <f>"1552374600991460"</f>
        <v>1552374600991460</v>
      </c>
      <c r="C755" t="s">
        <v>40</v>
      </c>
      <c r="D755">
        <v>5.0204329999999997</v>
      </c>
      <c r="E755">
        <v>0.5432439</v>
      </c>
      <c r="F755" t="s">
        <v>49</v>
      </c>
      <c r="G755">
        <v>-162.6275</v>
      </c>
      <c r="H755">
        <v>0.7836708</v>
      </c>
      <c r="I755">
        <v>342.46859999999998</v>
      </c>
      <c r="J755">
        <v>-334.9803</v>
      </c>
      <c r="K755">
        <v>1.1097349999999999</v>
      </c>
      <c r="L755">
        <v>367.5478</v>
      </c>
      <c r="M755">
        <v>0.99984770000000001</v>
      </c>
      <c r="N755">
        <v>0</v>
      </c>
      <c r="O755">
        <v>1.457254E-2</v>
      </c>
      <c r="P755">
        <v>0.99816159999999998</v>
      </c>
      <c r="Q755">
        <v>5.2651459999999997E-2</v>
      </c>
      <c r="R755">
        <v>-3.002546E-2</v>
      </c>
      <c r="S755">
        <v>2.9926759999999999</v>
      </c>
      <c r="T755">
        <v>-5.6488509999999999E-3</v>
      </c>
      <c r="U755">
        <v>-0.43438719999999997</v>
      </c>
      <c r="V755">
        <v>4.455133E-2</v>
      </c>
      <c r="W755">
        <v>6.2240699999999899E-2</v>
      </c>
      <c r="X755">
        <v>0.99706629999999996</v>
      </c>
      <c r="Y755">
        <v>0.15805130000000001</v>
      </c>
      <c r="Z755">
        <v>-1.7575880000000001E-4</v>
      </c>
      <c r="AA755">
        <v>0.9874309</v>
      </c>
      <c r="AB755">
        <v>36</v>
      </c>
      <c r="AC755">
        <v>172.3528</v>
      </c>
      <c r="AD755">
        <v>-0.32606420000000003</v>
      </c>
      <c r="AE755">
        <v>-25.0792</v>
      </c>
      <c r="AF755">
        <v>27.588173912681601</v>
      </c>
      <c r="AG755">
        <v>-0.32606420000000003</v>
      </c>
      <c r="AH755">
        <v>171.96840979097399</v>
      </c>
      <c r="AI755">
        <v>90.107265157497494</v>
      </c>
      <c r="AJ755">
        <v>80.885935716408596</v>
      </c>
      <c r="AK755">
        <v>174.16758488230599</v>
      </c>
      <c r="AL755">
        <v>86.431563957815797</v>
      </c>
      <c r="AM755">
        <v>87.441587946679604</v>
      </c>
      <c r="AN755">
        <v>0.99999996616847298</v>
      </c>
    </row>
    <row r="756" spans="1:40" x14ac:dyDescent="0.25">
      <c r="A756" t="str">
        <f>"20190312151001021"</f>
        <v>20190312151001021</v>
      </c>
      <c r="B756" t="str">
        <f>"1552374601010981"</f>
        <v>1552374601010981</v>
      </c>
      <c r="C756" t="s">
        <v>40</v>
      </c>
      <c r="D756">
        <v>5.1135529999999996</v>
      </c>
      <c r="E756">
        <v>0.5435489</v>
      </c>
      <c r="F756" t="s">
        <v>49</v>
      </c>
      <c r="G756">
        <v>-162.62739999999999</v>
      </c>
      <c r="H756">
        <v>0.53432709999999894</v>
      </c>
      <c r="I756">
        <v>342.47680000000003</v>
      </c>
      <c r="J756">
        <v>-334.62610000000001</v>
      </c>
      <c r="K756">
        <v>1.109739</v>
      </c>
      <c r="L756">
        <v>367.55309999999997</v>
      </c>
      <c r="M756">
        <v>0.9998456</v>
      </c>
      <c r="N756">
        <v>0</v>
      </c>
      <c r="O756">
        <v>1.4700909999999999E-2</v>
      </c>
      <c r="P756">
        <v>0.99818470000000004</v>
      </c>
      <c r="Q756">
        <v>5.2511049999999997E-2</v>
      </c>
      <c r="R756">
        <v>-2.9503069999999999E-2</v>
      </c>
      <c r="S756">
        <v>2.99295</v>
      </c>
      <c r="T756">
        <v>-9.9920029999999993E-3</v>
      </c>
      <c r="U756">
        <v>-0.43536380000000002</v>
      </c>
      <c r="V756">
        <v>4.4157389999999998E-2</v>
      </c>
      <c r="W756">
        <v>6.2128860000000001E-2</v>
      </c>
      <c r="X756">
        <v>0.99709080000000005</v>
      </c>
      <c r="Y756">
        <v>0.15848010000000001</v>
      </c>
      <c r="Z756">
        <v>-3.1199439999999998E-4</v>
      </c>
      <c r="AA756">
        <v>0.98736210000000002</v>
      </c>
      <c r="AB756">
        <v>36</v>
      </c>
      <c r="AC756">
        <v>171.99870000000001</v>
      </c>
      <c r="AD756">
        <v>-0.57541189999999998</v>
      </c>
      <c r="AE756">
        <v>-25.0762999999999</v>
      </c>
      <c r="AF756">
        <v>27.601941970498299</v>
      </c>
      <c r="AG756">
        <v>-0.57541189999999998</v>
      </c>
      <c r="AH756">
        <v>171.60956918544201</v>
      </c>
      <c r="AI756">
        <v>90.189675929572005</v>
      </c>
      <c r="AJ756">
        <v>80.862717870162598</v>
      </c>
      <c r="AK756">
        <v>173.81611701856201</v>
      </c>
      <c r="AL756">
        <v>86.437984346262496</v>
      </c>
      <c r="AM756">
        <v>87.464242975975097</v>
      </c>
      <c r="AN756">
        <v>0.99999996689057502</v>
      </c>
    </row>
    <row r="757" spans="1:40" x14ac:dyDescent="0.25">
      <c r="A757" t="str">
        <f>"20190312151001043"</f>
        <v>20190312151001043</v>
      </c>
      <c r="B757" t="str">
        <f>"1552374601031477"</f>
        <v>1552374601031477</v>
      </c>
      <c r="C757" t="s">
        <v>40</v>
      </c>
      <c r="D757">
        <v>4.8292599999999997</v>
      </c>
      <c r="E757">
        <v>0.54376869999999999</v>
      </c>
      <c r="F757" t="s">
        <v>49</v>
      </c>
      <c r="G757">
        <v>-162.62729999999999</v>
      </c>
      <c r="H757">
        <v>0.25811060000000002</v>
      </c>
      <c r="I757">
        <v>342.48250000000002</v>
      </c>
      <c r="J757">
        <v>-334.27859999999998</v>
      </c>
      <c r="K757">
        <v>1.109742</v>
      </c>
      <c r="L757">
        <v>367.55829999999997</v>
      </c>
      <c r="M757">
        <v>0.99984340000000005</v>
      </c>
      <c r="N757">
        <v>0</v>
      </c>
      <c r="O757">
        <v>1.4827130000000001E-2</v>
      </c>
      <c r="P757">
        <v>0.9981951</v>
      </c>
      <c r="Q757">
        <v>5.2553509999999998E-2</v>
      </c>
      <c r="R757">
        <v>-2.906131E-2</v>
      </c>
      <c r="S757">
        <v>2.993347</v>
      </c>
      <c r="T757">
        <v>-1.4821050000000001E-2</v>
      </c>
      <c r="U757">
        <v>-0.43630980000000003</v>
      </c>
      <c r="V757">
        <v>4.3842010000000001E-2</v>
      </c>
      <c r="W757">
        <v>6.2200730000000003E-2</v>
      </c>
      <c r="X757">
        <v>0.99710030000000005</v>
      </c>
      <c r="Y757">
        <v>0.15889049999999999</v>
      </c>
      <c r="Z757">
        <v>-4.6433889999999999E-4</v>
      </c>
      <c r="AA757">
        <v>0.98729610000000001</v>
      </c>
      <c r="AB757">
        <v>36</v>
      </c>
      <c r="AC757">
        <v>171.65129999999999</v>
      </c>
      <c r="AD757">
        <v>-0.85163140000000004</v>
      </c>
      <c r="AE757">
        <v>-25.075799999999902</v>
      </c>
      <c r="AF757">
        <v>27.617592512301002</v>
      </c>
      <c r="AG757">
        <v>-0.85163140000000004</v>
      </c>
      <c r="AH757">
        <v>171.25648198392301</v>
      </c>
      <c r="AI757">
        <v>90.281286435185706</v>
      </c>
      <c r="AJ757">
        <v>80.839094458652696</v>
      </c>
      <c r="AK757">
        <v>173.471148361123</v>
      </c>
      <c r="AL757">
        <v>86.433858745661894</v>
      </c>
      <c r="AM757">
        <v>87.482354376330505</v>
      </c>
      <c r="AN757">
        <v>1.00000003045673</v>
      </c>
    </row>
    <row r="758" spans="1:40" x14ac:dyDescent="0.25">
      <c r="A758" t="str">
        <f>"20190312151001065"</f>
        <v>20190312151001065</v>
      </c>
      <c r="B758" t="str">
        <f>"1552374601061732"</f>
        <v>1552374601061732</v>
      </c>
      <c r="C758" t="s">
        <v>40</v>
      </c>
      <c r="D758">
        <v>4.9944269999999999</v>
      </c>
      <c r="E758">
        <v>0.54439799999999905</v>
      </c>
      <c r="F758" t="s">
        <v>49</v>
      </c>
      <c r="G758">
        <v>-162.62729999999999</v>
      </c>
      <c r="H758">
        <v>0.15392310000000001</v>
      </c>
      <c r="I758">
        <v>342.50749999999999</v>
      </c>
      <c r="J758">
        <v>-333.92489999999998</v>
      </c>
      <c r="K758">
        <v>1.109747</v>
      </c>
      <c r="L758">
        <v>367.56369999999998</v>
      </c>
      <c r="M758">
        <v>0.99984130000000004</v>
      </c>
      <c r="N758">
        <v>0</v>
      </c>
      <c r="O758">
        <v>1.49555E-2</v>
      </c>
      <c r="P758">
        <v>0.99817619999999896</v>
      </c>
      <c r="Q758">
        <v>5.2984080000000003E-2</v>
      </c>
      <c r="R758">
        <v>-2.8931970000000001E-2</v>
      </c>
      <c r="S758">
        <v>2.9936219999999998</v>
      </c>
      <c r="T758">
        <v>-1.6669509999999998E-2</v>
      </c>
      <c r="U758">
        <v>-0.43688959999999999</v>
      </c>
      <c r="V758">
        <v>4.3840160000000003E-2</v>
      </c>
      <c r="W758">
        <v>6.2659500000000007E-2</v>
      </c>
      <c r="X758">
        <v>0.99707159999999995</v>
      </c>
      <c r="Y758">
        <v>0.1591911</v>
      </c>
      <c r="Z758">
        <v>-5.2373879999999999E-4</v>
      </c>
      <c r="AA758">
        <v>0.9872476</v>
      </c>
      <c r="AB758">
        <v>36</v>
      </c>
      <c r="AC758">
        <v>171.29759999999999</v>
      </c>
      <c r="AD758">
        <v>-0.95582389999999995</v>
      </c>
      <c r="AE758">
        <v>-25.056199999999901</v>
      </c>
      <c r="AF758">
        <v>27.6145169797595</v>
      </c>
      <c r="AG758">
        <v>-0.95582389999999995</v>
      </c>
      <c r="AH758">
        <v>170.89848525093299</v>
      </c>
      <c r="AI758">
        <v>90.316345046474098</v>
      </c>
      <c r="AJ758">
        <v>80.821235527588897</v>
      </c>
      <c r="AK758">
        <v>173.117784783703</v>
      </c>
      <c r="AL758">
        <v>86.407521584041504</v>
      </c>
      <c r="AM758">
        <v>87.482388104306196</v>
      </c>
      <c r="AN758">
        <v>0.99999997404781704</v>
      </c>
    </row>
    <row r="759" spans="1:40" x14ac:dyDescent="0.25">
      <c r="A759" t="str">
        <f>"20190312151001088"</f>
        <v>20190312151001088</v>
      </c>
      <c r="B759" t="str">
        <f>"1552374601081258"</f>
        <v>1552374601081258</v>
      </c>
      <c r="C759" t="s">
        <v>40</v>
      </c>
      <c r="D759">
        <v>5.0100110000000004</v>
      </c>
      <c r="E759">
        <v>0.54475200000000001</v>
      </c>
      <c r="F759" t="s">
        <v>42</v>
      </c>
      <c r="G759">
        <v>-179.95779999999999</v>
      </c>
      <c r="H759">
        <v>3.0466439999999998E-4</v>
      </c>
      <c r="I759">
        <v>344.8646</v>
      </c>
      <c r="J759">
        <v>-333.55200000000002</v>
      </c>
      <c r="K759">
        <v>1.109756</v>
      </c>
      <c r="L759">
        <v>367.56939999999997</v>
      </c>
      <c r="M759">
        <v>0.99983900000000003</v>
      </c>
      <c r="N759">
        <v>0</v>
      </c>
      <c r="O759">
        <v>1.5090910000000001E-2</v>
      </c>
      <c r="P759">
        <v>0.99819049999999998</v>
      </c>
      <c r="Q759">
        <v>5.2761639999999999E-2</v>
      </c>
      <c r="R759">
        <v>-2.8846670000000001E-2</v>
      </c>
      <c r="S759">
        <v>2.9938349999999998</v>
      </c>
      <c r="T759">
        <v>-2.1572709999999998E-2</v>
      </c>
      <c r="U759">
        <v>-0.44137569999999998</v>
      </c>
      <c r="V759">
        <v>4.3890119999999998E-2</v>
      </c>
      <c r="W759">
        <v>6.2464859999999997E-2</v>
      </c>
      <c r="X759">
        <v>0.99708160000000001</v>
      </c>
      <c r="Y759">
        <v>0.16076079999999901</v>
      </c>
      <c r="Z759">
        <v>-6.8426390000000004E-4</v>
      </c>
      <c r="AA759">
        <v>0.98699309999999996</v>
      </c>
      <c r="AB759">
        <v>36</v>
      </c>
      <c r="AC759">
        <v>153.59419999999901</v>
      </c>
      <c r="AD759">
        <v>-1.1094513356</v>
      </c>
      <c r="AE759">
        <v>-22.704799999999899</v>
      </c>
      <c r="AF759">
        <v>25.018922276079699</v>
      </c>
      <c r="AG759">
        <v>-1.1094513356</v>
      </c>
      <c r="AH759">
        <v>153.22623198664201</v>
      </c>
      <c r="AI759">
        <v>90.409427410316894</v>
      </c>
      <c r="AJ759">
        <v>80.726526060088503</v>
      </c>
      <c r="AK759">
        <v>155.259317024605</v>
      </c>
      <c r="AL759">
        <v>86.418695470665895</v>
      </c>
      <c r="AM759">
        <v>87.479547991766594</v>
      </c>
      <c r="AN759">
        <v>0.99999995921349605</v>
      </c>
    </row>
    <row r="760" spans="1:40" x14ac:dyDescent="0.25">
      <c r="A760" t="str">
        <f>"20190312151001109"</f>
        <v>20190312151001109</v>
      </c>
      <c r="B760" t="str">
        <f>"1552374601101753"</f>
        <v>1552374601101753</v>
      </c>
      <c r="C760" t="s">
        <v>40</v>
      </c>
      <c r="D760">
        <v>5.0363860000000003</v>
      </c>
      <c r="E760">
        <v>0.54498059999999904</v>
      </c>
      <c r="F760" t="s">
        <v>42</v>
      </c>
      <c r="G760">
        <v>-199.30850000000001</v>
      </c>
      <c r="H760" s="1">
        <v>-5.2844529999999997E-6</v>
      </c>
      <c r="I760">
        <v>347.66340000000002</v>
      </c>
      <c r="J760">
        <v>-333.19970000000001</v>
      </c>
      <c r="K760">
        <v>1.1097629999999901</v>
      </c>
      <c r="L760">
        <v>367.57479999999998</v>
      </c>
      <c r="M760">
        <v>0.99983690000000003</v>
      </c>
      <c r="N760">
        <v>0</v>
      </c>
      <c r="O760">
        <v>1.5218590000000001E-2</v>
      </c>
      <c r="P760">
        <v>0.99818739999999995</v>
      </c>
      <c r="Q760">
        <v>5.2907950000000002E-2</v>
      </c>
      <c r="R760">
        <v>-2.8686E-2</v>
      </c>
      <c r="S760">
        <v>2.9938660000000001</v>
      </c>
      <c r="T760">
        <v>-2.474964E-2</v>
      </c>
      <c r="U760">
        <v>-0.44393919999999998</v>
      </c>
      <c r="V760">
        <v>4.3856819999999998E-2</v>
      </c>
      <c r="W760">
        <v>6.2635239999999995E-2</v>
      </c>
      <c r="X760">
        <v>0.99707239999999997</v>
      </c>
      <c r="Y760">
        <v>0.16171089999999999</v>
      </c>
      <c r="Z760">
        <v>-7.8992889999999897E-4</v>
      </c>
      <c r="AA760">
        <v>0.98683790000000005</v>
      </c>
      <c r="AB760">
        <v>36</v>
      </c>
      <c r="AC760">
        <v>133.8912</v>
      </c>
      <c r="AD760">
        <v>-1.1097682844529999</v>
      </c>
      <c r="AE760">
        <v>-19.911399999999901</v>
      </c>
      <c r="AF760">
        <v>21.9453504479701</v>
      </c>
      <c r="AG760">
        <v>-1.1097682844529999</v>
      </c>
      <c r="AH760">
        <v>133.563677540501</v>
      </c>
      <c r="AI760">
        <v>90.469756014282495</v>
      </c>
      <c r="AJ760">
        <v>80.669313229999702</v>
      </c>
      <c r="AK760">
        <v>135.359099989887</v>
      </c>
      <c r="AL760">
        <v>86.408914345415596</v>
      </c>
      <c r="AM760">
        <v>87.481434619224004</v>
      </c>
      <c r="AN760">
        <v>0.99999998239606402</v>
      </c>
    </row>
    <row r="761" spans="1:40" x14ac:dyDescent="0.25">
      <c r="A761" t="str">
        <f>"20190312151001132"</f>
        <v>20190312151001132</v>
      </c>
      <c r="B761" t="str">
        <f>"1552374601121268"</f>
        <v>1552374601121268</v>
      </c>
      <c r="C761" t="s">
        <v>40</v>
      </c>
      <c r="D761">
        <v>5.0764529999999999</v>
      </c>
      <c r="E761">
        <v>0.54513109999999998</v>
      </c>
      <c r="F761" t="s">
        <v>43</v>
      </c>
      <c r="G761">
        <v>-204.5249</v>
      </c>
      <c r="H761">
        <v>-0.05</v>
      </c>
      <c r="I761">
        <v>348.43540000000002</v>
      </c>
      <c r="J761">
        <v>-332.83210000000003</v>
      </c>
      <c r="K761">
        <v>1.1097600000000001</v>
      </c>
      <c r="L761">
        <v>367.5806</v>
      </c>
      <c r="M761">
        <v>0.99983460000000002</v>
      </c>
      <c r="N761">
        <v>0</v>
      </c>
      <c r="O761">
        <v>1.535181E-2</v>
      </c>
      <c r="P761">
        <v>0.99817940000000005</v>
      </c>
      <c r="Q761">
        <v>5.3161189999999997E-2</v>
      </c>
      <c r="R761">
        <v>-2.8497870000000002E-2</v>
      </c>
      <c r="S761">
        <v>2.994049</v>
      </c>
      <c r="T761">
        <v>-2.6985760000000001E-2</v>
      </c>
      <c r="U761">
        <v>-0.44534299999999999</v>
      </c>
      <c r="V761">
        <v>4.3801449999999999E-2</v>
      </c>
      <c r="W761">
        <v>6.2911250000000002E-2</v>
      </c>
      <c r="X761">
        <v>0.99705750000000004</v>
      </c>
      <c r="Y761">
        <v>0.16228519999999999</v>
      </c>
      <c r="Z761">
        <v>-8.6498339999999997E-4</v>
      </c>
      <c r="AA761">
        <v>0.9867435</v>
      </c>
      <c r="AB761">
        <v>36</v>
      </c>
      <c r="AC761">
        <v>128.30719999999999</v>
      </c>
      <c r="AD761">
        <v>-1.1597599999999999</v>
      </c>
      <c r="AE761">
        <v>-19.1451999999999</v>
      </c>
      <c r="AF761">
        <v>21.111097760934399</v>
      </c>
      <c r="AG761">
        <v>-1.1597599999999999</v>
      </c>
      <c r="AH761">
        <v>127.987921469792</v>
      </c>
      <c r="AI761">
        <v>90.512249066642497</v>
      </c>
      <c r="AJ761">
        <v>80.633626000355903</v>
      </c>
      <c r="AK761">
        <v>129.72251745200899</v>
      </c>
      <c r="AL761">
        <v>86.393069041953297</v>
      </c>
      <c r="AM761">
        <v>87.484572723617006</v>
      </c>
      <c r="AN761">
        <v>1.0000000253524499</v>
      </c>
    </row>
    <row r="762" spans="1:40" x14ac:dyDescent="0.25">
      <c r="A762" t="str">
        <f>"20190312151001154"</f>
        <v>20190312151001154</v>
      </c>
      <c r="B762" t="str">
        <f>"1552374601141764"</f>
        <v>1552374601141764</v>
      </c>
      <c r="C762" t="s">
        <v>40</v>
      </c>
      <c r="D762">
        <v>5.0292539999999999</v>
      </c>
      <c r="E762">
        <v>0.54540929999999999</v>
      </c>
      <c r="F762" t="s">
        <v>43</v>
      </c>
      <c r="G762">
        <v>-205.48099999999999</v>
      </c>
      <c r="H762">
        <v>-0.05</v>
      </c>
      <c r="I762">
        <v>348.60520000000002</v>
      </c>
      <c r="J762">
        <v>-332.47390000000001</v>
      </c>
      <c r="K762">
        <v>1.1097629999999901</v>
      </c>
      <c r="L762">
        <v>367.58620000000002</v>
      </c>
      <c r="M762">
        <v>0.99983219999999995</v>
      </c>
      <c r="N762">
        <v>0</v>
      </c>
      <c r="O762">
        <v>1.5482009999999999E-2</v>
      </c>
      <c r="P762">
        <v>0.99818470000000004</v>
      </c>
      <c r="Q762">
        <v>5.2997790000000003E-2</v>
      </c>
      <c r="R762">
        <v>-2.8605289999999998E-2</v>
      </c>
      <c r="S762">
        <v>2.994202</v>
      </c>
      <c r="T762">
        <v>-2.726758E-2</v>
      </c>
      <c r="U762">
        <v>-0.44613649999999999</v>
      </c>
      <c r="V762">
        <v>4.4038920000000002E-2</v>
      </c>
      <c r="W762">
        <v>6.2768950000000004E-2</v>
      </c>
      <c r="X762">
        <v>0.99705600000000005</v>
      </c>
      <c r="Y762">
        <v>0.162662</v>
      </c>
      <c r="Z762">
        <v>-8.7684109999999998E-4</v>
      </c>
      <c r="AA762">
        <v>0.98668149999999999</v>
      </c>
      <c r="AB762">
        <v>36</v>
      </c>
      <c r="AC762">
        <v>126.99290000000001</v>
      </c>
      <c r="AD762">
        <v>-1.1597630000000001</v>
      </c>
      <c r="AE762">
        <v>-18.980999999999899</v>
      </c>
      <c r="AF762">
        <v>20.943215901298199</v>
      </c>
      <c r="AG762">
        <v>-1.1597630000000001</v>
      </c>
      <c r="AH762">
        <v>126.67346583969901</v>
      </c>
      <c r="AI762">
        <v>90.5175334481509</v>
      </c>
      <c r="AJ762">
        <v>80.612080919284196</v>
      </c>
      <c r="AK762">
        <v>128.398326664899</v>
      </c>
      <c r="AL762">
        <v>86.401238348140893</v>
      </c>
      <c r="AM762">
        <v>87.470949168764406</v>
      </c>
      <c r="AN762">
        <v>1.0000000173474299</v>
      </c>
    </row>
    <row r="763" spans="1:40" x14ac:dyDescent="0.25">
      <c r="A763" t="str">
        <f>"20190312151001176"</f>
        <v>20190312151001176</v>
      </c>
      <c r="B763" t="str">
        <f>"1552374601171048"</f>
        <v>1552374601171048</v>
      </c>
      <c r="C763" t="s">
        <v>40</v>
      </c>
      <c r="D763">
        <v>5.1371000000000002</v>
      </c>
      <c r="E763">
        <v>0.5453846</v>
      </c>
      <c r="F763" t="s">
        <v>43</v>
      </c>
      <c r="G763">
        <v>-221.55179999999999</v>
      </c>
      <c r="H763">
        <v>-0.05</v>
      </c>
      <c r="I763">
        <v>350.97199999999998</v>
      </c>
      <c r="J763">
        <v>-332.09980000000002</v>
      </c>
      <c r="K763">
        <v>1.1097619999999999</v>
      </c>
      <c r="L763">
        <v>367.59210000000002</v>
      </c>
      <c r="M763">
        <v>0.99983</v>
      </c>
      <c r="N763">
        <v>0</v>
      </c>
      <c r="O763">
        <v>1.561775E-2</v>
      </c>
      <c r="P763">
        <v>0.99821720000000003</v>
      </c>
      <c r="Q763">
        <v>5.2173980000000002E-2</v>
      </c>
      <c r="R763">
        <v>-2.899291E-2</v>
      </c>
      <c r="S763">
        <v>2.9942630000000001</v>
      </c>
      <c r="T763">
        <v>-3.1306979999999998E-2</v>
      </c>
      <c r="U763">
        <v>-0.4484863</v>
      </c>
      <c r="V763">
        <v>4.4562570000000003E-2</v>
      </c>
      <c r="W763">
        <v>6.1965140000000002E-2</v>
      </c>
      <c r="X763">
        <v>0.99708300000000005</v>
      </c>
      <c r="Y763">
        <v>0.1635481</v>
      </c>
      <c r="Z763">
        <v>-1.01267E-3</v>
      </c>
      <c r="AA763">
        <v>0.98653480000000005</v>
      </c>
      <c r="AB763">
        <v>36</v>
      </c>
      <c r="AC763">
        <v>110.548</v>
      </c>
      <c r="AD763">
        <v>-1.159762</v>
      </c>
      <c r="AE763">
        <v>-16.620100000000001</v>
      </c>
      <c r="AF763">
        <v>18.342692493942799</v>
      </c>
      <c r="AG763">
        <v>-1.159762</v>
      </c>
      <c r="AH763">
        <v>110.263067246132</v>
      </c>
      <c r="AI763">
        <v>90.594453994086294</v>
      </c>
      <c r="AJ763">
        <v>80.555113933049498</v>
      </c>
      <c r="AK763">
        <v>111.784361224408</v>
      </c>
      <c r="AL763">
        <v>86.447383056266403</v>
      </c>
      <c r="AM763">
        <v>87.440986138842305</v>
      </c>
      <c r="AN763">
        <v>1.0000000050546101</v>
      </c>
    </row>
    <row r="764" spans="1:40" x14ac:dyDescent="0.25">
      <c r="A764" t="str">
        <f>"20190312151001201"</f>
        <v>20190312151001201</v>
      </c>
      <c r="B764" t="str">
        <f>"1552374601191541"</f>
        <v>1552374601191541</v>
      </c>
      <c r="C764" t="s">
        <v>40</v>
      </c>
      <c r="D764">
        <v>5.0726120000000003</v>
      </c>
      <c r="E764">
        <v>0.53047670000000002</v>
      </c>
      <c r="F764" t="s">
        <v>42</v>
      </c>
      <c r="G764">
        <v>-250.93029999999999</v>
      </c>
      <c r="H764">
        <v>7.9986740000000001E-2</v>
      </c>
      <c r="I764">
        <v>355.3997</v>
      </c>
      <c r="J764">
        <v>-331.71109999999999</v>
      </c>
      <c r="K764">
        <v>1.1097680000000001</v>
      </c>
      <c r="L764">
        <v>367.59829999999999</v>
      </c>
      <c r="M764">
        <v>0.99982769999999999</v>
      </c>
      <c r="N764">
        <v>0</v>
      </c>
      <c r="O764">
        <v>1.5758299999999999E-2</v>
      </c>
      <c r="P764">
        <v>0.99823050000000002</v>
      </c>
      <c r="Q764">
        <v>5.1884180000000002E-2</v>
      </c>
      <c r="R764">
        <v>-2.9056680000000001E-2</v>
      </c>
      <c r="S764">
        <v>2.9942929999999999</v>
      </c>
      <c r="T764">
        <v>-3.7987710000000001E-2</v>
      </c>
      <c r="U764">
        <v>-0.4497681</v>
      </c>
      <c r="V764">
        <v>4.4766790000000001E-2</v>
      </c>
      <c r="W764">
        <v>6.1698629999999997E-2</v>
      </c>
      <c r="X764">
        <v>0.99709040000000004</v>
      </c>
      <c r="Y764">
        <v>0.16409360000000001</v>
      </c>
      <c r="Z764">
        <v>-1.233917E-3</v>
      </c>
      <c r="AA764">
        <v>0.98644399999999999</v>
      </c>
      <c r="AB764">
        <v>36</v>
      </c>
      <c r="AC764">
        <v>80.780799999999999</v>
      </c>
      <c r="AD764">
        <v>-1.02978126</v>
      </c>
      <c r="AE764">
        <v>-12.198600000000001</v>
      </c>
      <c r="AF764">
        <v>13.4679746499137</v>
      </c>
      <c r="AG764">
        <v>-1.02978126</v>
      </c>
      <c r="AH764">
        <v>80.565729413331297</v>
      </c>
      <c r="AI764">
        <v>90.722286221831894</v>
      </c>
      <c r="AJ764">
        <v>80.509757853446203</v>
      </c>
      <c r="AK764">
        <v>81.690167991725204</v>
      </c>
      <c r="AL764">
        <v>86.462682302742905</v>
      </c>
      <c r="AM764">
        <v>87.429293517487906</v>
      </c>
      <c r="AN764">
        <v>1.0000000261014701</v>
      </c>
    </row>
    <row r="765" spans="1:40" x14ac:dyDescent="0.25">
      <c r="A765" t="str">
        <f>"20190312151001222"</f>
        <v>20190312151001222</v>
      </c>
      <c r="B765" t="str">
        <f>"1552374601211062"</f>
        <v>1552374601211062</v>
      </c>
      <c r="C765" t="s">
        <v>40</v>
      </c>
      <c r="D765">
        <v>5.2388399999999997</v>
      </c>
      <c r="E765">
        <v>0.53228730000000002</v>
      </c>
      <c r="F765" t="s">
        <v>43</v>
      </c>
      <c r="G765">
        <v>-309.08330000000001</v>
      </c>
      <c r="H765">
        <v>-0.05</v>
      </c>
      <c r="I765">
        <v>365.09879999999998</v>
      </c>
      <c r="J765">
        <v>-331.35169999999999</v>
      </c>
      <c r="K765">
        <v>1.1097699999999999</v>
      </c>
      <c r="L765">
        <v>367.60410000000002</v>
      </c>
      <c r="M765">
        <v>0.99982530000000003</v>
      </c>
      <c r="N765">
        <v>0</v>
      </c>
      <c r="O765">
        <v>1.5888659999999999E-2</v>
      </c>
      <c r="P765">
        <v>0.99820799999999998</v>
      </c>
      <c r="Q765">
        <v>5.2140300000000001E-2</v>
      </c>
      <c r="R765">
        <v>-2.9372269999999999E-2</v>
      </c>
      <c r="S765">
        <v>3.0036320000000001</v>
      </c>
      <c r="T765">
        <v>-0.15394840000000001</v>
      </c>
      <c r="U765">
        <v>-0.331787099999999</v>
      </c>
      <c r="V765">
        <v>4.5211729999999999E-2</v>
      </c>
      <c r="W765">
        <v>6.1978470000000001E-2</v>
      </c>
      <c r="X765">
        <v>0.99705299999999997</v>
      </c>
      <c r="Y765">
        <v>0.12539040000000001</v>
      </c>
      <c r="Z765">
        <v>-4.0131139999999999E-3</v>
      </c>
      <c r="AA765">
        <v>0.99209930000000002</v>
      </c>
      <c r="AB765">
        <v>37</v>
      </c>
      <c r="AC765">
        <v>22.2683999999999</v>
      </c>
      <c r="AD765">
        <v>-1.15977</v>
      </c>
      <c r="AE765">
        <v>-2.5053000000000298</v>
      </c>
      <c r="AF765">
        <v>2.85117881621085</v>
      </c>
      <c r="AG765">
        <v>-1.15977</v>
      </c>
      <c r="AH765">
        <v>22.166406637030299</v>
      </c>
      <c r="AI765">
        <v>92.970616456912893</v>
      </c>
      <c r="AJ765">
        <v>82.670510893250196</v>
      </c>
      <c r="AK765">
        <v>22.3790944922508</v>
      </c>
      <c r="AL765">
        <v>86.446618021216395</v>
      </c>
      <c r="AM765">
        <v>87.403680636241603</v>
      </c>
      <c r="AN765">
        <v>1.00000005804106</v>
      </c>
    </row>
    <row r="766" spans="1:40" x14ac:dyDescent="0.25">
      <c r="A766" t="str">
        <f>"20190312151001244"</f>
        <v>20190312151001244</v>
      </c>
      <c r="B766" t="str">
        <f>"1552374601241317"</f>
        <v>1552374601241317</v>
      </c>
      <c r="C766" t="s">
        <v>40</v>
      </c>
      <c r="D766">
        <v>5.0715459999999997</v>
      </c>
      <c r="E766">
        <v>0.53165699999999905</v>
      </c>
      <c r="F766" t="s">
        <v>43</v>
      </c>
      <c r="G766">
        <v>-310.3707</v>
      </c>
      <c r="H766">
        <v>-0.05</v>
      </c>
      <c r="I766">
        <v>365.17919999999998</v>
      </c>
      <c r="J766">
        <v>-331.00319999999999</v>
      </c>
      <c r="K766">
        <v>1.109775</v>
      </c>
      <c r="L766">
        <v>367.60969999999998</v>
      </c>
      <c r="M766">
        <v>0.99982320000000002</v>
      </c>
      <c r="N766">
        <v>0</v>
      </c>
      <c r="O766">
        <v>1.6014440000000001E-2</v>
      </c>
      <c r="P766">
        <v>0.99822409999999995</v>
      </c>
      <c r="Q766">
        <v>5.1772390000000001E-2</v>
      </c>
      <c r="R766">
        <v>-2.9468100000000001E-2</v>
      </c>
      <c r="S766">
        <v>3.0038450000000001</v>
      </c>
      <c r="T766">
        <v>-0.1660441</v>
      </c>
      <c r="U766">
        <v>-0.34716799999999998</v>
      </c>
      <c r="V766">
        <v>4.5433679999999997E-2</v>
      </c>
      <c r="W766">
        <v>6.1633430000000003E-2</v>
      </c>
      <c r="X766">
        <v>0.99706419999999996</v>
      </c>
      <c r="Y766">
        <v>0.13048399999999999</v>
      </c>
      <c r="Z766">
        <v>-4.4735649999999997E-3</v>
      </c>
      <c r="AA766">
        <v>0.99144030000000005</v>
      </c>
      <c r="AB766">
        <v>37</v>
      </c>
      <c r="AC766">
        <v>20.6325</v>
      </c>
      <c r="AD766">
        <v>-1.159775</v>
      </c>
      <c r="AE766">
        <v>-2.4304999999999901</v>
      </c>
      <c r="AF766">
        <v>2.7520456790520802</v>
      </c>
      <c r="AG766">
        <v>-1.159775</v>
      </c>
      <c r="AH766">
        <v>20.526957847865301</v>
      </c>
      <c r="AI766">
        <v>93.2051616465329</v>
      </c>
      <c r="AJ766">
        <v>82.3638997655884</v>
      </c>
      <c r="AK766">
        <v>20.7430670817565</v>
      </c>
      <c r="AL766">
        <v>86.466424873037198</v>
      </c>
      <c r="AM766">
        <v>87.390981817882704</v>
      </c>
      <c r="AN766">
        <v>0.99999995894677196</v>
      </c>
    </row>
    <row r="767" spans="1:40" x14ac:dyDescent="0.25">
      <c r="A767" t="str">
        <f>"20190312151001266"</f>
        <v>20190312151001266</v>
      </c>
      <c r="B767" t="str">
        <f>"1552374601261813"</f>
        <v>1552374601261813</v>
      </c>
      <c r="C767" t="s">
        <v>40</v>
      </c>
      <c r="D767">
        <v>5.0453270000000003</v>
      </c>
      <c r="E767">
        <v>0.53170450000000002</v>
      </c>
      <c r="F767" t="s">
        <v>43</v>
      </c>
      <c r="G767">
        <v>-309.14409999999998</v>
      </c>
      <c r="H767">
        <v>-0.05</v>
      </c>
      <c r="I767">
        <v>365.11790000000002</v>
      </c>
      <c r="J767">
        <v>-330.63339999999999</v>
      </c>
      <c r="K767">
        <v>1.1097790000000001</v>
      </c>
      <c r="L767">
        <v>367.61579999999998</v>
      </c>
      <c r="M767">
        <v>0.99982059999999995</v>
      </c>
      <c r="N767">
        <v>0</v>
      </c>
      <c r="O767">
        <v>1.614813E-2</v>
      </c>
      <c r="P767">
        <v>0.99822500000000003</v>
      </c>
      <c r="Q767">
        <v>5.1803099999999998E-2</v>
      </c>
      <c r="R767">
        <v>-2.9381529999999999E-2</v>
      </c>
      <c r="S767">
        <v>3.003479</v>
      </c>
      <c r="T767">
        <v>-0.1593552</v>
      </c>
      <c r="U767">
        <v>-0.34237669999999998</v>
      </c>
      <c r="V767">
        <v>4.548046E-2</v>
      </c>
      <c r="W767">
        <v>6.1688159999999999E-2</v>
      </c>
      <c r="X767">
        <v>0.99705869999999996</v>
      </c>
      <c r="Y767">
        <v>0.12908839999999999</v>
      </c>
      <c r="Z767">
        <v>-4.2647029999999999E-3</v>
      </c>
      <c r="AA767">
        <v>0.9916239</v>
      </c>
      <c r="AB767">
        <v>37</v>
      </c>
      <c r="AC767">
        <v>21.4893</v>
      </c>
      <c r="AD767">
        <v>-1.1597789999999999</v>
      </c>
      <c r="AE767">
        <v>-2.4978999999999498</v>
      </c>
      <c r="AF767">
        <v>2.8364515010706302</v>
      </c>
      <c r="AG767">
        <v>-1.1597789999999999</v>
      </c>
      <c r="AH767">
        <v>21.384701071863301</v>
      </c>
      <c r="AI767">
        <v>93.077440598584303</v>
      </c>
      <c r="AJ767">
        <v>82.4444315072883</v>
      </c>
      <c r="AK767">
        <v>21.603147557236099</v>
      </c>
      <c r="AL767">
        <v>86.463283158007002</v>
      </c>
      <c r="AM767">
        <v>87.3882848184479</v>
      </c>
      <c r="AN767">
        <v>0.99999997628584303</v>
      </c>
    </row>
    <row r="768" spans="1:40" x14ac:dyDescent="0.25">
      <c r="A768" t="str">
        <f>"20190312151001277"</f>
        <v>20190312151001277</v>
      </c>
      <c r="B768" t="str">
        <f>"1552374601271573"</f>
        <v>1552374601271573</v>
      </c>
      <c r="C768" t="s">
        <v>40</v>
      </c>
      <c r="D768">
        <v>5.1110699999999998</v>
      </c>
      <c r="E768">
        <v>0.53155759999999996</v>
      </c>
      <c r="F768" t="s">
        <v>43</v>
      </c>
      <c r="G768">
        <v>-307.96769999999998</v>
      </c>
      <c r="H768">
        <v>-0.05</v>
      </c>
      <c r="I768">
        <v>365.03109999999998</v>
      </c>
      <c r="J768">
        <v>-330.45229999999998</v>
      </c>
      <c r="K768">
        <v>1.109783</v>
      </c>
      <c r="L768">
        <v>367.61869999999999</v>
      </c>
      <c r="M768">
        <v>0.99981960000000003</v>
      </c>
      <c r="N768">
        <v>0</v>
      </c>
      <c r="O768">
        <v>1.6213459999999999E-2</v>
      </c>
      <c r="P768">
        <v>0.9982219</v>
      </c>
      <c r="Q768">
        <v>5.179885E-2</v>
      </c>
      <c r="R768">
        <v>-2.949823E-2</v>
      </c>
      <c r="S768">
        <v>3.0032350000000001</v>
      </c>
      <c r="T768">
        <v>-0.153672</v>
      </c>
      <c r="U768">
        <v>-0.3424683</v>
      </c>
      <c r="V768">
        <v>4.5662220000000003E-2</v>
      </c>
      <c r="W768">
        <v>6.1696719999999997E-2</v>
      </c>
      <c r="X768">
        <v>0.99704990000000004</v>
      </c>
      <c r="Y768">
        <v>0.12920589999999901</v>
      </c>
      <c r="Z768">
        <v>-4.1194589999999998E-3</v>
      </c>
      <c r="AA768">
        <v>0.99160919999999997</v>
      </c>
      <c r="AB768">
        <v>37</v>
      </c>
      <c r="AC768">
        <v>22.4846</v>
      </c>
      <c r="AD768">
        <v>-1.159783</v>
      </c>
      <c r="AE768">
        <v>-2.5876000000000001</v>
      </c>
      <c r="AF768">
        <v>2.9441000925846601</v>
      </c>
      <c r="AG768">
        <v>-1.159783</v>
      </c>
      <c r="AH768">
        <v>22.380919360439002</v>
      </c>
      <c r="AI768">
        <v>92.941130915639505</v>
      </c>
      <c r="AJ768">
        <v>82.506049135988803</v>
      </c>
      <c r="AK768">
        <v>22.603503564286601</v>
      </c>
      <c r="AL768">
        <v>86.462791901372995</v>
      </c>
      <c r="AM768">
        <v>87.377838679397897</v>
      </c>
      <c r="AN768">
        <v>1.0000000133420399</v>
      </c>
    </row>
    <row r="769" spans="1:40" x14ac:dyDescent="0.25">
      <c r="A769" t="str">
        <f>"20190312151001289"</f>
        <v>20190312151001289</v>
      </c>
      <c r="B769" t="str">
        <f>"1552374601281333"</f>
        <v>1552374601281333</v>
      </c>
      <c r="C769" t="s">
        <v>40</v>
      </c>
      <c r="D769">
        <v>5.0654680000000001</v>
      </c>
      <c r="E769">
        <v>0.53155469999999905</v>
      </c>
      <c r="F769" t="s">
        <v>43</v>
      </c>
      <c r="G769">
        <v>-307.84829999999999</v>
      </c>
      <c r="H769">
        <v>-0.05</v>
      </c>
      <c r="I769">
        <v>365.04640000000001</v>
      </c>
      <c r="J769">
        <v>-330.27010000000001</v>
      </c>
      <c r="K769">
        <v>1.109785</v>
      </c>
      <c r="L769">
        <v>367.62169999999998</v>
      </c>
      <c r="M769">
        <v>0.99981830000000005</v>
      </c>
      <c r="N769">
        <v>0</v>
      </c>
      <c r="O769">
        <v>1.6279249999999999E-2</v>
      </c>
      <c r="P769">
        <v>0.99822259999999996</v>
      </c>
      <c r="Q769">
        <v>5.1805610000000002E-2</v>
      </c>
      <c r="R769">
        <v>-2.9463860000000001E-2</v>
      </c>
      <c r="S769">
        <v>3.0032040000000002</v>
      </c>
      <c r="T769">
        <v>-0.154090899999999</v>
      </c>
      <c r="U769">
        <v>-0.34176640000000003</v>
      </c>
      <c r="V769">
        <v>4.5693369999999997E-2</v>
      </c>
      <c r="W769">
        <v>6.1717189999999998E-2</v>
      </c>
      <c r="X769">
        <v>0.99704720000000002</v>
      </c>
      <c r="Y769">
        <v>0.12904260000000001</v>
      </c>
      <c r="Z769">
        <v>-4.129962E-3</v>
      </c>
      <c r="AA769">
        <v>0.99163040000000002</v>
      </c>
      <c r="AB769">
        <v>37</v>
      </c>
      <c r="AC769">
        <v>22.421800000000001</v>
      </c>
      <c r="AD769">
        <v>-1.1597850000000001</v>
      </c>
      <c r="AE769">
        <v>-2.5752999999999702</v>
      </c>
      <c r="AF769">
        <v>2.9322435057660901</v>
      </c>
      <c r="AG769">
        <v>-1.1597850000000001</v>
      </c>
      <c r="AH769">
        <v>22.317966967629701</v>
      </c>
      <c r="AI769">
        <v>92.949478384172195</v>
      </c>
      <c r="AJ769">
        <v>82.515072407252703</v>
      </c>
      <c r="AK769">
        <v>22.539627388036902</v>
      </c>
      <c r="AL769">
        <v>86.461616796085494</v>
      </c>
      <c r="AM769">
        <v>87.376045288470607</v>
      </c>
      <c r="AN769">
        <v>1.0000000073156401</v>
      </c>
    </row>
    <row r="770" spans="1:40" x14ac:dyDescent="0.25">
      <c r="A770" t="str">
        <f>"20190312151001300"</f>
        <v>20190312151001300</v>
      </c>
      <c r="B770" t="str">
        <f>"1552374601291093"</f>
        <v>1552374601291093</v>
      </c>
      <c r="C770" t="s">
        <v>40</v>
      </c>
      <c r="D770">
        <v>5.0207879999999996</v>
      </c>
      <c r="E770">
        <v>0.5320165</v>
      </c>
      <c r="F770" t="s">
        <v>43</v>
      </c>
      <c r="G770">
        <v>-307.15679999999998</v>
      </c>
      <c r="H770">
        <v>-0.05</v>
      </c>
      <c r="I770">
        <v>364.99250000000001</v>
      </c>
      <c r="J770">
        <v>-330.08300000000003</v>
      </c>
      <c r="K770">
        <v>1.1097840000000001</v>
      </c>
      <c r="L770">
        <v>367.62479999999999</v>
      </c>
      <c r="M770">
        <v>0.99981699999999996</v>
      </c>
      <c r="N770">
        <v>0</v>
      </c>
      <c r="O770">
        <v>1.634671E-2</v>
      </c>
      <c r="P770">
        <v>0.99821249999999995</v>
      </c>
      <c r="Q770">
        <v>5.1939329999999999E-2</v>
      </c>
      <c r="R770">
        <v>-2.956984E-2</v>
      </c>
      <c r="S770">
        <v>3.003082</v>
      </c>
      <c r="T770">
        <v>-0.15068999999999999</v>
      </c>
      <c r="U770">
        <v>-0.34161380000000002</v>
      </c>
      <c r="V770">
        <v>4.5866410000000003E-2</v>
      </c>
      <c r="W770">
        <v>6.1865679999999999E-2</v>
      </c>
      <c r="X770">
        <v>0.99702999999999997</v>
      </c>
      <c r="Y770">
        <v>0.1290724</v>
      </c>
      <c r="Z770">
        <v>-4.043217E-3</v>
      </c>
      <c r="AA770">
        <v>0.99162689999999998</v>
      </c>
      <c r="AB770">
        <v>37</v>
      </c>
      <c r="AC770">
        <v>22.926200000000001</v>
      </c>
      <c r="AD770">
        <v>-1.1597839999999999</v>
      </c>
      <c r="AE770">
        <v>-2.6322999999999799</v>
      </c>
      <c r="AF770">
        <v>2.9991593608679401</v>
      </c>
      <c r="AG770">
        <v>-1.1597839999999999</v>
      </c>
      <c r="AH770">
        <v>22.822459403353101</v>
      </c>
      <c r="AI770">
        <v>92.884378449439495</v>
      </c>
      <c r="AJ770">
        <v>82.5135098013033</v>
      </c>
      <c r="AK770">
        <v>23.047878622906701</v>
      </c>
      <c r="AL770">
        <v>86.453092472596197</v>
      </c>
      <c r="AM770">
        <v>87.366077010795607</v>
      </c>
      <c r="AN770">
        <v>0.99999995541407405</v>
      </c>
    </row>
    <row r="771" spans="1:40" x14ac:dyDescent="0.25">
      <c r="A771" t="str">
        <f>"20190312151001311"</f>
        <v>20190312151001311</v>
      </c>
      <c r="B771" t="str">
        <f>"1552374601301829"</f>
        <v>1552374601301829</v>
      </c>
      <c r="C771" t="s">
        <v>40</v>
      </c>
      <c r="D771">
        <v>5.1006410000000004</v>
      </c>
      <c r="E771">
        <v>0.5320144</v>
      </c>
      <c r="F771" t="s">
        <v>43</v>
      </c>
      <c r="G771">
        <v>-305.81990000000002</v>
      </c>
      <c r="H771">
        <v>-0.05</v>
      </c>
      <c r="I771">
        <v>364.83150000000001</v>
      </c>
      <c r="J771">
        <v>-329.8897</v>
      </c>
      <c r="K771">
        <v>1.109788</v>
      </c>
      <c r="L771">
        <v>367.62810000000002</v>
      </c>
      <c r="M771">
        <v>0.99981580000000003</v>
      </c>
      <c r="N771">
        <v>0</v>
      </c>
      <c r="O771">
        <v>1.6416549999999999E-2</v>
      </c>
      <c r="P771">
        <v>0.99822290000000002</v>
      </c>
      <c r="Q771">
        <v>5.1739819999999999E-2</v>
      </c>
      <c r="R771">
        <v>-2.9567969999999999E-2</v>
      </c>
      <c r="S771">
        <v>3.0025330000000001</v>
      </c>
      <c r="T771">
        <v>-0.14352229999999999</v>
      </c>
      <c r="U771">
        <v>-0.345672599999999</v>
      </c>
      <c r="V771">
        <v>4.5934349999999999E-2</v>
      </c>
      <c r="W771">
        <v>6.1682920000000002E-2</v>
      </c>
      <c r="X771">
        <v>0.99703819999999999</v>
      </c>
      <c r="Y771">
        <v>0.13050010000000001</v>
      </c>
      <c r="Z771">
        <v>-3.8888439999999998E-3</v>
      </c>
      <c r="AA771">
        <v>0.99144069999999995</v>
      </c>
      <c r="AB771">
        <v>37</v>
      </c>
      <c r="AC771">
        <v>24.069799999999901</v>
      </c>
      <c r="AD771">
        <v>-1.15978799999999</v>
      </c>
      <c r="AE771">
        <v>-2.79660000000001</v>
      </c>
      <c r="AF771">
        <v>3.1840915569558002</v>
      </c>
      <c r="AG771">
        <v>-1.15978799999999</v>
      </c>
      <c r="AH771">
        <v>23.9657423032812</v>
      </c>
      <c r="AI771">
        <v>92.746489448864693</v>
      </c>
      <c r="AJ771">
        <v>82.431997443412797</v>
      </c>
      <c r="AK771">
        <v>24.2041391376621</v>
      </c>
      <c r="AL771">
        <v>86.463583901988699</v>
      </c>
      <c r="AM771">
        <v>87.362202660852702</v>
      </c>
      <c r="AN771">
        <v>0.999999959694443</v>
      </c>
    </row>
    <row r="772" spans="1:40" x14ac:dyDescent="0.25">
      <c r="A772" t="str">
        <f>"20190312151001323"</f>
        <v>20190312151001323</v>
      </c>
      <c r="B772" t="str">
        <f>"1552374601311589"</f>
        <v>1552374601311589</v>
      </c>
      <c r="C772" t="s">
        <v>40</v>
      </c>
      <c r="D772">
        <v>4.9420799999999998</v>
      </c>
      <c r="E772">
        <v>0.53246380000000004</v>
      </c>
      <c r="F772" t="s">
        <v>43</v>
      </c>
      <c r="G772">
        <v>-306.4658</v>
      </c>
      <c r="H772">
        <v>-0.05</v>
      </c>
      <c r="I772">
        <v>364.93079999999998</v>
      </c>
      <c r="J772">
        <v>-329.70769999999999</v>
      </c>
      <c r="K772">
        <v>1.109791</v>
      </c>
      <c r="L772">
        <v>367.6311</v>
      </c>
      <c r="M772">
        <v>0.99981450000000005</v>
      </c>
      <c r="N772">
        <v>0</v>
      </c>
      <c r="O772">
        <v>1.648233E-2</v>
      </c>
      <c r="P772">
        <v>0.99822060000000001</v>
      </c>
      <c r="Q772">
        <v>5.1734219999999997E-2</v>
      </c>
      <c r="R772">
        <v>-2.9657739999999998E-2</v>
      </c>
      <c r="S772">
        <v>3.002777</v>
      </c>
      <c r="T772">
        <v>-0.14867649999999999</v>
      </c>
      <c r="U772">
        <v>-0.34576420000000002</v>
      </c>
      <c r="V772">
        <v>4.6089680000000001E-2</v>
      </c>
      <c r="W772">
        <v>6.1693400000000002E-2</v>
      </c>
      <c r="X772">
        <v>0.99703039999999998</v>
      </c>
      <c r="Y772">
        <v>0.13057379999999999</v>
      </c>
      <c r="Z772">
        <v>-4.0330670000000004E-3</v>
      </c>
      <c r="AA772">
        <v>0.99143040000000004</v>
      </c>
      <c r="AB772">
        <v>37</v>
      </c>
      <c r="AC772">
        <v>23.241899999999902</v>
      </c>
      <c r="AD772">
        <v>-1.159791</v>
      </c>
      <c r="AE772">
        <v>-2.7003000000000199</v>
      </c>
      <c r="AF772">
        <v>3.07547659651804</v>
      </c>
      <c r="AG772">
        <v>-1.159791</v>
      </c>
      <c r="AH772">
        <v>23.137386007655099</v>
      </c>
      <c r="AI772">
        <v>92.844643800492094</v>
      </c>
      <c r="AJ772">
        <v>82.428492043925004</v>
      </c>
      <c r="AK772">
        <v>23.369687689968099</v>
      </c>
      <c r="AL772">
        <v>86.4629823554598</v>
      </c>
      <c r="AM772">
        <v>87.353274763236101</v>
      </c>
      <c r="AN772">
        <v>0.99999997636511095</v>
      </c>
    </row>
    <row r="773" spans="1:40" x14ac:dyDescent="0.25">
      <c r="A773" t="str">
        <f>"20190312151001335"</f>
        <v>20190312151001335</v>
      </c>
      <c r="B773" t="str">
        <f>"1552374601332085"</f>
        <v>1552374601332085</v>
      </c>
      <c r="C773" t="s">
        <v>40</v>
      </c>
      <c r="D773">
        <v>5.0462569999999998</v>
      </c>
      <c r="E773">
        <v>0.54491709999999904</v>
      </c>
      <c r="F773" t="s">
        <v>43</v>
      </c>
      <c r="G773">
        <v>-306.41789999999997</v>
      </c>
      <c r="H773">
        <v>-0.05</v>
      </c>
      <c r="I773">
        <v>364.91930000000002</v>
      </c>
      <c r="J773">
        <v>-329.5093</v>
      </c>
      <c r="K773">
        <v>1.1097969999999999</v>
      </c>
      <c r="L773">
        <v>367.63440000000003</v>
      </c>
      <c r="M773">
        <v>0.99981319999999996</v>
      </c>
      <c r="N773">
        <v>0</v>
      </c>
      <c r="O773">
        <v>1.655394E-2</v>
      </c>
      <c r="P773">
        <v>0.99821629999999995</v>
      </c>
      <c r="Q773">
        <v>5.1695039999999998E-2</v>
      </c>
      <c r="R773">
        <v>-2.9869590000000001E-2</v>
      </c>
      <c r="S773">
        <v>3.0027469999999998</v>
      </c>
      <c r="T773">
        <v>-0.14953159999999999</v>
      </c>
      <c r="U773">
        <v>-0.3496399</v>
      </c>
      <c r="V773">
        <v>4.6373020000000001E-2</v>
      </c>
      <c r="W773">
        <v>6.1672940000000002E-2</v>
      </c>
      <c r="X773">
        <v>0.99701859999999998</v>
      </c>
      <c r="Y773">
        <v>0.13190479999999999</v>
      </c>
      <c r="Z773">
        <v>-4.0925409999999999E-3</v>
      </c>
      <c r="AA773">
        <v>0.99125390000000002</v>
      </c>
      <c r="AB773">
        <v>37</v>
      </c>
      <c r="AC773">
        <v>23.0914</v>
      </c>
      <c r="AD773">
        <v>-1.159797</v>
      </c>
      <c r="AE773">
        <v>-2.7151000000000001</v>
      </c>
      <c r="AF773">
        <v>3.0893135022907101</v>
      </c>
      <c r="AG773">
        <v>-1.159797</v>
      </c>
      <c r="AH773">
        <v>22.9860917487199</v>
      </c>
      <c r="AI773">
        <v>92.8627966298925</v>
      </c>
      <c r="AJ773">
        <v>82.345359247542305</v>
      </c>
      <c r="AK773">
        <v>23.221744139431301</v>
      </c>
      <c r="AL773">
        <v>86.464157119497003</v>
      </c>
      <c r="AM773">
        <v>87.336995686664494</v>
      </c>
      <c r="AN773">
        <v>1.0000000486290599</v>
      </c>
    </row>
    <row r="774" spans="1:40" x14ac:dyDescent="0.25">
      <c r="A774" t="str">
        <f>"20190312151001447"</f>
        <v>20190312151001447</v>
      </c>
      <c r="B774" t="str">
        <f>"1552374601441397"</f>
        <v>1552374601441397</v>
      </c>
      <c r="C774" t="s">
        <v>40</v>
      </c>
      <c r="D774">
        <v>5.4151879999999997</v>
      </c>
      <c r="E774">
        <v>0.54491709999999904</v>
      </c>
      <c r="F774" t="s">
        <v>43</v>
      </c>
      <c r="G774">
        <v>-194.1814</v>
      </c>
      <c r="H774">
        <v>-0.05</v>
      </c>
      <c r="I774">
        <v>347.34410000000003</v>
      </c>
      <c r="J774">
        <v>-327.66570000000002</v>
      </c>
      <c r="K774">
        <v>1.109836</v>
      </c>
      <c r="L774">
        <v>367.666</v>
      </c>
      <c r="M774">
        <v>0.99979960000000001</v>
      </c>
      <c r="N774">
        <v>0</v>
      </c>
      <c r="O774">
        <v>1.7217960000000001E-2</v>
      </c>
      <c r="P774">
        <v>0.9980542</v>
      </c>
      <c r="Q774">
        <v>5.2700179999999999E-2</v>
      </c>
      <c r="R774">
        <v>-3.3325309999999997E-2</v>
      </c>
      <c r="S774">
        <v>2.9932560000000001</v>
      </c>
      <c r="T774">
        <v>-2.5652999999999999E-2</v>
      </c>
      <c r="U774">
        <v>-0.44879150000000001</v>
      </c>
      <c r="V774">
        <v>5.0487549999999999E-2</v>
      </c>
      <c r="W774">
        <v>6.2898399999999993E-2</v>
      </c>
      <c r="X774">
        <v>0.99674209999999996</v>
      </c>
      <c r="Y774">
        <v>0.165276799999999</v>
      </c>
      <c r="Z774">
        <v>-8.5107379999999999E-4</v>
      </c>
      <c r="AA774">
        <v>0.98624679999999998</v>
      </c>
      <c r="AB774">
        <v>37</v>
      </c>
      <c r="AC774">
        <v>133.48429999999999</v>
      </c>
      <c r="AD774">
        <v>-1.1598360000000001</v>
      </c>
      <c r="AE774">
        <v>-20.3218999999999</v>
      </c>
      <c r="AF774">
        <v>22.615665623663599</v>
      </c>
      <c r="AG774">
        <v>-1.1598360000000001</v>
      </c>
      <c r="AH774">
        <v>133.104768859556</v>
      </c>
      <c r="AI774">
        <v>90.492192374016895</v>
      </c>
      <c r="AJ774">
        <v>80.357035843821805</v>
      </c>
      <c r="AK774">
        <v>135.017380526746</v>
      </c>
      <c r="AL774">
        <v>86.393806689866295</v>
      </c>
      <c r="AM774">
        <v>87.1002996690477</v>
      </c>
      <c r="AN774">
        <v>1.00000000766998</v>
      </c>
    </row>
    <row r="775" spans="1:40" x14ac:dyDescent="0.25">
      <c r="A775" t="str">
        <f>"20190312151001458"</f>
        <v>20190312151001458</v>
      </c>
      <c r="B775" t="str">
        <f>"1552374601452133"</f>
        <v>1552374601452133</v>
      </c>
      <c r="C775" t="s">
        <v>40</v>
      </c>
      <c r="D775">
        <v>5.2542920000000004</v>
      </c>
      <c r="E775">
        <v>0.54725349999999995</v>
      </c>
      <c r="F775" t="s">
        <v>42</v>
      </c>
      <c r="G775">
        <v>-181.42859999999999</v>
      </c>
      <c r="H775" s="1">
        <v>-4.177952E-6</v>
      </c>
      <c r="I775">
        <v>345.22340000000003</v>
      </c>
      <c r="J775">
        <v>-327.46350000000001</v>
      </c>
      <c r="K775">
        <v>1.1098399999999999</v>
      </c>
      <c r="L775">
        <v>367.6696</v>
      </c>
      <c r="M775">
        <v>0.99979810000000002</v>
      </c>
      <c r="N775">
        <v>0</v>
      </c>
      <c r="O775">
        <v>1.7290839999999998E-2</v>
      </c>
      <c r="P775">
        <v>0.99802930000000001</v>
      </c>
      <c r="Q775">
        <v>5.2807710000000001E-2</v>
      </c>
      <c r="R775">
        <v>-3.389677E-2</v>
      </c>
      <c r="S775">
        <v>2.9917600000000002</v>
      </c>
      <c r="T775">
        <v>-2.270544E-2</v>
      </c>
      <c r="U775">
        <v>-0.45913700000000002</v>
      </c>
      <c r="V775">
        <v>5.1131219999999998E-2</v>
      </c>
      <c r="W775">
        <v>6.303214E-2</v>
      </c>
      <c r="X775">
        <v>0.99670080000000005</v>
      </c>
      <c r="Y775">
        <v>0.16875499999999999</v>
      </c>
      <c r="Z775">
        <v>-7.6713740000000001E-4</v>
      </c>
      <c r="AA775">
        <v>0.98565780000000003</v>
      </c>
      <c r="AB775">
        <v>37</v>
      </c>
      <c r="AC775">
        <v>146.03489999999999</v>
      </c>
      <c r="AD775">
        <v>-1.1098441779520001</v>
      </c>
      <c r="AE775">
        <v>-22.446199999999902</v>
      </c>
      <c r="AF775">
        <v>24.966633651970799</v>
      </c>
      <c r="AG775">
        <v>-1.1098441779520001</v>
      </c>
      <c r="AH775">
        <v>145.616715444444</v>
      </c>
      <c r="AI775">
        <v>90.430401593004902</v>
      </c>
      <c r="AJ775">
        <v>80.270981130582598</v>
      </c>
      <c r="AK775">
        <v>147.74570168650999</v>
      </c>
      <c r="AL775">
        <v>86.386128575461001</v>
      </c>
      <c r="AM775">
        <v>87.063273978530404</v>
      </c>
      <c r="AN775">
        <v>0.99999996852615303</v>
      </c>
    </row>
    <row r="776" spans="1:40" x14ac:dyDescent="0.25">
      <c r="A776" t="str">
        <f>"20190312151001470"</f>
        <v>20190312151001470</v>
      </c>
      <c r="B776" t="str">
        <f>"1552374601461893"</f>
        <v>1552374601461893</v>
      </c>
      <c r="C776" t="s">
        <v>40</v>
      </c>
      <c r="D776">
        <v>7.5343410000000004</v>
      </c>
      <c r="E776">
        <v>0.54725349999999995</v>
      </c>
      <c r="F776" t="s">
        <v>49</v>
      </c>
      <c r="G776">
        <v>-168.98339999999999</v>
      </c>
      <c r="H776">
        <v>4.2684379999999997</v>
      </c>
      <c r="I776">
        <v>342.26589999999999</v>
      </c>
      <c r="J776">
        <v>-327.25920000000002</v>
      </c>
      <c r="K776">
        <v>1.109845</v>
      </c>
      <c r="L776">
        <v>367.67320000000001</v>
      </c>
      <c r="M776">
        <v>0.99979649999999998</v>
      </c>
      <c r="N776">
        <v>0</v>
      </c>
      <c r="O776">
        <v>1.7364609999999999E-2</v>
      </c>
      <c r="P776">
        <v>0.99801309999999999</v>
      </c>
      <c r="Q776">
        <v>5.3010359999999999E-2</v>
      </c>
      <c r="R776">
        <v>-3.4054069999999999E-2</v>
      </c>
      <c r="S776">
        <v>2.986542</v>
      </c>
      <c r="T776">
        <v>5.952358E-2</v>
      </c>
      <c r="U776">
        <v>-0.47872920000000002</v>
      </c>
      <c r="V776">
        <v>5.1361589999999999E-2</v>
      </c>
      <c r="W776">
        <v>6.3262940000000004E-2</v>
      </c>
      <c r="X776">
        <v>0.99667439999999996</v>
      </c>
      <c r="Y776">
        <v>0.1753605</v>
      </c>
      <c r="Z776">
        <v>2.080251E-3</v>
      </c>
      <c r="AA776">
        <v>0.98450210000000005</v>
      </c>
      <c r="AB776">
        <v>37</v>
      </c>
      <c r="AC776">
        <v>158.2758</v>
      </c>
      <c r="AD776">
        <v>3.1585930000000002</v>
      </c>
      <c r="AE776">
        <v>-25.407299999999999</v>
      </c>
      <c r="AF776">
        <v>28.141085497131701</v>
      </c>
      <c r="AG776">
        <v>3.1585930000000002</v>
      </c>
      <c r="AH776">
        <v>157.74947626153099</v>
      </c>
      <c r="AI776">
        <v>88.870751659091596</v>
      </c>
      <c r="AJ776">
        <v>79.885347456377502</v>
      </c>
      <c r="AK776">
        <v>160.271003813802</v>
      </c>
      <c r="AL776">
        <v>86.372878509444902</v>
      </c>
      <c r="AM776">
        <v>87.049987975518903</v>
      </c>
      <c r="AN776">
        <v>1.00000003606006</v>
      </c>
    </row>
    <row r="777" spans="1:40" x14ac:dyDescent="0.25">
      <c r="A777" t="str">
        <f>"20190312151001490"</f>
        <v>20190312151001490</v>
      </c>
      <c r="B777" t="str">
        <f>"1552374601481413"</f>
        <v>1552374601481413</v>
      </c>
      <c r="C777" t="s">
        <v>40</v>
      </c>
      <c r="D777">
        <v>5.3392419999999996</v>
      </c>
      <c r="E777">
        <v>0.54571819999999904</v>
      </c>
      <c r="F777" t="s">
        <v>49</v>
      </c>
      <c r="G777">
        <v>-168.98339999999999</v>
      </c>
      <c r="H777">
        <v>4.3053049999999997</v>
      </c>
      <c r="I777">
        <v>342.25909999999999</v>
      </c>
      <c r="J777">
        <v>-326.95179999999999</v>
      </c>
      <c r="K777">
        <v>1.1098509999999999</v>
      </c>
      <c r="L777">
        <v>367.67860000000002</v>
      </c>
      <c r="M777">
        <v>0.99979410000000002</v>
      </c>
      <c r="N777">
        <v>0</v>
      </c>
      <c r="O777">
        <v>1.7475129999999998E-2</v>
      </c>
      <c r="P777">
        <v>0.99795489999999998</v>
      </c>
      <c r="Q777">
        <v>5.3729529999999998E-2</v>
      </c>
      <c r="R777">
        <v>-3.4631479999999999E-2</v>
      </c>
      <c r="S777">
        <v>2.9864199999999999</v>
      </c>
      <c r="T777">
        <v>6.0293560000000003E-2</v>
      </c>
      <c r="U777">
        <v>-0.47952270000000002</v>
      </c>
      <c r="V777">
        <v>5.2047900000000001E-2</v>
      </c>
      <c r="W777">
        <v>6.4023369999999996E-2</v>
      </c>
      <c r="X777">
        <v>0.99659019999999998</v>
      </c>
      <c r="Y777">
        <v>0.17572950000000001</v>
      </c>
      <c r="Z777">
        <v>2.113115E-3</v>
      </c>
      <c r="AA777">
        <v>0.98443619999999998</v>
      </c>
      <c r="AB777">
        <v>37</v>
      </c>
      <c r="AC777">
        <v>157.9684</v>
      </c>
      <c r="AD777">
        <v>3.1954539999999998</v>
      </c>
      <c r="AE777">
        <v>-25.419499999999999</v>
      </c>
      <c r="AF777">
        <v>28.165049191264799</v>
      </c>
      <c r="AG777">
        <v>3.1954539999999998</v>
      </c>
      <c r="AH777">
        <v>157.43724699726999</v>
      </c>
      <c r="AI777">
        <v>88.855411916122605</v>
      </c>
      <c r="AJ777">
        <v>79.857252643141194</v>
      </c>
      <c r="AK777">
        <v>159.968645878784</v>
      </c>
      <c r="AL777">
        <v>86.329220445569206</v>
      </c>
      <c r="AM777">
        <v>87.010387890941701</v>
      </c>
      <c r="AN777">
        <v>1.0000000012682999</v>
      </c>
    </row>
    <row r="778" spans="1:40" x14ac:dyDescent="0.25">
      <c r="A778" t="str">
        <f>"20190312151001500"</f>
        <v>20190312151001500</v>
      </c>
      <c r="B778" t="str">
        <f>"1552374601492149"</f>
        <v>1552374601492149</v>
      </c>
      <c r="C778" t="s">
        <v>40</v>
      </c>
      <c r="D778">
        <v>5.1336740000000001</v>
      </c>
      <c r="E778">
        <v>0.54474250000000002</v>
      </c>
      <c r="F778" t="s">
        <v>49</v>
      </c>
      <c r="G778">
        <v>-167.53829999999999</v>
      </c>
      <c r="H778">
        <v>3.9150459999999998</v>
      </c>
      <c r="I778">
        <v>342.64389999999997</v>
      </c>
      <c r="J778">
        <v>-326.76949999999999</v>
      </c>
      <c r="K778">
        <v>1.109855</v>
      </c>
      <c r="L778">
        <v>367.68180000000001</v>
      </c>
      <c r="M778">
        <v>0.99979269999999998</v>
      </c>
      <c r="N778">
        <v>0</v>
      </c>
      <c r="O778">
        <v>1.7540690000000001E-2</v>
      </c>
      <c r="P778">
        <v>0.99796629999999997</v>
      </c>
      <c r="Q778">
        <v>5.3503990000000001E-2</v>
      </c>
      <c r="R778">
        <v>-3.4647810000000001E-2</v>
      </c>
      <c r="S778">
        <v>2.9870000000000001</v>
      </c>
      <c r="T778">
        <v>5.2562240000000003E-2</v>
      </c>
      <c r="U778">
        <v>-0.46908569999999999</v>
      </c>
      <c r="V778">
        <v>5.2129910000000002E-2</v>
      </c>
      <c r="W778">
        <v>6.382351E-2</v>
      </c>
      <c r="X778">
        <v>0.99659869999999995</v>
      </c>
      <c r="Y778">
        <v>0.17241770000000001</v>
      </c>
      <c r="Z778">
        <v>1.8145329999999999E-3</v>
      </c>
      <c r="AA778">
        <v>0.98502219999999996</v>
      </c>
      <c r="AB778">
        <v>37</v>
      </c>
      <c r="AC778">
        <v>159.2312</v>
      </c>
      <c r="AD778">
        <v>2.8051910000000002</v>
      </c>
      <c r="AE778">
        <v>-25.0379</v>
      </c>
      <c r="AF778">
        <v>27.818796330959799</v>
      </c>
      <c r="AG778">
        <v>2.8051910000000002</v>
      </c>
      <c r="AH778">
        <v>158.71942229792501</v>
      </c>
      <c r="AI778">
        <v>89.002665489005196</v>
      </c>
      <c r="AJ778">
        <v>80.058729883355895</v>
      </c>
      <c r="AK778">
        <v>161.16330084866399</v>
      </c>
      <c r="AL778">
        <v>86.340694927398204</v>
      </c>
      <c r="AM778">
        <v>87.005711324577703</v>
      </c>
      <c r="AN778">
        <v>0.99999996839350802</v>
      </c>
    </row>
    <row r="779" spans="1:40" x14ac:dyDescent="0.25">
      <c r="A779" t="str">
        <f>"20190312151001512"</f>
        <v>20190312151001512</v>
      </c>
      <c r="B779" t="str">
        <f>"1552374601501909"</f>
        <v>1552374601501909</v>
      </c>
      <c r="C779" t="s">
        <v>40</v>
      </c>
      <c r="D779">
        <v>4.578436</v>
      </c>
      <c r="E779">
        <v>0.54171289999999905</v>
      </c>
      <c r="F779" t="s">
        <v>49</v>
      </c>
      <c r="G779">
        <v>-162.62809999999999</v>
      </c>
      <c r="H779">
        <v>2.5432959999999998</v>
      </c>
      <c r="I779">
        <v>342.34840000000003</v>
      </c>
      <c r="J779">
        <v>-326.57889999999998</v>
      </c>
      <c r="K779">
        <v>1.1098589999999999</v>
      </c>
      <c r="L779">
        <v>367.68520000000001</v>
      </c>
      <c r="M779">
        <v>0.9997914</v>
      </c>
      <c r="N779">
        <v>0</v>
      </c>
      <c r="O779">
        <v>1.7609090000000001E-2</v>
      </c>
      <c r="P779">
        <v>0.99794570000000005</v>
      </c>
      <c r="Q779">
        <v>5.3766910000000001E-2</v>
      </c>
      <c r="R779">
        <v>-3.4843989999999998E-2</v>
      </c>
      <c r="S779">
        <v>2.9887079999999999</v>
      </c>
      <c r="T779">
        <v>2.6100399999999999E-2</v>
      </c>
      <c r="U779">
        <v>-0.46127319999999999</v>
      </c>
      <c r="V779">
        <v>5.2393670000000003E-2</v>
      </c>
      <c r="W779">
        <v>6.4113799999999999E-2</v>
      </c>
      <c r="X779">
        <v>0.99656630000000002</v>
      </c>
      <c r="Y779">
        <v>0.169906</v>
      </c>
      <c r="Z779">
        <v>8.9044079999999999E-4</v>
      </c>
      <c r="AA779">
        <v>0.98545990000000006</v>
      </c>
      <c r="AB779">
        <v>37</v>
      </c>
      <c r="AC779">
        <v>163.95079999999999</v>
      </c>
      <c r="AD779">
        <v>1.4334370000000001</v>
      </c>
      <c r="AE779">
        <v>-25.336799999999901</v>
      </c>
      <c r="AF779">
        <v>28.217943314534299</v>
      </c>
      <c r="AG779">
        <v>1.4334370000000001</v>
      </c>
      <c r="AH779">
        <v>163.466990266777</v>
      </c>
      <c r="AI779">
        <v>89.504909839866997</v>
      </c>
      <c r="AJ779">
        <v>80.206027260320397</v>
      </c>
      <c r="AK779">
        <v>165.89081943680199</v>
      </c>
      <c r="AL779">
        <v>86.324028638773896</v>
      </c>
      <c r="AM779">
        <v>86.990491337771701</v>
      </c>
      <c r="AN779">
        <v>1.0000000331510901</v>
      </c>
    </row>
    <row r="780" spans="1:40" x14ac:dyDescent="0.25">
      <c r="A780" t="str">
        <f>"20190312151001523"</f>
        <v>20190312151001523</v>
      </c>
      <c r="B780" t="str">
        <f>"1552374601511669"</f>
        <v>1552374601511669</v>
      </c>
      <c r="C780" t="s">
        <v>40</v>
      </c>
      <c r="D780">
        <v>5.0440569999999996</v>
      </c>
      <c r="E780">
        <v>0.54139999999999999</v>
      </c>
      <c r="F780" t="s">
        <v>49</v>
      </c>
      <c r="G780">
        <v>-155.60480000000001</v>
      </c>
      <c r="H780">
        <v>2.6966869999999998</v>
      </c>
      <c r="I780">
        <v>342.64400000000001</v>
      </c>
      <c r="J780">
        <v>-326.40039999999999</v>
      </c>
      <c r="K780">
        <v>1.1098629999999901</v>
      </c>
      <c r="L780">
        <v>367.6884</v>
      </c>
      <c r="M780">
        <v>0.99978979999999995</v>
      </c>
      <c r="N780">
        <v>0</v>
      </c>
      <c r="O780">
        <v>1.767345E-2</v>
      </c>
      <c r="P780">
        <v>0.99792899999999995</v>
      </c>
      <c r="Q780">
        <v>5.400493E-2</v>
      </c>
      <c r="R780">
        <v>-3.4946690000000002E-2</v>
      </c>
      <c r="S780">
        <v>2.9894099999999999</v>
      </c>
      <c r="T780">
        <v>2.774513E-2</v>
      </c>
      <c r="U780">
        <v>-0.43783569999999999</v>
      </c>
      <c r="V780">
        <v>5.2560259999999998E-2</v>
      </c>
      <c r="W780">
        <v>6.4377409999999996E-2</v>
      </c>
      <c r="X780">
        <v>0.99654050000000005</v>
      </c>
      <c r="Y780">
        <v>0.16237379999999901</v>
      </c>
      <c r="Z780">
        <v>9.1270350000000001E-4</v>
      </c>
      <c r="AA780">
        <v>0.98672890000000002</v>
      </c>
      <c r="AB780">
        <v>37</v>
      </c>
      <c r="AC780">
        <v>170.79559999999901</v>
      </c>
      <c r="AD780">
        <v>1.586824</v>
      </c>
      <c r="AE780">
        <v>-25.0444</v>
      </c>
      <c r="AF780">
        <v>28.056827623314302</v>
      </c>
      <c r="AG780">
        <v>1.586824</v>
      </c>
      <c r="AH780">
        <v>170.311884470455</v>
      </c>
      <c r="AI780">
        <v>89.473280154684403</v>
      </c>
      <c r="AJ780">
        <v>80.645232955681394</v>
      </c>
      <c r="AK780">
        <v>172.61472005182199</v>
      </c>
      <c r="AL780">
        <v>86.308893509091007</v>
      </c>
      <c r="AM780">
        <v>86.980862013336505</v>
      </c>
      <c r="AN780">
        <v>0.99999999999491196</v>
      </c>
    </row>
    <row r="781" spans="1:40" x14ac:dyDescent="0.25">
      <c r="A781" t="str">
        <f>"20190312151001535"</f>
        <v>20190312151001535</v>
      </c>
      <c r="B781" t="str">
        <f>"1552374601532165"</f>
        <v>1552374601532165</v>
      </c>
      <c r="C781" t="s">
        <v>40</v>
      </c>
      <c r="D781">
        <v>5.1643790000000003</v>
      </c>
      <c r="E781">
        <v>0.54023829999999995</v>
      </c>
      <c r="F781" t="s">
        <v>49</v>
      </c>
      <c r="G781">
        <v>-154.5086</v>
      </c>
      <c r="H781">
        <v>1.912039</v>
      </c>
      <c r="I781">
        <v>342.64400000000001</v>
      </c>
      <c r="J781">
        <v>-326.2054</v>
      </c>
      <c r="K781">
        <v>1.1098699999999999</v>
      </c>
      <c r="L781">
        <v>367.69189999999998</v>
      </c>
      <c r="M781">
        <v>0.99978829999999996</v>
      </c>
      <c r="N781">
        <v>0</v>
      </c>
      <c r="O781">
        <v>1.7743930000000002E-2</v>
      </c>
      <c r="P781">
        <v>0.99794640000000001</v>
      </c>
      <c r="Q781">
        <v>5.3865749999999997E-2</v>
      </c>
      <c r="R781">
        <v>-3.4665410000000001E-2</v>
      </c>
      <c r="S781">
        <v>2.9902039999999999</v>
      </c>
      <c r="T781">
        <v>1.3954640000000001E-2</v>
      </c>
      <c r="U781">
        <v>-0.43566890000000003</v>
      </c>
      <c r="V781">
        <v>5.2349670000000001E-2</v>
      </c>
      <c r="W781">
        <v>6.426606E-2</v>
      </c>
      <c r="X781">
        <v>0.99655879999999997</v>
      </c>
      <c r="Y781">
        <v>0.16171140000000001</v>
      </c>
      <c r="Z781">
        <v>4.577521E-4</v>
      </c>
      <c r="AA781">
        <v>0.98683799999999999</v>
      </c>
      <c r="AB781">
        <v>37</v>
      </c>
      <c r="AC781">
        <v>171.6968</v>
      </c>
      <c r="AD781">
        <v>0.80216899999999902</v>
      </c>
      <c r="AE781">
        <v>-25.047899999999899</v>
      </c>
      <c r="AF781">
        <v>28.0900970716791</v>
      </c>
      <c r="AG781">
        <v>0.80216899999999902</v>
      </c>
      <c r="AH781">
        <v>171.221634036712</v>
      </c>
      <c r="AI781">
        <v>89.735113640533001</v>
      </c>
      <c r="AJ781">
        <v>80.683224233831595</v>
      </c>
      <c r="AK781">
        <v>173.51237705363499</v>
      </c>
      <c r="AL781">
        <v>86.315286736779697</v>
      </c>
      <c r="AM781">
        <v>86.992991482468398</v>
      </c>
      <c r="AN781">
        <v>1.0000000281372301</v>
      </c>
    </row>
    <row r="782" spans="1:40" x14ac:dyDescent="0.25">
      <c r="A782" t="str">
        <f>"20190312151001545"</f>
        <v>20190312151001545</v>
      </c>
      <c r="B782" t="str">
        <f>"1552374601541925"</f>
        <v>1552374601541925</v>
      </c>
      <c r="C782" t="s">
        <v>40</v>
      </c>
      <c r="D782">
        <v>5.2894449999999997</v>
      </c>
      <c r="E782">
        <v>0.53902550000000005</v>
      </c>
      <c r="F782" t="s">
        <v>49</v>
      </c>
      <c r="G782">
        <v>-149.96549999999999</v>
      </c>
      <c r="H782">
        <v>0.58883200000000002</v>
      </c>
      <c r="I782">
        <v>342.61770000000001</v>
      </c>
      <c r="J782">
        <v>-326.03410000000002</v>
      </c>
      <c r="K782">
        <v>1.1098730000000001</v>
      </c>
      <c r="L782">
        <v>367.69499999999999</v>
      </c>
      <c r="M782">
        <v>0.99978699999999998</v>
      </c>
      <c r="N782">
        <v>0</v>
      </c>
      <c r="O782">
        <v>1.7805669999999999E-2</v>
      </c>
      <c r="P782">
        <v>0.9979169</v>
      </c>
      <c r="Q782">
        <v>5.4285779999999999E-2</v>
      </c>
      <c r="R782">
        <v>-3.485386E-2</v>
      </c>
      <c r="S782">
        <v>2.9918520000000002</v>
      </c>
      <c r="T782">
        <v>-8.8450909999999994E-3</v>
      </c>
      <c r="U782">
        <v>-0.42565920000000002</v>
      </c>
      <c r="V782">
        <v>5.2599050000000001E-2</v>
      </c>
      <c r="W782">
        <v>6.4710970000000007E-2</v>
      </c>
      <c r="X782">
        <v>0.99651679999999998</v>
      </c>
      <c r="Y782">
        <v>0.1584604</v>
      </c>
      <c r="Z782">
        <v>-2.8545570000000002E-4</v>
      </c>
      <c r="AA782">
        <v>0.9873653</v>
      </c>
      <c r="AB782">
        <v>37</v>
      </c>
      <c r="AC782">
        <v>176.0686</v>
      </c>
      <c r="AD782">
        <v>-0.52104099999999898</v>
      </c>
      <c r="AE782">
        <v>-25.077299999999902</v>
      </c>
      <c r="AF782">
        <v>28.208271977127598</v>
      </c>
      <c r="AG782">
        <v>-0.52104099999999898</v>
      </c>
      <c r="AH782">
        <v>175.59263456323399</v>
      </c>
      <c r="AI782">
        <v>90.167862670707194</v>
      </c>
      <c r="AJ782">
        <v>80.873631930349902</v>
      </c>
      <c r="AK782">
        <v>177.84473960316299</v>
      </c>
      <c r="AL782">
        <v>86.289741813674198</v>
      </c>
      <c r="AM782">
        <v>86.978566262532198</v>
      </c>
      <c r="AN782">
        <v>0.99999995119074003</v>
      </c>
    </row>
    <row r="783" spans="1:40" x14ac:dyDescent="0.25">
      <c r="A783" t="str">
        <f>"20190312151001568"</f>
        <v>20190312151001568</v>
      </c>
      <c r="B783" t="str">
        <f>"1552374601561445"</f>
        <v>1552374601561445</v>
      </c>
      <c r="C783" t="s">
        <v>40</v>
      </c>
      <c r="D783">
        <v>5.2843030000000004</v>
      </c>
      <c r="E783">
        <v>0.53741799999999995</v>
      </c>
      <c r="F783" t="s">
        <v>49</v>
      </c>
      <c r="G783">
        <v>-143.6301</v>
      </c>
      <c r="H783">
        <v>0.48264889999999999</v>
      </c>
      <c r="I783">
        <v>342.31709999999998</v>
      </c>
      <c r="J783">
        <v>-325.6524</v>
      </c>
      <c r="K783">
        <v>1.109877</v>
      </c>
      <c r="L783">
        <v>367.702</v>
      </c>
      <c r="M783">
        <v>0.99978400000000001</v>
      </c>
      <c r="N783">
        <v>0</v>
      </c>
      <c r="O783">
        <v>1.7942820000000002E-2</v>
      </c>
      <c r="P783">
        <v>0.99791189999999996</v>
      </c>
      <c r="Q783">
        <v>5.45053E-2</v>
      </c>
      <c r="R783">
        <v>-3.4658809999999998E-2</v>
      </c>
      <c r="S783">
        <v>2.9923099999999998</v>
      </c>
      <c r="T783">
        <v>-1.028943E-2</v>
      </c>
      <c r="U783">
        <v>-0.41632079999999999</v>
      </c>
      <c r="V783">
        <v>5.2540589999999998E-2</v>
      </c>
      <c r="W783">
        <v>6.4987429999999999E-2</v>
      </c>
      <c r="X783">
        <v>0.99650190000000005</v>
      </c>
      <c r="Y783">
        <v>0.1555523</v>
      </c>
      <c r="Z783">
        <v>-3.2758309999999998E-4</v>
      </c>
      <c r="AA783">
        <v>0.98782760000000003</v>
      </c>
      <c r="AB783">
        <v>37</v>
      </c>
      <c r="AC783">
        <v>182.0223</v>
      </c>
      <c r="AD783">
        <v>-0.62722809999999996</v>
      </c>
      <c r="AE783">
        <v>-25.384899999999998</v>
      </c>
      <c r="AF783">
        <v>28.646652312002601</v>
      </c>
      <c r="AG783">
        <v>-0.62722809999999996</v>
      </c>
      <c r="AH783">
        <v>181.535377654558</v>
      </c>
      <c r="AI783">
        <v>90.195543830857005</v>
      </c>
      <c r="AJ783">
        <v>81.032555596176607</v>
      </c>
      <c r="AK783">
        <v>183.78279964119901</v>
      </c>
      <c r="AL783">
        <v>86.273868435399194</v>
      </c>
      <c r="AM783">
        <v>86.981873109643701</v>
      </c>
      <c r="AN783">
        <v>0.99999995817957998</v>
      </c>
    </row>
    <row r="784" spans="1:40" x14ac:dyDescent="0.25">
      <c r="A784" t="str">
        <f>"20190312151001580"</f>
        <v>20190312151001580</v>
      </c>
      <c r="B784" t="str">
        <f>"1552374601571206"</f>
        <v>1552374601571206</v>
      </c>
      <c r="C784" t="s">
        <v>40</v>
      </c>
      <c r="D784">
        <v>5.2721960000000001</v>
      </c>
      <c r="E784">
        <v>0.53687850000000004</v>
      </c>
      <c r="F784" t="s">
        <v>43</v>
      </c>
      <c r="G784">
        <v>-92.389539999999997</v>
      </c>
      <c r="H784">
        <v>-0.05</v>
      </c>
      <c r="I784">
        <v>336.30070000000001</v>
      </c>
      <c r="J784">
        <v>-325.45319999999998</v>
      </c>
      <c r="K784">
        <v>1.109883</v>
      </c>
      <c r="L784">
        <v>367.7056</v>
      </c>
      <c r="M784">
        <v>0.99978239999999996</v>
      </c>
      <c r="N784">
        <v>0</v>
      </c>
      <c r="O784">
        <v>1.8014369999999998E-2</v>
      </c>
      <c r="P784">
        <v>0.9979093</v>
      </c>
      <c r="Q784">
        <v>5.4482589999999997E-2</v>
      </c>
      <c r="R784">
        <v>-3.4771950000000003E-2</v>
      </c>
      <c r="S784">
        <v>2.9931030000000001</v>
      </c>
      <c r="T784">
        <v>-1.4882919999999999E-2</v>
      </c>
      <c r="U784">
        <v>-0.40292359999999999</v>
      </c>
      <c r="V784">
        <v>5.2724970000000003E-2</v>
      </c>
      <c r="W784">
        <v>6.4994099999999999E-2</v>
      </c>
      <c r="X784">
        <v>0.99649180000000004</v>
      </c>
      <c r="Y784">
        <v>0.15124460000000001</v>
      </c>
      <c r="Z784">
        <v>-4.6353440000000001E-4</v>
      </c>
      <c r="AA784">
        <v>0.98849620000000005</v>
      </c>
      <c r="AB784">
        <v>37</v>
      </c>
      <c r="AC784">
        <v>233.06366</v>
      </c>
      <c r="AD784">
        <v>-1.159883</v>
      </c>
      <c r="AE784">
        <v>-31.404900000000001</v>
      </c>
      <c r="AF784">
        <v>35.597664640594701</v>
      </c>
      <c r="AG784">
        <v>-1.159883</v>
      </c>
      <c r="AH784">
        <v>232.454410734166</v>
      </c>
      <c r="AI784">
        <v>90.282593329279507</v>
      </c>
      <c r="AJ784">
        <v>81.293463331727295</v>
      </c>
      <c r="AK784">
        <v>235.16715783928399</v>
      </c>
      <c r="AL784">
        <v>86.273485736425798</v>
      </c>
      <c r="AM784">
        <v>86.971270681152006</v>
      </c>
      <c r="AN784">
        <v>1.0000000314817701</v>
      </c>
    </row>
    <row r="785" spans="1:40" x14ac:dyDescent="0.25">
      <c r="A785" t="str">
        <f>"20190312151001593"</f>
        <v>20190312151001593</v>
      </c>
      <c r="B785" t="str">
        <f>"1552374601581941"</f>
        <v>1552374601581941</v>
      </c>
      <c r="C785" t="s">
        <v>40</v>
      </c>
      <c r="D785">
        <v>5.2534460000000003</v>
      </c>
      <c r="E785">
        <v>0.53653850000000003</v>
      </c>
      <c r="F785" t="s">
        <v>48</v>
      </c>
      <c r="G785">
        <v>-203.7296</v>
      </c>
      <c r="H785">
        <v>7.9989229999999995E-2</v>
      </c>
      <c r="I785">
        <v>351.47570000000002</v>
      </c>
      <c r="J785">
        <v>-325.23809999999997</v>
      </c>
      <c r="K785">
        <v>1.1098859999999999</v>
      </c>
      <c r="L785">
        <v>367.70949999999999</v>
      </c>
      <c r="M785">
        <v>0.99978060000000002</v>
      </c>
      <c r="N785">
        <v>0</v>
      </c>
      <c r="O785">
        <v>1.8091880000000001E-2</v>
      </c>
      <c r="P785">
        <v>0.99790250000000003</v>
      </c>
      <c r="Q785">
        <v>5.4629270000000001E-2</v>
      </c>
      <c r="R785">
        <v>-3.4729419999999997E-2</v>
      </c>
      <c r="S785">
        <v>2.9937740000000002</v>
      </c>
      <c r="T785">
        <v>-2.533007E-2</v>
      </c>
      <c r="U785">
        <v>-0.39916990000000002</v>
      </c>
      <c r="V785">
        <v>5.2759739999999999E-2</v>
      </c>
      <c r="W785">
        <v>6.5171580000000007E-2</v>
      </c>
      <c r="X785">
        <v>0.99647830000000004</v>
      </c>
      <c r="Y785">
        <v>0.15007039999999999</v>
      </c>
      <c r="Z785">
        <v>-7.8450310000000001E-4</v>
      </c>
      <c r="AA785">
        <v>0.98867499999999997</v>
      </c>
      <c r="AB785">
        <v>37</v>
      </c>
      <c r="AC785">
        <v>121.508499999999</v>
      </c>
      <c r="AD785">
        <v>-1.0298967699999999</v>
      </c>
      <c r="AE785">
        <v>-16.233799999999899</v>
      </c>
      <c r="AF785">
        <v>18.428281696382001</v>
      </c>
      <c r="AG785">
        <v>-1.0298967699999999</v>
      </c>
      <c r="AH785">
        <v>121.186340477252</v>
      </c>
      <c r="AI785">
        <v>90.481380295790899</v>
      </c>
      <c r="AJ785">
        <v>81.353519978170795</v>
      </c>
      <c r="AK785">
        <v>122.583813661945</v>
      </c>
      <c r="AL785">
        <v>86.263295022943893</v>
      </c>
      <c r="AM785">
        <v>86.9692360953714</v>
      </c>
      <c r="AN785">
        <v>0.99999996368772603</v>
      </c>
    </row>
    <row r="786" spans="1:40" x14ac:dyDescent="0.25">
      <c r="A786" t="str">
        <f>"20190312151001608"</f>
        <v>20190312151001608</v>
      </c>
      <c r="B786" t="str">
        <f>"1552374601601461"</f>
        <v>1552374601601461</v>
      </c>
      <c r="C786" t="s">
        <v>40</v>
      </c>
      <c r="D786">
        <v>5.1987040000000002</v>
      </c>
      <c r="E786">
        <v>0.53597490000000003</v>
      </c>
      <c r="F786" t="s">
        <v>46</v>
      </c>
      <c r="G786">
        <v>-249.93770000000001</v>
      </c>
      <c r="H786">
        <v>0.29195300000000002</v>
      </c>
      <c r="I786">
        <v>357.74180000000001</v>
      </c>
      <c r="J786">
        <v>-325.00850000000003</v>
      </c>
      <c r="K786">
        <v>1.1098870000000001</v>
      </c>
      <c r="L786">
        <v>367.71379999999999</v>
      </c>
      <c r="M786">
        <v>0.99977870000000002</v>
      </c>
      <c r="N786">
        <v>0</v>
      </c>
      <c r="O786">
        <v>1.817438E-2</v>
      </c>
      <c r="P786">
        <v>0.997888</v>
      </c>
      <c r="Q786">
        <v>5.4811840000000001E-2</v>
      </c>
      <c r="R786">
        <v>-3.4862339999999999E-2</v>
      </c>
      <c r="S786">
        <v>2.9942929999999999</v>
      </c>
      <c r="T786">
        <v>-3.252149E-2</v>
      </c>
      <c r="U786">
        <v>-0.3963623</v>
      </c>
      <c r="V786">
        <v>5.2974529999999999E-2</v>
      </c>
      <c r="W786">
        <v>6.5384750000000005E-2</v>
      </c>
      <c r="X786">
        <v>0.99645300000000003</v>
      </c>
      <c r="Y786">
        <v>0.14921470000000001</v>
      </c>
      <c r="Z786">
        <v>-1.0033729999999999E-3</v>
      </c>
      <c r="AA786">
        <v>0.98880429999999997</v>
      </c>
      <c r="AB786">
        <v>37</v>
      </c>
      <c r="AC786">
        <v>75.070800000000006</v>
      </c>
      <c r="AD786">
        <v>-0.81793400000000005</v>
      </c>
      <c r="AE786">
        <v>-9.97199999999998</v>
      </c>
      <c r="AF786">
        <v>11.333472495395601</v>
      </c>
      <c r="AG786">
        <v>-0.81793400000000005</v>
      </c>
      <c r="AH786">
        <v>74.868420578187397</v>
      </c>
      <c r="AI786">
        <v>90.618878592023904</v>
      </c>
      <c r="AJ786">
        <v>81.3920033555804</v>
      </c>
      <c r="AK786">
        <v>75.725801512460706</v>
      </c>
      <c r="AL786">
        <v>86.251055400481206</v>
      </c>
      <c r="AM786">
        <v>86.956843587440602</v>
      </c>
      <c r="AN786">
        <v>1.0000000237851401</v>
      </c>
    </row>
    <row r="787" spans="1:40" x14ac:dyDescent="0.25">
      <c r="A787" t="str">
        <f>"20190312151001625"</f>
        <v>20190312151001625</v>
      </c>
      <c r="B787" t="str">
        <f>"1552374601621957"</f>
        <v>1552374601621957</v>
      </c>
      <c r="C787" t="s">
        <v>40</v>
      </c>
      <c r="D787">
        <v>5.2330899999999998</v>
      </c>
      <c r="E787">
        <v>0.53540659999999995</v>
      </c>
      <c r="F787" t="s">
        <v>42</v>
      </c>
      <c r="G787">
        <v>-256.71140000000003</v>
      </c>
      <c r="H787">
        <v>7.9986370000000001E-2</v>
      </c>
      <c r="I787">
        <v>358.77170000000001</v>
      </c>
      <c r="J787">
        <v>-324.71249999999998</v>
      </c>
      <c r="K787">
        <v>1.10989</v>
      </c>
      <c r="L787">
        <v>367.7192</v>
      </c>
      <c r="M787">
        <v>0.99977640000000001</v>
      </c>
      <c r="N787">
        <v>0</v>
      </c>
      <c r="O787">
        <v>1.8280640000000001E-2</v>
      </c>
      <c r="P787">
        <v>0.99787269999999995</v>
      </c>
      <c r="Q787">
        <v>5.4748419999999999E-2</v>
      </c>
      <c r="R787">
        <v>-3.5395299999999998E-2</v>
      </c>
      <c r="S787">
        <v>2.9951479999999999</v>
      </c>
      <c r="T787">
        <v>-4.5165900000000002E-2</v>
      </c>
      <c r="U787">
        <v>-0.39215090000000002</v>
      </c>
      <c r="V787">
        <v>5.361312E-2</v>
      </c>
      <c r="W787">
        <v>6.5359059999999997E-2</v>
      </c>
      <c r="X787">
        <v>0.99642050000000004</v>
      </c>
      <c r="Y787">
        <v>0.14790739999999999</v>
      </c>
      <c r="Z787">
        <v>-1.3849629999999999E-3</v>
      </c>
      <c r="AA787">
        <v>0.98900030000000005</v>
      </c>
      <c r="AB787">
        <v>37</v>
      </c>
      <c r="AC787">
        <v>68.001099999999894</v>
      </c>
      <c r="AD787">
        <v>-1.02990363</v>
      </c>
      <c r="AE787">
        <v>-8.9474999999999891</v>
      </c>
      <c r="AF787">
        <v>10.186881579403099</v>
      </c>
      <c r="AG787">
        <v>-1.02990363</v>
      </c>
      <c r="AH787">
        <v>67.810870186542601</v>
      </c>
      <c r="AI787">
        <v>90.860480936575499</v>
      </c>
      <c r="AJ787">
        <v>81.456632216741099</v>
      </c>
      <c r="AK787">
        <v>68.579496741052296</v>
      </c>
      <c r="AL787">
        <v>86.252530369078698</v>
      </c>
      <c r="AM787">
        <v>86.9201293106658</v>
      </c>
      <c r="AN787">
        <v>0.99999999309023402</v>
      </c>
    </row>
    <row r="788" spans="1:40" x14ac:dyDescent="0.25">
      <c r="A788" t="str">
        <f>"20190312151001647"</f>
        <v>20190312151001647</v>
      </c>
      <c r="B788" t="str">
        <f>"1552374601641482"</f>
        <v>1552374601641482</v>
      </c>
      <c r="C788" t="s">
        <v>40</v>
      </c>
      <c r="D788">
        <v>5.2202190000000002</v>
      </c>
      <c r="E788">
        <v>0.53505919999999996</v>
      </c>
      <c r="F788" t="s">
        <v>42</v>
      </c>
      <c r="G788">
        <v>-264.6277</v>
      </c>
      <c r="H788" s="1">
        <v>-4.3957430000000002E-6</v>
      </c>
      <c r="I788">
        <v>359.91419999999999</v>
      </c>
      <c r="J788">
        <v>-324.34739999999999</v>
      </c>
      <c r="K788">
        <v>1.109893</v>
      </c>
      <c r="L788">
        <v>367.726</v>
      </c>
      <c r="M788">
        <v>0.99977349999999998</v>
      </c>
      <c r="N788">
        <v>0</v>
      </c>
      <c r="O788">
        <v>1.8411830000000001E-2</v>
      </c>
      <c r="P788">
        <v>0.99784729999999999</v>
      </c>
      <c r="Q788">
        <v>5.4744809999999998E-2</v>
      </c>
      <c r="R788">
        <v>-3.6109950000000002E-2</v>
      </c>
      <c r="S788">
        <v>2.9956360000000002</v>
      </c>
      <c r="T788">
        <v>-5.5335759999999998E-2</v>
      </c>
      <c r="U788">
        <v>-0.38912960000000002</v>
      </c>
      <c r="V788">
        <v>5.4457739999999998E-2</v>
      </c>
      <c r="W788">
        <v>6.5399020000000002E-2</v>
      </c>
      <c r="X788">
        <v>0.99637209999999998</v>
      </c>
      <c r="Y788">
        <v>0.1470265</v>
      </c>
      <c r="Z788">
        <v>-1.690911E-3</v>
      </c>
      <c r="AA788">
        <v>0.98913110000000004</v>
      </c>
      <c r="AB788">
        <v>37</v>
      </c>
      <c r="AC788">
        <v>59.719699999999897</v>
      </c>
      <c r="AD788">
        <v>-1.1098973957430001</v>
      </c>
      <c r="AE788">
        <v>-7.8117999999999999</v>
      </c>
      <c r="AF788">
        <v>8.9070624719784401</v>
      </c>
      <c r="AG788">
        <v>-1.1098973957430001</v>
      </c>
      <c r="AH788">
        <v>59.545516501578298</v>
      </c>
      <c r="AI788">
        <v>91.056092635714904</v>
      </c>
      <c r="AJ788">
        <v>81.492540785586698</v>
      </c>
      <c r="AK788">
        <v>60.2182378482511</v>
      </c>
      <c r="AL788">
        <v>86.250236019769602</v>
      </c>
      <c r="AM788">
        <v>86.871553056847603</v>
      </c>
      <c r="AN788">
        <v>1.00000001946063</v>
      </c>
    </row>
    <row r="789" spans="1:40" x14ac:dyDescent="0.25">
      <c r="A789" t="str">
        <f>"20190312151001669"</f>
        <v>20190312151001669</v>
      </c>
      <c r="B789" t="str">
        <f>"1552374601661973"</f>
        <v>1552374601661973</v>
      </c>
      <c r="C789" t="s">
        <v>40</v>
      </c>
      <c r="D789">
        <v>5.2373289999999999</v>
      </c>
      <c r="E789">
        <v>0.53462989999999999</v>
      </c>
      <c r="F789" t="s">
        <v>42</v>
      </c>
      <c r="G789">
        <v>-273.1388</v>
      </c>
      <c r="H789" s="1">
        <v>-4.591415E-6</v>
      </c>
      <c r="I789">
        <v>361.0831</v>
      </c>
      <c r="J789">
        <v>-323.97500000000002</v>
      </c>
      <c r="K789">
        <v>1.1098950000000001</v>
      </c>
      <c r="L789">
        <v>367.733</v>
      </c>
      <c r="M789">
        <v>0.99977059999999995</v>
      </c>
      <c r="N789">
        <v>0</v>
      </c>
      <c r="O789">
        <v>1.85454E-2</v>
      </c>
      <c r="P789">
        <v>0.99783390000000005</v>
      </c>
      <c r="Q789">
        <v>5.4885450000000002E-2</v>
      </c>
      <c r="R789">
        <v>-3.6266380000000001E-2</v>
      </c>
      <c r="S789">
        <v>2.9959720000000001</v>
      </c>
      <c r="T789">
        <v>-6.4934729999999996E-2</v>
      </c>
      <c r="U789">
        <v>-0.38864140000000003</v>
      </c>
      <c r="V789">
        <v>5.4747120000000003E-2</v>
      </c>
      <c r="W789">
        <v>6.5584600000000007E-2</v>
      </c>
      <c r="X789">
        <v>0.99634400000000001</v>
      </c>
      <c r="Y789">
        <v>0.14697539999999901</v>
      </c>
      <c r="Z789">
        <v>-1.9863010000000002E-3</v>
      </c>
      <c r="AA789">
        <v>0.98913810000000002</v>
      </c>
      <c r="AB789">
        <v>37</v>
      </c>
      <c r="AC789">
        <v>50.836199999999998</v>
      </c>
      <c r="AD789">
        <v>-1.1098995914150001</v>
      </c>
      <c r="AE789">
        <v>-6.6498999999999997</v>
      </c>
      <c r="AF789">
        <v>7.5880318402349101</v>
      </c>
      <c r="AG789">
        <v>-1.1098995914150001</v>
      </c>
      <c r="AH789">
        <v>50.680372432805697</v>
      </c>
      <c r="AI789">
        <v>91.240750867625493</v>
      </c>
      <c r="AJ789">
        <v>81.484740748002096</v>
      </c>
      <c r="AK789">
        <v>51.257294644170699</v>
      </c>
      <c r="AL789">
        <v>86.2395800309489</v>
      </c>
      <c r="AM789">
        <v>86.854873737085896</v>
      </c>
      <c r="AN789">
        <v>0.99999997662072604</v>
      </c>
    </row>
    <row r="790" spans="1:40" x14ac:dyDescent="0.25">
      <c r="A790" t="str">
        <f>"20190312151001690"</f>
        <v>20190312151001690</v>
      </c>
      <c r="B790" t="str">
        <f>"1552374601681889"</f>
        <v>1552374601681889</v>
      </c>
      <c r="C790" t="s">
        <v>40</v>
      </c>
      <c r="D790">
        <v>5.2154119999999997</v>
      </c>
      <c r="E790">
        <v>0.53430080000000002</v>
      </c>
      <c r="F790" t="s">
        <v>42</v>
      </c>
      <c r="G790">
        <v>-276.52839999999998</v>
      </c>
      <c r="H790" s="1">
        <v>-3.2939310000000001E-6</v>
      </c>
      <c r="I790">
        <v>361.62430000000001</v>
      </c>
      <c r="J790">
        <v>-323.61869999999999</v>
      </c>
      <c r="K790">
        <v>1.1098950000000001</v>
      </c>
      <c r="L790">
        <v>367.73970000000003</v>
      </c>
      <c r="M790">
        <v>0.99976779999999998</v>
      </c>
      <c r="N790">
        <v>0</v>
      </c>
      <c r="O790">
        <v>1.8673269999999999E-2</v>
      </c>
      <c r="P790">
        <v>0.99783120000000003</v>
      </c>
      <c r="Q790">
        <v>5.4422600000000002E-2</v>
      </c>
      <c r="R790">
        <v>-3.703037E-2</v>
      </c>
      <c r="S790">
        <v>2.9963380000000002</v>
      </c>
      <c r="T790">
        <v>-7.0091959999999995E-2</v>
      </c>
      <c r="U790">
        <v>-0.38577270000000002</v>
      </c>
      <c r="V790">
        <v>5.563862E-2</v>
      </c>
      <c r="W790">
        <v>6.5163499999999999E-2</v>
      </c>
      <c r="X790">
        <v>0.99632229999999999</v>
      </c>
      <c r="Y790">
        <v>0.1461489</v>
      </c>
      <c r="Z790">
        <v>-2.1372399999999999E-3</v>
      </c>
      <c r="AA790">
        <v>0.98926029999999998</v>
      </c>
      <c r="AB790">
        <v>37</v>
      </c>
      <c r="AC790">
        <v>47.090299999999999</v>
      </c>
      <c r="AD790">
        <v>-1.109898293931</v>
      </c>
      <c r="AE790">
        <v>-6.1154000000000197</v>
      </c>
      <c r="AF790">
        <v>6.9898956726980002</v>
      </c>
      <c r="AG790">
        <v>-1.109898293931</v>
      </c>
      <c r="AH790">
        <v>46.942242157567001</v>
      </c>
      <c r="AI790">
        <v>91.339678989227906</v>
      </c>
      <c r="AJ790">
        <v>81.530648985740598</v>
      </c>
      <c r="AK790">
        <v>47.472777615363299</v>
      </c>
      <c r="AL790">
        <v>86.263759213212296</v>
      </c>
      <c r="AM790">
        <v>86.803694490267404</v>
      </c>
      <c r="AN790">
        <v>1.0000000316225199</v>
      </c>
    </row>
    <row r="791" spans="1:40" x14ac:dyDescent="0.25">
      <c r="A791" t="str">
        <f>"20190312151001702"</f>
        <v>20190312151001702</v>
      </c>
      <c r="B791" t="str">
        <f>"1552374601691650"</f>
        <v>1552374601691650</v>
      </c>
      <c r="C791" t="s">
        <v>40</v>
      </c>
      <c r="D791">
        <v>5.2395670000000001</v>
      </c>
      <c r="E791">
        <v>0.53414289999999998</v>
      </c>
      <c r="F791" t="s">
        <v>43</v>
      </c>
      <c r="G791">
        <v>-278.03660000000002</v>
      </c>
      <c r="H791">
        <v>-0.05</v>
      </c>
      <c r="I791">
        <v>361.87490000000003</v>
      </c>
      <c r="J791">
        <v>-323.43310000000002</v>
      </c>
      <c r="K791">
        <v>1.1098969999999999</v>
      </c>
      <c r="L791">
        <v>367.74329999999998</v>
      </c>
      <c r="M791">
        <v>0.99976620000000005</v>
      </c>
      <c r="N791">
        <v>0</v>
      </c>
      <c r="O791">
        <v>1.8739909999999999E-2</v>
      </c>
      <c r="P791">
        <v>0.99781319999999996</v>
      </c>
      <c r="Q791">
        <v>5.4522099999999997E-2</v>
      </c>
      <c r="R791">
        <v>-3.7364700000000001E-2</v>
      </c>
      <c r="S791">
        <v>2.9963679999999999</v>
      </c>
      <c r="T791">
        <v>-7.6246380000000002E-2</v>
      </c>
      <c r="U791">
        <v>-0.3855286</v>
      </c>
      <c r="V791">
        <v>5.6038940000000002E-2</v>
      </c>
      <c r="W791">
        <v>6.5283389999999997E-2</v>
      </c>
      <c r="X791">
        <v>0.99629199999999996</v>
      </c>
      <c r="Y791">
        <v>0.14612620000000001</v>
      </c>
      <c r="Z791">
        <v>-2.3262309999999998E-3</v>
      </c>
      <c r="AA791">
        <v>0.98926320000000001</v>
      </c>
      <c r="AB791">
        <v>37</v>
      </c>
      <c r="AC791">
        <v>45.396500000000003</v>
      </c>
      <c r="AD791">
        <v>-1.159897</v>
      </c>
      <c r="AE791">
        <v>-5.8683999999999497</v>
      </c>
      <c r="AF791">
        <v>6.7138342753129203</v>
      </c>
      <c r="AG791">
        <v>-1.159897</v>
      </c>
      <c r="AH791">
        <v>45.249493117039201</v>
      </c>
      <c r="AI791">
        <v>91.4524684613706</v>
      </c>
      <c r="AJ791">
        <v>81.560386314692394</v>
      </c>
      <c r="AK791">
        <v>45.759562487811799</v>
      </c>
      <c r="AL791">
        <v>86.256875307977595</v>
      </c>
      <c r="AM791">
        <v>86.780647562339396</v>
      </c>
      <c r="AN791">
        <v>1.0000000165351</v>
      </c>
    </row>
    <row r="792" spans="1:40" x14ac:dyDescent="0.25">
      <c r="A792" t="str">
        <f>"20190312151001713"</f>
        <v>20190312151001713</v>
      </c>
      <c r="B792" t="str">
        <f>"1552374601701409"</f>
        <v>1552374601701409</v>
      </c>
      <c r="C792" t="s">
        <v>40</v>
      </c>
      <c r="D792">
        <v>5.1899160000000002</v>
      </c>
      <c r="E792">
        <v>0.53390769999999999</v>
      </c>
      <c r="F792" t="s">
        <v>43</v>
      </c>
      <c r="G792">
        <v>-279.21699999999998</v>
      </c>
      <c r="H792">
        <v>-0.05</v>
      </c>
      <c r="I792">
        <v>362.0598</v>
      </c>
      <c r="J792">
        <v>-323.24400000000003</v>
      </c>
      <c r="K792">
        <v>1.109899</v>
      </c>
      <c r="L792">
        <v>367.74689999999998</v>
      </c>
      <c r="M792">
        <v>0.99976489999999996</v>
      </c>
      <c r="N792">
        <v>0</v>
      </c>
      <c r="O792">
        <v>1.8807629999999999E-2</v>
      </c>
      <c r="P792">
        <v>0.99780729999999995</v>
      </c>
      <c r="Q792">
        <v>5.4278970000000003E-2</v>
      </c>
      <c r="R792">
        <v>-3.7873030000000002E-2</v>
      </c>
      <c r="S792">
        <v>2.9964599999999999</v>
      </c>
      <c r="T792">
        <v>-7.8604579999999993E-2</v>
      </c>
      <c r="U792">
        <v>-0.38516240000000002</v>
      </c>
      <c r="V792">
        <v>5.6614820000000003E-2</v>
      </c>
      <c r="W792">
        <v>6.5060220000000002E-2</v>
      </c>
      <c r="X792">
        <v>0.99627399999999999</v>
      </c>
      <c r="Y792">
        <v>0.14606710000000001</v>
      </c>
      <c r="Z792">
        <v>-2.3990999999999999E-3</v>
      </c>
      <c r="AA792">
        <v>0.98927180000000003</v>
      </c>
      <c r="AB792">
        <v>37</v>
      </c>
      <c r="AC792">
        <v>44.027000000000001</v>
      </c>
      <c r="AD792">
        <v>-1.159899</v>
      </c>
      <c r="AE792">
        <v>-5.6870999999999796</v>
      </c>
      <c r="AF792">
        <v>6.5097416305403</v>
      </c>
      <c r="AG792">
        <v>-1.159899</v>
      </c>
      <c r="AH792">
        <v>43.882287096038702</v>
      </c>
      <c r="AI792">
        <v>91.497710280993303</v>
      </c>
      <c r="AJ792">
        <v>81.561964398556299</v>
      </c>
      <c r="AK792">
        <v>44.3776658079912</v>
      </c>
      <c r="AL792">
        <v>86.269689099317503</v>
      </c>
      <c r="AM792">
        <v>86.747576153027197</v>
      </c>
      <c r="AN792">
        <v>0.99999997657303996</v>
      </c>
    </row>
    <row r="793" spans="1:40" x14ac:dyDescent="0.25">
      <c r="A793" t="str">
        <f>"20190312151001724"</f>
        <v>20190312151001724</v>
      </c>
      <c r="B793" t="str">
        <f>"1552374601721905"</f>
        <v>1552374601721905</v>
      </c>
      <c r="C793" t="s">
        <v>40</v>
      </c>
      <c r="D793">
        <v>5.2233349999999996</v>
      </c>
      <c r="E793">
        <v>0.53374829999999995</v>
      </c>
      <c r="F793" t="s">
        <v>43</v>
      </c>
      <c r="G793">
        <v>-280.48930000000001</v>
      </c>
      <c r="H793">
        <v>-0.05</v>
      </c>
      <c r="I793">
        <v>362.25459999999998</v>
      </c>
      <c r="J793">
        <v>-323.06299999999999</v>
      </c>
      <c r="K793">
        <v>1.1099000000000001</v>
      </c>
      <c r="L793">
        <v>367.75029999999998</v>
      </c>
      <c r="M793">
        <v>0.99976339999999997</v>
      </c>
      <c r="N793">
        <v>0</v>
      </c>
      <c r="O793">
        <v>1.8872670000000001E-2</v>
      </c>
      <c r="P793">
        <v>0.99780659999999999</v>
      </c>
      <c r="Q793">
        <v>5.4065920000000003E-2</v>
      </c>
      <c r="R793">
        <v>-3.8199179999999999E-2</v>
      </c>
      <c r="S793">
        <v>2.996429</v>
      </c>
      <c r="T793">
        <v>-8.1290719999999997E-2</v>
      </c>
      <c r="U793">
        <v>-0.38491819999999999</v>
      </c>
      <c r="V793">
        <v>5.7005550000000002E-2</v>
      </c>
      <c r="W793">
        <v>6.4867040000000001E-2</v>
      </c>
      <c r="X793">
        <v>0.99626429999999999</v>
      </c>
      <c r="Y793">
        <v>0.1460495</v>
      </c>
      <c r="Z793">
        <v>-2.4826119999999999E-3</v>
      </c>
      <c r="AA793">
        <v>0.98927410000000005</v>
      </c>
      <c r="AB793">
        <v>37</v>
      </c>
      <c r="AC793">
        <v>42.573699999999903</v>
      </c>
      <c r="AD793">
        <v>-1.1598999999999999</v>
      </c>
      <c r="AE793">
        <v>-5.4956999999999896</v>
      </c>
      <c r="AF793">
        <v>6.29365247772507</v>
      </c>
      <c r="AG793">
        <v>-1.1598999999999999</v>
      </c>
      <c r="AH793">
        <v>42.431412851034203</v>
      </c>
      <c r="AI793">
        <v>91.548903432648501</v>
      </c>
      <c r="AJ793">
        <v>81.563098590347593</v>
      </c>
      <c r="AK793">
        <v>42.911306506039701</v>
      </c>
      <c r="AL793">
        <v>86.280780868557898</v>
      </c>
      <c r="AM793">
        <v>86.725146260497993</v>
      </c>
      <c r="AN793">
        <v>0.99999996053182605</v>
      </c>
    </row>
    <row r="794" spans="1:40" x14ac:dyDescent="0.25">
      <c r="A794" t="str">
        <f>"20190312151001735"</f>
        <v>20190312151001735</v>
      </c>
      <c r="B794" t="str">
        <f>"1552374601731666"</f>
        <v>1552374601731666</v>
      </c>
      <c r="C794" t="s">
        <v>40</v>
      </c>
      <c r="D794">
        <v>5.2102329999999997</v>
      </c>
      <c r="E794">
        <v>0.51438679999999903</v>
      </c>
      <c r="F794" t="s">
        <v>43</v>
      </c>
      <c r="G794">
        <v>-280.7869</v>
      </c>
      <c r="H794">
        <v>-0.05</v>
      </c>
      <c r="I794">
        <v>362.32499999999999</v>
      </c>
      <c r="J794">
        <v>-322.8698</v>
      </c>
      <c r="K794">
        <v>1.1098980000000001</v>
      </c>
      <c r="L794">
        <v>367.75400000000002</v>
      </c>
      <c r="M794">
        <v>0.99976180000000003</v>
      </c>
      <c r="N794">
        <v>0</v>
      </c>
      <c r="O794">
        <v>1.8942000000000001E-2</v>
      </c>
      <c r="P794">
        <v>0.99781509999999995</v>
      </c>
      <c r="Q794">
        <v>5.3794420000000003E-2</v>
      </c>
      <c r="R794">
        <v>-3.8354050000000001E-2</v>
      </c>
      <c r="S794">
        <v>2.9963380000000002</v>
      </c>
      <c r="T794">
        <v>-8.2208509999999999E-2</v>
      </c>
      <c r="U794">
        <v>-0.38452150000000002</v>
      </c>
      <c r="V794">
        <v>5.7230049999999998E-2</v>
      </c>
      <c r="W794">
        <v>6.4615809999999996E-2</v>
      </c>
      <c r="X794">
        <v>0.99626780000000004</v>
      </c>
      <c r="Y794">
        <v>0.1459917</v>
      </c>
      <c r="Z794">
        <v>-2.5118340000000001E-3</v>
      </c>
      <c r="AA794">
        <v>0.98928260000000001</v>
      </c>
      <c r="AB794">
        <v>37</v>
      </c>
      <c r="AC794">
        <v>42.082900000000002</v>
      </c>
      <c r="AD794">
        <v>-1.1598979999999901</v>
      </c>
      <c r="AE794">
        <v>-5.4290000000000296</v>
      </c>
      <c r="AF794">
        <v>6.2205587347083702</v>
      </c>
      <c r="AG794">
        <v>-1.1598979999999901</v>
      </c>
      <c r="AH794">
        <v>41.941166514790901</v>
      </c>
      <c r="AI794">
        <v>91.566998790866194</v>
      </c>
      <c r="AJ794">
        <v>81.563603597013696</v>
      </c>
      <c r="AK794">
        <v>42.415824440458302</v>
      </c>
      <c r="AL794">
        <v>86.295205716314797</v>
      </c>
      <c r="AM794">
        <v>86.712288950012194</v>
      </c>
      <c r="AN794">
        <v>1.00000000542089</v>
      </c>
    </row>
    <row r="795" spans="1:40" x14ac:dyDescent="0.25">
      <c r="A795" t="str">
        <f>"20190312151001747"</f>
        <v>20190312151001747</v>
      </c>
      <c r="B795" t="str">
        <f>"1552374601741425"</f>
        <v>1552374601741425</v>
      </c>
      <c r="C795" t="s">
        <v>40</v>
      </c>
      <c r="D795">
        <v>5.2226309999999998</v>
      </c>
      <c r="E795">
        <v>0.51335310000000001</v>
      </c>
      <c r="F795" t="s">
        <v>43</v>
      </c>
      <c r="G795">
        <v>-298.2912</v>
      </c>
      <c r="H795">
        <v>-0.05</v>
      </c>
      <c r="I795">
        <v>365.86360000000002</v>
      </c>
      <c r="J795">
        <v>-322.69049999999999</v>
      </c>
      <c r="K795">
        <v>1.1099000000000001</v>
      </c>
      <c r="L795">
        <v>367.75740000000002</v>
      </c>
      <c r="M795">
        <v>0.99976039999999999</v>
      </c>
      <c r="N795">
        <v>0</v>
      </c>
      <c r="O795">
        <v>1.900632E-2</v>
      </c>
      <c r="P795">
        <v>0.99780709999999995</v>
      </c>
      <c r="Q795">
        <v>5.3600200000000001E-2</v>
      </c>
      <c r="R795">
        <v>-3.8834609999999999E-2</v>
      </c>
      <c r="S795">
        <v>3.005341</v>
      </c>
      <c r="T795">
        <v>-0.14182629999999999</v>
      </c>
      <c r="U795">
        <v>-0.23114009999999999</v>
      </c>
      <c r="V795">
        <v>5.7774369999999999E-2</v>
      </c>
      <c r="W795">
        <v>6.4441170000000006E-2</v>
      </c>
      <c r="X795">
        <v>0.99624769999999896</v>
      </c>
      <c r="Y795">
        <v>9.5494250000000003E-2</v>
      </c>
      <c r="Z795">
        <v>-3.1439789999999999E-3</v>
      </c>
      <c r="AA795">
        <v>0.995425</v>
      </c>
      <c r="AB795">
        <v>37</v>
      </c>
      <c r="AC795">
        <v>24.399299999999901</v>
      </c>
      <c r="AD795">
        <v>-1.1598999999999999</v>
      </c>
      <c r="AE795">
        <v>-1.8937999999999899</v>
      </c>
      <c r="AF795">
        <v>2.3519428225383798</v>
      </c>
      <c r="AG795">
        <v>-1.1598999999999999</v>
      </c>
      <c r="AH795">
        <v>24.304299769820901</v>
      </c>
      <c r="AI795">
        <v>92.719629263518698</v>
      </c>
      <c r="AJ795">
        <v>84.472661144426297</v>
      </c>
      <c r="AK795">
        <v>24.4453674619918</v>
      </c>
      <c r="AL795">
        <v>86.305232769491298</v>
      </c>
      <c r="AM795">
        <v>86.681022005090995</v>
      </c>
      <c r="AN795">
        <v>1.00000001098757</v>
      </c>
    </row>
    <row r="796" spans="1:40" x14ac:dyDescent="0.25">
      <c r="A796" t="str">
        <f>"20190312151001769"</f>
        <v>20190312151001769</v>
      </c>
      <c r="B796" t="str">
        <f>"1552374601761921"</f>
        <v>1552374601761921</v>
      </c>
      <c r="C796" t="s">
        <v>40</v>
      </c>
      <c r="D796">
        <v>5.1875910000000003</v>
      </c>
      <c r="E796">
        <v>0.51274569999999997</v>
      </c>
      <c r="F796" t="s">
        <v>43</v>
      </c>
      <c r="G796">
        <v>-298.51220000000001</v>
      </c>
      <c r="H796">
        <v>-0.05</v>
      </c>
      <c r="I796">
        <v>365.9545</v>
      </c>
      <c r="J796">
        <v>-322.31729999999999</v>
      </c>
      <c r="K796">
        <v>1.109904</v>
      </c>
      <c r="L796">
        <v>367.7647</v>
      </c>
      <c r="M796">
        <v>0.99975740000000002</v>
      </c>
      <c r="N796">
        <v>0</v>
      </c>
      <c r="O796">
        <v>1.9140219999999999E-2</v>
      </c>
      <c r="P796">
        <v>0.99781810000000004</v>
      </c>
      <c r="Q796">
        <v>5.302552E-2</v>
      </c>
      <c r="R796">
        <v>-3.9337879999999999E-2</v>
      </c>
      <c r="S796">
        <v>3.005646</v>
      </c>
      <c r="T796">
        <v>-0.14418900000000001</v>
      </c>
      <c r="U796">
        <v>-0.22412109999999999</v>
      </c>
      <c r="V796">
        <v>5.8411419999999999E-2</v>
      </c>
      <c r="W796">
        <v>6.3906299999999999E-2</v>
      </c>
      <c r="X796">
        <v>0.99624500000000005</v>
      </c>
      <c r="Y796">
        <v>9.330637E-2</v>
      </c>
      <c r="Z796">
        <v>-3.1502850000000001E-3</v>
      </c>
      <c r="AA796">
        <v>0.99563250000000003</v>
      </c>
      <c r="AB796">
        <v>37</v>
      </c>
      <c r="AC796">
        <v>23.8050999999999</v>
      </c>
      <c r="AD796">
        <v>-1.159904</v>
      </c>
      <c r="AE796">
        <v>-1.8102</v>
      </c>
      <c r="AF796">
        <v>2.2601951237722102</v>
      </c>
      <c r="AG796">
        <v>-1.159904</v>
      </c>
      <c r="AH796">
        <v>23.710121694730599</v>
      </c>
      <c r="AI796">
        <v>92.788069502352201</v>
      </c>
      <c r="AJ796">
        <v>84.554666981007301</v>
      </c>
      <c r="AK796">
        <v>23.845832551321699</v>
      </c>
      <c r="AL796">
        <v>86.335941839039705</v>
      </c>
      <c r="AM796">
        <v>86.644499336449698</v>
      </c>
      <c r="AN796">
        <v>1.0000000045955499</v>
      </c>
    </row>
    <row r="797" spans="1:40" x14ac:dyDescent="0.25">
      <c r="A797" t="str">
        <f>"20190312151001780"</f>
        <v>20190312151001780</v>
      </c>
      <c r="B797" t="str">
        <f>"1552374601771681"</f>
        <v>1552374601771681</v>
      </c>
      <c r="C797" t="s">
        <v>40</v>
      </c>
      <c r="D797">
        <v>5.345135</v>
      </c>
      <c r="E797">
        <v>0.51245220000000002</v>
      </c>
      <c r="F797" t="s">
        <v>43</v>
      </c>
      <c r="G797">
        <v>-299.84109999999998</v>
      </c>
      <c r="H797">
        <v>-0.05</v>
      </c>
      <c r="I797">
        <v>366.11079999999998</v>
      </c>
      <c r="J797">
        <v>-322.13400000000001</v>
      </c>
      <c r="K797">
        <v>1.1099030000000001</v>
      </c>
      <c r="L797">
        <v>367.76819999999998</v>
      </c>
      <c r="M797">
        <v>0.99975599999999998</v>
      </c>
      <c r="N797">
        <v>0</v>
      </c>
      <c r="O797">
        <v>1.9205739999999999E-2</v>
      </c>
      <c r="P797">
        <v>0.99780210000000003</v>
      </c>
      <c r="Q797">
        <v>5.2816439999999999E-2</v>
      </c>
      <c r="R797">
        <v>-4.0016660000000003E-2</v>
      </c>
      <c r="S797">
        <v>3.0060120000000001</v>
      </c>
      <c r="T797">
        <v>-0.15512809999999999</v>
      </c>
      <c r="U797">
        <v>-0.22119140000000001</v>
      </c>
      <c r="V797">
        <v>5.9155149999999997E-2</v>
      </c>
      <c r="W797">
        <v>6.3715499999999994E-2</v>
      </c>
      <c r="X797">
        <v>0.99621329999999997</v>
      </c>
      <c r="Y797">
        <v>9.2378440000000006E-2</v>
      </c>
      <c r="Z797">
        <v>-3.3681700000000002E-3</v>
      </c>
      <c r="AA797">
        <v>0.99571829999999995</v>
      </c>
      <c r="AB797">
        <v>37</v>
      </c>
      <c r="AC797">
        <v>22.292899999999999</v>
      </c>
      <c r="AD797">
        <v>-1.1599029999999999</v>
      </c>
      <c r="AE797">
        <v>-1.65739999999999</v>
      </c>
      <c r="AF797">
        <v>2.0796723867134399</v>
      </c>
      <c r="AG797">
        <v>-1.1599029999999999</v>
      </c>
      <c r="AH797">
        <v>22.197193637926301</v>
      </c>
      <c r="AI797">
        <v>92.978221907647395</v>
      </c>
      <c r="AJ797">
        <v>84.6475384672855</v>
      </c>
      <c r="AK797">
        <v>22.3245563809242</v>
      </c>
      <c r="AL797">
        <v>86.346896064417706</v>
      </c>
      <c r="AM797">
        <v>86.601766659606298</v>
      </c>
      <c r="AN797">
        <v>0.99999996790432999</v>
      </c>
    </row>
    <row r="798" spans="1:40" x14ac:dyDescent="0.25">
      <c r="A798" t="str">
        <f>"20190312151001791"</f>
        <v>20190312151001791</v>
      </c>
      <c r="B798" t="str">
        <f>"1552374601781441"</f>
        <v>1552374601781441</v>
      </c>
      <c r="C798" t="s">
        <v>40</v>
      </c>
      <c r="D798">
        <v>5.208609</v>
      </c>
      <c r="E798">
        <v>0.51235509999999995</v>
      </c>
      <c r="F798" t="s">
        <v>43</v>
      </c>
      <c r="G798">
        <v>-297.46809999999999</v>
      </c>
      <c r="H798">
        <v>-0.05</v>
      </c>
      <c r="I798">
        <v>365.95749999999998</v>
      </c>
      <c r="J798">
        <v>-321.947</v>
      </c>
      <c r="K798">
        <v>1.1099019999999999</v>
      </c>
      <c r="L798">
        <v>367.77190000000002</v>
      </c>
      <c r="M798">
        <v>0.99975449999999999</v>
      </c>
      <c r="N798">
        <v>0</v>
      </c>
      <c r="O798">
        <v>1.927276E-2</v>
      </c>
      <c r="P798">
        <v>0.99779110000000004</v>
      </c>
      <c r="Q798">
        <v>5.3053799999999998E-2</v>
      </c>
      <c r="R798">
        <v>-3.9980620000000001E-2</v>
      </c>
      <c r="S798">
        <v>3.0052490000000001</v>
      </c>
      <c r="T798">
        <v>-0.14132049999999999</v>
      </c>
      <c r="U798">
        <v>-0.22061159999999999</v>
      </c>
      <c r="V798">
        <v>5.9185700000000001E-2</v>
      </c>
      <c r="W798">
        <v>6.3970540000000006E-2</v>
      </c>
      <c r="X798">
        <v>0.99619519999999995</v>
      </c>
      <c r="Y798">
        <v>9.2297669999999998E-2</v>
      </c>
      <c r="Z798">
        <v>-3.0707690000000001E-3</v>
      </c>
      <c r="AA798">
        <v>0.99572669999999996</v>
      </c>
      <c r="AB798">
        <v>37</v>
      </c>
      <c r="AC798">
        <v>24.478899999999999</v>
      </c>
      <c r="AD798">
        <v>-1.159902</v>
      </c>
      <c r="AE798">
        <v>-1.81440000000003</v>
      </c>
      <c r="AF798">
        <v>2.2807742557288</v>
      </c>
      <c r="AG798">
        <v>-1.159902</v>
      </c>
      <c r="AH798">
        <v>24.384931858921401</v>
      </c>
      <c r="AI798">
        <v>92.711481226316494</v>
      </c>
      <c r="AJ798">
        <v>84.656550321451604</v>
      </c>
      <c r="AK798">
        <v>24.518813299575498</v>
      </c>
      <c r="AL798">
        <v>86.332253693004603</v>
      </c>
      <c r="AM798">
        <v>86.599954167032607</v>
      </c>
      <c r="AN798">
        <v>1.0000000267877101</v>
      </c>
    </row>
    <row r="799" spans="1:40" x14ac:dyDescent="0.25">
      <c r="A799" t="str">
        <f>"20190312151001803"</f>
        <v>20190312151001803</v>
      </c>
      <c r="B799" t="str">
        <f>"1552374601792177"</f>
        <v>1552374601792177</v>
      </c>
      <c r="C799" t="s">
        <v>40</v>
      </c>
      <c r="D799">
        <v>5.2793989999999997</v>
      </c>
      <c r="E799">
        <v>0.5125516</v>
      </c>
      <c r="F799" t="s">
        <v>43</v>
      </c>
      <c r="G799">
        <v>-297.459</v>
      </c>
      <c r="H799">
        <v>-0.05</v>
      </c>
      <c r="I799">
        <v>365.98160000000001</v>
      </c>
      <c r="J799">
        <v>-321.73219999999998</v>
      </c>
      <c r="K799">
        <v>1.1099060000000001</v>
      </c>
      <c r="L799">
        <v>367.77609999999999</v>
      </c>
      <c r="M799">
        <v>0.9997528</v>
      </c>
      <c r="N799">
        <v>0</v>
      </c>
      <c r="O799">
        <v>1.934978E-2</v>
      </c>
      <c r="P799">
        <v>0.9977992</v>
      </c>
      <c r="Q799">
        <v>5.2618989999999997E-2</v>
      </c>
      <c r="R799">
        <v>-4.0351440000000002E-2</v>
      </c>
      <c r="S799">
        <v>3.0054020000000001</v>
      </c>
      <c r="T799">
        <v>-0.1423546</v>
      </c>
      <c r="U799">
        <v>-0.21972659999999999</v>
      </c>
      <c r="V799">
        <v>5.9633440000000003E-2</v>
      </c>
      <c r="W799">
        <v>6.3555600000000004E-2</v>
      </c>
      <c r="X799">
        <v>0.99619500000000005</v>
      </c>
      <c r="Y799">
        <v>9.2077419999999993E-2</v>
      </c>
      <c r="Z799">
        <v>-3.0915280000000001E-3</v>
      </c>
      <c r="AA799">
        <v>0.99574700000000005</v>
      </c>
      <c r="AB799">
        <v>37</v>
      </c>
      <c r="AC799">
        <v>24.2731999999999</v>
      </c>
      <c r="AD799">
        <v>-1.1599059999999899</v>
      </c>
      <c r="AE799">
        <v>-1.79449999999997</v>
      </c>
      <c r="AF799">
        <v>2.25874353936659</v>
      </c>
      <c r="AG799">
        <v>-1.1599059999999899</v>
      </c>
      <c r="AH799">
        <v>24.1790181938273</v>
      </c>
      <c r="AI799">
        <v>92.734576289325702</v>
      </c>
      <c r="AJ799">
        <v>84.663060154509793</v>
      </c>
      <c r="AK799">
        <v>24.311976989189901</v>
      </c>
      <c r="AL799">
        <v>86.356076272962198</v>
      </c>
      <c r="AM799">
        <v>86.574293150561104</v>
      </c>
      <c r="AN799">
        <v>0.99999996974129601</v>
      </c>
    </row>
    <row r="800" spans="1:40" x14ac:dyDescent="0.25">
      <c r="A800" t="str">
        <f>"20190312151001826"</f>
        <v>20190312151001826</v>
      </c>
      <c r="B800" t="str">
        <f>"1552374601821457"</f>
        <v>1552374601821457</v>
      </c>
      <c r="C800" t="s">
        <v>40</v>
      </c>
      <c r="D800">
        <v>5.2446599999999997</v>
      </c>
      <c r="E800">
        <v>0.51233809999999902</v>
      </c>
      <c r="F800" t="s">
        <v>43</v>
      </c>
      <c r="G800">
        <v>-297.61630000000002</v>
      </c>
      <c r="H800">
        <v>-0.05</v>
      </c>
      <c r="I800">
        <v>365.99079999999998</v>
      </c>
      <c r="J800">
        <v>-321.36470000000003</v>
      </c>
      <c r="K800">
        <v>1.109904</v>
      </c>
      <c r="L800">
        <v>367.7833</v>
      </c>
      <c r="M800">
        <v>0.99974989999999997</v>
      </c>
      <c r="N800">
        <v>0</v>
      </c>
      <c r="O800">
        <v>1.9481450000000001E-2</v>
      </c>
      <c r="P800">
        <v>0.99777470000000001</v>
      </c>
      <c r="Q800">
        <v>5.2617530000000003E-2</v>
      </c>
      <c r="R800">
        <v>-4.0955070000000003E-2</v>
      </c>
      <c r="S800">
        <v>3.0052490000000001</v>
      </c>
      <c r="T800">
        <v>-0.14454400000000001</v>
      </c>
      <c r="U800">
        <v>-0.22247310000000001</v>
      </c>
      <c r="V800">
        <v>6.0367709999999998E-2</v>
      </c>
      <c r="W800">
        <v>6.3584619999999994E-2</v>
      </c>
      <c r="X800">
        <v>0.9961489</v>
      </c>
      <c r="Y800">
        <v>9.3112130000000001E-2</v>
      </c>
      <c r="Z800">
        <v>-3.170235E-3</v>
      </c>
      <c r="AA800">
        <v>0.99565060000000005</v>
      </c>
      <c r="AB800">
        <v>37</v>
      </c>
      <c r="AC800">
        <v>23.7484</v>
      </c>
      <c r="AD800">
        <v>-1.159904</v>
      </c>
      <c r="AE800">
        <v>-1.79250000000001</v>
      </c>
      <c r="AF800">
        <v>2.2495051990827601</v>
      </c>
      <c r="AG800">
        <v>-1.159904</v>
      </c>
      <c r="AH800">
        <v>23.6528660835186</v>
      </c>
      <c r="AI800">
        <v>92.794866032873898</v>
      </c>
      <c r="AJ800">
        <v>84.567226824729204</v>
      </c>
      <c r="AK800">
        <v>23.7878902993683</v>
      </c>
      <c r="AL800">
        <v>86.354410098831195</v>
      </c>
      <c r="AM800">
        <v>86.532054444515097</v>
      </c>
      <c r="AN800">
        <v>0.99999994764119704</v>
      </c>
    </row>
    <row r="801" spans="1:40" x14ac:dyDescent="0.25">
      <c r="A801" t="str">
        <f>"20190312151001840"</f>
        <v>20190312151001840</v>
      </c>
      <c r="B801" t="str">
        <f>"1552374601831218"</f>
        <v>1552374601831218</v>
      </c>
      <c r="C801" t="s">
        <v>40</v>
      </c>
      <c r="D801">
        <v>5.2387079999999999</v>
      </c>
      <c r="E801">
        <v>0.51212849999999999</v>
      </c>
      <c r="F801" t="s">
        <v>43</v>
      </c>
      <c r="G801">
        <v>-292.95030000000003</v>
      </c>
      <c r="H801">
        <v>-0.05</v>
      </c>
      <c r="I801">
        <v>365.68099999999998</v>
      </c>
      <c r="J801">
        <v>-321.13209999999998</v>
      </c>
      <c r="K801">
        <v>1.1098809999999999</v>
      </c>
      <c r="L801">
        <v>367.78789999999998</v>
      </c>
      <c r="M801">
        <v>0.999749</v>
      </c>
      <c r="N801">
        <v>0</v>
      </c>
      <c r="O801">
        <v>1.9565289999999999E-2</v>
      </c>
      <c r="P801">
        <v>0.99776140000000002</v>
      </c>
      <c r="Q801">
        <v>5.2513270000000001E-2</v>
      </c>
      <c r="R801">
        <v>-4.1411419999999997E-2</v>
      </c>
      <c r="S801">
        <v>3.0039980000000002</v>
      </c>
      <c r="T801">
        <v>-0.1226261</v>
      </c>
      <c r="U801">
        <v>-0.2222595</v>
      </c>
      <c r="V801">
        <v>6.0907509999999998E-2</v>
      </c>
      <c r="W801">
        <v>6.3419489999999995E-2</v>
      </c>
      <c r="X801">
        <v>0.99612659999999997</v>
      </c>
      <c r="Y801">
        <v>9.3191800000000005E-2</v>
      </c>
      <c r="Z801">
        <v>-2.6961120000000001E-3</v>
      </c>
      <c r="AA801">
        <v>0.99564450000000004</v>
      </c>
      <c r="AB801">
        <v>37</v>
      </c>
      <c r="AC801">
        <v>28.1817999999999</v>
      </c>
      <c r="AD801">
        <v>-1.1598809999999999</v>
      </c>
      <c r="AE801">
        <v>-2.1068999999999898</v>
      </c>
      <c r="AF801">
        <v>2.6534448845786298</v>
      </c>
      <c r="AG801">
        <v>-1.1598809999999999</v>
      </c>
      <c r="AH801">
        <v>28.087866500478601</v>
      </c>
      <c r="AI801">
        <v>92.354200716427499</v>
      </c>
      <c r="AJ801">
        <v>84.603316228635293</v>
      </c>
      <c r="AK801">
        <v>28.236755093997001</v>
      </c>
      <c r="AL801">
        <v>86.363890602899005</v>
      </c>
      <c r="AM801">
        <v>86.501043101437006</v>
      </c>
      <c r="AN801">
        <v>0.99999997985690903</v>
      </c>
    </row>
    <row r="802" spans="1:40" x14ac:dyDescent="0.25">
      <c r="A802" t="str">
        <f>"20190312151001858"</f>
        <v>20190312151001858</v>
      </c>
      <c r="B802" t="str">
        <f>"1552374601851717"</f>
        <v>1552374601851717</v>
      </c>
      <c r="C802" t="s">
        <v>40</v>
      </c>
      <c r="D802">
        <v>5.2070299999999996</v>
      </c>
      <c r="E802">
        <v>0.51190429999999998</v>
      </c>
      <c r="F802" t="s">
        <v>43</v>
      </c>
      <c r="G802">
        <v>-293.79379999999998</v>
      </c>
      <c r="H802">
        <v>-0.05</v>
      </c>
      <c r="I802">
        <v>365.76729999999998</v>
      </c>
      <c r="J802">
        <v>-320.8186</v>
      </c>
      <c r="K802">
        <v>1.1097030000000001</v>
      </c>
      <c r="L802">
        <v>367.79419999999999</v>
      </c>
      <c r="M802">
        <v>0.99975320000000001</v>
      </c>
      <c r="N802">
        <v>0</v>
      </c>
      <c r="O802">
        <v>1.9682470000000001E-2</v>
      </c>
      <c r="P802">
        <v>0.99771779999999999</v>
      </c>
      <c r="Q802">
        <v>5.2830620000000002E-2</v>
      </c>
      <c r="R802">
        <v>-4.2047920000000003E-2</v>
      </c>
      <c r="S802">
        <v>3.0042110000000002</v>
      </c>
      <c r="T802">
        <v>-0.1274595</v>
      </c>
      <c r="U802">
        <v>-0.22204589999999999</v>
      </c>
      <c r="V802">
        <v>6.1660270000000003E-2</v>
      </c>
      <c r="W802">
        <v>6.3121129999999998E-2</v>
      </c>
      <c r="X802">
        <v>0.99609919999999996</v>
      </c>
      <c r="Y802">
        <v>9.322511E-2</v>
      </c>
      <c r="Z802">
        <v>-2.8077620000000001E-3</v>
      </c>
      <c r="AA802">
        <v>0.99564109999999995</v>
      </c>
      <c r="AB802">
        <v>37</v>
      </c>
      <c r="AC802">
        <v>27.024799999999999</v>
      </c>
      <c r="AD802">
        <v>-1.1597029999999999</v>
      </c>
      <c r="AE802">
        <v>-2.0269000000000101</v>
      </c>
      <c r="AF802">
        <v>2.5537739215133302</v>
      </c>
      <c r="AG802">
        <v>-1.1597029999999999</v>
      </c>
      <c r="AH802">
        <v>26.930353240528198</v>
      </c>
      <c r="AI802">
        <v>92.454808062728603</v>
      </c>
      <c r="AJ802">
        <v>84.582907189216797</v>
      </c>
      <c r="AK802">
        <v>27.0760151785679</v>
      </c>
      <c r="AL802">
        <v>86.381019551001501</v>
      </c>
      <c r="AM802">
        <v>86.457811500832804</v>
      </c>
      <c r="AN802">
        <v>0.99999994109479295</v>
      </c>
    </row>
    <row r="803" spans="1:40" x14ac:dyDescent="0.25">
      <c r="A803" t="str">
        <f>"20190312151001870"</f>
        <v>20190312151001870</v>
      </c>
      <c r="B803" t="str">
        <f>"1552374601861473"</f>
        <v>1552374601861473</v>
      </c>
      <c r="C803" t="s">
        <v>40</v>
      </c>
      <c r="D803">
        <v>5.2536269999999998</v>
      </c>
      <c r="E803">
        <v>0.51187399999999905</v>
      </c>
      <c r="F803" t="s">
        <v>43</v>
      </c>
      <c r="G803">
        <v>-294.45800000000003</v>
      </c>
      <c r="H803">
        <v>-0.05</v>
      </c>
      <c r="I803">
        <v>365.84440000000001</v>
      </c>
      <c r="J803">
        <v>-320.62150000000003</v>
      </c>
      <c r="K803">
        <v>1.109553</v>
      </c>
      <c r="L803">
        <v>367.79809999999998</v>
      </c>
      <c r="M803">
        <v>0.99975499999999995</v>
      </c>
      <c r="N803">
        <v>0</v>
      </c>
      <c r="O803">
        <v>1.9756409999999999E-2</v>
      </c>
      <c r="P803">
        <v>0.99770979999999998</v>
      </c>
      <c r="Q803">
        <v>5.2935320000000001E-2</v>
      </c>
      <c r="R803">
        <v>-4.2108729999999997E-2</v>
      </c>
      <c r="S803">
        <v>3.0045169999999999</v>
      </c>
      <c r="T803">
        <v>-0.13218009999999999</v>
      </c>
      <c r="U803">
        <v>-0.22222900000000001</v>
      </c>
      <c r="V803">
        <v>6.1794729999999999E-2</v>
      </c>
      <c r="W803">
        <v>6.2897449999999994E-2</v>
      </c>
      <c r="X803">
        <v>0.99610509999999997</v>
      </c>
      <c r="Y803">
        <v>9.3343819999999994E-2</v>
      </c>
      <c r="Z803">
        <v>-2.9172019999999998E-3</v>
      </c>
      <c r="AA803">
        <v>0.99562969999999895</v>
      </c>
      <c r="AB803">
        <v>38</v>
      </c>
      <c r="AC803">
        <v>26.163499999999999</v>
      </c>
      <c r="AD803">
        <v>-1.1595530000000001</v>
      </c>
      <c r="AE803">
        <v>-1.95369999999996</v>
      </c>
      <c r="AF803">
        <v>2.46542544915919</v>
      </c>
      <c r="AG803">
        <v>-1.1595530000000001</v>
      </c>
      <c r="AH803">
        <v>26.068871966636699</v>
      </c>
      <c r="AI803">
        <v>92.535559436201197</v>
      </c>
      <c r="AJ803">
        <v>84.597404405912101</v>
      </c>
      <c r="AK803">
        <v>26.210855984077799</v>
      </c>
      <c r="AL803">
        <v>86.393861288025207</v>
      </c>
      <c r="AM803">
        <v>86.450127900405505</v>
      </c>
      <c r="AN803">
        <v>1.00000002405914</v>
      </c>
    </row>
    <row r="804" spans="1:40" x14ac:dyDescent="0.25">
      <c r="A804" t="str">
        <f>"20190312151001880"</f>
        <v>20190312151001880</v>
      </c>
      <c r="B804" t="str">
        <f>"1552374601871235"</f>
        <v>1552374601871235</v>
      </c>
      <c r="C804" t="s">
        <v>40</v>
      </c>
      <c r="D804">
        <v>5.2668920000000004</v>
      </c>
      <c r="E804">
        <v>0.51191529999999996</v>
      </c>
      <c r="F804" t="s">
        <v>43</v>
      </c>
      <c r="G804">
        <v>-294.92090000000002</v>
      </c>
      <c r="H804">
        <v>-0.05</v>
      </c>
      <c r="I804">
        <v>365.89780000000002</v>
      </c>
      <c r="J804">
        <v>-320.43599999999998</v>
      </c>
      <c r="K804">
        <v>1.1094120000000001</v>
      </c>
      <c r="L804">
        <v>367.80180000000001</v>
      </c>
      <c r="M804">
        <v>0.99975599999999998</v>
      </c>
      <c r="N804">
        <v>0</v>
      </c>
      <c r="O804">
        <v>1.9825410000000002E-2</v>
      </c>
      <c r="P804">
        <v>0.99767260000000002</v>
      </c>
      <c r="Q804">
        <v>5.3425449999999999E-2</v>
      </c>
      <c r="R804">
        <v>-4.2376280000000002E-2</v>
      </c>
      <c r="S804">
        <v>3.0046689999999998</v>
      </c>
      <c r="T804">
        <v>-0.135564299999999</v>
      </c>
      <c r="U804">
        <v>-0.222168</v>
      </c>
      <c r="V804">
        <v>6.2130100000000001E-2</v>
      </c>
      <c r="W804">
        <v>6.3170119999999996E-2</v>
      </c>
      <c r="X804">
        <v>0.99606700000000004</v>
      </c>
      <c r="Y804">
        <v>9.3382919999999994E-2</v>
      </c>
      <c r="Z804">
        <v>-2.9956539999999999E-3</v>
      </c>
      <c r="AA804">
        <v>0.99562569999999995</v>
      </c>
      <c r="AB804">
        <v>38</v>
      </c>
      <c r="AC804">
        <v>25.515099999999901</v>
      </c>
      <c r="AD804">
        <v>-1.1594120000000001</v>
      </c>
      <c r="AE804">
        <v>-1.9039999999999899</v>
      </c>
      <c r="AF804">
        <v>2.4045595932942101</v>
      </c>
      <c r="AG804">
        <v>-1.1594120000000001</v>
      </c>
      <c r="AH804">
        <v>25.420138136357401</v>
      </c>
      <c r="AI804">
        <v>92.599859985628598</v>
      </c>
      <c r="AJ804">
        <v>84.596316022445293</v>
      </c>
      <c r="AK804">
        <v>25.559921085459901</v>
      </c>
      <c r="AL804">
        <v>86.3782073797842</v>
      </c>
      <c r="AM804">
        <v>86.430775669575496</v>
      </c>
      <c r="AN804">
        <v>1.00000004093791</v>
      </c>
    </row>
    <row r="805" spans="1:40" x14ac:dyDescent="0.25">
      <c r="A805" t="str">
        <f>"20190312151001892"</f>
        <v>20190312151001892</v>
      </c>
      <c r="B805" t="str">
        <f>"1552374601881969"</f>
        <v>1552374601881969</v>
      </c>
      <c r="C805" t="s">
        <v>40</v>
      </c>
      <c r="D805">
        <v>5.2596059999999998</v>
      </c>
      <c r="E805">
        <v>0.51190239999999998</v>
      </c>
      <c r="F805" t="s">
        <v>43</v>
      </c>
      <c r="G805">
        <v>-295.1841</v>
      </c>
      <c r="H805">
        <v>-0.05</v>
      </c>
      <c r="I805">
        <v>365.92559999999997</v>
      </c>
      <c r="J805">
        <v>-320.2423</v>
      </c>
      <c r="K805">
        <v>1.109254</v>
      </c>
      <c r="L805">
        <v>367.8057</v>
      </c>
      <c r="M805">
        <v>0.99975480000000005</v>
      </c>
      <c r="N805">
        <v>0</v>
      </c>
      <c r="O805">
        <v>1.98973E-2</v>
      </c>
      <c r="P805">
        <v>0.99765459999999995</v>
      </c>
      <c r="Q805">
        <v>5.3762999999999998E-2</v>
      </c>
      <c r="R805">
        <v>-4.2369049999999998E-2</v>
      </c>
      <c r="S805">
        <v>3.0049130000000002</v>
      </c>
      <c r="T805">
        <v>-0.13796710000000001</v>
      </c>
      <c r="U805">
        <v>-0.22326660000000001</v>
      </c>
      <c r="V805">
        <v>6.219438E-2</v>
      </c>
      <c r="W805">
        <v>6.3478499999999993E-2</v>
      </c>
      <c r="X805">
        <v>0.99604329999999996</v>
      </c>
      <c r="Y805">
        <v>9.3805990000000006E-2</v>
      </c>
      <c r="Z805">
        <v>-3.0613979999999999E-3</v>
      </c>
      <c r="AA805">
        <v>0.99558579999999997</v>
      </c>
      <c r="AB805">
        <v>38</v>
      </c>
      <c r="AC805">
        <v>25.058199999999999</v>
      </c>
      <c r="AD805">
        <v>-1.159254</v>
      </c>
      <c r="AE805">
        <v>-1.8801000000000201</v>
      </c>
      <c r="AF805">
        <v>2.3732909072646802</v>
      </c>
      <c r="AG805">
        <v>-1.159254</v>
      </c>
      <c r="AH805">
        <v>24.962701572032699</v>
      </c>
      <c r="AI805">
        <v>92.646955021739899</v>
      </c>
      <c r="AJ805">
        <v>84.569015095832597</v>
      </c>
      <c r="AK805">
        <v>25.102048708051399</v>
      </c>
      <c r="AL805">
        <v>86.360502673607996</v>
      </c>
      <c r="AM805">
        <v>86.427007705404506</v>
      </c>
      <c r="AN805">
        <v>0.99999995817036103</v>
      </c>
    </row>
    <row r="806" spans="1:40" x14ac:dyDescent="0.25">
      <c r="A806" t="str">
        <f>"20190312151001904"</f>
        <v>20190312151001904</v>
      </c>
      <c r="B806" t="str">
        <f>"1552374601891729"</f>
        <v>1552374601891729</v>
      </c>
      <c r="C806" t="s">
        <v>40</v>
      </c>
      <c r="D806">
        <v>5.3047139999999997</v>
      </c>
      <c r="E806">
        <v>0.51173780000000002</v>
      </c>
      <c r="F806" t="s">
        <v>43</v>
      </c>
      <c r="G806">
        <v>-295.32299999999998</v>
      </c>
      <c r="H806">
        <v>-0.05</v>
      </c>
      <c r="I806">
        <v>365.95580000000001</v>
      </c>
      <c r="J806">
        <v>-320.0557</v>
      </c>
      <c r="K806">
        <v>1.1090799999999901</v>
      </c>
      <c r="L806">
        <v>367.80950000000001</v>
      </c>
      <c r="M806">
        <v>0.99975219999999998</v>
      </c>
      <c r="N806">
        <v>0</v>
      </c>
      <c r="O806">
        <v>1.996585E-2</v>
      </c>
      <c r="P806">
        <v>0.99767030000000001</v>
      </c>
      <c r="Q806">
        <v>5.3585920000000002E-2</v>
      </c>
      <c r="R806">
        <v>-4.2221719999999997E-2</v>
      </c>
      <c r="S806">
        <v>3.005096</v>
      </c>
      <c r="T806">
        <v>-0.13979759999999999</v>
      </c>
      <c r="U806">
        <v>-0.22308349999999999</v>
      </c>
      <c r="V806">
        <v>6.2115799999999999E-2</v>
      </c>
      <c r="W806">
        <v>6.3410449999999993E-2</v>
      </c>
      <c r="X806">
        <v>0.99605259999999995</v>
      </c>
      <c r="Y806">
        <v>9.3806189999999998E-2</v>
      </c>
      <c r="Z806">
        <v>-3.104978E-3</v>
      </c>
      <c r="AA806">
        <v>0.99558559999999996</v>
      </c>
      <c r="AB806">
        <v>38</v>
      </c>
      <c r="AC806">
        <v>24.732700000000001</v>
      </c>
      <c r="AD806">
        <v>-1.1590800000000001</v>
      </c>
      <c r="AE806">
        <v>-1.8536999999999999</v>
      </c>
      <c r="AF806">
        <v>2.3420487432897898</v>
      </c>
      <c r="AG806">
        <v>-1.1590800000000001</v>
      </c>
      <c r="AH806">
        <v>24.636949985080701</v>
      </c>
      <c r="AI806">
        <v>92.6815033193202</v>
      </c>
      <c r="AJ806">
        <v>84.569641595443599</v>
      </c>
      <c r="AK806">
        <v>24.775148099047001</v>
      </c>
      <c r="AL806">
        <v>86.364409747049805</v>
      </c>
      <c r="AM806">
        <v>86.431543591786806</v>
      </c>
      <c r="AN806">
        <v>1.0000000198728001</v>
      </c>
    </row>
    <row r="807" spans="1:40" x14ac:dyDescent="0.25">
      <c r="A807" t="str">
        <f>"20190312151001916"</f>
        <v>20190312151001916</v>
      </c>
      <c r="B807" t="str">
        <f>"1552374601911249"</f>
        <v>1552374601911249</v>
      </c>
      <c r="C807" t="s">
        <v>40</v>
      </c>
      <c r="D807">
        <v>5.2284579999999998</v>
      </c>
      <c r="E807">
        <v>0.51172600000000001</v>
      </c>
      <c r="F807" t="s">
        <v>43</v>
      </c>
      <c r="G807">
        <v>-295.76280000000003</v>
      </c>
      <c r="H807">
        <v>-0.05</v>
      </c>
      <c r="I807">
        <v>366.01900000000001</v>
      </c>
      <c r="J807">
        <v>-319.84780000000001</v>
      </c>
      <c r="K807">
        <v>1.1088480000000001</v>
      </c>
      <c r="L807">
        <v>367.81369999999998</v>
      </c>
      <c r="M807">
        <v>0.99974819999999998</v>
      </c>
      <c r="N807">
        <v>0</v>
      </c>
      <c r="O807">
        <v>2.0041219999999998E-2</v>
      </c>
      <c r="P807">
        <v>0.99766940000000004</v>
      </c>
      <c r="Q807">
        <v>5.3844410000000002E-2</v>
      </c>
      <c r="R807">
        <v>-4.1910889999999999E-2</v>
      </c>
      <c r="S807">
        <v>3.0053709999999998</v>
      </c>
      <c r="T807">
        <v>-0.14339470000000001</v>
      </c>
      <c r="U807">
        <v>-0.22149659999999999</v>
      </c>
      <c r="V807">
        <v>6.1880009999999999E-2</v>
      </c>
      <c r="W807">
        <v>6.3915819999999998E-2</v>
      </c>
      <c r="X807">
        <v>0.996035</v>
      </c>
      <c r="Y807">
        <v>9.3345810000000001E-2</v>
      </c>
      <c r="Z807">
        <v>-3.177184E-3</v>
      </c>
      <c r="AA807">
        <v>0.99562870000000003</v>
      </c>
      <c r="AB807">
        <v>38</v>
      </c>
      <c r="AC807">
        <v>24.084999999999901</v>
      </c>
      <c r="AD807">
        <v>-1.1588479999999901</v>
      </c>
      <c r="AE807">
        <v>-1.79469999999997</v>
      </c>
      <c r="AF807">
        <v>2.27182653976495</v>
      </c>
      <c r="AG807">
        <v>-1.1588479999999901</v>
      </c>
      <c r="AH807">
        <v>23.988963437850799</v>
      </c>
      <c r="AI807">
        <v>92.753368249323103</v>
      </c>
      <c r="AJ807">
        <v>84.590053242216101</v>
      </c>
      <c r="AK807">
        <v>24.124147473774698</v>
      </c>
      <c r="AL807">
        <v>86.3353954120727</v>
      </c>
      <c r="AM807">
        <v>86.444991903296398</v>
      </c>
      <c r="AN807">
        <v>1.0000000444544299</v>
      </c>
    </row>
    <row r="808" spans="1:40" x14ac:dyDescent="0.25">
      <c r="A808" t="str">
        <f>"20190312151001927"</f>
        <v>20190312151001927</v>
      </c>
      <c r="B808" t="str">
        <f>"1552374601921985"</f>
        <v>1552374601921985</v>
      </c>
      <c r="C808" t="s">
        <v>40</v>
      </c>
      <c r="D808">
        <v>5.2214019999999897</v>
      </c>
      <c r="E808">
        <v>0.51170609999999905</v>
      </c>
      <c r="F808" t="s">
        <v>43</v>
      </c>
      <c r="G808">
        <v>-295.85550000000001</v>
      </c>
      <c r="H808">
        <v>-0.05</v>
      </c>
      <c r="I808">
        <v>366.05149999999998</v>
      </c>
      <c r="J808">
        <v>-319.64330000000001</v>
      </c>
      <c r="K808">
        <v>1.108525</v>
      </c>
      <c r="L808">
        <v>367.81779999999998</v>
      </c>
      <c r="M808">
        <v>0.99974269999999998</v>
      </c>
      <c r="N808">
        <v>0</v>
      </c>
      <c r="O808">
        <v>2.0112809999999998E-2</v>
      </c>
      <c r="P808">
        <v>0.99770449999999999</v>
      </c>
      <c r="Q808">
        <v>5.3291320000000003E-2</v>
      </c>
      <c r="R808">
        <v>-4.1783430000000003E-2</v>
      </c>
      <c r="S808">
        <v>3.005646</v>
      </c>
      <c r="T808">
        <v>-0.14517529999999901</v>
      </c>
      <c r="U808">
        <v>-0.22076419999999999</v>
      </c>
      <c r="V808">
        <v>6.1824469999999999E-2</v>
      </c>
      <c r="W808">
        <v>6.3760230000000001E-2</v>
      </c>
      <c r="X808">
        <v>0.99604839999999994</v>
      </c>
      <c r="Y808">
        <v>9.3166170000000006E-2</v>
      </c>
      <c r="Z808">
        <v>-3.215454E-3</v>
      </c>
      <c r="AA808">
        <v>0.99564540000000001</v>
      </c>
      <c r="AB808">
        <v>38</v>
      </c>
      <c r="AC808">
        <v>23.787800000000001</v>
      </c>
      <c r="AD808">
        <v>-1.158525</v>
      </c>
      <c r="AE808">
        <v>-1.7663</v>
      </c>
      <c r="AF808">
        <v>2.2391265535227398</v>
      </c>
      <c r="AG808">
        <v>-1.158525</v>
      </c>
      <c r="AH808">
        <v>23.6915737126583</v>
      </c>
      <c r="AI808">
        <v>92.787149996196703</v>
      </c>
      <c r="AJ808">
        <v>84.600926500256307</v>
      </c>
      <c r="AK808">
        <v>23.825333846152901</v>
      </c>
      <c r="AL808">
        <v>86.344328206226905</v>
      </c>
      <c r="AM808">
        <v>86.4482221667201</v>
      </c>
      <c r="AN808">
        <v>1.0000000235814901</v>
      </c>
    </row>
    <row r="809" spans="1:40" x14ac:dyDescent="0.25">
      <c r="A809" t="str">
        <f>"20190312151001940"</f>
        <v>20190312151001940</v>
      </c>
      <c r="B809" t="str">
        <f>"1552374601931745"</f>
        <v>1552374601931745</v>
      </c>
      <c r="C809" t="s">
        <v>40</v>
      </c>
      <c r="D809">
        <v>5.2370999999999999</v>
      </c>
      <c r="E809">
        <v>0.51163769999999997</v>
      </c>
      <c r="F809" t="s">
        <v>43</v>
      </c>
      <c r="G809">
        <v>-296.16210000000001</v>
      </c>
      <c r="H809">
        <v>-0.05</v>
      </c>
      <c r="I809">
        <v>366.09930000000003</v>
      </c>
      <c r="J809">
        <v>-319.44049999999999</v>
      </c>
      <c r="K809">
        <v>1.1081669999999999</v>
      </c>
      <c r="L809">
        <v>367.82190000000003</v>
      </c>
      <c r="M809">
        <v>0.99973650000000003</v>
      </c>
      <c r="N809">
        <v>0</v>
      </c>
      <c r="O809">
        <v>2.017979E-2</v>
      </c>
      <c r="P809">
        <v>0.99773869999999998</v>
      </c>
      <c r="Q809">
        <v>5.259167E-2</v>
      </c>
      <c r="R809">
        <v>-4.1855499999999997E-2</v>
      </c>
      <c r="S809">
        <v>3.005585</v>
      </c>
      <c r="T809">
        <v>-0.1482908</v>
      </c>
      <c r="U809">
        <v>-0.21997069999999999</v>
      </c>
      <c r="V809">
        <v>6.1963799999999999E-2</v>
      </c>
      <c r="W809">
        <v>6.3515630000000003E-2</v>
      </c>
      <c r="X809">
        <v>0.99605540000000004</v>
      </c>
      <c r="Y809">
        <v>9.2967460000000002E-2</v>
      </c>
      <c r="Z809">
        <v>-3.2828829999999999E-3</v>
      </c>
      <c r="AA809">
        <v>0.99566379999999999</v>
      </c>
      <c r="AB809">
        <v>38</v>
      </c>
      <c r="AC809">
        <v>23.278399999999898</v>
      </c>
      <c r="AD809">
        <v>-1.1581669999999999</v>
      </c>
      <c r="AE809">
        <v>-1.7225999999999999</v>
      </c>
      <c r="AF809">
        <v>2.1866472899953999</v>
      </c>
      <c r="AG809">
        <v>-1.1581669999999999</v>
      </c>
      <c r="AH809">
        <v>23.181824855012799</v>
      </c>
      <c r="AI809">
        <v>92.847507887412704</v>
      </c>
      <c r="AJ809">
        <v>84.611465602362102</v>
      </c>
      <c r="AK809">
        <v>23.313510691854699</v>
      </c>
      <c r="AL809">
        <v>86.358371328299498</v>
      </c>
      <c r="AM809">
        <v>86.440263256018795</v>
      </c>
      <c r="AN809">
        <v>1.00000005381694</v>
      </c>
    </row>
    <row r="810" spans="1:40" x14ac:dyDescent="0.25">
      <c r="A810" t="str">
        <f>"20190312151001952"</f>
        <v>20190312151001952</v>
      </c>
      <c r="B810" t="str">
        <f>"1552374601941506"</f>
        <v>1552374601941506</v>
      </c>
      <c r="C810" t="s">
        <v>40</v>
      </c>
      <c r="D810">
        <v>5.2104900000000001</v>
      </c>
      <c r="E810">
        <v>0.5115558</v>
      </c>
      <c r="F810" t="s">
        <v>43</v>
      </c>
      <c r="G810">
        <v>-296.36930000000001</v>
      </c>
      <c r="H810">
        <v>-0.05</v>
      </c>
      <c r="I810">
        <v>366.13670000000002</v>
      </c>
      <c r="J810">
        <v>-319.23239999999998</v>
      </c>
      <c r="K810">
        <v>1.107699</v>
      </c>
      <c r="L810">
        <v>367.82619999999997</v>
      </c>
      <c r="M810">
        <v>0.99972839999999996</v>
      </c>
      <c r="N810">
        <v>0</v>
      </c>
      <c r="O810">
        <v>2.023552E-2</v>
      </c>
      <c r="P810">
        <v>0.99778750000000005</v>
      </c>
      <c r="Q810">
        <v>5.190562E-2</v>
      </c>
      <c r="R810">
        <v>-4.1544619999999997E-2</v>
      </c>
      <c r="S810">
        <v>3.0055540000000001</v>
      </c>
      <c r="T810">
        <v>-0.15087779999999901</v>
      </c>
      <c r="U810">
        <v>-0.2195435</v>
      </c>
      <c r="V810">
        <v>6.1709050000000001E-2</v>
      </c>
      <c r="W810">
        <v>6.3446150000000007E-2</v>
      </c>
      <c r="X810">
        <v>0.99607559999999995</v>
      </c>
      <c r="Y810">
        <v>9.2878269999999999E-2</v>
      </c>
      <c r="Z810">
        <v>-3.3407010000000002E-3</v>
      </c>
      <c r="AA810">
        <v>0.99567190000000005</v>
      </c>
      <c r="AB810">
        <v>38</v>
      </c>
      <c r="AC810">
        <v>22.8630999999999</v>
      </c>
      <c r="AD810">
        <v>-1.157699</v>
      </c>
      <c r="AE810">
        <v>-1.68949999999995</v>
      </c>
      <c r="AF810">
        <v>2.1463582372024201</v>
      </c>
      <c r="AG810">
        <v>-1.157699</v>
      </c>
      <c r="AH810">
        <v>22.766171898060499</v>
      </c>
      <c r="AI810">
        <v>92.898251534670493</v>
      </c>
      <c r="AJ810">
        <v>84.614165173560195</v>
      </c>
      <c r="AK810">
        <v>22.896412460231598</v>
      </c>
      <c r="AL810">
        <v>86.362360127876201</v>
      </c>
      <c r="AM810">
        <v>86.4549326095444</v>
      </c>
      <c r="AN810">
        <v>1.0000000108585401</v>
      </c>
    </row>
    <row r="811" spans="1:40" x14ac:dyDescent="0.25">
      <c r="A811" t="str">
        <f>"20190312151001963"</f>
        <v>20190312151001963</v>
      </c>
      <c r="B811" t="str">
        <f>"1552374601951265"</f>
        <v>1552374601951265</v>
      </c>
      <c r="C811" t="s">
        <v>40</v>
      </c>
      <c r="D811">
        <v>5.2400769999999897</v>
      </c>
      <c r="E811">
        <v>0.51152209999999998</v>
      </c>
      <c r="F811" t="s">
        <v>43</v>
      </c>
      <c r="G811">
        <v>-296.50869999999998</v>
      </c>
      <c r="H811">
        <v>-0.05</v>
      </c>
      <c r="I811">
        <v>366.17919999999998</v>
      </c>
      <c r="J811">
        <v>-319.04919999999998</v>
      </c>
      <c r="K811">
        <v>1.1072519999999999</v>
      </c>
      <c r="L811">
        <v>367.82990000000001</v>
      </c>
      <c r="M811">
        <v>0.99971929999999998</v>
      </c>
      <c r="N811">
        <v>0</v>
      </c>
      <c r="O811">
        <v>2.027899E-2</v>
      </c>
      <c r="P811">
        <v>0.99784280000000003</v>
      </c>
      <c r="Q811">
        <v>5.0844750000000001E-2</v>
      </c>
      <c r="R811">
        <v>-4.152571E-2</v>
      </c>
      <c r="S811">
        <v>3.0055540000000001</v>
      </c>
      <c r="T811">
        <v>-0.15312339999999999</v>
      </c>
      <c r="U811">
        <v>-0.21783449999999999</v>
      </c>
      <c r="V811">
        <v>6.173472E-2</v>
      </c>
      <c r="W811">
        <v>6.3068760000000001E-2</v>
      </c>
      <c r="X811">
        <v>0.99609800000000004</v>
      </c>
      <c r="Y811">
        <v>9.2354919999999993E-2</v>
      </c>
      <c r="Z811">
        <v>-3.3793400000000002E-3</v>
      </c>
      <c r="AA811">
        <v>0.99572039999999995</v>
      </c>
      <c r="AB811">
        <v>38</v>
      </c>
      <c r="AC811">
        <v>22.540500000000002</v>
      </c>
      <c r="AD811">
        <v>-1.1572519999999999</v>
      </c>
      <c r="AE811">
        <v>-1.65070000000002</v>
      </c>
      <c r="AF811">
        <v>2.1019823213130699</v>
      </c>
      <c r="AG811">
        <v>-1.1572519999999999</v>
      </c>
      <c r="AH811">
        <v>22.443543698015699</v>
      </c>
      <c r="AI811">
        <v>92.938878462862107</v>
      </c>
      <c r="AJ811">
        <v>84.649489100959997</v>
      </c>
      <c r="AK811">
        <v>22.5714469096546</v>
      </c>
      <c r="AL811">
        <v>86.384026461206702</v>
      </c>
      <c r="AM811">
        <v>86.453541230190993</v>
      </c>
      <c r="AN811">
        <v>1.0000000348727001</v>
      </c>
    </row>
    <row r="812" spans="1:40" x14ac:dyDescent="0.25">
      <c r="A812" t="str">
        <f>"20190312151001974"</f>
        <v>20190312151001974</v>
      </c>
      <c r="B812" t="str">
        <f>"1552374601971761"</f>
        <v>1552374601971761</v>
      </c>
      <c r="C812" t="s">
        <v>40</v>
      </c>
      <c r="D812">
        <v>5.359362</v>
      </c>
      <c r="E812">
        <v>0.51146229999999904</v>
      </c>
      <c r="F812" t="s">
        <v>43</v>
      </c>
      <c r="G812">
        <v>-296.88279999999997</v>
      </c>
      <c r="H812">
        <v>-0.05</v>
      </c>
      <c r="I812">
        <v>366.22570000000002</v>
      </c>
      <c r="J812">
        <v>-318.84649999999999</v>
      </c>
      <c r="K812">
        <v>1.1067089999999999</v>
      </c>
      <c r="L812">
        <v>367.83409999999998</v>
      </c>
      <c r="M812">
        <v>0.99970700000000001</v>
      </c>
      <c r="N812">
        <v>0</v>
      </c>
      <c r="O812">
        <v>2.0320979999999999E-2</v>
      </c>
      <c r="P812">
        <v>0.99790469999999998</v>
      </c>
      <c r="Q812">
        <v>4.9929010000000003E-2</v>
      </c>
      <c r="R812">
        <v>-4.1151939999999998E-2</v>
      </c>
      <c r="S812">
        <v>3.0054020000000001</v>
      </c>
      <c r="T812">
        <v>-0.1569045</v>
      </c>
      <c r="U812">
        <v>-0.21749879999999999</v>
      </c>
      <c r="V812">
        <v>6.1404309999999997E-2</v>
      </c>
      <c r="W812">
        <v>6.3057360000000007E-2</v>
      </c>
      <c r="X812">
        <v>0.99611910000000004</v>
      </c>
      <c r="Y812">
        <v>9.2282710000000004E-2</v>
      </c>
      <c r="Z812">
        <v>-3.463182E-3</v>
      </c>
      <c r="AA812">
        <v>0.99572680000000002</v>
      </c>
      <c r="AB812">
        <v>38</v>
      </c>
      <c r="AC812">
        <v>21.963699999999999</v>
      </c>
      <c r="AD812">
        <v>-1.156709</v>
      </c>
      <c r="AE812">
        <v>-1.6083999999999601</v>
      </c>
      <c r="AF812">
        <v>2.04877823943895</v>
      </c>
      <c r="AG812">
        <v>-1.156709</v>
      </c>
      <c r="AH812">
        <v>21.866153238240301</v>
      </c>
      <c r="AI812">
        <v>93.014916207163793</v>
      </c>
      <c r="AJ812">
        <v>84.647223427718799</v>
      </c>
      <c r="AK812">
        <v>21.992365162103098</v>
      </c>
      <c r="AL812">
        <v>86.384680775720199</v>
      </c>
      <c r="AM812">
        <v>86.472548684734505</v>
      </c>
      <c r="AN812">
        <v>0.99999999066077705</v>
      </c>
    </row>
    <row r="813" spans="1:40" x14ac:dyDescent="0.25">
      <c r="A813" t="str">
        <f>"20190312151001994"</f>
        <v>20190312151001994</v>
      </c>
      <c r="B813" t="str">
        <f>"1552374601981522"</f>
        <v>1552374601981522</v>
      </c>
      <c r="C813" t="s">
        <v>40</v>
      </c>
      <c r="D813">
        <v>5.2439239999999998</v>
      </c>
      <c r="E813">
        <v>0.51144990000000001</v>
      </c>
      <c r="F813" t="s">
        <v>43</v>
      </c>
      <c r="G813">
        <v>-296.791</v>
      </c>
      <c r="H813">
        <v>-0.05</v>
      </c>
      <c r="I813">
        <v>366.24880000000002</v>
      </c>
      <c r="J813">
        <v>-318.5412</v>
      </c>
      <c r="K813">
        <v>1.105701</v>
      </c>
      <c r="L813">
        <v>367.84019999999998</v>
      </c>
      <c r="M813">
        <v>0.99967779999999995</v>
      </c>
      <c r="N813">
        <v>0</v>
      </c>
      <c r="O813">
        <v>2.0736879999999999E-2</v>
      </c>
      <c r="P813">
        <v>0.9980367</v>
      </c>
      <c r="Q813">
        <v>4.8032539999999999E-2</v>
      </c>
      <c r="R813">
        <v>-4.0195109999999999E-2</v>
      </c>
      <c r="S813">
        <v>3.0052490000000001</v>
      </c>
      <c r="T813">
        <v>-0.1576111</v>
      </c>
      <c r="U813">
        <v>-0.21600340000000001</v>
      </c>
      <c r="V813">
        <v>6.0871139999999997E-2</v>
      </c>
      <c r="W813">
        <v>6.262761E-2</v>
      </c>
      <c r="X813">
        <v>0.99617889999999998</v>
      </c>
      <c r="Y813">
        <v>9.2206280000000002E-2</v>
      </c>
      <c r="Z813">
        <v>-3.498793E-3</v>
      </c>
      <c r="AA813">
        <v>0.9957338</v>
      </c>
      <c r="AB813">
        <v>38</v>
      </c>
      <c r="AC813">
        <v>21.7502</v>
      </c>
      <c r="AD813">
        <v>-1.1557010000000001</v>
      </c>
      <c r="AE813">
        <v>-1.59139999999996</v>
      </c>
      <c r="AF813">
        <v>2.0364184396352698</v>
      </c>
      <c r="AG813">
        <v>-1.1557010000000001</v>
      </c>
      <c r="AH813">
        <v>21.651712982565201</v>
      </c>
      <c r="AI813">
        <v>93.0419710614472</v>
      </c>
      <c r="AJ813">
        <v>84.626940163554195</v>
      </c>
      <c r="AK813">
        <v>21.777954907246698</v>
      </c>
      <c r="AL813">
        <v>86.409352280923997</v>
      </c>
      <c r="AM813">
        <v>86.503310397063103</v>
      </c>
      <c r="AN813">
        <v>0.99999995701220901</v>
      </c>
    </row>
    <row r="814" spans="1:40" x14ac:dyDescent="0.25">
      <c r="A814" t="str">
        <f>"20190312151002007"</f>
        <v>20190312151002007</v>
      </c>
      <c r="B814" t="str">
        <f>"1552374602002018"</f>
        <v>1552374602002018</v>
      </c>
      <c r="C814" t="s">
        <v>40</v>
      </c>
      <c r="D814">
        <v>5.262359</v>
      </c>
      <c r="E814">
        <v>0.51139120000000005</v>
      </c>
      <c r="F814" t="s">
        <v>43</v>
      </c>
      <c r="G814">
        <v>-296.94479999999999</v>
      </c>
      <c r="H814">
        <v>-0.05</v>
      </c>
      <c r="I814">
        <v>366.30939999999998</v>
      </c>
      <c r="J814">
        <v>-318.3193</v>
      </c>
      <c r="K814">
        <v>1.1048720000000001</v>
      </c>
      <c r="L814">
        <v>367.84480000000002</v>
      </c>
      <c r="M814">
        <v>0.99965789999999999</v>
      </c>
      <c r="N814">
        <v>0</v>
      </c>
      <c r="O814">
        <v>2.0989440000000002E-2</v>
      </c>
      <c r="P814">
        <v>0.99812540000000005</v>
      </c>
      <c r="Q814">
        <v>4.6727009999999999E-2</v>
      </c>
      <c r="R814">
        <v>-3.952949E-2</v>
      </c>
      <c r="S814">
        <v>3.0050659999999998</v>
      </c>
      <c r="T814">
        <v>-0.1608117</v>
      </c>
      <c r="U814">
        <v>-0.2130127</v>
      </c>
      <c r="V814">
        <v>6.0458629999999999E-2</v>
      </c>
      <c r="W814">
        <v>6.2307340000000003E-2</v>
      </c>
      <c r="X814">
        <v>0.9962242</v>
      </c>
      <c r="Y814">
        <v>9.1470839999999998E-2</v>
      </c>
      <c r="Z814">
        <v>-3.5639510000000001E-3</v>
      </c>
      <c r="AA814">
        <v>0.99580139999999995</v>
      </c>
      <c r="AB814">
        <v>38</v>
      </c>
      <c r="AC814">
        <v>21.374500000000001</v>
      </c>
      <c r="AD814">
        <v>-1.1548719999999999</v>
      </c>
      <c r="AE814">
        <v>-1.5354000000000301</v>
      </c>
      <c r="AF814">
        <v>1.97801036445698</v>
      </c>
      <c r="AG814">
        <v>-1.1548719999999999</v>
      </c>
      <c r="AH814">
        <v>21.2757678010604</v>
      </c>
      <c r="AI814">
        <v>93.093713249419594</v>
      </c>
      <c r="AJ814">
        <v>84.688473541364303</v>
      </c>
      <c r="AK814">
        <v>21.398704396830201</v>
      </c>
      <c r="AL814">
        <v>86.427738654539098</v>
      </c>
      <c r="AM814">
        <v>86.527106013983001</v>
      </c>
      <c r="AN814">
        <v>1.00000005361249</v>
      </c>
    </row>
    <row r="815" spans="1:40" x14ac:dyDescent="0.25">
      <c r="A815" t="str">
        <f>"20190312151002027"</f>
        <v>20190312151002027</v>
      </c>
      <c r="B815" t="str">
        <f>"1552374602021538"</f>
        <v>1552374602021538</v>
      </c>
      <c r="C815" t="s">
        <v>40</v>
      </c>
      <c r="D815">
        <v>5.2330480000000001</v>
      </c>
      <c r="E815">
        <v>0.51135269999999999</v>
      </c>
      <c r="F815" t="s">
        <v>43</v>
      </c>
      <c r="G815">
        <v>-296.62119999999999</v>
      </c>
      <c r="H815">
        <v>-0.05</v>
      </c>
      <c r="I815">
        <v>366.32389999999998</v>
      </c>
      <c r="J815">
        <v>-317.98059999999998</v>
      </c>
      <c r="K815">
        <v>1.103478</v>
      </c>
      <c r="L815">
        <v>367.85169999999999</v>
      </c>
      <c r="M815">
        <v>0.99963250000000003</v>
      </c>
      <c r="N815">
        <v>0</v>
      </c>
      <c r="O815">
        <v>2.1165920000000001E-2</v>
      </c>
      <c r="P815">
        <v>0.99821599999999999</v>
      </c>
      <c r="Q815">
        <v>4.5170149999999999E-2</v>
      </c>
      <c r="R815">
        <v>-3.904821E-2</v>
      </c>
      <c r="S815">
        <v>3.0047609999999998</v>
      </c>
      <c r="T815">
        <v>-0.15992700000000001</v>
      </c>
      <c r="U815">
        <v>-0.21060180000000001</v>
      </c>
      <c r="V815">
        <v>6.014299E-2</v>
      </c>
      <c r="W815">
        <v>6.2082230000000002E-2</v>
      </c>
      <c r="X815">
        <v>0.99625730000000001</v>
      </c>
      <c r="Y815">
        <v>9.0861479999999994E-2</v>
      </c>
      <c r="Z815">
        <v>-3.538046E-3</v>
      </c>
      <c r="AA815">
        <v>0.9958572</v>
      </c>
      <c r="AB815">
        <v>38</v>
      </c>
      <c r="AC815">
        <v>21.359399999999901</v>
      </c>
      <c r="AD815">
        <v>-1.153478</v>
      </c>
      <c r="AE815">
        <v>-1.52780000000001</v>
      </c>
      <c r="AF815">
        <v>1.9738865965171699</v>
      </c>
      <c r="AG815">
        <v>-1.153478</v>
      </c>
      <c r="AH815">
        <v>21.260583876019801</v>
      </c>
      <c r="AI815">
        <v>93.092224987135793</v>
      </c>
      <c r="AJ815">
        <v>84.695719957585098</v>
      </c>
      <c r="AK815">
        <v>21.383151464217502</v>
      </c>
      <c r="AL815">
        <v>86.440661316783405</v>
      </c>
      <c r="AM815">
        <v>86.545307635298002</v>
      </c>
      <c r="AN815">
        <v>0.99999999516560101</v>
      </c>
    </row>
    <row r="816" spans="1:40" x14ac:dyDescent="0.25">
      <c r="A816" t="str">
        <f>"20190312151002048"</f>
        <v>20190312151002048</v>
      </c>
      <c r="B816" t="str">
        <f>"1552374602042033"</f>
        <v>1552374602042033</v>
      </c>
      <c r="C816" t="s">
        <v>40</v>
      </c>
      <c r="D816">
        <v>5.2355039999999997</v>
      </c>
      <c r="E816">
        <v>0.51132159999999904</v>
      </c>
      <c r="F816" t="s">
        <v>43</v>
      </c>
      <c r="G816">
        <v>-296.38409999999999</v>
      </c>
      <c r="H816">
        <v>-0.05</v>
      </c>
      <c r="I816">
        <v>366.34989999999999</v>
      </c>
      <c r="J816">
        <v>-317.6003</v>
      </c>
      <c r="K816">
        <v>1.1016870000000001</v>
      </c>
      <c r="L816">
        <v>367.85939999999999</v>
      </c>
      <c r="M816">
        <v>0.999614</v>
      </c>
      <c r="N816">
        <v>0</v>
      </c>
      <c r="O816">
        <v>2.1041770000000001E-2</v>
      </c>
      <c r="P816">
        <v>0.99832180000000004</v>
      </c>
      <c r="Q816">
        <v>4.3390430000000001E-2</v>
      </c>
      <c r="R816">
        <v>-3.8356000000000001E-2</v>
      </c>
      <c r="S816">
        <v>3.0044559999999998</v>
      </c>
      <c r="T816">
        <v>-0.16046920000000001</v>
      </c>
      <c r="U816">
        <v>-0.20892330000000001</v>
      </c>
      <c r="V816">
        <v>5.9305789999999997E-2</v>
      </c>
      <c r="W816">
        <v>6.1532049999999998E-2</v>
      </c>
      <c r="X816">
        <v>0.99634160000000005</v>
      </c>
      <c r="Y816">
        <v>9.0191649999999998E-2</v>
      </c>
      <c r="Z816">
        <v>-3.5259990000000001E-3</v>
      </c>
      <c r="AA816">
        <v>0.99591819999999998</v>
      </c>
      <c r="AB816">
        <v>38</v>
      </c>
      <c r="AC816">
        <v>21.216200000000001</v>
      </c>
      <c r="AD816">
        <v>-1.1516869999999999</v>
      </c>
      <c r="AE816">
        <v>-1.5095000000000001</v>
      </c>
      <c r="AF816">
        <v>1.9499486151809999</v>
      </c>
      <c r="AG816">
        <v>-1.1516869999999999</v>
      </c>
      <c r="AH816">
        <v>21.1178192056102</v>
      </c>
      <c r="AI816">
        <v>93.108408532150406</v>
      </c>
      <c r="AJ816">
        <v>84.724459087579703</v>
      </c>
      <c r="AK816">
        <v>21.238902291518102</v>
      </c>
      <c r="AL816">
        <v>86.472244628694099</v>
      </c>
      <c r="AM816">
        <v>86.593571007383304</v>
      </c>
      <c r="AN816">
        <v>0.99999997689764297</v>
      </c>
    </row>
    <row r="817" spans="1:40" x14ac:dyDescent="0.25">
      <c r="A817" t="str">
        <f>"20190312151002060"</f>
        <v>20190312151002060</v>
      </c>
      <c r="B817" t="str">
        <f>"1552374602051793"</f>
        <v>1552374602051793</v>
      </c>
      <c r="C817" t="s">
        <v>40</v>
      </c>
      <c r="D817">
        <v>5.2720630000000002</v>
      </c>
      <c r="E817">
        <v>0.5113993</v>
      </c>
      <c r="F817" t="s">
        <v>43</v>
      </c>
      <c r="G817">
        <v>-296.18920000000003</v>
      </c>
      <c r="H817">
        <v>-0.05</v>
      </c>
      <c r="I817">
        <v>366.38749999999999</v>
      </c>
      <c r="J817">
        <v>-317.39949999999999</v>
      </c>
      <c r="K817">
        <v>1.1006450000000001</v>
      </c>
      <c r="L817">
        <v>367.86349999999999</v>
      </c>
      <c r="M817">
        <v>0.99960660000000001</v>
      </c>
      <c r="N817">
        <v>0</v>
      </c>
      <c r="O817">
        <v>2.090912E-2</v>
      </c>
      <c r="P817">
        <v>0.99835910000000005</v>
      </c>
      <c r="Q817">
        <v>4.251311E-2</v>
      </c>
      <c r="R817">
        <v>-3.8364429999999998E-2</v>
      </c>
      <c r="S817">
        <v>3.0041199999999999</v>
      </c>
      <c r="T817">
        <v>-0.1615895</v>
      </c>
      <c r="U817">
        <v>-0.20651249999999999</v>
      </c>
      <c r="V817">
        <v>5.917116E-2</v>
      </c>
      <c r="W817">
        <v>6.1214129999999999E-2</v>
      </c>
      <c r="X817">
        <v>0.99636919999999995</v>
      </c>
      <c r="Y817">
        <v>8.9271199999999995E-2</v>
      </c>
      <c r="Z817">
        <v>-3.5192510000000001E-3</v>
      </c>
      <c r="AA817">
        <v>0.99600109999999997</v>
      </c>
      <c r="AB817">
        <v>38</v>
      </c>
      <c r="AC817">
        <v>21.210299999999901</v>
      </c>
      <c r="AD817">
        <v>-1.1506449999999999</v>
      </c>
      <c r="AE817">
        <v>-1.47599999999999</v>
      </c>
      <c r="AF817">
        <v>1.9136387401181101</v>
      </c>
      <c r="AG817">
        <v>-1.1506449999999999</v>
      </c>
      <c r="AH817">
        <v>21.112958316062102</v>
      </c>
      <c r="AI817">
        <v>93.106793083037999</v>
      </c>
      <c r="AJ817">
        <v>84.820969993628097</v>
      </c>
      <c r="AK817">
        <v>21.230709031953701</v>
      </c>
      <c r="AL817">
        <v>86.490494549924705</v>
      </c>
      <c r="AM817">
        <v>86.601379715484399</v>
      </c>
      <c r="AN817">
        <v>0.99999998929802103</v>
      </c>
    </row>
    <row r="818" spans="1:40" x14ac:dyDescent="0.25">
      <c r="A818" t="str">
        <f>"20190312151002072"</f>
        <v>20190312151002072</v>
      </c>
      <c r="B818" t="str">
        <f>"1552374602061553"</f>
        <v>1552374602061553</v>
      </c>
      <c r="C818" t="s">
        <v>40</v>
      </c>
      <c r="D818">
        <v>5.2411070000000004</v>
      </c>
      <c r="E818">
        <v>0.51139630000000003</v>
      </c>
      <c r="F818" t="s">
        <v>43</v>
      </c>
      <c r="G818">
        <v>-296.51389999999998</v>
      </c>
      <c r="H818">
        <v>-0.05</v>
      </c>
      <c r="I818">
        <v>366.4239</v>
      </c>
      <c r="J818">
        <v>-317.20659999999998</v>
      </c>
      <c r="K818">
        <v>1.0995360000000001</v>
      </c>
      <c r="L818">
        <v>367.86759999999998</v>
      </c>
      <c r="M818">
        <v>0.99960099999999996</v>
      </c>
      <c r="N818">
        <v>0</v>
      </c>
      <c r="O818">
        <v>2.076774E-2</v>
      </c>
      <c r="P818">
        <v>0.99838720000000003</v>
      </c>
      <c r="Q818">
        <v>4.1950199999999903E-2</v>
      </c>
      <c r="R818">
        <v>-3.8250329999999999E-2</v>
      </c>
      <c r="S818">
        <v>3.0040279999999999</v>
      </c>
      <c r="T818">
        <v>-0.16550019999999999</v>
      </c>
      <c r="U818">
        <v>-0.20706179999999999</v>
      </c>
      <c r="V818">
        <v>5.8909049999999998E-2</v>
      </c>
      <c r="W818">
        <v>6.1107990000000001E-2</v>
      </c>
      <c r="X818">
        <v>0.99639120000000003</v>
      </c>
      <c r="Y818">
        <v>8.9306239999999995E-2</v>
      </c>
      <c r="Z818">
        <v>-3.5975780000000001E-3</v>
      </c>
      <c r="AA818">
        <v>0.99599769999999999</v>
      </c>
      <c r="AB818">
        <v>38</v>
      </c>
      <c r="AC818">
        <v>20.692699999999999</v>
      </c>
      <c r="AD818">
        <v>-1.1495359999999999</v>
      </c>
      <c r="AE818">
        <v>-1.44369999999997</v>
      </c>
      <c r="AF818">
        <v>1.86747261227223</v>
      </c>
      <c r="AG818">
        <v>-1.1495359999999999</v>
      </c>
      <c r="AH818">
        <v>20.594997167047801</v>
      </c>
      <c r="AI818">
        <v>93.181695576884394</v>
      </c>
      <c r="AJ818">
        <v>84.818815236272698</v>
      </c>
      <c r="AK818">
        <v>20.711417027417198</v>
      </c>
      <c r="AL818">
        <v>86.496587167949698</v>
      </c>
      <c r="AM818">
        <v>86.616474035493994</v>
      </c>
      <c r="AN818">
        <v>0.99999994302558903</v>
      </c>
    </row>
    <row r="819" spans="1:40" x14ac:dyDescent="0.25">
      <c r="A819" t="str">
        <f>"20190312151002084"</f>
        <v>20190312151002084</v>
      </c>
      <c r="B819" t="str">
        <f>"1552374602071314"</f>
        <v>1552374602071314</v>
      </c>
      <c r="C819" t="s">
        <v>40</v>
      </c>
      <c r="D819">
        <v>5.2193379999999996</v>
      </c>
      <c r="E819">
        <v>0.51143720000000004</v>
      </c>
      <c r="F819" t="s">
        <v>43</v>
      </c>
      <c r="G819">
        <v>-296.6207</v>
      </c>
      <c r="H819">
        <v>-0.05</v>
      </c>
      <c r="I819">
        <v>366.45089999999999</v>
      </c>
      <c r="J819">
        <v>-317.01240000000001</v>
      </c>
      <c r="K819">
        <v>1.0983449999999999</v>
      </c>
      <c r="L819">
        <v>367.8716</v>
      </c>
      <c r="M819">
        <v>0.99959589999999998</v>
      </c>
      <c r="N819">
        <v>0</v>
      </c>
      <c r="O819">
        <v>2.0646919999999999E-2</v>
      </c>
      <c r="P819">
        <v>0.9983919</v>
      </c>
      <c r="Q819">
        <v>4.1698449999999998E-2</v>
      </c>
      <c r="R819">
        <v>-3.8406610000000001E-2</v>
      </c>
      <c r="S819">
        <v>3.0039669999999998</v>
      </c>
      <c r="T819">
        <v>-0.16774439999999999</v>
      </c>
      <c r="U819">
        <v>-0.2067261</v>
      </c>
      <c r="V819">
        <v>5.8939829999999999E-2</v>
      </c>
      <c r="W819">
        <v>6.1251729999999997E-2</v>
      </c>
      <c r="X819">
        <v>0.99638059999999995</v>
      </c>
      <c r="Y819">
        <v>8.9072609999999997E-2</v>
      </c>
      <c r="Z819">
        <v>-3.6331369999999998E-3</v>
      </c>
      <c r="AA819">
        <v>0.99601850000000003</v>
      </c>
      <c r="AB819">
        <v>38</v>
      </c>
      <c r="AC819">
        <v>20.3917</v>
      </c>
      <c r="AD819">
        <v>-1.1483449999999999</v>
      </c>
      <c r="AE819">
        <v>-1.4207000000000101</v>
      </c>
      <c r="AF819">
        <v>1.8357097436466201</v>
      </c>
      <c r="AG819">
        <v>-1.1483449999999999</v>
      </c>
      <c r="AH819">
        <v>20.293965301646502</v>
      </c>
      <c r="AI819">
        <v>93.225517784792899</v>
      </c>
      <c r="AJ819">
        <v>84.831322859896005</v>
      </c>
      <c r="AK819">
        <v>20.409153685696399</v>
      </c>
      <c r="AL819">
        <v>86.488336177446101</v>
      </c>
      <c r="AM819">
        <v>86.614674321791497</v>
      </c>
      <c r="AN819">
        <v>0.99999998902238996</v>
      </c>
    </row>
    <row r="820" spans="1:40" x14ac:dyDescent="0.25">
      <c r="A820" t="str">
        <f>"20190312151002095"</f>
        <v>20190312151002095</v>
      </c>
      <c r="B820" t="str">
        <f>"1552374602091810"</f>
        <v>1552374602091810</v>
      </c>
      <c r="C820" t="s">
        <v>40</v>
      </c>
      <c r="D820">
        <v>5.2367350000000004</v>
      </c>
      <c r="E820">
        <v>0.51152219999999904</v>
      </c>
      <c r="F820" t="s">
        <v>43</v>
      </c>
      <c r="G820">
        <v>-296.64789999999999</v>
      </c>
      <c r="H820">
        <v>-0.05</v>
      </c>
      <c r="I820">
        <v>366.46469999999999</v>
      </c>
      <c r="J820">
        <v>-316.81009999999998</v>
      </c>
      <c r="K820">
        <v>1.0970359999999999</v>
      </c>
      <c r="L820">
        <v>367.87569999999999</v>
      </c>
      <c r="M820">
        <v>0.99959120000000001</v>
      </c>
      <c r="N820">
        <v>0</v>
      </c>
      <c r="O820">
        <v>2.0541899999999998E-2</v>
      </c>
      <c r="P820">
        <v>0.99840130000000005</v>
      </c>
      <c r="Q820">
        <v>4.1275430000000002E-2</v>
      </c>
      <c r="R820">
        <v>-3.8620710000000003E-2</v>
      </c>
      <c r="S820">
        <v>3.0039370000000001</v>
      </c>
      <c r="T820">
        <v>-0.16939089999999901</v>
      </c>
      <c r="U820">
        <v>-0.2075195</v>
      </c>
      <c r="V820">
        <v>5.9047929999999998E-2</v>
      </c>
      <c r="W820">
        <v>6.1178429999999999E-2</v>
      </c>
      <c r="X820">
        <v>0.99637869999999995</v>
      </c>
      <c r="Y820">
        <v>8.9227210000000001E-2</v>
      </c>
      <c r="Z820">
        <v>-3.667193E-3</v>
      </c>
      <c r="AA820">
        <v>0.99600449999999996</v>
      </c>
      <c r="AB820">
        <v>38</v>
      </c>
      <c r="AC820">
        <v>20.162199999999899</v>
      </c>
      <c r="AD820">
        <v>-1.1470359999999999</v>
      </c>
      <c r="AE820">
        <v>-1.411</v>
      </c>
      <c r="AF820">
        <v>1.8190951228133301</v>
      </c>
      <c r="AG820">
        <v>-1.1470359999999999</v>
      </c>
      <c r="AH820">
        <v>20.064331480415198</v>
      </c>
      <c r="AI820">
        <v>93.258582898563205</v>
      </c>
      <c r="AJ820">
        <v>84.819548328113299</v>
      </c>
      <c r="AK820">
        <v>20.179251631493202</v>
      </c>
      <c r="AL820">
        <v>86.492543838852001</v>
      </c>
      <c r="AM820">
        <v>86.6084734123461</v>
      </c>
      <c r="AN820">
        <v>0.999999986074119</v>
      </c>
    </row>
    <row r="821" spans="1:40" x14ac:dyDescent="0.25">
      <c r="A821" t="str">
        <f>"20190312151002108"</f>
        <v>20190312151002108</v>
      </c>
      <c r="B821" t="str">
        <f>"1552374602101569"</f>
        <v>1552374602101569</v>
      </c>
      <c r="C821" t="s">
        <v>40</v>
      </c>
      <c r="D821">
        <v>5.5375160000000001</v>
      </c>
      <c r="E821">
        <v>0.51152799999999998</v>
      </c>
      <c r="F821" t="s">
        <v>43</v>
      </c>
      <c r="G821">
        <v>-296.86529999999999</v>
      </c>
      <c r="H821">
        <v>-0.05</v>
      </c>
      <c r="I821">
        <v>366.48910000000001</v>
      </c>
      <c r="J821">
        <v>-316.613</v>
      </c>
      <c r="K821">
        <v>1.095658</v>
      </c>
      <c r="L821">
        <v>367.87979999999999</v>
      </c>
      <c r="M821">
        <v>0.99958800000000003</v>
      </c>
      <c r="N821">
        <v>0</v>
      </c>
      <c r="O821">
        <v>2.0475440000000001E-2</v>
      </c>
      <c r="P821">
        <v>0.99840770000000001</v>
      </c>
      <c r="Q821">
        <v>4.1077959999999997E-2</v>
      </c>
      <c r="R821">
        <v>-3.8660640000000003E-2</v>
      </c>
      <c r="S821">
        <v>3.003876</v>
      </c>
      <c r="T821">
        <v>-0.17275489999999999</v>
      </c>
      <c r="U821">
        <v>-0.20883180000000001</v>
      </c>
      <c r="V821">
        <v>5.902437E-2</v>
      </c>
      <c r="W821">
        <v>6.1208419999999999E-2</v>
      </c>
      <c r="X821">
        <v>0.99637819999999999</v>
      </c>
      <c r="Y821">
        <v>8.9588050000000002E-2</v>
      </c>
      <c r="Z821">
        <v>-3.7464659999999999E-3</v>
      </c>
      <c r="AA821">
        <v>0.99597190000000002</v>
      </c>
      <c r="AB821">
        <v>38</v>
      </c>
      <c r="AC821">
        <v>19.747699999999998</v>
      </c>
      <c r="AD821">
        <v>-1.1456580000000001</v>
      </c>
      <c r="AE821">
        <v>-1.3906999999999801</v>
      </c>
      <c r="AF821">
        <v>1.7888419828786599</v>
      </c>
      <c r="AG821">
        <v>-1.1456580000000001</v>
      </c>
      <c r="AH821">
        <v>19.649269971322699</v>
      </c>
      <c r="AI821">
        <v>93.323162101498696</v>
      </c>
      <c r="AJ821">
        <v>84.798211810246499</v>
      </c>
      <c r="AK821">
        <v>19.763762250608998</v>
      </c>
      <c r="AL821">
        <v>86.490822122785602</v>
      </c>
      <c r="AM821">
        <v>86.609821770180304</v>
      </c>
      <c r="AN821">
        <v>0.99999993218401395</v>
      </c>
    </row>
    <row r="822" spans="1:40" x14ac:dyDescent="0.25">
      <c r="A822" t="str">
        <f>"20190312151002120"</f>
        <v>20190312151002120</v>
      </c>
      <c r="B822" t="str">
        <f>"1552374602111329"</f>
        <v>1552374602111329</v>
      </c>
      <c r="C822" t="s">
        <v>40</v>
      </c>
      <c r="D822">
        <v>5.2395250000000004</v>
      </c>
      <c r="E822">
        <v>0.51152500000000001</v>
      </c>
      <c r="F822" t="s">
        <v>43</v>
      </c>
      <c r="G822">
        <v>-296.54660000000001</v>
      </c>
      <c r="H822">
        <v>-0.05</v>
      </c>
      <c r="I822">
        <v>366.48450000000003</v>
      </c>
      <c r="J822">
        <v>-316.39749999999998</v>
      </c>
      <c r="K822">
        <v>1.0941069999999999</v>
      </c>
      <c r="L822">
        <v>367.88420000000002</v>
      </c>
      <c r="M822">
        <v>0.99958539999999996</v>
      </c>
      <c r="N822">
        <v>0</v>
      </c>
      <c r="O822">
        <v>2.0400160000000001E-2</v>
      </c>
      <c r="P822">
        <v>0.99838499999999997</v>
      </c>
      <c r="Q822">
        <v>4.1263319999999999E-2</v>
      </c>
      <c r="R822">
        <v>-3.9052539999999997E-2</v>
      </c>
      <c r="S822">
        <v>3.0037539999999998</v>
      </c>
      <c r="T822">
        <v>-0.171493799999999</v>
      </c>
      <c r="U822">
        <v>-0.2088623</v>
      </c>
      <c r="V822">
        <v>5.9343779999999999E-2</v>
      </c>
      <c r="W822">
        <v>6.1594870000000003E-2</v>
      </c>
      <c r="X822">
        <v>0.99633550000000004</v>
      </c>
      <c r="Y822">
        <v>8.9528839999999998E-2</v>
      </c>
      <c r="Z822">
        <v>-3.7133380000000001E-3</v>
      </c>
      <c r="AA822">
        <v>0.99597729999999995</v>
      </c>
      <c r="AB822">
        <v>38</v>
      </c>
      <c r="AC822">
        <v>19.8508999999999</v>
      </c>
      <c r="AD822">
        <v>-1.144107</v>
      </c>
      <c r="AE822">
        <v>-1.39969999999999</v>
      </c>
      <c r="AF822">
        <v>1.7985090304214499</v>
      </c>
      <c r="AG822">
        <v>-1.144107</v>
      </c>
      <c r="AH822">
        <v>19.7529166836126</v>
      </c>
      <c r="AI822">
        <v>93.301294769366393</v>
      </c>
      <c r="AJ822">
        <v>84.797546710114503</v>
      </c>
      <c r="AK822">
        <v>19.8675950499726</v>
      </c>
      <c r="AL822">
        <v>86.468638621279595</v>
      </c>
      <c r="AM822">
        <v>86.591373246557794</v>
      </c>
      <c r="AN822">
        <v>1.00000002039762</v>
      </c>
    </row>
    <row r="823" spans="1:40" x14ac:dyDescent="0.25">
      <c r="A823" t="str">
        <f>"20190312151002131"</f>
        <v>20190312151002131</v>
      </c>
      <c r="B823" t="str">
        <f>"1552374602121089"</f>
        <v>1552374602121089</v>
      </c>
      <c r="C823" t="s">
        <v>40</v>
      </c>
      <c r="D823">
        <v>5.5928519999999997</v>
      </c>
      <c r="E823">
        <v>0.51153789999999999</v>
      </c>
      <c r="F823" t="s">
        <v>43</v>
      </c>
      <c r="G823">
        <v>-296.12509999999997</v>
      </c>
      <c r="H823">
        <v>-0.05</v>
      </c>
      <c r="I823">
        <v>366.46519999999998</v>
      </c>
      <c r="J823">
        <v>-316.19310000000002</v>
      </c>
      <c r="K823">
        <v>1.0925739999999999</v>
      </c>
      <c r="L823">
        <v>367.88830000000002</v>
      </c>
      <c r="M823">
        <v>0.99958570000000002</v>
      </c>
      <c r="N823">
        <v>0</v>
      </c>
      <c r="O823">
        <v>2.0280349999999999E-2</v>
      </c>
      <c r="P823">
        <v>0.99838260000000001</v>
      </c>
      <c r="Q823">
        <v>4.0963920000000001E-2</v>
      </c>
      <c r="R823">
        <v>-3.9427669999999998E-2</v>
      </c>
      <c r="S823">
        <v>3.0036320000000001</v>
      </c>
      <c r="T823">
        <v>-0.16951540000000001</v>
      </c>
      <c r="U823">
        <v>-0.21023559999999999</v>
      </c>
      <c r="V823">
        <v>5.9603490000000002E-2</v>
      </c>
      <c r="W823">
        <v>6.1395940000000003E-2</v>
      </c>
      <c r="X823">
        <v>0.9963322</v>
      </c>
      <c r="Y823">
        <v>8.986922E-2</v>
      </c>
      <c r="Z823">
        <v>-3.673497E-3</v>
      </c>
      <c r="AA823">
        <v>0.99594680000000002</v>
      </c>
      <c r="AB823">
        <v>38</v>
      </c>
      <c r="AC823">
        <v>20.068000000000001</v>
      </c>
      <c r="AD823">
        <v>-1.142574</v>
      </c>
      <c r="AE823">
        <v>-1.42310000000003</v>
      </c>
      <c r="AF823">
        <v>1.8239950749178</v>
      </c>
      <c r="AG823">
        <v>-1.142574</v>
      </c>
      <c r="AH823">
        <v>19.970591047189</v>
      </c>
      <c r="AI823">
        <v>93.260940407087702</v>
      </c>
      <c r="AJ823">
        <v>84.781422909847095</v>
      </c>
      <c r="AK823">
        <v>20.086237580812998</v>
      </c>
      <c r="AL823">
        <v>86.480057818007396</v>
      </c>
      <c r="AM823">
        <v>86.576479945382502</v>
      </c>
      <c r="AN823">
        <v>0.99999994511275003</v>
      </c>
    </row>
    <row r="824" spans="1:40" x14ac:dyDescent="0.25">
      <c r="A824" t="str">
        <f>"20190312151002149"</f>
        <v>20190312151002149</v>
      </c>
      <c r="B824" t="str">
        <f>"1552374602141585"</f>
        <v>1552374602141585</v>
      </c>
      <c r="C824" t="s">
        <v>40</v>
      </c>
      <c r="D824">
        <v>5.2349600000000001</v>
      </c>
      <c r="E824">
        <v>0.51157280000000005</v>
      </c>
      <c r="F824" t="s">
        <v>43</v>
      </c>
      <c r="G824">
        <v>-295.887</v>
      </c>
      <c r="H824">
        <v>-0.05</v>
      </c>
      <c r="I824">
        <v>366.46030000000002</v>
      </c>
      <c r="J824">
        <v>-315.90960000000001</v>
      </c>
      <c r="K824">
        <v>1.090406</v>
      </c>
      <c r="L824">
        <v>367.89400000000001</v>
      </c>
      <c r="M824">
        <v>0.99958749999999996</v>
      </c>
      <c r="N824">
        <v>0</v>
      </c>
      <c r="O824">
        <v>2.0081580000000002E-2</v>
      </c>
      <c r="P824">
        <v>0.99834000000000001</v>
      </c>
      <c r="Q824">
        <v>4.0993740000000001E-2</v>
      </c>
      <c r="R824">
        <v>-4.0460629999999997E-2</v>
      </c>
      <c r="S824">
        <v>3.0034480000000001</v>
      </c>
      <c r="T824">
        <v>-0.16899690000000001</v>
      </c>
      <c r="U824">
        <v>-0.21121219999999999</v>
      </c>
      <c r="V824">
        <v>6.0444190000000002E-2</v>
      </c>
      <c r="W824">
        <v>6.1525389999999999E-2</v>
      </c>
      <c r="X824">
        <v>0.99627359999999998</v>
      </c>
      <c r="Y824">
        <v>8.9998830000000002E-2</v>
      </c>
      <c r="Z824">
        <v>-3.654937E-3</v>
      </c>
      <c r="AA824">
        <v>0.99593509999999996</v>
      </c>
      <c r="AB824">
        <v>38</v>
      </c>
      <c r="AC824">
        <v>20.022600000000001</v>
      </c>
      <c r="AD824">
        <v>-1.140406</v>
      </c>
      <c r="AE824">
        <v>-1.43369999999998</v>
      </c>
      <c r="AF824">
        <v>1.82967583345094</v>
      </c>
      <c r="AG824">
        <v>-1.140406</v>
      </c>
      <c r="AH824">
        <v>19.925455558413798</v>
      </c>
      <c r="AI824">
        <v>93.261977594031194</v>
      </c>
      <c r="AJ824">
        <v>84.753468294949599</v>
      </c>
      <c r="AK824">
        <v>20.0417568768477</v>
      </c>
      <c r="AL824">
        <v>86.472626953522393</v>
      </c>
      <c r="AM824">
        <v>86.528105194544494</v>
      </c>
      <c r="AN824">
        <v>0.99999997988818301</v>
      </c>
    </row>
    <row r="825" spans="1:40" x14ac:dyDescent="0.25">
      <c r="A825" t="str">
        <f>"20190312151002161"</f>
        <v>20190312151002161</v>
      </c>
      <c r="B825" t="str">
        <f>"1552374602151346"</f>
        <v>1552374602151346</v>
      </c>
      <c r="C825" t="s">
        <v>40</v>
      </c>
      <c r="D825">
        <v>5.2388399999999997</v>
      </c>
      <c r="E825">
        <v>0.51159319999999997</v>
      </c>
      <c r="F825" t="s">
        <v>43</v>
      </c>
      <c r="G825">
        <v>-295.30810000000002</v>
      </c>
      <c r="H825">
        <v>-0.05</v>
      </c>
      <c r="I825">
        <v>366.42239999999998</v>
      </c>
      <c r="J825">
        <v>-315.70760000000001</v>
      </c>
      <c r="K825">
        <v>1.08883</v>
      </c>
      <c r="L825">
        <v>367.89789999999999</v>
      </c>
      <c r="M825">
        <v>0.99958939999999996</v>
      </c>
      <c r="N825">
        <v>0</v>
      </c>
      <c r="O825">
        <v>1.9930460000000001E-2</v>
      </c>
      <c r="P825">
        <v>0.99830810000000003</v>
      </c>
      <c r="Q825">
        <v>4.1272000000000003E-2</v>
      </c>
      <c r="R825">
        <v>-4.0963050000000001E-2</v>
      </c>
      <c r="S825">
        <v>3.003082</v>
      </c>
      <c r="T825">
        <v>-0.166237</v>
      </c>
      <c r="U825">
        <v>-0.21450810000000001</v>
      </c>
      <c r="V825">
        <v>6.080137E-2</v>
      </c>
      <c r="W825">
        <v>6.1850919999999997E-2</v>
      </c>
      <c r="X825">
        <v>0.99623170000000005</v>
      </c>
      <c r="Y825">
        <v>9.0948689999999999E-2</v>
      </c>
      <c r="Z825">
        <v>-3.6135260000000002E-3</v>
      </c>
      <c r="AA825">
        <v>0.99584899999999998</v>
      </c>
      <c r="AB825">
        <v>38</v>
      </c>
      <c r="AC825">
        <v>20.3994999999999</v>
      </c>
      <c r="AD825">
        <v>-1.13883</v>
      </c>
      <c r="AE825">
        <v>-1.47550000000001</v>
      </c>
      <c r="AF825">
        <v>1.8760479651217301</v>
      </c>
      <c r="AG825">
        <v>-1.13883</v>
      </c>
      <c r="AH825">
        <v>20.303085731466201</v>
      </c>
      <c r="AI825">
        <v>93.1968504191384</v>
      </c>
      <c r="AJ825">
        <v>84.720740047823895</v>
      </c>
      <c r="AK825">
        <v>20.421355977397901</v>
      </c>
      <c r="AL825">
        <v>86.453939838070198</v>
      </c>
      <c r="AM825">
        <v>86.507493000265896</v>
      </c>
      <c r="AN825">
        <v>0.99999997149180597</v>
      </c>
    </row>
    <row r="826" spans="1:40" x14ac:dyDescent="0.25">
      <c r="A826" t="str">
        <f>"20190312151002171"</f>
        <v>20190312151002171</v>
      </c>
      <c r="B826" t="str">
        <f>"1552374602162081"</f>
        <v>1552374602162081</v>
      </c>
      <c r="C826" t="s">
        <v>40</v>
      </c>
      <c r="D826">
        <v>5.2236339999999997</v>
      </c>
      <c r="E826">
        <v>0.51160909999999904</v>
      </c>
      <c r="F826" t="s">
        <v>43</v>
      </c>
      <c r="G826">
        <v>-294.84809999999999</v>
      </c>
      <c r="H826">
        <v>-0.05</v>
      </c>
      <c r="I826">
        <v>366.39580000000001</v>
      </c>
      <c r="J826">
        <v>-315.51299999999998</v>
      </c>
      <c r="K826">
        <v>1.0872930000000001</v>
      </c>
      <c r="L826">
        <v>367.90179999999998</v>
      </c>
      <c r="M826">
        <v>0.99959160000000002</v>
      </c>
      <c r="N826">
        <v>0</v>
      </c>
      <c r="O826">
        <v>1.9791309999999999E-2</v>
      </c>
      <c r="P826">
        <v>0.99828950000000005</v>
      </c>
      <c r="Q826">
        <v>4.146801E-2</v>
      </c>
      <c r="R826">
        <v>-4.1216650000000001E-2</v>
      </c>
      <c r="S826">
        <v>3.0029599999999999</v>
      </c>
      <c r="T826">
        <v>-0.16394710000000001</v>
      </c>
      <c r="U826">
        <v>-0.21624760000000001</v>
      </c>
      <c r="V826">
        <v>6.0924279999999997E-2</v>
      </c>
      <c r="W826">
        <v>6.2065090000000003E-2</v>
      </c>
      <c r="X826">
        <v>0.99621090000000001</v>
      </c>
      <c r="Y826">
        <v>9.1391E-2</v>
      </c>
      <c r="Z826">
        <v>-3.5683619999999998E-3</v>
      </c>
      <c r="AA826">
        <v>0.99580869999999999</v>
      </c>
      <c r="AB826">
        <v>38</v>
      </c>
      <c r="AC826">
        <v>20.6648999999999</v>
      </c>
      <c r="AD826">
        <v>-1.1372930000000001</v>
      </c>
      <c r="AE826">
        <v>-1.50599999999997</v>
      </c>
      <c r="AF826">
        <v>1.90902565522334</v>
      </c>
      <c r="AG826">
        <v>-1.1372930000000001</v>
      </c>
      <c r="AH826">
        <v>20.569067123198302</v>
      </c>
      <c r="AI826">
        <v>93.151227373154498</v>
      </c>
      <c r="AJ826">
        <v>84.697539304886703</v>
      </c>
      <c r="AK826">
        <v>20.688749035134698</v>
      </c>
      <c r="AL826">
        <v>86.441645282159698</v>
      </c>
      <c r="AM826">
        <v>86.500377537954293</v>
      </c>
      <c r="AN826">
        <v>1.00000000028451</v>
      </c>
    </row>
    <row r="827" spans="1:40" x14ac:dyDescent="0.25">
      <c r="A827" t="str">
        <f>"20190312151002183"</f>
        <v>20190312151002183</v>
      </c>
      <c r="B827" t="str">
        <f>"1552374602171842"</f>
        <v>1552374602171842</v>
      </c>
      <c r="C827" t="s">
        <v>40</v>
      </c>
      <c r="D827">
        <v>5.2061659999999996</v>
      </c>
      <c r="E827">
        <v>0.51163959999999997</v>
      </c>
      <c r="F827" t="s">
        <v>43</v>
      </c>
      <c r="G827">
        <v>-294.45839999999998</v>
      </c>
      <c r="H827">
        <v>-0.05</v>
      </c>
      <c r="I827">
        <v>366.3802</v>
      </c>
      <c r="J827">
        <v>-315.3372</v>
      </c>
      <c r="K827">
        <v>1.085904</v>
      </c>
      <c r="L827">
        <v>367.90519999999998</v>
      </c>
      <c r="M827">
        <v>0.99959390000000004</v>
      </c>
      <c r="N827">
        <v>0</v>
      </c>
      <c r="O827">
        <v>1.9676099999999998E-2</v>
      </c>
      <c r="P827">
        <v>0.99825169999999996</v>
      </c>
      <c r="Q827">
        <v>4.1767600000000002E-2</v>
      </c>
      <c r="R827">
        <v>-4.1819639999999998E-2</v>
      </c>
      <c r="S827">
        <v>3.0029300000000001</v>
      </c>
      <c r="T827">
        <v>-0.1622075</v>
      </c>
      <c r="U827">
        <v>-0.2170105</v>
      </c>
      <c r="V827">
        <v>6.1420269999999999E-2</v>
      </c>
      <c r="W827">
        <v>6.235301E-2</v>
      </c>
      <c r="X827">
        <v>0.99616249999999995</v>
      </c>
      <c r="Y827">
        <v>9.1532100000000005E-2</v>
      </c>
      <c r="Z827">
        <v>-3.528148E-3</v>
      </c>
      <c r="AA827">
        <v>0.99579589999999996</v>
      </c>
      <c r="AB827">
        <v>38</v>
      </c>
      <c r="AC827">
        <v>20.878799999999998</v>
      </c>
      <c r="AD827">
        <v>-1.135904</v>
      </c>
      <c r="AE827">
        <v>-1.5249999999999699</v>
      </c>
      <c r="AF827">
        <v>1.9299233007185299</v>
      </c>
      <c r="AG827">
        <v>-1.135904</v>
      </c>
      <c r="AH827">
        <v>20.783553750021401</v>
      </c>
      <c r="AI827">
        <v>93.1149560270199</v>
      </c>
      <c r="AJ827">
        <v>84.694830588061805</v>
      </c>
      <c r="AK827">
        <v>20.9038510405117</v>
      </c>
      <c r="AL827">
        <v>86.425116798797404</v>
      </c>
      <c r="AM827">
        <v>86.471787490119098</v>
      </c>
      <c r="AN827">
        <v>1.0000000369145901</v>
      </c>
    </row>
    <row r="828" spans="1:40" x14ac:dyDescent="0.25">
      <c r="A828" t="str">
        <f>"20190312151002194"</f>
        <v>20190312151002194</v>
      </c>
      <c r="B828" t="str">
        <f>"1552374602181601"</f>
        <v>1552374602181601</v>
      </c>
      <c r="C828" t="s">
        <v>40</v>
      </c>
      <c r="D828">
        <v>5.5290809999999997</v>
      </c>
      <c r="E828">
        <v>0.51164109999999996</v>
      </c>
      <c r="F828" t="s">
        <v>43</v>
      </c>
      <c r="G828">
        <v>-294.06450000000001</v>
      </c>
      <c r="H828">
        <v>-0.05</v>
      </c>
      <c r="I828">
        <v>366.34989999999999</v>
      </c>
      <c r="J828">
        <v>-315.14240000000001</v>
      </c>
      <c r="K828">
        <v>1.0843689999999999</v>
      </c>
      <c r="L828">
        <v>367.90890000000002</v>
      </c>
      <c r="M828">
        <v>0.9995967</v>
      </c>
      <c r="N828">
        <v>0</v>
      </c>
      <c r="O828">
        <v>1.956039E-2</v>
      </c>
      <c r="P828">
        <v>0.99821360000000003</v>
      </c>
      <c r="Q828">
        <v>4.222455E-2</v>
      </c>
      <c r="R828">
        <v>-4.2271379999999997E-2</v>
      </c>
      <c r="S828">
        <v>3.002777</v>
      </c>
      <c r="T828">
        <v>-0.16034010000000001</v>
      </c>
      <c r="U828">
        <v>-0.2195435</v>
      </c>
      <c r="V828">
        <v>6.1765920000000002E-2</v>
      </c>
      <c r="W828">
        <v>6.2768480000000001E-2</v>
      </c>
      <c r="X828">
        <v>0.99611499999999997</v>
      </c>
      <c r="Y828">
        <v>9.2258809999999997E-2</v>
      </c>
      <c r="Z828">
        <v>-3.500853E-3</v>
      </c>
      <c r="AA828">
        <v>0.99572890000000003</v>
      </c>
      <c r="AB828">
        <v>38</v>
      </c>
      <c r="AC828">
        <v>21.0779</v>
      </c>
      <c r="AD828">
        <v>-1.134369</v>
      </c>
      <c r="AE828">
        <v>-1.5590000000000199</v>
      </c>
      <c r="AF828">
        <v>1.96541933533451</v>
      </c>
      <c r="AG828">
        <v>-1.134369</v>
      </c>
      <c r="AH828">
        <v>20.9829208615777</v>
      </c>
      <c r="AI828">
        <v>93.081025485096205</v>
      </c>
      <c r="AJ828">
        <v>84.648856392939393</v>
      </c>
      <c r="AK828">
        <v>21.105275029601099</v>
      </c>
      <c r="AL828">
        <v>86.401265275383196</v>
      </c>
      <c r="AM828">
        <v>86.451813870391305</v>
      </c>
      <c r="AN828">
        <v>1.00000000208997</v>
      </c>
    </row>
    <row r="829" spans="1:40" x14ac:dyDescent="0.25">
      <c r="A829" t="str">
        <f>"20190312151002207"</f>
        <v>20190312151002207</v>
      </c>
      <c r="B829" t="str">
        <f>"1552374602201121"</f>
        <v>1552374602201121</v>
      </c>
      <c r="C829" t="s">
        <v>40</v>
      </c>
      <c r="D829">
        <v>5.6048289999999996</v>
      </c>
      <c r="E829">
        <v>0.51166250000000002</v>
      </c>
      <c r="F829" t="s">
        <v>43</v>
      </c>
      <c r="G829">
        <v>-293.54989999999998</v>
      </c>
      <c r="H829">
        <v>-0.05</v>
      </c>
      <c r="I829">
        <v>366.32229999999998</v>
      </c>
      <c r="J829">
        <v>-314.935</v>
      </c>
      <c r="K829">
        <v>1.0827639999999901</v>
      </c>
      <c r="L829">
        <v>367.91289999999998</v>
      </c>
      <c r="M829">
        <v>0.99960090000000001</v>
      </c>
      <c r="N829">
        <v>0</v>
      </c>
      <c r="O829">
        <v>1.9440639999999999E-2</v>
      </c>
      <c r="P829">
        <v>0.99818810000000002</v>
      </c>
      <c r="Q829">
        <v>4.2210299999999999E-2</v>
      </c>
      <c r="R829">
        <v>-4.2883530000000003E-2</v>
      </c>
      <c r="S829">
        <v>3.0027159999999999</v>
      </c>
      <c r="T829">
        <v>-0.15774859999999999</v>
      </c>
      <c r="U829">
        <v>-0.22064210000000001</v>
      </c>
      <c r="V829">
        <v>6.2269360000000003E-2</v>
      </c>
      <c r="W829">
        <v>6.265569E-2</v>
      </c>
      <c r="X829">
        <v>0.99609080000000005</v>
      </c>
      <c r="Y829">
        <v>9.2508229999999997E-2</v>
      </c>
      <c r="Z829">
        <v>-3.4446289999999998E-3</v>
      </c>
      <c r="AA829">
        <v>0.99570599999999998</v>
      </c>
      <c r="AB829">
        <v>38</v>
      </c>
      <c r="AC829">
        <v>21.385100000000001</v>
      </c>
      <c r="AD829">
        <v>-1.1327640000000001</v>
      </c>
      <c r="AE829">
        <v>-1.59059999999999</v>
      </c>
      <c r="AF829">
        <v>2.0005444153059901</v>
      </c>
      <c r="AG829">
        <v>-1.1327640000000001</v>
      </c>
      <c r="AH829">
        <v>21.290719232046399</v>
      </c>
      <c r="AI829">
        <v>93.032195717870707</v>
      </c>
      <c r="AJ829">
        <v>84.632065347926599</v>
      </c>
      <c r="AK829">
        <v>21.4144824279071</v>
      </c>
      <c r="AL829">
        <v>86.407740566911301</v>
      </c>
      <c r="AM829">
        <v>86.422881518644004</v>
      </c>
      <c r="AN829">
        <v>1.00000004526441</v>
      </c>
    </row>
    <row r="830" spans="1:40" x14ac:dyDescent="0.25">
      <c r="A830" t="str">
        <f>"20190312151002222"</f>
        <v>20190312151002222</v>
      </c>
      <c r="B830" t="str">
        <f>"1552374602211858"</f>
        <v>1552374602211858</v>
      </c>
      <c r="C830" t="s">
        <v>40</v>
      </c>
      <c r="D830">
        <v>5.1975009999999999</v>
      </c>
      <c r="E830">
        <v>0.51167209999999996</v>
      </c>
      <c r="F830" t="s">
        <v>43</v>
      </c>
      <c r="G830">
        <v>-293.11110000000002</v>
      </c>
      <c r="H830">
        <v>-0.05</v>
      </c>
      <c r="I830">
        <v>366.2953</v>
      </c>
      <c r="J830">
        <v>-314.67689999999999</v>
      </c>
      <c r="K830">
        <v>1.080813</v>
      </c>
      <c r="L830">
        <v>367.91770000000002</v>
      </c>
      <c r="M830">
        <v>0.99960729999999998</v>
      </c>
      <c r="N830">
        <v>0</v>
      </c>
      <c r="O830">
        <v>1.9283399999999999E-2</v>
      </c>
      <c r="P830">
        <v>0.99817219999999995</v>
      </c>
      <c r="Q830">
        <v>4.2246909999999999E-2</v>
      </c>
      <c r="R830">
        <v>-4.3219250000000001E-2</v>
      </c>
      <c r="S830">
        <v>3.002472</v>
      </c>
      <c r="T830">
        <v>-0.15584249999999999</v>
      </c>
      <c r="U830">
        <v>-0.22253419999999999</v>
      </c>
      <c r="V830">
        <v>6.2460700000000001E-2</v>
      </c>
      <c r="W830">
        <v>6.2523389999999998E-2</v>
      </c>
      <c r="X830">
        <v>0.9960871</v>
      </c>
      <c r="Y830">
        <v>9.298476E-2</v>
      </c>
      <c r="Z830">
        <v>-3.4074539999999999E-3</v>
      </c>
      <c r="AA830">
        <v>0.99566169999999998</v>
      </c>
      <c r="AB830">
        <v>38</v>
      </c>
      <c r="AC830">
        <v>21.5657999999999</v>
      </c>
      <c r="AD830">
        <v>-1.1308129999999901</v>
      </c>
      <c r="AE830">
        <v>-1.62240000000002</v>
      </c>
      <c r="AF830">
        <v>2.0324892974795499</v>
      </c>
      <c r="AG830">
        <v>-1.1308129999999901</v>
      </c>
      <c r="AH830">
        <v>21.471792489278101</v>
      </c>
      <c r="AI830">
        <v>93.001308335527099</v>
      </c>
      <c r="AJ830">
        <v>84.592575318638794</v>
      </c>
      <c r="AK830">
        <v>21.597398535193001</v>
      </c>
      <c r="AL830">
        <v>86.415335570391093</v>
      </c>
      <c r="AM830">
        <v>86.411905201230695</v>
      </c>
      <c r="AN830">
        <v>1.00000001206399</v>
      </c>
    </row>
    <row r="831" spans="1:40" x14ac:dyDescent="0.25">
      <c r="A831" t="str">
        <f>"20190312151002240"</f>
        <v>20190312151002240</v>
      </c>
      <c r="B831" t="str">
        <f>"1552374602231377"</f>
        <v>1552374602231377</v>
      </c>
      <c r="C831" t="s">
        <v>40</v>
      </c>
      <c r="D831">
        <v>5.1923539999999999</v>
      </c>
      <c r="E831">
        <v>0.51161719999999999</v>
      </c>
      <c r="F831" t="s">
        <v>43</v>
      </c>
      <c r="G831">
        <v>-292.74529999999999</v>
      </c>
      <c r="H831">
        <v>-0.05</v>
      </c>
      <c r="I831">
        <v>366.28480000000002</v>
      </c>
      <c r="J831">
        <v>-314.39030000000002</v>
      </c>
      <c r="K831">
        <v>1.07874</v>
      </c>
      <c r="L831">
        <v>367.923</v>
      </c>
      <c r="M831">
        <v>0.99961610000000001</v>
      </c>
      <c r="N831">
        <v>0</v>
      </c>
      <c r="O831">
        <v>1.907727E-2</v>
      </c>
      <c r="P831">
        <v>0.99811729999999999</v>
      </c>
      <c r="Q831">
        <v>4.2810590000000003E-2</v>
      </c>
      <c r="R831">
        <v>-4.3923810000000001E-2</v>
      </c>
      <c r="S831">
        <v>3.0024109999999999</v>
      </c>
      <c r="T831">
        <v>-0.154807</v>
      </c>
      <c r="U831">
        <v>-0.2235413</v>
      </c>
      <c r="V831">
        <v>6.2970739999999997E-2</v>
      </c>
      <c r="W831">
        <v>6.2829399999999994E-2</v>
      </c>
      <c r="X831">
        <v>0.99603569999999997</v>
      </c>
      <c r="Y831">
        <v>9.3115080000000003E-2</v>
      </c>
      <c r="Z831">
        <v>-3.377606E-3</v>
      </c>
      <c r="AA831">
        <v>0.99564960000000002</v>
      </c>
      <c r="AB831">
        <v>37</v>
      </c>
      <c r="AC831">
        <v>21.645</v>
      </c>
      <c r="AD831">
        <v>-1.1287399999999901</v>
      </c>
      <c r="AE831">
        <v>-1.6381999999999799</v>
      </c>
      <c r="AF831">
        <v>2.0453821068881202</v>
      </c>
      <c r="AG831">
        <v>-1.1287399999999901</v>
      </c>
      <c r="AH831">
        <v>21.551527229990299</v>
      </c>
      <c r="AI831">
        <v>92.984683350672796</v>
      </c>
      <c r="AJ831">
        <v>84.578491286586697</v>
      </c>
      <c r="AK831">
        <v>21.677775898274099</v>
      </c>
      <c r="AL831">
        <v>86.397767839632394</v>
      </c>
      <c r="AM831">
        <v>86.382496934561004</v>
      </c>
      <c r="AN831">
        <v>0.99999998163749804</v>
      </c>
    </row>
    <row r="832" spans="1:40" x14ac:dyDescent="0.25">
      <c r="A832" t="str">
        <f>"20190312151002261"</f>
        <v>20190312151002261</v>
      </c>
      <c r="B832" t="str">
        <f>"1552374602251873"</f>
        <v>1552374602251873</v>
      </c>
      <c r="C832" t="s">
        <v>40</v>
      </c>
      <c r="D832">
        <v>6.2083849999999998</v>
      </c>
      <c r="E832">
        <v>0.4964518</v>
      </c>
      <c r="F832" t="s">
        <v>43</v>
      </c>
      <c r="G832">
        <v>-292.24959999999999</v>
      </c>
      <c r="H832">
        <v>-0.05</v>
      </c>
      <c r="I832">
        <v>366.26260000000002</v>
      </c>
      <c r="J832">
        <v>-314.02730000000003</v>
      </c>
      <c r="K832">
        <v>1.076303</v>
      </c>
      <c r="L832">
        <v>367.92959999999999</v>
      </c>
      <c r="M832">
        <v>0.99963060000000004</v>
      </c>
      <c r="N832">
        <v>0</v>
      </c>
      <c r="O832">
        <v>1.8735419999999999E-2</v>
      </c>
      <c r="P832">
        <v>0.99806430000000002</v>
      </c>
      <c r="Q832">
        <v>4.3517060000000003E-2</v>
      </c>
      <c r="R832">
        <v>-4.4433930000000003E-2</v>
      </c>
      <c r="S832">
        <v>3.002319</v>
      </c>
      <c r="T832">
        <v>-0.15305940000000001</v>
      </c>
      <c r="U832">
        <v>-0.22515869999999999</v>
      </c>
      <c r="V832">
        <v>6.3150349999999994E-2</v>
      </c>
      <c r="W832">
        <v>6.3125390000000003E-2</v>
      </c>
      <c r="X832">
        <v>0.99600569999999999</v>
      </c>
      <c r="Y832">
        <v>9.3313599999999997E-2</v>
      </c>
      <c r="Z832">
        <v>-3.3272039999999998E-3</v>
      </c>
      <c r="AA832">
        <v>0.99563120000000005</v>
      </c>
      <c r="AB832">
        <v>37</v>
      </c>
      <c r="AC832">
        <v>21.777699999999999</v>
      </c>
      <c r="AD832">
        <v>-1.1263030000000001</v>
      </c>
      <c r="AE832">
        <v>-1.6669999999999701</v>
      </c>
      <c r="AF832">
        <v>2.06929809619393</v>
      </c>
      <c r="AG832">
        <v>-1.1263030000000001</v>
      </c>
      <c r="AH832">
        <v>21.684973576909201</v>
      </c>
      <c r="AI832">
        <v>92.959811268077999</v>
      </c>
      <c r="AJ832">
        <v>84.549030706705196</v>
      </c>
      <c r="AK832">
        <v>21.812579675269301</v>
      </c>
      <c r="AL832">
        <v>86.380775443145097</v>
      </c>
      <c r="AM832">
        <v>86.372097350966001</v>
      </c>
      <c r="AN832">
        <v>1.00000006800013</v>
      </c>
    </row>
    <row r="833" spans="1:40" x14ac:dyDescent="0.25">
      <c r="A833" t="str">
        <f>"20190312151002273"</f>
        <v>20190312151002273</v>
      </c>
      <c r="B833" t="str">
        <f>"1552374602261634"</f>
        <v>1552374602261634</v>
      </c>
      <c r="C833" t="s">
        <v>40</v>
      </c>
      <c r="D833">
        <v>5.1500709999999996</v>
      </c>
      <c r="E833">
        <v>0.49571029999999999</v>
      </c>
      <c r="F833" t="s">
        <v>43</v>
      </c>
      <c r="G833">
        <v>-287.47329999999999</v>
      </c>
      <c r="H833">
        <v>-0.05</v>
      </c>
      <c r="I833">
        <v>366.99430000000001</v>
      </c>
      <c r="J833">
        <v>-313.8134</v>
      </c>
      <c r="K833">
        <v>1.074964</v>
      </c>
      <c r="L833">
        <v>367.93340000000001</v>
      </c>
      <c r="M833">
        <v>0.99963999999999997</v>
      </c>
      <c r="N833">
        <v>0</v>
      </c>
      <c r="O833">
        <v>1.8498000000000001E-2</v>
      </c>
      <c r="P833">
        <v>0.99802729999999995</v>
      </c>
      <c r="Q833">
        <v>4.3706719999999998E-2</v>
      </c>
      <c r="R833">
        <v>-4.507162E-2</v>
      </c>
      <c r="S833">
        <v>3.006653</v>
      </c>
      <c r="T833">
        <v>-0.12752869999999999</v>
      </c>
      <c r="U833">
        <v>-0.105896</v>
      </c>
      <c r="V833">
        <v>6.3556269999999998E-2</v>
      </c>
      <c r="W833">
        <v>6.3045920000000005E-2</v>
      </c>
      <c r="X833">
        <v>0.99598489999999995</v>
      </c>
      <c r="Y833">
        <v>5.3617959999999999E-2</v>
      </c>
      <c r="Z833">
        <v>-1.920438E-3</v>
      </c>
      <c r="AA833">
        <v>0.99855970000000005</v>
      </c>
      <c r="AB833">
        <v>37</v>
      </c>
      <c r="AC833">
        <v>26.3401</v>
      </c>
      <c r="AD833">
        <v>-1.1249639999999901</v>
      </c>
      <c r="AE833">
        <v>-0.93909999999999605</v>
      </c>
      <c r="AF833">
        <v>1.4236768714936201</v>
      </c>
      <c r="AG833">
        <v>-1.1249639999999901</v>
      </c>
      <c r="AH833">
        <v>26.270358443805801</v>
      </c>
      <c r="AI833">
        <v>92.4484654060916</v>
      </c>
      <c r="AJ833">
        <v>86.897988223592407</v>
      </c>
      <c r="AK833">
        <v>26.33294766261</v>
      </c>
      <c r="AL833">
        <v>86.385337776425203</v>
      </c>
      <c r="AM833">
        <v>86.348764628628004</v>
      </c>
      <c r="AN833">
        <v>1.00000005425648</v>
      </c>
    </row>
    <row r="834" spans="1:40" x14ac:dyDescent="0.25">
      <c r="A834" t="str">
        <f>"20190312151002286"</f>
        <v>20190312151002286</v>
      </c>
      <c r="B834" t="str">
        <f>"1552374602281154"</f>
        <v>1552374602281154</v>
      </c>
      <c r="C834" t="s">
        <v>40</v>
      </c>
      <c r="D834">
        <v>5.1310440000000002</v>
      </c>
      <c r="E834">
        <v>0.49567030000000001</v>
      </c>
      <c r="F834" t="s">
        <v>43</v>
      </c>
      <c r="G834">
        <v>-281.84359999999998</v>
      </c>
      <c r="H834">
        <v>-0.05</v>
      </c>
      <c r="I834">
        <v>366.85129999999998</v>
      </c>
      <c r="J834">
        <v>-313.61919999999998</v>
      </c>
      <c r="K834">
        <v>1.0738179999999999</v>
      </c>
      <c r="L834">
        <v>367.93680000000001</v>
      </c>
      <c r="M834">
        <v>0.99964920000000002</v>
      </c>
      <c r="N834">
        <v>0</v>
      </c>
      <c r="O834">
        <v>1.8263109999999999E-2</v>
      </c>
      <c r="P834">
        <v>0.99799680000000002</v>
      </c>
      <c r="Q834">
        <v>4.398672E-2</v>
      </c>
      <c r="R834">
        <v>-4.5474170000000001E-2</v>
      </c>
      <c r="S834">
        <v>3.0059809999999998</v>
      </c>
      <c r="T834">
        <v>-0.1057751</v>
      </c>
      <c r="U834">
        <v>-0.10174560000000001</v>
      </c>
      <c r="V834">
        <v>6.3728889999999996E-2</v>
      </c>
      <c r="W834">
        <v>6.3070680000000004E-2</v>
      </c>
      <c r="X834">
        <v>0.99597230000000003</v>
      </c>
      <c r="Y834">
        <v>5.2035249999999998E-2</v>
      </c>
      <c r="Z834">
        <v>-1.557374E-3</v>
      </c>
      <c r="AA834">
        <v>0.99864410000000003</v>
      </c>
      <c r="AB834">
        <v>37</v>
      </c>
      <c r="AC834">
        <v>31.775600000000001</v>
      </c>
      <c r="AD834">
        <v>-1.123818</v>
      </c>
      <c r="AE834">
        <v>-1.0855000000000199</v>
      </c>
      <c r="AF834">
        <v>1.6636683866970501</v>
      </c>
      <c r="AG834">
        <v>-1.123818</v>
      </c>
      <c r="AH834">
        <v>31.7108509071391</v>
      </c>
      <c r="AI834">
        <v>92.026901459391496</v>
      </c>
      <c r="AJ834">
        <v>86.996805092264296</v>
      </c>
      <c r="AK834">
        <v>31.774342237925602</v>
      </c>
      <c r="AL834">
        <v>86.383916296720201</v>
      </c>
      <c r="AM834">
        <v>86.338828550819201</v>
      </c>
      <c r="AN834">
        <v>1.00000005223179</v>
      </c>
    </row>
    <row r="835" spans="1:40" x14ac:dyDescent="0.25">
      <c r="A835" t="str">
        <f>"20190312151002304"</f>
        <v>20190312151002304</v>
      </c>
      <c r="B835" t="str">
        <f>"1552374602301650"</f>
        <v>1552374602301650</v>
      </c>
      <c r="C835" t="s">
        <v>40</v>
      </c>
      <c r="D835">
        <v>5.1751139999999998</v>
      </c>
      <c r="E835">
        <v>0.49570429999999999</v>
      </c>
      <c r="F835" t="s">
        <v>42</v>
      </c>
      <c r="G835">
        <v>-278.15859999999998</v>
      </c>
      <c r="H835" s="1">
        <v>-1.3818090000000001E-6</v>
      </c>
      <c r="I835">
        <v>366.72570000000002</v>
      </c>
      <c r="J835">
        <v>-313.31560000000002</v>
      </c>
      <c r="K835">
        <v>1.0721350000000001</v>
      </c>
      <c r="L835">
        <v>367.94200000000001</v>
      </c>
      <c r="M835">
        <v>0.99966390000000005</v>
      </c>
      <c r="N835">
        <v>0</v>
      </c>
      <c r="O835">
        <v>1.7874330000000001E-2</v>
      </c>
      <c r="P835">
        <v>0.99791260000000004</v>
      </c>
      <c r="Q835">
        <v>4.4522829999999999E-2</v>
      </c>
      <c r="R835">
        <v>-4.6780059999999998E-2</v>
      </c>
      <c r="S835">
        <v>3.005341</v>
      </c>
      <c r="T835">
        <v>-9.1007589999999999E-2</v>
      </c>
      <c r="U835">
        <v>-0.1026306</v>
      </c>
      <c r="V835">
        <v>6.4653160000000001E-2</v>
      </c>
      <c r="W835">
        <v>6.3196769999999999E-2</v>
      </c>
      <c r="X835">
        <v>0.99590469999999998</v>
      </c>
      <c r="Y835">
        <v>5.1959150000000003E-2</v>
      </c>
      <c r="Z835">
        <v>-1.3274059999999999E-3</v>
      </c>
      <c r="AA835">
        <v>0.99864830000000004</v>
      </c>
      <c r="AB835">
        <v>37</v>
      </c>
      <c r="AC835">
        <v>35.156999999999996</v>
      </c>
      <c r="AD835">
        <v>-1.0721363818089999</v>
      </c>
      <c r="AE835">
        <v>-1.21629999999993</v>
      </c>
      <c r="AF835">
        <v>1.84291241902411</v>
      </c>
      <c r="AG835">
        <v>-1.0721363818089999</v>
      </c>
      <c r="AH835">
        <v>35.097036268868401</v>
      </c>
      <c r="AI835">
        <v>91.747308794244404</v>
      </c>
      <c r="AJ835">
        <v>86.9942129094118</v>
      </c>
      <c r="AK835">
        <v>35.161737122384302</v>
      </c>
      <c r="AL835">
        <v>86.376677304024</v>
      </c>
      <c r="AM835">
        <v>86.285626178544405</v>
      </c>
      <c r="AN835">
        <v>1.00000001715925</v>
      </c>
    </row>
    <row r="836" spans="1:40" x14ac:dyDescent="0.25">
      <c r="A836" t="str">
        <f>"20190312151002328"</f>
        <v>20190312151002328</v>
      </c>
      <c r="B836" t="str">
        <f>"1552374602321169"</f>
        <v>1552374602321169</v>
      </c>
      <c r="C836" t="s">
        <v>40</v>
      </c>
      <c r="D836">
        <v>5.1590870000000004</v>
      </c>
      <c r="E836">
        <v>0.49551610000000001</v>
      </c>
      <c r="F836" t="s">
        <v>42</v>
      </c>
      <c r="G836">
        <v>-275.32619999999997</v>
      </c>
      <c r="H836" s="1">
        <v>-2.5232759999999998E-6</v>
      </c>
      <c r="I836">
        <v>366.5951</v>
      </c>
      <c r="J836">
        <v>-312.91430000000003</v>
      </c>
      <c r="K836">
        <v>1.07014599999999</v>
      </c>
      <c r="L836">
        <v>367.94869999999997</v>
      </c>
      <c r="M836">
        <v>0.99968330000000005</v>
      </c>
      <c r="N836">
        <v>0</v>
      </c>
      <c r="O836">
        <v>1.7333580000000001E-2</v>
      </c>
      <c r="P836">
        <v>0.99778520000000004</v>
      </c>
      <c r="Q836">
        <v>4.558276E-2</v>
      </c>
      <c r="R836">
        <v>-4.8443979999999998E-2</v>
      </c>
      <c r="S836">
        <v>3.0050659999999998</v>
      </c>
      <c r="T836">
        <v>-8.4808709999999995E-2</v>
      </c>
      <c r="U836">
        <v>-0.1065369</v>
      </c>
      <c r="V836">
        <v>6.5786609999999995E-2</v>
      </c>
      <c r="W836">
        <v>6.3710729999999993E-2</v>
      </c>
      <c r="X836">
        <v>0.99579770000000001</v>
      </c>
      <c r="Y836">
        <v>5.272255E-2</v>
      </c>
      <c r="Z836">
        <v>-1.2326209999999999E-3</v>
      </c>
      <c r="AA836">
        <v>0.99860839999999995</v>
      </c>
      <c r="AB836">
        <v>37</v>
      </c>
      <c r="AC836">
        <v>37.588099999999997</v>
      </c>
      <c r="AD836">
        <v>-1.07014852327599</v>
      </c>
      <c r="AE836">
        <v>-1.3535999999999699</v>
      </c>
      <c r="AF836">
        <v>2.0034195699510802</v>
      </c>
      <c r="AG836">
        <v>-1.07014852327599</v>
      </c>
      <c r="AH836">
        <v>37.528604384986899</v>
      </c>
      <c r="AI836">
        <v>91.631056421177504</v>
      </c>
      <c r="AJ836">
        <v>86.944234077301303</v>
      </c>
      <c r="AK836">
        <v>37.597274567712901</v>
      </c>
      <c r="AL836">
        <v>86.347170029038907</v>
      </c>
      <c r="AM836">
        <v>86.220290785505895</v>
      </c>
      <c r="AN836">
        <v>0.99999999724885702</v>
      </c>
    </row>
    <row r="837" spans="1:40" x14ac:dyDescent="0.25">
      <c r="A837" t="str">
        <f>"20190312151002341"</f>
        <v>20190312151002341</v>
      </c>
      <c r="B837" t="str">
        <f>"1552374602331906"</f>
        <v>1552374602331906</v>
      </c>
      <c r="C837" t="s">
        <v>40</v>
      </c>
      <c r="D837">
        <v>5.1993510000000001</v>
      </c>
      <c r="E837">
        <v>0.49556529999999999</v>
      </c>
      <c r="F837" t="s">
        <v>42</v>
      </c>
      <c r="G837">
        <v>-272.54939999999999</v>
      </c>
      <c r="H837" s="1">
        <v>-3.7362599999999999E-6</v>
      </c>
      <c r="I837">
        <v>366.47250000000003</v>
      </c>
      <c r="J837">
        <v>-312.68880000000001</v>
      </c>
      <c r="K837">
        <v>1.0691280000000001</v>
      </c>
      <c r="L837">
        <v>367.95240000000001</v>
      </c>
      <c r="M837">
        <v>0.99969390000000002</v>
      </c>
      <c r="N837">
        <v>0</v>
      </c>
      <c r="O837">
        <v>1.7023679999999999E-2</v>
      </c>
      <c r="P837">
        <v>0.99770579999999998</v>
      </c>
      <c r="Q837">
        <v>4.6319079999999999E-2</v>
      </c>
      <c r="R837">
        <v>-4.9372630000000001E-2</v>
      </c>
      <c r="S837">
        <v>3.0049739999999998</v>
      </c>
      <c r="T837">
        <v>-7.9667329999999995E-2</v>
      </c>
      <c r="U837">
        <v>-0.1098938</v>
      </c>
      <c r="V837">
        <v>6.641118E-2</v>
      </c>
      <c r="W837">
        <v>6.4145670000000002E-2</v>
      </c>
      <c r="X837">
        <v>0.99572830000000001</v>
      </c>
      <c r="Y837">
        <v>5.3531179999999998E-2</v>
      </c>
      <c r="Z837">
        <v>-1.160433E-3</v>
      </c>
      <c r="AA837">
        <v>0.99856549999999999</v>
      </c>
      <c r="AB837">
        <v>37</v>
      </c>
      <c r="AC837">
        <v>40.139400000000002</v>
      </c>
      <c r="AD837">
        <v>-1.0691317362599999</v>
      </c>
      <c r="AE837">
        <v>-1.47989999999998</v>
      </c>
      <c r="AF837">
        <v>2.1615844680285501</v>
      </c>
      <c r="AG837">
        <v>-1.0691317362599999</v>
      </c>
      <c r="AH837">
        <v>40.079987909327897</v>
      </c>
      <c r="AI837">
        <v>91.525783482428693</v>
      </c>
      <c r="AJ837">
        <v>86.912928251185093</v>
      </c>
      <c r="AK837">
        <v>40.1524709189082</v>
      </c>
      <c r="AL837">
        <v>86.322198658694703</v>
      </c>
      <c r="AM837">
        <v>86.184247042646106</v>
      </c>
      <c r="AN837">
        <v>0.99999997961481502</v>
      </c>
    </row>
    <row r="838" spans="1:40" x14ac:dyDescent="0.25">
      <c r="A838" t="str">
        <f>"20190312151002353"</f>
        <v>20190312151002353</v>
      </c>
      <c r="B838" t="str">
        <f>"1552374602341666"</f>
        <v>1552374602341666</v>
      </c>
      <c r="C838" t="s">
        <v>40</v>
      </c>
      <c r="D838">
        <v>5.1596440000000001</v>
      </c>
      <c r="E838">
        <v>0.49551070000000003</v>
      </c>
      <c r="F838" t="s">
        <v>42</v>
      </c>
      <c r="G838">
        <v>-270.15269999999998</v>
      </c>
      <c r="H838" s="1">
        <v>-4.785623E-6</v>
      </c>
      <c r="I838">
        <v>366.35300000000001</v>
      </c>
      <c r="J838">
        <v>-312.49189999999999</v>
      </c>
      <c r="K838">
        <v>1.0683129999999901</v>
      </c>
      <c r="L838">
        <v>367.95549999999997</v>
      </c>
      <c r="M838">
        <v>0.99970300000000001</v>
      </c>
      <c r="N838">
        <v>0</v>
      </c>
      <c r="O838">
        <v>1.6749549999999998E-2</v>
      </c>
      <c r="P838">
        <v>0.9976488</v>
      </c>
      <c r="Q838">
        <v>4.6757670000000001E-2</v>
      </c>
      <c r="R838">
        <v>-5.0104200000000002E-2</v>
      </c>
      <c r="S838">
        <v>3.0047609999999998</v>
      </c>
      <c r="T838">
        <v>-7.5523729999999997E-2</v>
      </c>
      <c r="U838">
        <v>-0.1129761</v>
      </c>
      <c r="V838">
        <v>6.6873539999999995E-2</v>
      </c>
      <c r="W838">
        <v>6.4327919999999997E-2</v>
      </c>
      <c r="X838">
        <v>0.99568559999999995</v>
      </c>
      <c r="Y838">
        <v>5.4285159999999999E-2</v>
      </c>
      <c r="Z838">
        <v>-1.102736E-3</v>
      </c>
      <c r="AA838">
        <v>0.99852479999999999</v>
      </c>
      <c r="AB838">
        <v>37</v>
      </c>
      <c r="AC838">
        <v>42.339199999999998</v>
      </c>
      <c r="AD838">
        <v>-1.0683177856229999</v>
      </c>
      <c r="AE838">
        <v>-1.6024999999999601</v>
      </c>
      <c r="AF838">
        <v>2.3100801527686401</v>
      </c>
      <c r="AG838">
        <v>-1.0683177856229999</v>
      </c>
      <c r="AH838">
        <v>42.279533603620102</v>
      </c>
      <c r="AI838">
        <v>91.445284959766298</v>
      </c>
      <c r="AJ838">
        <v>86.872567972985806</v>
      </c>
      <c r="AK838">
        <v>42.356070815680397</v>
      </c>
      <c r="AL838">
        <v>86.311734903600097</v>
      </c>
      <c r="AM838">
        <v>86.157596479733996</v>
      </c>
      <c r="AN838">
        <v>0.99999998284550795</v>
      </c>
    </row>
    <row r="839" spans="1:40" x14ac:dyDescent="0.25">
      <c r="A839" t="str">
        <f>"20190312151002366"</f>
        <v>20190312151002366</v>
      </c>
      <c r="B839" t="str">
        <f>"1552374602361185"</f>
        <v>1552374602361185</v>
      </c>
      <c r="C839" t="s">
        <v>40</v>
      </c>
      <c r="D839">
        <v>5.1284979999999996</v>
      </c>
      <c r="E839">
        <v>0.49550060000000001</v>
      </c>
      <c r="F839" t="s">
        <v>42</v>
      </c>
      <c r="G839">
        <v>-268.8741</v>
      </c>
      <c r="H839" s="1">
        <v>-1.254997E-6</v>
      </c>
      <c r="I839">
        <v>366.28710000000001</v>
      </c>
      <c r="J839">
        <v>-312.28840000000002</v>
      </c>
      <c r="K839">
        <v>1.067536</v>
      </c>
      <c r="L839">
        <v>367.95859999999999</v>
      </c>
      <c r="M839">
        <v>0.99971220000000005</v>
      </c>
      <c r="N839">
        <v>0</v>
      </c>
      <c r="O839">
        <v>1.6461569999999998E-2</v>
      </c>
      <c r="P839">
        <v>0.99759299999999995</v>
      </c>
      <c r="Q839">
        <v>4.7102930000000001E-2</v>
      </c>
      <c r="R839">
        <v>-5.0887429999999997E-2</v>
      </c>
      <c r="S839">
        <v>3.0047609999999998</v>
      </c>
      <c r="T839">
        <v>-7.3594450000000006E-2</v>
      </c>
      <c r="U839">
        <v>-0.1149292</v>
      </c>
      <c r="V839">
        <v>6.7373340000000004E-2</v>
      </c>
      <c r="W839">
        <v>6.4416920000000003E-2</v>
      </c>
      <c r="X839">
        <v>0.99564620000000004</v>
      </c>
      <c r="Y839">
        <v>5.4646649999999998E-2</v>
      </c>
      <c r="Z839">
        <v>-1.0719340000000001E-3</v>
      </c>
      <c r="AA839">
        <v>0.99850519999999998</v>
      </c>
      <c r="AB839">
        <v>37</v>
      </c>
      <c r="AC839">
        <v>43.414299999999997</v>
      </c>
      <c r="AD839">
        <v>-1.0675372549969999</v>
      </c>
      <c r="AE839">
        <v>-1.67149999999998</v>
      </c>
      <c r="AF839">
        <v>2.3846101164496099</v>
      </c>
      <c r="AG839">
        <v>-1.0675372549969999</v>
      </c>
      <c r="AH839">
        <v>43.354720414921402</v>
      </c>
      <c r="AI839">
        <v>91.408399505775193</v>
      </c>
      <c r="AJ839">
        <v>86.851771492823403</v>
      </c>
      <c r="AK839">
        <v>43.433371771649099</v>
      </c>
      <c r="AL839">
        <v>86.306625159155999</v>
      </c>
      <c r="AM839">
        <v>86.1288133616371</v>
      </c>
      <c r="AN839">
        <v>1.0000000310497399</v>
      </c>
    </row>
    <row r="840" spans="1:40" x14ac:dyDescent="0.25">
      <c r="A840" t="str">
        <f>"20190312151002377"</f>
        <v>20190312151002377</v>
      </c>
      <c r="B840" t="str">
        <f>"1552374602371922"</f>
        <v>1552374602371922</v>
      </c>
      <c r="C840" t="s">
        <v>40</v>
      </c>
      <c r="D840">
        <v>5.1297160000000002</v>
      </c>
      <c r="E840">
        <v>0.49553609999999998</v>
      </c>
      <c r="F840" t="s">
        <v>42</v>
      </c>
      <c r="G840">
        <v>-268.25920000000002</v>
      </c>
      <c r="H840" s="1">
        <v>-1.475735E-6</v>
      </c>
      <c r="I840">
        <v>366.2441</v>
      </c>
      <c r="J840">
        <v>-312.08629999999999</v>
      </c>
      <c r="K840">
        <v>1.0667990000000001</v>
      </c>
      <c r="L840">
        <v>367.96179999999998</v>
      </c>
      <c r="M840">
        <v>0.99972119999999998</v>
      </c>
      <c r="N840">
        <v>0</v>
      </c>
      <c r="O840">
        <v>1.6172949999999998E-2</v>
      </c>
      <c r="P840">
        <v>0.99754869999999995</v>
      </c>
      <c r="Q840">
        <v>4.7179730000000003E-2</v>
      </c>
      <c r="R840">
        <v>-5.1682249999999999E-2</v>
      </c>
      <c r="S840">
        <v>3.0047000000000001</v>
      </c>
      <c r="T840">
        <v>-7.2852249999999993E-2</v>
      </c>
      <c r="U840">
        <v>-0.117004399999999</v>
      </c>
      <c r="V840">
        <v>6.7883739999999998E-2</v>
      </c>
      <c r="W840">
        <v>6.4244659999999995E-2</v>
      </c>
      <c r="X840">
        <v>0.99562260000000002</v>
      </c>
      <c r="Y840">
        <v>5.5048090000000001E-2</v>
      </c>
      <c r="Z840">
        <v>-1.059001E-3</v>
      </c>
      <c r="AA840">
        <v>0.99848309999999996</v>
      </c>
      <c r="AB840">
        <v>37</v>
      </c>
      <c r="AC840">
        <v>43.827099999999902</v>
      </c>
      <c r="AD840">
        <v>-1.066800475735</v>
      </c>
      <c r="AE840">
        <v>-1.71769999999997</v>
      </c>
      <c r="AF840">
        <v>2.4249591238675299</v>
      </c>
      <c r="AG840">
        <v>-1.066800475735</v>
      </c>
      <c r="AH840">
        <v>43.7676895965038</v>
      </c>
      <c r="AI840">
        <v>91.394122470779294</v>
      </c>
      <c r="AJ840">
        <v>86.828756188987896</v>
      </c>
      <c r="AK840">
        <v>43.847795185429398</v>
      </c>
      <c r="AL840">
        <v>86.316515191272501</v>
      </c>
      <c r="AM840">
        <v>86.099484438612194</v>
      </c>
      <c r="AN840">
        <v>0.99999997006283103</v>
      </c>
    </row>
    <row r="841" spans="1:40" x14ac:dyDescent="0.25">
      <c r="A841" t="str">
        <f>"20190312151002393"</f>
        <v>20190312151002393</v>
      </c>
      <c r="B841" t="str">
        <f>"1552374602371922"</f>
        <v>1552374602371922</v>
      </c>
      <c r="C841" t="s">
        <v>40</v>
      </c>
      <c r="D841">
        <v>5.1297160000000002</v>
      </c>
      <c r="E841">
        <v>0.49553609999999998</v>
      </c>
      <c r="F841" t="s">
        <v>42</v>
      </c>
      <c r="G841">
        <v>-267.85250000000002</v>
      </c>
      <c r="H841" s="1">
        <v>-1.6269039999999999E-6</v>
      </c>
      <c r="I841">
        <v>366.19600000000003</v>
      </c>
      <c r="J841">
        <v>-311.8184</v>
      </c>
      <c r="K841">
        <v>1.0659510000000001</v>
      </c>
      <c r="L841">
        <v>367.96570000000003</v>
      </c>
      <c r="M841">
        <v>0.99973259999999997</v>
      </c>
      <c r="N841">
        <v>0</v>
      </c>
      <c r="O841">
        <v>1.5776950000000001E-2</v>
      </c>
      <c r="P841">
        <v>0.99746409999999996</v>
      </c>
      <c r="Q841">
        <v>4.750244E-2</v>
      </c>
      <c r="R841">
        <v>-5.3001739999999999E-2</v>
      </c>
      <c r="S841">
        <v>3.0045470000000001</v>
      </c>
      <c r="T841">
        <v>-7.2461609999999996E-2</v>
      </c>
      <c r="U841">
        <v>-0.1199341</v>
      </c>
      <c r="V841">
        <v>6.8811800000000006E-2</v>
      </c>
      <c r="W841">
        <v>6.4257019999999998E-2</v>
      </c>
      <c r="X841">
        <v>0.9955581</v>
      </c>
      <c r="Y841">
        <v>5.5626719999999998E-2</v>
      </c>
      <c r="Z841">
        <v>-1.050783E-3</v>
      </c>
      <c r="AA841">
        <v>0.99845110000000004</v>
      </c>
      <c r="AB841">
        <v>37</v>
      </c>
      <c r="AC841">
        <v>43.965899999999898</v>
      </c>
      <c r="AD841">
        <v>-1.0659526269040001</v>
      </c>
      <c r="AE841">
        <v>-1.76970000000005</v>
      </c>
      <c r="AF841">
        <v>2.46178188635283</v>
      </c>
      <c r="AG841">
        <v>-1.0659526269040001</v>
      </c>
      <c r="AH841">
        <v>43.906734332799097</v>
      </c>
      <c r="AI841">
        <v>91.388554069424302</v>
      </c>
      <c r="AJ841">
        <v>86.790875296921598</v>
      </c>
      <c r="AK841">
        <v>43.988611535598402</v>
      </c>
      <c r="AL841">
        <v>86.315805583797797</v>
      </c>
      <c r="AM841">
        <v>86.046071904913106</v>
      </c>
      <c r="AN841">
        <v>0.99999997945706498</v>
      </c>
    </row>
    <row r="842" spans="1:40" x14ac:dyDescent="0.25">
      <c r="A842" t="str">
        <f>"20190312151002405"</f>
        <v>20190312151002405</v>
      </c>
      <c r="B842" t="str">
        <f>"1552374602401202"</f>
        <v>1552374602401202</v>
      </c>
      <c r="C842" t="s">
        <v>40</v>
      </c>
      <c r="D842">
        <v>5.1322859999999997</v>
      </c>
      <c r="E842">
        <v>0.49554229999999999</v>
      </c>
      <c r="F842" t="s">
        <v>42</v>
      </c>
      <c r="G842">
        <v>-267.00740000000002</v>
      </c>
      <c r="H842" s="1">
        <v>-1.9349790000000002E-6</v>
      </c>
      <c r="I842">
        <v>366.1191</v>
      </c>
      <c r="J842">
        <v>-311.63260000000002</v>
      </c>
      <c r="K842">
        <v>1.0654090000000001</v>
      </c>
      <c r="L842">
        <v>367.96839999999997</v>
      </c>
      <c r="M842">
        <v>0.99974039999999997</v>
      </c>
      <c r="N842">
        <v>0</v>
      </c>
      <c r="O842">
        <v>1.5496070000000001E-2</v>
      </c>
      <c r="P842">
        <v>0.99741780000000002</v>
      </c>
      <c r="Q842">
        <v>4.7735399999999997E-2</v>
      </c>
      <c r="R842">
        <v>-5.3657049999999998E-2</v>
      </c>
      <c r="S842">
        <v>3.0044559999999998</v>
      </c>
      <c r="T842">
        <v>-7.1469190000000002E-2</v>
      </c>
      <c r="U842">
        <v>-0.1238098</v>
      </c>
      <c r="V842">
        <v>6.9189180000000003E-2</v>
      </c>
      <c r="W842">
        <v>6.4286049999999997E-2</v>
      </c>
      <c r="X842">
        <v>0.99553009999999997</v>
      </c>
      <c r="Y842">
        <v>5.6633570000000001E-2</v>
      </c>
      <c r="Z842">
        <v>-1.0416889999999999E-3</v>
      </c>
      <c r="AA842">
        <v>0.99839449999999996</v>
      </c>
      <c r="AB842">
        <v>37</v>
      </c>
      <c r="AC842">
        <v>44.6252</v>
      </c>
      <c r="AD842">
        <v>-1.065410934979</v>
      </c>
      <c r="AE842">
        <v>-1.84929999999997</v>
      </c>
      <c r="AF842">
        <v>2.5392447161092502</v>
      </c>
      <c r="AG842">
        <v>-1.065410934979</v>
      </c>
      <c r="AH842">
        <v>44.565820502959099</v>
      </c>
      <c r="AI842">
        <v>91.367261602748997</v>
      </c>
      <c r="AJ842">
        <v>86.738961134435797</v>
      </c>
      <c r="AK842">
        <v>44.650814340733199</v>
      </c>
      <c r="AL842">
        <v>86.314138951834494</v>
      </c>
      <c r="AM842">
        <v>86.024345525381904</v>
      </c>
      <c r="AN842">
        <v>1.00000000942984</v>
      </c>
    </row>
    <row r="843" spans="1:40" x14ac:dyDescent="0.25">
      <c r="A843" t="str">
        <f>"20190312151002419"</f>
        <v>20190312151002419</v>
      </c>
      <c r="B843" t="str">
        <f>"1552374602411305"</f>
        <v>1552374602411305</v>
      </c>
      <c r="C843" t="s">
        <v>40</v>
      </c>
      <c r="D843">
        <v>5.1315010000000001</v>
      </c>
      <c r="E843">
        <v>0.49552740000000001</v>
      </c>
      <c r="F843" t="s">
        <v>42</v>
      </c>
      <c r="G843">
        <v>-266.1114</v>
      </c>
      <c r="H843" s="1">
        <v>-2.281174E-6</v>
      </c>
      <c r="I843">
        <v>366.0609</v>
      </c>
      <c r="J843">
        <v>-311.4101</v>
      </c>
      <c r="K843">
        <v>1.0647960000000001</v>
      </c>
      <c r="L843">
        <v>367.97149999999999</v>
      </c>
      <c r="M843">
        <v>0.99974949999999996</v>
      </c>
      <c r="N843">
        <v>0</v>
      </c>
      <c r="O843">
        <v>1.5155190000000001E-2</v>
      </c>
      <c r="P843">
        <v>0.99736210000000003</v>
      </c>
      <c r="Q843">
        <v>4.796686E-2</v>
      </c>
      <c r="R843">
        <v>-5.4479739999999999E-2</v>
      </c>
      <c r="S843">
        <v>3.0043639999999998</v>
      </c>
      <c r="T843">
        <v>-7.0316199999999995E-2</v>
      </c>
      <c r="U843">
        <v>-0.125885</v>
      </c>
      <c r="V843">
        <v>6.9674299999999995E-2</v>
      </c>
      <c r="W843">
        <v>6.4280340000000005E-2</v>
      </c>
      <c r="X843">
        <v>0.99549659999999995</v>
      </c>
      <c r="Y843">
        <v>5.6983399999999997E-2</v>
      </c>
      <c r="Z843">
        <v>-1.0210200000000001E-3</v>
      </c>
      <c r="AA843">
        <v>0.9983746</v>
      </c>
      <c r="AB843">
        <v>37</v>
      </c>
      <c r="AC843">
        <v>45.298699999999997</v>
      </c>
      <c r="AD843">
        <v>-1.06479828117399</v>
      </c>
      <c r="AE843">
        <v>-1.9105999999999801</v>
      </c>
      <c r="AF843">
        <v>2.5955524514233401</v>
      </c>
      <c r="AG843">
        <v>-1.06479828117399</v>
      </c>
      <c r="AH843">
        <v>45.239584496834198</v>
      </c>
      <c r="AI843">
        <v>91.346101591968093</v>
      </c>
      <c r="AJ843">
        <v>86.716341470539902</v>
      </c>
      <c r="AK843">
        <v>45.326489973898099</v>
      </c>
      <c r="AL843">
        <v>86.314466663212102</v>
      </c>
      <c r="AM843">
        <v>85.996426263752596</v>
      </c>
      <c r="AN843">
        <v>0.99999997540128205</v>
      </c>
    </row>
    <row r="844" spans="1:40" x14ac:dyDescent="0.25">
      <c r="A844" t="str">
        <f>"20190312151002431"</f>
        <v>20190312151002431</v>
      </c>
      <c r="B844" t="str">
        <f>"1552374602422040"</f>
        <v>1552374602422040</v>
      </c>
      <c r="C844" t="s">
        <v>40</v>
      </c>
      <c r="D844">
        <v>5.1020649999999996</v>
      </c>
      <c r="E844">
        <v>0.49538860000000001</v>
      </c>
      <c r="F844" t="s">
        <v>42</v>
      </c>
      <c r="G844">
        <v>-265.79939999999999</v>
      </c>
      <c r="H844" s="1">
        <v>-2.420647E-6</v>
      </c>
      <c r="I844">
        <v>366.02929999999998</v>
      </c>
      <c r="J844">
        <v>-311.18060000000003</v>
      </c>
      <c r="K844">
        <v>1.06424599999999</v>
      </c>
      <c r="L844">
        <v>367.97469999999998</v>
      </c>
      <c r="M844">
        <v>0.9997587</v>
      </c>
      <c r="N844">
        <v>0</v>
      </c>
      <c r="O844">
        <v>1.4793010000000001E-2</v>
      </c>
      <c r="P844">
        <v>0.99731879999999995</v>
      </c>
      <c r="Q844">
        <v>4.815125E-2</v>
      </c>
      <c r="R844">
        <v>-5.5109829999999999E-2</v>
      </c>
      <c r="S844">
        <v>3.0043329999999999</v>
      </c>
      <c r="T844">
        <v>-7.0137140000000001E-2</v>
      </c>
      <c r="U844">
        <v>-0.12792970000000001</v>
      </c>
      <c r="V844">
        <v>6.9944839999999994E-2</v>
      </c>
      <c r="W844">
        <v>6.4238939999999994E-2</v>
      </c>
      <c r="X844">
        <v>0.99548029999999998</v>
      </c>
      <c r="Y844">
        <v>5.7300469999999999E-2</v>
      </c>
      <c r="Z844">
        <v>-1.0136629999999999E-3</v>
      </c>
      <c r="AA844">
        <v>0.99835649999999998</v>
      </c>
      <c r="AB844">
        <v>37</v>
      </c>
      <c r="AC844">
        <v>45.3812</v>
      </c>
      <c r="AD844">
        <v>-1.06424842064699</v>
      </c>
      <c r="AE844">
        <v>-1.9454</v>
      </c>
      <c r="AF844">
        <v>2.6151645455804999</v>
      </c>
      <c r="AG844">
        <v>-1.06424842064699</v>
      </c>
      <c r="AH844">
        <v>45.322570795502997</v>
      </c>
      <c r="AI844">
        <v>91.342918939746696</v>
      </c>
      <c r="AJ844">
        <v>86.697629266523904</v>
      </c>
      <c r="AK844">
        <v>45.410429791124997</v>
      </c>
      <c r="AL844">
        <v>86.316843619253405</v>
      </c>
      <c r="AM844">
        <v>85.980865945345897</v>
      </c>
      <c r="AN844">
        <v>0.99999997487151904</v>
      </c>
    </row>
    <row r="845" spans="1:40" x14ac:dyDescent="0.25">
      <c r="A845" t="str">
        <f>"20190312151002451"</f>
        <v>20190312151002451</v>
      </c>
      <c r="B845" t="str">
        <f>"1552374602441560"</f>
        <v>1552374602441560</v>
      </c>
      <c r="C845" t="s">
        <v>40</v>
      </c>
      <c r="D845">
        <v>5.1272419999999999</v>
      </c>
      <c r="E845">
        <v>0.49519679999999999</v>
      </c>
      <c r="F845" t="s">
        <v>42</v>
      </c>
      <c r="G845">
        <v>-265.37130000000002</v>
      </c>
      <c r="H845" s="1">
        <v>-2.6074490000000001E-6</v>
      </c>
      <c r="I845">
        <v>366.01139999999998</v>
      </c>
      <c r="J845">
        <v>-310.86509999999998</v>
      </c>
      <c r="K845">
        <v>1.0635669999999999</v>
      </c>
      <c r="L845">
        <v>367.97890000000001</v>
      </c>
      <c r="M845">
        <v>0.99977059999999995</v>
      </c>
      <c r="N845">
        <v>0</v>
      </c>
      <c r="O845">
        <v>1.428931E-2</v>
      </c>
      <c r="P845">
        <v>0.99728000000000006</v>
      </c>
      <c r="Q845">
        <v>4.777551E-2</v>
      </c>
      <c r="R845">
        <v>-5.6129419999999999E-2</v>
      </c>
      <c r="S845">
        <v>3.0043329999999999</v>
      </c>
      <c r="T845">
        <v>-6.9797159999999997E-2</v>
      </c>
      <c r="U845">
        <v>-0.1287537</v>
      </c>
      <c r="V845">
        <v>7.0463250000000005E-2</v>
      </c>
      <c r="W845">
        <v>6.3574629999999993E-2</v>
      </c>
      <c r="X845">
        <v>0.99548639999999999</v>
      </c>
      <c r="Y845">
        <v>5.70711E-2</v>
      </c>
      <c r="Z845">
        <v>-9.9438270000000006E-4</v>
      </c>
      <c r="AA845">
        <v>0.99836959999999997</v>
      </c>
      <c r="AB845">
        <v>37</v>
      </c>
      <c r="AC845">
        <v>45.493799999999901</v>
      </c>
      <c r="AD845">
        <v>-1.063569607449</v>
      </c>
      <c r="AE845">
        <v>-1.96750000000002</v>
      </c>
      <c r="AF845">
        <v>2.61602972817423</v>
      </c>
      <c r="AG845">
        <v>-1.063569607449</v>
      </c>
      <c r="AH845">
        <v>45.436249542105898</v>
      </c>
      <c r="AI845">
        <v>91.338715792907095</v>
      </c>
      <c r="AJ845">
        <v>86.704785975731696</v>
      </c>
      <c r="AK845">
        <v>45.5239229889198</v>
      </c>
      <c r="AL845">
        <v>86.354983790991994</v>
      </c>
      <c r="AM845">
        <v>85.951200773046196</v>
      </c>
      <c r="AN845">
        <v>0.99999998788257904</v>
      </c>
    </row>
    <row r="846" spans="1:40" x14ac:dyDescent="0.25">
      <c r="A846" t="str">
        <f>"20190312151002464"</f>
        <v>20190312151002464</v>
      </c>
      <c r="B846" t="str">
        <f>"1552374602451321"</f>
        <v>1552374602451321</v>
      </c>
      <c r="C846" t="s">
        <v>40</v>
      </c>
      <c r="D846">
        <v>5.123291</v>
      </c>
      <c r="E846">
        <v>0.4953129</v>
      </c>
      <c r="F846" t="s">
        <v>43</v>
      </c>
      <c r="G846">
        <v>-290.96269999999998</v>
      </c>
      <c r="H846">
        <v>-0.05</v>
      </c>
      <c r="I846">
        <v>367.11669999999998</v>
      </c>
      <c r="J846">
        <v>-310.65050000000002</v>
      </c>
      <c r="K846">
        <v>1.0631569999999999</v>
      </c>
      <c r="L846">
        <v>367.98160000000001</v>
      </c>
      <c r="M846">
        <v>0.99977830000000001</v>
      </c>
      <c r="N846">
        <v>0</v>
      </c>
      <c r="O846">
        <v>1.39434E-2</v>
      </c>
      <c r="P846">
        <v>0.99722719999999998</v>
      </c>
      <c r="Q846">
        <v>4.8133750000000003E-2</v>
      </c>
      <c r="R846">
        <v>-5.6756229999999998E-2</v>
      </c>
      <c r="S846">
        <v>3.0089109999999999</v>
      </c>
      <c r="T846">
        <v>-0.16835329999999901</v>
      </c>
      <c r="U846">
        <v>-0.1303406</v>
      </c>
      <c r="V846">
        <v>7.0746119999999996E-2</v>
      </c>
      <c r="W846">
        <v>6.3751180000000005E-2</v>
      </c>
      <c r="X846">
        <v>0.99545510000000004</v>
      </c>
      <c r="Y846">
        <v>5.7094539999999999E-2</v>
      </c>
      <c r="Z846">
        <v>-2.374588E-3</v>
      </c>
      <c r="AA846">
        <v>0.99836590000000003</v>
      </c>
      <c r="AB846">
        <v>37</v>
      </c>
      <c r="AC846">
        <v>19.687799999999999</v>
      </c>
      <c r="AD846">
        <v>-1.113157</v>
      </c>
      <c r="AE846">
        <v>-0.86490000000003397</v>
      </c>
      <c r="AF846">
        <v>1.1357411745622199</v>
      </c>
      <c r="AG846">
        <v>-1.113157</v>
      </c>
      <c r="AH846">
        <v>19.611251525510198</v>
      </c>
      <c r="AI846">
        <v>93.243265284224506</v>
      </c>
      <c r="AJ846">
        <v>86.685546938483498</v>
      </c>
      <c r="AK846">
        <v>19.675624841896902</v>
      </c>
      <c r="AL846">
        <v>86.344847854877301</v>
      </c>
      <c r="AM846">
        <v>85.934874131960498</v>
      </c>
      <c r="AN846">
        <v>1.00000004128122</v>
      </c>
    </row>
    <row r="847" spans="1:40" x14ac:dyDescent="0.25">
      <c r="A847" t="str">
        <f>"20190312151002483"</f>
        <v>20190312151002483</v>
      </c>
      <c r="B847" t="str">
        <f>"1552374602471816"</f>
        <v>1552374602471816</v>
      </c>
      <c r="C847" t="s">
        <v>40</v>
      </c>
      <c r="D847">
        <v>5.1539890000000002</v>
      </c>
      <c r="E847">
        <v>0.49520350000000002</v>
      </c>
      <c r="F847" t="s">
        <v>43</v>
      </c>
      <c r="G847">
        <v>-289.31380000000001</v>
      </c>
      <c r="H847">
        <v>-0.05</v>
      </c>
      <c r="I847">
        <v>367.03519999999997</v>
      </c>
      <c r="J847">
        <v>-310.3254</v>
      </c>
      <c r="K847">
        <v>1.062611</v>
      </c>
      <c r="L847">
        <v>367.98559999999998</v>
      </c>
      <c r="M847">
        <v>0.9997895</v>
      </c>
      <c r="N847">
        <v>0</v>
      </c>
      <c r="O847">
        <v>1.3415969999999999E-2</v>
      </c>
      <c r="P847">
        <v>0.99715980000000004</v>
      </c>
      <c r="Q847">
        <v>4.8097840000000003E-2</v>
      </c>
      <c r="R847">
        <v>-5.7957710000000003E-2</v>
      </c>
      <c r="S847">
        <v>3.0083310000000001</v>
      </c>
      <c r="T847">
        <v>-0.1569479</v>
      </c>
      <c r="U847">
        <v>-0.13342290000000001</v>
      </c>
      <c r="V847">
        <v>7.1422269999999996E-2</v>
      </c>
      <c r="W847">
        <v>6.3463749999999999E-2</v>
      </c>
      <c r="X847">
        <v>0.99542520000000001</v>
      </c>
      <c r="Y847">
        <v>5.7611549999999997E-2</v>
      </c>
      <c r="Z847">
        <v>-2.2002979999999998E-3</v>
      </c>
      <c r="AA847">
        <v>0.99833669999999997</v>
      </c>
      <c r="AB847">
        <v>37</v>
      </c>
      <c r="AC847">
        <v>21.011599999999898</v>
      </c>
      <c r="AD847">
        <v>-1.112611</v>
      </c>
      <c r="AE847">
        <v>-0.95040000000000202</v>
      </c>
      <c r="AF847">
        <v>1.22880096261141</v>
      </c>
      <c r="AG847">
        <v>-1.112611</v>
      </c>
      <c r="AH847">
        <v>20.938366449069498</v>
      </c>
      <c r="AI847">
        <v>93.036475165007204</v>
      </c>
      <c r="AJ847">
        <v>86.641359388157994</v>
      </c>
      <c r="AK847">
        <v>21.0038816555072</v>
      </c>
      <c r="AL847">
        <v>86.361349859431996</v>
      </c>
      <c r="AM847">
        <v>85.896031309808293</v>
      </c>
      <c r="AN847">
        <v>1.00000005850552</v>
      </c>
    </row>
    <row r="848" spans="1:40" x14ac:dyDescent="0.25">
      <c r="A848" t="str">
        <f>"20190312151002505"</f>
        <v>20190312151002505</v>
      </c>
      <c r="B848" t="str">
        <f>"1552374602501096"</f>
        <v>1552374602501096</v>
      </c>
      <c r="C848" t="s">
        <v>40</v>
      </c>
      <c r="D848">
        <v>5.2589589999999999</v>
      </c>
      <c r="E848">
        <v>0.5139359</v>
      </c>
      <c r="F848" t="s">
        <v>43</v>
      </c>
      <c r="G848">
        <v>-288.63959999999997</v>
      </c>
      <c r="H848">
        <v>-0.05</v>
      </c>
      <c r="I848">
        <v>367.00720000000001</v>
      </c>
      <c r="J848">
        <v>-309.95639999999997</v>
      </c>
      <c r="K848">
        <v>1.062079</v>
      </c>
      <c r="L848">
        <v>367.98989999999998</v>
      </c>
      <c r="M848">
        <v>0.99980119999999895</v>
      </c>
      <c r="N848">
        <v>0</v>
      </c>
      <c r="O848">
        <v>1.2815409999999999E-2</v>
      </c>
      <c r="P848">
        <v>0.99711249999999996</v>
      </c>
      <c r="Q848">
        <v>4.8070920000000003E-2</v>
      </c>
      <c r="R848">
        <v>-5.8788670000000001E-2</v>
      </c>
      <c r="S848">
        <v>3.0080870000000002</v>
      </c>
      <c r="T848">
        <v>-0.1543329</v>
      </c>
      <c r="U848">
        <v>-0.13571169999999999</v>
      </c>
      <c r="V848">
        <v>7.1654659999999995E-2</v>
      </c>
      <c r="W848">
        <v>6.3187270000000004E-2</v>
      </c>
      <c r="X848">
        <v>0.99542600000000003</v>
      </c>
      <c r="Y848">
        <v>5.7777269999999999E-2</v>
      </c>
      <c r="Z848">
        <v>-2.1372869999999999E-3</v>
      </c>
      <c r="AA848">
        <v>0.99832719999999997</v>
      </c>
      <c r="AB848">
        <v>37</v>
      </c>
      <c r="AC848">
        <v>21.316800000000001</v>
      </c>
      <c r="AD848">
        <v>-1.112079</v>
      </c>
      <c r="AE848">
        <v>-0.98269999999996505</v>
      </c>
      <c r="AF848">
        <v>1.25243327197412</v>
      </c>
      <c r="AG848">
        <v>-1.112079</v>
      </c>
      <c r="AH848">
        <v>21.244756362098499</v>
      </c>
      <c r="AI848">
        <v>92.991288628967297</v>
      </c>
      <c r="AJ848">
        <v>86.626170638963302</v>
      </c>
      <c r="AK848">
        <v>21.310677644972099</v>
      </c>
      <c r="AL848">
        <v>86.377222538085803</v>
      </c>
      <c r="AM848">
        <v>85.8827271795315</v>
      </c>
      <c r="AN848">
        <v>0.99999997143288299</v>
      </c>
    </row>
    <row r="849" spans="1:40" x14ac:dyDescent="0.25">
      <c r="A849" t="str">
        <f>"20190312151002517"</f>
        <v>20190312151002517</v>
      </c>
      <c r="B849" t="str">
        <f>"1552374602511832"</f>
        <v>1552374602511832</v>
      </c>
      <c r="C849" t="s">
        <v>40</v>
      </c>
      <c r="D849">
        <v>5.2372379999999996</v>
      </c>
      <c r="E849">
        <v>0.51910979999999995</v>
      </c>
      <c r="F849" t="s">
        <v>43</v>
      </c>
      <c r="G849">
        <v>-284.30829999999997</v>
      </c>
      <c r="H849">
        <v>-0.05</v>
      </c>
      <c r="I849">
        <v>365.53190000000001</v>
      </c>
      <c r="J849">
        <v>-309.75920000000002</v>
      </c>
      <c r="K849">
        <v>1.061828</v>
      </c>
      <c r="L849">
        <v>367.99220000000003</v>
      </c>
      <c r="M849">
        <v>0.99980709999999995</v>
      </c>
      <c r="N849">
        <v>0</v>
      </c>
      <c r="O849">
        <v>1.249458E-2</v>
      </c>
      <c r="P849">
        <v>0.99705670000000002</v>
      </c>
      <c r="Q849">
        <v>4.8201550000000003E-2</v>
      </c>
      <c r="R849">
        <v>-5.9623540000000003E-2</v>
      </c>
      <c r="S849">
        <v>2.9980159999999998</v>
      </c>
      <c r="T849">
        <v>-0.12999169999999999</v>
      </c>
      <c r="U849">
        <v>-0.287323</v>
      </c>
      <c r="V849">
        <v>7.2169369999999997E-2</v>
      </c>
      <c r="W849">
        <v>6.3194890000000004E-2</v>
      </c>
      <c r="X849">
        <v>0.99538839999999995</v>
      </c>
      <c r="Y849">
        <v>0.1077202</v>
      </c>
      <c r="Z849">
        <v>-2.869304E-3</v>
      </c>
      <c r="AA849">
        <v>0.99417710000000004</v>
      </c>
      <c r="AB849">
        <v>37</v>
      </c>
      <c r="AC849">
        <v>25.450900000000001</v>
      </c>
      <c r="AD849">
        <v>-1.111828</v>
      </c>
      <c r="AE849">
        <v>-2.4603000000000099</v>
      </c>
      <c r="AF849">
        <v>2.7728999269856902</v>
      </c>
      <c r="AG849">
        <v>-1.111828</v>
      </c>
      <c r="AH849">
        <v>25.370200708660199</v>
      </c>
      <c r="AI849">
        <v>92.494497983976501</v>
      </c>
      <c r="AJ849">
        <v>83.7624726936738</v>
      </c>
      <c r="AK849">
        <v>25.545493134883099</v>
      </c>
      <c r="AL849">
        <v>86.376785316777301</v>
      </c>
      <c r="AM849">
        <v>85.853098681285999</v>
      </c>
      <c r="AN849">
        <v>1.0000000394714299</v>
      </c>
    </row>
    <row r="850" spans="1:40" x14ac:dyDescent="0.25">
      <c r="A850" t="str">
        <f>"20190312151002529"</f>
        <v>20190312151002529</v>
      </c>
      <c r="B850" t="str">
        <f>"1552374602521592"</f>
        <v>1552374602521592</v>
      </c>
      <c r="C850" t="s">
        <v>40</v>
      </c>
      <c r="D850">
        <v>5.1496300000000002</v>
      </c>
      <c r="E850">
        <v>0.52275499999999997</v>
      </c>
      <c r="F850" t="s">
        <v>43</v>
      </c>
      <c r="G850">
        <v>-285.77159999999998</v>
      </c>
      <c r="H850">
        <v>-0.05</v>
      </c>
      <c r="I850">
        <v>365.3424</v>
      </c>
      <c r="J850">
        <v>-309.57549999999998</v>
      </c>
      <c r="K850">
        <v>1.061631</v>
      </c>
      <c r="L850">
        <v>367.99419999999998</v>
      </c>
      <c r="M850">
        <v>0.99981220000000004</v>
      </c>
      <c r="N850">
        <v>0</v>
      </c>
      <c r="O850">
        <v>1.219599E-2</v>
      </c>
      <c r="P850">
        <v>0.99702950000000001</v>
      </c>
      <c r="Q850">
        <v>4.8198249999999998E-2</v>
      </c>
      <c r="R850">
        <v>-6.0076770000000002E-2</v>
      </c>
      <c r="S850">
        <v>2.9957889999999998</v>
      </c>
      <c r="T850">
        <v>-0.13885520000000001</v>
      </c>
      <c r="U850">
        <v>-0.33093260000000002</v>
      </c>
      <c r="V850">
        <v>7.2325109999999998E-2</v>
      </c>
      <c r="W850">
        <v>6.3091620000000001E-2</v>
      </c>
      <c r="X850">
        <v>0.99538360000000004</v>
      </c>
      <c r="Y850">
        <v>0.1217714</v>
      </c>
      <c r="Z850">
        <v>-3.3754269999999999E-3</v>
      </c>
      <c r="AA850">
        <v>0.99255249999999995</v>
      </c>
      <c r="AB850">
        <v>37</v>
      </c>
      <c r="AC850">
        <v>23.803899999999999</v>
      </c>
      <c r="AD850">
        <v>-1.111631</v>
      </c>
      <c r="AE850">
        <v>-2.6517999999999802</v>
      </c>
      <c r="AF850">
        <v>2.9356241213540502</v>
      </c>
      <c r="AG850">
        <v>-1.111631</v>
      </c>
      <c r="AH850">
        <v>23.718691475231999</v>
      </c>
      <c r="AI850">
        <v>92.663044909686107</v>
      </c>
      <c r="AJ850">
        <v>82.944474896289805</v>
      </c>
      <c r="AK850">
        <v>23.925508098246901</v>
      </c>
      <c r="AL850">
        <v>86.382713912931095</v>
      </c>
      <c r="AM850">
        <v>85.844161104494802</v>
      </c>
      <c r="AN850">
        <v>0.99999999259984795</v>
      </c>
    </row>
    <row r="851" spans="1:40" x14ac:dyDescent="0.25">
      <c r="A851" t="str">
        <f>"20190312151002540"</f>
        <v>20190312151002540</v>
      </c>
      <c r="B851" t="str">
        <f>"1552374602531352"</f>
        <v>1552374602531352</v>
      </c>
      <c r="C851" t="s">
        <v>40</v>
      </c>
      <c r="D851">
        <v>5.127338</v>
      </c>
      <c r="E851">
        <v>0.52541910000000003</v>
      </c>
      <c r="F851" t="s">
        <v>43</v>
      </c>
      <c r="G851">
        <v>-283.7747</v>
      </c>
      <c r="H851">
        <v>-0.05</v>
      </c>
      <c r="I851">
        <v>364.88029999999998</v>
      </c>
      <c r="J851">
        <v>-309.39359999999999</v>
      </c>
      <c r="K851">
        <v>1.0614380000000001</v>
      </c>
      <c r="L851">
        <v>367.99619999999999</v>
      </c>
      <c r="M851">
        <v>0.99981730000000002</v>
      </c>
      <c r="N851">
        <v>0</v>
      </c>
      <c r="O851">
        <v>1.190016E-2</v>
      </c>
      <c r="P851">
        <v>0.99698869999999895</v>
      </c>
      <c r="Q851">
        <v>4.8188050000000003E-2</v>
      </c>
      <c r="R851">
        <v>-6.0758720000000002E-2</v>
      </c>
      <c r="S851">
        <v>2.9933779999999999</v>
      </c>
      <c r="T851">
        <v>-0.128969899999999</v>
      </c>
      <c r="U851">
        <v>-0.36126710000000001</v>
      </c>
      <c r="V851">
        <v>7.2712059999999995E-2</v>
      </c>
      <c r="W851">
        <v>6.2984059999999994E-2</v>
      </c>
      <c r="X851">
        <v>0.99536219999999997</v>
      </c>
      <c r="Y851">
        <v>0.13149539999999901</v>
      </c>
      <c r="Z851">
        <v>-3.33198E-3</v>
      </c>
      <c r="AA851">
        <v>0.99131119999999995</v>
      </c>
      <c r="AB851">
        <v>37</v>
      </c>
      <c r="AC851">
        <v>25.6189</v>
      </c>
      <c r="AD851">
        <v>-1.1114379999999999</v>
      </c>
      <c r="AE851">
        <v>-3.1159000000000101</v>
      </c>
      <c r="AF851">
        <v>3.4142500497058799</v>
      </c>
      <c r="AG851">
        <v>-1.1114379999999999</v>
      </c>
      <c r="AH851">
        <v>25.532646437124701</v>
      </c>
      <c r="AI851">
        <v>92.470553147764505</v>
      </c>
      <c r="AJ851">
        <v>82.383536179913605</v>
      </c>
      <c r="AK851">
        <v>25.783879303025302</v>
      </c>
      <c r="AL851">
        <v>86.388888855009</v>
      </c>
      <c r="AM851">
        <v>85.821915771793599</v>
      </c>
      <c r="AN851">
        <v>0.99999997233618299</v>
      </c>
    </row>
    <row r="852" spans="1:40" x14ac:dyDescent="0.25">
      <c r="A852" t="str">
        <f>"20190312151002550"</f>
        <v>20190312151002550</v>
      </c>
      <c r="B852" t="str">
        <f>"1552374602541115"</f>
        <v>1552374602541115</v>
      </c>
      <c r="C852" t="s">
        <v>40</v>
      </c>
      <c r="D852">
        <v>5.0944820000000002</v>
      </c>
      <c r="E852">
        <v>0.52724009999999999</v>
      </c>
      <c r="F852" t="s">
        <v>43</v>
      </c>
      <c r="G852">
        <v>-282.17970000000003</v>
      </c>
      <c r="H852">
        <v>-0.05</v>
      </c>
      <c r="I852">
        <v>364.49939999999998</v>
      </c>
      <c r="J852">
        <v>-309.20179999999999</v>
      </c>
      <c r="K852">
        <v>1.0612619999999999</v>
      </c>
      <c r="L852">
        <v>367.99810000000002</v>
      </c>
      <c r="M852">
        <v>0.99982230000000005</v>
      </c>
      <c r="N852">
        <v>0</v>
      </c>
      <c r="O852">
        <v>1.1588680000000001E-2</v>
      </c>
      <c r="P852">
        <v>0.99695610000000001</v>
      </c>
      <c r="Q852">
        <v>4.807678E-2</v>
      </c>
      <c r="R852">
        <v>-6.1380490000000003E-2</v>
      </c>
      <c r="S852">
        <v>2.9915769999999999</v>
      </c>
      <c r="T852">
        <v>-0.12217889999999999</v>
      </c>
      <c r="U852">
        <v>-0.3843994</v>
      </c>
      <c r="V852">
        <v>7.3022939999999995E-2</v>
      </c>
      <c r="W852">
        <v>6.2782279999999996E-2</v>
      </c>
      <c r="X852">
        <v>0.99535220000000002</v>
      </c>
      <c r="Y852">
        <v>0.13880960000000001</v>
      </c>
      <c r="Z852">
        <v>-3.2930849999999998E-3</v>
      </c>
      <c r="AA852">
        <v>0.99031360000000002</v>
      </c>
      <c r="AB852">
        <v>37</v>
      </c>
      <c r="AC852">
        <v>27.022099999999899</v>
      </c>
      <c r="AD852">
        <v>-1.111262</v>
      </c>
      <c r="AE852">
        <v>-3.4987000000000399</v>
      </c>
      <c r="AF852">
        <v>3.80532064811878</v>
      </c>
      <c r="AG852">
        <v>-1.111262</v>
      </c>
      <c r="AH852">
        <v>26.934933949479099</v>
      </c>
      <c r="AI852">
        <v>92.339323538717295</v>
      </c>
      <c r="AJ852">
        <v>81.958571136346507</v>
      </c>
      <c r="AK852">
        <v>27.2250993630959</v>
      </c>
      <c r="AL852">
        <v>86.400472963152097</v>
      </c>
      <c r="AM852">
        <v>85.804074055291096</v>
      </c>
      <c r="AN852">
        <v>0.99999998324654005</v>
      </c>
    </row>
    <row r="853" spans="1:40" x14ac:dyDescent="0.25">
      <c r="A853" t="str">
        <f>"20190312151002573"</f>
        <v>20190312151002573</v>
      </c>
      <c r="B853" t="str">
        <f>"1552374602561608"</f>
        <v>1552374602561608</v>
      </c>
      <c r="C853" t="s">
        <v>40</v>
      </c>
      <c r="D853">
        <v>5.1125249999999998</v>
      </c>
      <c r="E853">
        <v>0.52930390000000005</v>
      </c>
      <c r="F853" t="s">
        <v>43</v>
      </c>
      <c r="G853">
        <v>-280.63339999999999</v>
      </c>
      <c r="H853">
        <v>-0.05</v>
      </c>
      <c r="I853">
        <v>364.16829999999999</v>
      </c>
      <c r="J853">
        <v>-308.84649999999999</v>
      </c>
      <c r="K853">
        <v>1.0609710000000001</v>
      </c>
      <c r="L853">
        <v>368.00170000000003</v>
      </c>
      <c r="M853">
        <v>0.99983100000000003</v>
      </c>
      <c r="N853">
        <v>0</v>
      </c>
      <c r="O853">
        <v>1.101244E-2</v>
      </c>
      <c r="P853">
        <v>0.99687329999999996</v>
      </c>
      <c r="Q853">
        <v>4.8202799999999997E-2</v>
      </c>
      <c r="R853">
        <v>-6.2614429999999999E-2</v>
      </c>
      <c r="S853">
        <v>2.9900820000000001</v>
      </c>
      <c r="T853">
        <v>-0.11630890000000001</v>
      </c>
      <c r="U853">
        <v>-0.40084839999999999</v>
      </c>
      <c r="V853">
        <v>7.3682079999999997E-2</v>
      </c>
      <c r="W853">
        <v>6.2755149999999996E-2</v>
      </c>
      <c r="X853">
        <v>0.99530540000000001</v>
      </c>
      <c r="Y853">
        <v>0.14366370000000001</v>
      </c>
      <c r="Z853">
        <v>-3.2070689999999999E-3</v>
      </c>
      <c r="AA853">
        <v>0.98962139999999998</v>
      </c>
      <c r="AB853">
        <v>37</v>
      </c>
      <c r="AC853">
        <v>28.213100000000001</v>
      </c>
      <c r="AD853">
        <v>-1.1109709999999999</v>
      </c>
      <c r="AE853">
        <v>-3.8334000000000401</v>
      </c>
      <c r="AF853">
        <v>4.1375967180752102</v>
      </c>
      <c r="AG853">
        <v>-1.1109709999999999</v>
      </c>
      <c r="AH853">
        <v>28.126346607979599</v>
      </c>
      <c r="AI853">
        <v>92.237906944911003</v>
      </c>
      <c r="AJ853">
        <v>81.631383609031204</v>
      </c>
      <c r="AK853">
        <v>28.450752831453698</v>
      </c>
      <c r="AL853">
        <v>86.402030704072004</v>
      </c>
      <c r="AM853">
        <v>85.766138372105402</v>
      </c>
      <c r="AN853">
        <v>1.0000000485169001</v>
      </c>
    </row>
    <row r="854" spans="1:40" x14ac:dyDescent="0.25">
      <c r="A854" t="str">
        <f>"20190312151002585"</f>
        <v>20190312151002585</v>
      </c>
      <c r="B854" t="str">
        <f>"1552374602581128"</f>
        <v>1552374602581128</v>
      </c>
      <c r="C854" t="s">
        <v>40</v>
      </c>
      <c r="D854">
        <v>5.1142219999999998</v>
      </c>
      <c r="E854">
        <v>0.53050280000000005</v>
      </c>
      <c r="F854" t="s">
        <v>43</v>
      </c>
      <c r="G854">
        <v>-279.3897</v>
      </c>
      <c r="H854">
        <v>-0.05</v>
      </c>
      <c r="I854">
        <v>363.85289999999998</v>
      </c>
      <c r="J854">
        <v>-308.64940000000001</v>
      </c>
      <c r="K854">
        <v>1.0608329999999999</v>
      </c>
      <c r="L854">
        <v>368.00360000000001</v>
      </c>
      <c r="M854">
        <v>0.99983560000000005</v>
      </c>
      <c r="N854">
        <v>0</v>
      </c>
      <c r="O854">
        <v>1.069324E-2</v>
      </c>
      <c r="P854">
        <v>0.99680809999999997</v>
      </c>
      <c r="Q854">
        <v>4.8448739999999997E-2</v>
      </c>
      <c r="R854">
        <v>-6.3455339999999999E-2</v>
      </c>
      <c r="S854">
        <v>2.9884339999999998</v>
      </c>
      <c r="T854">
        <v>-0.1127099</v>
      </c>
      <c r="U854">
        <v>-0.42089840000000001</v>
      </c>
      <c r="V854">
        <v>7.4205069999999998E-2</v>
      </c>
      <c r="W854">
        <v>6.2925529999999993E-2</v>
      </c>
      <c r="X854">
        <v>0.99525580000000002</v>
      </c>
      <c r="Y854">
        <v>0.14993589999999901</v>
      </c>
      <c r="Z854">
        <v>-3.2138650000000002E-3</v>
      </c>
      <c r="AA854">
        <v>0.98869050000000003</v>
      </c>
      <c r="AB854">
        <v>37</v>
      </c>
      <c r="AC854">
        <v>29.259699999999999</v>
      </c>
      <c r="AD854">
        <v>-1.110833</v>
      </c>
      <c r="AE854">
        <v>-4.15070000000002</v>
      </c>
      <c r="AF854">
        <v>4.4570798646650296</v>
      </c>
      <c r="AG854">
        <v>-1.110833</v>
      </c>
      <c r="AH854">
        <v>29.1724204375246</v>
      </c>
      <c r="AI854">
        <v>92.155675325841401</v>
      </c>
      <c r="AJ854">
        <v>81.313295545427806</v>
      </c>
      <c r="AK854">
        <v>29.5318408680799</v>
      </c>
      <c r="AL854">
        <v>86.392249363027105</v>
      </c>
      <c r="AM854">
        <v>85.735985462308605</v>
      </c>
      <c r="AN854">
        <v>1.00000006108656</v>
      </c>
    </row>
    <row r="855" spans="1:40" x14ac:dyDescent="0.25">
      <c r="A855" t="str">
        <f>"20190312151002596"</f>
        <v>20190312151002596</v>
      </c>
      <c r="B855" t="str">
        <f>"1552374602591864"</f>
        <v>1552374602591864</v>
      </c>
      <c r="C855" t="s">
        <v>40</v>
      </c>
      <c r="D855">
        <v>5.114109</v>
      </c>
      <c r="E855">
        <v>0.53079229999999999</v>
      </c>
      <c r="F855" t="s">
        <v>42</v>
      </c>
      <c r="G855">
        <v>-279.57679999999999</v>
      </c>
      <c r="H855" s="1">
        <v>-1.6799809999999999E-6</v>
      </c>
      <c r="I855">
        <v>363.79129999999998</v>
      </c>
      <c r="J855">
        <v>-308.4427</v>
      </c>
      <c r="K855">
        <v>1.0606930000000001</v>
      </c>
      <c r="L855">
        <v>368.00549999999998</v>
      </c>
      <c r="M855">
        <v>0.99984010000000001</v>
      </c>
      <c r="N855">
        <v>0</v>
      </c>
      <c r="O855">
        <v>1.035895E-2</v>
      </c>
      <c r="P855">
        <v>0.99677640000000001</v>
      </c>
      <c r="Q855">
        <v>4.8159109999999998E-2</v>
      </c>
      <c r="R855">
        <v>-6.4167650000000007E-2</v>
      </c>
      <c r="S855">
        <v>2.9873660000000002</v>
      </c>
      <c r="T855">
        <v>-0.1090058</v>
      </c>
      <c r="U855">
        <v>-0.43283080000000002</v>
      </c>
      <c r="V855">
        <v>7.4583559999999993E-2</v>
      </c>
      <c r="W855">
        <v>6.2563850000000004E-2</v>
      </c>
      <c r="X855">
        <v>0.99525019999999997</v>
      </c>
      <c r="Y855">
        <v>0.15352829999999901</v>
      </c>
      <c r="Z855">
        <v>-3.1615889999999998E-3</v>
      </c>
      <c r="AA855">
        <v>0.9881392</v>
      </c>
      <c r="AB855">
        <v>37</v>
      </c>
      <c r="AC855">
        <v>28.8659</v>
      </c>
      <c r="AD855">
        <v>-1.060694679981</v>
      </c>
      <c r="AE855">
        <v>-4.2141999999999999</v>
      </c>
      <c r="AF855">
        <v>4.5070674066629302</v>
      </c>
      <c r="AG855">
        <v>-1.060694679981</v>
      </c>
      <c r="AH855">
        <v>28.782639139346699</v>
      </c>
      <c r="AI855">
        <v>92.085116518969002</v>
      </c>
      <c r="AJ855">
        <v>81.100337303486796</v>
      </c>
      <c r="AK855">
        <v>29.152685050235</v>
      </c>
      <c r="AL855">
        <v>86.413012618903394</v>
      </c>
      <c r="AM855">
        <v>85.714293254779605</v>
      </c>
      <c r="AN855">
        <v>0.99999995167456601</v>
      </c>
    </row>
    <row r="856" spans="1:40" x14ac:dyDescent="0.25">
      <c r="A856" t="str">
        <f>"20190312151002610"</f>
        <v>20190312151002610</v>
      </c>
      <c r="B856" t="str">
        <f>"1552374602601624"</f>
        <v>1552374602601624</v>
      </c>
      <c r="C856" t="s">
        <v>40</v>
      </c>
      <c r="D856">
        <v>5.3086909999999996</v>
      </c>
      <c r="E856">
        <v>0.53077759999999996</v>
      </c>
      <c r="F856" t="s">
        <v>42</v>
      </c>
      <c r="G856">
        <v>-279.48869999999999</v>
      </c>
      <c r="H856" s="1">
        <v>-1.716316E-6</v>
      </c>
      <c r="I856">
        <v>363.76740000000001</v>
      </c>
      <c r="J856">
        <v>-308.22809999999998</v>
      </c>
      <c r="K856">
        <v>1.0605719999999901</v>
      </c>
      <c r="L856">
        <v>368.00740000000002</v>
      </c>
      <c r="M856">
        <v>0.99984470000000003</v>
      </c>
      <c r="N856">
        <v>0</v>
      </c>
      <c r="O856">
        <v>1.001197E-2</v>
      </c>
      <c r="P856">
        <v>0.99671659999999995</v>
      </c>
      <c r="Q856">
        <v>4.8329089999999998E-2</v>
      </c>
      <c r="R856">
        <v>-6.4970089999999994E-2</v>
      </c>
      <c r="S856">
        <v>2.986847</v>
      </c>
      <c r="T856">
        <v>-0.109419</v>
      </c>
      <c r="U856">
        <v>-0.43719479999999999</v>
      </c>
      <c r="V856">
        <v>7.5039809999999998E-2</v>
      </c>
      <c r="W856">
        <v>6.2667120000000007E-2</v>
      </c>
      <c r="X856">
        <v>0.99520949999999997</v>
      </c>
      <c r="Y856">
        <v>0.15462210000000001</v>
      </c>
      <c r="Z856">
        <v>-3.181054E-3</v>
      </c>
      <c r="AA856">
        <v>0.98796859999999997</v>
      </c>
      <c r="AB856">
        <v>37</v>
      </c>
      <c r="AC856">
        <v>28.7393999999999</v>
      </c>
      <c r="AD856">
        <v>-1.0605737163159901</v>
      </c>
      <c r="AE856">
        <v>-4.24</v>
      </c>
      <c r="AF856">
        <v>4.52152928618864</v>
      </c>
      <c r="AG856">
        <v>-1.0605737163159901</v>
      </c>
      <c r="AH856">
        <v>28.657308695147702</v>
      </c>
      <c r="AI856">
        <v>92.093607195318597</v>
      </c>
      <c r="AJ856">
        <v>81.033828260432699</v>
      </c>
      <c r="AK856">
        <v>29.031196760426401</v>
      </c>
      <c r="AL856">
        <v>86.407084385560594</v>
      </c>
      <c r="AM856">
        <v>85.687999204456503</v>
      </c>
      <c r="AN856">
        <v>1.0000000449520801</v>
      </c>
    </row>
    <row r="857" spans="1:40" x14ac:dyDescent="0.25">
      <c r="A857" t="str">
        <f>"20190312151002624"</f>
        <v>20190312151002624</v>
      </c>
      <c r="B857" t="str">
        <f>"1552374602611385"</f>
        <v>1552374602611385</v>
      </c>
      <c r="C857" t="s">
        <v>40</v>
      </c>
      <c r="D857">
        <v>5.1348240000000001</v>
      </c>
      <c r="E857">
        <v>0.53116260000000004</v>
      </c>
      <c r="F857" t="s">
        <v>42</v>
      </c>
      <c r="G857">
        <v>-278.73320000000001</v>
      </c>
      <c r="H857" s="1">
        <v>-1.9996209999999998E-6</v>
      </c>
      <c r="I857">
        <v>363.66890000000001</v>
      </c>
      <c r="J857">
        <v>-308.0093</v>
      </c>
      <c r="K857">
        <v>1.0604610000000001</v>
      </c>
      <c r="L857">
        <v>368.00920000000002</v>
      </c>
      <c r="M857">
        <v>0.99984899999999999</v>
      </c>
      <c r="N857">
        <v>0</v>
      </c>
      <c r="O857">
        <v>9.6583550000000004E-3</v>
      </c>
      <c r="P857">
        <v>0.99669059999999998</v>
      </c>
      <c r="Q857">
        <v>4.8210049999999997E-2</v>
      </c>
      <c r="R857">
        <v>-6.5451120000000002E-2</v>
      </c>
      <c r="S857">
        <v>2.986389</v>
      </c>
      <c r="T857">
        <v>-0.1073837</v>
      </c>
      <c r="U857">
        <v>-0.43926999999999999</v>
      </c>
      <c r="V857">
        <v>7.5168349999999995E-2</v>
      </c>
      <c r="W857">
        <v>6.2486750000000001E-2</v>
      </c>
      <c r="X857">
        <v>0.99521110000000002</v>
      </c>
      <c r="Y857">
        <v>0.15497040000000001</v>
      </c>
      <c r="Z857">
        <v>-3.1158179999999998E-3</v>
      </c>
      <c r="AA857">
        <v>0.98791419999999996</v>
      </c>
      <c r="AB857">
        <v>37</v>
      </c>
      <c r="AC857">
        <v>29.2760999999999</v>
      </c>
      <c r="AD857">
        <v>-1.060462999621</v>
      </c>
      <c r="AE857">
        <v>-4.3403000000000098</v>
      </c>
      <c r="AF857">
        <v>4.61695839517935</v>
      </c>
      <c r="AG857">
        <v>-1.060462999621</v>
      </c>
      <c r="AH857">
        <v>29.195326526555402</v>
      </c>
      <c r="AI857">
        <v>92.054730549694995</v>
      </c>
      <c r="AJ857">
        <v>81.013645069240496</v>
      </c>
      <c r="AK857">
        <v>29.577152966243599</v>
      </c>
      <c r="AL857">
        <v>86.417438972342396</v>
      </c>
      <c r="AM857">
        <v>85.680647778203706</v>
      </c>
      <c r="AN857">
        <v>1.0000000041652399</v>
      </c>
    </row>
    <row r="858" spans="1:40" x14ac:dyDescent="0.25">
      <c r="A858" t="str">
        <f>"20190312151002641"</f>
        <v>20190312151002641</v>
      </c>
      <c r="B858" t="str">
        <f>"1552374602631881"</f>
        <v>1552374602631881</v>
      </c>
      <c r="C858" t="s">
        <v>40</v>
      </c>
      <c r="D858">
        <v>5.209803</v>
      </c>
      <c r="E858">
        <v>0.53157140000000003</v>
      </c>
      <c r="F858" t="s">
        <v>42</v>
      </c>
      <c r="G858">
        <v>-278.71190000000001</v>
      </c>
      <c r="H858" s="1">
        <v>-2.0106089999999999E-6</v>
      </c>
      <c r="I858">
        <v>363.65480000000002</v>
      </c>
      <c r="J858">
        <v>-307.71570000000003</v>
      </c>
      <c r="K858">
        <v>1.0603260000000001</v>
      </c>
      <c r="L858">
        <v>368.01159999999999</v>
      </c>
      <c r="M858">
        <v>0.99985440000000003</v>
      </c>
      <c r="N858">
        <v>0</v>
      </c>
      <c r="O858">
        <v>9.1830780000000008E-3</v>
      </c>
      <c r="P858">
        <v>0.99664940000000002</v>
      </c>
      <c r="Q858">
        <v>4.8271620000000001E-2</v>
      </c>
      <c r="R858">
        <v>-6.6028970000000006E-2</v>
      </c>
      <c r="S858">
        <v>2.986084</v>
      </c>
      <c r="T858">
        <v>-0.1080854</v>
      </c>
      <c r="U858">
        <v>-0.44381710000000002</v>
      </c>
      <c r="V858">
        <v>7.5272489999999997E-2</v>
      </c>
      <c r="W858">
        <v>6.2473420000000002E-2</v>
      </c>
      <c r="X858">
        <v>0.99520410000000004</v>
      </c>
      <c r="Y858">
        <v>0.1559857</v>
      </c>
      <c r="Z858">
        <v>-3.1372919999999999E-3</v>
      </c>
      <c r="AA858">
        <v>0.98775429999999997</v>
      </c>
      <c r="AB858">
        <v>37</v>
      </c>
      <c r="AC858">
        <v>29.003799999999998</v>
      </c>
      <c r="AD858">
        <v>-1.0603280106090001</v>
      </c>
      <c r="AE858">
        <v>-4.3567999999999598</v>
      </c>
      <c r="AF858">
        <v>4.61695354556214</v>
      </c>
      <c r="AG858">
        <v>-1.0603280106090001</v>
      </c>
      <c r="AH858">
        <v>28.924758778510501</v>
      </c>
      <c r="AI858">
        <v>92.073195575892996</v>
      </c>
      <c r="AJ858">
        <v>80.930985049020805</v>
      </c>
      <c r="AK858">
        <v>29.310104502150502</v>
      </c>
      <c r="AL858">
        <v>86.418204342661596</v>
      </c>
      <c r="AM858">
        <v>85.674656032143901</v>
      </c>
      <c r="AN858">
        <v>1.00000003830705</v>
      </c>
    </row>
    <row r="859" spans="1:40" x14ac:dyDescent="0.25">
      <c r="A859" t="str">
        <f>"20190312151002685"</f>
        <v>20190312151002685</v>
      </c>
      <c r="B859" t="str">
        <f>"1552374602681656"</f>
        <v>1552374602681656</v>
      </c>
      <c r="C859" t="s">
        <v>40</v>
      </c>
      <c r="D859">
        <v>5.1360939999999999</v>
      </c>
      <c r="E859">
        <v>0.53188219999999997</v>
      </c>
      <c r="F859" t="s">
        <v>43</v>
      </c>
      <c r="G859">
        <v>-278.78870000000001</v>
      </c>
      <c r="H859">
        <v>-0.05</v>
      </c>
      <c r="I859">
        <v>363.6617</v>
      </c>
      <c r="J859">
        <v>-306.9898</v>
      </c>
      <c r="K859">
        <v>1.060068</v>
      </c>
      <c r="L859">
        <v>368.01690000000002</v>
      </c>
      <c r="M859">
        <v>0.99986679999999994</v>
      </c>
      <c r="N859">
        <v>0</v>
      </c>
      <c r="O859">
        <v>8.0078400000000004E-3</v>
      </c>
      <c r="P859">
        <v>0.99656619999999996</v>
      </c>
      <c r="Q859">
        <v>4.7273089999999997E-2</v>
      </c>
      <c r="R859">
        <v>-6.7978070000000002E-2</v>
      </c>
      <c r="S859">
        <v>2.9859010000000001</v>
      </c>
      <c r="T859">
        <v>-0.1146098</v>
      </c>
      <c r="U859">
        <v>-0.44900509999999899</v>
      </c>
      <c r="V859">
        <v>7.6048690000000002E-2</v>
      </c>
      <c r="W859">
        <v>6.1321210000000001E-2</v>
      </c>
      <c r="X859">
        <v>0.99521669999999995</v>
      </c>
      <c r="Y859">
        <v>0.15649959999999999</v>
      </c>
      <c r="Z859">
        <v>-3.2912589999999999E-3</v>
      </c>
      <c r="AA859">
        <v>0.98767260000000001</v>
      </c>
      <c r="AB859">
        <v>37</v>
      </c>
      <c r="AC859">
        <v>28.2011</v>
      </c>
      <c r="AD859">
        <v>-1.1100680000000001</v>
      </c>
      <c r="AE859">
        <v>-4.3552000000000204</v>
      </c>
      <c r="AF859">
        <v>4.5739911544237897</v>
      </c>
      <c r="AG859">
        <v>-1.1100680000000001</v>
      </c>
      <c r="AH859">
        <v>28.122757587834698</v>
      </c>
      <c r="AI859">
        <v>92.231131587563596</v>
      </c>
      <c r="AJ859">
        <v>80.762088770349905</v>
      </c>
      <c r="AK859">
        <v>28.513911348489</v>
      </c>
      <c r="AL859">
        <v>86.484347762191703</v>
      </c>
      <c r="AM859">
        <v>85.630280644734199</v>
      </c>
      <c r="AN859">
        <v>0.99999998700273496</v>
      </c>
    </row>
    <row r="860" spans="1:40" x14ac:dyDescent="0.25">
      <c r="A860" t="str">
        <f>"20190312151002696"</f>
        <v>20190312151002696</v>
      </c>
      <c r="B860" t="str">
        <f>"1552374602691417"</f>
        <v>1552374602691417</v>
      </c>
      <c r="C860" t="s">
        <v>40</v>
      </c>
      <c r="D860">
        <v>5.1189660000000003</v>
      </c>
      <c r="E860">
        <v>0.53198009999999996</v>
      </c>
      <c r="F860" t="s">
        <v>42</v>
      </c>
      <c r="G860">
        <v>-278.73</v>
      </c>
      <c r="H860" s="1">
        <v>-1.9944969999999998E-6</v>
      </c>
      <c r="I860">
        <v>363.69209999999998</v>
      </c>
      <c r="J860">
        <v>-306.80029999999999</v>
      </c>
      <c r="K860">
        <v>1.0600160000000001</v>
      </c>
      <c r="L860">
        <v>368.0181</v>
      </c>
      <c r="M860">
        <v>0.99986969999999997</v>
      </c>
      <c r="N860">
        <v>0</v>
      </c>
      <c r="O860">
        <v>7.7009779999999998E-3</v>
      </c>
      <c r="P860">
        <v>0.99654039999999999</v>
      </c>
      <c r="Q860">
        <v>4.722055E-2</v>
      </c>
      <c r="R860">
        <v>-6.8396399999999996E-2</v>
      </c>
      <c r="S860">
        <v>2.9844970000000002</v>
      </c>
      <c r="T860">
        <v>-0.11195289999999999</v>
      </c>
      <c r="U860">
        <v>-0.45672610000000002</v>
      </c>
      <c r="V860">
        <v>7.6160939999999996E-2</v>
      </c>
      <c r="W860">
        <v>6.1234120000000003E-2</v>
      </c>
      <c r="X860">
        <v>0.99521349999999997</v>
      </c>
      <c r="Y860">
        <v>0.15876599999999999</v>
      </c>
      <c r="Z860">
        <v>-3.2466909999999999E-3</v>
      </c>
      <c r="AA860">
        <v>0.98731089999999999</v>
      </c>
      <c r="AB860">
        <v>37</v>
      </c>
      <c r="AC860">
        <v>28.0702999999999</v>
      </c>
      <c r="AD860">
        <v>-1.0600179944970001</v>
      </c>
      <c r="AE860">
        <v>-4.3260000000000201</v>
      </c>
      <c r="AF860">
        <v>4.5357441143186801</v>
      </c>
      <c r="AG860">
        <v>-1.0600179944970001</v>
      </c>
      <c r="AH860">
        <v>27.997150818599302</v>
      </c>
      <c r="AI860">
        <v>92.140395961851297</v>
      </c>
      <c r="AJ860">
        <v>80.7976166720224</v>
      </c>
      <c r="AK860">
        <v>28.381984898499098</v>
      </c>
      <c r="AL860">
        <v>86.4893471218016</v>
      </c>
      <c r="AM860">
        <v>85.623841836310504</v>
      </c>
      <c r="AN860">
        <v>1.00000000840805</v>
      </c>
    </row>
    <row r="861" spans="1:40" x14ac:dyDescent="0.25">
      <c r="A861" t="str">
        <f>"20190312151002708"</f>
        <v>20190312151002708</v>
      </c>
      <c r="B861" t="str">
        <f>"1552374602701176"</f>
        <v>1552374602701176</v>
      </c>
      <c r="C861" t="s">
        <v>40</v>
      </c>
      <c r="D861">
        <v>5.1305440000000004</v>
      </c>
      <c r="E861">
        <v>0.53214989999999995</v>
      </c>
      <c r="F861" t="s">
        <v>42</v>
      </c>
      <c r="G861">
        <v>-278.4873</v>
      </c>
      <c r="H861" s="1">
        <v>-2.0848170000000002E-6</v>
      </c>
      <c r="I861">
        <v>363.66309999999999</v>
      </c>
      <c r="J861">
        <v>-306.60700000000003</v>
      </c>
      <c r="K861">
        <v>1.0599689999999999</v>
      </c>
      <c r="L861">
        <v>368.01929999999999</v>
      </c>
      <c r="M861">
        <v>0.9998726</v>
      </c>
      <c r="N861">
        <v>0</v>
      </c>
      <c r="O861">
        <v>7.3881950000000002E-3</v>
      </c>
      <c r="P861">
        <v>0.99654140000000002</v>
      </c>
      <c r="Q861">
        <v>4.6808500000000003E-2</v>
      </c>
      <c r="R861">
        <v>-6.8661739999999999E-2</v>
      </c>
      <c r="S861">
        <v>2.9841920000000002</v>
      </c>
      <c r="T861">
        <v>-0.1117258</v>
      </c>
      <c r="U861">
        <v>-0.4590149</v>
      </c>
      <c r="V861">
        <v>7.611416E-2</v>
      </c>
      <c r="W861">
        <v>6.0791489999999997E-2</v>
      </c>
      <c r="X861">
        <v>0.99524420000000002</v>
      </c>
      <c r="Y861">
        <v>0.1592124</v>
      </c>
      <c r="Z861">
        <v>-3.2369130000000001E-3</v>
      </c>
      <c r="AA861">
        <v>0.98723910000000004</v>
      </c>
      <c r="AB861">
        <v>37</v>
      </c>
      <c r="AC861">
        <v>28.119700000000002</v>
      </c>
      <c r="AD861">
        <v>-1.0599710848170001</v>
      </c>
      <c r="AE861">
        <v>-4.3562000000000003</v>
      </c>
      <c r="AF861">
        <v>4.5575316361335503</v>
      </c>
      <c r="AG861">
        <v>-1.0599710848170001</v>
      </c>
      <c r="AH861">
        <v>28.047825280639799</v>
      </c>
      <c r="AI861">
        <v>92.136274655281895</v>
      </c>
      <c r="AJ861">
        <v>80.770591357304696</v>
      </c>
      <c r="AK861">
        <v>28.435455619495599</v>
      </c>
      <c r="AL861">
        <v>86.5147552386656</v>
      </c>
      <c r="AM861">
        <v>85.626653736847601</v>
      </c>
      <c r="AN861">
        <v>0.99999999412128204</v>
      </c>
    </row>
    <row r="862" spans="1:40" x14ac:dyDescent="0.25">
      <c r="A862" t="str">
        <f>"20190312151002720"</f>
        <v>20190312151002720</v>
      </c>
      <c r="B862" t="str">
        <f>"1552374602711912"</f>
        <v>1552374602711912</v>
      </c>
      <c r="C862" t="s">
        <v>40</v>
      </c>
      <c r="D862">
        <v>5.1567600000000002</v>
      </c>
      <c r="E862">
        <v>0.53227849999999999</v>
      </c>
      <c r="F862" t="s">
        <v>42</v>
      </c>
      <c r="G862">
        <v>-278.52850000000001</v>
      </c>
      <c r="H862" s="1">
        <v>-2.0665130000000002E-6</v>
      </c>
      <c r="I862">
        <v>363.67919999999998</v>
      </c>
      <c r="J862">
        <v>-306.40440000000001</v>
      </c>
      <c r="K862">
        <v>1.0599229999999999</v>
      </c>
      <c r="L862">
        <v>368.02050000000003</v>
      </c>
      <c r="M862">
        <v>0.99987539999999997</v>
      </c>
      <c r="N862">
        <v>0</v>
      </c>
      <c r="O862">
        <v>7.0603990000000002E-3</v>
      </c>
      <c r="P862">
        <v>0.99651869999999998</v>
      </c>
      <c r="Q862">
        <v>4.6890630000000003E-2</v>
      </c>
      <c r="R862">
        <v>-6.8935099999999999E-2</v>
      </c>
      <c r="S862">
        <v>2.9838870000000002</v>
      </c>
      <c r="T862">
        <v>-0.1126423</v>
      </c>
      <c r="U862">
        <v>-0.46121220000000002</v>
      </c>
      <c r="V862">
        <v>7.6060779999999995E-2</v>
      </c>
      <c r="W862">
        <v>6.084146E-2</v>
      </c>
      <c r="X862">
        <v>0.99524520000000005</v>
      </c>
      <c r="Y862">
        <v>0.15961210000000001</v>
      </c>
      <c r="Z862">
        <v>-3.2587889999999998E-3</v>
      </c>
      <c r="AA862">
        <v>0.98717449999999995</v>
      </c>
      <c r="AB862">
        <v>37</v>
      </c>
      <c r="AC862">
        <v>27.875900000000001</v>
      </c>
      <c r="AD862">
        <v>-1.059925066513</v>
      </c>
      <c r="AE862">
        <v>-4.3413000000000403</v>
      </c>
      <c r="AF862">
        <v>4.5316299125590396</v>
      </c>
      <c r="AG862">
        <v>-1.059925066513</v>
      </c>
      <c r="AH862">
        <v>27.805303142753498</v>
      </c>
      <c r="AI862">
        <v>92.154630845266396</v>
      </c>
      <c r="AJ862">
        <v>80.743478719284298</v>
      </c>
      <c r="AK862">
        <v>28.192090977283701</v>
      </c>
      <c r="AL862">
        <v>86.511886763713704</v>
      </c>
      <c r="AM862">
        <v>85.629713317629594</v>
      </c>
      <c r="AN862">
        <v>0.99999996681608905</v>
      </c>
    </row>
    <row r="863" spans="1:40" x14ac:dyDescent="0.25">
      <c r="A863" t="str">
        <f>"20190312151002732"</f>
        <v>20190312151002732</v>
      </c>
      <c r="B863" t="str">
        <f>"1552374602721672"</f>
        <v>1552374602721672</v>
      </c>
      <c r="C863" t="s">
        <v>40</v>
      </c>
      <c r="D863">
        <v>5.1348789999999997</v>
      </c>
      <c r="E863">
        <v>0.53240319999999997</v>
      </c>
      <c r="F863" t="s">
        <v>42</v>
      </c>
      <c r="G863">
        <v>-278.2722</v>
      </c>
      <c r="H863" s="1">
        <v>-2.1599650000000002E-6</v>
      </c>
      <c r="I863">
        <v>363.6558</v>
      </c>
      <c r="J863">
        <v>-306.19970000000001</v>
      </c>
      <c r="K863">
        <v>1.059884</v>
      </c>
      <c r="L863">
        <v>368.02170000000001</v>
      </c>
      <c r="M863">
        <v>0.99987809999999999</v>
      </c>
      <c r="N863">
        <v>0</v>
      </c>
      <c r="O863">
        <v>6.728726E-3</v>
      </c>
      <c r="P863">
        <v>0.99650729999999998</v>
      </c>
      <c r="Q863">
        <v>4.6601910000000003E-2</v>
      </c>
      <c r="R863">
        <v>-6.929449E-2</v>
      </c>
      <c r="S863">
        <v>2.9837340000000001</v>
      </c>
      <c r="T863">
        <v>-0.1124165</v>
      </c>
      <c r="U863">
        <v>-0.46292109999999898</v>
      </c>
      <c r="V863">
        <v>7.6089359999999995E-2</v>
      </c>
      <c r="W863">
        <v>6.0520659999999997E-2</v>
      </c>
      <c r="X863">
        <v>0.9952626</v>
      </c>
      <c r="Y863">
        <v>0.15984489999999901</v>
      </c>
      <c r="Z863">
        <v>-3.2442220000000002E-3</v>
      </c>
      <c r="AA863">
        <v>0.98713680000000004</v>
      </c>
      <c r="AB863">
        <v>37</v>
      </c>
      <c r="AC863">
        <v>27.927499999999998</v>
      </c>
      <c r="AD863">
        <v>-1.059886159965</v>
      </c>
      <c r="AE863">
        <v>-4.3659000000000097</v>
      </c>
      <c r="AF863">
        <v>4.5473429818394502</v>
      </c>
      <c r="AG863">
        <v>-1.059886159965</v>
      </c>
      <c r="AH863">
        <v>27.858320530770001</v>
      </c>
      <c r="AI863">
        <v>92.150368684440394</v>
      </c>
      <c r="AJ863">
        <v>80.7293098641385</v>
      </c>
      <c r="AK863">
        <v>28.246906196284399</v>
      </c>
      <c r="AL863">
        <v>86.530301271850007</v>
      </c>
      <c r="AM863">
        <v>85.628153675828997</v>
      </c>
      <c r="AN863">
        <v>0.99999999197540201</v>
      </c>
    </row>
    <row r="864" spans="1:40" x14ac:dyDescent="0.25">
      <c r="A864" t="str">
        <f>"20190312151002744"</f>
        <v>20190312151002744</v>
      </c>
      <c r="B864" t="str">
        <f>"1552374602741192"</f>
        <v>1552374602741192</v>
      </c>
      <c r="C864" t="s">
        <v>40</v>
      </c>
      <c r="D864">
        <v>5.164364</v>
      </c>
      <c r="E864">
        <v>0.53256879999999995</v>
      </c>
      <c r="F864" t="s">
        <v>42</v>
      </c>
      <c r="G864">
        <v>-278.30220000000003</v>
      </c>
      <c r="H864" s="1">
        <v>-2.145169E-6</v>
      </c>
      <c r="I864">
        <v>363.673</v>
      </c>
      <c r="J864">
        <v>-306.01190000000003</v>
      </c>
      <c r="K864">
        <v>1.0598459999999901</v>
      </c>
      <c r="L864">
        <v>368.02269999999999</v>
      </c>
      <c r="M864">
        <v>0.99988060000000001</v>
      </c>
      <c r="N864">
        <v>0</v>
      </c>
      <c r="O864">
        <v>6.4243310000000001E-3</v>
      </c>
      <c r="P864">
        <v>0.99647870000000005</v>
      </c>
      <c r="Q864">
        <v>4.6598269999999997E-2</v>
      </c>
      <c r="R864">
        <v>-6.9705470000000005E-2</v>
      </c>
      <c r="S864">
        <v>2.9834589999999999</v>
      </c>
      <c r="T864">
        <v>-0.11334760000000001</v>
      </c>
      <c r="U864">
        <v>-0.46505740000000001</v>
      </c>
      <c r="V864">
        <v>7.6196860000000005E-2</v>
      </c>
      <c r="W864">
        <v>6.0487340000000001E-2</v>
      </c>
      <c r="X864">
        <v>0.99525640000000004</v>
      </c>
      <c r="Y864">
        <v>0.16024630000000001</v>
      </c>
      <c r="Z864">
        <v>-3.2672740000000001E-3</v>
      </c>
      <c r="AA864">
        <v>0.98707160000000005</v>
      </c>
      <c r="AB864">
        <v>37</v>
      </c>
      <c r="AC864">
        <v>27.709700000000002</v>
      </c>
      <c r="AD864">
        <v>-1.0598481451689901</v>
      </c>
      <c r="AE864">
        <v>-4.3496999999999799</v>
      </c>
      <c r="AF864">
        <v>4.5211889636048701</v>
      </c>
      <c r="AG864">
        <v>-1.0598481451689901</v>
      </c>
      <c r="AH864">
        <v>27.641715946914498</v>
      </c>
      <c r="AI864">
        <v>92.167010919188499</v>
      </c>
      <c r="AJ864">
        <v>80.710730792545604</v>
      </c>
      <c r="AK864">
        <v>28.029072197012699</v>
      </c>
      <c r="AL864">
        <v>86.532213866978907</v>
      </c>
      <c r="AM864">
        <v>85.621973906454301</v>
      </c>
      <c r="AN864">
        <v>0.99999999075754697</v>
      </c>
    </row>
    <row r="865" spans="1:40" x14ac:dyDescent="0.25">
      <c r="A865" t="str">
        <f>"20190312151002755"</f>
        <v>20190312151002755</v>
      </c>
      <c r="B865" t="str">
        <f>"1552374602751928"</f>
        <v>1552374602751928</v>
      </c>
      <c r="C865" t="s">
        <v>40</v>
      </c>
      <c r="D865">
        <v>5.0870290000000002</v>
      </c>
      <c r="E865">
        <v>0.53248289999999998</v>
      </c>
      <c r="F865" t="s">
        <v>42</v>
      </c>
      <c r="G865">
        <v>-277.89260000000002</v>
      </c>
      <c r="H865" s="1">
        <v>-2.3002079999999998E-6</v>
      </c>
      <c r="I865">
        <v>363.61419999999998</v>
      </c>
      <c r="J865">
        <v>-305.81180000000001</v>
      </c>
      <c r="K865">
        <v>1.0598110000000001</v>
      </c>
      <c r="L865">
        <v>368.02370000000002</v>
      </c>
      <c r="M865">
        <v>0.99988310000000002</v>
      </c>
      <c r="N865">
        <v>0</v>
      </c>
      <c r="O865">
        <v>6.1002259999999899E-3</v>
      </c>
      <c r="P865">
        <v>0.99646610000000002</v>
      </c>
      <c r="Q865">
        <v>4.6394989999999997E-2</v>
      </c>
      <c r="R865">
        <v>-7.0023039999999995E-2</v>
      </c>
      <c r="S865">
        <v>2.9831539999999999</v>
      </c>
      <c r="T865">
        <v>-0.1124382</v>
      </c>
      <c r="U865">
        <v>-0.46768189999999998</v>
      </c>
      <c r="V865">
        <v>7.6191140000000004E-2</v>
      </c>
      <c r="W865">
        <v>6.0251730000000003E-2</v>
      </c>
      <c r="X865">
        <v>0.99527109999999996</v>
      </c>
      <c r="Y865">
        <v>0.16079109999999999</v>
      </c>
      <c r="Z865">
        <v>-3.2392459999999999E-3</v>
      </c>
      <c r="AA865">
        <v>0.9869831</v>
      </c>
      <c r="AB865">
        <v>37</v>
      </c>
      <c r="AC865">
        <v>27.919199999999901</v>
      </c>
      <c r="AD865">
        <v>-1.0598133002079999</v>
      </c>
      <c r="AE865">
        <v>-4.4095000000000297</v>
      </c>
      <c r="AF865">
        <v>4.5733185102611102</v>
      </c>
      <c r="AG865">
        <v>-1.0598133002079999</v>
      </c>
      <c r="AH865">
        <v>27.8526210020493</v>
      </c>
      <c r="AI865">
        <v>92.150329680136295</v>
      </c>
      <c r="AJ865">
        <v>80.675406394708304</v>
      </c>
      <c r="AK865">
        <v>28.2454765070691</v>
      </c>
      <c r="AL865">
        <v>86.545737891743599</v>
      </c>
      <c r="AM865">
        <v>85.622365688199295</v>
      </c>
      <c r="AN865">
        <v>0.99999996163884997</v>
      </c>
    </row>
    <row r="866" spans="1:40" x14ac:dyDescent="0.25">
      <c r="A866" t="str">
        <f>"20190312151002774"</f>
        <v>20190312151002774</v>
      </c>
      <c r="B866" t="str">
        <f>"1552374602761688"</f>
        <v>1552374602761688</v>
      </c>
      <c r="C866" t="s">
        <v>40</v>
      </c>
      <c r="D866">
        <v>5.1124429999999998</v>
      </c>
      <c r="E866">
        <v>0.53249809999999997</v>
      </c>
      <c r="F866" t="s">
        <v>42</v>
      </c>
      <c r="G866">
        <v>-278.55149999999998</v>
      </c>
      <c r="H866" s="1">
        <v>-2.0405830000000002E-6</v>
      </c>
      <c r="I866">
        <v>363.7473</v>
      </c>
      <c r="J866">
        <v>-305.52420000000001</v>
      </c>
      <c r="K866">
        <v>1.0597529999999999</v>
      </c>
      <c r="L866">
        <v>368.02499999999998</v>
      </c>
      <c r="M866">
        <v>0.99988639999999995</v>
      </c>
      <c r="N866">
        <v>0</v>
      </c>
      <c r="O866">
        <v>5.6340189999999997E-3</v>
      </c>
      <c r="P866">
        <v>0.99646129999999999</v>
      </c>
      <c r="Q866">
        <v>4.5935570000000002E-2</v>
      </c>
      <c r="R866">
        <v>-7.0391690000000007E-2</v>
      </c>
      <c r="S866">
        <v>2.9831539999999999</v>
      </c>
      <c r="T866">
        <v>-0.11597689999999999</v>
      </c>
      <c r="U866">
        <v>-0.4679565</v>
      </c>
      <c r="V866">
        <v>7.609457E-2</v>
      </c>
      <c r="W866">
        <v>5.9746260000000002E-2</v>
      </c>
      <c r="X866">
        <v>0.995309</v>
      </c>
      <c r="Y866">
        <v>0.1604129</v>
      </c>
      <c r="Z866">
        <v>-3.3157769999999998E-3</v>
      </c>
      <c r="AA866">
        <v>0.98704449999999999</v>
      </c>
      <c r="AB866">
        <v>37</v>
      </c>
      <c r="AC866">
        <v>26.9727</v>
      </c>
      <c r="AD866">
        <v>-1.0597550405830001</v>
      </c>
      <c r="AE866">
        <v>-4.2776999999999799</v>
      </c>
      <c r="AF866">
        <v>4.4229514697452101</v>
      </c>
      <c r="AG866">
        <v>-1.0597550405830001</v>
      </c>
      <c r="AH866">
        <v>26.9076506722351</v>
      </c>
      <c r="AI866">
        <v>92.225586882424196</v>
      </c>
      <c r="AJ866">
        <v>80.665465927221504</v>
      </c>
      <c r="AK866">
        <v>27.2893247470288</v>
      </c>
      <c r="AL866">
        <v>86.574751600123705</v>
      </c>
      <c r="AM866">
        <v>85.628058520285904</v>
      </c>
      <c r="AN866">
        <v>1.0000000023242299</v>
      </c>
    </row>
    <row r="867" spans="1:40" x14ac:dyDescent="0.25">
      <c r="A867" t="str">
        <f>"20190312151002787"</f>
        <v>20190312151002787</v>
      </c>
      <c r="B867" t="str">
        <f>"1552374602781208"</f>
        <v>1552374602781208</v>
      </c>
      <c r="C867" t="s">
        <v>40</v>
      </c>
      <c r="D867">
        <v>5.1324489999999896</v>
      </c>
      <c r="E867">
        <v>0.53273110000000001</v>
      </c>
      <c r="F867" t="s">
        <v>42</v>
      </c>
      <c r="G867">
        <v>-278.6001</v>
      </c>
      <c r="H867" s="1">
        <v>-2.0119300000000001E-6</v>
      </c>
      <c r="I867">
        <v>363.79289999999997</v>
      </c>
      <c r="J867">
        <v>-305.31799999999998</v>
      </c>
      <c r="K867">
        <v>1.059723</v>
      </c>
      <c r="L867">
        <v>368.0258</v>
      </c>
      <c r="M867">
        <v>0.99988869999999996</v>
      </c>
      <c r="N867">
        <v>0</v>
      </c>
      <c r="O867">
        <v>5.2999099999999997E-3</v>
      </c>
      <c r="P867">
        <v>0.99643789999999999</v>
      </c>
      <c r="Q867">
        <v>4.5863420000000002E-2</v>
      </c>
      <c r="R867">
        <v>-7.0767999999999998E-2</v>
      </c>
      <c r="S867">
        <v>2.9829409999999998</v>
      </c>
      <c r="T867">
        <v>-0.11741070000000001</v>
      </c>
      <c r="U867">
        <v>-0.46887210000000001</v>
      </c>
      <c r="V867">
        <v>7.6138040000000004E-2</v>
      </c>
      <c r="W867">
        <v>5.9640110000000003E-2</v>
      </c>
      <c r="X867">
        <v>0.99531199999999997</v>
      </c>
      <c r="Y867">
        <v>0.16038669999999999</v>
      </c>
      <c r="Z867">
        <v>-3.3433130000000001E-3</v>
      </c>
      <c r="AA867">
        <v>0.98704860000000005</v>
      </c>
      <c r="AB867">
        <v>37</v>
      </c>
      <c r="AC867">
        <v>26.717899999999901</v>
      </c>
      <c r="AD867">
        <v>-1.0597250119299999</v>
      </c>
      <c r="AE867">
        <v>-4.2329000000000203</v>
      </c>
      <c r="AF867">
        <v>4.3677537080223301</v>
      </c>
      <c r="AG867">
        <v>-1.0597250119299999</v>
      </c>
      <c r="AH867">
        <v>26.654183086210001</v>
      </c>
      <c r="AI867">
        <v>92.246848021107994</v>
      </c>
      <c r="AJ867">
        <v>80.693795437091893</v>
      </c>
      <c r="AK867">
        <v>27.0304599581297</v>
      </c>
      <c r="AL867">
        <v>86.580844269149694</v>
      </c>
      <c r="AM867">
        <v>85.6255838179233</v>
      </c>
      <c r="AN867">
        <v>0.99999996059992602</v>
      </c>
    </row>
    <row r="868" spans="1:40" x14ac:dyDescent="0.25">
      <c r="A868" t="str">
        <f>"20190312151002798"</f>
        <v>20190312151002798</v>
      </c>
      <c r="B868" t="str">
        <f>"1552374602791944"</f>
        <v>1552374602791944</v>
      </c>
      <c r="C868" t="s">
        <v>40</v>
      </c>
      <c r="D868">
        <v>5.0879379999999896</v>
      </c>
      <c r="E868">
        <v>0.53268649999999995</v>
      </c>
      <c r="F868" t="s">
        <v>42</v>
      </c>
      <c r="G868">
        <v>-278.46100000000001</v>
      </c>
      <c r="H868" s="1">
        <v>-2.0638239999999999E-6</v>
      </c>
      <c r="I868">
        <v>363.7758</v>
      </c>
      <c r="J868">
        <v>-305.11130000000003</v>
      </c>
      <c r="K868">
        <v>1.059698</v>
      </c>
      <c r="L868">
        <v>368.02659999999997</v>
      </c>
      <c r="M868">
        <v>0.99989090000000003</v>
      </c>
      <c r="N868">
        <v>0</v>
      </c>
      <c r="O868">
        <v>4.9652079999999996E-3</v>
      </c>
      <c r="P868">
        <v>0.99643320000000002</v>
      </c>
      <c r="Q868">
        <v>4.571066E-2</v>
      </c>
      <c r="R868">
        <v>-7.0931320000000006E-2</v>
      </c>
      <c r="S868">
        <v>2.9826350000000001</v>
      </c>
      <c r="T868">
        <v>-0.1176884</v>
      </c>
      <c r="U868">
        <v>-0.47198489999999999</v>
      </c>
      <c r="V868">
        <v>7.5967679999999996E-2</v>
      </c>
      <c r="W868">
        <v>5.9453529999999997E-2</v>
      </c>
      <c r="X868">
        <v>0.9953362</v>
      </c>
      <c r="Y868">
        <v>0.1610761</v>
      </c>
      <c r="Z868">
        <v>-3.3516710000000001E-3</v>
      </c>
      <c r="AA868">
        <v>0.98693629999999999</v>
      </c>
      <c r="AB868">
        <v>37</v>
      </c>
      <c r="AC868">
        <v>26.650300000000001</v>
      </c>
      <c r="AD868">
        <v>-1.0597000638239999</v>
      </c>
      <c r="AE868">
        <v>-4.2507999999999697</v>
      </c>
      <c r="AF868">
        <v>4.37633688834525</v>
      </c>
      <c r="AG868">
        <v>-1.0597000638239999</v>
      </c>
      <c r="AH868">
        <v>26.587867938096998</v>
      </c>
      <c r="AI868">
        <v>92.252130130002499</v>
      </c>
      <c r="AJ868">
        <v>80.652982150213703</v>
      </c>
      <c r="AK868">
        <v>26.966460840815699</v>
      </c>
      <c r="AL868">
        <v>86.591553588589804</v>
      </c>
      <c r="AM868">
        <v>85.635439484747707</v>
      </c>
      <c r="AN868">
        <v>0.99999998083224095</v>
      </c>
    </row>
    <row r="869" spans="1:40" x14ac:dyDescent="0.25">
      <c r="A869" t="str">
        <f>"20190312151002811"</f>
        <v>20190312151002811</v>
      </c>
      <c r="B869" t="str">
        <f>"1552374602801704"</f>
        <v>1552374602801704</v>
      </c>
      <c r="C869" t="s">
        <v>40</v>
      </c>
      <c r="D869">
        <v>5.1478849999999996</v>
      </c>
      <c r="E869">
        <v>0.53278669999999995</v>
      </c>
      <c r="F869" t="s">
        <v>42</v>
      </c>
      <c r="G869">
        <v>-278.81360000000001</v>
      </c>
      <c r="H869" s="1">
        <v>-1.921071E-6</v>
      </c>
      <c r="I869">
        <v>363.86130000000003</v>
      </c>
      <c r="J869">
        <v>-304.89580000000001</v>
      </c>
      <c r="K869">
        <v>1.0596730000000001</v>
      </c>
      <c r="L869">
        <v>368.0274</v>
      </c>
      <c r="M869">
        <v>0.99989309999999998</v>
      </c>
      <c r="N869">
        <v>0</v>
      </c>
      <c r="O869">
        <v>4.6158559999999998E-3</v>
      </c>
      <c r="P869">
        <v>0.9964037</v>
      </c>
      <c r="Q869">
        <v>4.5672160000000003E-2</v>
      </c>
      <c r="R869">
        <v>-7.1371550000000006E-2</v>
      </c>
      <c r="S869">
        <v>2.982605</v>
      </c>
      <c r="T869">
        <v>-0.1201873</v>
      </c>
      <c r="U869">
        <v>-0.4724121</v>
      </c>
      <c r="V869">
        <v>7.6059539999999995E-2</v>
      </c>
      <c r="W869">
        <v>5.9380210000000003E-2</v>
      </c>
      <c r="X869">
        <v>0.99533360000000004</v>
      </c>
      <c r="Y869">
        <v>0.1608657</v>
      </c>
      <c r="Z869">
        <v>-3.4045799999999999E-3</v>
      </c>
      <c r="AA869">
        <v>0.98697040000000003</v>
      </c>
      <c r="AB869">
        <v>37</v>
      </c>
      <c r="AC869">
        <v>26.0822</v>
      </c>
      <c r="AD869">
        <v>-1.0596749210709999</v>
      </c>
      <c r="AE869">
        <v>-4.1660999999999699</v>
      </c>
      <c r="AF869">
        <v>4.2795705200637197</v>
      </c>
      <c r="AG869">
        <v>-1.0596749210709999</v>
      </c>
      <c r="AH869">
        <v>26.0208072704282</v>
      </c>
      <c r="AI869">
        <v>92.301151651432093</v>
      </c>
      <c r="AJ869">
        <v>80.660332973255095</v>
      </c>
      <c r="AK869">
        <v>26.391666218321902</v>
      </c>
      <c r="AL869">
        <v>86.595762080836195</v>
      </c>
      <c r="AM869">
        <v>85.630170924123405</v>
      </c>
      <c r="AN869">
        <v>1.0000000191267999</v>
      </c>
    </row>
    <row r="870" spans="1:40" x14ac:dyDescent="0.25">
      <c r="A870" t="str">
        <f>"20190312151002832"</f>
        <v>20190312151002832</v>
      </c>
      <c r="B870" t="str">
        <f>"1552374602821224"</f>
        <v>1552374602821224</v>
      </c>
      <c r="C870" t="s">
        <v>40</v>
      </c>
      <c r="D870">
        <v>5.205133</v>
      </c>
      <c r="E870">
        <v>0.53301609999999999</v>
      </c>
      <c r="F870" t="s">
        <v>42</v>
      </c>
      <c r="G870">
        <v>-278.56509999999997</v>
      </c>
      <c r="H870" s="1">
        <v>-2.0111289999999998E-6</v>
      </c>
      <c r="I870">
        <v>363.84050000000002</v>
      </c>
      <c r="J870">
        <v>-304.56709999999998</v>
      </c>
      <c r="K870">
        <v>1.0596429999999999</v>
      </c>
      <c r="L870">
        <v>368.02839999999998</v>
      </c>
      <c r="M870">
        <v>0.99989600000000001</v>
      </c>
      <c r="N870">
        <v>0</v>
      </c>
      <c r="O870">
        <v>4.0832389999999998E-3</v>
      </c>
      <c r="P870">
        <v>0.99636159999999996</v>
      </c>
      <c r="Q870">
        <v>4.5760629999999997E-2</v>
      </c>
      <c r="R870">
        <v>-7.1899770000000002E-2</v>
      </c>
      <c r="S870">
        <v>2.982361</v>
      </c>
      <c r="T870">
        <v>-0.1200242</v>
      </c>
      <c r="U870">
        <v>-0.47421259999999998</v>
      </c>
      <c r="V870">
        <v>7.6056949999999998E-2</v>
      </c>
      <c r="W870">
        <v>5.9416879999999998E-2</v>
      </c>
      <c r="X870">
        <v>0.99533159999999998</v>
      </c>
      <c r="Y870">
        <v>0.16093440000000001</v>
      </c>
      <c r="Z870">
        <v>-3.3801529999999999E-3</v>
      </c>
      <c r="AA870">
        <v>0.98695929999999998</v>
      </c>
      <c r="AB870">
        <v>37</v>
      </c>
      <c r="AC870">
        <v>26.001999999999999</v>
      </c>
      <c r="AD870">
        <v>-1.0596450111289999</v>
      </c>
      <c r="AE870">
        <v>-4.1878999999999502</v>
      </c>
      <c r="AF870">
        <v>4.2871077786579797</v>
      </c>
      <c r="AG870">
        <v>-1.0596450111289999</v>
      </c>
      <c r="AH870">
        <v>25.942686124503801</v>
      </c>
      <c r="AI870">
        <v>92.307717795041796</v>
      </c>
      <c r="AJ870">
        <v>80.616501537347006</v>
      </c>
      <c r="AK870">
        <v>26.315871712902901</v>
      </c>
      <c r="AL870">
        <v>86.593657295943203</v>
      </c>
      <c r="AM870">
        <v>85.630310404042902</v>
      </c>
      <c r="AN870">
        <v>1.00000000961539</v>
      </c>
    </row>
    <row r="871" spans="1:40" x14ac:dyDescent="0.25">
      <c r="A871" t="str">
        <f>"20190312151002854"</f>
        <v>20190312151002854</v>
      </c>
      <c r="B871" t="str">
        <f>"1552374602841720"</f>
        <v>1552374602841720</v>
      </c>
      <c r="C871" t="s">
        <v>40</v>
      </c>
      <c r="D871">
        <v>5.1393899999999997</v>
      </c>
      <c r="E871">
        <v>0.53319039999999995</v>
      </c>
      <c r="F871" t="s">
        <v>42</v>
      </c>
      <c r="G871">
        <v>-278.08429999999998</v>
      </c>
      <c r="H871" s="1">
        <v>-2.1894679999999999E-6</v>
      </c>
      <c r="I871">
        <v>363.78530000000001</v>
      </c>
      <c r="J871">
        <v>-304.20319999999998</v>
      </c>
      <c r="K871">
        <v>1.0596139999999901</v>
      </c>
      <c r="L871">
        <v>368.0292</v>
      </c>
      <c r="M871">
        <v>0.99989899999999998</v>
      </c>
      <c r="N871">
        <v>0</v>
      </c>
      <c r="O871">
        <v>3.4927299999999999E-3</v>
      </c>
      <c r="P871">
        <v>0.9962993</v>
      </c>
      <c r="Q871">
        <v>4.5965399999999997E-2</v>
      </c>
      <c r="R871">
        <v>-7.2631769999999998E-2</v>
      </c>
      <c r="S871">
        <v>2.9819640000000001</v>
      </c>
      <c r="T871">
        <v>-0.11931559999999999</v>
      </c>
      <c r="U871">
        <v>-0.47775269999999997</v>
      </c>
      <c r="V871">
        <v>7.6200569999999995E-2</v>
      </c>
      <c r="W871">
        <v>5.9565849999999997E-2</v>
      </c>
      <c r="X871">
        <v>0.99531170000000002</v>
      </c>
      <c r="Y871">
        <v>0.16151599999999999</v>
      </c>
      <c r="Z871">
        <v>-3.3484249999999999E-3</v>
      </c>
      <c r="AA871">
        <v>0.98686439999999997</v>
      </c>
      <c r="AB871">
        <v>37</v>
      </c>
      <c r="AC871">
        <v>26.1189</v>
      </c>
      <c r="AD871">
        <v>-1.0596161894679901</v>
      </c>
      <c r="AE871">
        <v>-4.2438999999999902</v>
      </c>
      <c r="AF871">
        <v>4.3281687922085599</v>
      </c>
      <c r="AG871">
        <v>-1.0596161894679901</v>
      </c>
      <c r="AH871">
        <v>26.062125700811102</v>
      </c>
      <c r="AI871">
        <v>92.296788058276803</v>
      </c>
      <c r="AJ871">
        <v>80.570875972897497</v>
      </c>
      <c r="AK871">
        <v>26.440314438518101</v>
      </c>
      <c r="AL871">
        <v>86.585106762148001</v>
      </c>
      <c r="AM871">
        <v>85.6220038819053</v>
      </c>
      <c r="AN871">
        <v>0.99999999875571799</v>
      </c>
    </row>
    <row r="872" spans="1:40" x14ac:dyDescent="0.25">
      <c r="A872" t="str">
        <f>"20190312151002875"</f>
        <v>20190312151002875</v>
      </c>
      <c r="B872" t="str">
        <f>"1552374602871976"</f>
        <v>1552374602871976</v>
      </c>
      <c r="C872" t="s">
        <v>40</v>
      </c>
      <c r="D872">
        <v>5.1213949999999997</v>
      </c>
      <c r="E872">
        <v>0.53327469999999999</v>
      </c>
      <c r="F872" t="s">
        <v>42</v>
      </c>
      <c r="G872">
        <v>-277.5471</v>
      </c>
      <c r="H872" s="1">
        <v>-2.3879219999999998E-6</v>
      </c>
      <c r="I872">
        <v>363.72649999999999</v>
      </c>
      <c r="J872">
        <v>-303.8492</v>
      </c>
      <c r="K872">
        <v>1.0595950000000001</v>
      </c>
      <c r="L872">
        <v>368.0299</v>
      </c>
      <c r="M872">
        <v>0.99990159999999995</v>
      </c>
      <c r="N872">
        <v>0</v>
      </c>
      <c r="O872">
        <v>2.9179359999999999E-3</v>
      </c>
      <c r="P872">
        <v>0.99624970000000002</v>
      </c>
      <c r="Q872">
        <v>4.586399E-2</v>
      </c>
      <c r="R872">
        <v>-7.3370459999999998E-2</v>
      </c>
      <c r="S872">
        <v>2.9815369999999999</v>
      </c>
      <c r="T872">
        <v>-0.11852</v>
      </c>
      <c r="U872">
        <v>-0.48126219999999997</v>
      </c>
      <c r="V872">
        <v>7.6366340000000005E-2</v>
      </c>
      <c r="W872">
        <v>5.9410209999999998E-2</v>
      </c>
      <c r="X872">
        <v>0.99530830000000003</v>
      </c>
      <c r="Y872">
        <v>0.16210479999999899</v>
      </c>
      <c r="Z872">
        <v>-3.3152030000000001E-3</v>
      </c>
      <c r="AA872">
        <v>0.98676790000000003</v>
      </c>
      <c r="AB872">
        <v>37</v>
      </c>
      <c r="AC872">
        <v>26.302099999999999</v>
      </c>
      <c r="AD872">
        <v>-1.059597387922</v>
      </c>
      <c r="AE872">
        <v>-4.3034000000000097</v>
      </c>
      <c r="AF872">
        <v>4.3732243340907599</v>
      </c>
      <c r="AG872">
        <v>-1.059597387922</v>
      </c>
      <c r="AH872">
        <v>26.247941716621199</v>
      </c>
      <c r="AI872">
        <v>92.280305870263206</v>
      </c>
      <c r="AJ872">
        <v>80.540720516317407</v>
      </c>
      <c r="AK872">
        <v>26.630852071608899</v>
      </c>
      <c r="AL872">
        <v>86.594040107394505</v>
      </c>
      <c r="AM872">
        <v>85.612502019805703</v>
      </c>
      <c r="AN872">
        <v>1.0000000014930599</v>
      </c>
    </row>
    <row r="873" spans="1:40" x14ac:dyDescent="0.25">
      <c r="A873" t="str">
        <f>"20190312151002897"</f>
        <v>20190312151002897</v>
      </c>
      <c r="B873" t="str">
        <f>"1552374602891496"</f>
        <v>1552374602891496</v>
      </c>
      <c r="C873" t="s">
        <v>40</v>
      </c>
      <c r="D873">
        <v>5.2092980000000004</v>
      </c>
      <c r="E873">
        <v>0.53308900000000004</v>
      </c>
      <c r="F873" t="s">
        <v>42</v>
      </c>
      <c r="G873">
        <v>-277.95409999999998</v>
      </c>
      <c r="H873" s="1">
        <v>-2.223847E-6</v>
      </c>
      <c r="I873">
        <v>363.82260000000002</v>
      </c>
      <c r="J873">
        <v>-303.49119999999999</v>
      </c>
      <c r="K873">
        <v>1.059574</v>
      </c>
      <c r="L873">
        <v>368.03039999999999</v>
      </c>
      <c r="M873">
        <v>0.99990400000000002</v>
      </c>
      <c r="N873">
        <v>0</v>
      </c>
      <c r="O873">
        <v>2.3361760000000001E-3</v>
      </c>
      <c r="P873">
        <v>0.99621599999999999</v>
      </c>
      <c r="Q873">
        <v>4.599408E-2</v>
      </c>
      <c r="R873">
        <v>-7.3747229999999997E-2</v>
      </c>
      <c r="S873">
        <v>2.9812620000000001</v>
      </c>
      <c r="T873">
        <v>-0.1219896</v>
      </c>
      <c r="U873">
        <v>-0.484375</v>
      </c>
      <c r="V873">
        <v>7.6163439999999999E-2</v>
      </c>
      <c r="W873">
        <v>5.948494E-2</v>
      </c>
      <c r="X873">
        <v>0.99531939999999997</v>
      </c>
      <c r="Y873">
        <v>0.16254150000000001</v>
      </c>
      <c r="Z873">
        <v>-3.3974280000000001E-3</v>
      </c>
      <c r="AA873">
        <v>0.98669589999999996</v>
      </c>
      <c r="AB873">
        <v>37</v>
      </c>
      <c r="AC873">
        <v>25.537099999999999</v>
      </c>
      <c r="AD873">
        <v>-1.0595762238469999</v>
      </c>
      <c r="AE873">
        <v>-4.2077999999999598</v>
      </c>
      <c r="AF873">
        <v>4.2603127352749102</v>
      </c>
      <c r="AG873">
        <v>-1.0595762238469999</v>
      </c>
      <c r="AH873">
        <v>25.484485900831199</v>
      </c>
      <c r="AI873">
        <v>92.348282719580496</v>
      </c>
      <c r="AJ873">
        <v>80.509464853829797</v>
      </c>
      <c r="AK873">
        <v>25.8598528225926</v>
      </c>
      <c r="AL873">
        <v>86.589750863706101</v>
      </c>
      <c r="AM873">
        <v>85.624162567100896</v>
      </c>
      <c r="AN873">
        <v>1.0000000178478901</v>
      </c>
    </row>
    <row r="874" spans="1:40" x14ac:dyDescent="0.25">
      <c r="A874" t="str">
        <f>"20190312151002910"</f>
        <v>20190312151002910</v>
      </c>
      <c r="B874" t="str">
        <f>"1552374602901256"</f>
        <v>1552374602901256</v>
      </c>
      <c r="C874" t="s">
        <v>40</v>
      </c>
      <c r="D874">
        <v>5.2476739999999999</v>
      </c>
      <c r="E874">
        <v>0.53305130000000001</v>
      </c>
      <c r="F874" t="s">
        <v>42</v>
      </c>
      <c r="G874">
        <v>-276.79649999999998</v>
      </c>
      <c r="H874" s="1">
        <v>-2.652102E-6</v>
      </c>
      <c r="I874">
        <v>363.6936</v>
      </c>
      <c r="J874">
        <v>-303.28109999999998</v>
      </c>
      <c r="K874">
        <v>1.059564</v>
      </c>
      <c r="L874">
        <v>368.03050000000002</v>
      </c>
      <c r="M874">
        <v>0.99990520000000005</v>
      </c>
      <c r="N874">
        <v>0</v>
      </c>
      <c r="O874">
        <v>1.9942570000000001E-3</v>
      </c>
      <c r="P874">
        <v>0.99621179999999998</v>
      </c>
      <c r="Q874">
        <v>4.6118100000000002E-2</v>
      </c>
      <c r="R874">
        <v>-7.3727799999999996E-2</v>
      </c>
      <c r="S874">
        <v>2.9810180000000002</v>
      </c>
      <c r="T874">
        <v>-0.1183232</v>
      </c>
      <c r="U874">
        <v>-0.48428339999999998</v>
      </c>
      <c r="V874">
        <v>7.5803510000000004E-2</v>
      </c>
      <c r="W874">
        <v>5.9577280000000003E-2</v>
      </c>
      <c r="X874">
        <v>0.99534140000000004</v>
      </c>
      <c r="Y874">
        <v>0.162195799999999</v>
      </c>
      <c r="Z874">
        <v>-3.27538E-3</v>
      </c>
      <c r="AA874">
        <v>0.9867532</v>
      </c>
      <c r="AB874">
        <v>37</v>
      </c>
      <c r="AC874">
        <v>26.4846</v>
      </c>
      <c r="AD874">
        <v>-1.059566652102</v>
      </c>
      <c r="AE874">
        <v>-4.3369000000000097</v>
      </c>
      <c r="AF874">
        <v>4.3828815401583796</v>
      </c>
      <c r="AG874">
        <v>-1.059566652102</v>
      </c>
      <c r="AH874">
        <v>26.434692437370899</v>
      </c>
      <c r="AI874">
        <v>92.264444584522806</v>
      </c>
      <c r="AJ874">
        <v>80.585978738865904</v>
      </c>
      <c r="AK874">
        <v>26.8165116363725</v>
      </c>
      <c r="AL874">
        <v>86.584450927612494</v>
      </c>
      <c r="AM874">
        <v>85.644857857998005</v>
      </c>
      <c r="AN874">
        <v>1.0000000634872299</v>
      </c>
    </row>
    <row r="875" spans="1:40" x14ac:dyDescent="0.25">
      <c r="A875" t="str">
        <f>"20190312151002923"</f>
        <v>20190312151002923</v>
      </c>
      <c r="B875" t="str">
        <f>"1552374602911992"</f>
        <v>1552374602911992</v>
      </c>
      <c r="C875" t="s">
        <v>40</v>
      </c>
      <c r="D875">
        <v>5.187875</v>
      </c>
      <c r="E875">
        <v>0.53302050000000001</v>
      </c>
      <c r="F875" t="s">
        <v>42</v>
      </c>
      <c r="G875">
        <v>-276.00880000000001</v>
      </c>
      <c r="H875" s="1">
        <v>-2.9442850000000001E-6</v>
      </c>
      <c r="I875">
        <v>363.60289999999998</v>
      </c>
      <c r="J875">
        <v>-303.0598</v>
      </c>
      <c r="K875">
        <v>1.059552</v>
      </c>
      <c r="L875">
        <v>368.03059999999999</v>
      </c>
      <c r="M875">
        <v>0.99990619999999997</v>
      </c>
      <c r="N875">
        <v>0</v>
      </c>
      <c r="O875">
        <v>1.6342829999999901E-3</v>
      </c>
      <c r="P875">
        <v>0.99616099999999996</v>
      </c>
      <c r="Q875">
        <v>4.6300540000000001E-2</v>
      </c>
      <c r="R875">
        <v>-7.4294949999999998E-2</v>
      </c>
      <c r="S875">
        <v>2.9809570000000001</v>
      </c>
      <c r="T875">
        <v>-0.115814</v>
      </c>
      <c r="U875">
        <v>-0.48394779999999998</v>
      </c>
      <c r="V875">
        <v>7.6012239999999995E-2</v>
      </c>
      <c r="W875">
        <v>5.9725790000000001E-2</v>
      </c>
      <c r="X875">
        <v>0.99531650000000005</v>
      </c>
      <c r="Y875">
        <v>0.16174140000000001</v>
      </c>
      <c r="Z875">
        <v>-3.1834070000000001E-3</v>
      </c>
      <c r="AA875">
        <v>0.98682800000000004</v>
      </c>
      <c r="AB875">
        <v>37</v>
      </c>
      <c r="AC875">
        <v>27.050999999999899</v>
      </c>
      <c r="AD875">
        <v>-1.0595549442850001</v>
      </c>
      <c r="AE875">
        <v>-4.4277000000000104</v>
      </c>
      <c r="AF875">
        <v>4.4652353700112002</v>
      </c>
      <c r="AG875">
        <v>-1.0595549442850001</v>
      </c>
      <c r="AH875">
        <v>27.003379609097198</v>
      </c>
      <c r="AI875">
        <v>92.216937081407195</v>
      </c>
      <c r="AJ875">
        <v>80.610626062384796</v>
      </c>
      <c r="AK875">
        <v>27.390573084595498</v>
      </c>
      <c r="AL875">
        <v>86.575926476328803</v>
      </c>
      <c r="AM875">
        <v>85.632803183739696</v>
      </c>
      <c r="AN875">
        <v>0.99999998289659497</v>
      </c>
    </row>
    <row r="876" spans="1:40" x14ac:dyDescent="0.25">
      <c r="A876" t="str">
        <f>"20190312151002935"</f>
        <v>20190312151002935</v>
      </c>
      <c r="B876" t="str">
        <f>"1552374602931513"</f>
        <v>1552374602931513</v>
      </c>
      <c r="C876" t="s">
        <v>40</v>
      </c>
      <c r="D876">
        <v>5.1345780000000003</v>
      </c>
      <c r="E876">
        <v>0.53296790000000005</v>
      </c>
      <c r="F876" t="s">
        <v>42</v>
      </c>
      <c r="G876">
        <v>-275.09269999999998</v>
      </c>
      <c r="H876" s="1">
        <v>-3.2898700000000001E-6</v>
      </c>
      <c r="I876">
        <v>363.47579999999999</v>
      </c>
      <c r="J876">
        <v>-302.85449999999997</v>
      </c>
      <c r="K876">
        <v>1.059544</v>
      </c>
      <c r="L876">
        <v>368.03070000000002</v>
      </c>
      <c r="M876">
        <v>0.9999072</v>
      </c>
      <c r="N876">
        <v>0</v>
      </c>
      <c r="O876">
        <v>1.3006249999999999E-3</v>
      </c>
      <c r="P876">
        <v>0.99614689999999995</v>
      </c>
      <c r="Q876">
        <v>4.6236329999999999E-2</v>
      </c>
      <c r="R876">
        <v>-7.4523649999999997E-2</v>
      </c>
      <c r="S876">
        <v>2.9805600000000001</v>
      </c>
      <c r="T876">
        <v>-0.1129203</v>
      </c>
      <c r="U876">
        <v>-0.48541260000000003</v>
      </c>
      <c r="V876">
        <v>7.5908199999999995E-2</v>
      </c>
      <c r="W876">
        <v>5.9632020000000001E-2</v>
      </c>
      <c r="X876">
        <v>0.9953301</v>
      </c>
      <c r="Y876">
        <v>0.16191140000000001</v>
      </c>
      <c r="Z876">
        <v>-3.0948529999999998E-3</v>
      </c>
      <c r="AA876">
        <v>0.98680040000000002</v>
      </c>
      <c r="AB876">
        <v>37</v>
      </c>
      <c r="AC876">
        <v>27.761799999999901</v>
      </c>
      <c r="AD876">
        <v>-1.05954728987</v>
      </c>
      <c r="AE876">
        <v>-4.5549000000000301</v>
      </c>
      <c r="AF876">
        <v>4.5845043410526696</v>
      </c>
      <c r="AG876">
        <v>-1.05954728987</v>
      </c>
      <c r="AH876">
        <v>27.7165376703813</v>
      </c>
      <c r="AI876">
        <v>92.159916695775607</v>
      </c>
      <c r="AJ876">
        <v>80.607925122001006</v>
      </c>
      <c r="AK876">
        <v>28.113106924462599</v>
      </c>
      <c r="AL876">
        <v>86.581308822822706</v>
      </c>
      <c r="AM876">
        <v>85.638816967029797</v>
      </c>
      <c r="AN876">
        <v>1.00000002030126</v>
      </c>
    </row>
    <row r="877" spans="1:40" x14ac:dyDescent="0.25">
      <c r="A877" t="str">
        <f>"20190312151002953"</f>
        <v>20190312151002953</v>
      </c>
      <c r="B877" t="str">
        <f>"1552374602941272"</f>
        <v>1552374602941272</v>
      </c>
      <c r="C877" t="s">
        <v>40</v>
      </c>
      <c r="D877">
        <v>5.1851010000000004</v>
      </c>
      <c r="E877">
        <v>0.53283449999999999</v>
      </c>
      <c r="F877" t="s">
        <v>42</v>
      </c>
      <c r="G877">
        <v>-274.0677</v>
      </c>
      <c r="H877" s="1">
        <v>-3.6745109999999998E-6</v>
      </c>
      <c r="I877">
        <v>363.34120000000001</v>
      </c>
      <c r="J877">
        <v>-302.57049999999998</v>
      </c>
      <c r="K877">
        <v>1.0595330000000001</v>
      </c>
      <c r="L877">
        <v>368.03059999999999</v>
      </c>
      <c r="M877">
        <v>0.99990829999999997</v>
      </c>
      <c r="N877">
        <v>0</v>
      </c>
      <c r="O877">
        <v>8.3913039999999905E-4</v>
      </c>
      <c r="P877">
        <v>0.99612990000000001</v>
      </c>
      <c r="Q877">
        <v>4.6416800000000001E-2</v>
      </c>
      <c r="R877">
        <v>-7.4641429999999995E-2</v>
      </c>
      <c r="S877">
        <v>2.9803470000000001</v>
      </c>
      <c r="T877">
        <v>-0.1096964</v>
      </c>
      <c r="U877">
        <v>-0.4855042</v>
      </c>
      <c r="V877">
        <v>7.5566389999999997E-2</v>
      </c>
      <c r="W877">
        <v>5.9774819999999999E-2</v>
      </c>
      <c r="X877">
        <v>0.99534750000000005</v>
      </c>
      <c r="Y877">
        <v>0.1615037</v>
      </c>
      <c r="Z877">
        <v>-2.9824349999999999E-3</v>
      </c>
      <c r="AA877">
        <v>0.98686759999999996</v>
      </c>
      <c r="AB877">
        <v>37</v>
      </c>
      <c r="AC877">
        <v>28.502799999999901</v>
      </c>
      <c r="AD877">
        <v>-1.059536674511</v>
      </c>
      <c r="AE877">
        <v>-4.6893999999999698</v>
      </c>
      <c r="AF877">
        <v>4.7069852309514602</v>
      </c>
      <c r="AG877">
        <v>-1.059536674511</v>
      </c>
      <c r="AH877">
        <v>28.460563194833998</v>
      </c>
      <c r="AI877">
        <v>92.103488748720693</v>
      </c>
      <c r="AJ877">
        <v>80.609073434221301</v>
      </c>
      <c r="AK877">
        <v>28.8666240716882</v>
      </c>
      <c r="AL877">
        <v>86.573112216204393</v>
      </c>
      <c r="AM877">
        <v>85.658455459168493</v>
      </c>
      <c r="AN877">
        <v>0.99999997707995703</v>
      </c>
    </row>
    <row r="878" spans="1:40" x14ac:dyDescent="0.25">
      <c r="A878" t="str">
        <f>"20190312151002988"</f>
        <v>20190312151002988</v>
      </c>
      <c r="B878" t="str">
        <f>"1552374602981288"</f>
        <v>1552374602981288</v>
      </c>
      <c r="C878" t="s">
        <v>40</v>
      </c>
      <c r="D878">
        <v>5.1461100000000002</v>
      </c>
      <c r="E878">
        <v>0.53252759999999999</v>
      </c>
      <c r="F878" t="s">
        <v>42</v>
      </c>
      <c r="G878">
        <v>-273.6558</v>
      </c>
      <c r="H878" s="1">
        <v>-3.819438E-6</v>
      </c>
      <c r="I878">
        <v>363.32769999999999</v>
      </c>
      <c r="J878">
        <v>-302.01220000000001</v>
      </c>
      <c r="K878">
        <v>1.059517</v>
      </c>
      <c r="L878">
        <v>368.03</v>
      </c>
      <c r="M878">
        <v>0.99990950000000001</v>
      </c>
      <c r="N878">
        <v>0</v>
      </c>
      <c r="O878" s="1">
        <v>-6.8606610000000002E-5</v>
      </c>
      <c r="P878">
        <v>0.99613689999999999</v>
      </c>
      <c r="Q878">
        <v>4.6294990000000001E-2</v>
      </c>
      <c r="R878">
        <v>-7.4620839999999994E-2</v>
      </c>
      <c r="S878">
        <v>2.9804080000000002</v>
      </c>
      <c r="T878">
        <v>-0.1092123</v>
      </c>
      <c r="U878">
        <v>-0.48474119999999998</v>
      </c>
      <c r="V878">
        <v>7.4641089999999993E-2</v>
      </c>
      <c r="W878">
        <v>5.9588219999999997E-2</v>
      </c>
      <c r="X878">
        <v>0.99542850000000005</v>
      </c>
      <c r="Y878">
        <v>0.16036069999999999</v>
      </c>
      <c r="Z878">
        <v>-2.9154459999999999E-3</v>
      </c>
      <c r="AA878">
        <v>0.98705419999999999</v>
      </c>
      <c r="AB878">
        <v>37</v>
      </c>
      <c r="AC878">
        <v>28.356400000000001</v>
      </c>
      <c r="AD878">
        <v>-1.0595208194379999</v>
      </c>
      <c r="AE878">
        <v>-4.7022999999999797</v>
      </c>
      <c r="AF878">
        <v>4.6939764975719704</v>
      </c>
      <c r="AG878">
        <v>-1.0595208194379999</v>
      </c>
      <c r="AH878">
        <v>28.318245527768202</v>
      </c>
      <c r="AI878">
        <v>92.113892431943796</v>
      </c>
      <c r="AJ878">
        <v>80.5883394198014</v>
      </c>
      <c r="AK878">
        <v>28.724188926713701</v>
      </c>
      <c r="AL878">
        <v>86.583822688259801</v>
      </c>
      <c r="AM878">
        <v>85.711765182275897</v>
      </c>
      <c r="AN878">
        <v>0.99999997344570202</v>
      </c>
    </row>
    <row r="879" spans="1:40" x14ac:dyDescent="0.25">
      <c r="A879" t="str">
        <f>"20190312151003021"</f>
        <v>20190312151003021</v>
      </c>
      <c r="B879" t="str">
        <f>"1552374603011544"</f>
        <v>1552374603011544</v>
      </c>
      <c r="C879" t="s">
        <v>40</v>
      </c>
      <c r="D879">
        <v>5.1424669999999999</v>
      </c>
      <c r="E879">
        <v>0.53235659999999996</v>
      </c>
      <c r="F879" t="s">
        <v>42</v>
      </c>
      <c r="G879">
        <v>-272.6728</v>
      </c>
      <c r="H879" s="1">
        <v>-4.2496930000000002E-6</v>
      </c>
      <c r="I879">
        <v>363.27960000000002</v>
      </c>
      <c r="J879">
        <v>-301.46719999999999</v>
      </c>
      <c r="K879">
        <v>1.0595000000000001</v>
      </c>
      <c r="L879">
        <v>368.029</v>
      </c>
      <c r="M879">
        <v>0.99990959999999995</v>
      </c>
      <c r="N879">
        <v>0</v>
      </c>
      <c r="O879">
        <v>-9.5633070000000005E-4</v>
      </c>
      <c r="P879">
        <v>0.99608699999999994</v>
      </c>
      <c r="Q879">
        <v>4.5764720000000002E-2</v>
      </c>
      <c r="R879">
        <v>-7.5607019999999997E-2</v>
      </c>
      <c r="S879">
        <v>2.980499</v>
      </c>
      <c r="T879">
        <v>-0.10763300000000001</v>
      </c>
      <c r="U879">
        <v>-0.48257450000000002</v>
      </c>
      <c r="V879">
        <v>7.4741769999999999E-2</v>
      </c>
      <c r="W879">
        <v>5.9002270000000002E-2</v>
      </c>
      <c r="X879">
        <v>0.99545589999999995</v>
      </c>
      <c r="Y879">
        <v>0.1587848</v>
      </c>
      <c r="Z879">
        <v>-2.8132890000000001E-3</v>
      </c>
      <c r="AA879">
        <v>0.9873092</v>
      </c>
      <c r="AB879">
        <v>37</v>
      </c>
      <c r="AC879">
        <v>28.7944</v>
      </c>
      <c r="AD879">
        <v>-1.0595042496930001</v>
      </c>
      <c r="AE879">
        <v>-4.7493999999999801</v>
      </c>
      <c r="AF879">
        <v>4.7156429290447104</v>
      </c>
      <c r="AG879">
        <v>-1.0595042496930001</v>
      </c>
      <c r="AH879">
        <v>28.761020773188601</v>
      </c>
      <c r="AI879">
        <v>92.081945781420202</v>
      </c>
      <c r="AJ879">
        <v>80.688660140886995</v>
      </c>
      <c r="AK879">
        <v>29.164295866781199</v>
      </c>
      <c r="AL879">
        <v>86.617454499597301</v>
      </c>
      <c r="AM879">
        <v>85.706120346107795</v>
      </c>
      <c r="AN879">
        <v>1.0000000244463401</v>
      </c>
    </row>
    <row r="880" spans="1:40" x14ac:dyDescent="0.25">
      <c r="A880" t="str">
        <f>"20190312151003042"</f>
        <v>20190312151003042</v>
      </c>
      <c r="B880" t="str">
        <f>"1552374603032042"</f>
        <v>1552374603032042</v>
      </c>
      <c r="C880" t="s">
        <v>40</v>
      </c>
      <c r="D880">
        <v>5.2462169999999997</v>
      </c>
      <c r="E880">
        <v>0.53239340000000002</v>
      </c>
      <c r="F880" t="s">
        <v>42</v>
      </c>
      <c r="G880">
        <v>-271.68</v>
      </c>
      <c r="H880" s="1">
        <v>-4.6919020000000004E-6</v>
      </c>
      <c r="I880">
        <v>363.18770000000001</v>
      </c>
      <c r="J880">
        <v>-301.10210000000001</v>
      </c>
      <c r="K880">
        <v>1.0594969999999999</v>
      </c>
      <c r="L880">
        <v>368.02800000000002</v>
      </c>
      <c r="M880">
        <v>0.99990950000000001</v>
      </c>
      <c r="N880">
        <v>0</v>
      </c>
      <c r="O880">
        <v>-1.5508970000000001E-3</v>
      </c>
      <c r="P880">
        <v>0.99603220000000003</v>
      </c>
      <c r="Q880">
        <v>4.5242360000000002E-2</v>
      </c>
      <c r="R880">
        <v>-7.6636019999999999E-2</v>
      </c>
      <c r="S880">
        <v>2.979889</v>
      </c>
      <c r="T880">
        <v>-0.10599160000000001</v>
      </c>
      <c r="U880">
        <v>-0.48431400000000002</v>
      </c>
      <c r="V880">
        <v>7.5177469999999996E-2</v>
      </c>
      <c r="W880">
        <v>5.8447239999999998E-2</v>
      </c>
      <c r="X880">
        <v>0.9954558</v>
      </c>
      <c r="Y880">
        <v>0.15879450000000001</v>
      </c>
      <c r="Z880">
        <v>-2.750012E-3</v>
      </c>
      <c r="AA880">
        <v>0.98730779999999996</v>
      </c>
      <c r="AB880">
        <v>37</v>
      </c>
      <c r="AC880">
        <v>29.4221</v>
      </c>
      <c r="AD880">
        <v>-1.0595016919019999</v>
      </c>
      <c r="AE880">
        <v>-4.8403000000000098</v>
      </c>
      <c r="AF880">
        <v>4.7886134565746596</v>
      </c>
      <c r="AG880">
        <v>-1.0595016919019999</v>
      </c>
      <c r="AH880">
        <v>29.3924618013742</v>
      </c>
      <c r="AI880">
        <v>92.037589264867094</v>
      </c>
      <c r="AJ880">
        <v>80.7466823783422</v>
      </c>
      <c r="AK880">
        <v>29.798828390003401</v>
      </c>
      <c r="AL880">
        <v>86.649310239323796</v>
      </c>
      <c r="AM880">
        <v>85.681183585435306</v>
      </c>
      <c r="AN880">
        <v>0.99999999080642898</v>
      </c>
    </row>
    <row r="881" spans="1:40" x14ac:dyDescent="0.25">
      <c r="A881" t="str">
        <f>"20190312151003065"</f>
        <v>20190312151003065</v>
      </c>
      <c r="B881" t="str">
        <f>"1552374603061321"</f>
        <v>1552374603061321</v>
      </c>
      <c r="C881" t="s">
        <v>40</v>
      </c>
      <c r="D881">
        <v>5.1621759999999997</v>
      </c>
      <c r="E881">
        <v>0.53250419999999998</v>
      </c>
      <c r="F881" t="s">
        <v>42</v>
      </c>
      <c r="G881">
        <v>-271.55200000000002</v>
      </c>
      <c r="H881" s="1">
        <v>-4.7462789999999998E-6</v>
      </c>
      <c r="I881">
        <v>363.19060000000002</v>
      </c>
      <c r="J881">
        <v>-300.73899999999998</v>
      </c>
      <c r="K881">
        <v>1.059485</v>
      </c>
      <c r="L881">
        <v>368.02679999999998</v>
      </c>
      <c r="M881">
        <v>0.99990880000000004</v>
      </c>
      <c r="N881">
        <v>0</v>
      </c>
      <c r="O881">
        <v>-2.1419220000000001E-3</v>
      </c>
      <c r="P881">
        <v>0.99593279999999995</v>
      </c>
      <c r="Q881">
        <v>4.4989719999999997E-2</v>
      </c>
      <c r="R881">
        <v>-7.8065549999999997E-2</v>
      </c>
      <c r="S881">
        <v>2.979279</v>
      </c>
      <c r="T881">
        <v>-0.10682</v>
      </c>
      <c r="U881">
        <v>-0.48770140000000001</v>
      </c>
      <c r="V881">
        <v>7.6017920000000003E-2</v>
      </c>
      <c r="W881">
        <v>5.8163529999999998E-2</v>
      </c>
      <c r="X881">
        <v>0.99540859999999998</v>
      </c>
      <c r="Y881">
        <v>0.1593349</v>
      </c>
      <c r="Z881">
        <v>-2.7603770000000001E-3</v>
      </c>
      <c r="AA881">
        <v>0.98722069999999995</v>
      </c>
      <c r="AB881">
        <v>37</v>
      </c>
      <c r="AC881">
        <v>29.187000000000001</v>
      </c>
      <c r="AD881">
        <v>-1.0594897462790001</v>
      </c>
      <c r="AE881">
        <v>-4.8361999999999599</v>
      </c>
      <c r="AF881">
        <v>4.76755276346982</v>
      </c>
      <c r="AG881">
        <v>-1.0594897462790001</v>
      </c>
      <c r="AH881">
        <v>29.159895653133301</v>
      </c>
      <c r="AI881">
        <v>92.053614894883495</v>
      </c>
      <c r="AJ881">
        <v>80.714473445188005</v>
      </c>
      <c r="AK881">
        <v>29.566054731339499</v>
      </c>
      <c r="AL881">
        <v>86.665593358941194</v>
      </c>
      <c r="AM881">
        <v>85.632880649239098</v>
      </c>
      <c r="AN881">
        <v>1.0000000006685701</v>
      </c>
    </row>
    <row r="882" spans="1:40" x14ac:dyDescent="0.25">
      <c r="A882" t="str">
        <f>"20190312151003086"</f>
        <v>20190312151003086</v>
      </c>
      <c r="B882" t="str">
        <f>"1552374603081816"</f>
        <v>1552374603081816</v>
      </c>
      <c r="C882" t="s">
        <v>40</v>
      </c>
      <c r="D882">
        <v>5.3057670000000003</v>
      </c>
      <c r="E882">
        <v>0.53255149999999996</v>
      </c>
      <c r="F882" t="s">
        <v>42</v>
      </c>
      <c r="G882">
        <v>-271.75450000000001</v>
      </c>
      <c r="H882" s="1">
        <v>-4.6523630000000002E-6</v>
      </c>
      <c r="I882">
        <v>363.23039999999997</v>
      </c>
      <c r="J882">
        <v>-300.38229999999999</v>
      </c>
      <c r="K882">
        <v>1.0594809999999999</v>
      </c>
      <c r="L882">
        <v>368.02550000000002</v>
      </c>
      <c r="M882">
        <v>0.99990780000000001</v>
      </c>
      <c r="N882">
        <v>0</v>
      </c>
      <c r="O882">
        <v>-2.7223680000000002E-3</v>
      </c>
      <c r="P882">
        <v>0.99582680000000001</v>
      </c>
      <c r="Q882">
        <v>4.5219479999999999E-2</v>
      </c>
      <c r="R882">
        <v>-7.9276639999999995E-2</v>
      </c>
      <c r="S882">
        <v>2.9785460000000001</v>
      </c>
      <c r="T882">
        <v>-0.1088766</v>
      </c>
      <c r="U882">
        <v>-0.49288939999999998</v>
      </c>
      <c r="V882">
        <v>7.6651109999999995E-2</v>
      </c>
      <c r="W882">
        <v>5.8366319999999999E-2</v>
      </c>
      <c r="X882">
        <v>0.99534820000000002</v>
      </c>
      <c r="Y882">
        <v>0.16047040000000001</v>
      </c>
      <c r="Z882">
        <v>-2.8133139999999999E-3</v>
      </c>
      <c r="AA882">
        <v>0.98703660000000004</v>
      </c>
      <c r="AB882">
        <v>37</v>
      </c>
      <c r="AC882">
        <v>28.627799999999901</v>
      </c>
      <c r="AD882">
        <v>-1.0594856523630001</v>
      </c>
      <c r="AE882">
        <v>-4.7951000000000397</v>
      </c>
      <c r="AF882">
        <v>4.7108637039303201</v>
      </c>
      <c r="AG882">
        <v>-1.0594856523630001</v>
      </c>
      <c r="AH882">
        <v>28.6026421659843</v>
      </c>
      <c r="AI882">
        <v>92.093179089275594</v>
      </c>
      <c r="AJ882">
        <v>80.647332228975202</v>
      </c>
      <c r="AK882">
        <v>29.007341925104399</v>
      </c>
      <c r="AL882">
        <v>86.653954672272206</v>
      </c>
      <c r="AM882">
        <v>85.596381123597894</v>
      </c>
      <c r="AN882">
        <v>1.0000000296089</v>
      </c>
    </row>
    <row r="883" spans="1:40" x14ac:dyDescent="0.25">
      <c r="A883" t="str">
        <f>"20190312151003109"</f>
        <v>20190312151003109</v>
      </c>
      <c r="B883" t="str">
        <f>"1552374603101340"</f>
        <v>1552374603101340</v>
      </c>
      <c r="C883" t="s">
        <v>40</v>
      </c>
      <c r="D883">
        <v>5.1843110000000001</v>
      </c>
      <c r="E883">
        <v>0.53245940000000003</v>
      </c>
      <c r="F883" t="s">
        <v>42</v>
      </c>
      <c r="G883">
        <v>-270.99059999999997</v>
      </c>
      <c r="H883" s="1">
        <v>-4.999634E-6</v>
      </c>
      <c r="I883">
        <v>363.12</v>
      </c>
      <c r="J883">
        <v>-300.01940000000002</v>
      </c>
      <c r="K883">
        <v>1.0594790000000001</v>
      </c>
      <c r="L883">
        <v>368.02390000000003</v>
      </c>
      <c r="M883">
        <v>0.99990619999999997</v>
      </c>
      <c r="N883">
        <v>0</v>
      </c>
      <c r="O883">
        <v>-3.3123710000000002E-3</v>
      </c>
      <c r="P883">
        <v>0.99574039999999997</v>
      </c>
      <c r="Q883">
        <v>4.5431329999999999E-2</v>
      </c>
      <c r="R883">
        <v>-8.0232979999999995E-2</v>
      </c>
      <c r="S883">
        <v>2.9779049999999998</v>
      </c>
      <c r="T883">
        <v>-0.10734489999999899</v>
      </c>
      <c r="U883">
        <v>-0.49700929999999999</v>
      </c>
      <c r="V883">
        <v>7.7020340000000007E-2</v>
      </c>
      <c r="W883">
        <v>5.8554349999999998E-2</v>
      </c>
      <c r="X883">
        <v>0.99530859999999999</v>
      </c>
      <c r="Y883">
        <v>0.161253799999999</v>
      </c>
      <c r="Z883">
        <v>-2.7669410000000002E-3</v>
      </c>
      <c r="AA883">
        <v>0.98690909999999998</v>
      </c>
      <c r="AB883">
        <v>37</v>
      </c>
      <c r="AC883">
        <v>29.0288</v>
      </c>
      <c r="AD883">
        <v>-1.059483999634</v>
      </c>
      <c r="AE883">
        <v>-4.9039000000000197</v>
      </c>
      <c r="AF883">
        <v>4.8014919333742103</v>
      </c>
      <c r="AG883">
        <v>-1.059483999634</v>
      </c>
      <c r="AH883">
        <v>29.007317714628101</v>
      </c>
      <c r="AI883">
        <v>92.063725789765698</v>
      </c>
      <c r="AJ883">
        <v>80.601227296769693</v>
      </c>
      <c r="AK883">
        <v>29.421103176616501</v>
      </c>
      <c r="AL883">
        <v>86.643162713365697</v>
      </c>
      <c r="AM883">
        <v>85.575077490494294</v>
      </c>
      <c r="AN883">
        <v>0.99999997695579801</v>
      </c>
    </row>
    <row r="884" spans="1:40" x14ac:dyDescent="0.25">
      <c r="A884" t="str">
        <f>"20190312151003131"</f>
        <v>20190312151003131</v>
      </c>
      <c r="B884" t="str">
        <f>"1552374603121832"</f>
        <v>1552374603121832</v>
      </c>
      <c r="C884" t="s">
        <v>40</v>
      </c>
      <c r="D884">
        <v>5.2134660000000004</v>
      </c>
      <c r="E884">
        <v>0.53240619999999905</v>
      </c>
      <c r="F884" t="s">
        <v>42</v>
      </c>
      <c r="G884">
        <v>-270.13060000000002</v>
      </c>
      <c r="H884" s="1">
        <v>-5.3871550000000001E-6</v>
      </c>
      <c r="I884">
        <v>363.01530000000002</v>
      </c>
      <c r="J884">
        <v>-299.64569999999998</v>
      </c>
      <c r="K884">
        <v>1.059482</v>
      </c>
      <c r="L884">
        <v>368.02199999999999</v>
      </c>
      <c r="M884">
        <v>0.99990429999999997</v>
      </c>
      <c r="N884">
        <v>0</v>
      </c>
      <c r="O884">
        <v>-3.9203880000000003E-3</v>
      </c>
      <c r="P884">
        <v>0.99564470000000005</v>
      </c>
      <c r="Q884">
        <v>4.5404819999999999E-2</v>
      </c>
      <c r="R884">
        <v>-8.1425910000000004E-2</v>
      </c>
      <c r="S884">
        <v>2.9774479999999999</v>
      </c>
      <c r="T884">
        <v>-0.105542899999999</v>
      </c>
      <c r="U884">
        <v>-0.49893189999999998</v>
      </c>
      <c r="V884">
        <v>7.760794E-2</v>
      </c>
      <c r="W884">
        <v>5.8506259999999997E-2</v>
      </c>
      <c r="X884">
        <v>0.99526579999999998</v>
      </c>
      <c r="Y884">
        <v>0.1613019</v>
      </c>
      <c r="Z884">
        <v>-2.70024E-3</v>
      </c>
      <c r="AA884">
        <v>0.98690140000000004</v>
      </c>
      <c r="AB884">
        <v>37</v>
      </c>
      <c r="AC884">
        <v>29.515099999999901</v>
      </c>
      <c r="AD884">
        <v>-1.0594873871549999</v>
      </c>
      <c r="AE884">
        <v>-5.0066999999999604</v>
      </c>
      <c r="AF884">
        <v>4.8848223792814096</v>
      </c>
      <c r="AG884">
        <v>-1.0594873871549999</v>
      </c>
      <c r="AH884">
        <v>29.497556967237902</v>
      </c>
      <c r="AI884">
        <v>92.029438604059706</v>
      </c>
      <c r="AJ884">
        <v>80.597100844237204</v>
      </c>
      <c r="AK884">
        <v>29.918052580943801</v>
      </c>
      <c r="AL884">
        <v>86.645922855595103</v>
      </c>
      <c r="AM884">
        <v>85.541263719899007</v>
      </c>
      <c r="AN884">
        <v>0.99999999372993498</v>
      </c>
    </row>
    <row r="885" spans="1:40" x14ac:dyDescent="0.25">
      <c r="A885" t="str">
        <f>"20190312151003153"</f>
        <v>20190312151003153</v>
      </c>
      <c r="B885" t="str">
        <f>"1552374603141352"</f>
        <v>1552374603141352</v>
      </c>
      <c r="C885" t="s">
        <v>40</v>
      </c>
      <c r="D885">
        <v>5.1762940000000004</v>
      </c>
      <c r="E885">
        <v>0.53234979999999998</v>
      </c>
      <c r="F885" t="s">
        <v>42</v>
      </c>
      <c r="G885">
        <v>-269.16090000000003</v>
      </c>
      <c r="H885" s="1">
        <v>-2.0640800000000001E-6</v>
      </c>
      <c r="I885">
        <v>362.87959999999998</v>
      </c>
      <c r="J885">
        <v>-299.29419999999999</v>
      </c>
      <c r="K885">
        <v>1.0594809999999999</v>
      </c>
      <c r="L885">
        <v>368.02010000000001</v>
      </c>
      <c r="M885">
        <v>0.99990199999999996</v>
      </c>
      <c r="N885">
        <v>0</v>
      </c>
      <c r="O885">
        <v>-4.4920749999999999E-3</v>
      </c>
      <c r="P885">
        <v>0.99557419999999996</v>
      </c>
      <c r="Q885">
        <v>4.520304E-2</v>
      </c>
      <c r="R885">
        <v>-8.239233E-2</v>
      </c>
      <c r="S885">
        <v>2.9767760000000001</v>
      </c>
      <c r="T885">
        <v>-0.1034561</v>
      </c>
      <c r="U885">
        <v>-0.50213620000000003</v>
      </c>
      <c r="V885">
        <v>7.8004879999999999E-2</v>
      </c>
      <c r="W885">
        <v>5.8286820000000003E-2</v>
      </c>
      <c r="X885">
        <v>0.99524769999999896</v>
      </c>
      <c r="Y885">
        <v>0.1618108</v>
      </c>
      <c r="Z885">
        <v>-2.6362960000000002E-3</v>
      </c>
      <c r="AA885">
        <v>0.98681830000000004</v>
      </c>
      <c r="AB885">
        <v>37</v>
      </c>
      <c r="AC885">
        <v>30.133299999999899</v>
      </c>
      <c r="AD885">
        <v>-1.0594830640799999</v>
      </c>
      <c r="AE885">
        <v>-5.1405000000000296</v>
      </c>
      <c r="AF885">
        <v>4.9990700079775996</v>
      </c>
      <c r="AG885">
        <v>-1.0594830640799999</v>
      </c>
      <c r="AH885">
        <v>30.119907673373898</v>
      </c>
      <c r="AI885">
        <v>91.9874123407388</v>
      </c>
      <c r="AJ885">
        <v>80.576391811349197</v>
      </c>
      <c r="AK885">
        <v>30.5503198601962</v>
      </c>
      <c r="AL885">
        <v>86.658517521104599</v>
      </c>
      <c r="AM885">
        <v>85.518470190052994</v>
      </c>
      <c r="AN885">
        <v>1.0000000495224</v>
      </c>
    </row>
    <row r="886" spans="1:40" x14ac:dyDescent="0.25">
      <c r="A886" t="str">
        <f>"20190312151003175"</f>
        <v>20190312151003175</v>
      </c>
      <c r="B886" t="str">
        <f>"1552374603171609"</f>
        <v>1552374603171609</v>
      </c>
      <c r="C886" t="s">
        <v>40</v>
      </c>
      <c r="D886">
        <v>5.1943020000000004</v>
      </c>
      <c r="E886">
        <v>0.53243830000000003</v>
      </c>
      <c r="F886" t="s">
        <v>42</v>
      </c>
      <c r="G886">
        <v>-269.23820000000001</v>
      </c>
      <c r="H886" s="1">
        <v>-2.0257829999999999E-6</v>
      </c>
      <c r="I886">
        <v>362.92469999999997</v>
      </c>
      <c r="J886">
        <v>-298.92809999999997</v>
      </c>
      <c r="K886">
        <v>1.0594650000000001</v>
      </c>
      <c r="L886">
        <v>368.01780000000002</v>
      </c>
      <c r="M886">
        <v>0.99989939999999999</v>
      </c>
      <c r="N886">
        <v>0</v>
      </c>
      <c r="O886">
        <v>-5.0879710000000002E-3</v>
      </c>
      <c r="P886">
        <v>0.99550280000000002</v>
      </c>
      <c r="Q886">
        <v>4.4871889999999998E-2</v>
      </c>
      <c r="R886">
        <v>-8.3433190000000004E-2</v>
      </c>
      <c r="S886">
        <v>2.9763489999999999</v>
      </c>
      <c r="T886">
        <v>-0.10491689999999999</v>
      </c>
      <c r="U886">
        <v>-0.50457759999999996</v>
      </c>
      <c r="V886">
        <v>7.8451740000000006E-2</v>
      </c>
      <c r="W886">
        <v>5.7939310000000001E-2</v>
      </c>
      <c r="X886">
        <v>0.99523280000000003</v>
      </c>
      <c r="Y886">
        <v>0.16203049999999999</v>
      </c>
      <c r="Z886">
        <v>-2.6566900000000002E-3</v>
      </c>
      <c r="AA886">
        <v>0.98678220000000005</v>
      </c>
      <c r="AB886">
        <v>37</v>
      </c>
      <c r="AC886">
        <v>29.689899999999898</v>
      </c>
      <c r="AD886">
        <v>-1.0594670257829999</v>
      </c>
      <c r="AE886">
        <v>-5.0931000000000397</v>
      </c>
      <c r="AF886">
        <v>4.9358539309051599</v>
      </c>
      <c r="AG886">
        <v>-1.0594670257829999</v>
      </c>
      <c r="AH886">
        <v>29.678719537541799</v>
      </c>
      <c r="AI886">
        <v>92.016791554261104</v>
      </c>
      <c r="AJ886">
        <v>80.557588266355793</v>
      </c>
      <c r="AK886">
        <v>30.105008184586499</v>
      </c>
      <c r="AL886">
        <v>86.678461860420498</v>
      </c>
      <c r="AM886">
        <v>85.492835506325605</v>
      </c>
      <c r="AN886">
        <v>0.99999998267407098</v>
      </c>
    </row>
    <row r="887" spans="1:40" x14ac:dyDescent="0.25">
      <c r="A887" t="str">
        <f>"20190312151003198"</f>
        <v>20190312151003198</v>
      </c>
      <c r="B887" t="str">
        <f>"1552374603191129"</f>
        <v>1552374603191129</v>
      </c>
      <c r="C887" t="s">
        <v>40</v>
      </c>
      <c r="D887">
        <v>5.1823889999999997</v>
      </c>
      <c r="E887">
        <v>0.53245229999999999</v>
      </c>
      <c r="F887" t="s">
        <v>42</v>
      </c>
      <c r="G887">
        <v>-269.48809999999997</v>
      </c>
      <c r="H887" s="1">
        <v>-1.9243610000000001E-6</v>
      </c>
      <c r="I887">
        <v>362.9862</v>
      </c>
      <c r="J887">
        <v>-298.55399999999997</v>
      </c>
      <c r="K887">
        <v>1.059464</v>
      </c>
      <c r="L887">
        <v>368.01530000000002</v>
      </c>
      <c r="M887">
        <v>0.99989640000000002</v>
      </c>
      <c r="N887">
        <v>0</v>
      </c>
      <c r="O887">
        <v>-5.6974640000000002E-3</v>
      </c>
      <c r="P887">
        <v>0.99544440000000001</v>
      </c>
      <c r="Q887">
        <v>4.483293E-2</v>
      </c>
      <c r="R887">
        <v>-8.4146780000000004E-2</v>
      </c>
      <c r="S887">
        <v>2.9757690000000001</v>
      </c>
      <c r="T887">
        <v>-0.10708959999999999</v>
      </c>
      <c r="U887">
        <v>-0.50857540000000001</v>
      </c>
      <c r="V887">
        <v>7.85584E-2</v>
      </c>
      <c r="W887">
        <v>5.7886470000000002E-2</v>
      </c>
      <c r="X887">
        <v>0.99522750000000004</v>
      </c>
      <c r="Y887">
        <v>0.162745</v>
      </c>
      <c r="Z887">
        <v>-2.702884E-3</v>
      </c>
      <c r="AA887">
        <v>0.98666450000000006</v>
      </c>
      <c r="AB887">
        <v>37</v>
      </c>
      <c r="AC887">
        <v>29.065899999999999</v>
      </c>
      <c r="AD887">
        <v>-1.0594659243610001</v>
      </c>
      <c r="AE887">
        <v>-5.0291000000000201</v>
      </c>
      <c r="AF887">
        <v>4.8571361803856501</v>
      </c>
      <c r="AG887">
        <v>-1.0594659243610001</v>
      </c>
      <c r="AH887">
        <v>29.0566002520303</v>
      </c>
      <c r="AI887">
        <v>92.059648983054601</v>
      </c>
      <c r="AJ887">
        <v>80.510111106438202</v>
      </c>
      <c r="AK887">
        <v>29.4788103241291</v>
      </c>
      <c r="AL887">
        <v>86.6814945872067</v>
      </c>
      <c r="AM887">
        <v>85.486709101027699</v>
      </c>
      <c r="AN887">
        <v>1.0000000211879301</v>
      </c>
    </row>
    <row r="888" spans="1:40" x14ac:dyDescent="0.25">
      <c r="A888" t="str">
        <f>"20190312151003221"</f>
        <v>20190312151003221</v>
      </c>
      <c r="B888" t="str">
        <f>"1552374603211628"</f>
        <v>1552374603211628</v>
      </c>
      <c r="C888" t="s">
        <v>40</v>
      </c>
      <c r="D888">
        <v>5.1908580000000004</v>
      </c>
      <c r="E888">
        <v>0.53256009999999998</v>
      </c>
      <c r="F888" t="s">
        <v>42</v>
      </c>
      <c r="G888">
        <v>-269.63060000000002</v>
      </c>
      <c r="H888" s="1">
        <v>-1.8590929999999999E-6</v>
      </c>
      <c r="I888">
        <v>363.04930000000002</v>
      </c>
      <c r="J888">
        <v>-298.18900000000002</v>
      </c>
      <c r="K888">
        <v>1.0594650000000001</v>
      </c>
      <c r="L888">
        <v>368.01249999999999</v>
      </c>
      <c r="M888">
        <v>0.99989280000000003</v>
      </c>
      <c r="N888">
        <v>0</v>
      </c>
      <c r="O888">
        <v>-6.2915990000000001E-3</v>
      </c>
      <c r="P888">
        <v>0.99534199999999995</v>
      </c>
      <c r="Q888">
        <v>4.4987859999999998E-2</v>
      </c>
      <c r="R888">
        <v>-8.5267010000000004E-2</v>
      </c>
      <c r="S888">
        <v>2.9754939999999999</v>
      </c>
      <c r="T888">
        <v>-0.1089922</v>
      </c>
      <c r="U888">
        <v>-0.51086430000000005</v>
      </c>
      <c r="V888">
        <v>7.9087619999999997E-2</v>
      </c>
      <c r="W888">
        <v>5.8027860000000001E-2</v>
      </c>
      <c r="X888">
        <v>0.99517730000000004</v>
      </c>
      <c r="Y888">
        <v>0.16290789999999999</v>
      </c>
      <c r="Z888">
        <v>-2.7323120000000002E-3</v>
      </c>
      <c r="AA888">
        <v>0.98663749999999995</v>
      </c>
      <c r="AB888">
        <v>37</v>
      </c>
      <c r="AC888">
        <v>28.558399999999999</v>
      </c>
      <c r="AD888">
        <v>-1.0594668590930001</v>
      </c>
      <c r="AE888">
        <v>-4.9631999999999703</v>
      </c>
      <c r="AF888">
        <v>4.77702626496602</v>
      </c>
      <c r="AG888">
        <v>-1.0594668590930001</v>
      </c>
      <c r="AH888">
        <v>28.550921796687099</v>
      </c>
      <c r="AI888">
        <v>92.096045216836998</v>
      </c>
      <c r="AJ888">
        <v>80.501482607538904</v>
      </c>
      <c r="AK888">
        <v>28.967181178054499</v>
      </c>
      <c r="AL888">
        <v>86.673379730756096</v>
      </c>
      <c r="AM888">
        <v>85.456203315474696</v>
      </c>
      <c r="AN888">
        <v>0.99999997130436602</v>
      </c>
    </row>
    <row r="889" spans="1:40" x14ac:dyDescent="0.25">
      <c r="A889" t="str">
        <f>"20190312151003243"</f>
        <v>20190312151003243</v>
      </c>
      <c r="B889" t="str">
        <f>"1552374603231145"</f>
        <v>1552374603231145</v>
      </c>
      <c r="C889" t="s">
        <v>40</v>
      </c>
      <c r="D889">
        <v>5.157343</v>
      </c>
      <c r="E889">
        <v>0.53263380000000005</v>
      </c>
      <c r="F889" t="s">
        <v>42</v>
      </c>
      <c r="G889">
        <v>-269.29590000000002</v>
      </c>
      <c r="H889" s="1">
        <v>-1.98311E-6</v>
      </c>
      <c r="I889">
        <v>363.01130000000001</v>
      </c>
      <c r="J889">
        <v>-297.81939999999997</v>
      </c>
      <c r="K889">
        <v>1.0594709999999901</v>
      </c>
      <c r="L889">
        <v>368.00959999999998</v>
      </c>
      <c r="M889">
        <v>0.99988909999999998</v>
      </c>
      <c r="N889">
        <v>0</v>
      </c>
      <c r="O889">
        <v>-6.893255E-3</v>
      </c>
      <c r="P889">
        <v>0.99528439999999996</v>
      </c>
      <c r="Q889">
        <v>4.503004E-2</v>
      </c>
      <c r="R889">
        <v>-8.5917759999999996E-2</v>
      </c>
      <c r="S889">
        <v>2.9748230000000002</v>
      </c>
      <c r="T889">
        <v>-0.109082</v>
      </c>
      <c r="U889">
        <v>-0.51492309999999997</v>
      </c>
      <c r="V889">
        <v>7.9139409999999993E-2</v>
      </c>
      <c r="W889">
        <v>5.8059279999999998E-2</v>
      </c>
      <c r="X889">
        <v>0.99517140000000004</v>
      </c>
      <c r="Y889">
        <v>0.16365839999999901</v>
      </c>
      <c r="Z889">
        <v>-2.7266209999999998E-3</v>
      </c>
      <c r="AA889">
        <v>0.98651330000000004</v>
      </c>
      <c r="AB889">
        <v>37</v>
      </c>
      <c r="AC889">
        <v>28.523499999999899</v>
      </c>
      <c r="AD889">
        <v>-1.0594729831099901</v>
      </c>
      <c r="AE889">
        <v>-4.9982999999999702</v>
      </c>
      <c r="AF889">
        <v>4.7951257534008196</v>
      </c>
      <c r="AG889">
        <v>-1.0594729831099901</v>
      </c>
      <c r="AH889">
        <v>28.519105134225001</v>
      </c>
      <c r="AI889">
        <v>92.098112764506197</v>
      </c>
      <c r="AJ889">
        <v>80.455712822029199</v>
      </c>
      <c r="AK889">
        <v>28.938816002902499</v>
      </c>
      <c r="AL889">
        <v>86.671576621990695</v>
      </c>
      <c r="AM889">
        <v>85.453213469518303</v>
      </c>
      <c r="AN889">
        <v>1.0000000207936099</v>
      </c>
    </row>
    <row r="890" spans="1:40" x14ac:dyDescent="0.25">
      <c r="A890" t="str">
        <f>"20190312151003265"</f>
        <v>20190312151003265</v>
      </c>
      <c r="B890" t="str">
        <f>"1552374603261401"</f>
        <v>1552374603261401</v>
      </c>
      <c r="C890" t="s">
        <v>40</v>
      </c>
      <c r="D890">
        <v>5.3878259999999996</v>
      </c>
      <c r="E890">
        <v>0.53267259999999905</v>
      </c>
      <c r="F890" t="s">
        <v>42</v>
      </c>
      <c r="G890">
        <v>-269.06990000000002</v>
      </c>
      <c r="H890" s="1">
        <v>-2.0607579999999999E-6</v>
      </c>
      <c r="I890">
        <v>363.00839999999999</v>
      </c>
      <c r="J890">
        <v>-297.46269999999998</v>
      </c>
      <c r="K890">
        <v>1.0594650000000001</v>
      </c>
      <c r="L890">
        <v>368.00650000000002</v>
      </c>
      <c r="M890">
        <v>0.99988509999999997</v>
      </c>
      <c r="N890">
        <v>0</v>
      </c>
      <c r="O890">
        <v>-7.4738269999999997E-3</v>
      </c>
      <c r="P890">
        <v>0.99510069999999995</v>
      </c>
      <c r="Q890">
        <v>4.5057659999999999E-2</v>
      </c>
      <c r="R890">
        <v>-8.8004349999999995E-2</v>
      </c>
      <c r="S890">
        <v>2.9744869999999999</v>
      </c>
      <c r="T890">
        <v>-0.1096152</v>
      </c>
      <c r="U890">
        <v>-0.51742549999999998</v>
      </c>
      <c r="V890">
        <v>8.0649070000000003E-2</v>
      </c>
      <c r="W890">
        <v>5.8074510000000003E-2</v>
      </c>
      <c r="X890">
        <v>0.99504930000000003</v>
      </c>
      <c r="Y890">
        <v>0.1639091</v>
      </c>
      <c r="Z890">
        <v>-2.7234120000000001E-3</v>
      </c>
      <c r="AA890">
        <v>0.98647169999999895</v>
      </c>
      <c r="AB890">
        <v>37</v>
      </c>
      <c r="AC890">
        <v>28.392799999999902</v>
      </c>
      <c r="AD890">
        <v>-1.0594670607579999</v>
      </c>
      <c r="AE890">
        <v>-4.9981000000000204</v>
      </c>
      <c r="AF890">
        <v>4.7792844734692999</v>
      </c>
      <c r="AG890">
        <v>-1.0594670607579999</v>
      </c>
      <c r="AH890">
        <v>28.391022068378799</v>
      </c>
      <c r="AI890">
        <v>92.107488795330497</v>
      </c>
      <c r="AJ890">
        <v>80.444537562106106</v>
      </c>
      <c r="AK890">
        <v>28.8099664112673</v>
      </c>
      <c r="AL890">
        <v>86.670702514176995</v>
      </c>
      <c r="AM890">
        <v>85.366287213547295</v>
      </c>
      <c r="AN890">
        <v>1.0000000153170401</v>
      </c>
    </row>
    <row r="891" spans="1:40" x14ac:dyDescent="0.25">
      <c r="A891" t="str">
        <f>"20190312151003288"</f>
        <v>20190312151003288</v>
      </c>
      <c r="B891" t="str">
        <f>"1552374603281896"</f>
        <v>1552374603281896</v>
      </c>
      <c r="C891" t="s">
        <v>40</v>
      </c>
      <c r="D891">
        <v>5.386171</v>
      </c>
      <c r="E891">
        <v>0.53272600000000003</v>
      </c>
      <c r="F891" t="s">
        <v>42</v>
      </c>
      <c r="G891">
        <v>-269.13459999999998</v>
      </c>
      <c r="H891" s="1">
        <v>-2.0386619999999999E-6</v>
      </c>
      <c r="I891">
        <v>363.00880000000001</v>
      </c>
      <c r="J891">
        <v>-297.09010000000001</v>
      </c>
      <c r="K891">
        <v>1.0594650000000001</v>
      </c>
      <c r="L891">
        <v>368.00310000000002</v>
      </c>
      <c r="M891">
        <v>0.9998804</v>
      </c>
      <c r="N891">
        <v>0</v>
      </c>
      <c r="O891">
        <v>-8.0806260000000005E-3</v>
      </c>
      <c r="P891">
        <v>0.99496110000000004</v>
      </c>
      <c r="Q891">
        <v>4.4710319999999998E-2</v>
      </c>
      <c r="R891">
        <v>-8.9741219999999997E-2</v>
      </c>
      <c r="S891">
        <v>2.9734189999999998</v>
      </c>
      <c r="T891">
        <v>-0.1112051</v>
      </c>
      <c r="U891">
        <v>-0.52456669999999905</v>
      </c>
      <c r="V891">
        <v>8.1782399999999894E-2</v>
      </c>
      <c r="W891">
        <v>5.771606E-2</v>
      </c>
      <c r="X891">
        <v>0.99497769999999996</v>
      </c>
      <c r="Y891">
        <v>0.165664899999999</v>
      </c>
      <c r="Z891">
        <v>-2.773359E-3</v>
      </c>
      <c r="AA891">
        <v>0.9861782</v>
      </c>
      <c r="AB891">
        <v>36</v>
      </c>
      <c r="AC891">
        <v>27.955500000000001</v>
      </c>
      <c r="AD891">
        <v>-1.059467038662</v>
      </c>
      <c r="AE891">
        <v>-4.9943000000000097</v>
      </c>
      <c r="AF891">
        <v>4.7615918570061</v>
      </c>
      <c r="AG891">
        <v>-1.059467038662</v>
      </c>
      <c r="AH891">
        <v>27.956036793512101</v>
      </c>
      <c r="AI891">
        <v>92.139551149214</v>
      </c>
      <c r="AJ891">
        <v>80.333897615934703</v>
      </c>
      <c r="AK891">
        <v>28.378428790525401</v>
      </c>
      <c r="AL891">
        <v>86.691274853957097</v>
      </c>
      <c r="AM891">
        <v>85.301124380735004</v>
      </c>
      <c r="AN891">
        <v>1.0000000640144799</v>
      </c>
    </row>
    <row r="892" spans="1:40" x14ac:dyDescent="0.25">
      <c r="A892" t="str">
        <f>"20190312151003310"</f>
        <v>20190312151003310</v>
      </c>
      <c r="B892" t="str">
        <f>"1552374603301421"</f>
        <v>1552374603301421</v>
      </c>
      <c r="C892" t="s">
        <v>40</v>
      </c>
      <c r="D892">
        <v>5.268275</v>
      </c>
      <c r="E892">
        <v>0.53295459999999995</v>
      </c>
      <c r="F892" t="s">
        <v>42</v>
      </c>
      <c r="G892">
        <v>-269.06299999999999</v>
      </c>
      <c r="H892" s="1">
        <v>-2.0641260000000001E-6</v>
      </c>
      <c r="I892">
        <v>363.00459999999998</v>
      </c>
      <c r="J892">
        <v>-296.7328</v>
      </c>
      <c r="K892">
        <v>1.0594680000000001</v>
      </c>
      <c r="L892">
        <v>367.99959999999999</v>
      </c>
      <c r="M892">
        <v>0.99987570000000003</v>
      </c>
      <c r="N892">
        <v>0</v>
      </c>
      <c r="O892">
        <v>-8.6620610000000004E-3</v>
      </c>
      <c r="P892">
        <v>0.99477890000000002</v>
      </c>
      <c r="Q892">
        <v>4.4289059999999998E-2</v>
      </c>
      <c r="R892">
        <v>-9.1943819999999996E-2</v>
      </c>
      <c r="S892">
        <v>2.9724729999999999</v>
      </c>
      <c r="T892">
        <v>-0.1123638</v>
      </c>
      <c r="U892">
        <v>-0.53012079999999995</v>
      </c>
      <c r="V892">
        <v>8.3406690000000006E-2</v>
      </c>
      <c r="W892">
        <v>5.7285700000000002E-2</v>
      </c>
      <c r="X892">
        <v>0.99486770000000002</v>
      </c>
      <c r="Y892">
        <v>0.16692870000000001</v>
      </c>
      <c r="Z892">
        <v>-2.8045610000000001E-3</v>
      </c>
      <c r="AA892">
        <v>0.98596499999999998</v>
      </c>
      <c r="AB892">
        <v>36</v>
      </c>
      <c r="AC892">
        <v>27.669799999999999</v>
      </c>
      <c r="AD892">
        <v>-1.059470064126</v>
      </c>
      <c r="AE892">
        <v>-4.9950000000000001</v>
      </c>
      <c r="AF892">
        <v>4.7483723660077901</v>
      </c>
      <c r="AG892">
        <v>-1.059470064126</v>
      </c>
      <c r="AH892">
        <v>27.672741740642799</v>
      </c>
      <c r="AI892">
        <v>92.160985915532805</v>
      </c>
      <c r="AJ892">
        <v>80.263423271087902</v>
      </c>
      <c r="AK892">
        <v>28.097155592467999</v>
      </c>
      <c r="AL892">
        <v>86.715973430392296</v>
      </c>
      <c r="AM892">
        <v>85.207702460547296</v>
      </c>
      <c r="AN892">
        <v>1.0000000339322599</v>
      </c>
    </row>
    <row r="893" spans="1:40" x14ac:dyDescent="0.25">
      <c r="A893" t="str">
        <f>"20190312151003332"</f>
        <v>20190312151003332</v>
      </c>
      <c r="B893" t="str">
        <f>"1552374603321912"</f>
        <v>1552374603321912</v>
      </c>
      <c r="C893" t="s">
        <v>40</v>
      </c>
      <c r="D893">
        <v>5.3026749999999998</v>
      </c>
      <c r="E893">
        <v>0.53316339999999995</v>
      </c>
      <c r="F893" t="s">
        <v>42</v>
      </c>
      <c r="G893">
        <v>-269.75580000000002</v>
      </c>
      <c r="H893" s="1">
        <v>-1.8009669999999999E-6</v>
      </c>
      <c r="I893">
        <v>363.10750000000002</v>
      </c>
      <c r="J893">
        <v>-296.36070000000001</v>
      </c>
      <c r="K893">
        <v>1.059474</v>
      </c>
      <c r="L893">
        <v>367.99579999999997</v>
      </c>
      <c r="M893">
        <v>0.99987020000000004</v>
      </c>
      <c r="N893">
        <v>0</v>
      </c>
      <c r="O893">
        <v>-9.2666490000000001E-3</v>
      </c>
      <c r="P893">
        <v>0.99461599999999994</v>
      </c>
      <c r="Q893">
        <v>4.4476370000000001E-2</v>
      </c>
      <c r="R893">
        <v>-9.3601000000000004E-2</v>
      </c>
      <c r="S893">
        <v>2.9711609999999999</v>
      </c>
      <c r="T893">
        <v>-0.1166867</v>
      </c>
      <c r="U893">
        <v>-0.53878780000000004</v>
      </c>
      <c r="V893">
        <v>8.4463389999999999E-2</v>
      </c>
      <c r="W893">
        <v>5.7470899999999998E-2</v>
      </c>
      <c r="X893">
        <v>0.99476779999999998</v>
      </c>
      <c r="Y893">
        <v>0.16918349999999999</v>
      </c>
      <c r="Z893">
        <v>-2.9332669999999998E-3</v>
      </c>
      <c r="AA893">
        <v>0.98558020000000002</v>
      </c>
      <c r="AB893">
        <v>36</v>
      </c>
      <c r="AC893">
        <v>26.604899999999901</v>
      </c>
      <c r="AD893">
        <v>-1.059475800967</v>
      </c>
      <c r="AE893">
        <v>-4.8882999999999504</v>
      </c>
      <c r="AF893">
        <v>4.6344209598192698</v>
      </c>
      <c r="AG893">
        <v>-1.059475800967</v>
      </c>
      <c r="AH893">
        <v>26.608241216529802</v>
      </c>
      <c r="AI893">
        <v>92.2463915326029</v>
      </c>
      <c r="AJ893">
        <v>80.119770482279193</v>
      </c>
      <c r="AK893">
        <v>27.029592065783799</v>
      </c>
      <c r="AL893">
        <v>86.705344538272101</v>
      </c>
      <c r="AM893">
        <v>85.146790786149595</v>
      </c>
      <c r="AN893">
        <v>0.99999997225697002</v>
      </c>
    </row>
    <row r="894" spans="1:40" x14ac:dyDescent="0.25">
      <c r="A894" t="str">
        <f>"20190312151003354"</f>
        <v>20190312151003354</v>
      </c>
      <c r="B894" t="str">
        <f>"1552374603341432"</f>
        <v>1552374603341432</v>
      </c>
      <c r="C894" t="s">
        <v>40</v>
      </c>
      <c r="D894">
        <v>5.2299569999999997</v>
      </c>
      <c r="E894">
        <v>0.53314759999999894</v>
      </c>
      <c r="F894" t="s">
        <v>42</v>
      </c>
      <c r="G894">
        <v>-269.96620000000001</v>
      </c>
      <c r="H894" s="1">
        <v>-5.4335840000000004E-6</v>
      </c>
      <c r="I894">
        <v>363.15120000000002</v>
      </c>
      <c r="J894">
        <v>-296.01280000000003</v>
      </c>
      <c r="K894">
        <v>1.0594730000000001</v>
      </c>
      <c r="L894">
        <v>367.99200000000002</v>
      </c>
      <c r="M894">
        <v>0.9998648</v>
      </c>
      <c r="N894">
        <v>0</v>
      </c>
      <c r="O894">
        <v>-9.8326319999999991E-3</v>
      </c>
      <c r="P894">
        <v>0.99448000000000003</v>
      </c>
      <c r="Q894">
        <v>4.5103270000000001E-2</v>
      </c>
      <c r="R894">
        <v>-9.4739009999999999E-2</v>
      </c>
      <c r="S894">
        <v>2.9702760000000001</v>
      </c>
      <c r="T894">
        <v>-0.11922679999999999</v>
      </c>
      <c r="U894">
        <v>-0.54516600000000004</v>
      </c>
      <c r="V894">
        <v>8.5040009999999999E-2</v>
      </c>
      <c r="W894">
        <v>5.8098789999999997E-2</v>
      </c>
      <c r="X894">
        <v>0.99468230000000002</v>
      </c>
      <c r="Y894">
        <v>0.17071910000000001</v>
      </c>
      <c r="Z894">
        <v>-3.0054159999999999E-3</v>
      </c>
      <c r="AA894">
        <v>0.9853151</v>
      </c>
      <c r="AB894">
        <v>36</v>
      </c>
      <c r="AC894">
        <v>26.046600000000002</v>
      </c>
      <c r="AD894">
        <v>-1.059478433584</v>
      </c>
      <c r="AE894">
        <v>-4.8407999999999403</v>
      </c>
      <c r="AF894">
        <v>4.5771168087312004</v>
      </c>
      <c r="AG894">
        <v>-1.059478433584</v>
      </c>
      <c r="AH894">
        <v>26.051278337710901</v>
      </c>
      <c r="AI894">
        <v>92.293780304584502</v>
      </c>
      <c r="AJ894">
        <v>80.035041835845007</v>
      </c>
      <c r="AK894">
        <v>26.4715242451372</v>
      </c>
      <c r="AL894">
        <v>86.669309219885406</v>
      </c>
      <c r="AM894">
        <v>85.113400489531699</v>
      </c>
      <c r="AN894">
        <v>1.0000000753167699</v>
      </c>
    </row>
    <row r="895" spans="1:40" x14ac:dyDescent="0.25">
      <c r="A895" t="str">
        <f>"20190312151003377"</f>
        <v>20190312151003377</v>
      </c>
      <c r="B895" t="str">
        <f>"1552374603371689"</f>
        <v>1552374603371689</v>
      </c>
      <c r="C895" t="s">
        <v>40</v>
      </c>
      <c r="D895">
        <v>5.2094319999999996</v>
      </c>
      <c r="E895">
        <v>0.53324069999999901</v>
      </c>
      <c r="F895" t="s">
        <v>42</v>
      </c>
      <c r="G895">
        <v>-269.20060000000001</v>
      </c>
      <c r="H895" s="1">
        <v>-2.0081880000000002E-6</v>
      </c>
      <c r="I895">
        <v>363.03890000000001</v>
      </c>
      <c r="J895">
        <v>-295.64010000000002</v>
      </c>
      <c r="K895">
        <v>1.05948</v>
      </c>
      <c r="L895">
        <v>367.98770000000002</v>
      </c>
      <c r="M895">
        <v>0.99985860000000004</v>
      </c>
      <c r="N895">
        <v>0</v>
      </c>
      <c r="O895">
        <v>-1.0439510000000001E-2</v>
      </c>
      <c r="P895">
        <v>0.99437580000000003</v>
      </c>
      <c r="Q895">
        <v>4.5191200000000001E-2</v>
      </c>
      <c r="R895">
        <v>-9.5784430000000004E-2</v>
      </c>
      <c r="S895">
        <v>2.9696660000000001</v>
      </c>
      <c r="T895">
        <v>-0.1173449</v>
      </c>
      <c r="U895">
        <v>-0.54858399999999996</v>
      </c>
      <c r="V895">
        <v>8.5482249999999996E-2</v>
      </c>
      <c r="W895">
        <v>5.8189709999999999E-2</v>
      </c>
      <c r="X895">
        <v>0.99463900000000005</v>
      </c>
      <c r="Y895">
        <v>0.17125779999999999</v>
      </c>
      <c r="Z895">
        <v>-2.9450959999999999E-3</v>
      </c>
      <c r="AA895">
        <v>0.98522189999999998</v>
      </c>
      <c r="AB895">
        <v>36</v>
      </c>
      <c r="AC895">
        <v>26.439499999999999</v>
      </c>
      <c r="AD895">
        <v>-1.0594820081880001</v>
      </c>
      <c r="AE895">
        <v>-4.9488000000000003</v>
      </c>
      <c r="AF895">
        <v>4.6652531543540698</v>
      </c>
      <c r="AG895">
        <v>-1.0594820081880001</v>
      </c>
      <c r="AH895">
        <v>26.4486938058199</v>
      </c>
      <c r="AI895">
        <v>92.259090983776503</v>
      </c>
      <c r="AJ895">
        <v>79.996565291922906</v>
      </c>
      <c r="AK895">
        <v>26.877881113545801</v>
      </c>
      <c r="AL895">
        <v>86.664090804564196</v>
      </c>
      <c r="AM895">
        <v>85.087899558717396</v>
      </c>
      <c r="AN895">
        <v>0.99999999886797297</v>
      </c>
    </row>
    <row r="896" spans="1:40" x14ac:dyDescent="0.25">
      <c r="A896" t="str">
        <f>"20190312151003399"</f>
        <v>20190312151003399</v>
      </c>
      <c r="B896" t="str">
        <f>"1552374603391208"</f>
        <v>1552374603391208</v>
      </c>
      <c r="C896" t="s">
        <v>40</v>
      </c>
      <c r="D896">
        <v>5.2174110000000002</v>
      </c>
      <c r="E896">
        <v>0.53342709999999904</v>
      </c>
      <c r="F896" t="s">
        <v>42</v>
      </c>
      <c r="G896">
        <v>-268.93209999999999</v>
      </c>
      <c r="H896" s="1">
        <v>-2.1048569999999998E-6</v>
      </c>
      <c r="I896">
        <v>363.01889999999997</v>
      </c>
      <c r="J896">
        <v>-295.28390000000002</v>
      </c>
      <c r="K896">
        <v>1.0594840000000001</v>
      </c>
      <c r="L896">
        <v>367.98329999999999</v>
      </c>
      <c r="M896">
        <v>0.99985230000000003</v>
      </c>
      <c r="N896">
        <v>0</v>
      </c>
      <c r="O896">
        <v>-1.1019569999999999E-2</v>
      </c>
      <c r="P896">
        <v>0.99432160000000003</v>
      </c>
      <c r="Q896">
        <v>4.4628910000000001E-2</v>
      </c>
      <c r="R896">
        <v>-9.6605730000000001E-2</v>
      </c>
      <c r="S896">
        <v>2.9691160000000001</v>
      </c>
      <c r="T896">
        <v>-0.1177821</v>
      </c>
      <c r="U896">
        <v>-0.55236819999999998</v>
      </c>
      <c r="V896">
        <v>8.5725839999999998E-2</v>
      </c>
      <c r="W896">
        <v>5.7630840000000003E-2</v>
      </c>
      <c r="X896">
        <v>0.99465060000000005</v>
      </c>
      <c r="Y896">
        <v>0.17193169999999999</v>
      </c>
      <c r="Z896">
        <v>-2.9467120000000002E-3</v>
      </c>
      <c r="AA896">
        <v>0.98510439999999999</v>
      </c>
      <c r="AB896">
        <v>36</v>
      </c>
      <c r="AC896">
        <v>26.351800000000001</v>
      </c>
      <c r="AD896">
        <v>-1.0594861048569999</v>
      </c>
      <c r="AE896">
        <v>-4.9644000000000101</v>
      </c>
      <c r="AF896">
        <v>4.6664031526488197</v>
      </c>
      <c r="AG896">
        <v>-1.0594861048569999</v>
      </c>
      <c r="AH896">
        <v>26.363754221556601</v>
      </c>
      <c r="AI896">
        <v>92.266133205868599</v>
      </c>
      <c r="AJ896">
        <v>79.962566593727999</v>
      </c>
      <c r="AK896">
        <v>26.7945025302594</v>
      </c>
      <c r="AL896">
        <v>86.696165610888599</v>
      </c>
      <c r="AM896">
        <v>85.074027995125206</v>
      </c>
      <c r="AN896">
        <v>1.0000000247215799</v>
      </c>
    </row>
    <row r="897" spans="1:40" x14ac:dyDescent="0.25">
      <c r="A897" t="str">
        <f>"20190312151003422"</f>
        <v>20190312151003422</v>
      </c>
      <c r="B897" t="str">
        <f>"1552374603411705"</f>
        <v>1552374603411705</v>
      </c>
      <c r="C897" t="s">
        <v>40</v>
      </c>
      <c r="D897">
        <v>5.320443</v>
      </c>
      <c r="E897">
        <v>0.53353660000000003</v>
      </c>
      <c r="F897" t="s">
        <v>42</v>
      </c>
      <c r="G897">
        <v>-269.40550000000002</v>
      </c>
      <c r="H897" s="1">
        <v>-1.9122329999999999E-6</v>
      </c>
      <c r="I897">
        <v>363.13740000000001</v>
      </c>
      <c r="J897">
        <v>-294.90989999999999</v>
      </c>
      <c r="K897">
        <v>1.0594859999999999</v>
      </c>
      <c r="L897">
        <v>367.97859999999997</v>
      </c>
      <c r="M897">
        <v>0.99984530000000005</v>
      </c>
      <c r="N897">
        <v>0</v>
      </c>
      <c r="O897">
        <v>-1.162825E-2</v>
      </c>
      <c r="P897">
        <v>0.99433629999999995</v>
      </c>
      <c r="Q897">
        <v>4.4701560000000001E-2</v>
      </c>
      <c r="R897">
        <v>-9.6422079999999993E-2</v>
      </c>
      <c r="S897">
        <v>2.9685359999999998</v>
      </c>
      <c r="T897">
        <v>-0.1215343</v>
      </c>
      <c r="U897">
        <v>-0.55587769999999903</v>
      </c>
      <c r="V897">
        <v>8.4935949999999996E-2</v>
      </c>
      <c r="W897">
        <v>5.7708919999999997E-2</v>
      </c>
      <c r="X897">
        <v>0.99471379999999998</v>
      </c>
      <c r="Y897">
        <v>0.1724842</v>
      </c>
      <c r="Z897">
        <v>-3.027292E-3</v>
      </c>
      <c r="AA897">
        <v>0.98500759999999998</v>
      </c>
      <c r="AB897">
        <v>36</v>
      </c>
      <c r="AC897">
        <v>25.504399999999901</v>
      </c>
      <c r="AD897">
        <v>-1.0594879122329901</v>
      </c>
      <c r="AE897">
        <v>-4.84119999999995</v>
      </c>
      <c r="AF897">
        <v>4.5367185818282296</v>
      </c>
      <c r="AG897">
        <v>-1.0594879122329901</v>
      </c>
      <c r="AH897">
        <v>25.5164728915151</v>
      </c>
      <c r="AI897">
        <v>92.340982628646401</v>
      </c>
      <c r="AJ897">
        <v>79.918407864542203</v>
      </c>
      <c r="AK897">
        <v>25.938286738917402</v>
      </c>
      <c r="AL897">
        <v>86.691684381933399</v>
      </c>
      <c r="AM897">
        <v>85.119504931992196</v>
      </c>
      <c r="AN897">
        <v>0.99999998948020397</v>
      </c>
    </row>
    <row r="898" spans="1:40" x14ac:dyDescent="0.25">
      <c r="A898" t="str">
        <f>"20190312151003444"</f>
        <v>20190312151003444</v>
      </c>
      <c r="B898" t="str">
        <f>"1552374603431224"</f>
        <v>1552374603431224</v>
      </c>
      <c r="C898" t="s">
        <v>40</v>
      </c>
      <c r="D898">
        <v>5.2494300000000003</v>
      </c>
      <c r="E898">
        <v>0.53364709999999904</v>
      </c>
      <c r="F898" t="s">
        <v>42</v>
      </c>
      <c r="G898">
        <v>-269.50549999999998</v>
      </c>
      <c r="H898" s="1">
        <v>-1.857256E-6</v>
      </c>
      <c r="I898">
        <v>363.21620000000001</v>
      </c>
      <c r="J898">
        <v>-294.5498</v>
      </c>
      <c r="K898">
        <v>1.059482</v>
      </c>
      <c r="L898">
        <v>367.97379999999998</v>
      </c>
      <c r="M898">
        <v>0.99983829999999996</v>
      </c>
      <c r="N898">
        <v>0</v>
      </c>
      <c r="O898">
        <v>-1.2214050000000001E-2</v>
      </c>
      <c r="P898">
        <v>0.99437730000000002</v>
      </c>
      <c r="Q898">
        <v>4.4501640000000002E-2</v>
      </c>
      <c r="R898">
        <v>-9.6091129999999997E-2</v>
      </c>
      <c r="S898">
        <v>2.9686889999999999</v>
      </c>
      <c r="T898">
        <v>-0.1238084</v>
      </c>
      <c r="U898">
        <v>-0.55651859999999997</v>
      </c>
      <c r="V898">
        <v>8.4021269999999995E-2</v>
      </c>
      <c r="W898">
        <v>5.7515650000000001E-2</v>
      </c>
      <c r="X898">
        <v>0.99480270000000004</v>
      </c>
      <c r="Y898">
        <v>0.17209929999999901</v>
      </c>
      <c r="Z898">
        <v>-3.0515220000000001E-3</v>
      </c>
      <c r="AA898">
        <v>0.98507489999999998</v>
      </c>
      <c r="AB898">
        <v>36</v>
      </c>
      <c r="AC898">
        <v>25.0443</v>
      </c>
      <c r="AD898">
        <v>-1.0594838572559999</v>
      </c>
      <c r="AE898">
        <v>-4.7575999999999601</v>
      </c>
      <c r="AF898">
        <v>4.4436504358659796</v>
      </c>
      <c r="AG898">
        <v>-1.0594838572559999</v>
      </c>
      <c r="AH898">
        <v>25.057264064567399</v>
      </c>
      <c r="AI898">
        <v>92.384013051668404</v>
      </c>
      <c r="AJ898">
        <v>79.943728792409104</v>
      </c>
      <c r="AK898">
        <v>25.470277141040601</v>
      </c>
      <c r="AL898">
        <v>86.702776454488202</v>
      </c>
      <c r="AM898">
        <v>85.172242883462701</v>
      </c>
      <c r="AN898">
        <v>1.0000000178673101</v>
      </c>
    </row>
    <row r="899" spans="1:40" x14ac:dyDescent="0.25">
      <c r="A899" t="str">
        <f>"20190312151003468"</f>
        <v>20190312151003468</v>
      </c>
      <c r="B899" t="str">
        <f>"1552374603461482"</f>
        <v>1552374603461482</v>
      </c>
      <c r="C899" t="s">
        <v>40</v>
      </c>
      <c r="D899">
        <v>5.3105200000000004</v>
      </c>
      <c r="E899">
        <v>0.533699699999999</v>
      </c>
      <c r="F899" t="s">
        <v>42</v>
      </c>
      <c r="G899">
        <v>-269.72039999999998</v>
      </c>
      <c r="H899" s="1">
        <v>-1.7576750000000001E-6</v>
      </c>
      <c r="I899">
        <v>363.31549999999999</v>
      </c>
      <c r="J899">
        <v>-294.17419999999998</v>
      </c>
      <c r="K899">
        <v>1.0594779999999999</v>
      </c>
      <c r="L899">
        <v>367.96859999999998</v>
      </c>
      <c r="M899">
        <v>0.99983060000000001</v>
      </c>
      <c r="N899">
        <v>0</v>
      </c>
      <c r="O899">
        <v>-1.2824510000000001E-2</v>
      </c>
      <c r="P899">
        <v>0.99441559999999996</v>
      </c>
      <c r="Q899">
        <v>4.5044170000000001E-2</v>
      </c>
      <c r="R899">
        <v>-9.5439800000000005E-2</v>
      </c>
      <c r="S899">
        <v>2.9688110000000001</v>
      </c>
      <c r="T899">
        <v>-0.1266805</v>
      </c>
      <c r="U899">
        <v>-0.55697629999999998</v>
      </c>
      <c r="V899">
        <v>8.2762329999999995E-2</v>
      </c>
      <c r="W899">
        <v>5.806356E-2</v>
      </c>
      <c r="X899">
        <v>0.99487639999999999</v>
      </c>
      <c r="Y899">
        <v>0.1716319</v>
      </c>
      <c r="Z899">
        <v>-3.0863990000000001E-3</v>
      </c>
      <c r="AA899">
        <v>0.98515629999999998</v>
      </c>
      <c r="AB899">
        <v>36</v>
      </c>
      <c r="AC899">
        <v>24.453800000000001</v>
      </c>
      <c r="AD899">
        <v>-1.0594797576749999</v>
      </c>
      <c r="AE899">
        <v>-4.6530999999999896</v>
      </c>
      <c r="AF899">
        <v>4.3312357627435096</v>
      </c>
      <c r="AG899">
        <v>-1.0594797576749999</v>
      </c>
      <c r="AH899">
        <v>24.467144535549199</v>
      </c>
      <c r="AI899">
        <v>92.441567437675602</v>
      </c>
      <c r="AJ899">
        <v>79.961354396946007</v>
      </c>
      <c r="AK899">
        <v>24.8701279110673</v>
      </c>
      <c r="AL899">
        <v>86.671330964933105</v>
      </c>
      <c r="AM899">
        <v>85.244596394038993</v>
      </c>
      <c r="AN899">
        <v>1.00000001577193</v>
      </c>
    </row>
    <row r="900" spans="1:40" x14ac:dyDescent="0.25">
      <c r="A900" t="str">
        <f>"20190312151003488"</f>
        <v>20190312151003488</v>
      </c>
      <c r="B900" t="str">
        <f>"1552374603481976"</f>
        <v>1552374603481976</v>
      </c>
      <c r="C900" t="s">
        <v>40</v>
      </c>
      <c r="D900">
        <v>5.3090279999999996</v>
      </c>
      <c r="E900">
        <v>0.533829</v>
      </c>
      <c r="F900" t="s">
        <v>42</v>
      </c>
      <c r="G900">
        <v>-269.3759</v>
      </c>
      <c r="H900" s="1">
        <v>-1.870848E-6</v>
      </c>
      <c r="I900">
        <v>363.33089999999999</v>
      </c>
      <c r="J900">
        <v>-293.82229999999998</v>
      </c>
      <c r="K900">
        <v>1.05948</v>
      </c>
      <c r="L900">
        <v>367.96350000000001</v>
      </c>
      <c r="M900">
        <v>0.99982300000000002</v>
      </c>
      <c r="N900">
        <v>0</v>
      </c>
      <c r="O900">
        <v>-1.3397060000000001E-2</v>
      </c>
      <c r="P900">
        <v>0.99449940000000003</v>
      </c>
      <c r="Q900">
        <v>4.4609549999999998E-2</v>
      </c>
      <c r="R900">
        <v>-9.4769430000000002E-2</v>
      </c>
      <c r="S900">
        <v>2.9692690000000002</v>
      </c>
      <c r="T900">
        <v>-0.12685839999999901</v>
      </c>
      <c r="U900">
        <v>-0.55529790000000001</v>
      </c>
      <c r="V900">
        <v>8.1520099999999998E-2</v>
      </c>
      <c r="W900">
        <v>5.7635119999999998E-2</v>
      </c>
      <c r="X900">
        <v>0.99500390000000005</v>
      </c>
      <c r="Y900">
        <v>0.17050319999999999</v>
      </c>
      <c r="Z900">
        <v>-3.0423020000000002E-3</v>
      </c>
      <c r="AA900">
        <v>0.98535240000000002</v>
      </c>
      <c r="AB900">
        <v>36</v>
      </c>
      <c r="AC900">
        <v>24.446399999999901</v>
      </c>
      <c r="AD900">
        <v>-1.0594818708480001</v>
      </c>
      <c r="AE900">
        <v>-4.6326000000000196</v>
      </c>
      <c r="AF900">
        <v>4.2968548458745799</v>
      </c>
      <c r="AG900">
        <v>-1.0594818708480001</v>
      </c>
      <c r="AH900">
        <v>24.461921052273901</v>
      </c>
      <c r="AI900">
        <v>92.442663619308505</v>
      </c>
      <c r="AJ900">
        <v>80.037353831203504</v>
      </c>
      <c r="AK900">
        <v>24.859023411406401</v>
      </c>
      <c r="AL900">
        <v>86.695920051650504</v>
      </c>
      <c r="AM900">
        <v>85.316250668462402</v>
      </c>
      <c r="AN900">
        <v>1.0000000473883099</v>
      </c>
    </row>
    <row r="901" spans="1:40" x14ac:dyDescent="0.25">
      <c r="A901" t="str">
        <f>"20190312151003511"</f>
        <v>20190312151003511</v>
      </c>
      <c r="B901" t="str">
        <f>"1552374603501497"</f>
        <v>1552374603501497</v>
      </c>
      <c r="C901" t="s">
        <v>40</v>
      </c>
      <c r="D901">
        <v>5.2914890000000003</v>
      </c>
      <c r="E901">
        <v>0.5337771</v>
      </c>
      <c r="F901" t="s">
        <v>42</v>
      </c>
      <c r="G901">
        <v>-269.65410000000003</v>
      </c>
      <c r="H901" s="1">
        <v>-1.744716E-6</v>
      </c>
      <c r="I901">
        <v>363.44900000000001</v>
      </c>
      <c r="J901">
        <v>-293.46730000000002</v>
      </c>
      <c r="K901">
        <v>1.059474</v>
      </c>
      <c r="L901">
        <v>367.95819999999998</v>
      </c>
      <c r="M901">
        <v>0.99981520000000002</v>
      </c>
      <c r="N901">
        <v>0</v>
      </c>
      <c r="O901">
        <v>-1.397413E-2</v>
      </c>
      <c r="P901">
        <v>0.99455830000000001</v>
      </c>
      <c r="Q901">
        <v>4.3950620000000003E-2</v>
      </c>
      <c r="R901">
        <v>-9.4458739999999999E-2</v>
      </c>
      <c r="S901">
        <v>2.9695740000000002</v>
      </c>
      <c r="T901">
        <v>-0.1301794</v>
      </c>
      <c r="U901">
        <v>-0.5546875</v>
      </c>
      <c r="V901">
        <v>8.0632999999999996E-2</v>
      </c>
      <c r="W901">
        <v>5.6981030000000002E-2</v>
      </c>
      <c r="X901">
        <v>0.99511380000000005</v>
      </c>
      <c r="Y901">
        <v>0.16971439999999999</v>
      </c>
      <c r="Z901">
        <v>-3.0794289999999998E-3</v>
      </c>
      <c r="AA901">
        <v>0.98548849999999999</v>
      </c>
      <c r="AB901">
        <v>36</v>
      </c>
      <c r="AC901">
        <v>23.813199999999899</v>
      </c>
      <c r="AD901">
        <v>-1.0594757447159999</v>
      </c>
      <c r="AE901">
        <v>-4.5091999999999599</v>
      </c>
      <c r="AF901">
        <v>4.1679970836267604</v>
      </c>
      <c r="AG901">
        <v>-1.0594757447159999</v>
      </c>
      <c r="AH901">
        <v>23.8283574791391</v>
      </c>
      <c r="AI901">
        <v>92.5078284464863</v>
      </c>
      <c r="AJ901">
        <v>80.078340149721299</v>
      </c>
      <c r="AK901">
        <v>24.2133291535139</v>
      </c>
      <c r="AL901">
        <v>86.733458173851105</v>
      </c>
      <c r="AM901">
        <v>85.367505475433603</v>
      </c>
      <c r="AN901">
        <v>0.99999999670965001</v>
      </c>
    </row>
    <row r="902" spans="1:40" x14ac:dyDescent="0.25">
      <c r="A902" t="str">
        <f>"20190312151003532"</f>
        <v>20190312151003532</v>
      </c>
      <c r="B902" t="str">
        <f>"1552374603521992"</f>
        <v>1552374603521992</v>
      </c>
      <c r="C902" t="s">
        <v>40</v>
      </c>
      <c r="D902">
        <v>5.3433640000000002</v>
      </c>
      <c r="E902">
        <v>0.53385959999999999</v>
      </c>
      <c r="F902" t="s">
        <v>42</v>
      </c>
      <c r="G902">
        <v>-269.64319999999998</v>
      </c>
      <c r="H902" s="1">
        <v>-1.7303369999999999E-6</v>
      </c>
      <c r="I902">
        <v>363.51710000000003</v>
      </c>
      <c r="J902">
        <v>-293.10829999999999</v>
      </c>
      <c r="K902">
        <v>1.059472</v>
      </c>
      <c r="L902">
        <v>367.95249999999999</v>
      </c>
      <c r="M902">
        <v>0.99980690000000005</v>
      </c>
      <c r="N902">
        <v>0</v>
      </c>
      <c r="O902">
        <v>-1.4555820000000001E-2</v>
      </c>
      <c r="P902">
        <v>0.9945908</v>
      </c>
      <c r="Q902">
        <v>4.3332009999999997E-2</v>
      </c>
      <c r="R902">
        <v>-9.4402780000000006E-2</v>
      </c>
      <c r="S902">
        <v>2.9696349999999998</v>
      </c>
      <c r="T902">
        <v>-0.13206099999999901</v>
      </c>
      <c r="U902">
        <v>-0.55355829999999995</v>
      </c>
      <c r="V902">
        <v>7.9995860000000002E-2</v>
      </c>
      <c r="W902">
        <v>5.636642E-2</v>
      </c>
      <c r="X902">
        <v>0.99520019999999998</v>
      </c>
      <c r="Y902">
        <v>0.16877239999999999</v>
      </c>
      <c r="Z902">
        <v>-3.0775669999999998E-3</v>
      </c>
      <c r="AA902">
        <v>0.98565020000000003</v>
      </c>
      <c r="AB902">
        <v>36</v>
      </c>
      <c r="AC902">
        <v>23.4651</v>
      </c>
      <c r="AD902">
        <v>-1.0594737303370001</v>
      </c>
      <c r="AE902">
        <v>-4.4353999999999498</v>
      </c>
      <c r="AF902">
        <v>4.0853054120449102</v>
      </c>
      <c r="AG902">
        <v>-1.0594737303370001</v>
      </c>
      <c r="AH902">
        <v>23.4809627670701</v>
      </c>
      <c r="AI902">
        <v>92.545279676514099</v>
      </c>
      <c r="AJ902">
        <v>80.130262140346503</v>
      </c>
      <c r="AK902">
        <v>23.857238259351998</v>
      </c>
      <c r="AL902">
        <v>86.7687293513508</v>
      </c>
      <c r="AM902">
        <v>85.404350046128599</v>
      </c>
      <c r="AN902">
        <v>0.99999997450039702</v>
      </c>
    </row>
    <row r="903" spans="1:40" x14ac:dyDescent="0.25">
      <c r="A903" t="str">
        <f>"20190312151003555"</f>
        <v>20190312151003555</v>
      </c>
      <c r="B903" t="str">
        <f>"1552374603551273"</f>
        <v>1552374603551273</v>
      </c>
      <c r="C903" t="s">
        <v>40</v>
      </c>
      <c r="D903">
        <v>5.3076280000000002</v>
      </c>
      <c r="E903">
        <v>0.53392209999999996</v>
      </c>
      <c r="F903" t="s">
        <v>42</v>
      </c>
      <c r="G903">
        <v>-269.76440000000002</v>
      </c>
      <c r="H903" s="1">
        <v>-1.6680109999999901E-6</v>
      </c>
      <c r="I903">
        <v>363.59629999999999</v>
      </c>
      <c r="J903">
        <v>-292.7473</v>
      </c>
      <c r="K903">
        <v>1.0594749999999999</v>
      </c>
      <c r="L903">
        <v>367.94670000000002</v>
      </c>
      <c r="M903">
        <v>0.99979819999999997</v>
      </c>
      <c r="N903">
        <v>0</v>
      </c>
      <c r="O903">
        <v>-1.5138810000000001E-2</v>
      </c>
      <c r="P903">
        <v>0.99460550000000003</v>
      </c>
      <c r="Q903">
        <v>4.3129099999999997E-2</v>
      </c>
      <c r="R903">
        <v>-9.4339530000000005E-2</v>
      </c>
      <c r="S903">
        <v>2.9695740000000002</v>
      </c>
      <c r="T903">
        <v>-0.1347747</v>
      </c>
      <c r="U903">
        <v>-0.55413819999999903</v>
      </c>
      <c r="V903">
        <v>7.935122E-2</v>
      </c>
      <c r="W903">
        <v>5.6166939999999999E-2</v>
      </c>
      <c r="X903">
        <v>0.99526309999999996</v>
      </c>
      <c r="Y903">
        <v>0.16838220000000001</v>
      </c>
      <c r="Z903">
        <v>-3.1057739999999999E-3</v>
      </c>
      <c r="AA903">
        <v>0.98571690000000001</v>
      </c>
      <c r="AB903">
        <v>36</v>
      </c>
      <c r="AC903">
        <v>22.982899999999901</v>
      </c>
      <c r="AD903">
        <v>-1.0594766680109999</v>
      </c>
      <c r="AE903">
        <v>-4.3504000000000298</v>
      </c>
      <c r="AF903">
        <v>3.9937438564342398</v>
      </c>
      <c r="AG903">
        <v>-1.0594766680109999</v>
      </c>
      <c r="AH903">
        <v>22.9989475995561</v>
      </c>
      <c r="AI903">
        <v>92.598705392516493</v>
      </c>
      <c r="AJ903">
        <v>80.148879102263095</v>
      </c>
      <c r="AK903">
        <v>23.367157967711702</v>
      </c>
      <c r="AL903">
        <v>86.780176898296702</v>
      </c>
      <c r="AM903">
        <v>85.441513876265205</v>
      </c>
      <c r="AN903">
        <v>0.99999998974303095</v>
      </c>
    </row>
    <row r="904" spans="1:40" x14ac:dyDescent="0.25">
      <c r="A904" t="str">
        <f>"20190312151003578"</f>
        <v>20190312151003578</v>
      </c>
      <c r="B904" t="str">
        <f>"1552374603571769"</f>
        <v>1552374603571769</v>
      </c>
      <c r="C904" t="s">
        <v>40</v>
      </c>
      <c r="D904">
        <v>5.3867979999999998</v>
      </c>
      <c r="E904">
        <v>0.53411330000000001</v>
      </c>
      <c r="F904" t="s">
        <v>42</v>
      </c>
      <c r="G904">
        <v>-269.50959999999998</v>
      </c>
      <c r="H904" s="1">
        <v>-1.7520060000000001E-6</v>
      </c>
      <c r="I904">
        <v>363.60649999999998</v>
      </c>
      <c r="J904">
        <v>-292.38240000000002</v>
      </c>
      <c r="K904">
        <v>1.059472</v>
      </c>
      <c r="L904">
        <v>367.94060000000002</v>
      </c>
      <c r="M904">
        <v>0.99978909999999999</v>
      </c>
      <c r="N904">
        <v>0</v>
      </c>
      <c r="O904">
        <v>-1.5725380000000001E-2</v>
      </c>
      <c r="P904">
        <v>0.99458389999999997</v>
      </c>
      <c r="Q904">
        <v>4.3029310000000001E-2</v>
      </c>
      <c r="R904">
        <v>-9.4614539999999997E-2</v>
      </c>
      <c r="S904">
        <v>2.9696039999999999</v>
      </c>
      <c r="T904">
        <v>-0.13539229999999899</v>
      </c>
      <c r="U904">
        <v>-0.55462650000000002</v>
      </c>
      <c r="V904">
        <v>7.9041680000000003E-2</v>
      </c>
      <c r="W904">
        <v>5.606887E-2</v>
      </c>
      <c r="X904">
        <v>0.99529330000000005</v>
      </c>
      <c r="Y904">
        <v>0.16795829999999901</v>
      </c>
      <c r="Z904">
        <v>-3.0838580000000001E-3</v>
      </c>
      <c r="AA904">
        <v>0.98578929999999998</v>
      </c>
      <c r="AB904">
        <v>36</v>
      </c>
      <c r="AC904">
        <v>22.872800000000002</v>
      </c>
      <c r="AD904">
        <v>-1.059473752006</v>
      </c>
      <c r="AE904">
        <v>-4.3341000000000296</v>
      </c>
      <c r="AF904">
        <v>3.9656355192357</v>
      </c>
      <c r="AG904">
        <v>-1.059473752006</v>
      </c>
      <c r="AH904">
        <v>22.890721346632802</v>
      </c>
      <c r="AI904">
        <v>92.6111464700911</v>
      </c>
      <c r="AJ904">
        <v>80.171513643944607</v>
      </c>
      <c r="AK904">
        <v>23.255835256378202</v>
      </c>
      <c r="AL904">
        <v>86.785804891065098</v>
      </c>
      <c r="AM904">
        <v>85.459358702606394</v>
      </c>
      <c r="AN904">
        <v>1.0000000291925899</v>
      </c>
    </row>
    <row r="905" spans="1:40" x14ac:dyDescent="0.25">
      <c r="A905" t="str">
        <f>"20190312151003601"</f>
        <v>20190312151003601</v>
      </c>
      <c r="B905" t="str">
        <f>"1552374603591289"</f>
        <v>1552374603591289</v>
      </c>
      <c r="C905" t="s">
        <v>40</v>
      </c>
      <c r="D905">
        <v>5.39886</v>
      </c>
      <c r="E905">
        <v>0.5343251</v>
      </c>
      <c r="F905" t="s">
        <v>42</v>
      </c>
      <c r="G905">
        <v>-269.50060000000002</v>
      </c>
      <c r="H905" s="1">
        <v>-1.7442650000000001E-6</v>
      </c>
      <c r="I905">
        <v>363.64710000000002</v>
      </c>
      <c r="J905">
        <v>-292.00540000000001</v>
      </c>
      <c r="K905">
        <v>1.0594840000000001</v>
      </c>
      <c r="L905">
        <v>367.93400000000003</v>
      </c>
      <c r="M905">
        <v>0.99977950000000004</v>
      </c>
      <c r="N905">
        <v>0</v>
      </c>
      <c r="O905">
        <v>-1.632807E-2</v>
      </c>
      <c r="P905">
        <v>0.99446409999999996</v>
      </c>
      <c r="Q905">
        <v>4.3700610000000001E-2</v>
      </c>
      <c r="R905">
        <v>-9.556075E-2</v>
      </c>
      <c r="S905">
        <v>2.9692379999999998</v>
      </c>
      <c r="T905">
        <v>-0.13748160000000001</v>
      </c>
      <c r="U905">
        <v>-0.55712890000000004</v>
      </c>
      <c r="V905">
        <v>7.9389920000000003E-2</v>
      </c>
      <c r="W905">
        <v>5.6745379999999998E-2</v>
      </c>
      <c r="X905">
        <v>0.99522719999999998</v>
      </c>
      <c r="Y905">
        <v>0.16818440000000001</v>
      </c>
      <c r="Z905">
        <v>-3.1090919999999999E-3</v>
      </c>
      <c r="AA905">
        <v>0.98575069999999998</v>
      </c>
      <c r="AB905">
        <v>36</v>
      </c>
      <c r="AC905">
        <v>22.5047999999999</v>
      </c>
      <c r="AD905">
        <v>-1.0594857442649901</v>
      </c>
      <c r="AE905">
        <v>-4.2869000000000002</v>
      </c>
      <c r="AF905">
        <v>3.9104728886329401</v>
      </c>
      <c r="AG905">
        <v>-1.0594857442649901</v>
      </c>
      <c r="AH905">
        <v>22.523629773637001</v>
      </c>
      <c r="AI905">
        <v>92.653505716091701</v>
      </c>
      <c r="AJ905">
        <v>80.150687935524502</v>
      </c>
      <c r="AK905">
        <v>22.885108835985498</v>
      </c>
      <c r="AL905">
        <v>86.746981779430698</v>
      </c>
      <c r="AM905">
        <v>85.4391362354541</v>
      </c>
      <c r="AN905">
        <v>0.99999998858439498</v>
      </c>
    </row>
    <row r="906" spans="1:40" x14ac:dyDescent="0.25">
      <c r="A906" t="str">
        <f>"20190312151003623"</f>
        <v>20190312151003623</v>
      </c>
      <c r="B906" t="str">
        <f>"1552374603611785"</f>
        <v>1552374603611785</v>
      </c>
      <c r="C906" t="s">
        <v>40</v>
      </c>
      <c r="D906">
        <v>5.1706880000000002</v>
      </c>
      <c r="E906">
        <v>0.53445719999999997</v>
      </c>
      <c r="F906" t="s">
        <v>42</v>
      </c>
      <c r="G906">
        <v>-269.08479999999997</v>
      </c>
      <c r="H906" s="1">
        <v>-1.89871E-6</v>
      </c>
      <c r="I906">
        <v>363.59840000000003</v>
      </c>
      <c r="J906">
        <v>-291.64949999999999</v>
      </c>
      <c r="K906">
        <v>1.059491</v>
      </c>
      <c r="L906">
        <v>367.92759999999998</v>
      </c>
      <c r="M906">
        <v>0.99976989999999999</v>
      </c>
      <c r="N906">
        <v>0</v>
      </c>
      <c r="O906">
        <v>-1.6895489999999999E-2</v>
      </c>
      <c r="P906">
        <v>0.99436029999999997</v>
      </c>
      <c r="Q906">
        <v>4.4364960000000002E-2</v>
      </c>
      <c r="R906">
        <v>-9.6330789999999999E-2</v>
      </c>
      <c r="S906">
        <v>2.9687809999999999</v>
      </c>
      <c r="T906">
        <v>-0.13722899999999999</v>
      </c>
      <c r="U906">
        <v>-0.561554</v>
      </c>
      <c r="V906">
        <v>7.9597050000000003E-2</v>
      </c>
      <c r="W906">
        <v>5.7418049999999998E-2</v>
      </c>
      <c r="X906">
        <v>0.9951721</v>
      </c>
      <c r="Y906">
        <v>0.16907159999999999</v>
      </c>
      <c r="Z906">
        <v>-3.0977840000000001E-3</v>
      </c>
      <c r="AA906">
        <v>0.98559890000000006</v>
      </c>
      <c r="AB906">
        <v>36</v>
      </c>
      <c r="AC906">
        <v>22.564699999999998</v>
      </c>
      <c r="AD906">
        <v>-1.0594928987100001</v>
      </c>
      <c r="AE906">
        <v>-4.3291999999999504</v>
      </c>
      <c r="AF906">
        <v>3.9389313674034798</v>
      </c>
      <c r="AG906">
        <v>-1.0594928987100001</v>
      </c>
      <c r="AH906">
        <v>22.586601525249399</v>
      </c>
      <c r="AI906">
        <v>92.645789826655104</v>
      </c>
      <c r="AJ906">
        <v>80.107537115683797</v>
      </c>
      <c r="AK906">
        <v>22.951955776794499</v>
      </c>
      <c r="AL906">
        <v>86.708377772080894</v>
      </c>
      <c r="AM906">
        <v>85.427035138217903</v>
      </c>
      <c r="AN906">
        <v>1.0000000157264499</v>
      </c>
    </row>
    <row r="907" spans="1:40" x14ac:dyDescent="0.25">
      <c r="A907" t="str">
        <f>"20190312151003645"</f>
        <v>20190312151003645</v>
      </c>
      <c r="B907" t="str">
        <f>"1552374603642056"</f>
        <v>1552374603642056</v>
      </c>
      <c r="C907" t="s">
        <v>40</v>
      </c>
      <c r="D907">
        <v>5.2576929999999997</v>
      </c>
      <c r="E907">
        <v>0.53472540000000002</v>
      </c>
      <c r="F907" t="s">
        <v>42</v>
      </c>
      <c r="G907">
        <v>-268.5926</v>
      </c>
      <c r="H907" s="1">
        <v>-2.0825629999999998E-6</v>
      </c>
      <c r="I907">
        <v>363.5369</v>
      </c>
      <c r="J907">
        <v>-291.2783</v>
      </c>
      <c r="K907">
        <v>1.0595000000000001</v>
      </c>
      <c r="L907">
        <v>367.92070000000001</v>
      </c>
      <c r="M907">
        <v>0.99975959999999997</v>
      </c>
      <c r="N907">
        <v>0</v>
      </c>
      <c r="O907">
        <v>-1.74834E-2</v>
      </c>
      <c r="P907">
        <v>0.99417350000000004</v>
      </c>
      <c r="Q907">
        <v>4.5111070000000003E-2</v>
      </c>
      <c r="R907">
        <v>-9.7899340000000001E-2</v>
      </c>
      <c r="S907">
        <v>2.968353</v>
      </c>
      <c r="T907">
        <v>-0.13639949999999901</v>
      </c>
      <c r="U907">
        <v>-0.56524659999999904</v>
      </c>
      <c r="V907">
        <v>8.0583370000000001E-2</v>
      </c>
      <c r="W907">
        <v>5.817162E-2</v>
      </c>
      <c r="X907">
        <v>0.99504890000000001</v>
      </c>
      <c r="Y907">
        <v>0.1697032</v>
      </c>
      <c r="Z907">
        <v>-3.0667989999999998E-3</v>
      </c>
      <c r="AA907">
        <v>0.98549039999999999</v>
      </c>
      <c r="AB907">
        <v>36</v>
      </c>
      <c r="AC907">
        <v>22.685700000000001</v>
      </c>
      <c r="AD907">
        <v>-1.0595020825629999</v>
      </c>
      <c r="AE907">
        <v>-4.3837999999999999</v>
      </c>
      <c r="AF907">
        <v>3.9781071780633002</v>
      </c>
      <c r="AG907">
        <v>-1.0595020825629999</v>
      </c>
      <c r="AH907">
        <v>22.711127717648399</v>
      </c>
      <c r="AI907">
        <v>92.630983492919498</v>
      </c>
      <c r="AJ907">
        <v>80.064796061665206</v>
      </c>
      <c r="AK907">
        <v>23.081230547578102</v>
      </c>
      <c r="AL907">
        <v>86.665128931324205</v>
      </c>
      <c r="AM907">
        <v>85.370043752604701</v>
      </c>
      <c r="AN907">
        <v>0.99999996514259504</v>
      </c>
    </row>
    <row r="908" spans="1:40" x14ac:dyDescent="0.25">
      <c r="A908" t="str">
        <f>"20190312151003668"</f>
        <v>20190312151003668</v>
      </c>
      <c r="B908" t="str">
        <f>"1552374603661576"</f>
        <v>1552374603661576</v>
      </c>
      <c r="C908" t="s">
        <v>40</v>
      </c>
      <c r="D908">
        <v>5.4376490000000004</v>
      </c>
      <c r="E908">
        <v>0.53491149999999998</v>
      </c>
      <c r="F908" t="s">
        <v>42</v>
      </c>
      <c r="G908">
        <v>-268.32440000000003</v>
      </c>
      <c r="H908" s="1">
        <v>-2.1848659999999999E-6</v>
      </c>
      <c r="I908">
        <v>363.49549999999999</v>
      </c>
      <c r="J908">
        <v>-290.91820000000001</v>
      </c>
      <c r="K908">
        <v>1.059517</v>
      </c>
      <c r="L908">
        <v>367.91379999999998</v>
      </c>
      <c r="M908">
        <v>0.99974949999999996</v>
      </c>
      <c r="N908">
        <v>0</v>
      </c>
      <c r="O908">
        <v>-1.8046719999999999E-2</v>
      </c>
      <c r="P908">
        <v>0.99403620000000004</v>
      </c>
      <c r="Q908">
        <v>4.6189899999999999E-2</v>
      </c>
      <c r="R908">
        <v>-9.8786819999999997E-2</v>
      </c>
      <c r="S908">
        <v>2.9674990000000001</v>
      </c>
      <c r="T908">
        <v>-0.13697329999999999</v>
      </c>
      <c r="U908">
        <v>-0.57208249999999905</v>
      </c>
      <c r="V908">
        <v>8.0912880000000006E-2</v>
      </c>
      <c r="W908">
        <v>5.9258360000000003E-2</v>
      </c>
      <c r="X908">
        <v>0.99495800000000001</v>
      </c>
      <c r="Y908">
        <v>0.17138709999999999</v>
      </c>
      <c r="Z908">
        <v>-3.0926590000000002E-3</v>
      </c>
      <c r="AA908">
        <v>0.98519889999999999</v>
      </c>
      <c r="AB908">
        <v>36</v>
      </c>
      <c r="AC908">
        <v>22.593799999999899</v>
      </c>
      <c r="AD908">
        <v>-1.0595191848659999</v>
      </c>
      <c r="AE908">
        <v>-4.4182999999999799</v>
      </c>
      <c r="AF908">
        <v>4.0013255165115202</v>
      </c>
      <c r="AG908">
        <v>-1.0595191848659999</v>
      </c>
      <c r="AH908">
        <v>22.621947720443</v>
      </c>
      <c r="AI908">
        <v>92.640610202969995</v>
      </c>
      <c r="AJ908">
        <v>79.9693822020932</v>
      </c>
      <c r="AK908">
        <v>22.997515201835199</v>
      </c>
      <c r="AL908">
        <v>86.602755599517295</v>
      </c>
      <c r="AM908">
        <v>85.350771553573495</v>
      </c>
      <c r="AN908">
        <v>0.99999993457188896</v>
      </c>
    </row>
    <row r="909" spans="1:40" x14ac:dyDescent="0.25">
      <c r="A909" t="str">
        <f>"20190312151003690"</f>
        <v>20190312151003690</v>
      </c>
      <c r="B909" t="str">
        <f>"1552374603682072"</f>
        <v>1552374603682072</v>
      </c>
      <c r="C909" t="s">
        <v>40</v>
      </c>
      <c r="D909">
        <v>5.2895300000000001</v>
      </c>
      <c r="E909">
        <v>0.53499909999999995</v>
      </c>
      <c r="F909" t="s">
        <v>42</v>
      </c>
      <c r="G909">
        <v>-267.7835</v>
      </c>
      <c r="H909" s="1">
        <v>-2.388436E-6</v>
      </c>
      <c r="I909">
        <v>363.42219999999998</v>
      </c>
      <c r="J909">
        <v>-290.56139999999999</v>
      </c>
      <c r="K909">
        <v>1.059531</v>
      </c>
      <c r="L909">
        <v>367.90679999999998</v>
      </c>
      <c r="M909">
        <v>0.99973939999999994</v>
      </c>
      <c r="N909">
        <v>0</v>
      </c>
      <c r="O909">
        <v>-1.8592210000000001E-2</v>
      </c>
      <c r="P909">
        <v>0.99396519999999999</v>
      </c>
      <c r="Q909">
        <v>4.7239389999999999E-2</v>
      </c>
      <c r="R909">
        <v>-9.9004410000000001E-2</v>
      </c>
      <c r="S909">
        <v>2.967041</v>
      </c>
      <c r="T909">
        <v>-0.135884</v>
      </c>
      <c r="U909">
        <v>-0.57604979999999995</v>
      </c>
      <c r="V909">
        <v>8.058862E-2</v>
      </c>
      <c r="W909">
        <v>6.0317429999999998E-2</v>
      </c>
      <c r="X909">
        <v>0.99492069999999999</v>
      </c>
      <c r="Y909">
        <v>0.17214979999999999</v>
      </c>
      <c r="Z909">
        <v>-3.0607529999999998E-3</v>
      </c>
      <c r="AA909">
        <v>0.985066</v>
      </c>
      <c r="AB909">
        <v>36</v>
      </c>
      <c r="AC909">
        <v>22.777899999999899</v>
      </c>
      <c r="AD909">
        <v>-1.0595333884360001</v>
      </c>
      <c r="AE909">
        <v>-4.4846000000000004</v>
      </c>
      <c r="AF909">
        <v>4.0518561019293404</v>
      </c>
      <c r="AG909">
        <v>-1.0595333884360001</v>
      </c>
      <c r="AH909">
        <v>22.809835628456501</v>
      </c>
      <c r="AI909">
        <v>92.618583770868597</v>
      </c>
      <c r="AJ909">
        <v>79.927256781334606</v>
      </c>
      <c r="AK909">
        <v>23.191135165600599</v>
      </c>
      <c r="AL909">
        <v>86.541966689649399</v>
      </c>
      <c r="AM909">
        <v>85.369149388267104</v>
      </c>
      <c r="AN909">
        <v>0.99999995866189795</v>
      </c>
    </row>
    <row r="910" spans="1:40" x14ac:dyDescent="0.25">
      <c r="A910" t="str">
        <f>"20190312151003701"</f>
        <v>20190312151003701</v>
      </c>
      <c r="B910" t="str">
        <f>"1552374603691834"</f>
        <v>1552374603691834</v>
      </c>
      <c r="C910" t="s">
        <v>40</v>
      </c>
      <c r="D910">
        <v>5.2373570000000003</v>
      </c>
      <c r="E910">
        <v>0.53508149999999999</v>
      </c>
      <c r="F910" t="s">
        <v>42</v>
      </c>
      <c r="G910">
        <v>-267.16520000000003</v>
      </c>
      <c r="H910" s="1">
        <v>-2.6168449999999998E-6</v>
      </c>
      <c r="I910">
        <v>363.3546</v>
      </c>
      <c r="J910">
        <v>-290.3759</v>
      </c>
      <c r="K910">
        <v>1.0595399999999999</v>
      </c>
      <c r="L910">
        <v>367.90309999999999</v>
      </c>
      <c r="M910">
        <v>0.99973420000000002</v>
      </c>
      <c r="N910">
        <v>0</v>
      </c>
      <c r="O910">
        <v>-1.886927E-2</v>
      </c>
      <c r="P910">
        <v>0.99395060000000002</v>
      </c>
      <c r="Q910">
        <v>4.7692619999999998E-2</v>
      </c>
      <c r="R910">
        <v>-9.8933779999999999E-2</v>
      </c>
      <c r="S910">
        <v>2.9671020000000001</v>
      </c>
      <c r="T910">
        <v>-0.1343693</v>
      </c>
      <c r="U910">
        <v>-0.57730099999999995</v>
      </c>
      <c r="V910">
        <v>8.0242049999999995E-2</v>
      </c>
      <c r="W910">
        <v>6.0776249999999997E-2</v>
      </c>
      <c r="X910">
        <v>0.99492080000000005</v>
      </c>
      <c r="Y910">
        <v>0.17227690000000001</v>
      </c>
      <c r="Z910">
        <v>-3.0169229999999999E-3</v>
      </c>
      <c r="AA910">
        <v>0.98504389999999997</v>
      </c>
      <c r="AB910">
        <v>36</v>
      </c>
      <c r="AC910">
        <v>23.2106999999999</v>
      </c>
      <c r="AD910">
        <v>-1.059542616845</v>
      </c>
      <c r="AE910">
        <v>-4.54849999999999</v>
      </c>
      <c r="AF910">
        <v>4.1014520280631297</v>
      </c>
      <c r="AG910">
        <v>-1.059542616845</v>
      </c>
      <c r="AH910">
        <v>23.245752674138199</v>
      </c>
      <c r="AI910">
        <v>92.570095035227894</v>
      </c>
      <c r="AJ910">
        <v>79.993788155949204</v>
      </c>
      <c r="AK910">
        <v>23.628575003216302</v>
      </c>
      <c r="AL910">
        <v>86.515629955265197</v>
      </c>
      <c r="AM910">
        <v>85.388978684155205</v>
      </c>
      <c r="AN910">
        <v>0.999999968712452</v>
      </c>
    </row>
    <row r="911" spans="1:40" x14ac:dyDescent="0.25">
      <c r="A911" t="str">
        <f>"20190312151003713"</f>
        <v>20190312151003713</v>
      </c>
      <c r="B911" t="str">
        <f>"1552374603701593"</f>
        <v>1552374603701593</v>
      </c>
      <c r="C911" t="s">
        <v>40</v>
      </c>
      <c r="D911">
        <v>5.2053190000000003</v>
      </c>
      <c r="E911">
        <v>0.5351416</v>
      </c>
      <c r="F911" t="s">
        <v>42</v>
      </c>
      <c r="G911">
        <v>-266.9006</v>
      </c>
      <c r="H911" s="1">
        <v>-2.7132449999999999E-6</v>
      </c>
      <c r="I911">
        <v>363.33069999999998</v>
      </c>
      <c r="J911">
        <v>-290.18619999999999</v>
      </c>
      <c r="K911">
        <v>1.0595490000000001</v>
      </c>
      <c r="L911">
        <v>367.89929999999998</v>
      </c>
      <c r="M911">
        <v>0.99972879999999997</v>
      </c>
      <c r="N911">
        <v>0</v>
      </c>
      <c r="O911">
        <v>-1.914571E-2</v>
      </c>
      <c r="P911">
        <v>0.99393620000000005</v>
      </c>
      <c r="Q911">
        <v>4.7997430000000001E-2</v>
      </c>
      <c r="R911">
        <v>-9.8930589999999999E-2</v>
      </c>
      <c r="S911">
        <v>2.967133</v>
      </c>
      <c r="T911">
        <v>-0.13391889999999901</v>
      </c>
      <c r="U911">
        <v>-0.57791139999999996</v>
      </c>
      <c r="V911">
        <v>7.9963069999999997E-2</v>
      </c>
      <c r="W911">
        <v>6.1087049999999997E-2</v>
      </c>
      <c r="X911">
        <v>0.99492420000000004</v>
      </c>
      <c r="Y911">
        <v>0.1721993</v>
      </c>
      <c r="Z911">
        <v>-2.9926549999999999E-3</v>
      </c>
      <c r="AA911">
        <v>0.98505759999999998</v>
      </c>
      <c r="AB911">
        <v>36</v>
      </c>
      <c r="AC911">
        <v>23.285599999999899</v>
      </c>
      <c r="AD911">
        <v>-1.0595517132449901</v>
      </c>
      <c r="AE911">
        <v>-4.5686</v>
      </c>
      <c r="AF911">
        <v>4.1137023205630099</v>
      </c>
      <c r="AG911">
        <v>-1.0595517132449901</v>
      </c>
      <c r="AH911">
        <v>23.322309573355199</v>
      </c>
      <c r="AI911">
        <v>92.561715357965795</v>
      </c>
      <c r="AJ911">
        <v>79.996783761942098</v>
      </c>
      <c r="AK911">
        <v>23.706018654566599</v>
      </c>
      <c r="AL911">
        <v>86.497789183633301</v>
      </c>
      <c r="AM911">
        <v>85.404956828015798</v>
      </c>
      <c r="AN911">
        <v>0.999999941993582</v>
      </c>
    </row>
    <row r="912" spans="1:40" x14ac:dyDescent="0.25">
      <c r="A912" t="str">
        <f>"20190312151003734"</f>
        <v>20190312151003734</v>
      </c>
      <c r="B912" t="str">
        <f>"1552374603722088"</f>
        <v>1552374603722088</v>
      </c>
      <c r="C912" t="s">
        <v>40</v>
      </c>
      <c r="D912">
        <v>5.0978279999999998</v>
      </c>
      <c r="E912">
        <v>0.53508299999999998</v>
      </c>
      <c r="F912" t="s">
        <v>42</v>
      </c>
      <c r="G912">
        <v>-266.73009999999999</v>
      </c>
      <c r="H912" s="1">
        <v>-2.7719870000000002E-6</v>
      </c>
      <c r="I912">
        <v>363.32799999999997</v>
      </c>
      <c r="J912">
        <v>-289.85419999999999</v>
      </c>
      <c r="K912">
        <v>1.0595699999999999</v>
      </c>
      <c r="L912">
        <v>367.89240000000001</v>
      </c>
      <c r="M912">
        <v>0.99971969999999999</v>
      </c>
      <c r="N912">
        <v>0</v>
      </c>
      <c r="O912">
        <v>-1.9611279999999998E-2</v>
      </c>
      <c r="P912">
        <v>0.99394839999999995</v>
      </c>
      <c r="Q912">
        <v>4.8198009999999999E-2</v>
      </c>
      <c r="R912">
        <v>-9.8711069999999998E-2</v>
      </c>
      <c r="S912">
        <v>2.9672550000000002</v>
      </c>
      <c r="T912">
        <v>-0.13403590000000001</v>
      </c>
      <c r="U912">
        <v>-0.57827759999999995</v>
      </c>
      <c r="V912">
        <v>7.9277089999999995E-2</v>
      </c>
      <c r="W912">
        <v>6.1297890000000001E-2</v>
      </c>
      <c r="X912">
        <v>0.99496620000000002</v>
      </c>
      <c r="Y912">
        <v>0.17185059999999999</v>
      </c>
      <c r="Z912">
        <v>-2.9665120000000001E-3</v>
      </c>
      <c r="AA912">
        <v>0.98511859999999996</v>
      </c>
      <c r="AB912">
        <v>36</v>
      </c>
      <c r="AC912">
        <v>23.124099999999999</v>
      </c>
      <c r="AD912">
        <v>-1.0595727719870001</v>
      </c>
      <c r="AE912">
        <v>-4.5643999999999698</v>
      </c>
      <c r="AF912">
        <v>4.1017000396483301</v>
      </c>
      <c r="AG912">
        <v>-1.0595727719870001</v>
      </c>
      <c r="AH912">
        <v>23.162366116348299</v>
      </c>
      <c r="AI912">
        <v>92.579123271039407</v>
      </c>
      <c r="AJ912">
        <v>79.957901916996704</v>
      </c>
      <c r="AK912">
        <v>23.546588750435699</v>
      </c>
      <c r="AL912">
        <v>86.485686512112196</v>
      </c>
      <c r="AM912">
        <v>85.444401219317598</v>
      </c>
      <c r="AN912">
        <v>1.0000000137298799</v>
      </c>
    </row>
    <row r="913" spans="1:40" x14ac:dyDescent="0.25">
      <c r="A913" t="str">
        <f>"20190312151003746"</f>
        <v>20190312151003746</v>
      </c>
      <c r="B913" t="str">
        <f>"1552374603741608"</f>
        <v>1552374603741608</v>
      </c>
      <c r="C913" t="s">
        <v>40</v>
      </c>
      <c r="D913">
        <v>5.1715809999999998</v>
      </c>
      <c r="E913">
        <v>0.50336259999999999</v>
      </c>
      <c r="F913" t="s">
        <v>42</v>
      </c>
      <c r="G913">
        <v>-266.17090000000002</v>
      </c>
      <c r="H913" s="1">
        <v>-2.9737980000000002E-6</v>
      </c>
      <c r="I913">
        <v>363.28480000000002</v>
      </c>
      <c r="J913">
        <v>-289.6653</v>
      </c>
      <c r="K913">
        <v>1.0595840000000001</v>
      </c>
      <c r="L913">
        <v>367.88839999999999</v>
      </c>
      <c r="M913">
        <v>0.99971480000000001</v>
      </c>
      <c r="N913">
        <v>0</v>
      </c>
      <c r="O913">
        <v>-1.9863209999999999E-2</v>
      </c>
      <c r="P913">
        <v>0.9939654</v>
      </c>
      <c r="Q913">
        <v>4.8093610000000002E-2</v>
      </c>
      <c r="R913">
        <v>-9.8589860000000001E-2</v>
      </c>
      <c r="S913">
        <v>2.9673769999999999</v>
      </c>
      <c r="T913">
        <v>-0.13275770000000001</v>
      </c>
      <c r="U913">
        <v>-0.57730099999999995</v>
      </c>
      <c r="V913">
        <v>7.8902819999999999E-2</v>
      </c>
      <c r="W913">
        <v>6.1201270000000002E-2</v>
      </c>
      <c r="X913">
        <v>0.99500189999999999</v>
      </c>
      <c r="Y913">
        <v>0.17128599999999999</v>
      </c>
      <c r="Z913">
        <v>-2.9145629999999998E-3</v>
      </c>
      <c r="AA913">
        <v>0.98521700000000001</v>
      </c>
      <c r="AB913">
        <v>36</v>
      </c>
      <c r="AC913">
        <v>23.494399999999899</v>
      </c>
      <c r="AD913">
        <v>-1.0595869737979999</v>
      </c>
      <c r="AE913">
        <v>-4.6035999999999699</v>
      </c>
      <c r="AF913">
        <v>4.1278907958468603</v>
      </c>
      <c r="AG913">
        <v>-1.0595869737979999</v>
      </c>
      <c r="AH913">
        <v>23.535114468768001</v>
      </c>
      <c r="AI913">
        <v>92.539096232883097</v>
      </c>
      <c r="AJ913">
        <v>80.051916162087906</v>
      </c>
      <c r="AK913">
        <v>23.917855673857801</v>
      </c>
      <c r="AL913">
        <v>86.491232850613997</v>
      </c>
      <c r="AM913">
        <v>85.465980478263702</v>
      </c>
      <c r="AN913">
        <v>1.00000001572858</v>
      </c>
    </row>
    <row r="914" spans="1:40" x14ac:dyDescent="0.25">
      <c r="A914" t="str">
        <f>"20190312151003757"</f>
        <v>20190312151003757</v>
      </c>
      <c r="B914" t="str">
        <f>"1552374603751368"</f>
        <v>1552374603751368</v>
      </c>
      <c r="C914" t="s">
        <v>40</v>
      </c>
      <c r="D914">
        <v>5.1277249999999999</v>
      </c>
      <c r="E914">
        <v>0.50209219999999999</v>
      </c>
      <c r="F914" t="s">
        <v>42</v>
      </c>
      <c r="G914">
        <v>-266.76589999999999</v>
      </c>
      <c r="H914" s="1">
        <v>-2.2084209999999998E-6</v>
      </c>
      <c r="I914">
        <v>365.40030000000002</v>
      </c>
      <c r="J914">
        <v>-289.47640000000001</v>
      </c>
      <c r="K914">
        <v>1.0595969999999999</v>
      </c>
      <c r="L914">
        <v>367.8845</v>
      </c>
      <c r="M914">
        <v>0.99970979999999998</v>
      </c>
      <c r="N914">
        <v>0</v>
      </c>
      <c r="O914">
        <v>-2.0109999999999999E-2</v>
      </c>
      <c r="P914">
        <v>0.99393140000000002</v>
      </c>
      <c r="Q914">
        <v>4.8436519999999997E-2</v>
      </c>
      <c r="R914">
        <v>-9.8765149999999996E-2</v>
      </c>
      <c r="S914">
        <v>2.9926759999999999</v>
      </c>
      <c r="T914">
        <v>-0.13847490000000001</v>
      </c>
      <c r="U914">
        <v>-0.32516479999999998</v>
      </c>
      <c r="V914">
        <v>7.8831390000000001E-2</v>
      </c>
      <c r="W914">
        <v>6.155157E-2</v>
      </c>
      <c r="X914">
        <v>0.99498589999999998</v>
      </c>
      <c r="Y914">
        <v>8.7930179999999997E-2</v>
      </c>
      <c r="Z914">
        <v>-1.100202E-3</v>
      </c>
      <c r="AA914">
        <v>0.99612610000000001</v>
      </c>
      <c r="AB914">
        <v>36</v>
      </c>
      <c r="AC914">
        <v>22.7105</v>
      </c>
      <c r="AD914">
        <v>-1.059599208421</v>
      </c>
      <c r="AE914">
        <v>-2.48419999999998</v>
      </c>
      <c r="AF914">
        <v>2.0225983636782998</v>
      </c>
      <c r="AG914">
        <v>-1.059599208421</v>
      </c>
      <c r="AH914">
        <v>22.707022692679999</v>
      </c>
      <c r="AI914">
        <v>92.6611878656621</v>
      </c>
      <c r="AJ914">
        <v>84.909886833552505</v>
      </c>
      <c r="AK914">
        <v>22.8215366307601</v>
      </c>
      <c r="AL914">
        <v>86.471124040239403</v>
      </c>
      <c r="AM914">
        <v>85.469995452488803</v>
      </c>
      <c r="AN914">
        <v>0.99999996250880197</v>
      </c>
    </row>
    <row r="915" spans="1:40" x14ac:dyDescent="0.25">
      <c r="A915" t="str">
        <f>"20190312151003780"</f>
        <v>20190312151003780</v>
      </c>
      <c r="B915" t="str">
        <f>"1552374603771864"</f>
        <v>1552374603771864</v>
      </c>
      <c r="C915" t="s">
        <v>40</v>
      </c>
      <c r="D915">
        <v>5.7161650000000002</v>
      </c>
      <c r="E915">
        <v>0.5008475</v>
      </c>
      <c r="F915" t="s">
        <v>42</v>
      </c>
      <c r="G915">
        <v>-266.71899999999999</v>
      </c>
      <c r="H915" s="1">
        <v>-2.2016529999999998E-6</v>
      </c>
      <c r="I915">
        <v>365.48570000000001</v>
      </c>
      <c r="J915">
        <v>-289.10410000000002</v>
      </c>
      <c r="K915">
        <v>1.059633</v>
      </c>
      <c r="L915">
        <v>367.87650000000002</v>
      </c>
      <c r="M915">
        <v>0.99970049999999999</v>
      </c>
      <c r="N915">
        <v>0</v>
      </c>
      <c r="O915">
        <v>-2.0558699999999999E-2</v>
      </c>
      <c r="P915">
        <v>0.99390979999999995</v>
      </c>
      <c r="Q915">
        <v>4.8565179999999999E-2</v>
      </c>
      <c r="R915">
        <v>-9.8920739999999993E-2</v>
      </c>
      <c r="S915">
        <v>2.993744</v>
      </c>
      <c r="T915">
        <v>-0.1393905</v>
      </c>
      <c r="U915">
        <v>-0.31555179999999999</v>
      </c>
      <c r="V915">
        <v>7.8535820000000006E-2</v>
      </c>
      <c r="W915">
        <v>6.1699110000000001E-2</v>
      </c>
      <c r="X915">
        <v>0.9950002</v>
      </c>
      <c r="Y915">
        <v>8.4285410000000005E-2</v>
      </c>
      <c r="Z915">
        <v>-1.001874E-3</v>
      </c>
      <c r="AA915">
        <v>0.99644109999999997</v>
      </c>
      <c r="AB915">
        <v>36</v>
      </c>
      <c r="AC915">
        <v>22.385100000000001</v>
      </c>
      <c r="AD915">
        <v>-1.059635201653</v>
      </c>
      <c r="AE915">
        <v>-2.3908000000000098</v>
      </c>
      <c r="AF915">
        <v>1.9257789591041601</v>
      </c>
      <c r="AG915">
        <v>-1.059635201653</v>
      </c>
      <c r="AH915">
        <v>22.379941674676701</v>
      </c>
      <c r="AI915">
        <v>92.700823987950599</v>
      </c>
      <c r="AJ915">
        <v>85.081851544181006</v>
      </c>
      <c r="AK915">
        <v>22.487624168013799</v>
      </c>
      <c r="AL915">
        <v>86.462654750035</v>
      </c>
      <c r="AM915">
        <v>85.486974523230302</v>
      </c>
      <c r="AN915">
        <v>1.0000000265989499</v>
      </c>
    </row>
    <row r="916" spans="1:40" x14ac:dyDescent="0.25">
      <c r="A916" t="str">
        <f>"20190312151003792"</f>
        <v>20190312151003792</v>
      </c>
      <c r="B916" t="str">
        <f>"1552374603781624"</f>
        <v>1552374603781624</v>
      </c>
      <c r="C916" t="s">
        <v>40</v>
      </c>
      <c r="D916">
        <v>5.1562469999999996</v>
      </c>
      <c r="E916">
        <v>0.50028509999999904</v>
      </c>
      <c r="F916" t="s">
        <v>42</v>
      </c>
      <c r="G916">
        <v>-266.1499</v>
      </c>
      <c r="H916" s="1">
        <v>-2.38334E-6</v>
      </c>
      <c r="I916">
        <v>365.53070000000002</v>
      </c>
      <c r="J916">
        <v>-288.9178</v>
      </c>
      <c r="K916">
        <v>1.0596509999999999</v>
      </c>
      <c r="L916">
        <v>367.87240000000003</v>
      </c>
      <c r="M916">
        <v>0.99969609999999998</v>
      </c>
      <c r="N916">
        <v>0</v>
      </c>
      <c r="O916">
        <v>-2.0766929999999999E-2</v>
      </c>
      <c r="P916">
        <v>0.9938825</v>
      </c>
      <c r="Q916">
        <v>4.8528950000000001E-2</v>
      </c>
      <c r="R916">
        <v>-9.9212350000000005E-2</v>
      </c>
      <c r="S916">
        <v>2.9946899999999999</v>
      </c>
      <c r="T916">
        <v>-0.1382438</v>
      </c>
      <c r="U916">
        <v>-0.30603029999999998</v>
      </c>
      <c r="V916">
        <v>7.8617859999999998E-2</v>
      </c>
      <c r="W916">
        <v>6.1673400000000003E-2</v>
      </c>
      <c r="X916">
        <v>0.99499530000000003</v>
      </c>
      <c r="Y916">
        <v>8.0915070000000006E-2</v>
      </c>
      <c r="Z916">
        <v>-9.06357E-4</v>
      </c>
      <c r="AA916">
        <v>0.99672059999999996</v>
      </c>
      <c r="AB916">
        <v>36</v>
      </c>
      <c r="AC916">
        <v>22.767900000000001</v>
      </c>
      <c r="AD916">
        <v>-1.0596533833399999</v>
      </c>
      <c r="AE916">
        <v>-2.3416999999999999</v>
      </c>
      <c r="AF916">
        <v>1.86433770591432</v>
      </c>
      <c r="AG916">
        <v>-1.0596533833399999</v>
      </c>
      <c r="AH916">
        <v>22.7628325004228</v>
      </c>
      <c r="AI916">
        <v>92.656421893617406</v>
      </c>
      <c r="AJ916">
        <v>85.317771179184007</v>
      </c>
      <c r="AK916">
        <v>22.8636209690596</v>
      </c>
      <c r="AL916">
        <v>86.464130582077303</v>
      </c>
      <c r="AM916">
        <v>85.482257481303904</v>
      </c>
      <c r="AN916">
        <v>1.00000001160031</v>
      </c>
    </row>
    <row r="917" spans="1:40" x14ac:dyDescent="0.25">
      <c r="A917" t="str">
        <f>"20190312151003804"</f>
        <v>20190312151003804</v>
      </c>
      <c r="B917" t="str">
        <f>"1552374603791384"</f>
        <v>1552374603791384</v>
      </c>
      <c r="C917" t="s">
        <v>40</v>
      </c>
      <c r="D917">
        <v>5.149464</v>
      </c>
      <c r="E917">
        <v>0.49990639999999997</v>
      </c>
      <c r="F917" t="s">
        <v>42</v>
      </c>
      <c r="G917">
        <v>-265.89999999999998</v>
      </c>
      <c r="H917" s="1">
        <v>-2.4642059999999998E-6</v>
      </c>
      <c r="I917">
        <v>365.54640000000001</v>
      </c>
      <c r="J917">
        <v>-288.72800000000001</v>
      </c>
      <c r="K917">
        <v>1.05967099999999</v>
      </c>
      <c r="L917">
        <v>367.86829999999998</v>
      </c>
      <c r="M917">
        <v>0.99969180000000002</v>
      </c>
      <c r="N917">
        <v>0</v>
      </c>
      <c r="O917">
        <v>-2.097075E-2</v>
      </c>
      <c r="P917">
        <v>0.99387259999999999</v>
      </c>
      <c r="Q917">
        <v>4.8362090000000003E-2</v>
      </c>
      <c r="R917">
        <v>-9.9390900000000004E-2</v>
      </c>
      <c r="S917">
        <v>2.9949949999999999</v>
      </c>
      <c r="T917">
        <v>-0.13787769999999999</v>
      </c>
      <c r="U917">
        <v>-0.30264279999999999</v>
      </c>
      <c r="V917">
        <v>7.8590880000000002E-2</v>
      </c>
      <c r="W917">
        <v>6.1516340000000003E-2</v>
      </c>
      <c r="X917">
        <v>0.99500719999999998</v>
      </c>
      <c r="Y917">
        <v>7.9587649999999996E-2</v>
      </c>
      <c r="Z917">
        <v>-8.6410679999999996E-4</v>
      </c>
      <c r="AA917">
        <v>0.99682749999999998</v>
      </c>
      <c r="AB917">
        <v>36</v>
      </c>
      <c r="AC917">
        <v>22.827999999999999</v>
      </c>
      <c r="AD917">
        <v>-1.05967346420599</v>
      </c>
      <c r="AE917">
        <v>-2.3218999999999701</v>
      </c>
      <c r="AF917">
        <v>1.8387052730973801</v>
      </c>
      <c r="AG917">
        <v>-1.05967346420599</v>
      </c>
      <c r="AH917">
        <v>22.822999694864201</v>
      </c>
      <c r="AI917">
        <v>92.649764930123197</v>
      </c>
      <c r="AJ917">
        <v>85.393988009238498</v>
      </c>
      <c r="AK917">
        <v>22.921454142436701</v>
      </c>
      <c r="AL917">
        <v>86.4731467376875</v>
      </c>
      <c r="AM917">
        <v>85.483855249899804</v>
      </c>
      <c r="AN917">
        <v>1.000000057279</v>
      </c>
    </row>
    <row r="918" spans="1:40" x14ac:dyDescent="0.25">
      <c r="A918" t="str">
        <f>"20190312151003816"</f>
        <v>20190312151003816</v>
      </c>
      <c r="B918" t="str">
        <f>"1552374603811880"</f>
        <v>1552374603811880</v>
      </c>
      <c r="C918" t="s">
        <v>40</v>
      </c>
      <c r="D918">
        <v>5.1121239999999997</v>
      </c>
      <c r="E918">
        <v>0.49954470000000001</v>
      </c>
      <c r="F918" t="s">
        <v>42</v>
      </c>
      <c r="G918">
        <v>-266.11860000000001</v>
      </c>
      <c r="H918" s="1">
        <v>-2.374734E-6</v>
      </c>
      <c r="I918">
        <v>365.60309999999998</v>
      </c>
      <c r="J918">
        <v>-288.52</v>
      </c>
      <c r="K918">
        <v>1.0596909999999999</v>
      </c>
      <c r="L918">
        <v>367.86369999999999</v>
      </c>
      <c r="M918">
        <v>0.99968699999999999</v>
      </c>
      <c r="N918">
        <v>0</v>
      </c>
      <c r="O918">
        <v>-2.118563E-2</v>
      </c>
      <c r="P918">
        <v>0.99383999999999995</v>
      </c>
      <c r="Q918">
        <v>4.818236E-2</v>
      </c>
      <c r="R918">
        <v>-9.9803859999999994E-2</v>
      </c>
      <c r="S918">
        <v>2.9953310000000002</v>
      </c>
      <c r="T918">
        <v>-0.1403866</v>
      </c>
      <c r="U918">
        <v>-0.30007929999999999</v>
      </c>
      <c r="V918">
        <v>7.8787259999999998E-2</v>
      </c>
      <c r="W918">
        <v>6.1347390000000002E-2</v>
      </c>
      <c r="X918">
        <v>0.99500200000000005</v>
      </c>
      <c r="Y918">
        <v>7.8516760000000005E-2</v>
      </c>
      <c r="Z918">
        <v>-8.4469679999999998E-4</v>
      </c>
      <c r="AA918">
        <v>0.99691240000000003</v>
      </c>
      <c r="AB918">
        <v>36</v>
      </c>
      <c r="AC918">
        <v>22.401399999999899</v>
      </c>
      <c r="AD918">
        <v>-1.059693374734</v>
      </c>
      <c r="AE918">
        <v>-2.2606000000000099</v>
      </c>
      <c r="AF918">
        <v>1.78151635736539</v>
      </c>
      <c r="AG918">
        <v>-1.059693374734</v>
      </c>
      <c r="AH918">
        <v>22.3946595047695</v>
      </c>
      <c r="AI918">
        <v>92.700640277123895</v>
      </c>
      <c r="AJ918">
        <v>85.451644910794499</v>
      </c>
      <c r="AK918">
        <v>22.490387389162098</v>
      </c>
      <c r="AL918">
        <v>86.482844824653199</v>
      </c>
      <c r="AM918">
        <v>85.4725937678148</v>
      </c>
      <c r="AN918">
        <v>0.99999995730105895</v>
      </c>
    </row>
    <row r="919" spans="1:40" x14ac:dyDescent="0.25">
      <c r="A919" t="str">
        <f>"20190312151003829"</f>
        <v>20190312151003829</v>
      </c>
      <c r="B919" t="str">
        <f>"1552374603821640"</f>
        <v>1552374603821640</v>
      </c>
      <c r="C919" t="s">
        <v>40</v>
      </c>
      <c r="D919">
        <v>5.1113879999999998</v>
      </c>
      <c r="E919">
        <v>0.49907689999999999</v>
      </c>
      <c r="F919" t="s">
        <v>42</v>
      </c>
      <c r="G919">
        <v>-267.45209999999997</v>
      </c>
      <c r="H919" s="1">
        <v>-1.878558E-6</v>
      </c>
      <c r="I919">
        <v>365.76240000000001</v>
      </c>
      <c r="J919">
        <v>-288.31760000000003</v>
      </c>
      <c r="K919">
        <v>1.059709</v>
      </c>
      <c r="L919">
        <v>367.85919999999999</v>
      </c>
      <c r="M919">
        <v>0.99968290000000004</v>
      </c>
      <c r="N919">
        <v>0</v>
      </c>
      <c r="O919">
        <v>-2.137969E-2</v>
      </c>
      <c r="P919">
        <v>0.99379890000000004</v>
      </c>
      <c r="Q919">
        <v>4.8287440000000001E-2</v>
      </c>
      <c r="R919">
        <v>-0.100161</v>
      </c>
      <c r="S919">
        <v>2.9958800000000001</v>
      </c>
      <c r="T919">
        <v>-0.15068879999999901</v>
      </c>
      <c r="U919">
        <v>-0.298797599999999</v>
      </c>
      <c r="V919">
        <v>7.8949720000000001E-2</v>
      </c>
      <c r="W919">
        <v>6.1461139999999997E-2</v>
      </c>
      <c r="X919">
        <v>0.99498209999999998</v>
      </c>
      <c r="Y919">
        <v>7.7874410000000005E-2</v>
      </c>
      <c r="Z919">
        <v>-8.8063360000000001E-4</v>
      </c>
      <c r="AA919">
        <v>0.99696280000000004</v>
      </c>
      <c r="AB919">
        <v>36</v>
      </c>
      <c r="AC919">
        <v>20.865500000000001</v>
      </c>
      <c r="AD919">
        <v>-1.0597108785580001</v>
      </c>
      <c r="AE919">
        <v>-2.0967999999999698</v>
      </c>
      <c r="AF919">
        <v>1.64598005706006</v>
      </c>
      <c r="AG919">
        <v>-1.0597108785580001</v>
      </c>
      <c r="AH919">
        <v>20.852314251493599</v>
      </c>
      <c r="AI919">
        <v>92.900252571944193</v>
      </c>
      <c r="AJ919">
        <v>85.486708625413002</v>
      </c>
      <c r="AK919">
        <v>20.944002653203999</v>
      </c>
      <c r="AL919">
        <v>86.476315098444005</v>
      </c>
      <c r="AM919">
        <v>85.463206791748803</v>
      </c>
      <c r="AN919">
        <v>0.99999995466929203</v>
      </c>
    </row>
    <row r="920" spans="1:40" x14ac:dyDescent="0.25">
      <c r="A920" t="str">
        <f>"20190312151003841"</f>
        <v>20190312151003841</v>
      </c>
      <c r="B920" t="str">
        <f>"1552374603831401"</f>
        <v>1552374603831401</v>
      </c>
      <c r="C920" t="s">
        <v>40</v>
      </c>
      <c r="D920">
        <v>5.1047510000000003</v>
      </c>
      <c r="E920">
        <v>0.49898870000000001</v>
      </c>
      <c r="F920" t="s">
        <v>42</v>
      </c>
      <c r="G920">
        <v>-268.32260000000002</v>
      </c>
      <c r="H920" s="1">
        <v>-1.5505950000000001E-6</v>
      </c>
      <c r="I920">
        <v>365.88170000000002</v>
      </c>
      <c r="J920">
        <v>-288.1318</v>
      </c>
      <c r="K920">
        <v>1.0597240000000001</v>
      </c>
      <c r="L920">
        <v>367.85509999999999</v>
      </c>
      <c r="M920">
        <v>0.99967910000000004</v>
      </c>
      <c r="N920">
        <v>0</v>
      </c>
      <c r="O920">
        <v>-2.1553269999999999E-2</v>
      </c>
      <c r="P920">
        <v>0.9937686</v>
      </c>
      <c r="Q920">
        <v>4.8263159999999999E-2</v>
      </c>
      <c r="R920">
        <v>-0.1004739</v>
      </c>
      <c r="S920">
        <v>2.996521</v>
      </c>
      <c r="T920">
        <v>-0.15881120000000001</v>
      </c>
      <c r="U920">
        <v>-0.29635620000000001</v>
      </c>
      <c r="V920">
        <v>7.9088080000000005E-2</v>
      </c>
      <c r="W920">
        <v>6.144496E-2</v>
      </c>
      <c r="X920">
        <v>0.99497219999999997</v>
      </c>
      <c r="Y920">
        <v>7.6869699999999999E-2</v>
      </c>
      <c r="Z920">
        <v>-8.9216830000000003E-4</v>
      </c>
      <c r="AA920">
        <v>0.9970407</v>
      </c>
      <c r="AB920">
        <v>36</v>
      </c>
      <c r="AC920">
        <v>19.809199999999901</v>
      </c>
      <c r="AD920">
        <v>-1.0597255505949901</v>
      </c>
      <c r="AE920">
        <v>-1.9733999999999601</v>
      </c>
      <c r="AF920">
        <v>1.5415821565041199</v>
      </c>
      <c r="AG920">
        <v>-1.0597255505949901</v>
      </c>
      <c r="AH920">
        <v>19.791051294483498</v>
      </c>
      <c r="AI920">
        <v>93.055776642049196</v>
      </c>
      <c r="AJ920">
        <v>85.546059494063201</v>
      </c>
      <c r="AK920">
        <v>19.8792657089922</v>
      </c>
      <c r="AL920">
        <v>86.477244211710598</v>
      </c>
      <c r="AM920">
        <v>85.455244273996499</v>
      </c>
      <c r="AN920">
        <v>1.0000000431401601</v>
      </c>
    </row>
    <row r="921" spans="1:40" x14ac:dyDescent="0.25">
      <c r="A921" t="str">
        <f>"20190312151003857"</f>
        <v>20190312151003857</v>
      </c>
      <c r="B921" t="str">
        <f>"1552374603851896"</f>
        <v>1552374603851896</v>
      </c>
      <c r="C921" t="s">
        <v>40</v>
      </c>
      <c r="D921">
        <v>5.1546960000000004</v>
      </c>
      <c r="E921">
        <v>0.49881170000000002</v>
      </c>
      <c r="F921" t="s">
        <v>42</v>
      </c>
      <c r="G921">
        <v>-268.01029999999997</v>
      </c>
      <c r="H921" s="1">
        <v>-1.66180999999999E-6</v>
      </c>
      <c r="I921">
        <v>365.86309999999997</v>
      </c>
      <c r="J921">
        <v>-287.86200000000002</v>
      </c>
      <c r="K921">
        <v>1.0597449999999999</v>
      </c>
      <c r="L921">
        <v>367.84899999999999</v>
      </c>
      <c r="M921">
        <v>0.99967379999999995</v>
      </c>
      <c r="N921">
        <v>0</v>
      </c>
      <c r="O921">
        <v>-2.1792229999999999E-2</v>
      </c>
      <c r="P921">
        <v>0.99370440000000004</v>
      </c>
      <c r="Q921">
        <v>4.8715990000000001E-2</v>
      </c>
      <c r="R921">
        <v>-0.10088800000000001</v>
      </c>
      <c r="S921">
        <v>2.9964900000000001</v>
      </c>
      <c r="T921">
        <v>-0.15781300000000001</v>
      </c>
      <c r="U921">
        <v>-0.29663089999999998</v>
      </c>
      <c r="V921">
        <v>7.9262990000000005E-2</v>
      </c>
      <c r="W921">
        <v>6.1908989999999997E-2</v>
      </c>
      <c r="X921">
        <v>0.99492950000000002</v>
      </c>
      <c r="Y921">
        <v>7.6724349999999997E-2</v>
      </c>
      <c r="Z921">
        <v>-8.7021940000000001E-4</v>
      </c>
      <c r="AA921">
        <v>0.99705200000000005</v>
      </c>
      <c r="AB921">
        <v>36</v>
      </c>
      <c r="AC921">
        <v>19.851700000000001</v>
      </c>
      <c r="AD921">
        <v>-1.05974666181</v>
      </c>
      <c r="AE921">
        <v>-1.98590000000001</v>
      </c>
      <c r="AF921">
        <v>1.5484082433286801</v>
      </c>
      <c r="AG921">
        <v>-1.05974666181</v>
      </c>
      <c r="AH921">
        <v>19.834302817521401</v>
      </c>
      <c r="AI921">
        <v>93.049145186100404</v>
      </c>
      <c r="AJ921">
        <v>85.536133252720802</v>
      </c>
      <c r="AK921">
        <v>19.922856204178299</v>
      </c>
      <c r="AL921">
        <v>86.450606481965494</v>
      </c>
      <c r="AM921">
        <v>85.445040749886402</v>
      </c>
      <c r="AN921">
        <v>1.0000000272984</v>
      </c>
    </row>
    <row r="922" spans="1:40" x14ac:dyDescent="0.25">
      <c r="A922" t="str">
        <f>"20190312151003871"</f>
        <v>20190312151003871</v>
      </c>
      <c r="B922" t="str">
        <f>"1552374603861656"</f>
        <v>1552374603861656</v>
      </c>
      <c r="C922" t="s">
        <v>40</v>
      </c>
      <c r="D922">
        <v>5.252491</v>
      </c>
      <c r="E922">
        <v>0.49944739999999999</v>
      </c>
      <c r="F922" t="s">
        <v>42</v>
      </c>
      <c r="G922">
        <v>-267.76769999999999</v>
      </c>
      <c r="H922" s="1">
        <v>-1.7450199999999999E-6</v>
      </c>
      <c r="I922">
        <v>365.86070000000001</v>
      </c>
      <c r="J922">
        <v>-287.6465</v>
      </c>
      <c r="K922">
        <v>1.0597529999999999</v>
      </c>
      <c r="L922">
        <v>367.84410000000003</v>
      </c>
      <c r="M922">
        <v>0.99966980000000005</v>
      </c>
      <c r="N922">
        <v>0</v>
      </c>
      <c r="O922">
        <v>-2.1973010000000001E-2</v>
      </c>
      <c r="P922">
        <v>0.99369470000000004</v>
      </c>
      <c r="Q922">
        <v>4.8968360000000002E-2</v>
      </c>
      <c r="R922">
        <v>-0.100864</v>
      </c>
      <c r="S922">
        <v>2.996613</v>
      </c>
      <c r="T922">
        <v>-0.15803639999999999</v>
      </c>
      <c r="U922">
        <v>-0.29650880000000002</v>
      </c>
      <c r="V922">
        <v>7.90574E-2</v>
      </c>
      <c r="W922">
        <v>6.2168840000000003E-2</v>
      </c>
      <c r="X922">
        <v>0.99492959999999997</v>
      </c>
      <c r="Y922">
        <v>7.6500189999999996E-2</v>
      </c>
      <c r="Z922">
        <v>-8.5602539999999998E-4</v>
      </c>
      <c r="AA922">
        <v>0.99706919999999999</v>
      </c>
      <c r="AB922">
        <v>36</v>
      </c>
      <c r="AC922">
        <v>19.878799999999998</v>
      </c>
      <c r="AD922">
        <v>-1.05975474502</v>
      </c>
      <c r="AE922">
        <v>-1.98340000000001</v>
      </c>
      <c r="AF922">
        <v>1.5417466959238799</v>
      </c>
      <c r="AG922">
        <v>-1.05975474502</v>
      </c>
      <c r="AH922">
        <v>19.861693471954599</v>
      </c>
      <c r="AI922">
        <v>93.045075497196294</v>
      </c>
      <c r="AJ922">
        <v>85.561365631375097</v>
      </c>
      <c r="AK922">
        <v>19.9496097848521</v>
      </c>
      <c r="AL922">
        <v>86.435689246216299</v>
      </c>
      <c r="AM922">
        <v>85.456806199149796</v>
      </c>
      <c r="AN922">
        <v>0.99999997305893196</v>
      </c>
    </row>
    <row r="923" spans="1:40" x14ac:dyDescent="0.25">
      <c r="A923" t="str">
        <f>"20190312151003902"</f>
        <v>20190312151003902</v>
      </c>
      <c r="B923" t="str">
        <f>"1552374603891912"</f>
        <v>1552374603891912</v>
      </c>
      <c r="C923" t="s">
        <v>40</v>
      </c>
      <c r="D923">
        <v>5.4065320000000003</v>
      </c>
      <c r="E923">
        <v>0.49903459999999999</v>
      </c>
      <c r="F923" t="s">
        <v>42</v>
      </c>
      <c r="G923">
        <v>-268.0539</v>
      </c>
      <c r="H923" s="1">
        <v>-1.6448239999999999E-6</v>
      </c>
      <c r="I923">
        <v>365.87119999999999</v>
      </c>
      <c r="J923">
        <v>-287.14429999999999</v>
      </c>
      <c r="K923">
        <v>1.059782</v>
      </c>
      <c r="L923">
        <v>367.83260000000001</v>
      </c>
      <c r="M923">
        <v>0.99966049999999995</v>
      </c>
      <c r="N923">
        <v>0</v>
      </c>
      <c r="O923">
        <v>-2.237979E-2</v>
      </c>
      <c r="P923">
        <v>0.99368939999999994</v>
      </c>
      <c r="Q923">
        <v>5.0144889999999998E-2</v>
      </c>
      <c r="R923">
        <v>-0.1003353</v>
      </c>
      <c r="S923">
        <v>2.9963989999999998</v>
      </c>
      <c r="T923">
        <v>-0.16207349999999901</v>
      </c>
      <c r="U923">
        <v>-0.30172729999999998</v>
      </c>
      <c r="V923">
        <v>7.8121510000000005E-2</v>
      </c>
      <c r="W923">
        <v>6.3361440000000005E-2</v>
      </c>
      <c r="X923">
        <v>0.99492829999999999</v>
      </c>
      <c r="Y923">
        <v>7.7815549999999997E-2</v>
      </c>
      <c r="Z923">
        <v>-8.9139509999999896E-4</v>
      </c>
      <c r="AA923">
        <v>0.99696739999999995</v>
      </c>
      <c r="AB923">
        <v>36</v>
      </c>
      <c r="AC923">
        <v>19.090399999999899</v>
      </c>
      <c r="AD923">
        <v>-1.0597836448239999</v>
      </c>
      <c r="AE923">
        <v>-1.96140000000002</v>
      </c>
      <c r="AF923">
        <v>1.5289687291870799</v>
      </c>
      <c r="AG923">
        <v>-1.0597836448239999</v>
      </c>
      <c r="AH923">
        <v>19.0713572615083</v>
      </c>
      <c r="AI923">
        <v>93.170468470462595</v>
      </c>
      <c r="AJ923">
        <v>85.416346745741905</v>
      </c>
      <c r="AK923">
        <v>19.1618776362014</v>
      </c>
      <c r="AL923">
        <v>86.367223334518897</v>
      </c>
      <c r="AM923">
        <v>85.510361980284898</v>
      </c>
      <c r="AN923">
        <v>0.99999998227222098</v>
      </c>
    </row>
    <row r="924" spans="1:40" x14ac:dyDescent="0.25">
      <c r="A924" t="str">
        <f>"20190312151003914"</f>
        <v>20190312151003914</v>
      </c>
      <c r="B924" t="str">
        <f>"1552374603901672"</f>
        <v>1552374603901672</v>
      </c>
      <c r="C924" t="s">
        <v>40</v>
      </c>
      <c r="D924">
        <v>5.087974</v>
      </c>
      <c r="E924">
        <v>0.49896699999999999</v>
      </c>
      <c r="F924" t="s">
        <v>42</v>
      </c>
      <c r="G924">
        <v>-266.95949999999999</v>
      </c>
      <c r="H924" s="1">
        <v>-2.0271239999999999E-6</v>
      </c>
      <c r="I924">
        <v>365.834</v>
      </c>
      <c r="J924">
        <v>-286.95100000000002</v>
      </c>
      <c r="K924">
        <v>1.0597920000000001</v>
      </c>
      <c r="L924">
        <v>367.82810000000001</v>
      </c>
      <c r="M924">
        <v>0.99965709999999997</v>
      </c>
      <c r="N924">
        <v>0</v>
      </c>
      <c r="O924">
        <v>-2.2532880000000002E-2</v>
      </c>
      <c r="P924">
        <v>0.99370329999999996</v>
      </c>
      <c r="Q924">
        <v>5.0454939999999997E-2</v>
      </c>
      <c r="R924">
        <v>-0.10004109999999999</v>
      </c>
      <c r="S924">
        <v>2.9970699999999999</v>
      </c>
      <c r="T924">
        <v>-0.15735779999999999</v>
      </c>
      <c r="U924">
        <v>-0.29675289999999999</v>
      </c>
      <c r="V924">
        <v>7.7673770000000003E-2</v>
      </c>
      <c r="W924">
        <v>6.3677419999999998E-2</v>
      </c>
      <c r="X924">
        <v>0.99494320000000003</v>
      </c>
      <c r="Y924">
        <v>7.6009380000000001E-2</v>
      </c>
      <c r="Z924">
        <v>-8.1009279999999897E-4</v>
      </c>
      <c r="AA924">
        <v>0.99710679999999996</v>
      </c>
      <c r="AB924">
        <v>36</v>
      </c>
      <c r="AC924">
        <v>19.991499999999899</v>
      </c>
      <c r="AD924">
        <v>-1.0597940271240001</v>
      </c>
      <c r="AE924">
        <v>-1.9941</v>
      </c>
      <c r="AF924">
        <v>1.53880555898868</v>
      </c>
      <c r="AG924">
        <v>-1.0597940271240001</v>
      </c>
      <c r="AH924">
        <v>19.975775305764099</v>
      </c>
      <c r="AI924">
        <v>93.027966708077599</v>
      </c>
      <c r="AJ924">
        <v>85.595000370835905</v>
      </c>
      <c r="AK924">
        <v>20.062968000639302</v>
      </c>
      <c r="AL924">
        <v>86.349082443963695</v>
      </c>
      <c r="AM924">
        <v>85.536055847540794</v>
      </c>
      <c r="AN924">
        <v>0.99999999979505405</v>
      </c>
    </row>
    <row r="925" spans="1:40" x14ac:dyDescent="0.25">
      <c r="A925" t="str">
        <f>"20190312151003926"</f>
        <v>20190312151003926</v>
      </c>
      <c r="B925" t="str">
        <f>"1552374603922168"</f>
        <v>1552374603922168</v>
      </c>
      <c r="C925" t="s">
        <v>40</v>
      </c>
      <c r="D925">
        <v>5.1428240000000001</v>
      </c>
      <c r="E925">
        <v>0.49854530000000002</v>
      </c>
      <c r="F925" t="s">
        <v>42</v>
      </c>
      <c r="G925">
        <v>-266.48140000000001</v>
      </c>
      <c r="H925" s="1">
        <v>-2.1958330000000001E-6</v>
      </c>
      <c r="I925">
        <v>365.81139999999999</v>
      </c>
      <c r="J925">
        <v>-286.76339999999999</v>
      </c>
      <c r="K925">
        <v>1.059798</v>
      </c>
      <c r="L925">
        <v>367.82369999999997</v>
      </c>
      <c r="M925">
        <v>0.99965380000000004</v>
      </c>
      <c r="N925">
        <v>0</v>
      </c>
      <c r="O925">
        <v>-2.2680499999999999E-2</v>
      </c>
      <c r="P925">
        <v>0.99369649999999998</v>
      </c>
      <c r="Q925">
        <v>5.0534229999999999E-2</v>
      </c>
      <c r="R925">
        <v>-0.1000688</v>
      </c>
      <c r="S925">
        <v>2.9971920000000001</v>
      </c>
      <c r="T925">
        <v>-0.155176799999999</v>
      </c>
      <c r="U925">
        <v>-0.2952881</v>
      </c>
      <c r="V925">
        <v>7.7553839999999999E-2</v>
      </c>
      <c r="W925">
        <v>6.3761170000000006E-2</v>
      </c>
      <c r="X925">
        <v>0.99494720000000003</v>
      </c>
      <c r="Y925">
        <v>7.5378570000000006E-2</v>
      </c>
      <c r="Z925">
        <v>-7.7497069999999996E-4</v>
      </c>
      <c r="AA925">
        <v>0.99715469999999895</v>
      </c>
      <c r="AB925">
        <v>36</v>
      </c>
      <c r="AC925">
        <v>20.281999999999901</v>
      </c>
      <c r="AD925">
        <v>-1.0598001958329999</v>
      </c>
      <c r="AE925">
        <v>-2.0122999999999802</v>
      </c>
      <c r="AF925">
        <v>1.5475512080268199</v>
      </c>
      <c r="AG925">
        <v>-1.0598001958329999</v>
      </c>
      <c r="AH925">
        <v>20.267626535675099</v>
      </c>
      <c r="AI925">
        <v>92.984615067275897</v>
      </c>
      <c r="AJ925">
        <v>85.633606385872</v>
      </c>
      <c r="AK925">
        <v>20.354232399826699</v>
      </c>
      <c r="AL925">
        <v>86.344274180769403</v>
      </c>
      <c r="AM925">
        <v>85.542938328049502</v>
      </c>
      <c r="AN925">
        <v>1.0000000078431699</v>
      </c>
    </row>
    <row r="926" spans="1:40" x14ac:dyDescent="0.25">
      <c r="A926" t="str">
        <f>"20190312151003938"</f>
        <v>20190312151003938</v>
      </c>
      <c r="B926" t="str">
        <f>"1552374603931928"</f>
        <v>1552374603931928</v>
      </c>
      <c r="C926" t="s">
        <v>40</v>
      </c>
      <c r="D926">
        <v>5.4498860000000002</v>
      </c>
      <c r="E926">
        <v>0.49843229999999999</v>
      </c>
      <c r="F926" t="s">
        <v>42</v>
      </c>
      <c r="G926">
        <v>-267.2783</v>
      </c>
      <c r="H926" s="1">
        <v>-1.894468E-6</v>
      </c>
      <c r="I926">
        <v>365.92489999999998</v>
      </c>
      <c r="J926">
        <v>-286.57010000000002</v>
      </c>
      <c r="K926">
        <v>1.0598019999999999</v>
      </c>
      <c r="L926">
        <v>367.81920000000002</v>
      </c>
      <c r="M926">
        <v>0.99965020000000004</v>
      </c>
      <c r="N926">
        <v>0</v>
      </c>
      <c r="O926">
        <v>-2.283195E-2</v>
      </c>
      <c r="P926">
        <v>0.99370159999999996</v>
      </c>
      <c r="Q926">
        <v>5.0881969999999999E-2</v>
      </c>
      <c r="R926">
        <v>-9.9841150000000004E-2</v>
      </c>
      <c r="S926">
        <v>2.9978940000000001</v>
      </c>
      <c r="T926">
        <v>-0.1630557</v>
      </c>
      <c r="U926">
        <v>-0.29214479999999998</v>
      </c>
      <c r="V926">
        <v>7.7174800000000002E-2</v>
      </c>
      <c r="W926">
        <v>6.4113799999999999E-2</v>
      </c>
      <c r="X926">
        <v>0.99495400000000001</v>
      </c>
      <c r="Y926">
        <v>7.4163820000000005E-2</v>
      </c>
      <c r="Z926">
        <v>-7.7297170000000003E-4</v>
      </c>
      <c r="AA926">
        <v>0.99724579999999996</v>
      </c>
      <c r="AB926">
        <v>36</v>
      </c>
      <c r="AC926">
        <v>19.291799999999999</v>
      </c>
      <c r="AD926">
        <v>-1.0598038944679999</v>
      </c>
      <c r="AE926">
        <v>-1.8943000000000401</v>
      </c>
      <c r="AF926">
        <v>1.4489663571537801</v>
      </c>
      <c r="AG926">
        <v>-1.0598038944679999</v>
      </c>
      <c r="AH926">
        <v>19.272417583807599</v>
      </c>
      <c r="AI926">
        <v>93.138724724434795</v>
      </c>
      <c r="AJ926">
        <v>85.700396135321697</v>
      </c>
      <c r="AK926">
        <v>19.355845817828602</v>
      </c>
      <c r="AL926">
        <v>86.324028500586905</v>
      </c>
      <c r="AM926">
        <v>85.564665022423299</v>
      </c>
      <c r="AN926">
        <v>0.99999999561073905</v>
      </c>
    </row>
    <row r="927" spans="1:40" x14ac:dyDescent="0.25">
      <c r="A927" t="str">
        <f>"20190312151003950"</f>
        <v>20190312151003950</v>
      </c>
      <c r="B927" t="str">
        <f>"1552374603941688"</f>
        <v>1552374603941688</v>
      </c>
      <c r="C927" t="s">
        <v>40</v>
      </c>
      <c r="D927">
        <v>5.1388030000000002</v>
      </c>
      <c r="E927">
        <v>0.49840299999999998</v>
      </c>
      <c r="F927" t="s">
        <v>41</v>
      </c>
      <c r="G927">
        <v>-285.51569999999998</v>
      </c>
      <c r="H927">
        <v>1.0031909999999999</v>
      </c>
      <c r="I927">
        <v>367.71699999999998</v>
      </c>
      <c r="J927">
        <v>-286.37819999999999</v>
      </c>
      <c r="K927">
        <v>1.0598080000000001</v>
      </c>
      <c r="L927">
        <v>367.81459999999998</v>
      </c>
      <c r="M927">
        <v>0.9996467</v>
      </c>
      <c r="N927">
        <v>0</v>
      </c>
      <c r="O927">
        <v>-2.298246E-2</v>
      </c>
      <c r="P927">
        <v>0.99374010000000002</v>
      </c>
      <c r="Q927">
        <v>5.0614659999999999E-2</v>
      </c>
      <c r="R927">
        <v>-9.9595890000000006E-2</v>
      </c>
      <c r="S927">
        <v>2.9980769999999999</v>
      </c>
      <c r="T927">
        <v>-0.1611021</v>
      </c>
      <c r="U927">
        <v>-0.29046630000000001</v>
      </c>
      <c r="V927">
        <v>7.6777910000000005E-2</v>
      </c>
      <c r="W927">
        <v>6.3850630000000005E-2</v>
      </c>
      <c r="X927">
        <v>0.99500160000000004</v>
      </c>
      <c r="Y927">
        <v>7.3457700000000001E-2</v>
      </c>
      <c r="Z927">
        <v>-7.3672410000000005E-4</v>
      </c>
      <c r="AA927">
        <v>0.99729809999999997</v>
      </c>
      <c r="AB927">
        <v>36</v>
      </c>
      <c r="AC927">
        <v>0.86250000000001104</v>
      </c>
      <c r="AD927">
        <v>-5.6617000000000098E-2</v>
      </c>
      <c r="AE927">
        <v>-9.7599999999999895E-2</v>
      </c>
      <c r="AF927">
        <v>7.74206900187977E-2</v>
      </c>
      <c r="AG927">
        <v>-5.6617000000000098E-2</v>
      </c>
      <c r="AH927">
        <v>0.86085292578198502</v>
      </c>
      <c r="AI927">
        <v>93.747755409684004</v>
      </c>
      <c r="AJ927">
        <v>84.860937546933101</v>
      </c>
      <c r="AK927">
        <v>0.86617966251776601</v>
      </c>
      <c r="AL927">
        <v>86.339137885629995</v>
      </c>
      <c r="AM927">
        <v>85.587594744731604</v>
      </c>
      <c r="AN927">
        <v>0.999999967208962</v>
      </c>
    </row>
    <row r="928" spans="1:40" x14ac:dyDescent="0.25">
      <c r="A928" t="str">
        <f>"20190312151003963"</f>
        <v>20190312151003963</v>
      </c>
      <c r="B928" t="str">
        <f>"1552374603951448"</f>
        <v>1552374603951448</v>
      </c>
      <c r="C928" t="s">
        <v>40</v>
      </c>
      <c r="D928">
        <v>5.1349339999999897</v>
      </c>
      <c r="E928">
        <v>0.49834539999999999</v>
      </c>
      <c r="F928" t="s">
        <v>42</v>
      </c>
      <c r="G928">
        <v>-266.5967</v>
      </c>
      <c r="H928" s="1">
        <v>-2.1315039999999999E-6</v>
      </c>
      <c r="I928">
        <v>365.90570000000002</v>
      </c>
      <c r="J928">
        <v>-286.17239999999998</v>
      </c>
      <c r="K928">
        <v>1.059812</v>
      </c>
      <c r="L928">
        <v>367.80970000000002</v>
      </c>
      <c r="M928">
        <v>0.9996429</v>
      </c>
      <c r="N928">
        <v>0</v>
      </c>
      <c r="O928">
        <v>-2.3144169999999999E-2</v>
      </c>
      <c r="P928">
        <v>0.99372119999999997</v>
      </c>
      <c r="Q928">
        <v>5.0866050000000003E-2</v>
      </c>
      <c r="R928">
        <v>-9.9653359999999996E-2</v>
      </c>
      <c r="S928">
        <v>2.9980470000000001</v>
      </c>
      <c r="T928">
        <v>-0.1606226</v>
      </c>
      <c r="U928">
        <v>-0.28930660000000002</v>
      </c>
      <c r="V928">
        <v>7.6674430000000002E-2</v>
      </c>
      <c r="W928">
        <v>6.4105679999999998E-2</v>
      </c>
      <c r="X928">
        <v>0.99499320000000002</v>
      </c>
      <c r="Y928">
        <v>7.291657E-2</v>
      </c>
      <c r="Z928">
        <v>-7.1147080000000002E-4</v>
      </c>
      <c r="AA928">
        <v>0.99733780000000005</v>
      </c>
      <c r="AB928">
        <v>36</v>
      </c>
      <c r="AC928">
        <v>19.575699999999902</v>
      </c>
      <c r="AD928">
        <v>-1.0598141315039999</v>
      </c>
      <c r="AE928">
        <v>-1.9039999999999899</v>
      </c>
      <c r="AF928">
        <v>1.4461870102519501</v>
      </c>
      <c r="AG928">
        <v>-1.0598141315039999</v>
      </c>
      <c r="AH928">
        <v>19.557738209973099</v>
      </c>
      <c r="AI928">
        <v>93.093338027970105</v>
      </c>
      <c r="AJ928">
        <v>85.770989280126003</v>
      </c>
      <c r="AK928">
        <v>19.639750170300001</v>
      </c>
      <c r="AL928">
        <v>86.324494670534605</v>
      </c>
      <c r="AM928">
        <v>85.593481219542994</v>
      </c>
      <c r="AN928">
        <v>0.99999998723516303</v>
      </c>
    </row>
    <row r="929" spans="1:40" x14ac:dyDescent="0.25">
      <c r="A929" t="str">
        <f>"20190312151003973"</f>
        <v>20190312151003973</v>
      </c>
      <c r="B929" t="str">
        <f>"1552374603961208"</f>
        <v>1552374603961208</v>
      </c>
      <c r="C929" t="s">
        <v>40</v>
      </c>
      <c r="D929">
        <v>5.1408399999999999</v>
      </c>
      <c r="E929">
        <v>0.49827169999999998</v>
      </c>
      <c r="F929" t="s">
        <v>42</v>
      </c>
      <c r="G929">
        <v>-266.19619999999998</v>
      </c>
      <c r="H929" s="1">
        <v>-2.276496E-6</v>
      </c>
      <c r="I929">
        <v>365.88220000000001</v>
      </c>
      <c r="J929">
        <v>-285.99149999999997</v>
      </c>
      <c r="K929">
        <v>1.05982</v>
      </c>
      <c r="L929">
        <v>367.80540000000002</v>
      </c>
      <c r="M929">
        <v>0.99963959999999996</v>
      </c>
      <c r="N929">
        <v>0</v>
      </c>
      <c r="O929">
        <v>-2.3286939999999999E-2</v>
      </c>
      <c r="P929">
        <v>0.99369549999999995</v>
      </c>
      <c r="Q929">
        <v>5.1265079999999998E-2</v>
      </c>
      <c r="R929">
        <v>-9.970482E-2</v>
      </c>
      <c r="S929">
        <v>2.9980769999999999</v>
      </c>
      <c r="T929">
        <v>-0.1590589</v>
      </c>
      <c r="U929">
        <v>-0.28927609999999998</v>
      </c>
      <c r="V929">
        <v>7.6584289999999999E-2</v>
      </c>
      <c r="W929">
        <v>6.4507789999999995E-2</v>
      </c>
      <c r="X929">
        <v>0.99497420000000003</v>
      </c>
      <c r="Y929">
        <v>7.2764869999999995E-2</v>
      </c>
      <c r="Z929">
        <v>-6.9298899999999997E-4</v>
      </c>
      <c r="AA929">
        <v>0.99734889999999998</v>
      </c>
      <c r="AB929">
        <v>36</v>
      </c>
      <c r="AC929">
        <v>19.795300000000001</v>
      </c>
      <c r="AD929">
        <v>-1.0598222764959999</v>
      </c>
      <c r="AE929">
        <v>-1.9232</v>
      </c>
      <c r="AF929">
        <v>1.4575264566300501</v>
      </c>
      <c r="AG929">
        <v>-1.0598222764959999</v>
      </c>
      <c r="AH929">
        <v>19.7785566450064</v>
      </c>
      <c r="AI929">
        <v>93.058948297597496</v>
      </c>
      <c r="AJ929">
        <v>85.785363003658105</v>
      </c>
      <c r="AK929">
        <v>19.8604861367808</v>
      </c>
      <c r="AL929">
        <v>86.301407849818006</v>
      </c>
      <c r="AM929">
        <v>85.598557525920299</v>
      </c>
      <c r="AN929">
        <v>1.0000000335555601</v>
      </c>
    </row>
    <row r="930" spans="1:40" x14ac:dyDescent="0.25">
      <c r="A930" t="str">
        <f>"20190312151003987"</f>
        <v>20190312151003987</v>
      </c>
      <c r="B930" t="str">
        <f>"1552374603981704"</f>
        <v>1552374603981704</v>
      </c>
      <c r="C930" t="s">
        <v>40</v>
      </c>
      <c r="D930">
        <v>5.1572699999999996</v>
      </c>
      <c r="E930">
        <v>0.49811070000000002</v>
      </c>
      <c r="F930" t="s">
        <v>42</v>
      </c>
      <c r="G930">
        <v>-265.77330000000001</v>
      </c>
      <c r="H930" s="1">
        <v>-2.4620470000000001E-6</v>
      </c>
      <c r="I930">
        <v>365.85899999999998</v>
      </c>
      <c r="J930">
        <v>-285.78320000000002</v>
      </c>
      <c r="K930">
        <v>1.0598240000000001</v>
      </c>
      <c r="L930">
        <v>367.80040000000002</v>
      </c>
      <c r="M930">
        <v>0.99963570000000002</v>
      </c>
      <c r="N930">
        <v>0</v>
      </c>
      <c r="O930">
        <v>-2.3450929999999998E-2</v>
      </c>
      <c r="P930">
        <v>0.99368599999999996</v>
      </c>
      <c r="Q930">
        <v>5.1416410000000003E-2</v>
      </c>
      <c r="R930">
        <v>-9.9722669999999999E-2</v>
      </c>
      <c r="S930">
        <v>2.9981990000000001</v>
      </c>
      <c r="T930">
        <v>-0.1571631</v>
      </c>
      <c r="U930">
        <v>-0.28863529999999998</v>
      </c>
      <c r="V930">
        <v>7.6438339999999994E-2</v>
      </c>
      <c r="W930">
        <v>6.4661960000000004E-2</v>
      </c>
      <c r="X930">
        <v>0.99497539999999995</v>
      </c>
      <c r="Y930">
        <v>7.2388540000000001E-2</v>
      </c>
      <c r="Z930">
        <v>-6.6632039999999903E-4</v>
      </c>
      <c r="AA930">
        <v>0.99737629999999999</v>
      </c>
      <c r="AB930">
        <v>36</v>
      </c>
      <c r="AC930">
        <v>20.009899999999998</v>
      </c>
      <c r="AD930">
        <v>-1.0598264620469999</v>
      </c>
      <c r="AE930">
        <v>-1.94139999999998</v>
      </c>
      <c r="AF930">
        <v>1.4674949668282899</v>
      </c>
      <c r="AG930">
        <v>-1.0598264620469999</v>
      </c>
      <c r="AH930">
        <v>19.9943606178058</v>
      </c>
      <c r="AI930">
        <v>93.026071526956002</v>
      </c>
      <c r="AJ930">
        <v>85.802277607409096</v>
      </c>
      <c r="AK930">
        <v>20.076135836414899</v>
      </c>
      <c r="AL930">
        <v>86.292556020524302</v>
      </c>
      <c r="AM930">
        <v>85.606917955872206</v>
      </c>
      <c r="AN930">
        <v>1.00000001774907</v>
      </c>
    </row>
    <row r="931" spans="1:40" x14ac:dyDescent="0.25">
      <c r="A931" t="str">
        <f>"20190312151004003"</f>
        <v>20190312151004003</v>
      </c>
      <c r="B931" t="str">
        <f>"1552374603991465"</f>
        <v>1552374603991465</v>
      </c>
      <c r="C931" t="s">
        <v>40</v>
      </c>
      <c r="D931">
        <v>5.1289730000000002</v>
      </c>
      <c r="E931">
        <v>0.49802960000000002</v>
      </c>
      <c r="F931" t="s">
        <v>42</v>
      </c>
      <c r="G931">
        <v>-265.29379999999998</v>
      </c>
      <c r="H931" s="1">
        <v>-2.671724E-6</v>
      </c>
      <c r="I931">
        <v>365.83670000000001</v>
      </c>
      <c r="J931">
        <v>-285.53609999999998</v>
      </c>
      <c r="K931">
        <v>1.059831</v>
      </c>
      <c r="L931">
        <v>367.7944</v>
      </c>
      <c r="M931">
        <v>0.99963120000000005</v>
      </c>
      <c r="N931">
        <v>0</v>
      </c>
      <c r="O931">
        <v>-2.3645659999999999E-2</v>
      </c>
      <c r="P931">
        <v>0.99362850000000003</v>
      </c>
      <c r="Q931">
        <v>5.1559189999999998E-2</v>
      </c>
      <c r="R931">
        <v>-0.10022349999999999</v>
      </c>
      <c r="S931">
        <v>2.9982600000000001</v>
      </c>
      <c r="T931">
        <v>-0.15508629999999901</v>
      </c>
      <c r="U931">
        <v>-0.28735349999999998</v>
      </c>
      <c r="V931">
        <v>7.6745889999999997E-2</v>
      </c>
      <c r="W931">
        <v>6.4806610000000001E-2</v>
      </c>
      <c r="X931">
        <v>0.99494229999999995</v>
      </c>
      <c r="Y931">
        <v>7.1772630000000004E-2</v>
      </c>
      <c r="Z931">
        <v>-6.3160759999999995E-4</v>
      </c>
      <c r="AA931">
        <v>0.9974208</v>
      </c>
      <c r="AB931">
        <v>36</v>
      </c>
      <c r="AC931">
        <v>20.2423</v>
      </c>
      <c r="AD931">
        <v>-1.059833671724</v>
      </c>
      <c r="AE931">
        <v>-1.95769999999998</v>
      </c>
      <c r="AF931">
        <v>1.4744628214100699</v>
      </c>
      <c r="AG931">
        <v>-1.059833671724</v>
      </c>
      <c r="AH931">
        <v>20.227997478026801</v>
      </c>
      <c r="AI931">
        <v>92.991313356831796</v>
      </c>
      <c r="AJ931">
        <v>85.830959073547305</v>
      </c>
      <c r="AK931">
        <v>20.3093370151391</v>
      </c>
      <c r="AL931">
        <v>86.284250716259905</v>
      </c>
      <c r="AM931">
        <v>85.589165823596005</v>
      </c>
      <c r="AN931">
        <v>1.00000000433043</v>
      </c>
    </row>
    <row r="932" spans="1:40" x14ac:dyDescent="0.25">
      <c r="A932" t="str">
        <f>"20190312151004013"</f>
        <v>20190312151004013</v>
      </c>
      <c r="B932" t="str">
        <f>"1552374604002200"</f>
        <v>1552374604002200</v>
      </c>
      <c r="C932" t="s">
        <v>40</v>
      </c>
      <c r="D932">
        <v>5.139532</v>
      </c>
      <c r="E932">
        <v>0.49806600000000001</v>
      </c>
      <c r="F932" t="s">
        <v>42</v>
      </c>
      <c r="G932">
        <v>-264.92360000000002</v>
      </c>
      <c r="H932" s="1">
        <v>-2.8354189999999999E-6</v>
      </c>
      <c r="I932">
        <v>365.8091</v>
      </c>
      <c r="J932">
        <v>-285.35090000000002</v>
      </c>
      <c r="K932">
        <v>1.0598350000000001</v>
      </c>
      <c r="L932">
        <v>367.78989999999999</v>
      </c>
      <c r="M932">
        <v>0.99962759999999995</v>
      </c>
      <c r="N932">
        <v>0</v>
      </c>
      <c r="O932">
        <v>-2.379094E-2</v>
      </c>
      <c r="P932">
        <v>0.9936199</v>
      </c>
      <c r="Q932">
        <v>5.146411E-2</v>
      </c>
      <c r="R932">
        <v>-0.1003554</v>
      </c>
      <c r="S932">
        <v>2.9981080000000002</v>
      </c>
      <c r="T932">
        <v>-0.1541536</v>
      </c>
      <c r="U932">
        <v>-0.28875729999999999</v>
      </c>
      <c r="V932">
        <v>7.6732869999999995E-2</v>
      </c>
      <c r="W932">
        <v>6.471383E-2</v>
      </c>
      <c r="X932">
        <v>0.99494930000000004</v>
      </c>
      <c r="Y932">
        <v>7.2095770000000003E-2</v>
      </c>
      <c r="Z932">
        <v>-6.2867309999999998E-4</v>
      </c>
      <c r="AA932">
        <v>0.99739750000000005</v>
      </c>
      <c r="AB932">
        <v>36</v>
      </c>
      <c r="AC932">
        <v>20.427299999999999</v>
      </c>
      <c r="AD932">
        <v>-1.0598378354189999</v>
      </c>
      <c r="AE932">
        <v>-1.9807999999999799</v>
      </c>
      <c r="AF932">
        <v>1.4902369779884801</v>
      </c>
      <c r="AG932">
        <v>-1.0598378354189999</v>
      </c>
      <c r="AH932">
        <v>20.414205590621702</v>
      </c>
      <c r="AI932">
        <v>92.964065457195105</v>
      </c>
      <c r="AJ932">
        <v>85.824814191472896</v>
      </c>
      <c r="AK932">
        <v>20.4959472185142</v>
      </c>
      <c r="AL932">
        <v>86.2895776412971</v>
      </c>
      <c r="AM932">
        <v>85.589942077705203</v>
      </c>
      <c r="AN932">
        <v>0.99999996135109703</v>
      </c>
    </row>
    <row r="933" spans="1:40" x14ac:dyDescent="0.25">
      <c r="A933" t="str">
        <f>"20190312151004036"</f>
        <v>20190312151004036</v>
      </c>
      <c r="B933" t="str">
        <f>"1552374604031433"</f>
        <v>1552374604031433</v>
      </c>
      <c r="C933" t="s">
        <v>40</v>
      </c>
      <c r="D933">
        <v>5.2258300000000002</v>
      </c>
      <c r="E933">
        <v>0.4979556</v>
      </c>
      <c r="F933" t="s">
        <v>42</v>
      </c>
      <c r="G933">
        <v>-265.07850000000002</v>
      </c>
      <c r="H933" s="1">
        <v>-2.7645310000000002E-6</v>
      </c>
      <c r="I933">
        <v>365.834</v>
      </c>
      <c r="J933">
        <v>-285.00560000000002</v>
      </c>
      <c r="K933">
        <v>1.059839</v>
      </c>
      <c r="L933">
        <v>367.78129999999999</v>
      </c>
      <c r="M933">
        <v>0.99962099999999998</v>
      </c>
      <c r="N933">
        <v>0</v>
      </c>
      <c r="O933">
        <v>-2.405993E-2</v>
      </c>
      <c r="P933">
        <v>0.99352510000000005</v>
      </c>
      <c r="Q933">
        <v>5.1595179999999997E-2</v>
      </c>
      <c r="R933">
        <v>-0.1012203</v>
      </c>
      <c r="S933">
        <v>2.998138</v>
      </c>
      <c r="T933">
        <v>-0.1567422</v>
      </c>
      <c r="U933">
        <v>-0.28924559999999999</v>
      </c>
      <c r="V933">
        <v>7.7331430000000007E-2</v>
      </c>
      <c r="W933">
        <v>6.4847050000000003E-2</v>
      </c>
      <c r="X933">
        <v>0.99489430000000001</v>
      </c>
      <c r="Y933">
        <v>7.1985709999999994E-2</v>
      </c>
      <c r="Z933">
        <v>-6.2232620000000005E-4</v>
      </c>
      <c r="AA933">
        <v>0.99740549999999994</v>
      </c>
      <c r="AB933">
        <v>36</v>
      </c>
      <c r="AC933">
        <v>19.927099999999999</v>
      </c>
      <c r="AD933">
        <v>-1.0598417645310001</v>
      </c>
      <c r="AE933">
        <v>-1.94729999999998</v>
      </c>
      <c r="AF933">
        <v>1.4631489235975801</v>
      </c>
      <c r="AG933">
        <v>-1.0598417645310001</v>
      </c>
      <c r="AH933">
        <v>19.912392241131801</v>
      </c>
      <c r="AI933">
        <v>93.038530116062006</v>
      </c>
      <c r="AJ933">
        <v>85.797497959066305</v>
      </c>
      <c r="AK933">
        <v>19.994185007225401</v>
      </c>
      <c r="AL933">
        <v>86.281928696776006</v>
      </c>
      <c r="AM933">
        <v>85.5554337047937</v>
      </c>
      <c r="AN933">
        <v>0.99999997906601801</v>
      </c>
    </row>
    <row r="934" spans="1:40" x14ac:dyDescent="0.25">
      <c r="A934" t="str">
        <f>"20190312151004048"</f>
        <v>20190312151004048</v>
      </c>
      <c r="B934" t="str">
        <f>"1552374604041198"</f>
        <v>1552374604041198</v>
      </c>
      <c r="C934" t="s">
        <v>40</v>
      </c>
      <c r="D934">
        <v>5.1541920000000001</v>
      </c>
      <c r="E934">
        <v>0.49789509999999998</v>
      </c>
      <c r="F934" t="s">
        <v>42</v>
      </c>
      <c r="G934">
        <v>-265.32299999999998</v>
      </c>
      <c r="H934" s="1">
        <v>-2.653206E-6</v>
      </c>
      <c r="I934">
        <v>365.87029999999999</v>
      </c>
      <c r="J934">
        <v>-284.81580000000002</v>
      </c>
      <c r="K934">
        <v>1.059844</v>
      </c>
      <c r="L934">
        <v>367.77659999999997</v>
      </c>
      <c r="M934">
        <v>0.99961770000000005</v>
      </c>
      <c r="N934">
        <v>0</v>
      </c>
      <c r="O934">
        <v>-2.420508E-2</v>
      </c>
      <c r="P934">
        <v>0.99349200000000004</v>
      </c>
      <c r="Q934">
        <v>5.1332969999999999E-2</v>
      </c>
      <c r="R934">
        <v>-0.1016793</v>
      </c>
      <c r="S934">
        <v>2.998291</v>
      </c>
      <c r="T934">
        <v>-0.1614476</v>
      </c>
      <c r="U934">
        <v>-0.29110720000000001</v>
      </c>
      <c r="V934">
        <v>7.7645939999999997E-2</v>
      </c>
      <c r="W934">
        <v>6.4585829999999997E-2</v>
      </c>
      <c r="X934">
        <v>0.99488679999999996</v>
      </c>
      <c r="Y934">
        <v>7.2445190000000007E-2</v>
      </c>
      <c r="Z934">
        <v>-6.454799E-4</v>
      </c>
      <c r="AA934">
        <v>0.99737220000000004</v>
      </c>
      <c r="AB934">
        <v>36</v>
      </c>
      <c r="AC934">
        <v>19.492799999999999</v>
      </c>
      <c r="AD934">
        <v>-1.059846653206</v>
      </c>
      <c r="AE934">
        <v>-1.9062999999999799</v>
      </c>
      <c r="AF934">
        <v>1.4296880237279701</v>
      </c>
      <c r="AG934">
        <v>-1.059846653206</v>
      </c>
      <c r="AH934">
        <v>19.4762035066762</v>
      </c>
      <c r="AI934">
        <v>93.106479858177295</v>
      </c>
      <c r="AJ934">
        <v>85.801623841622501</v>
      </c>
      <c r="AK934">
        <v>19.557346082916499</v>
      </c>
      <c r="AL934">
        <v>86.296926956620396</v>
      </c>
      <c r="AM934">
        <v>85.537396840043598</v>
      </c>
      <c r="AN934">
        <v>0.99999998312475602</v>
      </c>
    </row>
    <row r="935" spans="1:40" x14ac:dyDescent="0.25">
      <c r="A935" t="str">
        <f>"20190312151004061"</f>
        <v>20190312151004061</v>
      </c>
      <c r="B935" t="str">
        <f>"1552374604051929"</f>
        <v>1552374604051929</v>
      </c>
      <c r="C935" t="s">
        <v>40</v>
      </c>
      <c r="D935">
        <v>5.1322679999999998</v>
      </c>
      <c r="E935">
        <v>0.49790230000000002</v>
      </c>
      <c r="F935" t="s">
        <v>42</v>
      </c>
      <c r="G935">
        <v>-265.22399999999999</v>
      </c>
      <c r="H935" s="1">
        <v>-2.6960959999999998E-6</v>
      </c>
      <c r="I935">
        <v>365.86790000000002</v>
      </c>
      <c r="J935">
        <v>-284.60270000000003</v>
      </c>
      <c r="K935">
        <v>1.059842</v>
      </c>
      <c r="L935">
        <v>367.7713</v>
      </c>
      <c r="M935">
        <v>0.9996138</v>
      </c>
      <c r="N935">
        <v>0</v>
      </c>
      <c r="O935">
        <v>-2.4365700000000001E-2</v>
      </c>
      <c r="P935">
        <v>0.99343510000000002</v>
      </c>
      <c r="Q935">
        <v>5.1355530000000003E-2</v>
      </c>
      <c r="R935">
        <v>-0.1022242</v>
      </c>
      <c r="S935">
        <v>2.9981080000000002</v>
      </c>
      <c r="T935">
        <v>-0.16218659999999999</v>
      </c>
      <c r="U935">
        <v>-0.2920837</v>
      </c>
      <c r="V935">
        <v>7.8031149999999994E-2</v>
      </c>
      <c r="W935">
        <v>6.4609609999999998E-2</v>
      </c>
      <c r="X935">
        <v>0.99485509999999999</v>
      </c>
      <c r="Y935">
        <v>7.2611949999999995E-2</v>
      </c>
      <c r="Z935">
        <v>-6.4430110000000004E-4</v>
      </c>
      <c r="AA935">
        <v>0.99736009999999997</v>
      </c>
      <c r="AB935">
        <v>36</v>
      </c>
      <c r="AC935">
        <v>19.378699999999998</v>
      </c>
      <c r="AD935">
        <v>-1.059844696096</v>
      </c>
      <c r="AE935">
        <v>-1.90339999999997</v>
      </c>
      <c r="AF935">
        <v>1.4263912968626999</v>
      </c>
      <c r="AG935">
        <v>-1.059844696096</v>
      </c>
      <c r="AH935">
        <v>19.361966726074499</v>
      </c>
      <c r="AI935">
        <v>93.124706350961205</v>
      </c>
      <c r="AJ935">
        <v>85.786645388012204</v>
      </c>
      <c r="AK935">
        <v>19.443343807411999</v>
      </c>
      <c r="AL935">
        <v>86.295561547886194</v>
      </c>
      <c r="AM935">
        <v>85.515205154706095</v>
      </c>
      <c r="AN935">
        <v>0.99999996603534103</v>
      </c>
    </row>
    <row r="936" spans="1:40" x14ac:dyDescent="0.25">
      <c r="A936" t="str">
        <f>"20190312151004103"</f>
        <v>20190312151004103</v>
      </c>
      <c r="B936" t="str">
        <f>"1552374604091945"</f>
        <v>1552374604091945</v>
      </c>
      <c r="C936" t="s">
        <v>40</v>
      </c>
      <c r="D936">
        <v>5.1034490000000003</v>
      </c>
      <c r="E936">
        <v>0.49798609999999999</v>
      </c>
      <c r="F936" t="s">
        <v>42</v>
      </c>
      <c r="G936">
        <v>-265.23149999999998</v>
      </c>
      <c r="H936" s="1">
        <v>-2.6918729999999999E-6</v>
      </c>
      <c r="I936">
        <v>365.87360000000001</v>
      </c>
      <c r="J936">
        <v>-283.93029999999999</v>
      </c>
      <c r="K936">
        <v>1.0598620000000001</v>
      </c>
      <c r="L936">
        <v>367.75439999999998</v>
      </c>
      <c r="M936">
        <v>0.99960210000000005</v>
      </c>
      <c r="N936">
        <v>0</v>
      </c>
      <c r="O936">
        <v>-2.4836069999999998E-2</v>
      </c>
      <c r="P936">
        <v>0.9932782</v>
      </c>
      <c r="Q936">
        <v>5.1914009999999997E-2</v>
      </c>
      <c r="R936">
        <v>-0.1034561</v>
      </c>
      <c r="S936">
        <v>2.9980769999999999</v>
      </c>
      <c r="T936">
        <v>-0.16403190000000001</v>
      </c>
      <c r="U936">
        <v>-0.2937012</v>
      </c>
      <c r="V936">
        <v>7.8795210000000004E-2</v>
      </c>
      <c r="W936">
        <v>6.5173010000000003E-2</v>
      </c>
      <c r="X936">
        <v>0.99475809999999998</v>
      </c>
      <c r="Y936">
        <v>7.2675610000000002E-2</v>
      </c>
      <c r="Z936">
        <v>-6.2771289999999998E-4</v>
      </c>
      <c r="AA936">
        <v>0.99735549999999995</v>
      </c>
      <c r="AB936">
        <v>36</v>
      </c>
      <c r="AC936">
        <v>18.698799999999999</v>
      </c>
      <c r="AD936">
        <v>-1.0598646918729999</v>
      </c>
      <c r="AE936">
        <v>-1.8807999999999601</v>
      </c>
      <c r="AF936">
        <v>1.4112848518574099</v>
      </c>
      <c r="AG936">
        <v>-1.0598646918729999</v>
      </c>
      <c r="AH936">
        <v>18.680333289052101</v>
      </c>
      <c r="AI936">
        <v>93.238096806683401</v>
      </c>
      <c r="AJ936">
        <v>85.679555245645901</v>
      </c>
      <c r="AK936">
        <v>18.7635255186287</v>
      </c>
      <c r="AL936">
        <v>86.263212834011398</v>
      </c>
      <c r="AM936">
        <v>85.471033284338901</v>
      </c>
      <c r="AN936">
        <v>0.99999994193350505</v>
      </c>
    </row>
    <row r="937" spans="1:40" x14ac:dyDescent="0.25">
      <c r="A937" t="str">
        <f>"20190312151004115"</f>
        <v>20190312151004115</v>
      </c>
      <c r="B937" t="str">
        <f>"1552374604111466"</f>
        <v>1552374604111466</v>
      </c>
      <c r="C937" t="s">
        <v>40</v>
      </c>
      <c r="D937">
        <v>5.1074190000000002</v>
      </c>
      <c r="E937">
        <v>0.4972048</v>
      </c>
      <c r="F937" t="s">
        <v>42</v>
      </c>
      <c r="G937">
        <v>-265.04289999999997</v>
      </c>
      <c r="H937" s="1">
        <v>-2.7723999999999999E-6</v>
      </c>
      <c r="I937">
        <v>365.87580000000003</v>
      </c>
      <c r="J937">
        <v>-283.72750000000002</v>
      </c>
      <c r="K937">
        <v>1.059871</v>
      </c>
      <c r="L937">
        <v>367.74919999999997</v>
      </c>
      <c r="M937">
        <v>0.99959889999999996</v>
      </c>
      <c r="N937">
        <v>0</v>
      </c>
      <c r="O937">
        <v>-2.4967400000000001E-2</v>
      </c>
      <c r="P937">
        <v>0.99322319999999997</v>
      </c>
      <c r="Q937">
        <v>5.2291020000000001E-2</v>
      </c>
      <c r="R937">
        <v>-0.1037964</v>
      </c>
      <c r="S937">
        <v>2.9980470000000001</v>
      </c>
      <c r="T937">
        <v>-0.16823450000000001</v>
      </c>
      <c r="U937">
        <v>-0.29818729999999999</v>
      </c>
      <c r="V937">
        <v>7.9004599999999994E-2</v>
      </c>
      <c r="W937">
        <v>6.5551280000000003E-2</v>
      </c>
      <c r="X937">
        <v>0.99471670000000001</v>
      </c>
      <c r="Y937">
        <v>7.4017910000000006E-2</v>
      </c>
      <c r="Z937">
        <v>-6.7393569999999999E-4</v>
      </c>
      <c r="AA937">
        <v>0.9972567</v>
      </c>
      <c r="AB937">
        <v>36</v>
      </c>
      <c r="AC937">
        <v>18.6846</v>
      </c>
      <c r="AD937">
        <v>-1.0598737724</v>
      </c>
      <c r="AE937">
        <v>-1.87339999999994</v>
      </c>
      <c r="AF937">
        <v>1.4018026933140799</v>
      </c>
      <c r="AG937">
        <v>-1.0598737724</v>
      </c>
      <c r="AH937">
        <v>18.6660890193311</v>
      </c>
      <c r="AI937">
        <v>93.240699342845701</v>
      </c>
      <c r="AJ937">
        <v>85.705212037358294</v>
      </c>
      <c r="AK937">
        <v>18.7486336163998</v>
      </c>
      <c r="AL937">
        <v>86.241493350945404</v>
      </c>
      <c r="AM937">
        <v>85.458860095598894</v>
      </c>
      <c r="AN937">
        <v>1.0000000051948399</v>
      </c>
    </row>
    <row r="938" spans="1:40" x14ac:dyDescent="0.25">
      <c r="A938" t="str">
        <f>"20190312151004128"</f>
        <v>20190312151004128</v>
      </c>
      <c r="B938" t="str">
        <f>"1552374604121226"</f>
        <v>1552374604121226</v>
      </c>
      <c r="C938" t="s">
        <v>40</v>
      </c>
      <c r="D938">
        <v>5.2279090000000004</v>
      </c>
      <c r="E938">
        <v>0.49682470000000001</v>
      </c>
      <c r="F938" t="s">
        <v>42</v>
      </c>
      <c r="G938">
        <v>-264.59480000000002</v>
      </c>
      <c r="H938" s="1">
        <v>-2.9640089999999999E-6</v>
      </c>
      <c r="I938">
        <v>365.87920000000003</v>
      </c>
      <c r="J938">
        <v>-283.53460000000001</v>
      </c>
      <c r="K938">
        <v>1.0598879999999999</v>
      </c>
      <c r="L938">
        <v>367.74419999999998</v>
      </c>
      <c r="M938">
        <v>0.99959589999999998</v>
      </c>
      <c r="N938">
        <v>0</v>
      </c>
      <c r="O938">
        <v>-2.508119E-2</v>
      </c>
      <c r="P938">
        <v>0.99319950000000001</v>
      </c>
      <c r="Q938">
        <v>5.2198460000000002E-2</v>
      </c>
      <c r="R938">
        <v>-0.10406749999999999</v>
      </c>
      <c r="S938">
        <v>2.998596</v>
      </c>
      <c r="T938">
        <v>-0.16611020000000001</v>
      </c>
      <c r="U938">
        <v>-0.2930603</v>
      </c>
      <c r="V938">
        <v>7.916144E-2</v>
      </c>
      <c r="W938">
        <v>6.5460409999999997E-2</v>
      </c>
      <c r="X938">
        <v>0.99471019999999999</v>
      </c>
      <c r="Y938">
        <v>7.2202440000000007E-2</v>
      </c>
      <c r="Z938">
        <v>-6.0895920000000002E-4</v>
      </c>
      <c r="AA938">
        <v>0.99738979999999999</v>
      </c>
      <c r="AB938">
        <v>36</v>
      </c>
      <c r="AC938">
        <v>18.939799999999899</v>
      </c>
      <c r="AD938">
        <v>-1.059890964009</v>
      </c>
      <c r="AE938">
        <v>-1.86499999999995</v>
      </c>
      <c r="AF938">
        <v>1.38504216430825</v>
      </c>
      <c r="AG938">
        <v>-1.059890964009</v>
      </c>
      <c r="AH938">
        <v>18.921933809104999</v>
      </c>
      <c r="AI938">
        <v>93.197472202295003</v>
      </c>
      <c r="AJ938">
        <v>85.813546545928702</v>
      </c>
      <c r="AK938">
        <v>19.002139082972999</v>
      </c>
      <c r="AL938">
        <v>86.246710969474293</v>
      </c>
      <c r="AM938">
        <v>85.449853230911501</v>
      </c>
      <c r="AN938">
        <v>0.99999999042214005</v>
      </c>
    </row>
    <row r="939" spans="1:40" x14ac:dyDescent="0.25">
      <c r="A939" t="str">
        <f>"20190312151004139"</f>
        <v>20190312151004139</v>
      </c>
      <c r="B939" t="str">
        <f>"1552374604131963"</f>
        <v>1552374604131963</v>
      </c>
      <c r="C939" t="s">
        <v>40</v>
      </c>
      <c r="D939">
        <v>5.9779650000000002</v>
      </c>
      <c r="E939">
        <v>0.49646299999999999</v>
      </c>
      <c r="F939" t="s">
        <v>42</v>
      </c>
      <c r="G939">
        <v>-264.45589999999999</v>
      </c>
      <c r="H939" s="1">
        <v>-3.020657E-6</v>
      </c>
      <c r="I939">
        <v>365.89580000000001</v>
      </c>
      <c r="J939">
        <v>-283.34030000000001</v>
      </c>
      <c r="K939">
        <v>1.0599000000000001</v>
      </c>
      <c r="L939">
        <v>367.73930000000001</v>
      </c>
      <c r="M939">
        <v>0.99959330000000002</v>
      </c>
      <c r="N939">
        <v>0</v>
      </c>
      <c r="O939">
        <v>-2.5190790000000001E-2</v>
      </c>
      <c r="P939">
        <v>0.99314959999999997</v>
      </c>
      <c r="Q939">
        <v>5.2096009999999998E-2</v>
      </c>
      <c r="R939">
        <v>-0.10459540000000001</v>
      </c>
      <c r="S939">
        <v>2.99884</v>
      </c>
      <c r="T939">
        <v>-0.1665961</v>
      </c>
      <c r="U939">
        <v>-0.29052729999999999</v>
      </c>
      <c r="V939">
        <v>7.9579259999999999E-2</v>
      </c>
      <c r="W939">
        <v>6.5359520000000004E-2</v>
      </c>
      <c r="X939">
        <v>0.99468350000000005</v>
      </c>
      <c r="Y939">
        <v>7.1251869999999995E-2</v>
      </c>
      <c r="Z939">
        <v>-5.7832269999999995E-4</v>
      </c>
      <c r="AA939">
        <v>0.99745819999999996</v>
      </c>
      <c r="AB939">
        <v>36</v>
      </c>
      <c r="AC939">
        <v>18.884399999999999</v>
      </c>
      <c r="AD939">
        <v>-1.0599030206569999</v>
      </c>
      <c r="AE939">
        <v>-1.8434999999999999</v>
      </c>
      <c r="AF939">
        <v>1.36290664713887</v>
      </c>
      <c r="AG939">
        <v>-1.0599030206569999</v>
      </c>
      <c r="AH939">
        <v>18.865980624051701</v>
      </c>
      <c r="AI939">
        <v>93.207193352175295</v>
      </c>
      <c r="AJ939">
        <v>85.868045242651405</v>
      </c>
      <c r="AK939">
        <v>18.9448181265778</v>
      </c>
      <c r="AL939">
        <v>86.252503964929502</v>
      </c>
      <c r="AM939">
        <v>85.425816600633595</v>
      </c>
      <c r="AN939">
        <v>0.999999995324514</v>
      </c>
    </row>
    <row r="940" spans="1:40" x14ac:dyDescent="0.25">
      <c r="A940" t="str">
        <f>"20190312151004152"</f>
        <v>20190312151004152</v>
      </c>
      <c r="B940" t="str">
        <f>"1552374604141722"</f>
        <v>1552374604141722</v>
      </c>
      <c r="C940" t="s">
        <v>40</v>
      </c>
      <c r="D940">
        <v>5.1005979999999997</v>
      </c>
      <c r="E940">
        <v>0.49616169999999998</v>
      </c>
      <c r="F940" t="s">
        <v>41</v>
      </c>
      <c r="G940">
        <v>-282.31479999999999</v>
      </c>
      <c r="H940">
        <v>1.0036050000000001</v>
      </c>
      <c r="I940">
        <v>367.64019999999999</v>
      </c>
      <c r="J940">
        <v>-283.13679999999999</v>
      </c>
      <c r="K940">
        <v>1.0599149999999999</v>
      </c>
      <c r="L940">
        <v>367.73399999999998</v>
      </c>
      <c r="M940">
        <v>0.9995908</v>
      </c>
      <c r="N940">
        <v>0</v>
      </c>
      <c r="O940">
        <v>-2.5290920000000001E-2</v>
      </c>
      <c r="P940">
        <v>0.99310759999999998</v>
      </c>
      <c r="Q940">
        <v>5.185526E-2</v>
      </c>
      <c r="R940">
        <v>-0.1051139</v>
      </c>
      <c r="S940">
        <v>2.998901</v>
      </c>
      <c r="T940">
        <v>-0.16484649999999901</v>
      </c>
      <c r="U940">
        <v>-0.28909299999999999</v>
      </c>
      <c r="V940">
        <v>7.9996590000000006E-2</v>
      </c>
      <c r="W940">
        <v>6.5121620000000005E-2</v>
      </c>
      <c r="X940">
        <v>0.99466560000000004</v>
      </c>
      <c r="Y940">
        <v>7.0679800000000001E-2</v>
      </c>
      <c r="Z940">
        <v>-5.5110040000000003E-4</v>
      </c>
      <c r="AA940">
        <v>0.99749889999999997</v>
      </c>
      <c r="AB940">
        <v>36</v>
      </c>
      <c r="AC940">
        <v>0.82200000000000195</v>
      </c>
      <c r="AD940">
        <v>-5.6309999999999999E-2</v>
      </c>
      <c r="AE940">
        <v>-9.3800000000044195E-2</v>
      </c>
      <c r="AF940">
        <v>7.2642487043839798E-2</v>
      </c>
      <c r="AG940">
        <v>-5.6309999999999999E-2</v>
      </c>
      <c r="AH940">
        <v>0.82030949769385897</v>
      </c>
      <c r="AI940">
        <v>93.911638608753194</v>
      </c>
      <c r="AJ940">
        <v>84.939374575750605</v>
      </c>
      <c r="AK940">
        <v>0.82544255949803402</v>
      </c>
      <c r="AL940">
        <v>86.266163629355304</v>
      </c>
      <c r="AM940">
        <v>85.401848844421295</v>
      </c>
      <c r="AN940">
        <v>0.99999996781320499</v>
      </c>
    </row>
    <row r="941" spans="1:40" x14ac:dyDescent="0.25">
      <c r="A941" t="str">
        <f>"20190312151004164"</f>
        <v>20190312151004164</v>
      </c>
      <c r="B941" t="str">
        <f>"1552374604161242"</f>
        <v>1552374604161242</v>
      </c>
      <c r="C941" t="s">
        <v>40</v>
      </c>
      <c r="D941">
        <v>5.3225860000000003</v>
      </c>
      <c r="E941">
        <v>0.495558</v>
      </c>
      <c r="F941" t="s">
        <v>42</v>
      </c>
      <c r="G941">
        <v>-263.685</v>
      </c>
      <c r="H941" s="1">
        <v>-3.356608E-6</v>
      </c>
      <c r="I941">
        <v>365.86630000000002</v>
      </c>
      <c r="J941">
        <v>-282.95080000000002</v>
      </c>
      <c r="K941">
        <v>1.0599289999999999</v>
      </c>
      <c r="L941">
        <v>367.72919999999999</v>
      </c>
      <c r="M941">
        <v>0.9995887</v>
      </c>
      <c r="N941">
        <v>0</v>
      </c>
      <c r="O941">
        <v>-2.5372680000000002E-2</v>
      </c>
      <c r="P941">
        <v>0.99307350000000005</v>
      </c>
      <c r="Q941">
        <v>5.20539E-2</v>
      </c>
      <c r="R941">
        <v>-0.10533629999999999</v>
      </c>
      <c r="S941">
        <v>2.9988709999999998</v>
      </c>
      <c r="T941">
        <v>-0.16340669999999999</v>
      </c>
      <c r="U941">
        <v>-0.2879333</v>
      </c>
      <c r="V941">
        <v>8.0135990000000004E-2</v>
      </c>
      <c r="W941">
        <v>6.5322420000000006E-2</v>
      </c>
      <c r="X941">
        <v>0.9946412</v>
      </c>
      <c r="Y941">
        <v>7.0218950000000002E-2</v>
      </c>
      <c r="Z941">
        <v>-5.2935160000000005E-4</v>
      </c>
      <c r="AA941">
        <v>0.99753150000000002</v>
      </c>
      <c r="AB941">
        <v>36</v>
      </c>
      <c r="AC941">
        <v>19.265799999999999</v>
      </c>
      <c r="AD941">
        <v>-1.0599323566079999</v>
      </c>
      <c r="AE941">
        <v>-1.86289999999996</v>
      </c>
      <c r="AF941">
        <v>1.3693252374709299</v>
      </c>
      <c r="AG941">
        <v>-1.0599323566079999</v>
      </c>
      <c r="AH941">
        <v>19.249144081868302</v>
      </c>
      <c r="AI941">
        <v>93.143815950028099</v>
      </c>
      <c r="AJ941">
        <v>85.931007907156001</v>
      </c>
      <c r="AK941">
        <v>19.3268739347854</v>
      </c>
      <c r="AL941">
        <v>86.2546340435145</v>
      </c>
      <c r="AM941">
        <v>85.393758164420007</v>
      </c>
      <c r="AN941">
        <v>0.99999995609268699</v>
      </c>
    </row>
    <row r="942" spans="1:40" x14ac:dyDescent="0.25">
      <c r="A942" t="str">
        <f>"20190312151004180"</f>
        <v>20190312151004180</v>
      </c>
      <c r="B942" t="str">
        <f>"1552374604171978"</f>
        <v>1552374604171978</v>
      </c>
      <c r="C942" t="s">
        <v>40</v>
      </c>
      <c r="D942">
        <v>5.1763940000000002</v>
      </c>
      <c r="E942">
        <v>0.49525979999999997</v>
      </c>
      <c r="F942" t="s">
        <v>42</v>
      </c>
      <c r="G942">
        <v>-263.0727</v>
      </c>
      <c r="H942" s="1">
        <v>-3.6225219999999998E-6</v>
      </c>
      <c r="I942">
        <v>365.84809999999999</v>
      </c>
      <c r="J942">
        <v>-282.68450000000001</v>
      </c>
      <c r="K942">
        <v>1.059957</v>
      </c>
      <c r="L942">
        <v>367.72230000000002</v>
      </c>
      <c r="M942">
        <v>0.99958599999999997</v>
      </c>
      <c r="N942">
        <v>0</v>
      </c>
      <c r="O942">
        <v>-2.5474469999999999E-2</v>
      </c>
      <c r="P942">
        <v>0.99303410000000003</v>
      </c>
      <c r="Q942">
        <v>5.226596E-2</v>
      </c>
      <c r="R942">
        <v>-0.10560070000000001</v>
      </c>
      <c r="S942">
        <v>2.9992070000000002</v>
      </c>
      <c r="T942">
        <v>-0.15992210000000001</v>
      </c>
      <c r="U942">
        <v>-0.2838135</v>
      </c>
      <c r="V942">
        <v>8.0296809999999996E-2</v>
      </c>
      <c r="W942">
        <v>6.5537490000000004E-2</v>
      </c>
      <c r="X942">
        <v>0.99461409999999995</v>
      </c>
      <c r="Y942">
        <v>6.8753729999999999E-2</v>
      </c>
      <c r="Z942">
        <v>-4.7369250000000001E-4</v>
      </c>
      <c r="AA942">
        <v>0.99763360000000001</v>
      </c>
      <c r="AB942">
        <v>36</v>
      </c>
      <c r="AC942">
        <v>19.611799999999999</v>
      </c>
      <c r="AD942">
        <v>-1.059960622522</v>
      </c>
      <c r="AE942">
        <v>-1.8742000000000301</v>
      </c>
      <c r="AF942">
        <v>1.36998114368969</v>
      </c>
      <c r="AG942">
        <v>-1.059960622522</v>
      </c>
      <c r="AH942">
        <v>19.596457908250599</v>
      </c>
      <c r="AI942">
        <v>93.088553663118503</v>
      </c>
      <c r="AJ942">
        <v>86.000979599655295</v>
      </c>
      <c r="AK942">
        <v>19.672862715049899</v>
      </c>
      <c r="AL942">
        <v>86.242285045415102</v>
      </c>
      <c r="AM942">
        <v>85.384428866120501</v>
      </c>
      <c r="AN942">
        <v>0.999999974105242</v>
      </c>
    </row>
    <row r="943" spans="1:40" x14ac:dyDescent="0.25">
      <c r="A943" t="str">
        <f>"20190312151004204"</f>
        <v>20190312151004204</v>
      </c>
      <c r="B943" t="str">
        <f>"1552374604191498"</f>
        <v>1552374604191498</v>
      </c>
      <c r="C943" t="s">
        <v>40</v>
      </c>
      <c r="D943">
        <v>5.1582189999999999</v>
      </c>
      <c r="E943">
        <v>0.49466909999999997</v>
      </c>
      <c r="F943" t="s">
        <v>42</v>
      </c>
      <c r="G943">
        <v>-262.4991</v>
      </c>
      <c r="H943" s="1">
        <v>-3.8735619999999999E-6</v>
      </c>
      <c r="I943">
        <v>365.8202</v>
      </c>
      <c r="J943">
        <v>-282.32679999999999</v>
      </c>
      <c r="K943">
        <v>1.0599889999999901</v>
      </c>
      <c r="L943">
        <v>367.7131</v>
      </c>
      <c r="M943">
        <v>0.99958340000000001</v>
      </c>
      <c r="N943">
        <v>0</v>
      </c>
      <c r="O943">
        <v>-2.5577180000000001E-2</v>
      </c>
      <c r="P943">
        <v>0.99301309999999998</v>
      </c>
      <c r="Q943">
        <v>5.234809E-2</v>
      </c>
      <c r="R943">
        <v>-0.10575710000000001</v>
      </c>
      <c r="S943">
        <v>2.9992679999999998</v>
      </c>
      <c r="T943">
        <v>-0.15749449999999901</v>
      </c>
      <c r="U943">
        <v>-0.28262330000000002</v>
      </c>
      <c r="V943">
        <v>8.0346409999999993E-2</v>
      </c>
      <c r="W943">
        <v>6.5625509999999998E-2</v>
      </c>
      <c r="X943">
        <v>0.9946043</v>
      </c>
      <c r="Y943">
        <v>6.825958E-2</v>
      </c>
      <c r="Z943">
        <v>-4.4819949999999999E-4</v>
      </c>
      <c r="AA943">
        <v>0.99766750000000004</v>
      </c>
      <c r="AB943">
        <v>36</v>
      </c>
      <c r="AC943">
        <v>19.8277</v>
      </c>
      <c r="AD943">
        <v>-1.0599928735619999</v>
      </c>
      <c r="AE943">
        <v>-1.89289999999999</v>
      </c>
      <c r="AF943">
        <v>1.3811868522769799</v>
      </c>
      <c r="AG943">
        <v>-1.0599928735619999</v>
      </c>
      <c r="AH943">
        <v>19.8135161306258</v>
      </c>
      <c r="AI943">
        <v>93.054918015724297</v>
      </c>
      <c r="AJ943">
        <v>86.012400587502299</v>
      </c>
      <c r="AK943">
        <v>19.8898638374292</v>
      </c>
      <c r="AL943">
        <v>86.237231025395403</v>
      </c>
      <c r="AM943">
        <v>85.381544810679102</v>
      </c>
      <c r="AN943">
        <v>0.99999998337056895</v>
      </c>
    </row>
    <row r="944" spans="1:40" x14ac:dyDescent="0.25">
      <c r="A944" t="str">
        <f>"20190312151004216"</f>
        <v>20190312151004216</v>
      </c>
      <c r="B944" t="str">
        <f>"1552374604211995"</f>
        <v>1552374604211995</v>
      </c>
      <c r="C944" t="s">
        <v>40</v>
      </c>
      <c r="D944">
        <v>5.134735</v>
      </c>
      <c r="E944">
        <v>0.49419839999999998</v>
      </c>
      <c r="F944" t="s">
        <v>42</v>
      </c>
      <c r="G944">
        <v>-261.65030000000002</v>
      </c>
      <c r="H944" s="1">
        <v>-4.2425700000000003E-6</v>
      </c>
      <c r="I944">
        <v>365.79259999999999</v>
      </c>
      <c r="J944">
        <v>-282.11919999999998</v>
      </c>
      <c r="K944">
        <v>1.0600069999999999</v>
      </c>
      <c r="L944">
        <v>367.70769999999999</v>
      </c>
      <c r="M944">
        <v>0.99958230000000003</v>
      </c>
      <c r="N944">
        <v>0</v>
      </c>
      <c r="O944">
        <v>-2.5624310000000001E-2</v>
      </c>
      <c r="P944">
        <v>0.99298149999999996</v>
      </c>
      <c r="Q944">
        <v>5.2533150000000001E-2</v>
      </c>
      <c r="R944">
        <v>-0.10596360000000001</v>
      </c>
      <c r="S944">
        <v>2.9995419999999999</v>
      </c>
      <c r="T944">
        <v>-0.15377279999999999</v>
      </c>
      <c r="U944">
        <v>-0.27859499999999998</v>
      </c>
      <c r="V944">
        <v>8.0503839999999993E-2</v>
      </c>
      <c r="W944">
        <v>6.5812979999999993E-2</v>
      </c>
      <c r="X944">
        <v>0.9945792</v>
      </c>
      <c r="Y944">
        <v>6.6880289999999995E-2</v>
      </c>
      <c r="Z944">
        <v>-3.9994009999999998E-4</v>
      </c>
      <c r="AA944">
        <v>0.99776100000000001</v>
      </c>
      <c r="AB944">
        <v>36</v>
      </c>
      <c r="AC944">
        <v>20.468899999999898</v>
      </c>
      <c r="AD944">
        <v>-1.0600112425699999</v>
      </c>
      <c r="AE944">
        <v>-1.91509999999999</v>
      </c>
      <c r="AF944">
        <v>1.3862373656753599</v>
      </c>
      <c r="AG944">
        <v>-1.0600112425699999</v>
      </c>
      <c r="AH944">
        <v>20.456869348121401</v>
      </c>
      <c r="AI944">
        <v>92.959460979832102</v>
      </c>
      <c r="AJ944">
        <v>86.123340755219004</v>
      </c>
      <c r="AK944">
        <v>20.531166099237499</v>
      </c>
      <c r="AL944">
        <v>86.226466580181693</v>
      </c>
      <c r="AM944">
        <v>85.372418440389296</v>
      </c>
      <c r="AN944">
        <v>1.0000000008319301</v>
      </c>
    </row>
    <row r="945" spans="1:40" x14ac:dyDescent="0.25">
      <c r="A945" t="str">
        <f>"20190312151004228"</f>
        <v>20190312151004228</v>
      </c>
      <c r="B945" t="str">
        <f>"1552374604221285"</f>
        <v>1552374604221285</v>
      </c>
      <c r="C945" t="s">
        <v>40</v>
      </c>
      <c r="D945">
        <v>5.1636739999999897</v>
      </c>
      <c r="E945">
        <v>0.49395040000000001</v>
      </c>
      <c r="F945" t="s">
        <v>42</v>
      </c>
      <c r="G945">
        <v>-261.13319999999999</v>
      </c>
      <c r="H945" s="1">
        <v>-4.4660439999999996E-6</v>
      </c>
      <c r="I945">
        <v>365.78339999999997</v>
      </c>
      <c r="J945">
        <v>-281.9341</v>
      </c>
      <c r="K945">
        <v>1.0600210000000001</v>
      </c>
      <c r="L945">
        <v>367.7029</v>
      </c>
      <c r="M945">
        <v>0.99958150000000001</v>
      </c>
      <c r="N945">
        <v>0</v>
      </c>
      <c r="O945">
        <v>-2.565278E-2</v>
      </c>
      <c r="P945">
        <v>0.99297449999999998</v>
      </c>
      <c r="Q945">
        <v>5.2775309999999999E-2</v>
      </c>
      <c r="R945">
        <v>-0.1059089</v>
      </c>
      <c r="S945">
        <v>2.9998469999999999</v>
      </c>
      <c r="T945">
        <v>-0.15152299999999999</v>
      </c>
      <c r="U945">
        <v>-0.27505489999999999</v>
      </c>
      <c r="V945">
        <v>8.0418420000000004E-2</v>
      </c>
      <c r="W945">
        <v>6.6058019999999995E-2</v>
      </c>
      <c r="X945">
        <v>0.99456979999999995</v>
      </c>
      <c r="Y945">
        <v>6.5678100000000003E-2</v>
      </c>
      <c r="Z945">
        <v>-3.6236059999999998E-4</v>
      </c>
      <c r="AA945">
        <v>0.99784079999999997</v>
      </c>
      <c r="AB945">
        <v>36</v>
      </c>
      <c r="AC945">
        <v>20.800899999999999</v>
      </c>
      <c r="AD945">
        <v>-1.0600254660439901</v>
      </c>
      <c r="AE945">
        <v>-1.91950000000002</v>
      </c>
      <c r="AF945">
        <v>1.38166174524027</v>
      </c>
      <c r="AG945">
        <v>-1.0600254660439901</v>
      </c>
      <c r="AH945">
        <v>20.7897636974091</v>
      </c>
      <c r="AI945">
        <v>92.912447611660099</v>
      </c>
      <c r="AJ945">
        <v>86.197785263588699</v>
      </c>
      <c r="AK945">
        <v>20.862572175094598</v>
      </c>
      <c r="AL945">
        <v>86.212395956477195</v>
      </c>
      <c r="AM945">
        <v>85.377263823222606</v>
      </c>
      <c r="AN945">
        <v>0.99999993567682599</v>
      </c>
    </row>
    <row r="946" spans="1:40" x14ac:dyDescent="0.25">
      <c r="A946" t="str">
        <f>"20190312151004240"</f>
        <v>20190312151004240</v>
      </c>
      <c r="B946" t="str">
        <f>"1552374604232020"</f>
        <v>1552374604232020</v>
      </c>
      <c r="C946" t="s">
        <v>40</v>
      </c>
      <c r="D946">
        <v>5.2531639999999999</v>
      </c>
      <c r="E946">
        <v>0.49372329999999998</v>
      </c>
      <c r="F946" t="s">
        <v>42</v>
      </c>
      <c r="G946">
        <v>-260.75940000000003</v>
      </c>
      <c r="H946" s="1">
        <v>-4.6278729999999997E-6</v>
      </c>
      <c r="I946">
        <v>365.77510000000001</v>
      </c>
      <c r="J946">
        <v>-281.74380000000002</v>
      </c>
      <c r="K946">
        <v>1.060036</v>
      </c>
      <c r="L946">
        <v>367.69799999999998</v>
      </c>
      <c r="M946">
        <v>0.99958089999999999</v>
      </c>
      <c r="N946">
        <v>0</v>
      </c>
      <c r="O946">
        <v>-2.567852E-2</v>
      </c>
      <c r="P946">
        <v>0.99297869999999999</v>
      </c>
      <c r="Q946">
        <v>5.2827800000000001E-2</v>
      </c>
      <c r="R946">
        <v>-0.10584349999999999</v>
      </c>
      <c r="S946">
        <v>3.000092</v>
      </c>
      <c r="T946">
        <v>-0.1501873</v>
      </c>
      <c r="U946">
        <v>-0.27313229999999999</v>
      </c>
      <c r="V946">
        <v>8.0325160000000007E-2</v>
      </c>
      <c r="W946">
        <v>6.6113199999999997E-2</v>
      </c>
      <c r="X946">
        <v>0.9945737</v>
      </c>
      <c r="Y946">
        <v>6.5012600000000004E-2</v>
      </c>
      <c r="Z946">
        <v>-3.4125209999999998E-4</v>
      </c>
      <c r="AA946">
        <v>0.9978844</v>
      </c>
      <c r="AB946">
        <v>36</v>
      </c>
      <c r="AC946">
        <v>20.984399999999901</v>
      </c>
      <c r="AD946">
        <v>-1.0600406278729999</v>
      </c>
      <c r="AE946">
        <v>-1.92290000000002</v>
      </c>
      <c r="AF946">
        <v>1.3798774512894301</v>
      </c>
      <c r="AG946">
        <v>-1.0600406278729999</v>
      </c>
      <c r="AH946">
        <v>20.973784965294499</v>
      </c>
      <c r="AI946">
        <v>92.887105603174405</v>
      </c>
      <c r="AJ946">
        <v>86.235902092780506</v>
      </c>
      <c r="AK946">
        <v>21.0458405316521</v>
      </c>
      <c r="AL946">
        <v>86.209227562403697</v>
      </c>
      <c r="AM946">
        <v>85.382619572391903</v>
      </c>
      <c r="AN946">
        <v>0.99999996563747695</v>
      </c>
    </row>
    <row r="947" spans="1:40" x14ac:dyDescent="0.25">
      <c r="A947" t="str">
        <f>"20190312151004252"</f>
        <v>20190312151004252</v>
      </c>
      <c r="B947" t="str">
        <f>"1552374604241780"</f>
        <v>1552374604241780</v>
      </c>
      <c r="C947" t="s">
        <v>40</v>
      </c>
      <c r="D947">
        <v>5.2163820000000003</v>
      </c>
      <c r="E947">
        <v>0.49380770000000002</v>
      </c>
      <c r="F947" t="s">
        <v>42</v>
      </c>
      <c r="G947">
        <v>-260.33620000000002</v>
      </c>
      <c r="H947" s="1">
        <v>-4.8115079999999998E-6</v>
      </c>
      <c r="I947">
        <v>365.76319999999998</v>
      </c>
      <c r="J947">
        <v>-281.54109999999997</v>
      </c>
      <c r="K947">
        <v>1.0600499999999999</v>
      </c>
      <c r="L947">
        <v>367.6927</v>
      </c>
      <c r="M947">
        <v>0.99958040000000004</v>
      </c>
      <c r="N947">
        <v>0</v>
      </c>
      <c r="O947">
        <v>-2.569569E-2</v>
      </c>
      <c r="P947">
        <v>0.99295180000000005</v>
      </c>
      <c r="Q947">
        <v>5.297383E-2</v>
      </c>
      <c r="R947">
        <v>-0.1060233</v>
      </c>
      <c r="S947">
        <v>3.0002439999999999</v>
      </c>
      <c r="T947">
        <v>-0.148563</v>
      </c>
      <c r="U947">
        <v>-0.27114870000000002</v>
      </c>
      <c r="V947">
        <v>8.0485989999999993E-2</v>
      </c>
      <c r="W947">
        <v>6.6264030000000002E-2</v>
      </c>
      <c r="X947">
        <v>0.99455070000000001</v>
      </c>
      <c r="Y947">
        <v>6.4338370000000006E-2</v>
      </c>
      <c r="Z947">
        <v>-3.2006009999999997E-4</v>
      </c>
      <c r="AA947">
        <v>0.99792809999999998</v>
      </c>
      <c r="AB947">
        <v>36</v>
      </c>
      <c r="AC947">
        <v>21.204899999999899</v>
      </c>
      <c r="AD947">
        <v>-1.060054811508</v>
      </c>
      <c r="AE947">
        <v>-1.92950000000001</v>
      </c>
      <c r="AF947">
        <v>1.38051781838049</v>
      </c>
      <c r="AG947">
        <v>-1.060054811508</v>
      </c>
      <c r="AH947">
        <v>21.194947995770502</v>
      </c>
      <c r="AI947">
        <v>92.8571898715077</v>
      </c>
      <c r="AJ947">
        <v>86.273344405574093</v>
      </c>
      <c r="AK947">
        <v>21.266296485135499</v>
      </c>
      <c r="AL947">
        <v>86.2005667993283</v>
      </c>
      <c r="AM947">
        <v>85.373308048624395</v>
      </c>
      <c r="AN947">
        <v>1.0000000055642999</v>
      </c>
    </row>
    <row r="948" spans="1:40" x14ac:dyDescent="0.25">
      <c r="A948" t="str">
        <f>"20190312151004265"</f>
        <v>20190312151004265</v>
      </c>
      <c r="B948" t="str">
        <f>"1552374604261300"</f>
        <v>1552374604261300</v>
      </c>
      <c r="C948" t="s">
        <v>40</v>
      </c>
      <c r="D948">
        <v>5.0414979999999998</v>
      </c>
      <c r="E948">
        <v>0.52040589999999998</v>
      </c>
      <c r="F948" t="s">
        <v>42</v>
      </c>
      <c r="G948">
        <v>-259.84840000000003</v>
      </c>
      <c r="H948" s="1">
        <v>-1.0735040000000001E-6</v>
      </c>
      <c r="I948">
        <v>365.72320000000002</v>
      </c>
      <c r="J948">
        <v>-281.34780000000001</v>
      </c>
      <c r="K948">
        <v>1.0600700000000001</v>
      </c>
      <c r="L948">
        <v>367.68779999999998</v>
      </c>
      <c r="M948">
        <v>0.99958000000000002</v>
      </c>
      <c r="N948">
        <v>0</v>
      </c>
      <c r="O948">
        <v>-2.5707069999999999E-2</v>
      </c>
      <c r="P948">
        <v>0.992981</v>
      </c>
      <c r="Q948">
        <v>5.3008300000000001E-2</v>
      </c>
      <c r="R948">
        <v>-0.1057307</v>
      </c>
      <c r="S948">
        <v>3.0000309999999999</v>
      </c>
      <c r="T948">
        <v>-0.14660100000000001</v>
      </c>
      <c r="U948">
        <v>-0.27236939999999998</v>
      </c>
      <c r="V948">
        <v>8.0179490000000006E-2</v>
      </c>
      <c r="W948">
        <v>6.6304000000000002E-2</v>
      </c>
      <c r="X948">
        <v>0.99457280000000003</v>
      </c>
      <c r="Y948">
        <v>6.4736879999999997E-2</v>
      </c>
      <c r="Z948">
        <v>-3.2501319999999999E-4</v>
      </c>
      <c r="AA948">
        <v>0.99790230000000002</v>
      </c>
      <c r="AB948">
        <v>36</v>
      </c>
      <c r="AC948">
        <v>21.499399999999898</v>
      </c>
      <c r="AD948">
        <v>-1.060071073504</v>
      </c>
      <c r="AE948">
        <v>-1.9645999999999599</v>
      </c>
      <c r="AF948">
        <v>1.4078202529141901</v>
      </c>
      <c r="AG948">
        <v>-1.060071073504</v>
      </c>
      <c r="AH948">
        <v>21.490986401131</v>
      </c>
      <c r="AI948">
        <v>92.817870818561701</v>
      </c>
      <c r="AJ948">
        <v>86.252053138552</v>
      </c>
      <c r="AK948">
        <v>21.563121412239699</v>
      </c>
      <c r="AL948">
        <v>86.198271666930196</v>
      </c>
      <c r="AM948">
        <v>85.390952947422804</v>
      </c>
      <c r="AN948">
        <v>1.0000000127662501</v>
      </c>
    </row>
    <row r="949" spans="1:40" x14ac:dyDescent="0.25">
      <c r="A949" t="str">
        <f>"20190312151004279"</f>
        <v>20190312151004279</v>
      </c>
      <c r="B949" t="str">
        <f>"1552374604272036"</f>
        <v>1552374604272036</v>
      </c>
      <c r="C949" t="s">
        <v>40</v>
      </c>
      <c r="D949">
        <v>5.1358670000000002</v>
      </c>
      <c r="E949">
        <v>0.52628229999999998</v>
      </c>
      <c r="F949" t="s">
        <v>42</v>
      </c>
      <c r="G949">
        <v>-222.42169999999999</v>
      </c>
      <c r="H949">
        <v>7.9986189999999999E-2</v>
      </c>
      <c r="I949">
        <v>358.14710000000002</v>
      </c>
      <c r="J949">
        <v>-281.11770000000001</v>
      </c>
      <c r="K949">
        <v>1.0601069999999999</v>
      </c>
      <c r="L949">
        <v>367.68180000000001</v>
      </c>
      <c r="M949">
        <v>0.99957870000000004</v>
      </c>
      <c r="N949">
        <v>0</v>
      </c>
      <c r="O949">
        <v>-2.571673E-2</v>
      </c>
      <c r="P949">
        <v>0.99293640000000005</v>
      </c>
      <c r="Q949">
        <v>5.3247370000000002E-2</v>
      </c>
      <c r="R949">
        <v>-0.106029</v>
      </c>
      <c r="S949">
        <v>2.972626</v>
      </c>
      <c r="T949">
        <v>-4.9441810000000003E-2</v>
      </c>
      <c r="U949">
        <v>-0.48129270000000002</v>
      </c>
      <c r="V949">
        <v>8.0467330000000004E-2</v>
      </c>
      <c r="W949">
        <v>6.6632289999999997E-2</v>
      </c>
      <c r="X949">
        <v>0.99452759999999996</v>
      </c>
      <c r="Y949">
        <v>0.13437099999999999</v>
      </c>
      <c r="Z949">
        <v>-6.8543209999999996E-4</v>
      </c>
      <c r="AA949">
        <v>0.99093089999999995</v>
      </c>
      <c r="AB949">
        <v>36</v>
      </c>
      <c r="AC949">
        <v>58.695999999999998</v>
      </c>
      <c r="AD949">
        <v>-0.98012080999999995</v>
      </c>
      <c r="AE949">
        <v>-9.5346999999999795</v>
      </c>
      <c r="AF949">
        <v>8.0197614808531004</v>
      </c>
      <c r="AG949">
        <v>-0.98012080999999995</v>
      </c>
      <c r="AH949">
        <v>58.905804933821898</v>
      </c>
      <c r="AI949">
        <v>90.944532044673593</v>
      </c>
      <c r="AJ949">
        <v>82.2471033086414</v>
      </c>
      <c r="AK949">
        <v>59.457304563135501</v>
      </c>
      <c r="AL949">
        <v>86.179420298807003</v>
      </c>
      <c r="AM949">
        <v>85.374269079307396</v>
      </c>
      <c r="AN949">
        <v>1.0000000002148599</v>
      </c>
    </row>
    <row r="950" spans="1:40" x14ac:dyDescent="0.25">
      <c r="A950" t="str">
        <f>"20190312151004293"</f>
        <v>20190312151004293</v>
      </c>
      <c r="B950" t="str">
        <f>"1552374604281796"</f>
        <v>1552374604281796</v>
      </c>
      <c r="C950" t="s">
        <v>40</v>
      </c>
      <c r="D950">
        <v>5.2444050000000004</v>
      </c>
      <c r="E950">
        <v>0.53017099999999995</v>
      </c>
      <c r="F950" t="s">
        <v>42</v>
      </c>
      <c r="G950">
        <v>-235.85489999999999</v>
      </c>
      <c r="H950">
        <v>1.5972190000000001E-2</v>
      </c>
      <c r="I950">
        <v>359.6164</v>
      </c>
      <c r="J950">
        <v>-280.90089999999998</v>
      </c>
      <c r="K950">
        <v>1.060298</v>
      </c>
      <c r="L950">
        <v>367.67619999999999</v>
      </c>
      <c r="M950">
        <v>0.99956940000000005</v>
      </c>
      <c r="N950">
        <v>0</v>
      </c>
      <c r="O950">
        <v>-2.572284E-2</v>
      </c>
      <c r="P950">
        <v>0.99297400000000002</v>
      </c>
      <c r="Q950">
        <v>5.2705099999999901E-2</v>
      </c>
      <c r="R950">
        <v>-0.1059469</v>
      </c>
      <c r="S950">
        <v>2.9685359999999998</v>
      </c>
      <c r="T950">
        <v>-6.8478819999999996E-2</v>
      </c>
      <c r="U950">
        <v>-0.52896119999999902</v>
      </c>
      <c r="V950">
        <v>8.0376600000000006E-2</v>
      </c>
      <c r="W950">
        <v>6.6744090000000006E-2</v>
      </c>
      <c r="X950">
        <v>0.99452750000000001</v>
      </c>
      <c r="Y950">
        <v>0.15000949999999999</v>
      </c>
      <c r="Z950">
        <v>-1.128139E-3</v>
      </c>
      <c r="AA950">
        <v>0.98868389999999995</v>
      </c>
      <c r="AB950">
        <v>36</v>
      </c>
      <c r="AC950">
        <v>45.0459999999999</v>
      </c>
      <c r="AD950">
        <v>-1.0443258099999999</v>
      </c>
      <c r="AE950">
        <v>-8.0597999999999903</v>
      </c>
      <c r="AF950">
        <v>6.8947152292635696</v>
      </c>
      <c r="AG950">
        <v>-1.0443258099999999</v>
      </c>
      <c r="AH950">
        <v>45.2148854246174</v>
      </c>
      <c r="AI950">
        <v>91.308007833260206</v>
      </c>
      <c r="AJ950">
        <v>81.329885602929096</v>
      </c>
      <c r="AK950">
        <v>45.749465335141899</v>
      </c>
      <c r="AL950">
        <v>86.173000567393601</v>
      </c>
      <c r="AM950">
        <v>85.379461709333896</v>
      </c>
      <c r="AN950">
        <v>1.0000000598168599</v>
      </c>
    </row>
    <row r="951" spans="1:40" x14ac:dyDescent="0.25">
      <c r="A951" t="str">
        <f>"20190312151004314"</f>
        <v>20190312151004314</v>
      </c>
      <c r="B951" t="str">
        <f>"1552374604312052"</f>
        <v>1552374604312052</v>
      </c>
      <c r="C951" t="s">
        <v>40</v>
      </c>
      <c r="D951">
        <v>5.1139549999999998</v>
      </c>
      <c r="E951">
        <v>0.53375109999999903</v>
      </c>
      <c r="F951" t="s">
        <v>42</v>
      </c>
      <c r="G951">
        <v>-241.3021</v>
      </c>
      <c r="H951" s="1">
        <v>-5.8292080000000002E-6</v>
      </c>
      <c r="I951">
        <v>360.20229999999998</v>
      </c>
      <c r="J951">
        <v>-280.5668</v>
      </c>
      <c r="K951">
        <v>1.0608900000000001</v>
      </c>
      <c r="L951">
        <v>367.66759999999999</v>
      </c>
      <c r="M951">
        <v>0.99955110000000003</v>
      </c>
      <c r="N951">
        <v>0</v>
      </c>
      <c r="O951">
        <v>-2.5728569999999999E-2</v>
      </c>
      <c r="P951">
        <v>0.99300480000000002</v>
      </c>
      <c r="Q951">
        <v>5.1386759999999997E-2</v>
      </c>
      <c r="R951">
        <v>-0.1063046</v>
      </c>
      <c r="S951">
        <v>2.9656980000000002</v>
      </c>
      <c r="T951">
        <v>-7.9410079999999994E-2</v>
      </c>
      <c r="U951">
        <v>-0.55975339999999996</v>
      </c>
      <c r="V951">
        <v>8.072559E-2</v>
      </c>
      <c r="W951">
        <v>6.6649879999999995E-2</v>
      </c>
      <c r="X951">
        <v>0.99450550000000004</v>
      </c>
      <c r="Y951">
        <v>0.16007489999999999</v>
      </c>
      <c r="Z951">
        <v>-1.441594E-3</v>
      </c>
      <c r="AA951">
        <v>0.98710379999999998</v>
      </c>
      <c r="AB951">
        <v>36</v>
      </c>
      <c r="AC951">
        <v>39.264699999999998</v>
      </c>
      <c r="AD951">
        <v>-1.060895829208</v>
      </c>
      <c r="AE951">
        <v>-7.4653000000000098</v>
      </c>
      <c r="AF951">
        <v>6.4479415466538699</v>
      </c>
      <c r="AG951">
        <v>-1.060895829208</v>
      </c>
      <c r="AH951">
        <v>39.416022082258998</v>
      </c>
      <c r="AI951">
        <v>91.521548731246696</v>
      </c>
      <c r="AJ951">
        <v>80.709456266552195</v>
      </c>
      <c r="AK951">
        <v>39.954026667391403</v>
      </c>
      <c r="AL951">
        <v>86.178410252201004</v>
      </c>
      <c r="AM951">
        <v>85.359384855456796</v>
      </c>
      <c r="AN951">
        <v>1.00000000845755</v>
      </c>
    </row>
    <row r="952" spans="1:40" x14ac:dyDescent="0.25">
      <c r="A952" t="str">
        <f>"20190312151004327"</f>
        <v>20190312151004327</v>
      </c>
      <c r="B952" t="str">
        <f>"1552374604321343"</f>
        <v>1552374604321343</v>
      </c>
      <c r="C952" t="s">
        <v>40</v>
      </c>
      <c r="D952">
        <v>5.157851</v>
      </c>
      <c r="E952">
        <v>0.53443339999999995</v>
      </c>
      <c r="F952" t="s">
        <v>42</v>
      </c>
      <c r="G952">
        <v>-246.2028</v>
      </c>
      <c r="H952" s="1">
        <v>-3.7792190000000001E-6</v>
      </c>
      <c r="I952">
        <v>360.83370000000002</v>
      </c>
      <c r="J952">
        <v>-280.38459999999998</v>
      </c>
      <c r="K952">
        <v>1.0612740000000001</v>
      </c>
      <c r="L952">
        <v>367.66289999999998</v>
      </c>
      <c r="M952">
        <v>0.9995484</v>
      </c>
      <c r="N952">
        <v>0</v>
      </c>
      <c r="O952">
        <v>-2.5725040000000001E-2</v>
      </c>
      <c r="P952">
        <v>0.99300809999999995</v>
      </c>
      <c r="Q952">
        <v>5.1345990000000001E-2</v>
      </c>
      <c r="R952">
        <v>-0.10629420000000001</v>
      </c>
      <c r="S952">
        <v>2.962799</v>
      </c>
      <c r="T952">
        <v>-9.146833E-2</v>
      </c>
      <c r="U952">
        <v>-0.58920289999999997</v>
      </c>
      <c r="V952">
        <v>8.0717559999999994E-2</v>
      </c>
      <c r="W952">
        <v>6.6804039999999995E-2</v>
      </c>
      <c r="X952">
        <v>0.99449580000000004</v>
      </c>
      <c r="Y952">
        <v>0.169683</v>
      </c>
      <c r="Z952">
        <v>-1.8074129999999999E-3</v>
      </c>
      <c r="AA952">
        <v>0.98549710000000001</v>
      </c>
      <c r="AB952">
        <v>35</v>
      </c>
      <c r="AC952">
        <v>34.181799999999903</v>
      </c>
      <c r="AD952">
        <v>-1.061277779219</v>
      </c>
      <c r="AE952">
        <v>-6.8291999999999504</v>
      </c>
      <c r="AF952">
        <v>5.9419970212977997</v>
      </c>
      <c r="AG952">
        <v>-1.061277779219</v>
      </c>
      <c r="AH952">
        <v>34.314378947629102</v>
      </c>
      <c r="AI952">
        <v>91.745523088536103</v>
      </c>
      <c r="AJ952">
        <v>80.175884731834998</v>
      </c>
      <c r="AK952">
        <v>34.841214698791298</v>
      </c>
      <c r="AL952">
        <v>86.169557773665503</v>
      </c>
      <c r="AM952">
        <v>85.359799393567798</v>
      </c>
      <c r="AN952">
        <v>1.0000000002351499</v>
      </c>
    </row>
    <row r="953" spans="1:40" x14ac:dyDescent="0.25">
      <c r="A953" t="str">
        <f>"20190312151004338"</f>
        <v>20190312151004338</v>
      </c>
      <c r="B953" t="str">
        <f>"1552374604332079"</f>
        <v>1552374604332079</v>
      </c>
      <c r="C953" t="s">
        <v>40</v>
      </c>
      <c r="D953">
        <v>5.1296860000000004</v>
      </c>
      <c r="E953">
        <v>0.53497079999999997</v>
      </c>
      <c r="F953" t="s">
        <v>42</v>
      </c>
      <c r="G953">
        <v>-247.6859</v>
      </c>
      <c r="H953" s="1">
        <v>-3.1389129999999999E-6</v>
      </c>
      <c r="I953">
        <v>361.09980000000002</v>
      </c>
      <c r="J953">
        <v>-280.2022</v>
      </c>
      <c r="K953">
        <v>1.061666</v>
      </c>
      <c r="L953">
        <v>367.65820000000002</v>
      </c>
      <c r="M953">
        <v>0.99954880000000002</v>
      </c>
      <c r="N953">
        <v>0</v>
      </c>
      <c r="O953">
        <v>-2.5719180000000001E-2</v>
      </c>
      <c r="P953">
        <v>0.99297000000000002</v>
      </c>
      <c r="Q953">
        <v>5.1764039999999997E-2</v>
      </c>
      <c r="R953">
        <v>-0.1064494</v>
      </c>
      <c r="S953">
        <v>2.9624630000000001</v>
      </c>
      <c r="T953">
        <v>-9.6150280000000005E-2</v>
      </c>
      <c r="U953">
        <v>-0.59460449999999998</v>
      </c>
      <c r="V953">
        <v>8.0878359999999996E-2</v>
      </c>
      <c r="W953">
        <v>6.7206059999999998E-2</v>
      </c>
      <c r="X953">
        <v>0.9944556</v>
      </c>
      <c r="Y953">
        <v>0.17143</v>
      </c>
      <c r="Z953">
        <v>-1.928014E-3</v>
      </c>
      <c r="AA953">
        <v>0.98519440000000003</v>
      </c>
      <c r="AB953">
        <v>35</v>
      </c>
      <c r="AC953">
        <v>32.516300000000001</v>
      </c>
      <c r="AD953">
        <v>-1.061669138913</v>
      </c>
      <c r="AE953">
        <v>-6.5583999999999998</v>
      </c>
      <c r="AF953">
        <v>5.7139835041232203</v>
      </c>
      <c r="AG953">
        <v>-1.061669138913</v>
      </c>
      <c r="AH953">
        <v>32.6408018461658</v>
      </c>
      <c r="AI953">
        <v>91.835050304737393</v>
      </c>
      <c r="AJ953">
        <v>80.070615250083094</v>
      </c>
      <c r="AK953">
        <v>33.154165560402397</v>
      </c>
      <c r="AL953">
        <v>86.1464716555694</v>
      </c>
      <c r="AM953">
        <v>85.350408866022605</v>
      </c>
      <c r="AN953">
        <v>0.99999995199418501</v>
      </c>
    </row>
    <row r="954" spans="1:40" x14ac:dyDescent="0.25">
      <c r="A954" t="str">
        <f>"20190312151004351"</f>
        <v>20190312151004351</v>
      </c>
      <c r="B954" t="str">
        <f>"1552374604341839"</f>
        <v>1552374604341839</v>
      </c>
      <c r="C954" t="s">
        <v>40</v>
      </c>
      <c r="D954">
        <v>5.2124269999999999</v>
      </c>
      <c r="E954">
        <v>0.53410249999999904</v>
      </c>
      <c r="F954" t="s">
        <v>42</v>
      </c>
      <c r="G954">
        <v>-248.00290000000001</v>
      </c>
      <c r="H954" s="1">
        <v>-3.006028E-6</v>
      </c>
      <c r="I954">
        <v>361.14170000000001</v>
      </c>
      <c r="J954">
        <v>-279.99630000000002</v>
      </c>
      <c r="K954">
        <v>1.062073</v>
      </c>
      <c r="L954">
        <v>367.65289999999999</v>
      </c>
      <c r="M954">
        <v>0.99956429999999996</v>
      </c>
      <c r="N954">
        <v>0</v>
      </c>
      <c r="O954">
        <v>-2.5700199999999999E-2</v>
      </c>
      <c r="P954">
        <v>0.99288790000000005</v>
      </c>
      <c r="Q954">
        <v>5.3013299999999999E-2</v>
      </c>
      <c r="R954">
        <v>-0.1066003</v>
      </c>
      <c r="S954">
        <v>2.9620359999999999</v>
      </c>
      <c r="T954">
        <v>-9.7663520000000004E-2</v>
      </c>
      <c r="U954">
        <v>-0.59945680000000001</v>
      </c>
      <c r="V954">
        <v>8.1049079999999996E-2</v>
      </c>
      <c r="W954">
        <v>6.746154E-2</v>
      </c>
      <c r="X954">
        <v>0.99442450000000004</v>
      </c>
      <c r="Y954">
        <v>0.17302409999999999</v>
      </c>
      <c r="Z954">
        <v>-1.9849490000000002E-3</v>
      </c>
      <c r="AA954">
        <v>0.9849156</v>
      </c>
      <c r="AB954">
        <v>35</v>
      </c>
      <c r="AC954">
        <v>31.993400000000001</v>
      </c>
      <c r="AD954">
        <v>-1.0620760060279999</v>
      </c>
      <c r="AE954">
        <v>-6.5111999999999703</v>
      </c>
      <c r="AF954">
        <v>5.6807141563334804</v>
      </c>
      <c r="AG954">
        <v>-1.0620760060279999</v>
      </c>
      <c r="AH954">
        <v>32.1162018408954</v>
      </c>
      <c r="AI954">
        <v>91.865137842957793</v>
      </c>
      <c r="AJ954">
        <v>79.969272029174107</v>
      </c>
      <c r="AK954">
        <v>32.632023220353297</v>
      </c>
      <c r="AL954">
        <v>86.131800810442996</v>
      </c>
      <c r="AM954">
        <v>85.340492486760297</v>
      </c>
      <c r="AN954">
        <v>1.0000000494741299</v>
      </c>
    </row>
    <row r="955" spans="1:40" x14ac:dyDescent="0.25">
      <c r="A955" t="str">
        <f>"20190312151004371"</f>
        <v>20190312151004371</v>
      </c>
      <c r="B955" t="str">
        <f>"1552374604361364"</f>
        <v>1552374604361364</v>
      </c>
      <c r="C955" t="s">
        <v>40</v>
      </c>
      <c r="D955">
        <v>5.1518300000000004</v>
      </c>
      <c r="E955">
        <v>0.53431379999999995</v>
      </c>
      <c r="F955" t="s">
        <v>42</v>
      </c>
      <c r="G955">
        <v>-246.5163</v>
      </c>
      <c r="H955" s="1">
        <v>-3.6274600000000002E-6</v>
      </c>
      <c r="I955">
        <v>360.95179999999999</v>
      </c>
      <c r="J955">
        <v>-279.69</v>
      </c>
      <c r="K955">
        <v>1.0628359999999999</v>
      </c>
      <c r="L955">
        <v>367.64499999999998</v>
      </c>
      <c r="M955">
        <v>0.99958939999999996</v>
      </c>
      <c r="N955">
        <v>0</v>
      </c>
      <c r="O955">
        <v>-2.5663149999999999E-2</v>
      </c>
      <c r="P955">
        <v>0.99275270000000004</v>
      </c>
      <c r="Q955">
        <v>5.4927190000000001E-2</v>
      </c>
      <c r="R955">
        <v>-0.1068875</v>
      </c>
      <c r="S955">
        <v>2.9628299999999999</v>
      </c>
      <c r="T955">
        <v>-9.3988779999999994E-2</v>
      </c>
      <c r="U955">
        <v>-0.59301759999999903</v>
      </c>
      <c r="V955">
        <v>8.1374349999999998E-2</v>
      </c>
      <c r="W955">
        <v>6.7608539999999995E-2</v>
      </c>
      <c r="X955">
        <v>0.99438789999999999</v>
      </c>
      <c r="Y955">
        <v>0.170959</v>
      </c>
      <c r="Z955">
        <v>-1.878953E-3</v>
      </c>
      <c r="AA955">
        <v>0.98527629999999999</v>
      </c>
      <c r="AB955">
        <v>35</v>
      </c>
      <c r="AC955">
        <v>33.173699999999997</v>
      </c>
      <c r="AD955">
        <v>-1.06283962746</v>
      </c>
      <c r="AE955">
        <v>-6.6931999999999903</v>
      </c>
      <c r="AF955">
        <v>5.8338303903674804</v>
      </c>
      <c r="AG955">
        <v>-1.06283962746</v>
      </c>
      <c r="AH955">
        <v>33.301708708413699</v>
      </c>
      <c r="AI955">
        <v>91.800599598910907</v>
      </c>
      <c r="AJ955">
        <v>80.063686155188407</v>
      </c>
      <c r="AK955">
        <v>33.8255378079538</v>
      </c>
      <c r="AL955">
        <v>86.123358856491507</v>
      </c>
      <c r="AM955">
        <v>85.321704142073202</v>
      </c>
      <c r="AN955">
        <v>0.99999999759263203</v>
      </c>
    </row>
    <row r="956" spans="1:40" x14ac:dyDescent="0.25">
      <c r="A956" t="str">
        <f>"20190312151004382"</f>
        <v>20190312151004382</v>
      </c>
      <c r="B956" t="str">
        <f>"1552374604372095"</f>
        <v>1552374604372095</v>
      </c>
      <c r="C956" t="s">
        <v>40</v>
      </c>
      <c r="D956">
        <v>5.068111</v>
      </c>
      <c r="E956">
        <v>0.53447789999999995</v>
      </c>
      <c r="F956" t="s">
        <v>42</v>
      </c>
      <c r="G956">
        <v>-248.3098</v>
      </c>
      <c r="H956" s="1">
        <v>-2.836329E-6</v>
      </c>
      <c r="I956">
        <v>361.3365</v>
      </c>
      <c r="J956">
        <v>-279.5052</v>
      </c>
      <c r="K956">
        <v>1.0634129999999999</v>
      </c>
      <c r="L956">
        <v>367.64030000000002</v>
      </c>
      <c r="M956">
        <v>0.99960389999999999</v>
      </c>
      <c r="N956">
        <v>0</v>
      </c>
      <c r="O956">
        <v>-2.5632700000000001E-2</v>
      </c>
      <c r="P956">
        <v>0.99264280000000005</v>
      </c>
      <c r="Q956">
        <v>5.6450489999999999E-2</v>
      </c>
      <c r="R956">
        <v>-0.107117</v>
      </c>
      <c r="S956">
        <v>2.9633180000000001</v>
      </c>
      <c r="T956">
        <v>-0.100367</v>
      </c>
      <c r="U956">
        <v>-0.59573359999999997</v>
      </c>
      <c r="V956">
        <v>8.1634960000000006E-2</v>
      </c>
      <c r="W956">
        <v>6.8016259999999995E-2</v>
      </c>
      <c r="X956">
        <v>0.99433879999999997</v>
      </c>
      <c r="Y956">
        <v>0.17181579999999999</v>
      </c>
      <c r="Z956">
        <v>-2.0212849999999998E-3</v>
      </c>
      <c r="AA956">
        <v>0.98512699999999997</v>
      </c>
      <c r="AB956">
        <v>35</v>
      </c>
      <c r="AC956">
        <v>31.195399999999999</v>
      </c>
      <c r="AD956">
        <v>-1.0634158363290001</v>
      </c>
      <c r="AE956">
        <v>-6.3038000000000203</v>
      </c>
      <c r="AF956">
        <v>5.4959161812273303</v>
      </c>
      <c r="AG956">
        <v>-1.0634158363290001</v>
      </c>
      <c r="AH956">
        <v>31.311784626197699</v>
      </c>
      <c r="AI956">
        <v>91.915874786381096</v>
      </c>
      <c r="AJ956">
        <v>80.044721208686894</v>
      </c>
      <c r="AK956">
        <v>31.808234851834001</v>
      </c>
      <c r="AL956">
        <v>86.099944581318098</v>
      </c>
      <c r="AM956">
        <v>85.306557511864597</v>
      </c>
      <c r="AN956">
        <v>1.0000000637520099</v>
      </c>
    </row>
    <row r="957" spans="1:40" x14ac:dyDescent="0.25">
      <c r="A957" t="str">
        <f>"20190312151004394"</f>
        <v>20190312151004394</v>
      </c>
      <c r="B957" t="str">
        <f>"1552374604381855"</f>
        <v>1552374604381855</v>
      </c>
      <c r="C957" t="s">
        <v>40</v>
      </c>
      <c r="D957">
        <v>5.1307589999999896</v>
      </c>
      <c r="E957">
        <v>0.53486999999999996</v>
      </c>
      <c r="F957" t="s">
        <v>42</v>
      </c>
      <c r="G957">
        <v>-246.8116</v>
      </c>
      <c r="H957" s="1">
        <v>-3.488432E-6</v>
      </c>
      <c r="I957">
        <v>361.048</v>
      </c>
      <c r="J957">
        <v>-279.31920000000002</v>
      </c>
      <c r="K957">
        <v>1.0641080000000001</v>
      </c>
      <c r="L957">
        <v>367.63549999999998</v>
      </c>
      <c r="M957">
        <v>0.99961699999999998</v>
      </c>
      <c r="N957">
        <v>0</v>
      </c>
      <c r="O957">
        <v>-2.55938E-2</v>
      </c>
      <c r="P957">
        <v>0.99252980000000002</v>
      </c>
      <c r="Q957">
        <v>5.7880229999999998E-2</v>
      </c>
      <c r="R957">
        <v>-0.1074012</v>
      </c>
      <c r="S957">
        <v>2.9632260000000001</v>
      </c>
      <c r="T957">
        <v>-9.6384049999999999E-2</v>
      </c>
      <c r="U957">
        <v>-0.59750369999999997</v>
      </c>
      <c r="V957">
        <v>8.1959019999999994E-2</v>
      </c>
      <c r="W957">
        <v>6.8371150000000006E-2</v>
      </c>
      <c r="X957">
        <v>0.9942877</v>
      </c>
      <c r="Y957">
        <v>0.1724318</v>
      </c>
      <c r="Z957">
        <v>-1.9522389999999999E-3</v>
      </c>
      <c r="AA957">
        <v>0.98501950000000005</v>
      </c>
      <c r="AB957">
        <v>35</v>
      </c>
      <c r="AC957">
        <v>32.507599999999996</v>
      </c>
      <c r="AD957">
        <v>-1.064111488432</v>
      </c>
      <c r="AE957">
        <v>-6.5874999999999702</v>
      </c>
      <c r="AF957">
        <v>5.7473871707674302</v>
      </c>
      <c r="AG957">
        <v>-1.064111488432</v>
      </c>
      <c r="AH957">
        <v>32.631971742691199</v>
      </c>
      <c r="AI957">
        <v>91.839430884170397</v>
      </c>
      <c r="AJ957">
        <v>80.011085878315797</v>
      </c>
      <c r="AK957">
        <v>33.151325348563503</v>
      </c>
      <c r="AL957">
        <v>86.079563041427093</v>
      </c>
      <c r="AM957">
        <v>85.287768968251896</v>
      </c>
      <c r="AN957">
        <v>0.99999996274148495</v>
      </c>
    </row>
    <row r="958" spans="1:40" x14ac:dyDescent="0.25">
      <c r="A958" t="str">
        <f>"20190312151004406"</f>
        <v>20190312151004406</v>
      </c>
      <c r="B958" t="str">
        <f>"1552374604401375"</f>
        <v>1552374604401375</v>
      </c>
      <c r="C958" t="s">
        <v>40</v>
      </c>
      <c r="D958">
        <v>5.0873749999999998</v>
      </c>
      <c r="E958">
        <v>0.53532360000000001</v>
      </c>
      <c r="F958" t="s">
        <v>42</v>
      </c>
      <c r="G958">
        <v>-244.72210000000001</v>
      </c>
      <c r="H958" s="1">
        <v>-4.4069869999999998E-6</v>
      </c>
      <c r="I958">
        <v>360.61149999999998</v>
      </c>
      <c r="J958">
        <v>-279.13929999999999</v>
      </c>
      <c r="K958">
        <v>1.0648599999999999</v>
      </c>
      <c r="L958">
        <v>367.63099999999997</v>
      </c>
      <c r="M958">
        <v>0.99962799999999996</v>
      </c>
      <c r="N958">
        <v>0</v>
      </c>
      <c r="O958">
        <v>-2.5542990000000002E-2</v>
      </c>
      <c r="P958">
        <v>0.99246999999999996</v>
      </c>
      <c r="Q958">
        <v>5.90626E-2</v>
      </c>
      <c r="R958">
        <v>-0.107308</v>
      </c>
      <c r="S958">
        <v>2.96286</v>
      </c>
      <c r="T958">
        <v>-9.1129539999999995E-2</v>
      </c>
      <c r="U958">
        <v>-0.60153199999999996</v>
      </c>
      <c r="V958">
        <v>8.1916180000000005E-2</v>
      </c>
      <c r="W958">
        <v>6.8584729999999997E-2</v>
      </c>
      <c r="X958">
        <v>0.99427659999999995</v>
      </c>
      <c r="Y958">
        <v>0.17379929999999999</v>
      </c>
      <c r="Z958">
        <v>-1.868207E-3</v>
      </c>
      <c r="AA958">
        <v>0.98477930000000002</v>
      </c>
      <c r="AB958">
        <v>35</v>
      </c>
      <c r="AC958">
        <v>34.417199999999902</v>
      </c>
      <c r="AD958">
        <v>-1.0648644069869999</v>
      </c>
      <c r="AE958">
        <v>-7.0194999999999901</v>
      </c>
      <c r="AF958">
        <v>6.1324151394222097</v>
      </c>
      <c r="AG958">
        <v>-1.0648644069869999</v>
      </c>
      <c r="AH958">
        <v>34.553520382640201</v>
      </c>
      <c r="AI958">
        <v>91.738030041200204</v>
      </c>
      <c r="AJ958">
        <v>79.936172502006301</v>
      </c>
      <c r="AK958">
        <v>35.109631477431002</v>
      </c>
      <c r="AL958">
        <v>86.067297325770198</v>
      </c>
      <c r="AM958">
        <v>85.290168626320096</v>
      </c>
      <c r="AN958">
        <v>1.00000004152126</v>
      </c>
    </row>
    <row r="959" spans="1:40" x14ac:dyDescent="0.25">
      <c r="A959" t="str">
        <f>"20190312151004417"</f>
        <v>20190312151004417</v>
      </c>
      <c r="B959" t="str">
        <f>"1552374604412112"</f>
        <v>1552374604412112</v>
      </c>
      <c r="C959" t="s">
        <v>40</v>
      </c>
      <c r="D959">
        <v>5.1092399999999998</v>
      </c>
      <c r="E959">
        <v>0.53551260000000001</v>
      </c>
      <c r="F959" t="s">
        <v>42</v>
      </c>
      <c r="G959">
        <v>-244.44309999999999</v>
      </c>
      <c r="H959" s="1">
        <v>-4.5309260000000004E-6</v>
      </c>
      <c r="I959">
        <v>360.54829999999998</v>
      </c>
      <c r="J959">
        <v>-278.94979999999998</v>
      </c>
      <c r="K959">
        <v>1.065693</v>
      </c>
      <c r="L959">
        <v>367.62619999999998</v>
      </c>
      <c r="M959">
        <v>0.99963860000000004</v>
      </c>
      <c r="N959">
        <v>0</v>
      </c>
      <c r="O959">
        <v>-2.5483510000000001E-2</v>
      </c>
      <c r="P959">
        <v>0.99233059999999995</v>
      </c>
      <c r="Q959">
        <v>6.0160190000000002E-2</v>
      </c>
      <c r="R959">
        <v>-0.1079881</v>
      </c>
      <c r="S959">
        <v>2.9627690000000002</v>
      </c>
      <c r="T959">
        <v>-9.0930460000000005E-2</v>
      </c>
      <c r="U959">
        <v>-0.60479740000000004</v>
      </c>
      <c r="V959">
        <v>8.2656460000000001E-2</v>
      </c>
      <c r="W959">
        <v>6.8691310000000005E-2</v>
      </c>
      <c r="X959">
        <v>0.99420790000000003</v>
      </c>
      <c r="Y959">
        <v>0.1749059</v>
      </c>
      <c r="Z959">
        <v>-1.882599E-3</v>
      </c>
      <c r="AA959">
        <v>0.98458330000000005</v>
      </c>
      <c r="AB959">
        <v>35</v>
      </c>
      <c r="AC959">
        <v>34.506699999999903</v>
      </c>
      <c r="AD959">
        <v>-1.0656975309259999</v>
      </c>
      <c r="AE959">
        <v>-7.0778999999999996</v>
      </c>
      <c r="AF959">
        <v>6.1905509793376403</v>
      </c>
      <c r="AG959">
        <v>-1.0656975309259999</v>
      </c>
      <c r="AH959">
        <v>34.644159452378801</v>
      </c>
      <c r="AI959">
        <v>91.734477844221999</v>
      </c>
      <c r="AJ959">
        <v>79.868767010882806</v>
      </c>
      <c r="AK959">
        <v>35.209038851082703</v>
      </c>
      <c r="AL959">
        <v>86.061176013943495</v>
      </c>
      <c r="AM959">
        <v>85.247472873146094</v>
      </c>
      <c r="AN959">
        <v>0.99999996743582797</v>
      </c>
    </row>
    <row r="960" spans="1:40" x14ac:dyDescent="0.25">
      <c r="A960" t="str">
        <f>"20190312151004430"</f>
        <v>20190312151004430</v>
      </c>
      <c r="B960" t="str">
        <f>"1552374604421871"</f>
        <v>1552374604421871</v>
      </c>
      <c r="C960" t="s">
        <v>40</v>
      </c>
      <c r="D960">
        <v>5.13673</v>
      </c>
      <c r="E960">
        <v>0.53595219999999999</v>
      </c>
      <c r="F960" t="s">
        <v>42</v>
      </c>
      <c r="G960">
        <v>-243.26779999999999</v>
      </c>
      <c r="H960" s="1">
        <v>-5.0481580000000003E-6</v>
      </c>
      <c r="I960">
        <v>360.30070000000001</v>
      </c>
      <c r="J960">
        <v>-278.75330000000002</v>
      </c>
      <c r="K960">
        <v>1.06661299999999</v>
      </c>
      <c r="L960">
        <v>367.62130000000002</v>
      </c>
      <c r="M960">
        <v>0.99964869999999995</v>
      </c>
      <c r="N960">
        <v>0</v>
      </c>
      <c r="O960">
        <v>-2.539574E-2</v>
      </c>
      <c r="P960">
        <v>0.99222549999999998</v>
      </c>
      <c r="Q960">
        <v>6.1686060000000001E-2</v>
      </c>
      <c r="R960">
        <v>-0.1080899</v>
      </c>
      <c r="S960">
        <v>2.962402</v>
      </c>
      <c r="T960">
        <v>-8.8476780000000005E-2</v>
      </c>
      <c r="U960">
        <v>-0.60818479999999997</v>
      </c>
      <c r="V960">
        <v>8.2845619999999995E-2</v>
      </c>
      <c r="W960">
        <v>6.9242639999999994E-2</v>
      </c>
      <c r="X960">
        <v>0.99415390000000003</v>
      </c>
      <c r="Y960">
        <v>0.1760999</v>
      </c>
      <c r="Z960">
        <v>-1.852076E-3</v>
      </c>
      <c r="AA960">
        <v>0.98437050000000004</v>
      </c>
      <c r="AB960">
        <v>35</v>
      </c>
      <c r="AC960">
        <v>35.485500000000002</v>
      </c>
      <c r="AD960">
        <v>-1.0666180481580001</v>
      </c>
      <c r="AE960">
        <v>-7.3206000000000104</v>
      </c>
      <c r="AF960">
        <v>6.4114761969453502</v>
      </c>
      <c r="AG960">
        <v>-1.0666180481580001</v>
      </c>
      <c r="AH960">
        <v>35.629095887395501</v>
      </c>
      <c r="AI960">
        <v>91.687644157399802</v>
      </c>
      <c r="AJ960">
        <v>79.798769421070901</v>
      </c>
      <c r="AK960">
        <v>36.217084018980202</v>
      </c>
      <c r="AL960">
        <v>86.029511700077705</v>
      </c>
      <c r="AM960">
        <v>85.236389120912193</v>
      </c>
      <c r="AN960">
        <v>0.99999995841628098</v>
      </c>
    </row>
    <row r="961" spans="1:40" x14ac:dyDescent="0.25">
      <c r="A961" t="str">
        <f>"20190312151004441"</f>
        <v>20190312151004441</v>
      </c>
      <c r="B961" t="str">
        <f>"1552374604431632"</f>
        <v>1552374604431632</v>
      </c>
      <c r="C961" t="s">
        <v>40</v>
      </c>
      <c r="D961">
        <v>5.2084000000000001</v>
      </c>
      <c r="E961">
        <v>0.5356206</v>
      </c>
      <c r="F961" t="s">
        <v>42</v>
      </c>
      <c r="G961">
        <v>-241.76589999999999</v>
      </c>
      <c r="H961" s="1">
        <v>-5.7100889999999997E-6</v>
      </c>
      <c r="I961">
        <v>359.98050000000001</v>
      </c>
      <c r="J961">
        <v>-278.57830000000001</v>
      </c>
      <c r="K961">
        <v>1.067477</v>
      </c>
      <c r="L961">
        <v>367.61689999999999</v>
      </c>
      <c r="M961">
        <v>0.99965610000000005</v>
      </c>
      <c r="N961">
        <v>0</v>
      </c>
      <c r="O961">
        <v>-2.53087E-2</v>
      </c>
      <c r="P961">
        <v>0.99215699999999996</v>
      </c>
      <c r="Q961">
        <v>6.2501429999999997E-2</v>
      </c>
      <c r="R961">
        <v>-0.1082504</v>
      </c>
      <c r="S961">
        <v>2.9621279999999999</v>
      </c>
      <c r="T961">
        <v>-8.5419889999999998E-2</v>
      </c>
      <c r="U961">
        <v>-0.61190800000000001</v>
      </c>
      <c r="V961">
        <v>8.3091680000000001E-2</v>
      </c>
      <c r="W961">
        <v>6.9336819999999993E-2</v>
      </c>
      <c r="X961">
        <v>0.99412690000000004</v>
      </c>
      <c r="Y961">
        <v>0.1773943</v>
      </c>
      <c r="Z961">
        <v>-1.809001E-3</v>
      </c>
      <c r="AA961">
        <v>0.98413819999999996</v>
      </c>
      <c r="AB961">
        <v>35</v>
      </c>
      <c r="AC961">
        <v>36.812399999999997</v>
      </c>
      <c r="AD961">
        <v>-1.0674827100890001</v>
      </c>
      <c r="AE961">
        <v>-7.6363999999999796</v>
      </c>
      <c r="AF961">
        <v>6.69685894455018</v>
      </c>
      <c r="AG961">
        <v>-1.0674827100890001</v>
      </c>
      <c r="AH961">
        <v>36.964079771615701</v>
      </c>
      <c r="AI961">
        <v>91.6276975530307</v>
      </c>
      <c r="AJ961">
        <v>79.730992313817495</v>
      </c>
      <c r="AK961">
        <v>37.580987645642203</v>
      </c>
      <c r="AL961">
        <v>86.024102977918503</v>
      </c>
      <c r="AM961">
        <v>85.222176946323998</v>
      </c>
      <c r="AN961">
        <v>1.0000000575982699</v>
      </c>
    </row>
    <row r="962" spans="1:40" x14ac:dyDescent="0.25">
      <c r="A962" t="str">
        <f>"20190312151004453"</f>
        <v>20190312151004453</v>
      </c>
      <c r="B962" t="str">
        <f>"1552374604441391"</f>
        <v>1552374604441391</v>
      </c>
      <c r="C962" t="s">
        <v>40</v>
      </c>
      <c r="D962">
        <v>5.0935569999999997</v>
      </c>
      <c r="E962">
        <v>0.53585150000000004</v>
      </c>
      <c r="F962" t="s">
        <v>42</v>
      </c>
      <c r="G962">
        <v>-240.54230000000001</v>
      </c>
      <c r="H962" s="1">
        <v>-6.2309309999999997E-6</v>
      </c>
      <c r="I962">
        <v>359.78890000000001</v>
      </c>
      <c r="J962">
        <v>-278.39080000000001</v>
      </c>
      <c r="K962">
        <v>1.068492</v>
      </c>
      <c r="L962">
        <v>367.61219999999997</v>
      </c>
      <c r="M962">
        <v>0.99966219999999995</v>
      </c>
      <c r="N962">
        <v>0</v>
      </c>
      <c r="O962">
        <v>-2.5198479999999999E-2</v>
      </c>
      <c r="P962">
        <v>0.99205540000000003</v>
      </c>
      <c r="Q962">
        <v>6.3596089999999994E-2</v>
      </c>
      <c r="R962">
        <v>-0.1085441</v>
      </c>
      <c r="S962">
        <v>2.9624329999999999</v>
      </c>
      <c r="T962">
        <v>-8.3141090000000001E-2</v>
      </c>
      <c r="U962">
        <v>-0.60968020000000001</v>
      </c>
      <c r="V962">
        <v>8.349463E-2</v>
      </c>
      <c r="W962">
        <v>6.9959489999999999E-2</v>
      </c>
      <c r="X962">
        <v>0.99404939999999997</v>
      </c>
      <c r="Y962">
        <v>0.1767763</v>
      </c>
      <c r="Z962">
        <v>-1.7551909999999999E-3</v>
      </c>
      <c r="AA962">
        <v>0.9842495</v>
      </c>
      <c r="AB962">
        <v>35</v>
      </c>
      <c r="AC962">
        <v>37.848500000000001</v>
      </c>
      <c r="AD962">
        <v>-1.068498230931</v>
      </c>
      <c r="AE962">
        <v>-7.8232999999999597</v>
      </c>
      <c r="AF962">
        <v>6.8618270609280101</v>
      </c>
      <c r="AG962">
        <v>-1.068498230931</v>
      </c>
      <c r="AH962">
        <v>38.004572656446499</v>
      </c>
      <c r="AI962">
        <v>91.584834438361597</v>
      </c>
      <c r="AJ962">
        <v>79.7653573535882</v>
      </c>
      <c r="AK962">
        <v>38.633843995682199</v>
      </c>
      <c r="AL962">
        <v>85.988339323484794</v>
      </c>
      <c r="AM962">
        <v>85.198742564110404</v>
      </c>
      <c r="AN962">
        <v>0.99999994656012703</v>
      </c>
    </row>
    <row r="963" spans="1:40" x14ac:dyDescent="0.25">
      <c r="A963" t="str">
        <f>"20190312151004466"</f>
        <v>20190312151004466</v>
      </c>
      <c r="B963" t="str">
        <f>"1552374604461888"</f>
        <v>1552374604461888</v>
      </c>
      <c r="C963" t="s">
        <v>40</v>
      </c>
      <c r="D963">
        <v>5.081143</v>
      </c>
      <c r="E963">
        <v>0.53631249999999997</v>
      </c>
      <c r="F963" t="s">
        <v>42</v>
      </c>
      <c r="G963">
        <v>-239.7268</v>
      </c>
      <c r="H963">
        <v>1.5093560000000001E-2</v>
      </c>
      <c r="I963">
        <v>359.6164</v>
      </c>
      <c r="J963">
        <v>-278.19850000000002</v>
      </c>
      <c r="K963">
        <v>1.0697299999999901</v>
      </c>
      <c r="L963">
        <v>367.60750000000002</v>
      </c>
      <c r="M963">
        <v>0.99966650000000001</v>
      </c>
      <c r="N963">
        <v>0</v>
      </c>
      <c r="O963">
        <v>-2.5069379999999999E-2</v>
      </c>
      <c r="P963">
        <v>0.99202179999999995</v>
      </c>
      <c r="Q963">
        <v>6.3913789999999998E-2</v>
      </c>
      <c r="R963">
        <v>-0.1086654</v>
      </c>
      <c r="S963">
        <v>2.9621580000000001</v>
      </c>
      <c r="T963">
        <v>-8.0703620000000004E-2</v>
      </c>
      <c r="U963">
        <v>-0.61257930000000005</v>
      </c>
      <c r="V963">
        <v>8.3742150000000001E-2</v>
      </c>
      <c r="W963">
        <v>7.0122649999999995E-2</v>
      </c>
      <c r="X963">
        <v>0.99401709999999999</v>
      </c>
      <c r="Y963">
        <v>0.17784820000000001</v>
      </c>
      <c r="Z963">
        <v>-1.7216639999999999E-3</v>
      </c>
      <c r="AA963">
        <v>0.98405640000000005</v>
      </c>
      <c r="AB963">
        <v>35</v>
      </c>
      <c r="AC963">
        <v>38.471699999999998</v>
      </c>
      <c r="AD963">
        <v>-1.0546364399999999</v>
      </c>
      <c r="AE963">
        <v>-7.9911000000000101</v>
      </c>
      <c r="AF963">
        <v>7.0190516421791402</v>
      </c>
      <c r="AG963">
        <v>-1.0546364399999999</v>
      </c>
      <c r="AH963">
        <v>38.632113320821603</v>
      </c>
      <c r="AI963">
        <v>91.538579843667193</v>
      </c>
      <c r="AJ963">
        <v>79.702287397994596</v>
      </c>
      <c r="AK963">
        <v>39.278741369969602</v>
      </c>
      <c r="AL963">
        <v>85.978968000355096</v>
      </c>
      <c r="AM963">
        <v>85.184420320759401</v>
      </c>
      <c r="AN963">
        <v>0.99999996441102601</v>
      </c>
    </row>
    <row r="964" spans="1:40" x14ac:dyDescent="0.25">
      <c r="A964" t="str">
        <f>"20190312151004480"</f>
        <v>20190312151004480</v>
      </c>
      <c r="B964" t="str">
        <f>"1552374604471647"</f>
        <v>1552374604471647</v>
      </c>
      <c r="C964" t="s">
        <v>40</v>
      </c>
      <c r="D964">
        <v>5.7542900000000001</v>
      </c>
      <c r="E964">
        <v>0.53610500000000005</v>
      </c>
      <c r="F964" t="s">
        <v>42</v>
      </c>
      <c r="G964">
        <v>-239.8048</v>
      </c>
      <c r="H964">
        <v>2.4979700000000001E-2</v>
      </c>
      <c r="I964">
        <v>359.6164</v>
      </c>
      <c r="J964">
        <v>-277.98399999999998</v>
      </c>
      <c r="K964">
        <v>1.0712520000000001</v>
      </c>
      <c r="L964">
        <v>367.60219999999998</v>
      </c>
      <c r="M964">
        <v>0.99967030000000001</v>
      </c>
      <c r="N964">
        <v>0</v>
      </c>
      <c r="O964">
        <v>-2.4913129999999999E-2</v>
      </c>
      <c r="P964">
        <v>0.991954</v>
      </c>
      <c r="Q964">
        <v>6.4194139999999997E-2</v>
      </c>
      <c r="R964">
        <v>-0.1091184</v>
      </c>
      <c r="S964">
        <v>2.9618229999999999</v>
      </c>
      <c r="T964">
        <v>-8.0595490000000006E-2</v>
      </c>
      <c r="U964">
        <v>-0.61645509999999903</v>
      </c>
      <c r="V964">
        <v>8.4348839999999994E-2</v>
      </c>
      <c r="W964">
        <v>7.0425650000000006E-2</v>
      </c>
      <c r="X964">
        <v>0.99394439999999995</v>
      </c>
      <c r="Y964">
        <v>0.1792581</v>
      </c>
      <c r="Z964">
        <v>-1.7424999999999999E-3</v>
      </c>
      <c r="AA964">
        <v>0.98380049999999997</v>
      </c>
      <c r="AB964">
        <v>35</v>
      </c>
      <c r="AC964">
        <v>38.179200000000002</v>
      </c>
      <c r="AD964">
        <v>-1.0462723</v>
      </c>
      <c r="AE964">
        <v>-7.9857999999999798</v>
      </c>
      <c r="AF964">
        <v>7.0270834430513602</v>
      </c>
      <c r="AG964">
        <v>-1.0462723</v>
      </c>
      <c r="AH964">
        <v>38.338719354881697</v>
      </c>
      <c r="AI964">
        <v>91.537624444127104</v>
      </c>
      <c r="AJ964">
        <v>79.613573819387895</v>
      </c>
      <c r="AK964">
        <v>38.991434818607701</v>
      </c>
      <c r="AL964">
        <v>85.961564433535102</v>
      </c>
      <c r="AM964">
        <v>85.149345474347797</v>
      </c>
      <c r="AN964">
        <v>0.99999998463931306</v>
      </c>
    </row>
    <row r="965" spans="1:40" x14ac:dyDescent="0.25">
      <c r="A965" t="str">
        <f>"20190312151004494"</f>
        <v>20190312151004494</v>
      </c>
      <c r="B965" t="str">
        <f>"1552374604481407"</f>
        <v>1552374604481407</v>
      </c>
      <c r="C965" t="s">
        <v>40</v>
      </c>
      <c r="D965">
        <v>5.1807930000000004</v>
      </c>
      <c r="E965">
        <v>0.53581889999999999</v>
      </c>
      <c r="F965" t="s">
        <v>42</v>
      </c>
      <c r="G965">
        <v>-239.60319999999999</v>
      </c>
      <c r="H965">
        <v>3.6143660000000001E-2</v>
      </c>
      <c r="I965">
        <v>359.6164</v>
      </c>
      <c r="J965">
        <v>-277.75959999999998</v>
      </c>
      <c r="K965">
        <v>1.0730280000000001</v>
      </c>
      <c r="L965">
        <v>367.59679999999997</v>
      </c>
      <c r="M965">
        <v>0.99967430000000002</v>
      </c>
      <c r="N965">
        <v>0</v>
      </c>
      <c r="O965">
        <v>-2.4728409999999999E-2</v>
      </c>
      <c r="P965">
        <v>0.99187309999999995</v>
      </c>
      <c r="Q965">
        <v>6.3964740000000006E-2</v>
      </c>
      <c r="R965">
        <v>-0.1099831</v>
      </c>
      <c r="S965">
        <v>2.9617610000000001</v>
      </c>
      <c r="T965">
        <v>-7.9876779999999994E-2</v>
      </c>
      <c r="U965">
        <v>-0.6162415</v>
      </c>
      <c r="V965">
        <v>8.5395310000000002E-2</v>
      </c>
      <c r="W965">
        <v>7.0272970000000004E-2</v>
      </c>
      <c r="X965">
        <v>0.99386580000000002</v>
      </c>
      <c r="Y965">
        <v>0.179376799999999</v>
      </c>
      <c r="Z965">
        <v>-1.733519E-3</v>
      </c>
      <c r="AA965">
        <v>0.98377890000000001</v>
      </c>
      <c r="AB965">
        <v>35</v>
      </c>
      <c r="AC965">
        <v>38.156399999999898</v>
      </c>
      <c r="AD965">
        <v>-1.0368843400000001</v>
      </c>
      <c r="AE965">
        <v>-7.9803999999999702</v>
      </c>
      <c r="AF965">
        <v>7.0294202863291604</v>
      </c>
      <c r="AG965">
        <v>-1.0368843400000001</v>
      </c>
      <c r="AH965">
        <v>38.314969882920998</v>
      </c>
      <c r="AI965">
        <v>91.524731120640098</v>
      </c>
      <c r="AJ965">
        <v>79.603895319559697</v>
      </c>
      <c r="AK965">
        <v>38.968253692275397</v>
      </c>
      <c r="AL965">
        <v>85.9703338959782</v>
      </c>
      <c r="AM965">
        <v>85.089072072264599</v>
      </c>
      <c r="AN965">
        <v>0.99999993884612604</v>
      </c>
    </row>
    <row r="966" spans="1:40" x14ac:dyDescent="0.25">
      <c r="A966" t="str">
        <f>"20190312151004516"</f>
        <v>20190312151004516</v>
      </c>
      <c r="B966" t="str">
        <f>"1552374604511663"</f>
        <v>1552374604511663</v>
      </c>
      <c r="C966" t="s">
        <v>40</v>
      </c>
      <c r="D966">
        <v>5.1655379999999997</v>
      </c>
      <c r="E966">
        <v>0.53528609999999999</v>
      </c>
      <c r="F966" t="s">
        <v>42</v>
      </c>
      <c r="G966">
        <v>-239.4221</v>
      </c>
      <c r="H966">
        <v>2.569368E-2</v>
      </c>
      <c r="I966">
        <v>359.6164</v>
      </c>
      <c r="J966">
        <v>-277.41980000000001</v>
      </c>
      <c r="K966">
        <v>1.0758289999999999</v>
      </c>
      <c r="L966">
        <v>367.58870000000002</v>
      </c>
      <c r="M966">
        <v>0.99968319999999999</v>
      </c>
      <c r="N966">
        <v>0</v>
      </c>
      <c r="O966">
        <v>-2.440875E-2</v>
      </c>
      <c r="P966">
        <v>0.9918536</v>
      </c>
      <c r="Q966">
        <v>6.3741179999999995E-2</v>
      </c>
      <c r="R966">
        <v>-0.11029</v>
      </c>
      <c r="S966">
        <v>2.9614560000000001</v>
      </c>
      <c r="T966">
        <v>-8.0903290000000003E-2</v>
      </c>
      <c r="U966">
        <v>-0.61645509999999903</v>
      </c>
      <c r="V966">
        <v>8.6015060000000004E-2</v>
      </c>
      <c r="W966">
        <v>6.9908600000000001E-2</v>
      </c>
      <c r="X966">
        <v>0.99383809999999995</v>
      </c>
      <c r="Y966">
        <v>0.17977789999999999</v>
      </c>
      <c r="Z966">
        <v>-1.7700000000000001E-3</v>
      </c>
      <c r="AA966">
        <v>0.98370559999999996</v>
      </c>
      <c r="AB966">
        <v>35</v>
      </c>
      <c r="AC966">
        <v>37.997700000000002</v>
      </c>
      <c r="AD966">
        <v>-1.0501353200000001</v>
      </c>
      <c r="AE966">
        <v>-7.9723000000000104</v>
      </c>
      <c r="AF966">
        <v>7.0372824145545101</v>
      </c>
      <c r="AG966">
        <v>-1.0501353200000001</v>
      </c>
      <c r="AH966">
        <v>38.153063814217099</v>
      </c>
      <c r="AI966">
        <v>91.550485479665696</v>
      </c>
      <c r="AJ966">
        <v>79.549327614543699</v>
      </c>
      <c r="AK966">
        <v>38.810854234147399</v>
      </c>
      <c r="AL966">
        <v>85.991262420520499</v>
      </c>
      <c r="AM966">
        <v>85.053470395121195</v>
      </c>
      <c r="AN966">
        <v>0.999999985956186</v>
      </c>
    </row>
    <row r="967" spans="1:40" x14ac:dyDescent="0.25">
      <c r="A967" t="str">
        <f>"20190312151004528"</f>
        <v>20190312151004528</v>
      </c>
      <c r="B967" t="str">
        <f>"1552374604521424"</f>
        <v>1552374604521424</v>
      </c>
      <c r="C967" t="s">
        <v>40</v>
      </c>
      <c r="D967">
        <v>5.0871589999999998</v>
      </c>
      <c r="E967">
        <v>0.5351669</v>
      </c>
      <c r="F967" t="s">
        <v>42</v>
      </c>
      <c r="G967">
        <v>-238.9161</v>
      </c>
      <c r="H967">
        <v>1.1175559999999999E-2</v>
      </c>
      <c r="I967">
        <v>359.6164</v>
      </c>
      <c r="J967">
        <v>-277.23320000000001</v>
      </c>
      <c r="K967">
        <v>1.0774379999999999</v>
      </c>
      <c r="L967">
        <v>367.58429999999998</v>
      </c>
      <c r="M967">
        <v>0.99968869999999999</v>
      </c>
      <c r="N967">
        <v>0</v>
      </c>
      <c r="O967">
        <v>-2.4213160000000001E-2</v>
      </c>
      <c r="P967">
        <v>0.9918169</v>
      </c>
      <c r="Q967">
        <v>6.3864560000000001E-2</v>
      </c>
      <c r="R967">
        <v>-0.11054890000000001</v>
      </c>
      <c r="S967">
        <v>2.9617</v>
      </c>
      <c r="T967">
        <v>-8.1892850000000003E-2</v>
      </c>
      <c r="U967">
        <v>-0.61322019999999899</v>
      </c>
      <c r="V967">
        <v>8.6466299999999996E-2</v>
      </c>
      <c r="W967">
        <v>6.9913829999999996E-2</v>
      </c>
      <c r="X967">
        <v>0.99379859999999998</v>
      </c>
      <c r="Y967">
        <v>0.178923</v>
      </c>
      <c r="Z967">
        <v>-1.785341E-3</v>
      </c>
      <c r="AA967">
        <v>0.9838614</v>
      </c>
      <c r="AB967">
        <v>35</v>
      </c>
      <c r="AC967">
        <v>38.317100000000003</v>
      </c>
      <c r="AD967">
        <v>-1.06626243999999</v>
      </c>
      <c r="AE967">
        <v>-7.9678999999999798</v>
      </c>
      <c r="AF967">
        <v>7.0325489923379196</v>
      </c>
      <c r="AG967">
        <v>-1.06626243999999</v>
      </c>
      <c r="AH967">
        <v>38.470242207160901</v>
      </c>
      <c r="AI967">
        <v>91.561767246175407</v>
      </c>
      <c r="AJ967">
        <v>79.640437069302706</v>
      </c>
      <c r="AK967">
        <v>39.122285163295501</v>
      </c>
      <c r="AL967">
        <v>85.990962129207503</v>
      </c>
      <c r="AM967">
        <v>85.027453730955202</v>
      </c>
      <c r="AN967">
        <v>1.00000001101145</v>
      </c>
    </row>
    <row r="968" spans="1:40" x14ac:dyDescent="0.25">
      <c r="A968" t="str">
        <f>"20190312151004549"</f>
        <v>20190312151004549</v>
      </c>
      <c r="B968" t="str">
        <f>"1552374604541919"</f>
        <v>1552374604541919</v>
      </c>
      <c r="C968" t="s">
        <v>40</v>
      </c>
      <c r="D968">
        <v>5.0194769999999904</v>
      </c>
      <c r="E968">
        <v>0.53570399999999996</v>
      </c>
      <c r="F968" t="s">
        <v>42</v>
      </c>
      <c r="G968">
        <v>-238.74690000000001</v>
      </c>
      <c r="H968">
        <v>1.0138039999999999E-2</v>
      </c>
      <c r="I968">
        <v>359.6164</v>
      </c>
      <c r="J968">
        <v>-276.89670000000001</v>
      </c>
      <c r="K968">
        <v>1.080408</v>
      </c>
      <c r="L968">
        <v>367.57639999999998</v>
      </c>
      <c r="M968">
        <v>0.99969830000000004</v>
      </c>
      <c r="N968">
        <v>0</v>
      </c>
      <c r="O968">
        <v>-2.384234E-2</v>
      </c>
      <c r="P968">
        <v>0.99180789999999996</v>
      </c>
      <c r="Q968">
        <v>6.405197E-2</v>
      </c>
      <c r="R968">
        <v>-0.1105202</v>
      </c>
      <c r="S968">
        <v>2.9617</v>
      </c>
      <c r="T968">
        <v>-8.2133529999999996E-2</v>
      </c>
      <c r="U968">
        <v>-0.61315920000000002</v>
      </c>
      <c r="V968">
        <v>8.6801340000000005E-2</v>
      </c>
      <c r="W968">
        <v>6.9974239999999993E-2</v>
      </c>
      <c r="X968">
        <v>0.99376509999999996</v>
      </c>
      <c r="Y968">
        <v>0.17926789999999901</v>
      </c>
      <c r="Z968">
        <v>-1.8054810000000001E-3</v>
      </c>
      <c r="AA968">
        <v>0.98379859999999997</v>
      </c>
      <c r="AB968">
        <v>35</v>
      </c>
      <c r="AC968">
        <v>38.149799999999999</v>
      </c>
      <c r="AD968">
        <v>-1.0702699600000001</v>
      </c>
      <c r="AE968">
        <v>-7.9599999999999698</v>
      </c>
      <c r="AF968">
        <v>7.0428289815784098</v>
      </c>
      <c r="AG968">
        <v>-1.0702699600000001</v>
      </c>
      <c r="AH968">
        <v>38.2998568353241</v>
      </c>
      <c r="AI968">
        <v>91.574302714507198</v>
      </c>
      <c r="AJ968">
        <v>79.580478302461998</v>
      </c>
      <c r="AK968">
        <v>38.956718951387103</v>
      </c>
      <c r="AL968">
        <v>85.987492230448893</v>
      </c>
      <c r="AM968">
        <v>85.008115828233002</v>
      </c>
      <c r="AN968">
        <v>0.99999997043369104</v>
      </c>
    </row>
    <row r="969" spans="1:40" x14ac:dyDescent="0.25">
      <c r="A969" t="str">
        <f>"20190312151004561"</f>
        <v>20190312151004561</v>
      </c>
      <c r="B969" t="str">
        <f>"1552374604551679"</f>
        <v>1552374604551679</v>
      </c>
      <c r="C969" t="s">
        <v>40</v>
      </c>
      <c r="D969">
        <v>4.9615650000000002</v>
      </c>
      <c r="E969">
        <v>0.53576800000000002</v>
      </c>
      <c r="F969" t="s">
        <v>42</v>
      </c>
      <c r="G969">
        <v>-238.70599999999999</v>
      </c>
      <c r="H969">
        <v>1.048637E-2</v>
      </c>
      <c r="I969">
        <v>359.6164</v>
      </c>
      <c r="J969">
        <v>-276.71019999999999</v>
      </c>
      <c r="K969">
        <v>1.0820749999999999</v>
      </c>
      <c r="L969">
        <v>367.57209999999998</v>
      </c>
      <c r="M969">
        <v>0.99970349999999997</v>
      </c>
      <c r="N969">
        <v>0</v>
      </c>
      <c r="O969">
        <v>-2.3626359999999999E-2</v>
      </c>
      <c r="P969">
        <v>0.99185760000000001</v>
      </c>
      <c r="Q969">
        <v>6.3882220000000003E-2</v>
      </c>
      <c r="R969">
        <v>-0.1101722</v>
      </c>
      <c r="S969">
        <v>2.9613339999999999</v>
      </c>
      <c r="T969">
        <v>-8.2962270000000005E-2</v>
      </c>
      <c r="U969">
        <v>-0.61721800000000004</v>
      </c>
      <c r="V969">
        <v>8.6664530000000004E-2</v>
      </c>
      <c r="W969">
        <v>6.9810609999999995E-2</v>
      </c>
      <c r="X969">
        <v>0.99378860000000002</v>
      </c>
      <c r="Y969">
        <v>0.18079519999999999</v>
      </c>
      <c r="Z969">
        <v>-1.850803E-3</v>
      </c>
      <c r="AA969">
        <v>0.98351900000000003</v>
      </c>
      <c r="AB969">
        <v>35</v>
      </c>
      <c r="AC969">
        <v>38.004199999999997</v>
      </c>
      <c r="AD969">
        <v>-1.0715886299999999</v>
      </c>
      <c r="AE969">
        <v>-7.95569999999997</v>
      </c>
      <c r="AF969">
        <v>7.0501927487521803</v>
      </c>
      <c r="AG969">
        <v>-1.0715886299999999</v>
      </c>
      <c r="AH969">
        <v>38.152498989833497</v>
      </c>
      <c r="AI969">
        <v>91.582071657065498</v>
      </c>
      <c r="AJ969">
        <v>79.530427183523898</v>
      </c>
      <c r="AK969">
        <v>38.813228404189097</v>
      </c>
      <c r="AL969">
        <v>85.996890728137302</v>
      </c>
      <c r="AM969">
        <v>85.016061277727502</v>
      </c>
      <c r="AN969">
        <v>1.0000000217593199</v>
      </c>
    </row>
    <row r="970" spans="1:40" x14ac:dyDescent="0.25">
      <c r="A970" t="str">
        <f>"20190312151004573"</f>
        <v>20190312151004573</v>
      </c>
      <c r="B970" t="str">
        <f>"1552374604561439"</f>
        <v>1552374604561439</v>
      </c>
      <c r="C970" t="s">
        <v>40</v>
      </c>
      <c r="D970">
        <v>5.0295969999999999</v>
      </c>
      <c r="E970">
        <v>0.53589639999999905</v>
      </c>
      <c r="F970" t="s">
        <v>42</v>
      </c>
      <c r="G970">
        <v>-239.14580000000001</v>
      </c>
      <c r="H970" s="1">
        <v>-2.900693E-6</v>
      </c>
      <c r="I970">
        <v>359.75479999999999</v>
      </c>
      <c r="J970">
        <v>-276.52800000000002</v>
      </c>
      <c r="K970">
        <v>1.083712</v>
      </c>
      <c r="L970">
        <v>367.56799999999998</v>
      </c>
      <c r="M970">
        <v>0.99970820000000005</v>
      </c>
      <c r="N970">
        <v>0</v>
      </c>
      <c r="O970">
        <v>-2.340592E-2</v>
      </c>
      <c r="P970">
        <v>0.99188849999999995</v>
      </c>
      <c r="Q970">
        <v>6.3787120000000003E-2</v>
      </c>
      <c r="R970">
        <v>-0.1099483</v>
      </c>
      <c r="S970">
        <v>2.9616699999999998</v>
      </c>
      <c r="T970">
        <v>-8.5313440000000004E-2</v>
      </c>
      <c r="U970">
        <v>-0.61633300000000002</v>
      </c>
      <c r="V970">
        <v>8.6656410000000003E-2</v>
      </c>
      <c r="W970">
        <v>6.9796819999999996E-2</v>
      </c>
      <c r="X970">
        <v>0.99379030000000002</v>
      </c>
      <c r="Y970">
        <v>0.1807047</v>
      </c>
      <c r="Z970">
        <v>-1.9080620000000001E-3</v>
      </c>
      <c r="AA970">
        <v>0.98353550000000001</v>
      </c>
      <c r="AB970">
        <v>35</v>
      </c>
      <c r="AC970">
        <v>37.382199999999997</v>
      </c>
      <c r="AD970">
        <v>-1.083714900693</v>
      </c>
      <c r="AE970">
        <v>-7.8132000000000499</v>
      </c>
      <c r="AF970">
        <v>6.9304982700500304</v>
      </c>
      <c r="AG970">
        <v>-1.083714900693</v>
      </c>
      <c r="AH970">
        <v>37.5246202238582</v>
      </c>
      <c r="AI970">
        <v>91.626750852954203</v>
      </c>
      <c r="AJ970">
        <v>79.5358442690831</v>
      </c>
      <c r="AK970">
        <v>38.174642987223102</v>
      </c>
      <c r="AL970">
        <v>85.997682861776397</v>
      </c>
      <c r="AM970">
        <v>85.016534376193206</v>
      </c>
      <c r="AN970">
        <v>1.0000000449251401</v>
      </c>
    </row>
    <row r="971" spans="1:40" x14ac:dyDescent="0.25">
      <c r="A971" t="str">
        <f>"20190312151004583"</f>
        <v>20190312151004583</v>
      </c>
      <c r="B971" t="str">
        <f>"1552374604571199"</f>
        <v>1552374604571199</v>
      </c>
      <c r="C971" t="s">
        <v>40</v>
      </c>
      <c r="D971">
        <v>4.9882400000000002</v>
      </c>
      <c r="E971">
        <v>0.53596969999999899</v>
      </c>
      <c r="F971" t="s">
        <v>42</v>
      </c>
      <c r="G971">
        <v>-239.0633</v>
      </c>
      <c r="H971" s="1">
        <v>-2.9251440000000001E-6</v>
      </c>
      <c r="I971">
        <v>359.76839999999999</v>
      </c>
      <c r="J971">
        <v>-276.35840000000002</v>
      </c>
      <c r="K971">
        <v>1.0852139999999999</v>
      </c>
      <c r="L971">
        <v>367.5641</v>
      </c>
      <c r="M971">
        <v>0.9997123</v>
      </c>
      <c r="N971">
        <v>0</v>
      </c>
      <c r="O971">
        <v>-2.3192040000000001E-2</v>
      </c>
      <c r="P971">
        <v>0.99189070000000001</v>
      </c>
      <c r="Q971">
        <v>6.3899960000000006E-2</v>
      </c>
      <c r="R971">
        <v>-0.10986310000000001</v>
      </c>
      <c r="S971">
        <v>2.9617</v>
      </c>
      <c r="T971">
        <v>-8.5670709999999997E-2</v>
      </c>
      <c r="U971">
        <v>-0.61657709999999999</v>
      </c>
      <c r="V971">
        <v>8.6780869999999996E-2</v>
      </c>
      <c r="W971">
        <v>7.0033219999999993E-2</v>
      </c>
      <c r="X971">
        <v>0.99376279999999995</v>
      </c>
      <c r="Y971">
        <v>0.18099000000000001</v>
      </c>
      <c r="Z971">
        <v>-1.9262070000000001E-3</v>
      </c>
      <c r="AA971">
        <v>0.98348310000000005</v>
      </c>
      <c r="AB971">
        <v>35</v>
      </c>
      <c r="AC971">
        <v>37.295099999999998</v>
      </c>
      <c r="AD971">
        <v>-1.08521692514399</v>
      </c>
      <c r="AE971">
        <v>-7.7957000000000098</v>
      </c>
      <c r="AF971">
        <v>6.9230211233168202</v>
      </c>
      <c r="AG971">
        <v>-1.08521692514399</v>
      </c>
      <c r="AH971">
        <v>37.435500165110199</v>
      </c>
      <c r="AI971">
        <v>91.632810287922496</v>
      </c>
      <c r="AJ971">
        <v>79.522550256804493</v>
      </c>
      <c r="AK971">
        <v>38.085726852201198</v>
      </c>
      <c r="AL971">
        <v>85.984104882226802</v>
      </c>
      <c r="AM971">
        <v>85.009275605069405</v>
      </c>
      <c r="AN971">
        <v>1.00000003698268</v>
      </c>
    </row>
    <row r="972" spans="1:40" x14ac:dyDescent="0.25">
      <c r="A972" t="str">
        <f>"20190312151004606"</f>
        <v>20190312151004606</v>
      </c>
      <c r="B972" t="str">
        <f>"1552374604601457"</f>
        <v>1552374604601457</v>
      </c>
      <c r="C972" t="s">
        <v>40</v>
      </c>
      <c r="D972">
        <v>4.9439539999999997</v>
      </c>
      <c r="E972">
        <v>0.53617859999999995</v>
      </c>
      <c r="F972" t="s">
        <v>42</v>
      </c>
      <c r="G972">
        <v>-238.98699999999999</v>
      </c>
      <c r="H972" s="1">
        <v>-2.9476069999999999E-6</v>
      </c>
      <c r="I972">
        <v>359.78149999999999</v>
      </c>
      <c r="J972">
        <v>-276.02019999999999</v>
      </c>
      <c r="K972">
        <v>1.088144</v>
      </c>
      <c r="L972">
        <v>367.55669999999998</v>
      </c>
      <c r="M972">
        <v>0.99972050000000001</v>
      </c>
      <c r="N972">
        <v>0</v>
      </c>
      <c r="O972">
        <v>-2.2742990000000001E-2</v>
      </c>
      <c r="P972">
        <v>0.99191779999999996</v>
      </c>
      <c r="Q972">
        <v>6.3748669999999993E-2</v>
      </c>
      <c r="R972">
        <v>-0.1097061</v>
      </c>
      <c r="S972">
        <v>2.9617610000000001</v>
      </c>
      <c r="T972">
        <v>-8.6005689999999996E-2</v>
      </c>
      <c r="U972">
        <v>-0.61679079999999997</v>
      </c>
      <c r="V972">
        <v>8.7064069999999993E-2</v>
      </c>
      <c r="W972">
        <v>7.0238239999999993E-2</v>
      </c>
      <c r="X972">
        <v>0.99372349999999998</v>
      </c>
      <c r="Y972">
        <v>0.18149480000000001</v>
      </c>
      <c r="Z972">
        <v>-1.953813E-3</v>
      </c>
      <c r="AA972">
        <v>0.98338999999999999</v>
      </c>
      <c r="AB972">
        <v>35</v>
      </c>
      <c r="AC972">
        <v>37.033200000000001</v>
      </c>
      <c r="AD972">
        <v>-1.088146947607</v>
      </c>
      <c r="AE972">
        <v>-7.7751999999999803</v>
      </c>
      <c r="AF972">
        <v>6.9251990456865604</v>
      </c>
      <c r="AG972">
        <v>-1.088146947607</v>
      </c>
      <c r="AH972">
        <v>37.169719692379303</v>
      </c>
      <c r="AI972">
        <v>91.648508470834699</v>
      </c>
      <c r="AJ972">
        <v>79.446063516427699</v>
      </c>
      <c r="AK972">
        <v>37.824998448275103</v>
      </c>
      <c r="AL972">
        <v>85.972328867827699</v>
      </c>
      <c r="AM972">
        <v>84.992874562357102</v>
      </c>
      <c r="AN972">
        <v>0.99999997854775602</v>
      </c>
    </row>
    <row r="973" spans="1:40" x14ac:dyDescent="0.25">
      <c r="A973" t="str">
        <f>"20190312151004619"</f>
        <v>20190312151004619</v>
      </c>
      <c r="B973" t="str">
        <f>"1552374604612192"</f>
        <v>1552374604612192</v>
      </c>
      <c r="C973" t="s">
        <v>40</v>
      </c>
      <c r="D973">
        <v>4.9683250000000001</v>
      </c>
      <c r="E973">
        <v>0.53628520000000002</v>
      </c>
      <c r="F973" t="s">
        <v>42</v>
      </c>
      <c r="G973">
        <v>-240.1688</v>
      </c>
      <c r="H973" s="1">
        <v>-6.3199500000000004E-6</v>
      </c>
      <c r="I973">
        <v>360.07650000000001</v>
      </c>
      <c r="J973">
        <v>-275.81290000000001</v>
      </c>
      <c r="K973">
        <v>1.089879</v>
      </c>
      <c r="L973">
        <v>367.55220000000003</v>
      </c>
      <c r="M973">
        <v>0.99972539999999999</v>
      </c>
      <c r="N973">
        <v>0</v>
      </c>
      <c r="O973">
        <v>-2.245378E-2</v>
      </c>
      <c r="P973">
        <v>0.99193100000000001</v>
      </c>
      <c r="Q973">
        <v>6.3496399999999995E-2</v>
      </c>
      <c r="R973">
        <v>-0.1097346</v>
      </c>
      <c r="S973">
        <v>2.961884</v>
      </c>
      <c r="T973">
        <v>-8.9898229999999996E-2</v>
      </c>
      <c r="U973">
        <v>-0.617981</v>
      </c>
      <c r="V973">
        <v>8.7376250000000003E-2</v>
      </c>
      <c r="W973">
        <v>7.0250599999999996E-2</v>
      </c>
      <c r="X973">
        <v>0.99369529999999995</v>
      </c>
      <c r="Y973">
        <v>0.18214340000000001</v>
      </c>
      <c r="Z973">
        <v>-2.0604439999999998E-3</v>
      </c>
      <c r="AA973">
        <v>0.98326979999999997</v>
      </c>
      <c r="AB973">
        <v>35</v>
      </c>
      <c r="AC973">
        <v>35.644100000000002</v>
      </c>
      <c r="AD973">
        <v>-1.08988531995</v>
      </c>
      <c r="AE973">
        <v>-7.4757000000000096</v>
      </c>
      <c r="AF973">
        <v>6.6674813091193998</v>
      </c>
      <c r="AG973">
        <v>-1.08988531995</v>
      </c>
      <c r="AH973">
        <v>35.770939822862701</v>
      </c>
      <c r="AI973">
        <v>91.715643636375901</v>
      </c>
      <c r="AJ973">
        <v>79.441585159618199</v>
      </c>
      <c r="AK973">
        <v>36.403341781064</v>
      </c>
      <c r="AL973">
        <v>85.971619236931204</v>
      </c>
      <c r="AM973">
        <v>84.974870722448898</v>
      </c>
      <c r="AN973">
        <v>1.00000005255325</v>
      </c>
    </row>
    <row r="974" spans="1:40" x14ac:dyDescent="0.25">
      <c r="A974" t="str">
        <f>"20190312151004632"</f>
        <v>20190312151004632</v>
      </c>
      <c r="B974" t="str">
        <f>"1552374604621953"</f>
        <v>1552374604621953</v>
      </c>
      <c r="C974" t="s">
        <v>40</v>
      </c>
      <c r="D974">
        <v>4.969061</v>
      </c>
      <c r="E974">
        <v>0.53637559999999995</v>
      </c>
      <c r="F974" t="s">
        <v>42</v>
      </c>
      <c r="G974">
        <v>-240.37289999999999</v>
      </c>
      <c r="H974" s="1">
        <v>-6.2110969999999998E-6</v>
      </c>
      <c r="I974">
        <v>360.14620000000002</v>
      </c>
      <c r="J974">
        <v>-275.5917</v>
      </c>
      <c r="K974">
        <v>1.0916170000000001</v>
      </c>
      <c r="L974">
        <v>367.54750000000001</v>
      </c>
      <c r="M974">
        <v>0.99973029999999996</v>
      </c>
      <c r="N974">
        <v>0</v>
      </c>
      <c r="O974">
        <v>-2.2128510000000001E-2</v>
      </c>
      <c r="P974">
        <v>0.99195089999999997</v>
      </c>
      <c r="Q974">
        <v>6.3221020000000003E-2</v>
      </c>
      <c r="R974">
        <v>-0.10971069999999999</v>
      </c>
      <c r="S974">
        <v>2.9617610000000001</v>
      </c>
      <c r="T974">
        <v>-9.1083170000000005E-2</v>
      </c>
      <c r="U974">
        <v>-0.618927</v>
      </c>
      <c r="V974">
        <v>8.7671200000000005E-2</v>
      </c>
      <c r="W974">
        <v>7.0295789999999997E-2</v>
      </c>
      <c r="X974">
        <v>0.9936661</v>
      </c>
      <c r="Y974">
        <v>0.18276999999999999</v>
      </c>
      <c r="Z974">
        <v>-2.1070170000000001E-3</v>
      </c>
      <c r="AA974">
        <v>0.98315350000000001</v>
      </c>
      <c r="AB974">
        <v>35</v>
      </c>
      <c r="AC974">
        <v>35.218800000000002</v>
      </c>
      <c r="AD974">
        <v>-1.0916232110969999</v>
      </c>
      <c r="AE974">
        <v>-7.4012999999999902</v>
      </c>
      <c r="AF974">
        <v>6.6140431897310696</v>
      </c>
      <c r="AG974">
        <v>-1.0916232110969999</v>
      </c>
      <c r="AH974">
        <v>35.341442394815701</v>
      </c>
      <c r="AI974">
        <v>91.739011801924505</v>
      </c>
      <c r="AJ974">
        <v>79.399887191883593</v>
      </c>
      <c r="AK974">
        <v>35.971582660437797</v>
      </c>
      <c r="AL974">
        <v>85.969023524110796</v>
      </c>
      <c r="AM974">
        <v>84.957847629787096</v>
      </c>
      <c r="AN974">
        <v>1.0000000278451799</v>
      </c>
    </row>
    <row r="975" spans="1:40" x14ac:dyDescent="0.25">
      <c r="A975" t="str">
        <f>"20190312151004646"</f>
        <v>20190312151004646</v>
      </c>
      <c r="B975" t="str">
        <f>"1552374604641473"</f>
        <v>1552374604641473</v>
      </c>
      <c r="C975" t="s">
        <v>40</v>
      </c>
      <c r="D975">
        <v>5.004213</v>
      </c>
      <c r="E975">
        <v>0.53658909999999904</v>
      </c>
      <c r="F975" t="s">
        <v>42</v>
      </c>
      <c r="G975">
        <v>-240.6318</v>
      </c>
      <c r="H975" s="1">
        <v>-6.0780960000000002E-6</v>
      </c>
      <c r="I975">
        <v>360.23419999999999</v>
      </c>
      <c r="J975">
        <v>-275.3929</v>
      </c>
      <c r="K975">
        <v>1.0931070000000001</v>
      </c>
      <c r="L975">
        <v>367.54340000000002</v>
      </c>
      <c r="M975">
        <v>0.99973489999999998</v>
      </c>
      <c r="N975">
        <v>0</v>
      </c>
      <c r="O975">
        <v>-2.1827059999999999E-2</v>
      </c>
      <c r="P975">
        <v>0.99200049999999995</v>
      </c>
      <c r="Q975">
        <v>6.2888730000000004E-2</v>
      </c>
      <c r="R975">
        <v>-0.10945439999999999</v>
      </c>
      <c r="S975">
        <v>2.9617309999999999</v>
      </c>
      <c r="T975">
        <v>-9.2480179999999995E-2</v>
      </c>
      <c r="U975">
        <v>-0.61956789999999995</v>
      </c>
      <c r="V975">
        <v>8.7709800000000004E-2</v>
      </c>
      <c r="W975">
        <v>7.0262969999999994E-2</v>
      </c>
      <c r="X975">
        <v>0.99366500000000002</v>
      </c>
      <c r="Y975">
        <v>0.1832696</v>
      </c>
      <c r="Z975">
        <v>-2.1563049999999999E-3</v>
      </c>
      <c r="AA975">
        <v>0.9830603</v>
      </c>
      <c r="AB975">
        <v>35</v>
      </c>
      <c r="AC975">
        <v>34.761099999999999</v>
      </c>
      <c r="AD975">
        <v>-1.0931130780959999</v>
      </c>
      <c r="AE975">
        <v>-7.3092000000000299</v>
      </c>
      <c r="AF975">
        <v>6.5425097674704</v>
      </c>
      <c r="AG975">
        <v>-1.0931130780959999</v>
      </c>
      <c r="AH975">
        <v>34.879329721760698</v>
      </c>
      <c r="AI975">
        <v>91.764303907872204</v>
      </c>
      <c r="AJ975">
        <v>79.376162603300202</v>
      </c>
      <c r="AK975">
        <v>35.504464115069403</v>
      </c>
      <c r="AL975">
        <v>85.970908573241402</v>
      </c>
      <c r="AM975">
        <v>84.955633559724603</v>
      </c>
      <c r="AN975">
        <v>1.00000001309713</v>
      </c>
    </row>
    <row r="976" spans="1:40" x14ac:dyDescent="0.25">
      <c r="A976" t="str">
        <f>"20190312151004662"</f>
        <v>20190312151004662</v>
      </c>
      <c r="B976" t="str">
        <f>"1552374604651231"</f>
        <v>1552374604651231</v>
      </c>
      <c r="C976" t="s">
        <v>40</v>
      </c>
      <c r="D976">
        <v>5.0053000000000001</v>
      </c>
      <c r="E976">
        <v>0.53672469999999906</v>
      </c>
      <c r="F976" t="s">
        <v>42</v>
      </c>
      <c r="G976">
        <v>-241.10169999999999</v>
      </c>
      <c r="H976" s="1">
        <v>-5.8647769999999997E-6</v>
      </c>
      <c r="I976">
        <v>360.3578</v>
      </c>
      <c r="J976">
        <v>-275.13819999999998</v>
      </c>
      <c r="K976">
        <v>1.094913</v>
      </c>
      <c r="L976">
        <v>367.53809999999999</v>
      </c>
      <c r="M976">
        <v>0.99974050000000003</v>
      </c>
      <c r="N976">
        <v>0</v>
      </c>
      <c r="O976">
        <v>-2.1429230000000001E-2</v>
      </c>
      <c r="P976">
        <v>0.99204639999999999</v>
      </c>
      <c r="Q976">
        <v>6.2608120000000003E-2</v>
      </c>
      <c r="R976">
        <v>-0.1091993</v>
      </c>
      <c r="S976">
        <v>2.9616699999999998</v>
      </c>
      <c r="T976">
        <v>-9.4410060000000004E-2</v>
      </c>
      <c r="U976">
        <v>-0.62060550000000003</v>
      </c>
      <c r="V976">
        <v>8.7844640000000002E-2</v>
      </c>
      <c r="W976">
        <v>7.0376190000000005E-2</v>
      </c>
      <c r="X976">
        <v>0.99364509999999995</v>
      </c>
      <c r="Y976">
        <v>0.18399099999999999</v>
      </c>
      <c r="Z976">
        <v>-2.2251430000000002E-3</v>
      </c>
      <c r="AA976">
        <v>0.98292539999999995</v>
      </c>
      <c r="AB976">
        <v>35</v>
      </c>
      <c r="AC976">
        <v>34.036499999999897</v>
      </c>
      <c r="AD976">
        <v>-1.0949188647769901</v>
      </c>
      <c r="AE976">
        <v>-7.1802999999999804</v>
      </c>
      <c r="AF976">
        <v>6.4428700310046301</v>
      </c>
      <c r="AG976">
        <v>-1.0949188647769901</v>
      </c>
      <c r="AH976">
        <v>34.148723695561799</v>
      </c>
      <c r="AI976">
        <v>91.804642230723701</v>
      </c>
      <c r="AJ976">
        <v>79.315549965387405</v>
      </c>
      <c r="AK976">
        <v>34.768444768103798</v>
      </c>
      <c r="AL976">
        <v>85.964405542684304</v>
      </c>
      <c r="AM976">
        <v>84.947818088093996</v>
      </c>
      <c r="AN976">
        <v>1.0000000368248201</v>
      </c>
    </row>
    <row r="977" spans="1:40" x14ac:dyDescent="0.25">
      <c r="A977" t="str">
        <f>"20190312151004692"</f>
        <v>20190312151004692</v>
      </c>
      <c r="B977" t="str">
        <f>"1552374604681487"</f>
        <v>1552374604681487</v>
      </c>
      <c r="C977" t="s">
        <v>40</v>
      </c>
      <c r="D977">
        <v>4.9774129999999897</v>
      </c>
      <c r="E977">
        <v>0.53677739999999996</v>
      </c>
      <c r="F977" t="s">
        <v>42</v>
      </c>
      <c r="G977">
        <v>-241.2482</v>
      </c>
      <c r="H977" s="1">
        <v>-5.7883180000000002E-6</v>
      </c>
      <c r="I977">
        <v>360.43369999999999</v>
      </c>
      <c r="J977">
        <v>-274.68279999999999</v>
      </c>
      <c r="K977">
        <v>1.097799</v>
      </c>
      <c r="L977">
        <v>367.52910000000003</v>
      </c>
      <c r="M977">
        <v>0.99975040000000004</v>
      </c>
      <c r="N977">
        <v>0</v>
      </c>
      <c r="O977">
        <v>-2.068302E-2</v>
      </c>
      <c r="P977">
        <v>0.99215949999999997</v>
      </c>
      <c r="Q977">
        <v>6.2041890000000002E-2</v>
      </c>
      <c r="R977">
        <v>-0.1084908</v>
      </c>
      <c r="S977">
        <v>2.9617610000000001</v>
      </c>
      <c r="T977">
        <v>-9.5688700000000002E-2</v>
      </c>
      <c r="U977">
        <v>-0.62088009999999905</v>
      </c>
      <c r="V977">
        <v>8.7868119999999994E-2</v>
      </c>
      <c r="W977">
        <v>7.0524100000000006E-2</v>
      </c>
      <c r="X977">
        <v>0.99363250000000003</v>
      </c>
      <c r="Y977">
        <v>0.18480279999999999</v>
      </c>
      <c r="Z977">
        <v>-2.291955E-3</v>
      </c>
      <c r="AA977">
        <v>0.98277289999999995</v>
      </c>
      <c r="AB977">
        <v>35</v>
      </c>
      <c r="AC977">
        <v>33.434599999999897</v>
      </c>
      <c r="AD977">
        <v>-1.097804788318</v>
      </c>
      <c r="AE977">
        <v>-7.0954000000000397</v>
      </c>
      <c r="AF977">
        <v>6.3957308273875597</v>
      </c>
      <c r="AG977">
        <v>-1.097804788318</v>
      </c>
      <c r="AH977">
        <v>33.5396061333673</v>
      </c>
      <c r="AI977">
        <v>91.841552803901806</v>
      </c>
      <c r="AJ977">
        <v>79.203776714186802</v>
      </c>
      <c r="AK977">
        <v>34.161611902119901</v>
      </c>
      <c r="AL977">
        <v>85.955909666256105</v>
      </c>
      <c r="AM977">
        <v>84.946410931077494</v>
      </c>
      <c r="AN977">
        <v>1.00000000012469</v>
      </c>
    </row>
    <row r="978" spans="1:40" x14ac:dyDescent="0.25">
      <c r="A978" t="str">
        <f>"20190312151004728"</f>
        <v>20190312151004728</v>
      </c>
      <c r="B978" t="str">
        <f>"1552374604721503"</f>
        <v>1552374604721503</v>
      </c>
      <c r="C978" t="s">
        <v>40</v>
      </c>
      <c r="D978">
        <v>4.9927219999999997</v>
      </c>
      <c r="E978">
        <v>0.53697189999999995</v>
      </c>
      <c r="F978" t="s">
        <v>42</v>
      </c>
      <c r="G978">
        <v>-241.78579999999999</v>
      </c>
      <c r="H978" s="1">
        <v>-5.5227980000000002E-6</v>
      </c>
      <c r="I978">
        <v>360.6558</v>
      </c>
      <c r="J978">
        <v>-274.09890000000001</v>
      </c>
      <c r="K978">
        <v>1.1008880000000001</v>
      </c>
      <c r="L978">
        <v>367.5181</v>
      </c>
      <c r="M978">
        <v>0.99976290000000001</v>
      </c>
      <c r="N978">
        <v>0</v>
      </c>
      <c r="O978">
        <v>-1.9683860000000001E-2</v>
      </c>
      <c r="P978">
        <v>0.99236360000000001</v>
      </c>
      <c r="Q978">
        <v>6.1861310000000003E-2</v>
      </c>
      <c r="R978">
        <v>-0.1067138</v>
      </c>
      <c r="S978">
        <v>2.962189</v>
      </c>
      <c r="T978">
        <v>-9.8850850000000004E-2</v>
      </c>
      <c r="U978">
        <v>-0.61889649999999996</v>
      </c>
      <c r="V978">
        <v>8.7072689999999994E-2</v>
      </c>
      <c r="W978">
        <v>7.1221399999999893E-2</v>
      </c>
      <c r="X978">
        <v>0.9936528</v>
      </c>
      <c r="Y978">
        <v>0.1851196</v>
      </c>
      <c r="Z978">
        <v>-2.4056429999999998E-3</v>
      </c>
      <c r="AA978">
        <v>0.98271299999999995</v>
      </c>
      <c r="AB978">
        <v>35</v>
      </c>
      <c r="AC978">
        <v>32.313099999999999</v>
      </c>
      <c r="AD978">
        <v>-1.1008935227979999</v>
      </c>
      <c r="AE978">
        <v>-6.8623000000000003</v>
      </c>
      <c r="AF978">
        <v>6.2179902540995204</v>
      </c>
      <c r="AG978">
        <v>-1.1008935227979999</v>
      </c>
      <c r="AH978">
        <v>32.405929846637001</v>
      </c>
      <c r="AI978">
        <v>91.910870679979297</v>
      </c>
      <c r="AJ978">
        <v>79.1382074285995</v>
      </c>
      <c r="AK978">
        <v>33.015445757611303</v>
      </c>
      <c r="AL978">
        <v>85.915856656524895</v>
      </c>
      <c r="AM978">
        <v>84.992026851427198</v>
      </c>
      <c r="AN978">
        <v>1.00000001405481</v>
      </c>
    </row>
    <row r="979" spans="1:40" x14ac:dyDescent="0.25">
      <c r="A979" t="str">
        <f>"20190312151004741"</f>
        <v>20190312151004741</v>
      </c>
      <c r="B979" t="str">
        <f>"1552374604732240"</f>
        <v>1552374604732240</v>
      </c>
      <c r="C979" t="s">
        <v>40</v>
      </c>
      <c r="D979">
        <v>5.009728</v>
      </c>
      <c r="E979">
        <v>0.53704869999999905</v>
      </c>
      <c r="F979" t="s">
        <v>42</v>
      </c>
      <c r="G979">
        <v>-242.0446</v>
      </c>
      <c r="H979" s="1">
        <v>-5.3683849999999999E-6</v>
      </c>
      <c r="I979">
        <v>360.86259999999999</v>
      </c>
      <c r="J979">
        <v>-273.90980000000002</v>
      </c>
      <c r="K979">
        <v>1.1017589999999999</v>
      </c>
      <c r="L979">
        <v>367.51459999999997</v>
      </c>
      <c r="M979">
        <v>0.99976690000000001</v>
      </c>
      <c r="N979">
        <v>0</v>
      </c>
      <c r="O979">
        <v>-1.935309E-2</v>
      </c>
      <c r="P979">
        <v>0.99242399999999997</v>
      </c>
      <c r="Q979">
        <v>6.1727110000000002E-2</v>
      </c>
      <c r="R979">
        <v>-0.1062289</v>
      </c>
      <c r="S979">
        <v>2.963257</v>
      </c>
      <c r="T979">
        <v>-0.1017718</v>
      </c>
      <c r="U979">
        <v>-0.6152649</v>
      </c>
      <c r="V979">
        <v>8.6913799999999999E-2</v>
      </c>
      <c r="W979">
        <v>7.1355520000000006E-2</v>
      </c>
      <c r="X979">
        <v>0.99365709999999996</v>
      </c>
      <c r="Y979">
        <v>0.1842145</v>
      </c>
      <c r="Z979">
        <v>-2.4719669999999998E-3</v>
      </c>
      <c r="AA979">
        <v>0.98288299999999995</v>
      </c>
      <c r="AB979">
        <v>35</v>
      </c>
      <c r="AC979">
        <v>31.865200000000002</v>
      </c>
      <c r="AD979">
        <v>-1.101764368385</v>
      </c>
      <c r="AE979">
        <v>-6.6519999999999797</v>
      </c>
      <c r="AF979">
        <v>6.0271312512359501</v>
      </c>
      <c r="AG979">
        <v>-1.101764368385</v>
      </c>
      <c r="AH979">
        <v>31.951371799279201</v>
      </c>
      <c r="AI979">
        <v>91.940721692626397</v>
      </c>
      <c r="AJ979">
        <v>79.317562846140703</v>
      </c>
      <c r="AK979">
        <v>32.533526640972099</v>
      </c>
      <c r="AL979">
        <v>85.908152592840594</v>
      </c>
      <c r="AM979">
        <v>85.001140562927404</v>
      </c>
      <c r="AN979">
        <v>1.00000002562266</v>
      </c>
    </row>
    <row r="980" spans="1:40" x14ac:dyDescent="0.25">
      <c r="A980" t="str">
        <f>"20190312151004752"</f>
        <v>20190312151004752</v>
      </c>
      <c r="B980" t="str">
        <f>"1552374604742000"</f>
        <v>1552374604742000</v>
      </c>
      <c r="C980" t="s">
        <v>40</v>
      </c>
      <c r="D980">
        <v>5.0360950000000004</v>
      </c>
      <c r="E980">
        <v>0.53712899999999997</v>
      </c>
      <c r="F980" t="s">
        <v>42</v>
      </c>
      <c r="G980">
        <v>-242.06790000000001</v>
      </c>
      <c r="H980" s="1">
        <v>-5.3457999999999997E-6</v>
      </c>
      <c r="I980">
        <v>360.91379999999998</v>
      </c>
      <c r="J980">
        <v>-273.72269999999997</v>
      </c>
      <c r="K980">
        <v>1.1025400000000001</v>
      </c>
      <c r="L980">
        <v>367.51130000000001</v>
      </c>
      <c r="M980">
        <v>0.99977090000000002</v>
      </c>
      <c r="N980">
        <v>0</v>
      </c>
      <c r="O980">
        <v>-1.9023020000000002E-2</v>
      </c>
      <c r="P980">
        <v>0.99245320000000004</v>
      </c>
      <c r="Q980">
        <v>6.1766309999999998E-2</v>
      </c>
      <c r="R980">
        <v>-0.1059344</v>
      </c>
      <c r="S980">
        <v>2.963562</v>
      </c>
      <c r="T980">
        <v>-0.1025426</v>
      </c>
      <c r="U980">
        <v>-0.61434940000000005</v>
      </c>
      <c r="V980">
        <v>8.6945239999999993E-2</v>
      </c>
      <c r="W980">
        <v>7.1647550000000004E-2</v>
      </c>
      <c r="X980">
        <v>0.99363330000000005</v>
      </c>
      <c r="Y980">
        <v>0.1842261</v>
      </c>
      <c r="Z980">
        <v>-2.5019869999999998E-3</v>
      </c>
      <c r="AA980">
        <v>0.98288070000000005</v>
      </c>
      <c r="AB980">
        <v>35</v>
      </c>
      <c r="AC980">
        <v>31.654799999999899</v>
      </c>
      <c r="AD980">
        <v>-1.1025453458000001</v>
      </c>
      <c r="AE980">
        <v>-6.5975000000000197</v>
      </c>
      <c r="AF980">
        <v>5.9871462401978599</v>
      </c>
      <c r="AG980">
        <v>-1.1025453458000001</v>
      </c>
      <c r="AH980">
        <v>31.737682179039201</v>
      </c>
      <c r="AI980">
        <v>91.955158677906496</v>
      </c>
      <c r="AJ980">
        <v>79.316997638220101</v>
      </c>
      <c r="AK980">
        <v>32.3162806714938</v>
      </c>
      <c r="AL980">
        <v>85.891377426424498</v>
      </c>
      <c r="AM980">
        <v>84.999222283336394</v>
      </c>
      <c r="AN980">
        <v>0.99999999052427502</v>
      </c>
    </row>
    <row r="981" spans="1:40" x14ac:dyDescent="0.25">
      <c r="A981" t="str">
        <f>"20190312151004764"</f>
        <v>20190312151004764</v>
      </c>
      <c r="B981" t="str">
        <f>"1552374604751760"</f>
        <v>1552374604751760</v>
      </c>
      <c r="C981" t="s">
        <v>40</v>
      </c>
      <c r="D981">
        <v>5.0973350000000002</v>
      </c>
      <c r="E981">
        <v>0.53723449999999995</v>
      </c>
      <c r="F981" t="s">
        <v>42</v>
      </c>
      <c r="G981">
        <v>-241.75470000000001</v>
      </c>
      <c r="H981" s="1">
        <v>-5.4738669999999999E-6</v>
      </c>
      <c r="I981">
        <v>360.8845</v>
      </c>
      <c r="J981">
        <v>-273.5471</v>
      </c>
      <c r="K981">
        <v>1.1032169999999999</v>
      </c>
      <c r="L981">
        <v>367.50830000000002</v>
      </c>
      <c r="M981">
        <v>0.9997743</v>
      </c>
      <c r="N981">
        <v>0</v>
      </c>
      <c r="O981">
        <v>-1.8712079999999999E-2</v>
      </c>
      <c r="P981">
        <v>0.99251310000000004</v>
      </c>
      <c r="Q981">
        <v>6.1528060000000002E-2</v>
      </c>
      <c r="R981">
        <v>-0.1055107</v>
      </c>
      <c r="S981">
        <v>2.9636230000000001</v>
      </c>
      <c r="T981">
        <v>-0.1022127</v>
      </c>
      <c r="U981">
        <v>-0.61434940000000005</v>
      </c>
      <c r="V981">
        <v>8.6828569999999994E-2</v>
      </c>
      <c r="W981">
        <v>7.1636599999999995E-2</v>
      </c>
      <c r="X981">
        <v>0.99364430000000004</v>
      </c>
      <c r="Y981">
        <v>0.18452789999999999</v>
      </c>
      <c r="Z981">
        <v>-2.5096340000000002E-3</v>
      </c>
      <c r="AA981">
        <v>0.98282409999999998</v>
      </c>
      <c r="AB981">
        <v>35</v>
      </c>
      <c r="AC981">
        <v>31.792399999999901</v>
      </c>
      <c r="AD981">
        <v>-1.103222473867</v>
      </c>
      <c r="AE981">
        <v>-6.6238000000000099</v>
      </c>
      <c r="AF981">
        <v>6.0207598355888798</v>
      </c>
      <c r="AG981">
        <v>-1.103222473867</v>
      </c>
      <c r="AH981">
        <v>31.8740001076815</v>
      </c>
      <c r="AI981">
        <v>91.947910149009303</v>
      </c>
      <c r="AJ981">
        <v>79.303289021600506</v>
      </c>
      <c r="AK981">
        <v>32.4564097165593</v>
      </c>
      <c r="AL981">
        <v>85.892006466280094</v>
      </c>
      <c r="AM981">
        <v>85.005953770036697</v>
      </c>
      <c r="AN981">
        <v>0.99999999897514702</v>
      </c>
    </row>
    <row r="982" spans="1:40" x14ac:dyDescent="0.25">
      <c r="A982" t="str">
        <f>"20190312151004775"</f>
        <v>20190312151004775</v>
      </c>
      <c r="B982" t="str">
        <f>"1552374604771279"</f>
        <v>1552374604771279</v>
      </c>
      <c r="C982" t="s">
        <v>40</v>
      </c>
      <c r="D982">
        <v>5.0208329999999997</v>
      </c>
      <c r="E982">
        <v>0.53731430000000002</v>
      </c>
      <c r="F982" t="s">
        <v>42</v>
      </c>
      <c r="G982">
        <v>-241.97290000000001</v>
      </c>
      <c r="H982" s="1">
        <v>-5.3677850000000003E-6</v>
      </c>
      <c r="I982">
        <v>360.9683</v>
      </c>
      <c r="J982">
        <v>-273.36500000000001</v>
      </c>
      <c r="K982">
        <v>1.10388</v>
      </c>
      <c r="L982">
        <v>367.5052</v>
      </c>
      <c r="M982">
        <v>0.99977800000000006</v>
      </c>
      <c r="N982">
        <v>0</v>
      </c>
      <c r="O982">
        <v>-1.8388649999999999E-2</v>
      </c>
      <c r="P982">
        <v>0.99256270000000002</v>
      </c>
      <c r="Q982">
        <v>6.1052670000000003E-2</v>
      </c>
      <c r="R982">
        <v>-0.1053183</v>
      </c>
      <c r="S982">
        <v>2.9637760000000002</v>
      </c>
      <c r="T982">
        <v>-0.1035562</v>
      </c>
      <c r="U982">
        <v>-0.61389159999999998</v>
      </c>
      <c r="V982">
        <v>8.6956309999999995E-2</v>
      </c>
      <c r="W982">
        <v>7.1389759999999997E-2</v>
      </c>
      <c r="X982">
        <v>0.9936509</v>
      </c>
      <c r="Y982">
        <v>0.1846874</v>
      </c>
      <c r="Z982">
        <v>-2.5564350000000001E-3</v>
      </c>
      <c r="AA982">
        <v>0.98279399999999995</v>
      </c>
      <c r="AB982">
        <v>35</v>
      </c>
      <c r="AC982">
        <v>31.392099999999999</v>
      </c>
      <c r="AD982">
        <v>-1.103885367785</v>
      </c>
      <c r="AE982">
        <v>-6.5369000000000002</v>
      </c>
      <c r="AF982">
        <v>5.9514523566091899</v>
      </c>
      <c r="AG982">
        <v>-1.103885367785</v>
      </c>
      <c r="AH982">
        <v>31.469706365827399</v>
      </c>
      <c r="AI982">
        <v>91.974019219169705</v>
      </c>
      <c r="AJ982">
        <v>79.290877449394401</v>
      </c>
      <c r="AK982">
        <v>32.046540637166999</v>
      </c>
      <c r="AL982">
        <v>85.906185682325301</v>
      </c>
      <c r="AM982">
        <v>84.998676943926498</v>
      </c>
      <c r="AN982">
        <v>1.00000000437624</v>
      </c>
    </row>
    <row r="983" spans="1:40" x14ac:dyDescent="0.25">
      <c r="A983" t="str">
        <f>"20190312151004787"</f>
        <v>20190312151004787</v>
      </c>
      <c r="B983" t="str">
        <f>"1552374604782016"</f>
        <v>1552374604782016</v>
      </c>
      <c r="C983" t="s">
        <v>40</v>
      </c>
      <c r="D983">
        <v>5.1023759999999996</v>
      </c>
      <c r="E983">
        <v>0.53724189999999905</v>
      </c>
      <c r="F983" t="s">
        <v>42</v>
      </c>
      <c r="G983">
        <v>-242.35120000000001</v>
      </c>
      <c r="H983" s="1">
        <v>-5.1922549999999996E-6</v>
      </c>
      <c r="I983">
        <v>361.08199999999999</v>
      </c>
      <c r="J983">
        <v>-273.16680000000002</v>
      </c>
      <c r="K983">
        <v>1.104522</v>
      </c>
      <c r="L983">
        <v>367.50189999999998</v>
      </c>
      <c r="M983">
        <v>0.99978210000000001</v>
      </c>
      <c r="N983">
        <v>0</v>
      </c>
      <c r="O983">
        <v>-1.8035720000000002E-2</v>
      </c>
      <c r="P983">
        <v>0.99259050000000004</v>
      </c>
      <c r="Q983">
        <v>6.0976299999999997E-2</v>
      </c>
      <c r="R983">
        <v>-0.1051016</v>
      </c>
      <c r="S983">
        <v>2.9638369999999998</v>
      </c>
      <c r="T983">
        <v>-0.1054928</v>
      </c>
      <c r="U983">
        <v>-0.6138306</v>
      </c>
      <c r="V983">
        <v>8.708929E-2</v>
      </c>
      <c r="W983">
        <v>7.1545280000000003E-2</v>
      </c>
      <c r="X983">
        <v>0.99362810000000001</v>
      </c>
      <c r="Y983">
        <v>0.1850068</v>
      </c>
      <c r="Z983">
        <v>-2.6222039999999999E-3</v>
      </c>
      <c r="AA983">
        <v>0.98273370000000004</v>
      </c>
      <c r="AB983">
        <v>35</v>
      </c>
      <c r="AC983">
        <v>30.8156</v>
      </c>
      <c r="AD983">
        <v>-1.104527192255</v>
      </c>
      <c r="AE983">
        <v>-6.4198999999999797</v>
      </c>
      <c r="AF983">
        <v>5.8558331934160597</v>
      </c>
      <c r="AG983">
        <v>-1.104527192255</v>
      </c>
      <c r="AH983">
        <v>30.888348537899201</v>
      </c>
      <c r="AI983">
        <v>92.012140445665295</v>
      </c>
      <c r="AJ983">
        <v>79.265224525671798</v>
      </c>
      <c r="AK983">
        <v>31.457921706722601</v>
      </c>
      <c r="AL983">
        <v>85.897252330427506</v>
      </c>
      <c r="AM983">
        <v>84.990953081142294</v>
      </c>
      <c r="AN983">
        <v>1.00000003631629</v>
      </c>
    </row>
    <row r="984" spans="1:40" x14ac:dyDescent="0.25">
      <c r="A984" t="str">
        <f>"20190312151004800"</f>
        <v>20190312151004800</v>
      </c>
      <c r="B984" t="str">
        <f>"1552374604791776"</f>
        <v>1552374604791776</v>
      </c>
      <c r="C984" t="s">
        <v>40</v>
      </c>
      <c r="D984">
        <v>5.1413159999999998</v>
      </c>
      <c r="E984">
        <v>0.53724189999999905</v>
      </c>
      <c r="F984" t="s">
        <v>42</v>
      </c>
      <c r="G984">
        <v>-242.33160000000001</v>
      </c>
      <c r="H984" s="1">
        <v>-5.1872949999999999E-6</v>
      </c>
      <c r="I984">
        <v>361.12889999999999</v>
      </c>
      <c r="J984">
        <v>-272.98559999999998</v>
      </c>
      <c r="K984">
        <v>1.1050759999999999</v>
      </c>
      <c r="L984">
        <v>367.49889999999999</v>
      </c>
      <c r="M984">
        <v>0.99978560000000005</v>
      </c>
      <c r="N984">
        <v>0</v>
      </c>
      <c r="O984">
        <v>-1.7712740000000001E-2</v>
      </c>
      <c r="P984">
        <v>0.99265099999999995</v>
      </c>
      <c r="Q984">
        <v>6.0559210000000002E-2</v>
      </c>
      <c r="R984">
        <v>-0.1047704</v>
      </c>
      <c r="S984">
        <v>2.9640810000000002</v>
      </c>
      <c r="T984">
        <v>-0.1061745</v>
      </c>
      <c r="U984">
        <v>-0.61260990000000004</v>
      </c>
      <c r="V984">
        <v>8.7077580000000002E-2</v>
      </c>
      <c r="W984">
        <v>7.1334579999999995E-2</v>
      </c>
      <c r="X984">
        <v>0.99364419999999998</v>
      </c>
      <c r="Y984">
        <v>0.18491859999999999</v>
      </c>
      <c r="Z984">
        <v>-2.6489009999999999E-3</v>
      </c>
      <c r="AA984">
        <v>0.98275029999999997</v>
      </c>
      <c r="AB984">
        <v>35</v>
      </c>
      <c r="AC984">
        <v>30.6539999999999</v>
      </c>
      <c r="AD984">
        <v>-1.1050811872949999</v>
      </c>
      <c r="AE984">
        <v>-6.37</v>
      </c>
      <c r="AF984">
        <v>5.8187538856338099</v>
      </c>
      <c r="AG984">
        <v>-1.1050811872949999</v>
      </c>
      <c r="AH984">
        <v>30.723750861112801</v>
      </c>
      <c r="AI984">
        <v>92.023995754891899</v>
      </c>
      <c r="AJ984">
        <v>79.275800484456298</v>
      </c>
      <c r="AK984">
        <v>31.289422624711801</v>
      </c>
      <c r="AL984">
        <v>85.909355169776703</v>
      </c>
      <c r="AM984">
        <v>84.9917039081421</v>
      </c>
      <c r="AN984">
        <v>0.99999996171803496</v>
      </c>
    </row>
    <row r="985" spans="1:40" x14ac:dyDescent="0.25">
      <c r="A985" t="str">
        <f>"20190312151004811"</f>
        <v>20190312151004811</v>
      </c>
      <c r="B985" t="str">
        <f>"1552374604801535"</f>
        <v>1552374604801535</v>
      </c>
      <c r="C985" t="s">
        <v>40</v>
      </c>
      <c r="D985">
        <v>5.0750679999999999</v>
      </c>
      <c r="E985">
        <v>0.51416110000000004</v>
      </c>
      <c r="F985" t="s">
        <v>42</v>
      </c>
      <c r="G985">
        <v>-242.50059999999999</v>
      </c>
      <c r="H985" s="1">
        <v>-5.1015180000000003E-6</v>
      </c>
      <c r="I985">
        <v>361.20729999999998</v>
      </c>
      <c r="J985">
        <v>-272.79860000000002</v>
      </c>
      <c r="K985">
        <v>1.105591</v>
      </c>
      <c r="L985">
        <v>367.49590000000001</v>
      </c>
      <c r="M985">
        <v>0.99978940000000005</v>
      </c>
      <c r="N985">
        <v>0</v>
      </c>
      <c r="O985">
        <v>-1.7379619999999998E-2</v>
      </c>
      <c r="P985">
        <v>0.99275040000000003</v>
      </c>
      <c r="Q985">
        <v>5.9882570000000003E-2</v>
      </c>
      <c r="R985">
        <v>-0.1042164</v>
      </c>
      <c r="S985">
        <v>2.9642029999999999</v>
      </c>
      <c r="T985">
        <v>-0.1074524</v>
      </c>
      <c r="U985">
        <v>-0.61175539999999995</v>
      </c>
      <c r="V985">
        <v>8.6853470000000002E-2</v>
      </c>
      <c r="W985">
        <v>7.0857059999999999E-2</v>
      </c>
      <c r="X985">
        <v>0.99369799999999997</v>
      </c>
      <c r="Y985">
        <v>0.1849635</v>
      </c>
      <c r="Z985">
        <v>-2.6934709999999998E-3</v>
      </c>
      <c r="AA985">
        <v>0.98274170000000005</v>
      </c>
      <c r="AB985">
        <v>35</v>
      </c>
      <c r="AC985">
        <v>30.297999999999998</v>
      </c>
      <c r="AD985">
        <v>-1.105596101518</v>
      </c>
      <c r="AE985">
        <v>-6.2886000000000299</v>
      </c>
      <c r="AF985">
        <v>5.7537059346219301</v>
      </c>
      <c r="AG985">
        <v>-1.105596101518</v>
      </c>
      <c r="AH985">
        <v>30.363961365242702</v>
      </c>
      <c r="AI985">
        <v>92.048873547449901</v>
      </c>
      <c r="AJ985">
        <v>79.270167425698006</v>
      </c>
      <c r="AK985">
        <v>30.924062225259899</v>
      </c>
      <c r="AL985">
        <v>85.936784543154602</v>
      </c>
      <c r="AM985">
        <v>85.004797455499798</v>
      </c>
      <c r="AN985">
        <v>0.99999998170344195</v>
      </c>
    </row>
    <row r="986" spans="1:40" x14ac:dyDescent="0.25">
      <c r="A986" t="str">
        <f>"20190312151004829"</f>
        <v>20190312151004829</v>
      </c>
      <c r="B986" t="str">
        <f>"1552374604822044"</f>
        <v>1552374604822044</v>
      </c>
      <c r="C986" t="s">
        <v>40</v>
      </c>
      <c r="D986">
        <v>5.3604599999999998</v>
      </c>
      <c r="E986">
        <v>0.51014890000000002</v>
      </c>
      <c r="F986" t="s">
        <v>42</v>
      </c>
      <c r="G986">
        <v>-254.71119999999999</v>
      </c>
      <c r="H986" s="1">
        <v>-3.0863340000000001E-6</v>
      </c>
      <c r="I986">
        <v>364.90820000000002</v>
      </c>
      <c r="J986">
        <v>-272.53309999999999</v>
      </c>
      <c r="K986">
        <v>1.106257</v>
      </c>
      <c r="L986">
        <v>367.49169999999998</v>
      </c>
      <c r="M986">
        <v>0.99979450000000003</v>
      </c>
      <c r="N986">
        <v>0</v>
      </c>
      <c r="O986">
        <v>-1.690736E-2</v>
      </c>
      <c r="P986">
        <v>0.99284629999999996</v>
      </c>
      <c r="Q986">
        <v>5.9132799999999999E-2</v>
      </c>
      <c r="R986">
        <v>-0.10372960000000001</v>
      </c>
      <c r="S986">
        <v>2.9880680000000002</v>
      </c>
      <c r="T986">
        <v>-0.18264540000000001</v>
      </c>
      <c r="U986">
        <v>-0.42749019999999999</v>
      </c>
      <c r="V986">
        <v>8.6834739999999994E-2</v>
      </c>
      <c r="W986">
        <v>7.0373329999999998E-2</v>
      </c>
      <c r="X986">
        <v>0.99373400000000001</v>
      </c>
      <c r="Y986">
        <v>0.1246686</v>
      </c>
      <c r="Z986">
        <v>-2.7603969999999999E-3</v>
      </c>
      <c r="AA986">
        <v>0.99219460000000004</v>
      </c>
      <c r="AB986">
        <v>35</v>
      </c>
      <c r="AC986">
        <v>17.821899999999999</v>
      </c>
      <c r="AD986">
        <v>-1.106260086334</v>
      </c>
      <c r="AE986">
        <v>-2.5834999999999502</v>
      </c>
      <c r="AF986">
        <v>2.2732119744555601</v>
      </c>
      <c r="AG986">
        <v>-1.106260086334</v>
      </c>
      <c r="AH986">
        <v>17.795877673271502</v>
      </c>
      <c r="AI986">
        <v>93.528550428020196</v>
      </c>
      <c r="AJ986">
        <v>82.720566870964404</v>
      </c>
      <c r="AK986">
        <v>17.974553296854602</v>
      </c>
      <c r="AL986">
        <v>85.964569546601993</v>
      </c>
      <c r="AM986">
        <v>85.006049232729296</v>
      </c>
      <c r="AN986">
        <v>0.999999970201077</v>
      </c>
    </row>
    <row r="987" spans="1:40" x14ac:dyDescent="0.25">
      <c r="A987" t="str">
        <f>"20190312151004841"</f>
        <v>20190312151004841</v>
      </c>
      <c r="B987" t="str">
        <f>"1552374604831793"</f>
        <v>1552374604831793</v>
      </c>
      <c r="C987" t="s">
        <v>40</v>
      </c>
      <c r="D987">
        <v>5.102557</v>
      </c>
      <c r="E987">
        <v>0.50904240000000001</v>
      </c>
      <c r="F987" t="s">
        <v>42</v>
      </c>
      <c r="G987">
        <v>-253.75229999999999</v>
      </c>
      <c r="H987" s="1">
        <v>-3.4786949999999999E-6</v>
      </c>
      <c r="I987">
        <v>365.01530000000002</v>
      </c>
      <c r="J987">
        <v>-272.35140000000001</v>
      </c>
      <c r="K987">
        <v>1.1066739999999999</v>
      </c>
      <c r="L987">
        <v>367.4889</v>
      </c>
      <c r="M987">
        <v>0.99979790000000002</v>
      </c>
      <c r="N987">
        <v>0</v>
      </c>
      <c r="O987">
        <v>-1.6584769999999999E-2</v>
      </c>
      <c r="P987">
        <v>0.99290409999999996</v>
      </c>
      <c r="Q987">
        <v>5.8816630000000002E-2</v>
      </c>
      <c r="R987">
        <v>-0.1033554</v>
      </c>
      <c r="S987">
        <v>2.990936</v>
      </c>
      <c r="T987">
        <v>-0.1761771</v>
      </c>
      <c r="U987">
        <v>-0.39437870000000003</v>
      </c>
      <c r="V987">
        <v>8.6780330000000003E-2</v>
      </c>
      <c r="W987">
        <v>7.023016E-2</v>
      </c>
      <c r="X987">
        <v>0.99374890000000005</v>
      </c>
      <c r="Y987">
        <v>0.1140989</v>
      </c>
      <c r="Z987">
        <v>-2.3714529999999999E-3</v>
      </c>
      <c r="AA987">
        <v>0.99346659999999998</v>
      </c>
      <c r="AB987">
        <v>35</v>
      </c>
      <c r="AC987">
        <v>18.5991</v>
      </c>
      <c r="AD987">
        <v>-1.106677478695</v>
      </c>
      <c r="AE987">
        <v>-2.47359999999997</v>
      </c>
      <c r="AF987">
        <v>2.1572730680913099</v>
      </c>
      <c r="AG987">
        <v>-1.106677478695</v>
      </c>
      <c r="AH987">
        <v>18.572954633158101</v>
      </c>
      <c r="AI987">
        <v>93.3872430825284</v>
      </c>
      <c r="AJ987">
        <v>83.374707759667999</v>
      </c>
      <c r="AK987">
        <v>18.730542062030999</v>
      </c>
      <c r="AL987">
        <v>85.9727930045579</v>
      </c>
      <c r="AM987">
        <v>85.009237048908503</v>
      </c>
      <c r="AN987">
        <v>0.99999998864987205</v>
      </c>
    </row>
    <row r="988" spans="1:40" x14ac:dyDescent="0.25">
      <c r="A988" t="str">
        <f>"20190312151004863"</f>
        <v>20190312151004863</v>
      </c>
      <c r="B988" t="str">
        <f>"1552374604851312"</f>
        <v>1552374604851312</v>
      </c>
      <c r="C988" t="s">
        <v>40</v>
      </c>
      <c r="D988">
        <v>5.1175730000000001</v>
      </c>
      <c r="E988">
        <v>0.5086214</v>
      </c>
      <c r="F988" t="s">
        <v>42</v>
      </c>
      <c r="G988">
        <v>-252.75989999999999</v>
      </c>
      <c r="H988" s="1">
        <v>-3.9119429999999999E-6</v>
      </c>
      <c r="I988">
        <v>364.97300000000001</v>
      </c>
      <c r="J988">
        <v>-272.00760000000002</v>
      </c>
      <c r="K988">
        <v>1.1073539999999999</v>
      </c>
      <c r="L988">
        <v>367.48390000000001</v>
      </c>
      <c r="M988">
        <v>0.99980440000000004</v>
      </c>
      <c r="N988">
        <v>0</v>
      </c>
      <c r="O988">
        <v>-1.5974220000000001E-2</v>
      </c>
      <c r="P988">
        <v>0.99297219999999997</v>
      </c>
      <c r="Q988">
        <v>5.8877440000000003E-2</v>
      </c>
      <c r="R988">
        <v>-0.10266409999999999</v>
      </c>
      <c r="S988">
        <v>2.9914550000000002</v>
      </c>
      <c r="T988">
        <v>-0.16897989999999999</v>
      </c>
      <c r="U988">
        <v>-0.38415529999999998</v>
      </c>
      <c r="V988">
        <v>8.6694220000000002E-2</v>
      </c>
      <c r="W988">
        <v>7.0587839999999999E-2</v>
      </c>
      <c r="X988">
        <v>0.99373109999999998</v>
      </c>
      <c r="Y988">
        <v>0.1113606</v>
      </c>
      <c r="Z988">
        <v>-2.2321659999999998E-3</v>
      </c>
      <c r="AA988">
        <v>0.99377760000000004</v>
      </c>
      <c r="AB988">
        <v>35</v>
      </c>
      <c r="AC988">
        <v>19.247699999999998</v>
      </c>
      <c r="AD988">
        <v>-1.1073579119429999</v>
      </c>
      <c r="AE988">
        <v>-2.5108999999999901</v>
      </c>
      <c r="AF988">
        <v>2.19594487963843</v>
      </c>
      <c r="AG988">
        <v>-1.1073579119429999</v>
      </c>
      <c r="AH988">
        <v>19.222794747762698</v>
      </c>
      <c r="AI988">
        <v>93.275707670210295</v>
      </c>
      <c r="AJ988">
        <v>83.482981422580806</v>
      </c>
      <c r="AK988">
        <v>19.379480214241202</v>
      </c>
      <c r="AL988">
        <v>85.952248569416597</v>
      </c>
      <c r="AM988">
        <v>85.014075429034307</v>
      </c>
      <c r="AN988">
        <v>1.0000000150222399</v>
      </c>
    </row>
    <row r="989" spans="1:40" x14ac:dyDescent="0.25">
      <c r="A989" t="str">
        <f>"20190312151004877"</f>
        <v>20190312151004877</v>
      </c>
      <c r="B989" t="str">
        <f>"1552374604871808"</f>
        <v>1552374604871808</v>
      </c>
      <c r="C989" t="s">
        <v>40</v>
      </c>
      <c r="D989">
        <v>5.265447</v>
      </c>
      <c r="E989">
        <v>0.50820089999999996</v>
      </c>
      <c r="F989" t="s">
        <v>42</v>
      </c>
      <c r="G989">
        <v>-251.33529999999999</v>
      </c>
      <c r="H989" s="1">
        <v>-4.5419289999999998E-6</v>
      </c>
      <c r="I989">
        <v>364.86680000000001</v>
      </c>
      <c r="J989">
        <v>-271.7953</v>
      </c>
      <c r="K989">
        <v>1.107728</v>
      </c>
      <c r="L989">
        <v>367.48079999999999</v>
      </c>
      <c r="M989">
        <v>0.99980840000000004</v>
      </c>
      <c r="N989">
        <v>0</v>
      </c>
      <c r="O989">
        <v>-1.559732E-2</v>
      </c>
      <c r="P989">
        <v>0.99301819999999996</v>
      </c>
      <c r="Q989">
        <v>5.9255820000000001E-2</v>
      </c>
      <c r="R989">
        <v>-0.10200149999999999</v>
      </c>
      <c r="S989">
        <v>2.9915769999999999</v>
      </c>
      <c r="T989">
        <v>-0.16025029999999901</v>
      </c>
      <c r="U989">
        <v>-0.37872309999999998</v>
      </c>
      <c r="V989">
        <v>8.6404670000000003E-2</v>
      </c>
      <c r="W989">
        <v>7.1136240000000003E-2</v>
      </c>
      <c r="X989">
        <v>0.99371719999999997</v>
      </c>
      <c r="Y989">
        <v>0.10997079999999999</v>
      </c>
      <c r="Z989">
        <v>-2.100205E-3</v>
      </c>
      <c r="AA989">
        <v>0.99393260000000005</v>
      </c>
      <c r="AB989">
        <v>35</v>
      </c>
      <c r="AC989">
        <v>20.46</v>
      </c>
      <c r="AD989">
        <v>-1.1077325419290001</v>
      </c>
      <c r="AE989">
        <v>-2.6139999999999701</v>
      </c>
      <c r="AF989">
        <v>2.2879395866479801</v>
      </c>
      <c r="AG989">
        <v>-1.1077325419290001</v>
      </c>
      <c r="AH989">
        <v>20.4393337070569</v>
      </c>
      <c r="AI989">
        <v>93.082956642861504</v>
      </c>
      <c r="AJ989">
        <v>83.613009024484299</v>
      </c>
      <c r="AK989">
        <v>20.596798327046699</v>
      </c>
      <c r="AL989">
        <v>85.920748325755298</v>
      </c>
      <c r="AM989">
        <v>85.030575230491905</v>
      </c>
      <c r="AN989">
        <v>1.00000000260749</v>
      </c>
    </row>
    <row r="990" spans="1:40" x14ac:dyDescent="0.25">
      <c r="A990" t="str">
        <f>"20190312151004898"</f>
        <v>20190312151004898</v>
      </c>
      <c r="B990" t="str">
        <f>"1552374604891328"</f>
        <v>1552374604891328</v>
      </c>
      <c r="C990" t="s">
        <v>40</v>
      </c>
      <c r="D990">
        <v>5.2062660000000003</v>
      </c>
      <c r="E990">
        <v>0.5078918</v>
      </c>
      <c r="F990" t="s">
        <v>42</v>
      </c>
      <c r="G990">
        <v>-251.70840000000001</v>
      </c>
      <c r="H990" s="1">
        <v>-4.3628669999999999E-6</v>
      </c>
      <c r="I990">
        <v>364.97390000000001</v>
      </c>
      <c r="J990">
        <v>-271.47269999999997</v>
      </c>
      <c r="K990">
        <v>1.1082259999999999</v>
      </c>
      <c r="L990">
        <v>367.47640000000001</v>
      </c>
      <c r="M990">
        <v>0.99981430000000004</v>
      </c>
      <c r="N990">
        <v>0</v>
      </c>
      <c r="O990">
        <v>-1.5024559999999999E-2</v>
      </c>
      <c r="P990">
        <v>0.99319820000000003</v>
      </c>
      <c r="Q990">
        <v>5.9015989999999997E-2</v>
      </c>
      <c r="R990">
        <v>-0.1003735</v>
      </c>
      <c r="S990">
        <v>2.9925839999999999</v>
      </c>
      <c r="T990">
        <v>-0.16503119999999999</v>
      </c>
      <c r="U990">
        <v>-0.37347409999999998</v>
      </c>
      <c r="V990">
        <v>8.5343520000000006E-2</v>
      </c>
      <c r="W990">
        <v>7.113245E-2</v>
      </c>
      <c r="X990">
        <v>0.99380919999999895</v>
      </c>
      <c r="Y990">
        <v>0.108775</v>
      </c>
      <c r="Z990">
        <v>-2.1608840000000001E-3</v>
      </c>
      <c r="AA990">
        <v>0.99406399999999995</v>
      </c>
      <c r="AB990">
        <v>35</v>
      </c>
      <c r="AC990">
        <v>19.764299999999899</v>
      </c>
      <c r="AD990">
        <v>-1.1082303628669901</v>
      </c>
      <c r="AE990">
        <v>-2.5024999999999902</v>
      </c>
      <c r="AF990">
        <v>2.1984428815197901</v>
      </c>
      <c r="AG990">
        <v>-1.1082303628669901</v>
      </c>
      <c r="AH990">
        <v>19.7385894998129</v>
      </c>
      <c r="AI990">
        <v>93.193811415597295</v>
      </c>
      <c r="AJ990">
        <v>83.6447085612363</v>
      </c>
      <c r="AK990">
        <v>19.891536921078</v>
      </c>
      <c r="AL990">
        <v>85.920966156224196</v>
      </c>
      <c r="AM990">
        <v>85.091757712162902</v>
      </c>
      <c r="AN990">
        <v>1.00000003392681</v>
      </c>
    </row>
    <row r="991" spans="1:40" x14ac:dyDescent="0.25">
      <c r="A991" t="str">
        <f>"20190312151004920"</f>
        <v>20190312151004920</v>
      </c>
      <c r="B991" t="str">
        <f>"1552374604911823"</f>
        <v>1552374604911823</v>
      </c>
      <c r="C991" t="s">
        <v>40</v>
      </c>
      <c r="D991">
        <v>5.405437</v>
      </c>
      <c r="E991">
        <v>0.50788159999999904</v>
      </c>
      <c r="F991" t="s">
        <v>42</v>
      </c>
      <c r="G991">
        <v>-250.7278</v>
      </c>
      <c r="H991" s="1">
        <v>-4.7904540000000001E-6</v>
      </c>
      <c r="I991">
        <v>364.93490000000003</v>
      </c>
      <c r="J991">
        <v>-271.13619999999997</v>
      </c>
      <c r="K991">
        <v>1.1086590000000001</v>
      </c>
      <c r="L991">
        <v>367.47199999999998</v>
      </c>
      <c r="M991">
        <v>0.99982040000000005</v>
      </c>
      <c r="N991">
        <v>0</v>
      </c>
      <c r="O991">
        <v>-1.4426599999999999E-2</v>
      </c>
      <c r="P991">
        <v>0.9933187</v>
      </c>
      <c r="Q991">
        <v>5.8781550000000002E-2</v>
      </c>
      <c r="R991">
        <v>-9.9312510000000007E-2</v>
      </c>
      <c r="S991">
        <v>2.9929809999999999</v>
      </c>
      <c r="T991">
        <v>-0.15989049999999999</v>
      </c>
      <c r="U991">
        <v>-0.36666870000000001</v>
      </c>
      <c r="V991">
        <v>8.4875430000000002E-2</v>
      </c>
      <c r="W991">
        <v>7.111866E-2</v>
      </c>
      <c r="X991">
        <v>0.99385020000000002</v>
      </c>
      <c r="Y991">
        <v>0.10713689999999999</v>
      </c>
      <c r="Z991">
        <v>-2.0819060000000001E-3</v>
      </c>
      <c r="AA991">
        <v>0.99424210000000002</v>
      </c>
      <c r="AB991">
        <v>35</v>
      </c>
      <c r="AC991">
        <v>20.408399999999901</v>
      </c>
      <c r="AD991">
        <v>-1.108663790454</v>
      </c>
      <c r="AE991">
        <v>-2.53709999999995</v>
      </c>
      <c r="AF991">
        <v>2.2358919795766901</v>
      </c>
      <c r="AG991">
        <v>-1.108663790454</v>
      </c>
      <c r="AH991">
        <v>20.383641924044198</v>
      </c>
      <c r="AI991">
        <v>93.0947171744196</v>
      </c>
      <c r="AJ991">
        <v>83.740222846503002</v>
      </c>
      <c r="AK991">
        <v>20.535851733791201</v>
      </c>
      <c r="AL991">
        <v>85.921757974149003</v>
      </c>
      <c r="AM991">
        <v>85.118748283926905</v>
      </c>
      <c r="AN991">
        <v>0.99999996122895896</v>
      </c>
    </row>
    <row r="992" spans="1:40" x14ac:dyDescent="0.25">
      <c r="A992" t="str">
        <f>"20190312151004933"</f>
        <v>20190312151004933</v>
      </c>
      <c r="B992" t="str">
        <f>"1552374604921585"</f>
        <v>1552374604921585</v>
      </c>
      <c r="C992" t="s">
        <v>40</v>
      </c>
      <c r="D992">
        <v>5.1777220000000002</v>
      </c>
      <c r="E992">
        <v>0.50797499999999995</v>
      </c>
      <c r="F992" t="s">
        <v>42</v>
      </c>
      <c r="G992">
        <v>-250.58080000000001</v>
      </c>
      <c r="H992" s="1">
        <v>-4.8454969999999997E-6</v>
      </c>
      <c r="I992">
        <v>364.9803</v>
      </c>
      <c r="J992">
        <v>-270.92349999999999</v>
      </c>
      <c r="K992">
        <v>1.1088929999999999</v>
      </c>
      <c r="L992">
        <v>367.4692</v>
      </c>
      <c r="M992">
        <v>0.99982420000000005</v>
      </c>
      <c r="N992">
        <v>0</v>
      </c>
      <c r="O992">
        <v>-1.404857E-2</v>
      </c>
      <c r="P992">
        <v>0.99337319999999996</v>
      </c>
      <c r="Q992">
        <v>5.843371E-2</v>
      </c>
      <c r="R992">
        <v>-9.8971260000000005E-2</v>
      </c>
      <c r="S992">
        <v>2.9934690000000002</v>
      </c>
      <c r="T992">
        <v>-0.16145300000000001</v>
      </c>
      <c r="U992">
        <v>-0.36285400000000001</v>
      </c>
      <c r="V992">
        <v>8.4909960000000007E-2</v>
      </c>
      <c r="W992">
        <v>7.0898439999999993E-2</v>
      </c>
      <c r="X992">
        <v>0.99386300000000005</v>
      </c>
      <c r="Y992">
        <v>0.1062429</v>
      </c>
      <c r="Z992">
        <v>-2.0983270000000001E-3</v>
      </c>
      <c r="AA992">
        <v>0.99433800000000006</v>
      </c>
      <c r="AB992">
        <v>35</v>
      </c>
      <c r="AC992">
        <v>20.342699999999901</v>
      </c>
      <c r="AD992">
        <v>-1.108897845497</v>
      </c>
      <c r="AE992">
        <v>-2.4889000000000001</v>
      </c>
      <c r="AF992">
        <v>2.1964162125397602</v>
      </c>
      <c r="AG992">
        <v>-1.108897845497</v>
      </c>
      <c r="AH992">
        <v>20.316182498094701</v>
      </c>
      <c r="AI992">
        <v>93.106153989121097</v>
      </c>
      <c r="AJ992">
        <v>83.829623753742794</v>
      </c>
      <c r="AK992">
        <v>20.464632171293601</v>
      </c>
      <c r="AL992">
        <v>85.934407644477304</v>
      </c>
      <c r="AM992">
        <v>85.1168346247957</v>
      </c>
      <c r="AN992">
        <v>0.99999997643531702</v>
      </c>
    </row>
    <row r="993" spans="1:40" x14ac:dyDescent="0.25">
      <c r="A993" t="str">
        <f>"20190312151004945"</f>
        <v>20190312151004945</v>
      </c>
      <c r="B993" t="str">
        <f>"1552374604942079"</f>
        <v>1552374604942079</v>
      </c>
      <c r="C993" t="s">
        <v>40</v>
      </c>
      <c r="D993">
        <v>5.3088379999999997</v>
      </c>
      <c r="E993">
        <v>0.50811649999999997</v>
      </c>
      <c r="F993" t="s">
        <v>42</v>
      </c>
      <c r="G993">
        <v>-250.58359999999999</v>
      </c>
      <c r="H993" s="1">
        <v>-4.839737E-6</v>
      </c>
      <c r="I993">
        <v>365.00599999999997</v>
      </c>
      <c r="J993">
        <v>-270.74079999999998</v>
      </c>
      <c r="K993">
        <v>1.109078</v>
      </c>
      <c r="L993">
        <v>367.46699999999998</v>
      </c>
      <c r="M993">
        <v>0.99982740000000003</v>
      </c>
      <c r="N993">
        <v>0</v>
      </c>
      <c r="O993">
        <v>-1.37237E-2</v>
      </c>
      <c r="P993">
        <v>0.99343409999999999</v>
      </c>
      <c r="Q993">
        <v>5.8330739999999999E-2</v>
      </c>
      <c r="R993">
        <v>-9.8417859999999996E-2</v>
      </c>
      <c r="S993">
        <v>2.9935299999999998</v>
      </c>
      <c r="T993">
        <v>-0.1632016</v>
      </c>
      <c r="U993">
        <v>-0.36251830000000002</v>
      </c>
      <c r="V993">
        <v>8.4678809999999993E-2</v>
      </c>
      <c r="W993">
        <v>7.0897970000000005E-2</v>
      </c>
      <c r="X993">
        <v>0.99388279999999996</v>
      </c>
      <c r="Y993">
        <v>0.10645</v>
      </c>
      <c r="Z993">
        <v>-2.1442369999999998E-3</v>
      </c>
      <c r="AA993">
        <v>0.99431570000000002</v>
      </c>
      <c r="AB993">
        <v>35</v>
      </c>
      <c r="AC993">
        <v>20.1571999999999</v>
      </c>
      <c r="AD993">
        <v>-1.1090828397370001</v>
      </c>
      <c r="AE993">
        <v>-2.4610000000000101</v>
      </c>
      <c r="AF993">
        <v>2.1776194738207102</v>
      </c>
      <c r="AG993">
        <v>-1.1090828397370001</v>
      </c>
      <c r="AH993">
        <v>20.129034768625299</v>
      </c>
      <c r="AI993">
        <v>93.135473901740099</v>
      </c>
      <c r="AJ993">
        <v>83.825583223918699</v>
      </c>
      <c r="AK993">
        <v>20.27683732821</v>
      </c>
      <c r="AL993">
        <v>85.934434825255494</v>
      </c>
      <c r="AM993">
        <v>85.130160576729693</v>
      </c>
      <c r="AN993">
        <v>1.00000002157448</v>
      </c>
    </row>
    <row r="994" spans="1:40" x14ac:dyDescent="0.25">
      <c r="A994" t="str">
        <f>"20190312151004956"</f>
        <v>20190312151004956</v>
      </c>
      <c r="B994" t="str">
        <f>"1552374604951840"</f>
        <v>1552374604951840</v>
      </c>
      <c r="C994" t="s">
        <v>40</v>
      </c>
      <c r="D994">
        <v>5.1473649999999997</v>
      </c>
      <c r="E994">
        <v>0.50807860000000005</v>
      </c>
      <c r="F994" t="s">
        <v>42</v>
      </c>
      <c r="G994">
        <v>-250.29679999999999</v>
      </c>
      <c r="H994" s="1">
        <v>-4.9648929999999997E-6</v>
      </c>
      <c r="I994">
        <v>364.99380000000002</v>
      </c>
      <c r="J994">
        <v>-270.54840000000002</v>
      </c>
      <c r="K994">
        <v>1.109259</v>
      </c>
      <c r="L994">
        <v>367.46469999999999</v>
      </c>
      <c r="M994">
        <v>0.99983089999999997</v>
      </c>
      <c r="N994">
        <v>0</v>
      </c>
      <c r="O994">
        <v>-1.338144E-2</v>
      </c>
      <c r="P994">
        <v>0.99347759999999996</v>
      </c>
      <c r="Q994">
        <v>5.8655529999999997E-2</v>
      </c>
      <c r="R994">
        <v>-9.7784940000000001E-2</v>
      </c>
      <c r="S994">
        <v>2.9935</v>
      </c>
      <c r="T994">
        <v>-0.16239629999999999</v>
      </c>
      <c r="U994">
        <v>-0.36212159999999999</v>
      </c>
      <c r="V994">
        <v>8.4385360000000006E-2</v>
      </c>
      <c r="W994">
        <v>7.1325550000000001E-2</v>
      </c>
      <c r="X994">
        <v>0.99387720000000002</v>
      </c>
      <c r="Y994">
        <v>0.1066623</v>
      </c>
      <c r="Z994">
        <v>-2.1579199999999998E-3</v>
      </c>
      <c r="AA994">
        <v>0.99429299999999998</v>
      </c>
      <c r="AB994">
        <v>35</v>
      </c>
      <c r="AC994">
        <v>20.2516</v>
      </c>
      <c r="AD994">
        <v>-1.1092639648930001</v>
      </c>
      <c r="AE994">
        <v>-2.4708999999999701</v>
      </c>
      <c r="AF994">
        <v>2.19317812885987</v>
      </c>
      <c r="AG994">
        <v>-1.1092639648930001</v>
      </c>
      <c r="AH994">
        <v>20.2230698865188</v>
      </c>
      <c r="AI994">
        <v>93.121343024544302</v>
      </c>
      <c r="AJ994">
        <v>83.810501593553099</v>
      </c>
      <c r="AK994">
        <v>20.371869145558101</v>
      </c>
      <c r="AL994">
        <v>85.909874257700096</v>
      </c>
      <c r="AM994">
        <v>85.146928796909094</v>
      </c>
      <c r="AN994">
        <v>1.00000005587248</v>
      </c>
    </row>
    <row r="995" spans="1:40" x14ac:dyDescent="0.25">
      <c r="A995" t="str">
        <f>"20190312151004969"</f>
        <v>20190312151004969</v>
      </c>
      <c r="B995" t="str">
        <f>"1552374604961601"</f>
        <v>1552374604961601</v>
      </c>
      <c r="C995" t="s">
        <v>40</v>
      </c>
      <c r="D995">
        <v>5.2673009999999998</v>
      </c>
      <c r="E995">
        <v>0.50795009999999996</v>
      </c>
      <c r="F995" t="s">
        <v>42</v>
      </c>
      <c r="G995">
        <v>-249.66560000000001</v>
      </c>
      <c r="H995" s="1">
        <v>-1.3533410000000001E-6</v>
      </c>
      <c r="I995">
        <v>364.95339999999999</v>
      </c>
      <c r="J995">
        <v>-270.3646</v>
      </c>
      <c r="K995">
        <v>1.1094040000000001</v>
      </c>
      <c r="L995">
        <v>367.46260000000001</v>
      </c>
      <c r="M995">
        <v>0.99983390000000005</v>
      </c>
      <c r="N995">
        <v>0</v>
      </c>
      <c r="O995">
        <v>-1.3054130000000001E-2</v>
      </c>
      <c r="P995">
        <v>0.99356239999999996</v>
      </c>
      <c r="Q995">
        <v>5.8561719999999998E-2</v>
      </c>
      <c r="R995">
        <v>-9.6977900000000006E-2</v>
      </c>
      <c r="S995">
        <v>2.9936829999999999</v>
      </c>
      <c r="T995">
        <v>-0.15901949999999901</v>
      </c>
      <c r="U995">
        <v>-0.3600159</v>
      </c>
      <c r="V995">
        <v>8.3902580000000004E-2</v>
      </c>
      <c r="W995">
        <v>7.1320800000000004E-2</v>
      </c>
      <c r="X995">
        <v>0.99391839999999998</v>
      </c>
      <c r="Y995">
        <v>0.1062968</v>
      </c>
      <c r="Z995">
        <v>-2.12071E-3</v>
      </c>
      <c r="AA995">
        <v>0.9943322</v>
      </c>
      <c r="AB995">
        <v>35</v>
      </c>
      <c r="AC995">
        <v>20.698999999999899</v>
      </c>
      <c r="AD995">
        <v>-1.109405353341</v>
      </c>
      <c r="AE995">
        <v>-2.5092000000000199</v>
      </c>
      <c r="AF995">
        <v>2.23243674431665</v>
      </c>
      <c r="AG995">
        <v>-1.109405353341</v>
      </c>
      <c r="AH995">
        <v>20.671472255203501</v>
      </c>
      <c r="AI995">
        <v>93.054301221396599</v>
      </c>
      <c r="AJ995">
        <v>83.836172929105899</v>
      </c>
      <c r="AK995">
        <v>20.82124682273</v>
      </c>
      <c r="AL995">
        <v>85.910147053348894</v>
      </c>
      <c r="AM995">
        <v>85.174761470939501</v>
      </c>
      <c r="AN995">
        <v>1.0000000426509199</v>
      </c>
    </row>
    <row r="996" spans="1:40" x14ac:dyDescent="0.25">
      <c r="A996" t="str">
        <f>"20190312151004982"</f>
        <v>20190312151004982</v>
      </c>
      <c r="B996" t="str">
        <f>"1552374604971360"</f>
        <v>1552374604971360</v>
      </c>
      <c r="C996" t="s">
        <v>40</v>
      </c>
      <c r="D996">
        <v>5.1793310000000004</v>
      </c>
      <c r="E996">
        <v>0.50803149999999997</v>
      </c>
      <c r="F996" t="s">
        <v>42</v>
      </c>
      <c r="G996">
        <v>-250.19810000000001</v>
      </c>
      <c r="H996" s="1">
        <v>-4.9956040000000002E-6</v>
      </c>
      <c r="I996">
        <v>365.05939999999998</v>
      </c>
      <c r="J996">
        <v>-270.16719999999998</v>
      </c>
      <c r="K996">
        <v>1.109553</v>
      </c>
      <c r="L996">
        <v>367.46030000000002</v>
      </c>
      <c r="M996">
        <v>0.99983719999999998</v>
      </c>
      <c r="N996">
        <v>0</v>
      </c>
      <c r="O996">
        <v>-1.270275E-2</v>
      </c>
      <c r="P996">
        <v>0.99362459999999997</v>
      </c>
      <c r="Q996">
        <v>5.8558190000000003E-2</v>
      </c>
      <c r="R996">
        <v>-9.6339140000000004E-2</v>
      </c>
      <c r="S996">
        <v>2.994354</v>
      </c>
      <c r="T996">
        <v>-0.1647267</v>
      </c>
      <c r="U996">
        <v>-0.3568115</v>
      </c>
      <c r="V996">
        <v>8.3612619999999999E-2</v>
      </c>
      <c r="W996">
        <v>7.140879E-2</v>
      </c>
      <c r="X996">
        <v>0.9939365</v>
      </c>
      <c r="Y996">
        <v>0.1055618</v>
      </c>
      <c r="Z996">
        <v>-2.195472E-3</v>
      </c>
      <c r="AA996">
        <v>0.99441029999999997</v>
      </c>
      <c r="AB996">
        <v>35</v>
      </c>
      <c r="AC996">
        <v>19.969099999999901</v>
      </c>
      <c r="AD996">
        <v>-1.109557995604</v>
      </c>
      <c r="AE996">
        <v>-2.4009000000000298</v>
      </c>
      <c r="AF996">
        <v>2.1405086515618299</v>
      </c>
      <c r="AG996">
        <v>-1.109557995604</v>
      </c>
      <c r="AH996">
        <v>19.937313137282601</v>
      </c>
      <c r="AI996">
        <v>93.167194188851298</v>
      </c>
      <c r="AJ996">
        <v>83.872086562509594</v>
      </c>
      <c r="AK996">
        <v>20.082563366440102</v>
      </c>
      <c r="AL996">
        <v>85.9050926415443</v>
      </c>
      <c r="AM996">
        <v>85.191445901905695</v>
      </c>
      <c r="AN996">
        <v>1.00000002577238</v>
      </c>
    </row>
    <row r="997" spans="1:40" x14ac:dyDescent="0.25">
      <c r="A997" t="str">
        <f>"20190312151004995"</f>
        <v>20190312151004995</v>
      </c>
      <c r="B997" t="str">
        <f>"1552374604991855"</f>
        <v>1552374604991855</v>
      </c>
      <c r="C997" t="s">
        <v>40</v>
      </c>
      <c r="D997">
        <v>5.1770110000000003</v>
      </c>
      <c r="E997">
        <v>0.50774010000000003</v>
      </c>
      <c r="F997" t="s">
        <v>42</v>
      </c>
      <c r="G997">
        <v>-250.0488</v>
      </c>
      <c r="H997" s="1">
        <v>-5.056982E-6</v>
      </c>
      <c r="I997">
        <v>365.07459999999998</v>
      </c>
      <c r="J997">
        <v>-269.95</v>
      </c>
      <c r="K997">
        <v>1.1097030000000001</v>
      </c>
      <c r="L997">
        <v>367.4579</v>
      </c>
      <c r="M997">
        <v>0.99984090000000003</v>
      </c>
      <c r="N997">
        <v>0</v>
      </c>
      <c r="O997">
        <v>-1.2315990000000001E-2</v>
      </c>
      <c r="P997">
        <v>0.99367329999999998</v>
      </c>
      <c r="Q997">
        <v>5.8682890000000001E-2</v>
      </c>
      <c r="R997">
        <v>-9.5759410000000003E-2</v>
      </c>
      <c r="S997">
        <v>2.9945680000000001</v>
      </c>
      <c r="T997">
        <v>-0.16515389999999999</v>
      </c>
      <c r="U997">
        <v>-0.35510249999999999</v>
      </c>
      <c r="V997">
        <v>8.3416840000000006E-2</v>
      </c>
      <c r="W997">
        <v>7.1627099999999999E-2</v>
      </c>
      <c r="X997">
        <v>0.99393719999999997</v>
      </c>
      <c r="Y997">
        <v>0.1053775</v>
      </c>
      <c r="Z997">
        <v>-2.2172440000000002E-3</v>
      </c>
      <c r="AA997">
        <v>0.99442980000000003</v>
      </c>
      <c r="AB997">
        <v>35</v>
      </c>
      <c r="AC997">
        <v>19.9011999999999</v>
      </c>
      <c r="AD997">
        <v>-1.1097080569819999</v>
      </c>
      <c r="AE997">
        <v>-2.3833000000000202</v>
      </c>
      <c r="AF997">
        <v>2.1314622259265001</v>
      </c>
      <c r="AG997">
        <v>-1.1097080569819999</v>
      </c>
      <c r="AH997">
        <v>19.868143431455</v>
      </c>
      <c r="AI997">
        <v>93.178654411163393</v>
      </c>
      <c r="AJ997">
        <v>83.876705785509003</v>
      </c>
      <c r="AK997">
        <v>20.0129384800221</v>
      </c>
      <c r="AL997">
        <v>85.892552116826906</v>
      </c>
      <c r="AM997">
        <v>85.202655943967898</v>
      </c>
      <c r="AN997">
        <v>0.99999998409691704</v>
      </c>
    </row>
    <row r="998" spans="1:40" x14ac:dyDescent="0.25">
      <c r="A998" t="str">
        <f>"20190312151005009"</f>
        <v>20190312151005009</v>
      </c>
      <c r="B998" t="str">
        <f>"1552374605001616"</f>
        <v>1552374605001616</v>
      </c>
      <c r="C998" t="s">
        <v>40</v>
      </c>
      <c r="D998">
        <v>5.3785129999999999</v>
      </c>
      <c r="E998">
        <v>0.50774010000000003</v>
      </c>
      <c r="F998" t="s">
        <v>42</v>
      </c>
      <c r="G998">
        <v>-250.53909999999999</v>
      </c>
      <c r="H998" s="1">
        <v>-4.8278249999999998E-6</v>
      </c>
      <c r="I998">
        <v>365.18060000000003</v>
      </c>
      <c r="J998">
        <v>-269.74880000000002</v>
      </c>
      <c r="K998">
        <v>1.10982</v>
      </c>
      <c r="L998">
        <v>367.45580000000001</v>
      </c>
      <c r="M998">
        <v>0.99984419999999996</v>
      </c>
      <c r="N998">
        <v>0</v>
      </c>
      <c r="O998">
        <v>-1.195764E-2</v>
      </c>
      <c r="P998">
        <v>0.99370559999999997</v>
      </c>
      <c r="Q998">
        <v>5.8837059999999997E-2</v>
      </c>
      <c r="R998">
        <v>-9.5327239999999994E-2</v>
      </c>
      <c r="S998">
        <v>2.9953310000000002</v>
      </c>
      <c r="T998">
        <v>-0.17124039999999999</v>
      </c>
      <c r="U998">
        <v>-0.3514099</v>
      </c>
      <c r="V998">
        <v>8.3340639999999994E-2</v>
      </c>
      <c r="W998">
        <v>7.1860610000000005E-2</v>
      </c>
      <c r="X998">
        <v>0.9939268</v>
      </c>
      <c r="Y998">
        <v>0.1044856</v>
      </c>
      <c r="Z998">
        <v>-2.2934159999999999E-3</v>
      </c>
      <c r="AA998">
        <v>0.99452379999999996</v>
      </c>
      <c r="AB998">
        <v>35</v>
      </c>
      <c r="AC998">
        <v>19.209700000000002</v>
      </c>
      <c r="AD998">
        <v>-1.109824827825</v>
      </c>
      <c r="AE998">
        <v>-2.2751999999999799</v>
      </c>
      <c r="AF998">
        <v>2.0386048278330802</v>
      </c>
      <c r="AG998">
        <v>-1.109824827825</v>
      </c>
      <c r="AH998">
        <v>19.172425178491999</v>
      </c>
      <c r="AI998">
        <v>93.294425824277596</v>
      </c>
      <c r="AJ998">
        <v>83.930542560705803</v>
      </c>
      <c r="AK998">
        <v>19.312418492187799</v>
      </c>
      <c r="AL998">
        <v>85.879138671417905</v>
      </c>
      <c r="AM998">
        <v>85.206967900805594</v>
      </c>
      <c r="AN998">
        <v>1.0000000466517001</v>
      </c>
    </row>
    <row r="999" spans="1:40" x14ac:dyDescent="0.25">
      <c r="A999" t="str">
        <f>"20190312151005021"</f>
        <v>20190312151005021</v>
      </c>
      <c r="B999" t="str">
        <f>"1552374605011376"</f>
        <v>1552374605011376</v>
      </c>
      <c r="C999" t="s">
        <v>40</v>
      </c>
      <c r="D999">
        <v>5.2718230000000004</v>
      </c>
      <c r="E999">
        <v>0.47085569999999999</v>
      </c>
      <c r="F999" t="s">
        <v>42</v>
      </c>
      <c r="G999">
        <v>-250.28149999999999</v>
      </c>
      <c r="H999" s="1">
        <v>-4.9382109999999997E-6</v>
      </c>
      <c r="I999">
        <v>365.1814</v>
      </c>
      <c r="J999">
        <v>-269.56040000000002</v>
      </c>
      <c r="K999">
        <v>1.1099209999999999</v>
      </c>
      <c r="L999">
        <v>367.45389999999998</v>
      </c>
      <c r="M999">
        <v>0.99984729999999999</v>
      </c>
      <c r="N999">
        <v>0</v>
      </c>
      <c r="O999">
        <v>-1.1621889999999999E-2</v>
      </c>
      <c r="P999">
        <v>0.99374969999999996</v>
      </c>
      <c r="Q999">
        <v>5.8968920000000001E-2</v>
      </c>
      <c r="R999">
        <v>-9.4786060000000005E-2</v>
      </c>
      <c r="S999">
        <v>2.9955750000000001</v>
      </c>
      <c r="T999">
        <v>-0.17077609999999999</v>
      </c>
      <c r="U999">
        <v>-0.3499756</v>
      </c>
      <c r="V999">
        <v>8.3132540000000005E-2</v>
      </c>
      <c r="W999">
        <v>7.2063219999999997E-2</v>
      </c>
      <c r="X999">
        <v>0.99392950000000002</v>
      </c>
      <c r="Y999">
        <v>0.1043409</v>
      </c>
      <c r="Z999">
        <v>-2.3020340000000001E-3</v>
      </c>
      <c r="AA999">
        <v>0.9945389</v>
      </c>
      <c r="AB999">
        <v>35</v>
      </c>
      <c r="AC999">
        <v>19.2789</v>
      </c>
      <c r="AD999">
        <v>-1.1099259382109901</v>
      </c>
      <c r="AE999">
        <v>-2.2724999999999702</v>
      </c>
      <c r="AF999">
        <v>2.0415959402656898</v>
      </c>
      <c r="AG999">
        <v>-1.1099259382109901</v>
      </c>
      <c r="AH999">
        <v>19.241109268517398</v>
      </c>
      <c r="AI999">
        <v>93.283067154316996</v>
      </c>
      <c r="AJ999">
        <v>83.943239701374395</v>
      </c>
      <c r="AK999">
        <v>19.3809271051373</v>
      </c>
      <c r="AL999">
        <v>85.867499559925506</v>
      </c>
      <c r="AM999">
        <v>85.218893389041696</v>
      </c>
      <c r="AN999">
        <v>0.99999998892693398</v>
      </c>
    </row>
    <row r="1000" spans="1:40" x14ac:dyDescent="0.25">
      <c r="A1000" t="str">
        <f>"20190312151005032"</f>
        <v>20190312151005032</v>
      </c>
      <c r="B1000" t="str">
        <f>"1552374605022113"</f>
        <v>1552374605022113</v>
      </c>
      <c r="C1000" t="s">
        <v>40</v>
      </c>
      <c r="D1000">
        <v>5.261539</v>
      </c>
      <c r="E1000">
        <v>0.46479179999999998</v>
      </c>
      <c r="F1000" t="s">
        <v>41</v>
      </c>
      <c r="G1000">
        <v>-268.5761</v>
      </c>
      <c r="H1000">
        <v>1.0395219999999901</v>
      </c>
      <c r="I1000">
        <v>367.43549999999999</v>
      </c>
      <c r="J1000">
        <v>-269.37619999999998</v>
      </c>
      <c r="K1000">
        <v>1.1100080000000001</v>
      </c>
      <c r="L1000">
        <v>367.452</v>
      </c>
      <c r="M1000">
        <v>0.99985009999999996</v>
      </c>
      <c r="N1000">
        <v>0</v>
      </c>
      <c r="O1000">
        <v>-1.129374E-2</v>
      </c>
      <c r="P1000">
        <v>0.99380930000000001</v>
      </c>
      <c r="Q1000">
        <v>5.8971469999999998E-2</v>
      </c>
      <c r="R1000">
        <v>-9.4156420000000005E-2</v>
      </c>
      <c r="S1000">
        <v>3.0263979999999999</v>
      </c>
      <c r="T1000">
        <v>-0.21665509999999999</v>
      </c>
      <c r="U1000">
        <v>-5.5938719999999997E-2</v>
      </c>
      <c r="V1000">
        <v>8.282863E-2</v>
      </c>
      <c r="W1000">
        <v>7.2129819999999997E-2</v>
      </c>
      <c r="X1000">
        <v>0.99395009999999995</v>
      </c>
      <c r="Y1000">
        <v>7.196961E-3</v>
      </c>
      <c r="Z1000">
        <v>5.5017659999999997E-4</v>
      </c>
      <c r="AA1000">
        <v>0.99997400000000003</v>
      </c>
      <c r="AB1000">
        <v>34</v>
      </c>
      <c r="AC1000">
        <v>0.80009999999998604</v>
      </c>
      <c r="AD1000">
        <v>-7.0485999999999993E-2</v>
      </c>
      <c r="AE1000">
        <v>-1.6500000000007699E-2</v>
      </c>
      <c r="AF1000">
        <v>7.40460524746337E-3</v>
      </c>
      <c r="AG1000">
        <v>-7.0485999999999993E-2</v>
      </c>
      <c r="AH1000">
        <v>0.79407513623704296</v>
      </c>
      <c r="AI1000">
        <v>95.072340058941606</v>
      </c>
      <c r="AJ1000">
        <v>89.465742831687095</v>
      </c>
      <c r="AK1000">
        <v>0.79723172689297095</v>
      </c>
      <c r="AL1000">
        <v>85.863673945771595</v>
      </c>
      <c r="AM1000">
        <v>85.2363895088764</v>
      </c>
      <c r="AN1000">
        <v>1.00000004708545</v>
      </c>
    </row>
    <row r="1001" spans="1:40" x14ac:dyDescent="0.25">
      <c r="A1001" t="str">
        <f>"20190312151005052"</f>
        <v>20190312151005052</v>
      </c>
      <c r="B1001" t="str">
        <f>"1552374605041631"</f>
        <v>1552374605041631</v>
      </c>
      <c r="C1001" t="s">
        <v>40</v>
      </c>
      <c r="D1001">
        <v>5.2383280000000001</v>
      </c>
      <c r="E1001">
        <v>0.45994089999999999</v>
      </c>
      <c r="F1001" t="s">
        <v>42</v>
      </c>
      <c r="G1001">
        <v>-253.2808</v>
      </c>
      <c r="H1001" s="1">
        <v>-3.2539450000000001E-6</v>
      </c>
      <c r="I1001">
        <v>367.42270000000002</v>
      </c>
      <c r="J1001">
        <v>-269.08159999999998</v>
      </c>
      <c r="K1001">
        <v>1.1101350000000001</v>
      </c>
      <c r="L1001">
        <v>367.44920000000002</v>
      </c>
      <c r="M1001">
        <v>0.99985469999999999</v>
      </c>
      <c r="N1001">
        <v>0</v>
      </c>
      <c r="O1001">
        <v>-1.076884E-2</v>
      </c>
      <c r="P1001">
        <v>0.99392440000000004</v>
      </c>
      <c r="Q1001">
        <v>5.8417480000000001E-2</v>
      </c>
      <c r="R1001">
        <v>-9.3283950000000004E-2</v>
      </c>
      <c r="S1001">
        <v>3.0305789999999999</v>
      </c>
      <c r="T1001">
        <v>-0.2090014</v>
      </c>
      <c r="U1001">
        <v>-5.5236819999999898E-3</v>
      </c>
      <c r="V1001">
        <v>8.2477830000000002E-2</v>
      </c>
      <c r="W1001">
        <v>7.1670380000000006E-2</v>
      </c>
      <c r="X1001">
        <v>0.99401249999999997</v>
      </c>
      <c r="Y1001">
        <v>-8.9005059999999903E-3</v>
      </c>
      <c r="Z1001">
        <v>1.0483790000000001E-3</v>
      </c>
      <c r="AA1001">
        <v>0.99995979999999995</v>
      </c>
      <c r="AB1001">
        <v>34</v>
      </c>
      <c r="AC1001">
        <v>15.800799999999899</v>
      </c>
      <c r="AD1001">
        <v>-1.110138253945</v>
      </c>
      <c r="AE1001">
        <v>-2.6499999999998601E-2</v>
      </c>
      <c r="AF1001">
        <v>-0.14296696467752301</v>
      </c>
      <c r="AG1001">
        <v>-1.110138253945</v>
      </c>
      <c r="AH1001">
        <v>15.7225589640304</v>
      </c>
      <c r="AI1001">
        <v>94.038670340253603</v>
      </c>
      <c r="AJ1001">
        <v>90.520982490697307</v>
      </c>
      <c r="AK1001">
        <v>15.762350931040499</v>
      </c>
      <c r="AL1001">
        <v>85.890066208294897</v>
      </c>
      <c r="AM1001">
        <v>85.256768755553395</v>
      </c>
      <c r="AN1001">
        <v>1.0000000429835501</v>
      </c>
    </row>
    <row r="1002" spans="1:40" x14ac:dyDescent="0.25">
      <c r="A1002" t="str">
        <f>"20190312151005065"</f>
        <v>20190312151005065</v>
      </c>
      <c r="B1002" t="str">
        <f>"1552374605062128"</f>
        <v>1552374605062128</v>
      </c>
      <c r="C1002" t="s">
        <v>40</v>
      </c>
      <c r="D1002">
        <v>5.3172620000000004</v>
      </c>
      <c r="E1002">
        <v>0.4579203</v>
      </c>
      <c r="F1002" t="s">
        <v>42</v>
      </c>
      <c r="G1002">
        <v>-252.4308</v>
      </c>
      <c r="H1002" s="1">
        <v>-3.578995E-6</v>
      </c>
      <c r="I1002">
        <v>367.64589999999998</v>
      </c>
      <c r="J1002">
        <v>-268.89409999999998</v>
      </c>
      <c r="K1002">
        <v>1.1102069999999999</v>
      </c>
      <c r="L1002">
        <v>367.44760000000002</v>
      </c>
      <c r="M1002">
        <v>0.99985749999999995</v>
      </c>
      <c r="N1002">
        <v>0</v>
      </c>
      <c r="O1002">
        <v>-1.043444E-2</v>
      </c>
      <c r="P1002">
        <v>0.99392270000000005</v>
      </c>
      <c r="Q1002">
        <v>5.865998E-2</v>
      </c>
      <c r="R1002">
        <v>-9.3149129999999997E-2</v>
      </c>
      <c r="S1002">
        <v>3.033569</v>
      </c>
      <c r="T1002">
        <v>-0.20225290000000001</v>
      </c>
      <c r="U1002">
        <v>3.5827640000000001E-2</v>
      </c>
      <c r="V1002">
        <v>8.2675449999999998E-2</v>
      </c>
      <c r="W1002">
        <v>7.1967149999999994E-2</v>
      </c>
      <c r="X1002">
        <v>0.99397460000000004</v>
      </c>
      <c r="Y1002">
        <v>-2.2171179999999999E-2</v>
      </c>
      <c r="Z1002">
        <v>1.4331960000000001E-3</v>
      </c>
      <c r="AA1002">
        <v>0.99975320000000001</v>
      </c>
      <c r="AB1002">
        <v>34</v>
      </c>
      <c r="AC1002">
        <v>16.463299999999901</v>
      </c>
      <c r="AD1002">
        <v>-1.1102105789950001</v>
      </c>
      <c r="AE1002">
        <v>0.19829999999996001</v>
      </c>
      <c r="AF1002">
        <v>-0.36841450826340499</v>
      </c>
      <c r="AG1002">
        <v>-1.1102105789950001</v>
      </c>
      <c r="AH1002">
        <v>16.385829766744699</v>
      </c>
      <c r="AI1002">
        <v>93.875135560171103</v>
      </c>
      <c r="AJ1002">
        <v>91.288005605395497</v>
      </c>
      <c r="AK1002">
        <v>16.4275291484857</v>
      </c>
      <c r="AL1002">
        <v>85.873018353228801</v>
      </c>
      <c r="AM1002">
        <v>85.245275375476197</v>
      </c>
      <c r="AN1002">
        <v>1.0000000030784899</v>
      </c>
    </row>
    <row r="1003" spans="1:40" x14ac:dyDescent="0.25">
      <c r="A1003" t="str">
        <f>"20190312151005076"</f>
        <v>20190312151005076</v>
      </c>
      <c r="B1003" t="str">
        <f>"1552374605071888"</f>
        <v>1552374605071888</v>
      </c>
      <c r="C1003" t="s">
        <v>40</v>
      </c>
      <c r="D1003">
        <v>5.315931</v>
      </c>
      <c r="E1003">
        <v>0.45740049999999999</v>
      </c>
      <c r="F1003" t="s">
        <v>42</v>
      </c>
      <c r="G1003">
        <v>-252.35900000000001</v>
      </c>
      <c r="H1003" s="1">
        <v>-3.5943489999999999E-6</v>
      </c>
      <c r="I1003">
        <v>367.733</v>
      </c>
      <c r="J1003">
        <v>-268.7054</v>
      </c>
      <c r="K1003">
        <v>1.1102730000000001</v>
      </c>
      <c r="L1003">
        <v>367.44589999999999</v>
      </c>
      <c r="M1003">
        <v>0.99986030000000004</v>
      </c>
      <c r="N1003">
        <v>0</v>
      </c>
      <c r="O1003">
        <v>-1.009789E-2</v>
      </c>
      <c r="P1003">
        <v>0.99398920000000002</v>
      </c>
      <c r="Q1003">
        <v>5.8435040000000001E-2</v>
      </c>
      <c r="R1003">
        <v>-9.2580590000000004E-2</v>
      </c>
      <c r="S1003">
        <v>3.0352779999999999</v>
      </c>
      <c r="T1003">
        <v>-0.20379539999999999</v>
      </c>
      <c r="U1003">
        <v>5.2398680000000003E-2</v>
      </c>
      <c r="V1003">
        <v>8.2441230000000004E-2</v>
      </c>
      <c r="W1003">
        <v>7.1794979999999994E-2</v>
      </c>
      <c r="X1003">
        <v>0.99400650000000002</v>
      </c>
      <c r="Y1003">
        <v>-2.7272930000000001E-2</v>
      </c>
      <c r="Z1003">
        <v>1.591734E-3</v>
      </c>
      <c r="AA1003">
        <v>0.99962680000000004</v>
      </c>
      <c r="AB1003">
        <v>34</v>
      </c>
      <c r="AC1003">
        <v>16.3463999999999</v>
      </c>
      <c r="AD1003">
        <v>-1.1102765943490001</v>
      </c>
      <c r="AE1003">
        <v>0.28710000000000901</v>
      </c>
      <c r="AF1003">
        <v>-0.45008836984951001</v>
      </c>
      <c r="AG1003">
        <v>-1.1102765943490001</v>
      </c>
      <c r="AH1003">
        <v>16.267641591531198</v>
      </c>
      <c r="AI1003">
        <v>93.902928485503693</v>
      </c>
      <c r="AJ1003">
        <v>91.584838624452999</v>
      </c>
      <c r="AK1003">
        <v>16.311696926044998</v>
      </c>
      <c r="AL1003">
        <v>85.882908533783606</v>
      </c>
      <c r="AM1003">
        <v>85.258835505899896</v>
      </c>
      <c r="AN1003">
        <v>0.99999999879968104</v>
      </c>
    </row>
    <row r="1004" spans="1:40" x14ac:dyDescent="0.25">
      <c r="A1004" t="str">
        <f>"20190312151005090"</f>
        <v>20190312151005090</v>
      </c>
      <c r="B1004" t="str">
        <f>"1552374605081648"</f>
        <v>1552374605081648</v>
      </c>
      <c r="C1004" t="s">
        <v>40</v>
      </c>
      <c r="D1004">
        <v>5.3719210000000004</v>
      </c>
      <c r="E1004">
        <v>0.45691549999999997</v>
      </c>
      <c r="F1004" t="s">
        <v>42</v>
      </c>
      <c r="G1004">
        <v>-252.35120000000001</v>
      </c>
      <c r="H1004" s="1">
        <v>-3.5931220000000001E-6</v>
      </c>
      <c r="I1004">
        <v>367.75889999999998</v>
      </c>
      <c r="J1004">
        <v>-268.50900000000001</v>
      </c>
      <c r="K1004">
        <v>1.110331</v>
      </c>
      <c r="L1004">
        <v>367.44420000000002</v>
      </c>
      <c r="M1004">
        <v>0.99986299999999995</v>
      </c>
      <c r="N1004">
        <v>0</v>
      </c>
      <c r="O1004">
        <v>-9.7476049999999995E-3</v>
      </c>
      <c r="P1004">
        <v>0.99402109999999999</v>
      </c>
      <c r="Q1004">
        <v>5.83597E-2</v>
      </c>
      <c r="R1004">
        <v>-9.2283840000000006E-2</v>
      </c>
      <c r="S1004">
        <v>3.0356749999999999</v>
      </c>
      <c r="T1004">
        <v>-0.20608940000000001</v>
      </c>
      <c r="U1004">
        <v>5.8105469999999999E-2</v>
      </c>
      <c r="V1004">
        <v>8.2492869999999996E-2</v>
      </c>
      <c r="W1004">
        <v>7.1769310000000003E-2</v>
      </c>
      <c r="X1004">
        <v>0.99400409999999995</v>
      </c>
      <c r="Y1004">
        <v>-2.8794460000000001E-2</v>
      </c>
      <c r="Z1004">
        <v>1.6372050000000001E-3</v>
      </c>
      <c r="AA1004">
        <v>0.99958400000000003</v>
      </c>
      <c r="AB1004">
        <v>34</v>
      </c>
      <c r="AC1004">
        <v>16.157800000000002</v>
      </c>
      <c r="AD1004">
        <v>-1.1103345931219999</v>
      </c>
      <c r="AE1004">
        <v>0.31469999999995901</v>
      </c>
      <c r="AF1004">
        <v>-0.46998049893861599</v>
      </c>
      <c r="AG1004">
        <v>-1.1103345931219999</v>
      </c>
      <c r="AH1004">
        <v>16.0780694964321</v>
      </c>
      <c r="AI1004">
        <v>93.948832780565198</v>
      </c>
      <c r="AJ1004">
        <v>91.674344881493795</v>
      </c>
      <c r="AK1004">
        <v>16.1232144223838</v>
      </c>
      <c r="AL1004">
        <v>85.884383245460796</v>
      </c>
      <c r="AM1004">
        <v>85.255867857404198</v>
      </c>
      <c r="AN1004">
        <v>1.00000002913776</v>
      </c>
    </row>
    <row r="1005" spans="1:40" x14ac:dyDescent="0.25">
      <c r="A1005" t="str">
        <f>"20190312151005108"</f>
        <v>20190312151005108</v>
      </c>
      <c r="B1005" t="str">
        <f>"1552374605102144"</f>
        <v>1552374605102144</v>
      </c>
      <c r="C1005" t="s">
        <v>40</v>
      </c>
      <c r="D1005">
        <v>5.3714199999999996</v>
      </c>
      <c r="E1005">
        <v>0.45625100000000002</v>
      </c>
      <c r="F1005" t="s">
        <v>42</v>
      </c>
      <c r="G1005">
        <v>-252.21610000000001</v>
      </c>
      <c r="H1005" s="1">
        <v>-3.6473370000000002E-6</v>
      </c>
      <c r="I1005">
        <v>367.78</v>
      </c>
      <c r="J1005">
        <v>-268.21679999999998</v>
      </c>
      <c r="K1005">
        <v>1.110406</v>
      </c>
      <c r="L1005">
        <v>367.44200000000001</v>
      </c>
      <c r="M1005">
        <v>0.99986730000000001</v>
      </c>
      <c r="N1005">
        <v>0</v>
      </c>
      <c r="O1005">
        <v>-9.225904E-3</v>
      </c>
      <c r="P1005">
        <v>0.99406050000000001</v>
      </c>
      <c r="Q1005">
        <v>5.8384110000000003E-2</v>
      </c>
      <c r="R1005">
        <v>-9.1845650000000001E-2</v>
      </c>
      <c r="S1005">
        <v>3.036041</v>
      </c>
      <c r="T1005">
        <v>-0.20689959999999999</v>
      </c>
      <c r="U1005">
        <v>6.2561039999999998E-2</v>
      </c>
      <c r="V1005">
        <v>8.2573289999999994E-2</v>
      </c>
      <c r="W1005">
        <v>7.1861099999999997E-2</v>
      </c>
      <c r="X1005">
        <v>0.99399079999999995</v>
      </c>
      <c r="Y1005">
        <v>-2.9735310000000001E-2</v>
      </c>
      <c r="Z1005">
        <v>1.6399139999999999E-3</v>
      </c>
      <c r="AA1005">
        <v>0.99955649999999996</v>
      </c>
      <c r="AB1005">
        <v>34</v>
      </c>
      <c r="AC1005">
        <v>16.000699999999899</v>
      </c>
      <c r="AD1005">
        <v>-1.110409647337</v>
      </c>
      <c r="AE1005">
        <v>0.33800000000002201</v>
      </c>
      <c r="AF1005">
        <v>-0.48329332837176597</v>
      </c>
      <c r="AG1005">
        <v>-1.110409647337</v>
      </c>
      <c r="AH1005">
        <v>15.920262118753101</v>
      </c>
      <c r="AI1005">
        <v>93.987984816932993</v>
      </c>
      <c r="AJ1005">
        <v>91.738800926778495</v>
      </c>
      <c r="AK1005">
        <v>15.966255915397101</v>
      </c>
      <c r="AL1005">
        <v>85.879110488825802</v>
      </c>
      <c r="AM1005">
        <v>85.251200826365704</v>
      </c>
      <c r="AN1005">
        <v>1.0000000381996299</v>
      </c>
    </row>
    <row r="1006" spans="1:40" x14ac:dyDescent="0.25">
      <c r="A1006" t="str">
        <f>"20190312151005130"</f>
        <v>20190312151005130</v>
      </c>
      <c r="B1006" t="str">
        <f>"1552374605121663"</f>
        <v>1552374605121663</v>
      </c>
      <c r="C1006" t="s">
        <v>40</v>
      </c>
      <c r="D1006">
        <v>5.3149119999999996</v>
      </c>
      <c r="E1006">
        <v>0.45605200000000001</v>
      </c>
      <c r="F1006" t="s">
        <v>42</v>
      </c>
      <c r="G1006">
        <v>-252.25229999999999</v>
      </c>
      <c r="H1006" s="1">
        <v>-3.6270589999999999E-6</v>
      </c>
      <c r="I1006">
        <v>367.8066</v>
      </c>
      <c r="J1006">
        <v>-267.8877</v>
      </c>
      <c r="K1006">
        <v>1.110479</v>
      </c>
      <c r="L1006">
        <v>367.43950000000001</v>
      </c>
      <c r="M1006">
        <v>0.99987139999999997</v>
      </c>
      <c r="N1006">
        <v>0</v>
      </c>
      <c r="O1006">
        <v>-8.6381679999999999E-3</v>
      </c>
      <c r="P1006">
        <v>0.99408479999999999</v>
      </c>
      <c r="Q1006">
        <v>5.8657239999999999E-2</v>
      </c>
      <c r="R1006">
        <v>-9.1404979999999997E-2</v>
      </c>
      <c r="S1006">
        <v>3.036743</v>
      </c>
      <c r="T1006">
        <v>-0.21121989999999999</v>
      </c>
      <c r="U1006">
        <v>6.9366460000000005E-2</v>
      </c>
      <c r="V1006">
        <v>8.2716979999999996E-2</v>
      </c>
      <c r="W1006">
        <v>7.2202089999999997E-2</v>
      </c>
      <c r="X1006">
        <v>0.99395409999999995</v>
      </c>
      <c r="Y1006">
        <v>-3.1375649999999998E-2</v>
      </c>
      <c r="Z1006">
        <v>1.6897909999999999E-3</v>
      </c>
      <c r="AA1006">
        <v>0.99950620000000001</v>
      </c>
      <c r="AB1006">
        <v>34</v>
      </c>
      <c r="AC1006">
        <v>15.635400000000001</v>
      </c>
      <c r="AD1006">
        <v>-1.110482627059</v>
      </c>
      <c r="AE1006">
        <v>0.36709999999999299</v>
      </c>
      <c r="AF1006">
        <v>-0.49964086677225999</v>
      </c>
      <c r="AG1006">
        <v>-1.110482627059</v>
      </c>
      <c r="AH1006">
        <v>15.5532323982605</v>
      </c>
      <c r="AI1006">
        <v>94.081822952200397</v>
      </c>
      <c r="AJ1006">
        <v>91.839969378644</v>
      </c>
      <c r="AK1006">
        <v>15.6008285259164</v>
      </c>
      <c r="AL1006">
        <v>85.859522146480899</v>
      </c>
      <c r="AM1006">
        <v>85.242800250327903</v>
      </c>
      <c r="AN1006">
        <v>0.99999999674374895</v>
      </c>
    </row>
    <row r="1007" spans="1:40" x14ac:dyDescent="0.25">
      <c r="A1007" t="str">
        <f>"20190312151005143"</f>
        <v>20190312151005143</v>
      </c>
      <c r="B1007" t="str">
        <f>"1552374605131424"</f>
        <v>1552374605131424</v>
      </c>
      <c r="C1007" t="s">
        <v>40</v>
      </c>
      <c r="D1007">
        <v>5.3143979999999997</v>
      </c>
      <c r="E1007">
        <v>0.45591880000000001</v>
      </c>
      <c r="F1007" t="s">
        <v>42</v>
      </c>
      <c r="G1007">
        <v>-251.96449999999999</v>
      </c>
      <c r="H1007" s="1">
        <v>-3.7483819999999999E-6</v>
      </c>
      <c r="I1007">
        <v>367.81889999999999</v>
      </c>
      <c r="J1007">
        <v>-267.69959999999998</v>
      </c>
      <c r="K1007">
        <v>1.110517</v>
      </c>
      <c r="L1007">
        <v>367.43819999999999</v>
      </c>
      <c r="M1007">
        <v>0.99987389999999998</v>
      </c>
      <c r="N1007">
        <v>0</v>
      </c>
      <c r="O1007">
        <v>-8.3024710000000005E-3</v>
      </c>
      <c r="P1007">
        <v>0.99412129999999999</v>
      </c>
      <c r="Q1007">
        <v>5.8908299999999997E-2</v>
      </c>
      <c r="R1007">
        <v>-9.0848100000000001E-2</v>
      </c>
      <c r="S1007">
        <v>3.0370180000000002</v>
      </c>
      <c r="T1007">
        <v>-0.21179970000000001</v>
      </c>
      <c r="U1007">
        <v>7.2357179999999993E-2</v>
      </c>
      <c r="V1007">
        <v>8.2493259999999999E-2</v>
      </c>
      <c r="W1007">
        <v>7.2487940000000001E-2</v>
      </c>
      <c r="X1007">
        <v>0.9939519</v>
      </c>
      <c r="Y1007">
        <v>-3.2020489999999999E-2</v>
      </c>
      <c r="Z1007">
        <v>1.6933199999999999E-3</v>
      </c>
      <c r="AA1007">
        <v>0.99948579999999998</v>
      </c>
      <c r="AB1007">
        <v>34</v>
      </c>
      <c r="AC1007">
        <v>15.7350999999999</v>
      </c>
      <c r="AD1007">
        <v>-1.1105207483820001</v>
      </c>
      <c r="AE1007">
        <v>0.38069999999998999</v>
      </c>
      <c r="AF1007">
        <v>-0.50880619139974304</v>
      </c>
      <c r="AG1007">
        <v>-1.1105207483820001</v>
      </c>
      <c r="AH1007">
        <v>15.653472594913699</v>
      </c>
      <c r="AI1007">
        <v>94.055860881468405</v>
      </c>
      <c r="AJ1007">
        <v>91.861707479652097</v>
      </c>
      <c r="AK1007">
        <v>15.701061886149899</v>
      </c>
      <c r="AL1007">
        <v>85.843101172146703</v>
      </c>
      <c r="AM1007">
        <v>85.255597516597604</v>
      </c>
      <c r="AN1007">
        <v>1.0000000094522401</v>
      </c>
    </row>
    <row r="1008" spans="1:40" x14ac:dyDescent="0.25">
      <c r="A1008" t="str">
        <f>"20190312151005152"</f>
        <v>20190312151005152</v>
      </c>
      <c r="B1008" t="str">
        <f>"1552374605142160"</f>
        <v>1552374605142160</v>
      </c>
      <c r="C1008" t="s">
        <v>40</v>
      </c>
      <c r="D1008">
        <v>5.1830230000000004</v>
      </c>
      <c r="E1008">
        <v>0.45581860000000002</v>
      </c>
      <c r="F1008" t="s">
        <v>42</v>
      </c>
      <c r="G1008">
        <v>-251.8278</v>
      </c>
      <c r="H1008" s="1">
        <v>-3.805253E-6</v>
      </c>
      <c r="I1008">
        <v>367.8288</v>
      </c>
      <c r="J1008">
        <v>-267.53609999999998</v>
      </c>
      <c r="K1008">
        <v>1.1105480000000001</v>
      </c>
      <c r="L1008">
        <v>367.43709999999999</v>
      </c>
      <c r="M1008">
        <v>0.99987590000000004</v>
      </c>
      <c r="N1008">
        <v>0</v>
      </c>
      <c r="O1008">
        <v>-8.0101219999999997E-3</v>
      </c>
      <c r="P1008">
        <v>0.99416720000000003</v>
      </c>
      <c r="Q1008">
        <v>5.8887210000000002E-2</v>
      </c>
      <c r="R1008">
        <v>-9.0355099999999994E-2</v>
      </c>
      <c r="S1008">
        <v>3.0371700000000001</v>
      </c>
      <c r="T1008">
        <v>-0.21250359999999999</v>
      </c>
      <c r="U1008">
        <v>7.473755E-2</v>
      </c>
      <c r="V1008">
        <v>8.2290859999999993E-2</v>
      </c>
      <c r="W1008">
        <v>7.249506E-2</v>
      </c>
      <c r="X1008">
        <v>0.99396810000000002</v>
      </c>
      <c r="Y1008">
        <v>-3.2508820000000001E-2</v>
      </c>
      <c r="Z1008">
        <v>1.695464E-3</v>
      </c>
      <c r="AA1008">
        <v>0.99946999999999997</v>
      </c>
      <c r="AB1008">
        <v>34</v>
      </c>
      <c r="AC1008">
        <v>15.7082999999999</v>
      </c>
      <c r="AD1008">
        <v>-1.1105518052529999</v>
      </c>
      <c r="AE1008">
        <v>0.39170000000001398</v>
      </c>
      <c r="AF1008">
        <v>-0.51495214191569705</v>
      </c>
      <c r="AG1008">
        <v>-1.1105518052529999</v>
      </c>
      <c r="AH1008">
        <v>15.6266007527329</v>
      </c>
      <c r="AI1008">
        <v>94.062865864522493</v>
      </c>
      <c r="AJ1008">
        <v>91.887416960427103</v>
      </c>
      <c r="AK1008">
        <v>15.6744745400261</v>
      </c>
      <c r="AL1008">
        <v>85.842691909104701</v>
      </c>
      <c r="AM1008">
        <v>85.267261911263802</v>
      </c>
      <c r="AN1008">
        <v>0.99999995159077504</v>
      </c>
    </row>
    <row r="1009" spans="1:40" x14ac:dyDescent="0.25">
      <c r="A1009" t="str">
        <f>"20190312151005165"</f>
        <v>20190312151005165</v>
      </c>
      <c r="B1009" t="str">
        <f>"1552374605161680"</f>
        <v>1552374605161680</v>
      </c>
      <c r="C1009" t="s">
        <v>40</v>
      </c>
      <c r="D1009">
        <v>5.1738619999999997</v>
      </c>
      <c r="E1009">
        <v>0.45577069999999997</v>
      </c>
      <c r="F1009" t="s">
        <v>42</v>
      </c>
      <c r="G1009">
        <v>-251.76240000000001</v>
      </c>
      <c r="H1009" s="1">
        <v>-3.8320119999999901E-6</v>
      </c>
      <c r="I1009">
        <v>367.83620000000002</v>
      </c>
      <c r="J1009">
        <v>-267.35500000000002</v>
      </c>
      <c r="K1009">
        <v>1.1105799999999999</v>
      </c>
      <c r="L1009">
        <v>367.43599999999998</v>
      </c>
      <c r="M1009">
        <v>0.99987800000000004</v>
      </c>
      <c r="N1009">
        <v>0</v>
      </c>
      <c r="O1009">
        <v>-7.686549E-3</v>
      </c>
      <c r="P1009">
        <v>0.99418010000000001</v>
      </c>
      <c r="Q1009">
        <v>5.9242700000000002E-2</v>
      </c>
      <c r="R1009">
        <v>-8.99784E-2</v>
      </c>
      <c r="S1009">
        <v>3.0372309999999998</v>
      </c>
      <c r="T1009">
        <v>-0.21383569999999999</v>
      </c>
      <c r="U1009">
        <v>7.6843259999999997E-2</v>
      </c>
      <c r="V1009">
        <v>8.2235589999999997E-2</v>
      </c>
      <c r="W1009">
        <v>7.2879780000000005E-2</v>
      </c>
      <c r="X1009">
        <v>0.99394459999999996</v>
      </c>
      <c r="Y1009">
        <v>-3.2876040000000002E-2</v>
      </c>
      <c r="Z1009">
        <v>1.6961750000000001E-3</v>
      </c>
      <c r="AA1009">
        <v>0.99945799999999996</v>
      </c>
      <c r="AB1009">
        <v>34</v>
      </c>
      <c r="AC1009">
        <v>15.592599999999999</v>
      </c>
      <c r="AD1009">
        <v>-1.1105838320119901</v>
      </c>
      <c r="AE1009">
        <v>0.40020000000004002</v>
      </c>
      <c r="AF1009">
        <v>-0.51742934554100195</v>
      </c>
      <c r="AG1009">
        <v>-1.1105838320119901</v>
      </c>
      <c r="AH1009">
        <v>15.510430087859699</v>
      </c>
      <c r="AI1009">
        <v>94.093255752417804</v>
      </c>
      <c r="AJ1009">
        <v>91.910683781118706</v>
      </c>
      <c r="AK1009">
        <v>15.558745806971</v>
      </c>
      <c r="AL1009">
        <v>85.8205908623151</v>
      </c>
      <c r="AM1009">
        <v>85.270314877413099</v>
      </c>
      <c r="AN1009">
        <v>1.00000001123232</v>
      </c>
    </row>
    <row r="1010" spans="1:40" x14ac:dyDescent="0.25">
      <c r="A1010" t="str">
        <f>"20190312151005189"</f>
        <v>20190312151005189</v>
      </c>
      <c r="B1010" t="str">
        <f>"1552374605182175"</f>
        <v>1552374605182175</v>
      </c>
      <c r="C1010" t="s">
        <v>40</v>
      </c>
      <c r="D1010">
        <v>5.2364199999999999</v>
      </c>
      <c r="E1010">
        <v>0.45571319999999998</v>
      </c>
      <c r="F1010" t="s">
        <v>42</v>
      </c>
      <c r="G1010">
        <v>-251.63319999999999</v>
      </c>
      <c r="H1010" s="1">
        <v>-3.8862750000000003E-6</v>
      </c>
      <c r="I1010">
        <v>367.84269999999998</v>
      </c>
      <c r="J1010">
        <v>-267.00240000000002</v>
      </c>
      <c r="K1010">
        <v>1.1106290000000001</v>
      </c>
      <c r="L1010">
        <v>367.43400000000003</v>
      </c>
      <c r="M1010">
        <v>0.99988189999999999</v>
      </c>
      <c r="N1010">
        <v>0</v>
      </c>
      <c r="O1010">
        <v>-7.056049E-3</v>
      </c>
      <c r="P1010">
        <v>0.99422140000000003</v>
      </c>
      <c r="Q1010">
        <v>5.9492749999999997E-2</v>
      </c>
      <c r="R1010">
        <v>-8.9357000000000006E-2</v>
      </c>
      <c r="S1010">
        <v>3.037445</v>
      </c>
      <c r="T1010">
        <v>-0.21456210000000001</v>
      </c>
      <c r="U1010">
        <v>7.8582760000000001E-2</v>
      </c>
      <c r="V1010">
        <v>8.2240939999999998E-2</v>
      </c>
      <c r="W1010">
        <v>7.3181300000000005E-2</v>
      </c>
      <c r="X1010">
        <v>0.99392199999999997</v>
      </c>
      <c r="Y1010">
        <v>-3.281709E-2</v>
      </c>
      <c r="Z1010">
        <v>1.655232E-3</v>
      </c>
      <c r="AA1010">
        <v>0.99946000000000002</v>
      </c>
      <c r="AB1010">
        <v>34</v>
      </c>
      <c r="AC1010">
        <v>15.369199999999999</v>
      </c>
      <c r="AD1010">
        <v>-1.1106328862749999</v>
      </c>
      <c r="AE1010">
        <v>0.40869999999995299</v>
      </c>
      <c r="AF1010">
        <v>-0.51446113266485705</v>
      </c>
      <c r="AG1010">
        <v>-1.1106328862749999</v>
      </c>
      <c r="AH1010">
        <v>15.2861649959752</v>
      </c>
      <c r="AI1010">
        <v>94.153241663077395</v>
      </c>
      <c r="AJ1010">
        <v>91.927581577211697</v>
      </c>
      <c r="AK1010">
        <v>15.3350909990543</v>
      </c>
      <c r="AL1010">
        <v>85.803268772383703</v>
      </c>
      <c r="AM1010">
        <v>85.269901510893604</v>
      </c>
      <c r="AN1010">
        <v>1.00000000848288</v>
      </c>
    </row>
    <row r="1011" spans="1:40" x14ac:dyDescent="0.25">
      <c r="A1011" t="str">
        <f>"20190312151005209"</f>
        <v>20190312151005209</v>
      </c>
      <c r="B1011" t="str">
        <f>"1552374605201696"</f>
        <v>1552374605201696</v>
      </c>
      <c r="C1011" t="s">
        <v>40</v>
      </c>
      <c r="D1011">
        <v>5.3682189999999999</v>
      </c>
      <c r="E1011">
        <v>0.45559569999999999</v>
      </c>
      <c r="F1011" t="s">
        <v>42</v>
      </c>
      <c r="G1011">
        <v>-251.2808</v>
      </c>
      <c r="H1011" s="1">
        <v>-4.0351830000000001E-6</v>
      </c>
      <c r="I1011">
        <v>367.85550000000001</v>
      </c>
      <c r="J1011">
        <v>-266.6816</v>
      </c>
      <c r="K1011">
        <v>1.11066</v>
      </c>
      <c r="L1011">
        <v>367.4323</v>
      </c>
      <c r="M1011">
        <v>0.99988540000000004</v>
      </c>
      <c r="N1011">
        <v>0</v>
      </c>
      <c r="O1011">
        <v>-6.4824640000000003E-3</v>
      </c>
      <c r="P1011">
        <v>0.99425669999999999</v>
      </c>
      <c r="Q1011">
        <v>5.9878790000000001E-2</v>
      </c>
      <c r="R1011">
        <v>-8.8704999999999895E-2</v>
      </c>
      <c r="S1011">
        <v>3.037598</v>
      </c>
      <c r="T1011">
        <v>-0.214586</v>
      </c>
      <c r="U1011">
        <v>8.1451419999999997E-2</v>
      </c>
      <c r="V1011">
        <v>8.2158949999999994E-2</v>
      </c>
      <c r="W1011">
        <v>7.3607870000000006E-2</v>
      </c>
      <c r="X1011">
        <v>0.99389729999999998</v>
      </c>
      <c r="Y1011">
        <v>-3.3186170000000001E-2</v>
      </c>
      <c r="Z1011">
        <v>1.6278639999999999E-3</v>
      </c>
      <c r="AA1011">
        <v>0.99944789999999994</v>
      </c>
      <c r="AB1011">
        <v>34</v>
      </c>
      <c r="AC1011">
        <v>15.4008</v>
      </c>
      <c r="AD1011">
        <v>-1.1106640351829999</v>
      </c>
      <c r="AE1011">
        <v>0.42320000000000801</v>
      </c>
      <c r="AF1011">
        <v>-0.52033142997067405</v>
      </c>
      <c r="AG1011">
        <v>-1.1106640351829999</v>
      </c>
      <c r="AH1011">
        <v>15.3181247241381</v>
      </c>
      <c r="AI1011">
        <v>94.1446787426746</v>
      </c>
      <c r="AJ1011">
        <v>91.945495082955304</v>
      </c>
      <c r="AK1011">
        <v>15.3671488721986</v>
      </c>
      <c r="AL1011">
        <v>85.778762095982401</v>
      </c>
      <c r="AM1011">
        <v>85.274478908919093</v>
      </c>
      <c r="AN1011">
        <v>1.00000002726916</v>
      </c>
    </row>
    <row r="1012" spans="1:40" x14ac:dyDescent="0.25">
      <c r="A1012" t="str">
        <f>"20190312151005221"</f>
        <v>20190312151005221</v>
      </c>
      <c r="B1012" t="str">
        <f>"1552374605211456"</f>
        <v>1552374605211456</v>
      </c>
      <c r="C1012" t="s">
        <v>40</v>
      </c>
      <c r="D1012">
        <v>5.2345759999999997</v>
      </c>
      <c r="E1012">
        <v>0.45554470000000002</v>
      </c>
      <c r="F1012" t="s">
        <v>42</v>
      </c>
      <c r="G1012">
        <v>-251.01900000000001</v>
      </c>
      <c r="H1012" s="1">
        <v>-4.1455000000000004E-6</v>
      </c>
      <c r="I1012">
        <v>367.86669999999998</v>
      </c>
      <c r="J1012">
        <v>-266.5027</v>
      </c>
      <c r="K1012">
        <v>1.1106780000000001</v>
      </c>
      <c r="L1012">
        <v>367.4314</v>
      </c>
      <c r="M1012">
        <v>0.99988699999999997</v>
      </c>
      <c r="N1012">
        <v>0</v>
      </c>
      <c r="O1012">
        <v>-6.1626559999999999E-3</v>
      </c>
      <c r="P1012">
        <v>0.99430229999999997</v>
      </c>
      <c r="Q1012">
        <v>6.0000770000000002E-2</v>
      </c>
      <c r="R1012">
        <v>-8.8108229999999996E-2</v>
      </c>
      <c r="S1012">
        <v>3.037811</v>
      </c>
      <c r="T1012">
        <v>-0.215416</v>
      </c>
      <c r="U1012">
        <v>8.4259029999999999E-2</v>
      </c>
      <c r="V1012">
        <v>8.187999E-2</v>
      </c>
      <c r="W1012">
        <v>7.3750060000000006E-2</v>
      </c>
      <c r="X1012">
        <v>0.99390979999999995</v>
      </c>
      <c r="Y1012">
        <v>-3.3786190000000001E-2</v>
      </c>
      <c r="Z1012">
        <v>1.6326050000000001E-3</v>
      </c>
      <c r="AA1012">
        <v>0.99942770000000003</v>
      </c>
      <c r="AB1012">
        <v>34</v>
      </c>
      <c r="AC1012">
        <v>15.483700000000001</v>
      </c>
      <c r="AD1012">
        <v>-1.1106821455</v>
      </c>
      <c r="AE1012">
        <v>0.43529999999998298</v>
      </c>
      <c r="AF1012">
        <v>-0.528006691869084</v>
      </c>
      <c r="AG1012">
        <v>-1.1106821455</v>
      </c>
      <c r="AH1012">
        <v>15.401536586171</v>
      </c>
      <c r="AI1012">
        <v>94.122332489405906</v>
      </c>
      <c r="AJ1012">
        <v>91.963486641920696</v>
      </c>
      <c r="AK1012">
        <v>15.4505577604873</v>
      </c>
      <c r="AL1012">
        <v>85.770593090790697</v>
      </c>
      <c r="AM1012">
        <v>85.290510468580607</v>
      </c>
      <c r="AN1012">
        <v>1.0000000473242201</v>
      </c>
    </row>
    <row r="1013" spans="1:40" x14ac:dyDescent="0.25">
      <c r="A1013" t="str">
        <f>"20190312151005232"</f>
        <v>20190312151005232</v>
      </c>
      <c r="B1013" t="str">
        <f>"1552374605222193"</f>
        <v>1552374605222193</v>
      </c>
      <c r="C1013" t="s">
        <v>40</v>
      </c>
      <c r="D1013">
        <v>5.22159</v>
      </c>
      <c r="E1013">
        <v>0.45554719999999999</v>
      </c>
      <c r="F1013" t="s">
        <v>42</v>
      </c>
      <c r="G1013">
        <v>-250.8424</v>
      </c>
      <c r="H1013" s="1">
        <v>-4.2193660000000001E-6</v>
      </c>
      <c r="I1013">
        <v>367.87740000000002</v>
      </c>
      <c r="J1013">
        <v>-266.32209999999998</v>
      </c>
      <c r="K1013">
        <v>1.110689</v>
      </c>
      <c r="L1013">
        <v>367.43060000000003</v>
      </c>
      <c r="M1013">
        <v>0.99988869999999996</v>
      </c>
      <c r="N1013">
        <v>0</v>
      </c>
      <c r="O1013">
        <v>-5.8395010000000004E-3</v>
      </c>
      <c r="P1013">
        <v>0.99436800000000003</v>
      </c>
      <c r="Q1013">
        <v>5.9905420000000001E-2</v>
      </c>
      <c r="R1013">
        <v>-8.7429359999999998E-2</v>
      </c>
      <c r="S1013">
        <v>3.0378720000000001</v>
      </c>
      <c r="T1013">
        <v>-0.21545429999999999</v>
      </c>
      <c r="U1013">
        <v>8.6517330000000003E-2</v>
      </c>
      <c r="V1013">
        <v>8.1522479999999994E-2</v>
      </c>
      <c r="W1013">
        <v>7.367398E-2</v>
      </c>
      <c r="X1013">
        <v>0.99394479999999996</v>
      </c>
      <c r="Y1013">
        <v>-3.4204730000000003E-2</v>
      </c>
      <c r="Z1013">
        <v>1.624777E-3</v>
      </c>
      <c r="AA1013">
        <v>0.99941349999999995</v>
      </c>
      <c r="AB1013">
        <v>34</v>
      </c>
      <c r="AC1013">
        <v>15.4796999999999</v>
      </c>
      <c r="AD1013">
        <v>-1.110693219366</v>
      </c>
      <c r="AE1013">
        <v>0.44679999999999598</v>
      </c>
      <c r="AF1013">
        <v>-0.53444543378410403</v>
      </c>
      <c r="AG1013">
        <v>-1.110693219366</v>
      </c>
      <c r="AH1013">
        <v>15.3976212241545</v>
      </c>
      <c r="AI1013">
        <v>94.123357646446706</v>
      </c>
      <c r="AJ1013">
        <v>91.987916122144995</v>
      </c>
      <c r="AK1013">
        <v>15.446877053688601</v>
      </c>
      <c r="AL1013">
        <v>85.774963919234906</v>
      </c>
      <c r="AM1013">
        <v>85.311145851109799</v>
      </c>
      <c r="AN1013">
        <v>1.00000001776071</v>
      </c>
    </row>
    <row r="1014" spans="1:40" x14ac:dyDescent="0.25">
      <c r="A1014" t="str">
        <f>"20190312151005244"</f>
        <v>20190312151005244</v>
      </c>
      <c r="B1014" t="str">
        <f>"1552374605231953"</f>
        <v>1552374605231953</v>
      </c>
      <c r="C1014" t="s">
        <v>40</v>
      </c>
      <c r="D1014">
        <v>5.2243519999999997</v>
      </c>
      <c r="E1014">
        <v>0.45551760000000002</v>
      </c>
      <c r="F1014" t="s">
        <v>42</v>
      </c>
      <c r="G1014">
        <v>-250.73840000000001</v>
      </c>
      <c r="H1014" s="1">
        <v>-4.2631849999999999E-6</v>
      </c>
      <c r="I1014">
        <v>367.88200000000001</v>
      </c>
      <c r="J1014">
        <v>-266.15019999999998</v>
      </c>
      <c r="K1014">
        <v>1.1106990000000001</v>
      </c>
      <c r="L1014">
        <v>367.42989999999998</v>
      </c>
      <c r="M1014">
        <v>0.99989030000000001</v>
      </c>
      <c r="N1014">
        <v>0</v>
      </c>
      <c r="O1014">
        <v>-5.5323050000000004E-3</v>
      </c>
      <c r="P1014">
        <v>0.99439619999999995</v>
      </c>
      <c r="Q1014">
        <v>6.0118600000000001E-2</v>
      </c>
      <c r="R1014">
        <v>-8.6960960000000004E-2</v>
      </c>
      <c r="S1014">
        <v>3.0377809999999998</v>
      </c>
      <c r="T1014">
        <v>-0.2165098</v>
      </c>
      <c r="U1014">
        <v>8.7982179999999993E-2</v>
      </c>
      <c r="V1014">
        <v>8.1359299999999996E-2</v>
      </c>
      <c r="W1014">
        <v>7.3904129999999998E-2</v>
      </c>
      <c r="X1014">
        <v>0.99394110000000002</v>
      </c>
      <c r="Y1014">
        <v>-3.4379420000000001E-2</v>
      </c>
      <c r="Z1014">
        <v>1.6171060000000001E-3</v>
      </c>
      <c r="AA1014">
        <v>0.9994075</v>
      </c>
      <c r="AB1014">
        <v>34</v>
      </c>
      <c r="AC1014">
        <v>15.4117999999999</v>
      </c>
      <c r="AD1014">
        <v>-1.11070326318499</v>
      </c>
      <c r="AE1014">
        <v>0.45209999999997302</v>
      </c>
      <c r="AF1014">
        <v>-0.53458971611292705</v>
      </c>
      <c r="AG1014">
        <v>-1.11070326318499</v>
      </c>
      <c r="AH1014">
        <v>15.329511988619</v>
      </c>
      <c r="AI1014">
        <v>94.141628026994596</v>
      </c>
      <c r="AJ1014">
        <v>91.997279944076396</v>
      </c>
      <c r="AK1014">
        <v>15.378991700128999</v>
      </c>
      <c r="AL1014">
        <v>85.761741314640105</v>
      </c>
      <c r="AM1014">
        <v>85.320472261215301</v>
      </c>
      <c r="AN1014">
        <v>1.0000000331983701</v>
      </c>
    </row>
    <row r="1015" spans="1:40" x14ac:dyDescent="0.25">
      <c r="A1015" t="str">
        <f>"20190312151005255"</f>
        <v>20190312151005255</v>
      </c>
      <c r="B1015" t="str">
        <f>"1552374605251472"</f>
        <v>1552374605251472</v>
      </c>
      <c r="C1015" t="s">
        <v>40</v>
      </c>
      <c r="D1015">
        <v>5.4288980000000002</v>
      </c>
      <c r="E1015">
        <v>0.45503440000000001</v>
      </c>
      <c r="F1015" t="s">
        <v>42</v>
      </c>
      <c r="G1015">
        <v>-250.57939999999999</v>
      </c>
      <c r="H1015" s="1">
        <v>-4.3300309999999998E-6</v>
      </c>
      <c r="I1015">
        <v>367.8895</v>
      </c>
      <c r="J1015">
        <v>-265.9753</v>
      </c>
      <c r="K1015">
        <v>1.1107129999999901</v>
      </c>
      <c r="L1015">
        <v>367.42930000000001</v>
      </c>
      <c r="M1015">
        <v>0.99989159999999999</v>
      </c>
      <c r="N1015">
        <v>0</v>
      </c>
      <c r="O1015">
        <v>-5.2191449999999997E-3</v>
      </c>
      <c r="P1015">
        <v>0.99446849999999998</v>
      </c>
      <c r="Q1015">
        <v>5.9688039999999998E-2</v>
      </c>
      <c r="R1015">
        <v>-8.6429930000000002E-2</v>
      </c>
      <c r="S1015">
        <v>3.0378720000000001</v>
      </c>
      <c r="T1015">
        <v>-0.21669769999999999</v>
      </c>
      <c r="U1015">
        <v>8.966064E-2</v>
      </c>
      <c r="V1015">
        <v>8.1139939999999994E-2</v>
      </c>
      <c r="W1015">
        <v>7.3489940000000004E-2</v>
      </c>
      <c r="X1015">
        <v>0.99398969999999998</v>
      </c>
      <c r="Y1015">
        <v>-3.4617269999999999E-2</v>
      </c>
      <c r="Z1015">
        <v>1.6046070000000001E-3</v>
      </c>
      <c r="AA1015">
        <v>0.99939940000000005</v>
      </c>
      <c r="AB1015">
        <v>34</v>
      </c>
      <c r="AC1015">
        <v>15.395899999999999</v>
      </c>
      <c r="AD1015">
        <v>-1.11071733003099</v>
      </c>
      <c r="AE1015">
        <v>0.46019999999998601</v>
      </c>
      <c r="AF1015">
        <v>-0.53775840141561804</v>
      </c>
      <c r="AG1015">
        <v>-1.11071733003099</v>
      </c>
      <c r="AH1015">
        <v>15.313656129874101</v>
      </c>
      <c r="AI1015">
        <v>94.145918580248505</v>
      </c>
      <c r="AJ1015">
        <v>92.011187328464899</v>
      </c>
      <c r="AK1015">
        <v>15.363298511372999</v>
      </c>
      <c r="AL1015">
        <v>85.785537189949693</v>
      </c>
      <c r="AM1015">
        <v>85.333260520383504</v>
      </c>
      <c r="AN1015">
        <v>0.99999999242524795</v>
      </c>
    </row>
    <row r="1016" spans="1:40" x14ac:dyDescent="0.25">
      <c r="A1016" t="str">
        <f>"20190312151005268"</f>
        <v>20190312151005268</v>
      </c>
      <c r="B1016" t="str">
        <f>"1552374605262208"</f>
        <v>1552374605262208</v>
      </c>
      <c r="C1016" t="s">
        <v>40</v>
      </c>
      <c r="D1016">
        <v>5.4257090000000003</v>
      </c>
      <c r="E1016">
        <v>0.4548855</v>
      </c>
      <c r="F1016" t="s">
        <v>42</v>
      </c>
      <c r="G1016">
        <v>-250.34440000000001</v>
      </c>
      <c r="H1016" s="1">
        <v>-4.4255999999999996E-6</v>
      </c>
      <c r="I1016">
        <v>367.91919999999999</v>
      </c>
      <c r="J1016">
        <v>-265.78710000000001</v>
      </c>
      <c r="K1016">
        <v>1.1107279999999999</v>
      </c>
      <c r="L1016">
        <v>367.42860000000002</v>
      </c>
      <c r="M1016">
        <v>0.99989309999999998</v>
      </c>
      <c r="N1016">
        <v>0</v>
      </c>
      <c r="O1016">
        <v>-4.882501E-3</v>
      </c>
      <c r="P1016">
        <v>0.99448800000000004</v>
      </c>
      <c r="Q1016">
        <v>5.9625070000000002E-2</v>
      </c>
      <c r="R1016">
        <v>-8.6247180000000007E-2</v>
      </c>
      <c r="S1016">
        <v>3.0379640000000001</v>
      </c>
      <c r="T1016">
        <v>-0.21587429999999999</v>
      </c>
      <c r="U1016">
        <v>9.5214839999999995E-2</v>
      </c>
      <c r="V1016">
        <v>8.1292489999999995E-2</v>
      </c>
      <c r="W1016">
        <v>7.3442869999999993E-2</v>
      </c>
      <c r="X1016">
        <v>0.99398070000000005</v>
      </c>
      <c r="Y1016">
        <v>-3.610323E-2</v>
      </c>
      <c r="Z1016">
        <v>1.6272610000000001E-3</v>
      </c>
      <c r="AA1016">
        <v>0.99934670000000003</v>
      </c>
      <c r="AB1016">
        <v>34</v>
      </c>
      <c r="AC1016">
        <v>15.4427</v>
      </c>
      <c r="AD1016">
        <v>-1.1107324256</v>
      </c>
      <c r="AE1016">
        <v>0.490599999999972</v>
      </c>
      <c r="AF1016">
        <v>-0.563090182112719</v>
      </c>
      <c r="AG1016">
        <v>-1.1107324256</v>
      </c>
      <c r="AH1016">
        <v>15.3607338792</v>
      </c>
      <c r="AI1016">
        <v>94.1330846444462</v>
      </c>
      <c r="AJ1016">
        <v>92.099395209129099</v>
      </c>
      <c r="AK1016">
        <v>15.4111304706071</v>
      </c>
      <c r="AL1016">
        <v>85.788241349200703</v>
      </c>
      <c r="AM1016">
        <v>85.324483367953306</v>
      </c>
      <c r="AN1016">
        <v>0.99999997802836305</v>
      </c>
    </row>
    <row r="1017" spans="1:40" x14ac:dyDescent="0.25">
      <c r="A1017" t="str">
        <f>"20190312151005280"</f>
        <v>20190312151005280</v>
      </c>
      <c r="B1017" t="str">
        <f>"1552374605271968"</f>
        <v>1552374605271968</v>
      </c>
      <c r="C1017" t="s">
        <v>40</v>
      </c>
      <c r="D1017">
        <v>5.2410500000000004</v>
      </c>
      <c r="E1017">
        <v>0.4546714</v>
      </c>
      <c r="F1017" t="s">
        <v>42</v>
      </c>
      <c r="G1017">
        <v>-249.96430000000001</v>
      </c>
      <c r="H1017" s="1">
        <v>-4.5858939999999998E-6</v>
      </c>
      <c r="I1017">
        <v>367.93470000000002</v>
      </c>
      <c r="J1017">
        <v>-265.59620000000001</v>
      </c>
      <c r="K1017">
        <v>1.1107389999999999</v>
      </c>
      <c r="L1017">
        <v>367.428</v>
      </c>
      <c r="M1017">
        <v>0.99989459999999997</v>
      </c>
      <c r="N1017">
        <v>0</v>
      </c>
      <c r="O1017">
        <v>-4.5407269999999996E-3</v>
      </c>
      <c r="P1017">
        <v>0.99449350000000003</v>
      </c>
      <c r="Q1017">
        <v>5.9923369999999997E-2</v>
      </c>
      <c r="R1017">
        <v>-8.5976880000000006E-2</v>
      </c>
      <c r="S1017">
        <v>3.0378720000000001</v>
      </c>
      <c r="T1017">
        <v>-0.21325169999999999</v>
      </c>
      <c r="U1017">
        <v>9.7167970000000006E-2</v>
      </c>
      <c r="V1017">
        <v>8.1361790000000003E-2</v>
      </c>
      <c r="W1017">
        <v>7.3755769999999998E-2</v>
      </c>
      <c r="X1017">
        <v>0.9939519</v>
      </c>
      <c r="Y1017">
        <v>-3.640703E-2</v>
      </c>
      <c r="Z1017">
        <v>1.594261E-3</v>
      </c>
      <c r="AA1017">
        <v>0.9993358</v>
      </c>
      <c r="AB1017">
        <v>34</v>
      </c>
      <c r="AC1017">
        <v>15.6319</v>
      </c>
      <c r="AD1017">
        <v>-1.110743585894</v>
      </c>
      <c r="AE1017">
        <v>0.50669999999996596</v>
      </c>
      <c r="AF1017">
        <v>-0.574782692619213</v>
      </c>
      <c r="AG1017">
        <v>-1.110743585894</v>
      </c>
      <c r="AH1017">
        <v>15.551003438268699</v>
      </c>
      <c r="AI1017">
        <v>94.082683110709894</v>
      </c>
      <c r="AJ1017">
        <v>92.116753310438298</v>
      </c>
      <c r="AK1017">
        <v>15.6012125937179</v>
      </c>
      <c r="AL1017">
        <v>85.770264909959707</v>
      </c>
      <c r="AM1017">
        <v>85.320380302557297</v>
      </c>
      <c r="AN1017">
        <v>1.0000000169969501</v>
      </c>
    </row>
    <row r="1018" spans="1:40" x14ac:dyDescent="0.25">
      <c r="A1018" t="str">
        <f>"20190312151005293"</f>
        <v>20190312151005293</v>
      </c>
      <c r="B1018" t="str">
        <f>"1552374605281728"</f>
        <v>1552374605281728</v>
      </c>
      <c r="C1018" t="s">
        <v>40</v>
      </c>
      <c r="D1018">
        <v>5.2027260000000002</v>
      </c>
      <c r="E1018">
        <v>0.45439089999999999</v>
      </c>
      <c r="F1018" t="s">
        <v>42</v>
      </c>
      <c r="G1018">
        <v>-249.5275</v>
      </c>
      <c r="H1018" s="1">
        <v>-6.0743839999999996E-7</v>
      </c>
      <c r="I1018">
        <v>367.95600000000002</v>
      </c>
      <c r="J1018">
        <v>-265.40469999999999</v>
      </c>
      <c r="K1018">
        <v>1.110749</v>
      </c>
      <c r="L1018">
        <v>367.42750000000001</v>
      </c>
      <c r="M1018">
        <v>0.9998958</v>
      </c>
      <c r="N1018">
        <v>0</v>
      </c>
      <c r="O1018">
        <v>-4.1978720000000001E-3</v>
      </c>
      <c r="P1018">
        <v>0.99453029999999998</v>
      </c>
      <c r="Q1018">
        <v>5.9817750000000003E-2</v>
      </c>
      <c r="R1018">
        <v>-8.5622840000000006E-2</v>
      </c>
      <c r="S1018">
        <v>3.037903</v>
      </c>
      <c r="T1018">
        <v>-0.2099935</v>
      </c>
      <c r="U1018">
        <v>9.9822999999999995E-2</v>
      </c>
      <c r="V1018">
        <v>8.1349009999999999E-2</v>
      </c>
      <c r="W1018">
        <v>7.3664469999999996E-2</v>
      </c>
      <c r="X1018">
        <v>0.9939597</v>
      </c>
      <c r="Y1018">
        <v>-3.6939109999999997E-2</v>
      </c>
      <c r="Z1018">
        <v>1.5646179999999901E-3</v>
      </c>
      <c r="AA1018">
        <v>0.99931630000000005</v>
      </c>
      <c r="AB1018">
        <v>34</v>
      </c>
      <c r="AC1018">
        <v>15.877199999999901</v>
      </c>
      <c r="AD1018">
        <v>-1.1107496074384</v>
      </c>
      <c r="AE1018">
        <v>0.52849999999995101</v>
      </c>
      <c r="AF1018">
        <v>-0.59225672069798496</v>
      </c>
      <c r="AG1018">
        <v>-1.1107496074384</v>
      </c>
      <c r="AH1018">
        <v>15.7976097050396</v>
      </c>
      <c r="AI1018">
        <v>94.019104415595706</v>
      </c>
      <c r="AJ1018">
        <v>92.147028967502393</v>
      </c>
      <c r="AK1018">
        <v>15.847681379507801</v>
      </c>
      <c r="AL1018">
        <v>85.775510213226497</v>
      </c>
      <c r="AM1018">
        <v>85.321148649676203</v>
      </c>
      <c r="AN1018">
        <v>1.0000000003962199</v>
      </c>
    </row>
    <row r="1019" spans="1:40" x14ac:dyDescent="0.25">
      <c r="A1019" t="str">
        <f>"20190312151005325"</f>
        <v>20190312151005325</v>
      </c>
      <c r="B1019" t="str">
        <f>"1552374605321744"</f>
        <v>1552374605321744</v>
      </c>
      <c r="C1019" t="s">
        <v>40</v>
      </c>
      <c r="D1019">
        <v>5.0982629999999904</v>
      </c>
      <c r="E1019">
        <v>0.45402199999999998</v>
      </c>
      <c r="F1019" t="s">
        <v>42</v>
      </c>
      <c r="G1019">
        <v>-249.39680000000001</v>
      </c>
      <c r="H1019" s="1">
        <v>-6.535212E-7</v>
      </c>
      <c r="I1019">
        <v>367.97140000000002</v>
      </c>
      <c r="J1019">
        <v>-264.90989999999999</v>
      </c>
      <c r="K1019">
        <v>1.1107739999999999</v>
      </c>
      <c r="L1019">
        <v>367.4264</v>
      </c>
      <c r="M1019">
        <v>0.99989890000000003</v>
      </c>
      <c r="N1019">
        <v>0</v>
      </c>
      <c r="O1019">
        <v>-3.3120440000000001E-3</v>
      </c>
      <c r="P1019">
        <v>0.99457200000000001</v>
      </c>
      <c r="Q1019">
        <v>5.9766359999999998E-2</v>
      </c>
      <c r="R1019">
        <v>-8.5177660000000002E-2</v>
      </c>
      <c r="S1019">
        <v>3.0380859999999998</v>
      </c>
      <c r="T1019">
        <v>-0.21080579999999999</v>
      </c>
      <c r="U1019">
        <v>0.103241</v>
      </c>
      <c r="V1019">
        <v>8.1785049999999998E-2</v>
      </c>
      <c r="W1019">
        <v>7.3643539999999993E-2</v>
      </c>
      <c r="X1019">
        <v>0.99392550000000002</v>
      </c>
      <c r="Y1019">
        <v>-3.7175670000000001E-2</v>
      </c>
      <c r="Z1019">
        <v>1.5173459999999999E-3</v>
      </c>
      <c r="AA1019">
        <v>0.99930759999999996</v>
      </c>
      <c r="AB1019">
        <v>34</v>
      </c>
      <c r="AC1019">
        <v>15.5130999999999</v>
      </c>
      <c r="AD1019">
        <v>-1.1107746535212</v>
      </c>
      <c r="AE1019">
        <v>0.54500000000001503</v>
      </c>
      <c r="AF1019">
        <v>-0.593343729831872</v>
      </c>
      <c r="AG1019">
        <v>-1.1107746535212</v>
      </c>
      <c r="AH1019">
        <v>15.4321879267816</v>
      </c>
      <c r="AI1019">
        <v>94.113894071544394</v>
      </c>
      <c r="AJ1019">
        <v>92.201849444230007</v>
      </c>
      <c r="AK1019">
        <v>15.4834847925181</v>
      </c>
      <c r="AL1019">
        <v>85.776712815662506</v>
      </c>
      <c r="AM1019">
        <v>85.296020582108795</v>
      </c>
      <c r="AN1019">
        <v>1.0000000324687399</v>
      </c>
    </row>
    <row r="1020" spans="1:40" x14ac:dyDescent="0.25">
      <c r="A1020" t="str">
        <f>"20190312151005340"</f>
        <v>20190312151005340</v>
      </c>
      <c r="B1020" t="str">
        <f>"1552374605331504"</f>
        <v>1552374605331504</v>
      </c>
      <c r="C1020" t="s">
        <v>40</v>
      </c>
      <c r="D1020">
        <v>5.1160560000000004</v>
      </c>
      <c r="E1020">
        <v>0.45402199999999998</v>
      </c>
      <c r="F1020" t="s">
        <v>42</v>
      </c>
      <c r="G1020">
        <v>-249.0616</v>
      </c>
      <c r="H1020" s="1">
        <v>-7.7805459999999997E-7</v>
      </c>
      <c r="I1020">
        <v>367.98719999999997</v>
      </c>
      <c r="J1020">
        <v>-264.69799999999998</v>
      </c>
      <c r="K1020">
        <v>1.110778</v>
      </c>
      <c r="L1020">
        <v>367.42610000000002</v>
      </c>
      <c r="M1020">
        <v>0.99989969999999995</v>
      </c>
      <c r="N1020">
        <v>0</v>
      </c>
      <c r="O1020">
        <v>-2.9324609999999999E-3</v>
      </c>
      <c r="P1020">
        <v>0.99459410000000004</v>
      </c>
      <c r="Q1020">
        <v>5.9730400000000003E-2</v>
      </c>
      <c r="R1020">
        <v>-8.494148E-2</v>
      </c>
      <c r="S1020">
        <v>3.0383909999999998</v>
      </c>
      <c r="T1020">
        <v>-0.21295500000000001</v>
      </c>
      <c r="U1020">
        <v>0.1075134</v>
      </c>
      <c r="V1020">
        <v>8.1926719999999995E-2</v>
      </c>
      <c r="W1020">
        <v>7.3618810000000007E-2</v>
      </c>
      <c r="X1020">
        <v>0.99391560000000001</v>
      </c>
      <c r="Y1020">
        <v>-3.819285E-2</v>
      </c>
      <c r="Z1020">
        <v>1.5416119999999999E-3</v>
      </c>
      <c r="AA1020">
        <v>0.99926919999999997</v>
      </c>
      <c r="AB1020">
        <v>34</v>
      </c>
      <c r="AC1020">
        <v>15.636399999999901</v>
      </c>
      <c r="AD1020">
        <v>-1.1107787780545999</v>
      </c>
      <c r="AE1020">
        <v>0.56109999999995297</v>
      </c>
      <c r="AF1020">
        <v>-0.60391146340577095</v>
      </c>
      <c r="AG1020">
        <v>-1.1107787780545999</v>
      </c>
      <c r="AH1020">
        <v>15.556284926616801</v>
      </c>
      <c r="AI1020">
        <v>94.081144318900598</v>
      </c>
      <c r="AJ1020">
        <v>92.223166490565603</v>
      </c>
      <c r="AK1020">
        <v>15.6075795454482</v>
      </c>
      <c r="AL1020">
        <v>85.7781333254066</v>
      </c>
      <c r="AM1020">
        <v>85.287862174281003</v>
      </c>
      <c r="AN1020">
        <v>0.99999996827956605</v>
      </c>
    </row>
    <row r="1021" spans="1:40" x14ac:dyDescent="0.25">
      <c r="A1021" t="str">
        <f>"20190312151005352"</f>
        <v>20190312151005352</v>
      </c>
      <c r="B1021" t="str">
        <f>"1552374605341264"</f>
        <v>1552374605341264</v>
      </c>
      <c r="C1021" t="s">
        <v>40</v>
      </c>
      <c r="D1021">
        <v>5.2363910000000002</v>
      </c>
      <c r="E1021">
        <v>0.43240240000000002</v>
      </c>
      <c r="F1021" t="s">
        <v>42</v>
      </c>
      <c r="G1021">
        <v>-248.84719999999999</v>
      </c>
      <c r="H1021" s="1">
        <v>-8.5908159999999896E-7</v>
      </c>
      <c r="I1021">
        <v>367.99220000000003</v>
      </c>
      <c r="J1021">
        <v>-264.48759999999999</v>
      </c>
      <c r="K1021">
        <v>1.110784</v>
      </c>
      <c r="L1021">
        <v>367.42579999999998</v>
      </c>
      <c r="M1021">
        <v>0.99990049999999997</v>
      </c>
      <c r="N1021">
        <v>0</v>
      </c>
      <c r="O1021">
        <v>-2.5557290000000001E-3</v>
      </c>
      <c r="P1021">
        <v>0.99455439999999995</v>
      </c>
      <c r="Q1021">
        <v>5.9432430000000001E-2</v>
      </c>
      <c r="R1021">
        <v>-8.5610290000000006E-2</v>
      </c>
      <c r="S1021">
        <v>3.0383909999999998</v>
      </c>
      <c r="T1021">
        <v>-0.21292150000000001</v>
      </c>
      <c r="U1021">
        <v>0.10852050000000001</v>
      </c>
      <c r="V1021">
        <v>8.2971039999999996E-2</v>
      </c>
      <c r="W1021">
        <v>7.3331569999999999E-2</v>
      </c>
      <c r="X1021">
        <v>0.99385020000000002</v>
      </c>
      <c r="Y1021">
        <v>-3.8148210000000002E-2</v>
      </c>
      <c r="Z1021">
        <v>1.5134370000000001E-3</v>
      </c>
      <c r="AA1021">
        <v>0.99927100000000002</v>
      </c>
      <c r="AB1021">
        <v>34</v>
      </c>
      <c r="AC1021">
        <v>15.6404</v>
      </c>
      <c r="AD1021">
        <v>-1.1107848590816001</v>
      </c>
      <c r="AE1021">
        <v>0.56640000000004398</v>
      </c>
      <c r="AF1021">
        <v>-0.60333545872223104</v>
      </c>
      <c r="AG1021">
        <v>-1.1107848590816001</v>
      </c>
      <c r="AH1021">
        <v>15.560518711882599</v>
      </c>
      <c r="AI1021">
        <v>94.080067406822707</v>
      </c>
      <c r="AJ1021">
        <v>92.220444472187793</v>
      </c>
      <c r="AK1021">
        <v>15.6117775817414</v>
      </c>
      <c r="AL1021">
        <v>85.794635562341696</v>
      </c>
      <c r="AM1021">
        <v>85.2277596295027</v>
      </c>
      <c r="AN1021">
        <v>0.99999996633869204</v>
      </c>
    </row>
    <row r="1022" spans="1:40" x14ac:dyDescent="0.25">
      <c r="A1022" t="str">
        <f>"20190312151005367"</f>
        <v>20190312151005367</v>
      </c>
      <c r="B1022" t="str">
        <f>"1552374605361760"</f>
        <v>1552374605361760</v>
      </c>
      <c r="C1022" t="s">
        <v>40</v>
      </c>
      <c r="D1022">
        <v>5.249752</v>
      </c>
      <c r="E1022">
        <v>0.42502990000000002</v>
      </c>
      <c r="F1022" t="s">
        <v>42</v>
      </c>
      <c r="G1022">
        <v>-252.65950000000001</v>
      </c>
      <c r="H1022" s="1">
        <v>-3.3293E-6</v>
      </c>
      <c r="I1022">
        <v>368.50049999999999</v>
      </c>
      <c r="J1022">
        <v>-264.27910000000003</v>
      </c>
      <c r="K1022">
        <v>1.1107849999999999</v>
      </c>
      <c r="L1022">
        <v>367.42559999999997</v>
      </c>
      <c r="M1022">
        <v>0.9999015</v>
      </c>
      <c r="N1022">
        <v>0</v>
      </c>
      <c r="O1022">
        <v>-2.1824460000000002E-3</v>
      </c>
      <c r="P1022">
        <v>0.99456580000000006</v>
      </c>
      <c r="Q1022">
        <v>5.9510390000000003E-2</v>
      </c>
      <c r="R1022">
        <v>-8.5430030000000004E-2</v>
      </c>
      <c r="S1022">
        <v>3.0575260000000002</v>
      </c>
      <c r="T1022">
        <v>-0.28713309999999997</v>
      </c>
      <c r="U1022">
        <v>0.27780149999999998</v>
      </c>
      <c r="V1022">
        <v>8.3161760000000001E-2</v>
      </c>
      <c r="W1022">
        <v>7.3418620000000004E-2</v>
      </c>
      <c r="X1022">
        <v>0.99382789999999999</v>
      </c>
      <c r="Y1022">
        <v>-9.2246939999999999E-2</v>
      </c>
      <c r="Z1022">
        <v>4.5172470000000003E-3</v>
      </c>
      <c r="AA1022">
        <v>0.99572590000000005</v>
      </c>
      <c r="AB1022">
        <v>34</v>
      </c>
      <c r="AC1022">
        <v>11.6196</v>
      </c>
      <c r="AD1022">
        <v>-1.1107883293</v>
      </c>
      <c r="AE1022">
        <v>1.07490000000001</v>
      </c>
      <c r="AF1022">
        <v>-1.0903790249588201</v>
      </c>
      <c r="AG1022">
        <v>-1.1107883293</v>
      </c>
      <c r="AH1022">
        <v>11.512906917143599</v>
      </c>
      <c r="AI1022">
        <v>95.4865527605984</v>
      </c>
      <c r="AJ1022">
        <v>95.410303510641398</v>
      </c>
      <c r="AK1022">
        <v>11.617650485937</v>
      </c>
      <c r="AL1022">
        <v>85.789634766818807</v>
      </c>
      <c r="AM1022">
        <v>85.216734007327702</v>
      </c>
      <c r="AN1022">
        <v>1.0000000334537</v>
      </c>
    </row>
    <row r="1023" spans="1:40" x14ac:dyDescent="0.25">
      <c r="A1023" t="str">
        <f>"20190312151005380"</f>
        <v>20190312151005380</v>
      </c>
      <c r="B1023" t="str">
        <f>"1552374605371520"</f>
        <v>1552374605371520</v>
      </c>
      <c r="C1023" t="s">
        <v>40</v>
      </c>
      <c r="D1023">
        <v>5.2517239999999896</v>
      </c>
      <c r="E1023">
        <v>0.4235969</v>
      </c>
      <c r="F1023" t="s">
        <v>42</v>
      </c>
      <c r="G1023">
        <v>-254.47149999999999</v>
      </c>
      <c r="H1023" s="1">
        <v>-2.5512959999999999E-6</v>
      </c>
      <c r="I1023">
        <v>368.50420000000003</v>
      </c>
      <c r="J1023">
        <v>-264.08949999999999</v>
      </c>
      <c r="K1023">
        <v>1.110787</v>
      </c>
      <c r="L1023">
        <v>367.4255</v>
      </c>
      <c r="M1023">
        <v>0.99990190000000001</v>
      </c>
      <c r="N1023">
        <v>0</v>
      </c>
      <c r="O1023">
        <v>-1.8425309999999999E-3</v>
      </c>
      <c r="P1023">
        <v>0.99453190000000002</v>
      </c>
      <c r="Q1023">
        <v>5.9663899999999999E-2</v>
      </c>
      <c r="R1023">
        <v>-8.5712510000000006E-2</v>
      </c>
      <c r="S1023">
        <v>3.0661320000000001</v>
      </c>
      <c r="T1023">
        <v>-0.34726099999999999</v>
      </c>
      <c r="U1023">
        <v>0.33718870000000001</v>
      </c>
      <c r="V1023">
        <v>8.3782460000000003E-2</v>
      </c>
      <c r="W1023">
        <v>7.3579339999999993E-2</v>
      </c>
      <c r="X1023">
        <v>0.99376390000000003</v>
      </c>
      <c r="Y1023">
        <v>-0.110435199999999</v>
      </c>
      <c r="Z1023">
        <v>6.422718E-3</v>
      </c>
      <c r="AA1023">
        <v>0.99386260000000004</v>
      </c>
      <c r="AB1023">
        <v>34</v>
      </c>
      <c r="AC1023">
        <v>9.6179999999999897</v>
      </c>
      <c r="AD1023">
        <v>-1.110789551296</v>
      </c>
      <c r="AE1023">
        <v>1.07870000000002</v>
      </c>
      <c r="AF1023">
        <v>-1.0821665966412299</v>
      </c>
      <c r="AG1023">
        <v>-1.110789551296</v>
      </c>
      <c r="AH1023">
        <v>9.4909768882263901</v>
      </c>
      <c r="AI1023">
        <v>96.632733341140494</v>
      </c>
      <c r="AJ1023">
        <v>96.504805530075103</v>
      </c>
      <c r="AK1023">
        <v>9.6168383714712604</v>
      </c>
      <c r="AL1023">
        <v>85.780401303967906</v>
      </c>
      <c r="AM1023">
        <v>85.180891445544304</v>
      </c>
      <c r="AN1023">
        <v>1.0000000544108401</v>
      </c>
    </row>
    <row r="1024" spans="1:40" x14ac:dyDescent="0.25">
      <c r="A1024" t="str">
        <f>"20190312151005391"</f>
        <v>20190312151005391</v>
      </c>
      <c r="B1024" t="str">
        <f>"1552374605381281"</f>
        <v>1552374605381281</v>
      </c>
      <c r="C1024" t="s">
        <v>40</v>
      </c>
      <c r="D1024">
        <v>5.236612</v>
      </c>
      <c r="E1024">
        <v>0.4226936</v>
      </c>
      <c r="F1024" t="s">
        <v>42</v>
      </c>
      <c r="G1024">
        <v>-254.68119999999999</v>
      </c>
      <c r="H1024" s="1">
        <v>-2.4636999999999998E-6</v>
      </c>
      <c r="I1024">
        <v>368.49099999999999</v>
      </c>
      <c r="J1024">
        <v>-263.91070000000002</v>
      </c>
      <c r="K1024">
        <v>1.1107910000000001</v>
      </c>
      <c r="L1024">
        <v>367.4255</v>
      </c>
      <c r="M1024">
        <v>0.99990239999999997</v>
      </c>
      <c r="N1024">
        <v>0</v>
      </c>
      <c r="O1024">
        <v>-1.5221569999999999E-3</v>
      </c>
      <c r="P1024">
        <v>0.99453689999999995</v>
      </c>
      <c r="Q1024">
        <v>5.9352809999999999E-2</v>
      </c>
      <c r="R1024">
        <v>-8.5870790000000002E-2</v>
      </c>
      <c r="S1024">
        <v>3.0681759999999998</v>
      </c>
      <c r="T1024">
        <v>-0.3622378</v>
      </c>
      <c r="U1024">
        <v>0.34747309999999998</v>
      </c>
      <c r="V1024">
        <v>8.4259899999999999E-2</v>
      </c>
      <c r="W1024">
        <v>7.3274980000000003E-2</v>
      </c>
      <c r="X1024">
        <v>0.99374600000000002</v>
      </c>
      <c r="Y1024">
        <v>-0.1132567</v>
      </c>
      <c r="Z1024">
        <v>6.8201059999999899E-3</v>
      </c>
      <c r="AA1024">
        <v>0.99354240000000005</v>
      </c>
      <c r="AB1024">
        <v>34</v>
      </c>
      <c r="AC1024">
        <v>9.22950000000003</v>
      </c>
      <c r="AD1024">
        <v>-1.1107934637000001</v>
      </c>
      <c r="AE1024">
        <v>1.0654999999999799</v>
      </c>
      <c r="AF1024">
        <v>-1.0643350305044199</v>
      </c>
      <c r="AG1024">
        <v>-1.1107934637000001</v>
      </c>
      <c r="AH1024">
        <v>9.0978210452326298</v>
      </c>
      <c r="AI1024">
        <v>96.914350033494401</v>
      </c>
      <c r="AJ1024">
        <v>96.672582857639696</v>
      </c>
      <c r="AK1024">
        <v>9.2269723608145302</v>
      </c>
      <c r="AL1024">
        <v>85.797886957634702</v>
      </c>
      <c r="AM1024">
        <v>85.153472984886207</v>
      </c>
      <c r="AN1024">
        <v>1.000000032979</v>
      </c>
    </row>
    <row r="1025" spans="1:40" x14ac:dyDescent="0.25">
      <c r="A1025" t="str">
        <f>"20190312151005409"</f>
        <v>20190312151005409</v>
      </c>
      <c r="B1025" t="str">
        <f>"1552374605401776"</f>
        <v>1552374605401776</v>
      </c>
      <c r="C1025" t="s">
        <v>40</v>
      </c>
      <c r="D1025">
        <v>5.199846</v>
      </c>
      <c r="E1025">
        <v>0.42167569999999999</v>
      </c>
      <c r="F1025" t="s">
        <v>42</v>
      </c>
      <c r="G1025">
        <v>-255.01410000000001</v>
      </c>
      <c r="H1025" s="1">
        <v>-2.3280910000000002E-6</v>
      </c>
      <c r="I1025">
        <v>368.4504</v>
      </c>
      <c r="J1025">
        <v>-263.63740000000001</v>
      </c>
      <c r="K1025">
        <v>1.1108020000000001</v>
      </c>
      <c r="L1025">
        <v>367.42559999999997</v>
      </c>
      <c r="M1025">
        <v>0.99990299999999999</v>
      </c>
      <c r="N1025">
        <v>0</v>
      </c>
      <c r="O1025">
        <v>-1.0325340000000001E-3</v>
      </c>
      <c r="P1025">
        <v>0.99449160000000003</v>
      </c>
      <c r="Q1025">
        <v>5.8968390000000002E-2</v>
      </c>
      <c r="R1025">
        <v>-8.6656559999999994E-2</v>
      </c>
      <c r="S1025">
        <v>3.0698850000000002</v>
      </c>
      <c r="T1025">
        <v>-0.38328810000000002</v>
      </c>
      <c r="U1025">
        <v>0.3536377</v>
      </c>
      <c r="V1025">
        <v>8.5533529999999997E-2</v>
      </c>
      <c r="W1025">
        <v>7.2899770000000003E-2</v>
      </c>
      <c r="X1025">
        <v>0.99366469999999996</v>
      </c>
      <c r="Y1025">
        <v>-0.11457879999999999</v>
      </c>
      <c r="Z1025">
        <v>7.2299640000000002E-3</v>
      </c>
      <c r="AA1025">
        <v>0.99338789999999999</v>
      </c>
      <c r="AB1025">
        <v>34</v>
      </c>
      <c r="AC1025">
        <v>8.6233000000000004</v>
      </c>
      <c r="AD1025">
        <v>-1.110804328091</v>
      </c>
      <c r="AE1025">
        <v>1.0248000000000199</v>
      </c>
      <c r="AF1025">
        <v>-1.01706293881206</v>
      </c>
      <c r="AG1025">
        <v>-1.110804328091</v>
      </c>
      <c r="AH1025">
        <v>8.4834309252543196</v>
      </c>
      <c r="AI1025">
        <v>97.407313639587102</v>
      </c>
      <c r="AJ1025">
        <v>96.836456431680205</v>
      </c>
      <c r="AK1025">
        <v>8.6160840026297407</v>
      </c>
      <c r="AL1025">
        <v>85.8194422027549</v>
      </c>
      <c r="AM1025">
        <v>85.0801716610315</v>
      </c>
      <c r="AN1025">
        <v>0.99999994862319996</v>
      </c>
    </row>
    <row r="1026" spans="1:40" x14ac:dyDescent="0.25">
      <c r="A1026" t="str">
        <f>"20190312151005422"</f>
        <v>20190312151005422</v>
      </c>
      <c r="B1026" t="str">
        <f>"1552374605411537"</f>
        <v>1552374605411537</v>
      </c>
      <c r="C1026" t="s">
        <v>40</v>
      </c>
      <c r="D1026">
        <v>5.3735559999999998</v>
      </c>
      <c r="E1026">
        <v>0.42185050000000002</v>
      </c>
      <c r="F1026" t="s">
        <v>42</v>
      </c>
      <c r="G1026">
        <v>-255.0669</v>
      </c>
      <c r="H1026" s="1">
        <v>-2.3093500000000002E-6</v>
      </c>
      <c r="I1026">
        <v>368.4282</v>
      </c>
      <c r="J1026">
        <v>-263.4425</v>
      </c>
      <c r="K1026">
        <v>1.1108039999999999</v>
      </c>
      <c r="L1026">
        <v>367.42570000000001</v>
      </c>
      <c r="M1026">
        <v>0.99990310000000004</v>
      </c>
      <c r="N1026">
        <v>0</v>
      </c>
      <c r="O1026">
        <v>-6.8318999999999997E-4</v>
      </c>
      <c r="P1026">
        <v>0.99449399999999999</v>
      </c>
      <c r="Q1026">
        <v>5.9182220000000001E-2</v>
      </c>
      <c r="R1026">
        <v>-8.6482719999999999E-2</v>
      </c>
      <c r="S1026">
        <v>3.0715330000000001</v>
      </c>
      <c r="T1026">
        <v>-0.39809169999999999</v>
      </c>
      <c r="U1026">
        <v>0.35931400000000002</v>
      </c>
      <c r="V1026">
        <v>8.5706939999999995E-2</v>
      </c>
      <c r="W1026">
        <v>7.3119009999999998E-2</v>
      </c>
      <c r="X1026">
        <v>0.99363369999999995</v>
      </c>
      <c r="Y1026">
        <v>-0.1159062</v>
      </c>
      <c r="Z1026">
        <v>7.5426249999999999E-3</v>
      </c>
      <c r="AA1026">
        <v>0.99323150000000004</v>
      </c>
      <c r="AB1026">
        <v>34</v>
      </c>
      <c r="AC1026">
        <v>8.3755999999999897</v>
      </c>
      <c r="AD1026">
        <v>-1.11080630935</v>
      </c>
      <c r="AE1026">
        <v>1.00249999999999</v>
      </c>
      <c r="AF1026">
        <v>-0.99103714895693495</v>
      </c>
      <c r="AG1026">
        <v>-1.11080630935</v>
      </c>
      <c r="AH1026">
        <v>8.2321614843998692</v>
      </c>
      <c r="AI1026">
        <v>97.630349837348106</v>
      </c>
      <c r="AJ1026">
        <v>96.864575708671097</v>
      </c>
      <c r="AK1026">
        <v>8.3656755849567297</v>
      </c>
      <c r="AL1026">
        <v>85.806847275779702</v>
      </c>
      <c r="AM1026">
        <v>85.070093301187001</v>
      </c>
      <c r="AN1026">
        <v>0.999999999481616</v>
      </c>
    </row>
    <row r="1027" spans="1:40" x14ac:dyDescent="0.25">
      <c r="A1027" t="str">
        <f>"20190312151005433"</f>
        <v>20190312151005433</v>
      </c>
      <c r="B1027" t="str">
        <f>"1552374605422273"</f>
        <v>1552374605422273</v>
      </c>
      <c r="C1027" t="s">
        <v>40</v>
      </c>
      <c r="D1027">
        <v>5.2131379999999998</v>
      </c>
      <c r="E1027">
        <v>0.42201470000000002</v>
      </c>
      <c r="F1027" t="s">
        <v>42</v>
      </c>
      <c r="G1027">
        <v>-254.76439999999999</v>
      </c>
      <c r="H1027" s="1">
        <v>-2.4372350000000001E-6</v>
      </c>
      <c r="I1027">
        <v>368.43889999999999</v>
      </c>
      <c r="J1027">
        <v>-263.26679999999999</v>
      </c>
      <c r="K1027">
        <v>1.1108089999999999</v>
      </c>
      <c r="L1027">
        <v>367.42590000000001</v>
      </c>
      <c r="M1027">
        <v>0.99990319999999999</v>
      </c>
      <c r="N1027">
        <v>0</v>
      </c>
      <c r="O1027">
        <v>-3.6817000000000002E-4</v>
      </c>
      <c r="P1027">
        <v>0.99449419999999999</v>
      </c>
      <c r="Q1027">
        <v>5.918876E-2</v>
      </c>
      <c r="R1027">
        <v>-8.6474960000000003E-2</v>
      </c>
      <c r="S1027">
        <v>3.0712280000000001</v>
      </c>
      <c r="T1027">
        <v>-0.3931152</v>
      </c>
      <c r="U1027">
        <v>0.3585815</v>
      </c>
      <c r="V1027">
        <v>8.6012480000000002E-2</v>
      </c>
      <c r="W1027">
        <v>7.3129479999999997E-2</v>
      </c>
      <c r="X1027">
        <v>0.99360649999999995</v>
      </c>
      <c r="Y1027">
        <v>-0.1154012</v>
      </c>
      <c r="Z1027">
        <v>7.3778159999999997E-3</v>
      </c>
      <c r="AA1027">
        <v>0.99329160000000005</v>
      </c>
      <c r="AB1027">
        <v>34</v>
      </c>
      <c r="AC1027">
        <v>8.5023999999999909</v>
      </c>
      <c r="AD1027">
        <v>-1.110811437235</v>
      </c>
      <c r="AE1027">
        <v>1.0129999999999699</v>
      </c>
      <c r="AF1027">
        <v>-0.99931244288908705</v>
      </c>
      <c r="AG1027">
        <v>-1.110811437235</v>
      </c>
      <c r="AH1027">
        <v>8.3613081959115707</v>
      </c>
      <c r="AI1027">
        <v>97.514648601495495</v>
      </c>
      <c r="AJ1027">
        <v>96.815450110723603</v>
      </c>
      <c r="AK1027">
        <v>8.4937625440450706</v>
      </c>
      <c r="AL1027">
        <v>85.806245664052398</v>
      </c>
      <c r="AM1027">
        <v>85.052470797525501</v>
      </c>
      <c r="AN1027">
        <v>0.99999997220153503</v>
      </c>
    </row>
    <row r="1028" spans="1:40" x14ac:dyDescent="0.25">
      <c r="A1028" t="str">
        <f>"20190312151005444"</f>
        <v>20190312151005444</v>
      </c>
      <c r="B1028" t="str">
        <f>"1552374605441792"</f>
        <v>1552374605441792</v>
      </c>
      <c r="C1028" t="s">
        <v>40</v>
      </c>
      <c r="D1028">
        <v>5.2088479999999997</v>
      </c>
      <c r="E1028">
        <v>0.42211199999999999</v>
      </c>
      <c r="F1028" t="s">
        <v>42</v>
      </c>
      <c r="G1028">
        <v>-254.50380000000001</v>
      </c>
      <c r="H1028" s="1">
        <v>-2.547915E-6</v>
      </c>
      <c r="I1028">
        <v>368.44529999999997</v>
      </c>
      <c r="J1028">
        <v>-263.10210000000001</v>
      </c>
      <c r="K1028">
        <v>1.1108129999999901</v>
      </c>
      <c r="L1028">
        <v>367.42610000000002</v>
      </c>
      <c r="M1028">
        <v>0.99990330000000005</v>
      </c>
      <c r="N1028">
        <v>0</v>
      </c>
      <c r="O1028" s="1">
        <v>-7.2813779999999996E-5</v>
      </c>
      <c r="P1028">
        <v>0.99446749999999995</v>
      </c>
      <c r="Q1028">
        <v>5.904496E-2</v>
      </c>
      <c r="R1028">
        <v>-8.6881819999999998E-2</v>
      </c>
      <c r="S1028">
        <v>3.070862</v>
      </c>
      <c r="T1028">
        <v>-0.38925910000000002</v>
      </c>
      <c r="U1028">
        <v>0.35723880000000002</v>
      </c>
      <c r="V1028">
        <v>8.6713369999999998E-2</v>
      </c>
      <c r="W1028">
        <v>7.2989650000000003E-2</v>
      </c>
      <c r="X1028">
        <v>0.99355590000000005</v>
      </c>
      <c r="Y1028">
        <v>-0.1147185</v>
      </c>
      <c r="Z1028">
        <v>7.2269369999999897E-3</v>
      </c>
      <c r="AA1028">
        <v>0.99337169999999997</v>
      </c>
      <c r="AB1028">
        <v>34</v>
      </c>
      <c r="AC1028">
        <v>8.5982999999999894</v>
      </c>
      <c r="AD1028">
        <v>-1.1108155479149999</v>
      </c>
      <c r="AE1028">
        <v>1.0191999999999499</v>
      </c>
      <c r="AF1028">
        <v>-1.00331277275918</v>
      </c>
      <c r="AG1028">
        <v>-1.1108155479149999</v>
      </c>
      <c r="AH1028">
        <v>8.4590004617442407</v>
      </c>
      <c r="AI1028">
        <v>97.429647256087506</v>
      </c>
      <c r="AJ1028">
        <v>96.764188037544798</v>
      </c>
      <c r="AK1028">
        <v>8.5904153865375203</v>
      </c>
      <c r="AL1028">
        <v>85.814278967872397</v>
      </c>
      <c r="AM1028">
        <v>85.012104678152397</v>
      </c>
      <c r="AN1028">
        <v>1.00000001198434</v>
      </c>
    </row>
    <row r="1029" spans="1:40" x14ac:dyDescent="0.25">
      <c r="A1029" t="str">
        <f>"20190312151005456"</f>
        <v>20190312151005456</v>
      </c>
      <c r="B1029" t="str">
        <f>"1552374605451552"</f>
        <v>1552374605451552</v>
      </c>
      <c r="C1029" t="s">
        <v>40</v>
      </c>
      <c r="D1029">
        <v>5.2168049999999999</v>
      </c>
      <c r="E1029">
        <v>0.42223939999999999</v>
      </c>
      <c r="F1029" t="s">
        <v>42</v>
      </c>
      <c r="G1029">
        <v>-254.19</v>
      </c>
      <c r="H1029" s="1">
        <v>-2.6802000000000002E-6</v>
      </c>
      <c r="I1029">
        <v>368.45850000000002</v>
      </c>
      <c r="J1029">
        <v>-262.92860000000002</v>
      </c>
      <c r="K1029">
        <v>1.1108169999999999</v>
      </c>
      <c r="L1029">
        <v>367.4264</v>
      </c>
      <c r="M1029">
        <v>0.99990330000000005</v>
      </c>
      <c r="N1029">
        <v>0</v>
      </c>
      <c r="O1029">
        <v>2.3809849999999999E-4</v>
      </c>
      <c r="P1029">
        <v>0.99449350000000003</v>
      </c>
      <c r="Q1029">
        <v>5.8767130000000001E-2</v>
      </c>
      <c r="R1029">
        <v>-8.6771630000000002E-2</v>
      </c>
      <c r="S1029">
        <v>3.0705260000000001</v>
      </c>
      <c r="T1029">
        <v>-0.38271090000000002</v>
      </c>
      <c r="U1029">
        <v>0.35568240000000001</v>
      </c>
      <c r="V1029">
        <v>8.6912909999999996E-2</v>
      </c>
      <c r="W1029">
        <v>7.2715719999999998E-2</v>
      </c>
      <c r="X1029">
        <v>0.99355850000000001</v>
      </c>
      <c r="Y1029">
        <v>-0.1139633</v>
      </c>
      <c r="Z1029">
        <v>7.0220580000000003E-3</v>
      </c>
      <c r="AA1029">
        <v>0.99346009999999996</v>
      </c>
      <c r="AB1029">
        <v>34</v>
      </c>
      <c r="AC1029">
        <v>8.7386000000000195</v>
      </c>
      <c r="AD1029">
        <v>-1.1108196802000001</v>
      </c>
      <c r="AE1029">
        <v>1.03210000000001</v>
      </c>
      <c r="AF1029">
        <v>-1.0138619300927501</v>
      </c>
      <c r="AG1029">
        <v>-1.1108196802000001</v>
      </c>
      <c r="AH1029">
        <v>8.6017653397391296</v>
      </c>
      <c r="AI1029">
        <v>97.308332718276702</v>
      </c>
      <c r="AJ1029">
        <v>96.722250747400196</v>
      </c>
      <c r="AK1029">
        <v>8.7322507599786992</v>
      </c>
      <c r="AL1029">
        <v>85.830015606602899</v>
      </c>
      <c r="AM1029">
        <v>85.000697927942099</v>
      </c>
      <c r="AN1029">
        <v>0.99999996139101699</v>
      </c>
    </row>
    <row r="1030" spans="1:40" x14ac:dyDescent="0.25">
      <c r="A1030" t="str">
        <f>"20190312151005468"</f>
        <v>20190312151005468</v>
      </c>
      <c r="B1030" t="str">
        <f>"1552374605461312"</f>
        <v>1552374605461312</v>
      </c>
      <c r="C1030" t="s">
        <v>40</v>
      </c>
      <c r="D1030">
        <v>5.2056100000000001</v>
      </c>
      <c r="E1030">
        <v>0.42182839999999999</v>
      </c>
      <c r="F1030" t="s">
        <v>42</v>
      </c>
      <c r="G1030">
        <v>-253.99359999999999</v>
      </c>
      <c r="H1030" s="1">
        <v>-2.7644109999999998E-6</v>
      </c>
      <c r="I1030">
        <v>368.45870000000002</v>
      </c>
      <c r="J1030">
        <v>-262.75139999999999</v>
      </c>
      <c r="K1030">
        <v>1.1108150000000001</v>
      </c>
      <c r="L1030">
        <v>367.42680000000001</v>
      </c>
      <c r="M1030">
        <v>0.99990290000000004</v>
      </c>
      <c r="N1030">
        <v>0</v>
      </c>
      <c r="O1030">
        <v>5.5616559999999897E-4</v>
      </c>
      <c r="P1030">
        <v>0.99450490000000002</v>
      </c>
      <c r="Q1030">
        <v>5.8677979999999998E-2</v>
      </c>
      <c r="R1030">
        <v>-8.6699719999999994E-2</v>
      </c>
      <c r="S1030">
        <v>3.07016</v>
      </c>
      <c r="T1030">
        <v>-0.38168289999999999</v>
      </c>
      <c r="U1030">
        <v>0.35470580000000002</v>
      </c>
      <c r="V1030">
        <v>8.7157440000000003E-2</v>
      </c>
      <c r="W1030">
        <v>7.2629639999999995E-2</v>
      </c>
      <c r="X1030">
        <v>0.99354339999999997</v>
      </c>
      <c r="Y1030">
        <v>-0.1133604</v>
      </c>
      <c r="Z1030">
        <v>6.9278100000000004E-3</v>
      </c>
      <c r="AA1030">
        <v>0.99352980000000002</v>
      </c>
      <c r="AB1030">
        <v>34</v>
      </c>
      <c r="AC1030">
        <v>8.7577999999999996</v>
      </c>
      <c r="AD1030">
        <v>-1.11081776441099</v>
      </c>
      <c r="AE1030">
        <v>1.0319</v>
      </c>
      <c r="AF1030">
        <v>-1.0109867774113099</v>
      </c>
      <c r="AG1030">
        <v>-1.11081776441099</v>
      </c>
      <c r="AH1030">
        <v>8.6215700925915204</v>
      </c>
      <c r="AI1030">
        <v>97.292218509989794</v>
      </c>
      <c r="AJ1030">
        <v>96.688102480382</v>
      </c>
      <c r="AK1030">
        <v>8.7514273825073801</v>
      </c>
      <c r="AL1030">
        <v>85.834960805019904</v>
      </c>
      <c r="AM1030">
        <v>84.986628137781807</v>
      </c>
      <c r="AN1030">
        <v>0.99999998581872096</v>
      </c>
    </row>
    <row r="1031" spans="1:40" x14ac:dyDescent="0.25">
      <c r="A1031" t="str">
        <f>"20190312151005480"</f>
        <v>20190312151005480</v>
      </c>
      <c r="B1031" t="str">
        <f>"1552374605472048"</f>
        <v>1552374605472048</v>
      </c>
      <c r="C1031" t="s">
        <v>40</v>
      </c>
      <c r="D1031">
        <v>5.3097940000000001</v>
      </c>
      <c r="E1031">
        <v>0.4221338</v>
      </c>
      <c r="F1031" t="s">
        <v>42</v>
      </c>
      <c r="G1031">
        <v>-253.875</v>
      </c>
      <c r="H1031" s="1">
        <v>-2.8146819999999998E-6</v>
      </c>
      <c r="I1031">
        <v>368.46199999999999</v>
      </c>
      <c r="J1031">
        <v>-262.56920000000002</v>
      </c>
      <c r="K1031">
        <v>1.110816</v>
      </c>
      <c r="L1031">
        <v>367.42720000000003</v>
      </c>
      <c r="M1031">
        <v>0.99990270000000003</v>
      </c>
      <c r="N1031">
        <v>0</v>
      </c>
      <c r="O1031">
        <v>8.8287559999999997E-4</v>
      </c>
      <c r="P1031">
        <v>0.99450570000000005</v>
      </c>
      <c r="Q1031">
        <v>5.8577009999999999E-2</v>
      </c>
      <c r="R1031">
        <v>-8.6758440000000006E-2</v>
      </c>
      <c r="S1031">
        <v>3.070465</v>
      </c>
      <c r="T1031">
        <v>-0.38424540000000001</v>
      </c>
      <c r="U1031">
        <v>0.3580933</v>
      </c>
      <c r="V1031">
        <v>8.7541450000000007E-2</v>
      </c>
      <c r="W1031">
        <v>7.2532150000000004E-2</v>
      </c>
      <c r="X1031">
        <v>0.99351679999999998</v>
      </c>
      <c r="Y1031">
        <v>-0.1140917</v>
      </c>
      <c r="Z1031">
        <v>6.9776830000000001E-3</v>
      </c>
      <c r="AA1031">
        <v>0.99344569999999999</v>
      </c>
      <c r="AB1031">
        <v>34</v>
      </c>
      <c r="AC1031">
        <v>8.6942000000000199</v>
      </c>
      <c r="AD1031">
        <v>-1.1108188146819999</v>
      </c>
      <c r="AE1031">
        <v>1.03479999999996</v>
      </c>
      <c r="AF1031">
        <v>-1.0108522735993899</v>
      </c>
      <c r="AG1031">
        <v>-1.1108188146819999</v>
      </c>
      <c r="AH1031">
        <v>8.55737082578759</v>
      </c>
      <c r="AI1031">
        <v>97.345609010295306</v>
      </c>
      <c r="AJ1031">
        <v>96.736930295632106</v>
      </c>
      <c r="AK1031">
        <v>8.6881722018001692</v>
      </c>
      <c r="AL1031">
        <v>85.840561505439894</v>
      </c>
      <c r="AM1031">
        <v>84.9645187383734</v>
      </c>
      <c r="AN1031">
        <v>1.00000002506698</v>
      </c>
    </row>
    <row r="1032" spans="1:40" x14ac:dyDescent="0.25">
      <c r="A1032" t="str">
        <f>"20190312151005493"</f>
        <v>20190312151005493</v>
      </c>
      <c r="B1032" t="str">
        <f>"1552374605481808"</f>
        <v>1552374605481808</v>
      </c>
      <c r="C1032" t="s">
        <v>40</v>
      </c>
      <c r="D1032">
        <v>4.4938719999999996</v>
      </c>
      <c r="E1032">
        <v>0.4221338</v>
      </c>
      <c r="F1032" t="s">
        <v>42</v>
      </c>
      <c r="G1032">
        <v>-253.63130000000001</v>
      </c>
      <c r="H1032" s="1">
        <v>-2.9191710000000002E-6</v>
      </c>
      <c r="I1032">
        <v>368.4624</v>
      </c>
      <c r="J1032">
        <v>-262.37540000000001</v>
      </c>
      <c r="K1032">
        <v>1.1108180000000001</v>
      </c>
      <c r="L1032">
        <v>367.42770000000002</v>
      </c>
      <c r="M1032">
        <v>0.99990230000000002</v>
      </c>
      <c r="N1032">
        <v>0</v>
      </c>
      <c r="O1032">
        <v>1.2304480000000001E-3</v>
      </c>
      <c r="P1032">
        <v>0.99449219999999905</v>
      </c>
      <c r="Q1032">
        <v>5.8566930000000003E-2</v>
      </c>
      <c r="R1032">
        <v>-8.6921769999999995E-2</v>
      </c>
      <c r="S1032">
        <v>3.0700989999999999</v>
      </c>
      <c r="T1032">
        <v>-0.3815539</v>
      </c>
      <c r="U1032">
        <v>0.35559079999999998</v>
      </c>
      <c r="V1032">
        <v>8.8050279999999995E-2</v>
      </c>
      <c r="W1032">
        <v>7.2524539999999998E-2</v>
      </c>
      <c r="X1032">
        <v>0.99347229999999997</v>
      </c>
      <c r="Y1032">
        <v>-0.1129839</v>
      </c>
      <c r="Z1032">
        <v>6.8190710000000003E-3</v>
      </c>
      <c r="AA1032">
        <v>0.99357340000000005</v>
      </c>
      <c r="AB1032">
        <v>34</v>
      </c>
      <c r="AC1032">
        <v>8.7440999999999995</v>
      </c>
      <c r="AD1032">
        <v>-1.1108209191709999</v>
      </c>
      <c r="AE1032">
        <v>1.03469999999998</v>
      </c>
      <c r="AF1032">
        <v>-1.0078978644551999</v>
      </c>
      <c r="AG1032">
        <v>-1.1108209191709999</v>
      </c>
      <c r="AH1032">
        <v>8.6083607080642004</v>
      </c>
      <c r="AI1032">
        <v>97.303457475716996</v>
      </c>
      <c r="AJ1032">
        <v>96.677991668428902</v>
      </c>
      <c r="AK1032">
        <v>8.7380578677292409</v>
      </c>
      <c r="AL1032">
        <v>85.840998305707302</v>
      </c>
      <c r="AM1032">
        <v>84.935176381942199</v>
      </c>
      <c r="AN1032">
        <v>0.99999993578878699</v>
      </c>
    </row>
    <row r="1033" spans="1:40" x14ac:dyDescent="0.25">
      <c r="A1033" t="str">
        <f>"20190312151005511"</f>
        <v>20190312151005511</v>
      </c>
      <c r="B1033" t="str">
        <f>"1552374605501328"</f>
        <v>1552374605501328</v>
      </c>
      <c r="C1033" t="s">
        <v>40</v>
      </c>
      <c r="D1033">
        <v>5.3793739999999897</v>
      </c>
      <c r="E1033">
        <v>0.47778229999999999</v>
      </c>
      <c r="F1033" t="s">
        <v>42</v>
      </c>
      <c r="G1033">
        <v>-253.4392</v>
      </c>
      <c r="H1033" s="1">
        <v>-3.001716E-6</v>
      </c>
      <c r="I1033">
        <v>368.46159999999998</v>
      </c>
      <c r="J1033">
        <v>-262.10750000000002</v>
      </c>
      <c r="K1033">
        <v>1.1108169999999999</v>
      </c>
      <c r="L1033">
        <v>367.42849999999999</v>
      </c>
      <c r="M1033">
        <v>0.9999015</v>
      </c>
      <c r="N1033">
        <v>0</v>
      </c>
      <c r="O1033">
        <v>1.711361E-3</v>
      </c>
      <c r="P1033">
        <v>0.99450249999999996</v>
      </c>
      <c r="Q1033">
        <v>5.8431629999999998E-2</v>
      </c>
      <c r="R1033">
        <v>-8.6893010000000007E-2</v>
      </c>
      <c r="S1033">
        <v>3.0701290000000001</v>
      </c>
      <c r="T1033">
        <v>-0.38163069999999999</v>
      </c>
      <c r="U1033">
        <v>0.35519410000000001</v>
      </c>
      <c r="V1033">
        <v>8.8500280000000001E-2</v>
      </c>
      <c r="W1033">
        <v>7.2389969999999998E-2</v>
      </c>
      <c r="X1033">
        <v>0.99344219999999905</v>
      </c>
      <c r="Y1033">
        <v>-0.1123861</v>
      </c>
      <c r="Z1033">
        <v>6.7241669999999996E-3</v>
      </c>
      <c r="AA1033">
        <v>0.99364189999999997</v>
      </c>
      <c r="AB1033">
        <v>34</v>
      </c>
      <c r="AC1033">
        <v>8.6683000000000092</v>
      </c>
      <c r="AD1033">
        <v>-1.1108200017159999</v>
      </c>
      <c r="AE1033">
        <v>1.0330999999999899</v>
      </c>
      <c r="AF1033">
        <v>-1.0020377007772301</v>
      </c>
      <c r="AG1033">
        <v>-1.1108200017159999</v>
      </c>
      <c r="AH1033">
        <v>8.5319088455998298</v>
      </c>
      <c r="AI1033">
        <v>97.367874136759497</v>
      </c>
      <c r="AJ1033">
        <v>96.698468254792701</v>
      </c>
      <c r="AK1033">
        <v>8.6620707212314905</v>
      </c>
      <c r="AL1033">
        <v>85.848729211129495</v>
      </c>
      <c r="AM1033">
        <v>84.909273740972495</v>
      </c>
      <c r="AN1033">
        <v>1.0000000060287499</v>
      </c>
    </row>
    <row r="1034" spans="1:40" x14ac:dyDescent="0.25">
      <c r="A1034" t="str">
        <f>"20190312151005525"</f>
        <v>20190312151005525</v>
      </c>
      <c r="B1034" t="str">
        <f>"1552374605521824"</f>
        <v>1552374605521824</v>
      </c>
      <c r="C1034" t="s">
        <v>40</v>
      </c>
      <c r="D1034">
        <v>5.4789969999999997</v>
      </c>
      <c r="E1034">
        <v>0.49792839999999999</v>
      </c>
      <c r="F1034" t="s">
        <v>42</v>
      </c>
      <c r="G1034">
        <v>-238.00880000000001</v>
      </c>
      <c r="H1034" s="1">
        <v>-1.428256E-6</v>
      </c>
      <c r="I1034">
        <v>366.74279999999999</v>
      </c>
      <c r="J1034">
        <v>-261.89229999999998</v>
      </c>
      <c r="K1034">
        <v>1.1108180000000001</v>
      </c>
      <c r="L1034">
        <v>367.42930000000001</v>
      </c>
      <c r="M1034">
        <v>0.99990089999999998</v>
      </c>
      <c r="N1034">
        <v>0</v>
      </c>
      <c r="O1034">
        <v>2.097706E-3</v>
      </c>
      <c r="P1034">
        <v>0.99447870000000005</v>
      </c>
      <c r="Q1034">
        <v>5.8624509999999998E-2</v>
      </c>
      <c r="R1034">
        <v>-8.7036329999999995E-2</v>
      </c>
      <c r="S1034">
        <v>3.0172119999999998</v>
      </c>
      <c r="T1034">
        <v>-0.13907649999999999</v>
      </c>
      <c r="U1034">
        <v>-8.5845950000000004E-2</v>
      </c>
      <c r="V1034">
        <v>8.9027549999999997E-2</v>
      </c>
      <c r="W1034">
        <v>7.2580190000000003E-2</v>
      </c>
      <c r="X1034">
        <v>0.99338119999999996</v>
      </c>
      <c r="Y1034">
        <v>3.0502979999999999E-2</v>
      </c>
      <c r="Z1034">
        <v>-7.9912440000000004E-4</v>
      </c>
      <c r="AA1034">
        <v>0.99953440000000005</v>
      </c>
      <c r="AB1034">
        <v>34</v>
      </c>
      <c r="AC1034">
        <v>23.883499999999898</v>
      </c>
      <c r="AD1034">
        <v>-1.110819428256</v>
      </c>
      <c r="AE1034">
        <v>-0.68650000000002298</v>
      </c>
      <c r="AF1034">
        <v>0.73501525407133905</v>
      </c>
      <c r="AG1034">
        <v>-1.110819428256</v>
      </c>
      <c r="AH1034">
        <v>23.8305003180249</v>
      </c>
      <c r="AI1034">
        <v>92.667549636351595</v>
      </c>
      <c r="AJ1034">
        <v>88.233359577021503</v>
      </c>
      <c r="AK1034">
        <v>23.867696005967801</v>
      </c>
      <c r="AL1034">
        <v>85.837801631977001</v>
      </c>
      <c r="AM1034">
        <v>84.878792041404495</v>
      </c>
      <c r="AN1034">
        <v>0.99999999857643895</v>
      </c>
    </row>
    <row r="1035" spans="1:40" x14ac:dyDescent="0.25">
      <c r="A1035" t="str">
        <f>"20190312151005543"</f>
        <v>20190312151005543</v>
      </c>
      <c r="B1035" t="str">
        <f>"1552374605531584"</f>
        <v>1552374605531584</v>
      </c>
      <c r="C1035" t="s">
        <v>40</v>
      </c>
      <c r="D1035">
        <v>5.2584739999999996</v>
      </c>
      <c r="E1035">
        <v>0.50292329999999996</v>
      </c>
      <c r="F1035" t="s">
        <v>42</v>
      </c>
      <c r="G1035">
        <v>-230.2012</v>
      </c>
      <c r="H1035" s="1">
        <v>-5.0351500000000004E-6</v>
      </c>
      <c r="I1035">
        <v>364.82909999999998</v>
      </c>
      <c r="J1035">
        <v>-261.61669999999998</v>
      </c>
      <c r="K1035">
        <v>1.1108199999999999</v>
      </c>
      <c r="L1035">
        <v>367.43040000000002</v>
      </c>
      <c r="M1035">
        <v>0.99989969999999995</v>
      </c>
      <c r="N1035">
        <v>0</v>
      </c>
      <c r="O1035">
        <v>2.5915859999999999E-3</v>
      </c>
      <c r="P1035">
        <v>0.99448599999999998</v>
      </c>
      <c r="Q1035">
        <v>5.8677439999999997E-2</v>
      </c>
      <c r="R1035">
        <v>-8.6917720000000004E-2</v>
      </c>
      <c r="S1035">
        <v>3.001312</v>
      </c>
      <c r="T1035">
        <v>-0.1052004</v>
      </c>
      <c r="U1035">
        <v>-0.2462463</v>
      </c>
      <c r="V1035">
        <v>8.9400279999999999E-2</v>
      </c>
      <c r="W1035">
        <v>7.2628689999999996E-2</v>
      </c>
      <c r="X1035">
        <v>0.99334420000000001</v>
      </c>
      <c r="Y1035">
        <v>8.4301349999999997E-2</v>
      </c>
      <c r="Z1035">
        <v>-1.565185E-3</v>
      </c>
      <c r="AA1035">
        <v>0.99643910000000002</v>
      </c>
      <c r="AB1035">
        <v>34</v>
      </c>
      <c r="AC1035">
        <v>31.415499999999899</v>
      </c>
      <c r="AD1035">
        <v>-1.11082503515</v>
      </c>
      <c r="AE1035">
        <v>-2.6013000000000299</v>
      </c>
      <c r="AF1035">
        <v>2.6793879831185499</v>
      </c>
      <c r="AG1035">
        <v>-1.11082503515</v>
      </c>
      <c r="AH1035">
        <v>31.369698860262901</v>
      </c>
      <c r="AI1035">
        <v>92.020688637721904</v>
      </c>
      <c r="AJ1035">
        <v>85.118030169686506</v>
      </c>
      <c r="AK1035">
        <v>31.503508674532998</v>
      </c>
      <c r="AL1035">
        <v>85.835015515142203</v>
      </c>
      <c r="AM1035">
        <v>84.857275379048502</v>
      </c>
      <c r="AN1035">
        <v>1.00000001817441</v>
      </c>
    </row>
    <row r="1036" spans="1:40" x14ac:dyDescent="0.25">
      <c r="A1036" t="str">
        <f>"20190312151005555"</f>
        <v>20190312151005555</v>
      </c>
      <c r="B1036" t="str">
        <f>"1552374605552080"</f>
        <v>1552374605552080</v>
      </c>
      <c r="C1036" t="s">
        <v>40</v>
      </c>
      <c r="D1036">
        <v>5.3299830000000004</v>
      </c>
      <c r="E1036">
        <v>0.51211139999999999</v>
      </c>
      <c r="F1036" t="s">
        <v>42</v>
      </c>
      <c r="G1036">
        <v>-223.6388</v>
      </c>
      <c r="H1036" s="1">
        <v>-3.7402760000000002E-6</v>
      </c>
      <c r="I1036">
        <v>363.8152</v>
      </c>
      <c r="J1036">
        <v>-261.42239999999998</v>
      </c>
      <c r="K1036">
        <v>1.110819</v>
      </c>
      <c r="L1036">
        <v>367.43119999999999</v>
      </c>
      <c r="M1036">
        <v>0.99989899999999998</v>
      </c>
      <c r="N1036">
        <v>0</v>
      </c>
      <c r="O1036">
        <v>2.9387219999999999E-3</v>
      </c>
      <c r="P1036">
        <v>0.99447140000000001</v>
      </c>
      <c r="Q1036">
        <v>5.8798740000000002E-2</v>
      </c>
      <c r="R1036">
        <v>-8.7005280000000004E-2</v>
      </c>
      <c r="S1036">
        <v>2.9968870000000001</v>
      </c>
      <c r="T1036">
        <v>-8.7656499999999998E-2</v>
      </c>
      <c r="U1036">
        <v>-0.28527829999999998</v>
      </c>
      <c r="V1036">
        <v>8.9832670000000003E-2</v>
      </c>
      <c r="W1036">
        <v>7.2745690000000002E-2</v>
      </c>
      <c r="X1036">
        <v>0.99329659999999997</v>
      </c>
      <c r="Y1036">
        <v>9.7645910000000002E-2</v>
      </c>
      <c r="Z1036">
        <v>-1.510263E-3</v>
      </c>
      <c r="AA1036">
        <v>0.99522010000000005</v>
      </c>
      <c r="AB1036">
        <v>34</v>
      </c>
      <c r="AC1036">
        <v>37.7835999999999</v>
      </c>
      <c r="AD1036">
        <v>-1.110822740276</v>
      </c>
      <c r="AE1036">
        <v>-3.6159999999999801</v>
      </c>
      <c r="AF1036">
        <v>3.7238411759458798</v>
      </c>
      <c r="AG1036">
        <v>-1.110822740276</v>
      </c>
      <c r="AH1036">
        <v>37.740484952693997</v>
      </c>
      <c r="AI1036">
        <v>91.677767993459994</v>
      </c>
      <c r="AJ1036">
        <v>84.364884408642993</v>
      </c>
      <c r="AK1036">
        <v>37.940020093939196</v>
      </c>
      <c r="AL1036">
        <v>85.828294010953599</v>
      </c>
      <c r="AM1036">
        <v>84.832290321614295</v>
      </c>
      <c r="AN1036">
        <v>0.99999998979223204</v>
      </c>
    </row>
    <row r="1037" spans="1:40" x14ac:dyDescent="0.25">
      <c r="A1037" t="str">
        <f>"20190312151005568"</f>
        <v>20190312151005568</v>
      </c>
      <c r="B1037" t="str">
        <f>"1552374605561841"</f>
        <v>1552374605561841</v>
      </c>
      <c r="C1037" t="s">
        <v>40</v>
      </c>
      <c r="D1037">
        <v>5.3213619999999997</v>
      </c>
      <c r="E1037">
        <v>0.51532359999999999</v>
      </c>
      <c r="F1037" t="s">
        <v>42</v>
      </c>
      <c r="G1037">
        <v>-225.92619999999999</v>
      </c>
      <c r="H1037" s="1">
        <v>-3.086769E-6</v>
      </c>
      <c r="I1037">
        <v>363.17320000000001</v>
      </c>
      <c r="J1037">
        <v>-261.23939999999999</v>
      </c>
      <c r="K1037">
        <v>1.1108199999999999</v>
      </c>
      <c r="L1037">
        <v>367.43209999999999</v>
      </c>
      <c r="M1037">
        <v>0.99989799999999995</v>
      </c>
      <c r="N1037">
        <v>0</v>
      </c>
      <c r="O1037">
        <v>3.2650510000000002E-3</v>
      </c>
      <c r="P1037">
        <v>0.99448159999999997</v>
      </c>
      <c r="Q1037">
        <v>5.8970179999999997E-2</v>
      </c>
      <c r="R1037">
        <v>-8.6771070000000006E-2</v>
      </c>
      <c r="S1037">
        <v>2.9908450000000002</v>
      </c>
      <c r="T1037">
        <v>-9.3595620000000004E-2</v>
      </c>
      <c r="U1037">
        <v>-0.35876459999999999</v>
      </c>
      <c r="V1037">
        <v>8.9923130000000004E-2</v>
      </c>
      <c r="W1037">
        <v>7.2912130000000006E-2</v>
      </c>
      <c r="X1037">
        <v>0.99327619999999905</v>
      </c>
      <c r="Y1037">
        <v>0.122281399999999</v>
      </c>
      <c r="Z1037">
        <v>-2.0078460000000002E-3</v>
      </c>
      <c r="AA1037">
        <v>0.99249350000000003</v>
      </c>
      <c r="AB1037">
        <v>34</v>
      </c>
      <c r="AC1037">
        <v>35.313199999999902</v>
      </c>
      <c r="AD1037">
        <v>-1.1108230867690001</v>
      </c>
      <c r="AE1037">
        <v>-4.2588999999999801</v>
      </c>
      <c r="AF1037">
        <v>4.3699257928002302</v>
      </c>
      <c r="AG1037">
        <v>-1.1108230867690001</v>
      </c>
      <c r="AH1037">
        <v>35.264710715750603</v>
      </c>
      <c r="AI1037">
        <v>91.790509823219594</v>
      </c>
      <c r="AJ1037">
        <v>82.936042645394807</v>
      </c>
      <c r="AK1037">
        <v>35.5517932210212</v>
      </c>
      <c r="AL1037">
        <v>85.818732263456894</v>
      </c>
      <c r="AM1037">
        <v>84.827009077296907</v>
      </c>
      <c r="AN1037">
        <v>0.99999997874828594</v>
      </c>
    </row>
    <row r="1038" spans="1:40" x14ac:dyDescent="0.25">
      <c r="A1038" t="str">
        <f>"20190312151005581"</f>
        <v>20190312151005581</v>
      </c>
      <c r="B1038" t="str">
        <f>"1552374605571601"</f>
        <v>1552374605571601</v>
      </c>
      <c r="C1038" t="s">
        <v>40</v>
      </c>
      <c r="D1038">
        <v>5.2990050000000002</v>
      </c>
      <c r="E1038">
        <v>0.51768359999999902</v>
      </c>
      <c r="F1038" t="s">
        <v>42</v>
      </c>
      <c r="G1038">
        <v>-226.88579999999999</v>
      </c>
      <c r="H1038" s="1">
        <v>-2.8000939999999999E-6</v>
      </c>
      <c r="I1038">
        <v>363.02330000000001</v>
      </c>
      <c r="J1038">
        <v>-261.05560000000003</v>
      </c>
      <c r="K1038">
        <v>1.110822</v>
      </c>
      <c r="L1038">
        <v>367.43299999999999</v>
      </c>
      <c r="M1038">
        <v>0.99989689999999998</v>
      </c>
      <c r="N1038">
        <v>0</v>
      </c>
      <c r="O1038">
        <v>3.5923909999999999E-3</v>
      </c>
      <c r="P1038">
        <v>0.99449109999999996</v>
      </c>
      <c r="Q1038">
        <v>5.8864930000000003E-2</v>
      </c>
      <c r="R1038">
        <v>-8.6733859999999996E-2</v>
      </c>
      <c r="S1038">
        <v>2.9888919999999999</v>
      </c>
      <c r="T1038">
        <v>-9.6645590000000003E-2</v>
      </c>
      <c r="U1038">
        <v>-0.38357540000000001</v>
      </c>
      <c r="V1038">
        <v>9.0211609999999998E-2</v>
      </c>
      <c r="W1038">
        <v>7.2802759999999994E-2</v>
      </c>
      <c r="X1038">
        <v>0.99325810000000003</v>
      </c>
      <c r="Y1038">
        <v>0.13078339999999999</v>
      </c>
      <c r="Z1038">
        <v>-2.2209310000000002E-3</v>
      </c>
      <c r="AA1038">
        <v>0.99140850000000003</v>
      </c>
      <c r="AB1038">
        <v>34</v>
      </c>
      <c r="AC1038">
        <v>34.169800000000002</v>
      </c>
      <c r="AD1038">
        <v>-1.110824800094</v>
      </c>
      <c r="AE1038">
        <v>-4.4097000000000399</v>
      </c>
      <c r="AF1038">
        <v>4.5277280230558503</v>
      </c>
      <c r="AG1038">
        <v>-1.110824800094</v>
      </c>
      <c r="AH1038">
        <v>34.118269949833703</v>
      </c>
      <c r="AI1038">
        <v>91.848585525788806</v>
      </c>
      <c r="AJ1038">
        <v>82.440627568935298</v>
      </c>
      <c r="AK1038">
        <v>34.435310324679797</v>
      </c>
      <c r="AL1038">
        <v>85.825015552190905</v>
      </c>
      <c r="AM1038">
        <v>84.810410160419195</v>
      </c>
      <c r="AN1038">
        <v>1.000000014829</v>
      </c>
    </row>
    <row r="1039" spans="1:40" x14ac:dyDescent="0.25">
      <c r="A1039" t="str">
        <f>"20190312151005592"</f>
        <v>20190312151005592</v>
      </c>
      <c r="B1039" t="str">
        <f>"1552374605581360"</f>
        <v>1552374605581360</v>
      </c>
      <c r="C1039" t="s">
        <v>40</v>
      </c>
      <c r="D1039">
        <v>5.42631</v>
      </c>
      <c r="E1039">
        <v>0.51926240000000001</v>
      </c>
      <c r="F1039" t="s">
        <v>42</v>
      </c>
      <c r="G1039">
        <v>-227.88339999999999</v>
      </c>
      <c r="H1039" s="1">
        <v>-2.4752180000000001E-6</v>
      </c>
      <c r="I1039">
        <v>362.96839999999997</v>
      </c>
      <c r="J1039">
        <v>-260.87869999999998</v>
      </c>
      <c r="K1039">
        <v>1.110822</v>
      </c>
      <c r="L1039">
        <v>367.43389999999999</v>
      </c>
      <c r="M1039">
        <v>0.9998958</v>
      </c>
      <c r="N1039">
        <v>0</v>
      </c>
      <c r="O1039">
        <v>3.907565E-3</v>
      </c>
      <c r="P1039">
        <v>0.99451800000000001</v>
      </c>
      <c r="Q1039">
        <v>5.8641159999999998E-2</v>
      </c>
      <c r="R1039">
        <v>-8.6574789999999999E-2</v>
      </c>
      <c r="S1039">
        <v>2.9874879999999999</v>
      </c>
      <c r="T1039">
        <v>-0.1000404</v>
      </c>
      <c r="U1039">
        <v>-0.40206910000000001</v>
      </c>
      <c r="V1039">
        <v>9.0366749999999996E-2</v>
      </c>
      <c r="W1039">
        <v>7.2574970000000003E-2</v>
      </c>
      <c r="X1039">
        <v>0.9932607</v>
      </c>
      <c r="Y1039">
        <v>0.1371761</v>
      </c>
      <c r="Z1039">
        <v>-2.416082E-3</v>
      </c>
      <c r="AA1039">
        <v>0.99054370000000003</v>
      </c>
      <c r="AB1039">
        <v>34</v>
      </c>
      <c r="AC1039">
        <v>32.995299999999901</v>
      </c>
      <c r="AD1039">
        <v>-1.1108244752180001</v>
      </c>
      <c r="AE1039">
        <v>-4.46550000000002</v>
      </c>
      <c r="AF1039">
        <v>4.5893016348754001</v>
      </c>
      <c r="AG1039">
        <v>-1.1108244752180001</v>
      </c>
      <c r="AH1039">
        <v>32.940933121097899</v>
      </c>
      <c r="AI1039">
        <v>91.912918037761003</v>
      </c>
      <c r="AJ1039">
        <v>82.068655106313699</v>
      </c>
      <c r="AK1039">
        <v>33.277630555663997</v>
      </c>
      <c r="AL1039">
        <v>85.838101708550596</v>
      </c>
      <c r="AM1039">
        <v>84.8015478345567</v>
      </c>
      <c r="AN1039">
        <v>1.0000000469702699</v>
      </c>
    </row>
    <row r="1040" spans="1:40" x14ac:dyDescent="0.25">
      <c r="A1040" t="str">
        <f>"20190312151005606"</f>
        <v>20190312151005606</v>
      </c>
      <c r="B1040" t="str">
        <f>"1552374605601856"</f>
        <v>1552374605601856</v>
      </c>
      <c r="C1040" t="s">
        <v>40</v>
      </c>
      <c r="D1040">
        <v>5.3100019999999999</v>
      </c>
      <c r="E1040">
        <v>0.52236660000000001</v>
      </c>
      <c r="F1040" t="s">
        <v>42</v>
      </c>
      <c r="G1040">
        <v>-225.75909999999999</v>
      </c>
      <c r="H1040" s="1">
        <v>-3.3066269999999999E-6</v>
      </c>
      <c r="I1040">
        <v>362.5607</v>
      </c>
      <c r="J1040">
        <v>-260.67930000000001</v>
      </c>
      <c r="K1040">
        <v>1.1108150000000001</v>
      </c>
      <c r="L1040">
        <v>367.43509999999998</v>
      </c>
      <c r="M1040">
        <v>0.99989439999999996</v>
      </c>
      <c r="N1040">
        <v>0</v>
      </c>
      <c r="O1040">
        <v>4.2618389999999999E-3</v>
      </c>
      <c r="P1040">
        <v>0.99450119999999997</v>
      </c>
      <c r="Q1040">
        <v>5.868748E-2</v>
      </c>
      <c r="R1040">
        <v>-8.673852E-2</v>
      </c>
      <c r="S1040">
        <v>2.9860229999999999</v>
      </c>
      <c r="T1040">
        <v>-9.4447020000000007E-2</v>
      </c>
      <c r="U1040">
        <v>-0.41433720000000002</v>
      </c>
      <c r="V1040">
        <v>9.0882669999999999E-2</v>
      </c>
      <c r="W1040">
        <v>7.2616330000000007E-2</v>
      </c>
      <c r="X1040">
        <v>0.99321060000000005</v>
      </c>
      <c r="Y1040">
        <v>0.14159099999999999</v>
      </c>
      <c r="Z1040">
        <v>-2.3621620000000001E-3</v>
      </c>
      <c r="AA1040">
        <v>0.98992239999999998</v>
      </c>
      <c r="AB1040">
        <v>34</v>
      </c>
      <c r="AC1040">
        <v>34.920200000000001</v>
      </c>
      <c r="AD1040">
        <v>-1.1108183066270001</v>
      </c>
      <c r="AE1040">
        <v>-4.8743999999999801</v>
      </c>
      <c r="AF1040">
        <v>5.0182135362599203</v>
      </c>
      <c r="AG1040">
        <v>-1.1108183066270001</v>
      </c>
      <c r="AH1040">
        <v>34.864502161911503</v>
      </c>
      <c r="AI1040">
        <v>91.806282039940101</v>
      </c>
      <c r="AJ1040">
        <v>81.809399085701799</v>
      </c>
      <c r="AK1040">
        <v>35.241309501830003</v>
      </c>
      <c r="AL1040">
        <v>85.835725671588406</v>
      </c>
      <c r="AM1040">
        <v>84.771770682459106</v>
      </c>
      <c r="AN1040">
        <v>1.00000004352067</v>
      </c>
    </row>
    <row r="1041" spans="1:40" x14ac:dyDescent="0.25">
      <c r="A1041" t="str">
        <f>"20190312151005622"</f>
        <v>20190312151005622</v>
      </c>
      <c r="B1041" t="str">
        <f>"1552374605611617"</f>
        <v>1552374605611617</v>
      </c>
      <c r="C1041" t="s">
        <v>40</v>
      </c>
      <c r="D1041">
        <v>5.3630810000000002</v>
      </c>
      <c r="E1041">
        <v>0.52314099999999997</v>
      </c>
      <c r="F1041" t="s">
        <v>42</v>
      </c>
      <c r="G1041">
        <v>-227.91919999999999</v>
      </c>
      <c r="H1041" s="1">
        <v>-2.5576260000000002E-6</v>
      </c>
      <c r="I1041">
        <v>362.61290000000002</v>
      </c>
      <c r="J1041">
        <v>-260.4314</v>
      </c>
      <c r="K1041">
        <v>1.1108119999999999</v>
      </c>
      <c r="L1041">
        <v>367.43650000000002</v>
      </c>
      <c r="M1041">
        <v>0.99989260000000002</v>
      </c>
      <c r="N1041">
        <v>0</v>
      </c>
      <c r="O1041">
        <v>4.7013439999999997E-3</v>
      </c>
      <c r="P1041">
        <v>0.99451219999999996</v>
      </c>
      <c r="Q1041">
        <v>5.8439779999999997E-2</v>
      </c>
      <c r="R1041">
        <v>-8.6779159999999994E-2</v>
      </c>
      <c r="S1041">
        <v>2.9842529999999998</v>
      </c>
      <c r="T1041">
        <v>-0.1011888</v>
      </c>
      <c r="U1041">
        <v>-0.43926999999999999</v>
      </c>
      <c r="V1041">
        <v>9.1361250000000005E-2</v>
      </c>
      <c r="W1041">
        <v>7.2362850000000006E-2</v>
      </c>
      <c r="X1041">
        <v>0.99318519999999999</v>
      </c>
      <c r="Y1041">
        <v>0.15018970000000001</v>
      </c>
      <c r="Z1041">
        <v>-2.690464E-3</v>
      </c>
      <c r="AA1041">
        <v>0.98865349999999996</v>
      </c>
      <c r="AB1041">
        <v>34</v>
      </c>
      <c r="AC1041">
        <v>32.5122</v>
      </c>
      <c r="AD1041">
        <v>-1.110814557626</v>
      </c>
      <c r="AE1041">
        <v>-4.8235999999999901</v>
      </c>
      <c r="AF1041">
        <v>4.9707349719355296</v>
      </c>
      <c r="AG1041">
        <v>-1.110814557626</v>
      </c>
      <c r="AH1041">
        <v>32.452094898254998</v>
      </c>
      <c r="AI1041">
        <v>91.937849564880906</v>
      </c>
      <c r="AJ1041">
        <v>81.291604492213807</v>
      </c>
      <c r="AK1041">
        <v>32.849361918125702</v>
      </c>
      <c r="AL1041">
        <v>85.850287344582796</v>
      </c>
      <c r="AM1041">
        <v>84.744259411607203</v>
      </c>
      <c r="AN1041">
        <v>1.0000000507803599</v>
      </c>
    </row>
    <row r="1042" spans="1:40" x14ac:dyDescent="0.25">
      <c r="A1042" t="str">
        <f>"20190312151005636"</f>
        <v>20190312151005636</v>
      </c>
      <c r="B1042" t="str">
        <f>"1552374605632113"</f>
        <v>1552374605632113</v>
      </c>
      <c r="C1042" t="s">
        <v>40</v>
      </c>
      <c r="D1042">
        <v>5.3248160000000002</v>
      </c>
      <c r="E1042">
        <v>0.52523540000000002</v>
      </c>
      <c r="F1042" t="s">
        <v>42</v>
      </c>
      <c r="G1042">
        <v>-226.7338</v>
      </c>
      <c r="H1042" s="1">
        <v>-3.016253E-6</v>
      </c>
      <c r="I1042">
        <v>362.40539999999999</v>
      </c>
      <c r="J1042">
        <v>-260.22829999999999</v>
      </c>
      <c r="K1042">
        <v>1.1108119999999999</v>
      </c>
      <c r="L1042">
        <v>367.43790000000001</v>
      </c>
      <c r="M1042">
        <v>0.99989090000000003</v>
      </c>
      <c r="N1042">
        <v>0</v>
      </c>
      <c r="O1042">
        <v>5.0602030000000001E-3</v>
      </c>
      <c r="P1042">
        <v>0.99454390000000004</v>
      </c>
      <c r="Q1042">
        <v>5.8307110000000002E-2</v>
      </c>
      <c r="R1042">
        <v>-8.6505499999999999E-2</v>
      </c>
      <c r="S1042">
        <v>2.9834589999999999</v>
      </c>
      <c r="T1042">
        <v>-9.8347190000000001E-2</v>
      </c>
      <c r="U1042">
        <v>-0.44543460000000001</v>
      </c>
      <c r="V1042">
        <v>9.1444990000000004E-2</v>
      </c>
      <c r="W1042">
        <v>7.2225410000000004E-2</v>
      </c>
      <c r="X1042">
        <v>0.99318740000000005</v>
      </c>
      <c r="Y1042">
        <v>0.1525842</v>
      </c>
      <c r="Z1042">
        <v>-2.666248E-3</v>
      </c>
      <c r="AA1042">
        <v>0.98828689999999997</v>
      </c>
      <c r="AB1042">
        <v>34</v>
      </c>
      <c r="AC1042">
        <v>33.494499999999903</v>
      </c>
      <c r="AD1042">
        <v>-1.1108150162529999</v>
      </c>
      <c r="AE1042">
        <v>-5.0325000000000202</v>
      </c>
      <c r="AF1042">
        <v>5.1963517729645696</v>
      </c>
      <c r="AG1042">
        <v>-1.1108150162529999</v>
      </c>
      <c r="AH1042">
        <v>33.432643786336698</v>
      </c>
      <c r="AI1042">
        <v>91.880417426721806</v>
      </c>
      <c r="AJ1042">
        <v>81.165350063175197</v>
      </c>
      <c r="AK1042">
        <v>33.852291684504998</v>
      </c>
      <c r="AL1042">
        <v>85.858182333101396</v>
      </c>
      <c r="AM1042">
        <v>84.739480700582803</v>
      </c>
      <c r="AN1042">
        <v>0.99999995378226303</v>
      </c>
    </row>
    <row r="1043" spans="1:40" x14ac:dyDescent="0.25">
      <c r="A1043" t="str">
        <f>"20190312151005648"</f>
        <v>20190312151005648</v>
      </c>
      <c r="B1043" t="str">
        <f>"1552374605641874"</f>
        <v>1552374605641874</v>
      </c>
      <c r="C1043" t="s">
        <v>40</v>
      </c>
      <c r="D1043">
        <v>5.2206049999999999</v>
      </c>
      <c r="E1043">
        <v>0.52569650000000001</v>
      </c>
      <c r="F1043" t="s">
        <v>42</v>
      </c>
      <c r="G1043">
        <v>-228.72839999999999</v>
      </c>
      <c r="H1043" s="1">
        <v>-2.2947959999999999E-6</v>
      </c>
      <c r="I1043">
        <v>362.56569999999999</v>
      </c>
      <c r="J1043">
        <v>-260.03879999999998</v>
      </c>
      <c r="K1043">
        <v>1.1108119999999999</v>
      </c>
      <c r="L1043">
        <v>367.4391</v>
      </c>
      <c r="M1043">
        <v>0.99988909999999998</v>
      </c>
      <c r="N1043">
        <v>0</v>
      </c>
      <c r="O1043">
        <v>5.3932519999999899E-3</v>
      </c>
      <c r="P1043">
        <v>0.99454160000000003</v>
      </c>
      <c r="Q1043">
        <v>5.8239779999999998E-2</v>
      </c>
      <c r="R1043">
        <v>-8.6578069999999993E-2</v>
      </c>
      <c r="S1043">
        <v>2.9824830000000002</v>
      </c>
      <c r="T1043">
        <v>-0.1051744</v>
      </c>
      <c r="U1043">
        <v>-0.46130369999999998</v>
      </c>
      <c r="V1043">
        <v>9.1849050000000002E-2</v>
      </c>
      <c r="W1043">
        <v>7.2153110000000006E-2</v>
      </c>
      <c r="X1043">
        <v>0.99315540000000002</v>
      </c>
      <c r="Y1043">
        <v>0.15808239999999901</v>
      </c>
      <c r="Z1043">
        <v>-2.959036E-3</v>
      </c>
      <c r="AA1043">
        <v>0.98742149999999995</v>
      </c>
      <c r="AB1043">
        <v>34</v>
      </c>
      <c r="AC1043">
        <v>31.310399999999898</v>
      </c>
      <c r="AD1043">
        <v>-1.110814294796</v>
      </c>
      <c r="AE1043">
        <v>-4.8734000000000002</v>
      </c>
      <c r="AF1043">
        <v>5.0360215886819404</v>
      </c>
      <c r="AG1043">
        <v>-1.110814294796</v>
      </c>
      <c r="AH1043">
        <v>31.245261833121202</v>
      </c>
      <c r="AI1043">
        <v>92.010169339675301</v>
      </c>
      <c r="AJ1043">
        <v>80.843974156224107</v>
      </c>
      <c r="AK1043">
        <v>31.6679934454252</v>
      </c>
      <c r="AL1043">
        <v>85.862335779239899</v>
      </c>
      <c r="AM1043">
        <v>84.716198492332495</v>
      </c>
      <c r="AN1043">
        <v>0.99999998390886702</v>
      </c>
    </row>
    <row r="1044" spans="1:40" x14ac:dyDescent="0.25">
      <c r="A1044" t="str">
        <f>"20190312151005667"</f>
        <v>20190312151005667</v>
      </c>
      <c r="B1044" t="str">
        <f>"1552374605661392"</f>
        <v>1552374605661392</v>
      </c>
      <c r="C1044" t="s">
        <v>40</v>
      </c>
      <c r="D1044">
        <v>5.2799569999999996</v>
      </c>
      <c r="E1044">
        <v>0.52665719999999905</v>
      </c>
      <c r="F1044" t="s">
        <v>42</v>
      </c>
      <c r="G1044">
        <v>-230.5898</v>
      </c>
      <c r="H1044" s="1">
        <v>-5.2204319999999899E-6</v>
      </c>
      <c r="I1044">
        <v>362.84480000000002</v>
      </c>
      <c r="J1044">
        <v>-259.75959999999998</v>
      </c>
      <c r="K1044">
        <v>1.110811</v>
      </c>
      <c r="L1044">
        <v>367.44110000000001</v>
      </c>
      <c r="M1044">
        <v>0.99988650000000001</v>
      </c>
      <c r="N1044">
        <v>0</v>
      </c>
      <c r="O1044">
        <v>5.8802339999999998E-3</v>
      </c>
      <c r="P1044">
        <v>0.99441979999999996</v>
      </c>
      <c r="Q1044">
        <v>5.8206220000000003E-2</v>
      </c>
      <c r="R1044">
        <v>-8.798549E-2</v>
      </c>
      <c r="S1044">
        <v>2.9825439999999999</v>
      </c>
      <c r="T1044">
        <v>-0.1125015</v>
      </c>
      <c r="U1044">
        <v>-0.46530149999999998</v>
      </c>
      <c r="V1044">
        <v>9.3740850000000001E-2</v>
      </c>
      <c r="W1044">
        <v>7.2112679999999998E-2</v>
      </c>
      <c r="X1044">
        <v>0.99298160000000002</v>
      </c>
      <c r="Y1044">
        <v>0.15983649999999999</v>
      </c>
      <c r="Z1044">
        <v>-3.2157850000000001E-3</v>
      </c>
      <c r="AA1044">
        <v>0.98713830000000002</v>
      </c>
      <c r="AB1044">
        <v>34</v>
      </c>
      <c r="AC1044">
        <v>29.169799999999899</v>
      </c>
      <c r="AD1044">
        <v>-1.110816220432</v>
      </c>
      <c r="AE1044">
        <v>-4.5962999999999798</v>
      </c>
      <c r="AF1044">
        <v>4.7610252698425803</v>
      </c>
      <c r="AG1044">
        <v>-1.110816220432</v>
      </c>
      <c r="AH1044">
        <v>29.101086697445599</v>
      </c>
      <c r="AI1044">
        <v>92.157320199735494</v>
      </c>
      <c r="AJ1044">
        <v>80.708552803721005</v>
      </c>
      <c r="AK1044">
        <v>29.508888851800201</v>
      </c>
      <c r="AL1044">
        <v>85.8646584545221</v>
      </c>
      <c r="AM1044">
        <v>84.607065704329898</v>
      </c>
      <c r="AN1044">
        <v>1.00000002175703</v>
      </c>
    </row>
    <row r="1045" spans="1:40" x14ac:dyDescent="0.25">
      <c r="A1045" t="str">
        <f>"20190312151005689"</f>
        <v>20190312151005689</v>
      </c>
      <c r="B1045" t="str">
        <f>"1552374605681888"</f>
        <v>1552374605681888</v>
      </c>
      <c r="C1045" t="s">
        <v>40</v>
      </c>
      <c r="D1045">
        <v>5.2585949999999997</v>
      </c>
      <c r="E1045">
        <v>0.52771590000000002</v>
      </c>
      <c r="F1045" t="s">
        <v>42</v>
      </c>
      <c r="G1045">
        <v>-229.5333</v>
      </c>
      <c r="H1045" s="1">
        <v>-2.0104580000000002E-6</v>
      </c>
      <c r="I1045">
        <v>362.60489999999999</v>
      </c>
      <c r="J1045">
        <v>-259.4289</v>
      </c>
      <c r="K1045">
        <v>1.110806</v>
      </c>
      <c r="L1045">
        <v>367.44369999999998</v>
      </c>
      <c r="M1045">
        <v>0.99988310000000002</v>
      </c>
      <c r="N1045">
        <v>0</v>
      </c>
      <c r="O1045">
        <v>6.4488899999999997E-3</v>
      </c>
      <c r="P1045">
        <v>0.99425450000000004</v>
      </c>
      <c r="Q1045">
        <v>5.8823260000000002E-2</v>
      </c>
      <c r="R1045">
        <v>-8.9432440000000002E-2</v>
      </c>
      <c r="S1045">
        <v>2.9810490000000001</v>
      </c>
      <c r="T1045">
        <v>-0.10955289999999999</v>
      </c>
      <c r="U1045">
        <v>-0.47695920000000003</v>
      </c>
      <c r="V1045">
        <v>9.5752290000000004E-2</v>
      </c>
      <c r="W1045">
        <v>7.2720480000000004E-2</v>
      </c>
      <c r="X1045">
        <v>0.99274530000000005</v>
      </c>
      <c r="Y1045">
        <v>0.16424059999999999</v>
      </c>
      <c r="Z1045">
        <v>-3.2333090000000002E-3</v>
      </c>
      <c r="AA1045">
        <v>0.98641500000000004</v>
      </c>
      <c r="AB1045">
        <v>34</v>
      </c>
      <c r="AC1045">
        <v>29.895600000000002</v>
      </c>
      <c r="AD1045">
        <v>-1.110808010458</v>
      </c>
      <c r="AE1045">
        <v>-4.8387999999999902</v>
      </c>
      <c r="AF1045">
        <v>5.0247513214099202</v>
      </c>
      <c r="AG1045">
        <v>-1.110808010458</v>
      </c>
      <c r="AH1045">
        <v>29.8236473489609</v>
      </c>
      <c r="AI1045">
        <v>92.103427687561506</v>
      </c>
      <c r="AJ1045">
        <v>80.436501180539096</v>
      </c>
      <c r="AK1045">
        <v>30.2643678518698</v>
      </c>
      <c r="AL1045">
        <v>85.829742315862504</v>
      </c>
      <c r="AM1045">
        <v>84.490748299593506</v>
      </c>
      <c r="AN1045">
        <v>0.99999999996188205</v>
      </c>
    </row>
    <row r="1046" spans="1:40" x14ac:dyDescent="0.25">
      <c r="A1046" t="str">
        <f>"20190312151005704"</f>
        <v>20190312151005704</v>
      </c>
      <c r="B1046" t="str">
        <f>"1552374605691649"</f>
        <v>1552374605691649</v>
      </c>
      <c r="C1046" t="s">
        <v>40</v>
      </c>
      <c r="D1046">
        <v>5.2488839999999897</v>
      </c>
      <c r="E1046">
        <v>0.52817400000000003</v>
      </c>
      <c r="F1046" t="s">
        <v>42</v>
      </c>
      <c r="G1046">
        <v>-230.64959999999999</v>
      </c>
      <c r="H1046" s="1">
        <v>-5.2186110000000004E-6</v>
      </c>
      <c r="I1046">
        <v>362.71050000000002</v>
      </c>
      <c r="J1046">
        <v>-259.21440000000001</v>
      </c>
      <c r="K1046">
        <v>1.1108020000000001</v>
      </c>
      <c r="L1046">
        <v>367.44540000000001</v>
      </c>
      <c r="M1046">
        <v>0.99988080000000001</v>
      </c>
      <c r="N1046">
        <v>0</v>
      </c>
      <c r="O1046">
        <v>6.8120389999999998E-3</v>
      </c>
      <c r="P1046">
        <v>0.99419809999999997</v>
      </c>
      <c r="Q1046">
        <v>5.8861999999999998E-2</v>
      </c>
      <c r="R1046">
        <v>-9.0033370000000001E-2</v>
      </c>
      <c r="S1046">
        <v>2.9800719999999998</v>
      </c>
      <c r="T1046">
        <v>-0.115023</v>
      </c>
      <c r="U1046">
        <v>-0.4901123</v>
      </c>
      <c r="V1046">
        <v>9.6714659999999994E-2</v>
      </c>
      <c r="W1046">
        <v>7.2753289999999998E-2</v>
      </c>
      <c r="X1046">
        <v>0.99264960000000002</v>
      </c>
      <c r="Y1046">
        <v>0.16887439999999901</v>
      </c>
      <c r="Z1046">
        <v>-3.4972670000000001E-3</v>
      </c>
      <c r="AA1046">
        <v>0.98563140000000005</v>
      </c>
      <c r="AB1046">
        <v>34</v>
      </c>
      <c r="AC1046">
        <v>28.564800000000002</v>
      </c>
      <c r="AD1046">
        <v>-1.1108072186110001</v>
      </c>
      <c r="AE1046">
        <v>-4.7348999999999801</v>
      </c>
      <c r="AF1046">
        <v>4.9221490064023996</v>
      </c>
      <c r="AG1046">
        <v>-1.1108072186110001</v>
      </c>
      <c r="AH1046">
        <v>28.489948723059701</v>
      </c>
      <c r="AI1046">
        <v>92.200236583653407</v>
      </c>
      <c r="AJ1046">
        <v>80.197890241504197</v>
      </c>
      <c r="AK1046">
        <v>28.933347918288302</v>
      </c>
      <c r="AL1046">
        <v>85.827857438437803</v>
      </c>
      <c r="AM1046">
        <v>84.435189602305798</v>
      </c>
      <c r="AN1046">
        <v>0.99999999752244895</v>
      </c>
    </row>
    <row r="1047" spans="1:40" x14ac:dyDescent="0.25">
      <c r="A1047" t="str">
        <f>"20190312151005723"</f>
        <v>20190312151005723</v>
      </c>
      <c r="B1047" t="str">
        <f>"1552374605712145"</f>
        <v>1552374605712145</v>
      </c>
      <c r="C1047" t="s">
        <v>40</v>
      </c>
      <c r="D1047">
        <v>5.2526000000000002</v>
      </c>
      <c r="E1047">
        <v>0.52911280000000005</v>
      </c>
      <c r="F1047" t="s">
        <v>42</v>
      </c>
      <c r="G1047">
        <v>-230.77670000000001</v>
      </c>
      <c r="H1047" s="1">
        <v>-5.1633290000000003E-6</v>
      </c>
      <c r="I1047">
        <v>362.71480000000003</v>
      </c>
      <c r="J1047">
        <v>-258.91820000000001</v>
      </c>
      <c r="K1047">
        <v>1.110792</v>
      </c>
      <c r="L1047">
        <v>367.4479</v>
      </c>
      <c r="M1047">
        <v>0.99987720000000002</v>
      </c>
      <c r="N1047">
        <v>0</v>
      </c>
      <c r="O1047">
        <v>7.303815E-3</v>
      </c>
      <c r="P1047">
        <v>0.9941046</v>
      </c>
      <c r="Q1047">
        <v>5.8527860000000001E-2</v>
      </c>
      <c r="R1047">
        <v>-9.1273580000000007E-2</v>
      </c>
      <c r="S1047">
        <v>2.979492</v>
      </c>
      <c r="T1047">
        <v>-0.1163819</v>
      </c>
      <c r="U1047">
        <v>-0.49563600000000002</v>
      </c>
      <c r="V1047">
        <v>9.8445000000000005E-2</v>
      </c>
      <c r="W1047">
        <v>7.2411829999999996E-2</v>
      </c>
      <c r="X1047">
        <v>0.99250450000000001</v>
      </c>
      <c r="Y1047">
        <v>0.17116289999999901</v>
      </c>
      <c r="Z1047">
        <v>-3.6021540000000002E-3</v>
      </c>
      <c r="AA1047">
        <v>0.98523620000000001</v>
      </c>
      <c r="AB1047">
        <v>33</v>
      </c>
      <c r="AC1047">
        <v>28.141500000000001</v>
      </c>
      <c r="AD1047">
        <v>-1.1107971633289999</v>
      </c>
      <c r="AE1047">
        <v>-4.7330999999999701</v>
      </c>
      <c r="AF1047">
        <v>4.9310624162633596</v>
      </c>
      <c r="AG1047">
        <v>-1.1107971633289999</v>
      </c>
      <c r="AH1047">
        <v>28.063655105482098</v>
      </c>
      <c r="AI1047">
        <v>92.232495073356304</v>
      </c>
      <c r="AJ1047">
        <v>80.034292856950898</v>
      </c>
      <c r="AK1047">
        <v>28.515223736989999</v>
      </c>
      <c r="AL1047">
        <v>85.847473557884697</v>
      </c>
      <c r="AM1047">
        <v>84.335447588510803</v>
      </c>
      <c r="AN1047">
        <v>1.00000003683459</v>
      </c>
    </row>
    <row r="1048" spans="1:40" x14ac:dyDescent="0.25">
      <c r="A1048" t="str">
        <f>"20190312151005744"</f>
        <v>20190312151005744</v>
      </c>
      <c r="B1048" t="str">
        <f>"1552374605741424"</f>
        <v>1552374605741424</v>
      </c>
      <c r="C1048" t="s">
        <v>40</v>
      </c>
      <c r="D1048">
        <v>5.2656859999999996</v>
      </c>
      <c r="E1048">
        <v>0.53006969999999898</v>
      </c>
      <c r="F1048" t="s">
        <v>42</v>
      </c>
      <c r="G1048">
        <v>-231.4298</v>
      </c>
      <c r="H1048" s="1">
        <v>-4.8734480000000003E-6</v>
      </c>
      <c r="I1048">
        <v>362.76949999999999</v>
      </c>
      <c r="J1048">
        <v>-258.60649999999998</v>
      </c>
      <c r="K1048">
        <v>1.1107819999999999</v>
      </c>
      <c r="L1048">
        <v>367.45069999999998</v>
      </c>
      <c r="M1048">
        <v>0.99987349999999997</v>
      </c>
      <c r="N1048">
        <v>0</v>
      </c>
      <c r="O1048">
        <v>7.8059139999999997E-3</v>
      </c>
      <c r="P1048">
        <v>0.99402729999999995</v>
      </c>
      <c r="Q1048">
        <v>5.8111540000000003E-2</v>
      </c>
      <c r="R1048">
        <v>-9.2374750000000005E-2</v>
      </c>
      <c r="S1048">
        <v>2.9783330000000001</v>
      </c>
      <c r="T1048">
        <v>-0.1203531</v>
      </c>
      <c r="U1048">
        <v>-0.50689700000000004</v>
      </c>
      <c r="V1048">
        <v>0.1000472</v>
      </c>
      <c r="W1048">
        <v>7.1987110000000007E-2</v>
      </c>
      <c r="X1048">
        <v>0.99237509999999995</v>
      </c>
      <c r="Y1048">
        <v>0.17532779999999901</v>
      </c>
      <c r="Z1048">
        <v>-3.8289029999999998E-3</v>
      </c>
      <c r="AA1048">
        <v>0.98450269999999995</v>
      </c>
      <c r="AB1048">
        <v>33</v>
      </c>
      <c r="AC1048">
        <v>27.176699999999901</v>
      </c>
      <c r="AD1048">
        <v>-1.110786873448</v>
      </c>
      <c r="AE1048">
        <v>-4.6811999999999898</v>
      </c>
      <c r="AF1048">
        <v>4.8852905956644204</v>
      </c>
      <c r="AG1048">
        <v>-1.110786873448</v>
      </c>
      <c r="AH1048">
        <v>27.095366573489599</v>
      </c>
      <c r="AI1048">
        <v>92.310341345914296</v>
      </c>
      <c r="AJ1048">
        <v>79.779386039927502</v>
      </c>
      <c r="AK1048">
        <v>27.554651176055401</v>
      </c>
      <c r="AL1048">
        <v>85.871871588409803</v>
      </c>
      <c r="AM1048">
        <v>84.243125194914597</v>
      </c>
      <c r="AN1048">
        <v>0.99999996266699998</v>
      </c>
    </row>
    <row r="1049" spans="1:40" x14ac:dyDescent="0.25">
      <c r="A1049" t="str">
        <f>"20190312151005757"</f>
        <v>20190312151005757</v>
      </c>
      <c r="B1049" t="str">
        <f>"1552374605752161"</f>
        <v>1552374605752161</v>
      </c>
      <c r="C1049" t="s">
        <v>40</v>
      </c>
      <c r="D1049">
        <v>5.2919790000000004</v>
      </c>
      <c r="E1049">
        <v>0.53037919999999905</v>
      </c>
      <c r="F1049" t="s">
        <v>42</v>
      </c>
      <c r="G1049">
        <v>-232.54490000000001</v>
      </c>
      <c r="H1049" s="1">
        <v>-4.3684590000000001E-6</v>
      </c>
      <c r="I1049">
        <v>362.9194</v>
      </c>
      <c r="J1049">
        <v>-258.41000000000003</v>
      </c>
      <c r="K1049">
        <v>1.1107750000000001</v>
      </c>
      <c r="L1049">
        <v>367.45260000000002</v>
      </c>
      <c r="M1049">
        <v>0.99987119999999996</v>
      </c>
      <c r="N1049">
        <v>0</v>
      </c>
      <c r="O1049">
        <v>8.1157820000000002E-3</v>
      </c>
      <c r="P1049">
        <v>0.99402279999999998</v>
      </c>
      <c r="Q1049">
        <v>5.7918789999999998E-2</v>
      </c>
      <c r="R1049">
        <v>-9.254416E-2</v>
      </c>
      <c r="S1049">
        <v>2.9773710000000002</v>
      </c>
      <c r="T1049">
        <v>-0.12690000000000001</v>
      </c>
      <c r="U1049">
        <v>-0.51766970000000001</v>
      </c>
      <c r="V1049">
        <v>0.1005262</v>
      </c>
      <c r="W1049">
        <v>7.17888E-2</v>
      </c>
      <c r="X1049">
        <v>0.99234109999999998</v>
      </c>
      <c r="Y1049">
        <v>0.17912400000000001</v>
      </c>
      <c r="Z1049">
        <v>-4.1304319999999999E-3</v>
      </c>
      <c r="AA1049">
        <v>0.98381779999999996</v>
      </c>
      <c r="AB1049">
        <v>33</v>
      </c>
      <c r="AC1049">
        <v>25.865100000000002</v>
      </c>
      <c r="AD1049">
        <v>-1.1107793684589999</v>
      </c>
      <c r="AE1049">
        <v>-4.5332000000000203</v>
      </c>
      <c r="AF1049">
        <v>4.7345147582636598</v>
      </c>
      <c r="AG1049">
        <v>-1.1107793684589999</v>
      </c>
      <c r="AH1049">
        <v>25.781323007705399</v>
      </c>
      <c r="AI1049">
        <v>92.426515987482205</v>
      </c>
      <c r="AJ1049">
        <v>79.594073682297903</v>
      </c>
      <c r="AK1049">
        <v>26.235969142176799</v>
      </c>
      <c r="AL1049">
        <v>85.883263558034699</v>
      </c>
      <c r="AM1049">
        <v>84.215552386686895</v>
      </c>
      <c r="AN1049">
        <v>1.0000000037205401</v>
      </c>
    </row>
    <row r="1050" spans="1:40" x14ac:dyDescent="0.25">
      <c r="A1050" t="str">
        <f>"20190312151005769"</f>
        <v>20190312151005769</v>
      </c>
      <c r="B1050" t="str">
        <f>"1552374605761921"</f>
        <v>1552374605761921</v>
      </c>
      <c r="C1050" t="s">
        <v>40</v>
      </c>
      <c r="D1050">
        <v>5.2466390000000001</v>
      </c>
      <c r="E1050">
        <v>0.53056729999999996</v>
      </c>
      <c r="F1050" t="s">
        <v>42</v>
      </c>
      <c r="G1050">
        <v>-232.6215</v>
      </c>
      <c r="H1050" s="1">
        <v>-4.3310599999999997E-6</v>
      </c>
      <c r="I1050">
        <v>362.94499999999999</v>
      </c>
      <c r="J1050">
        <v>-258.22680000000003</v>
      </c>
      <c r="K1050">
        <v>1.110762</v>
      </c>
      <c r="L1050">
        <v>367.45440000000002</v>
      </c>
      <c r="M1050">
        <v>0.99986889999999995</v>
      </c>
      <c r="N1050">
        <v>0</v>
      </c>
      <c r="O1050">
        <v>8.3932739999999992E-3</v>
      </c>
      <c r="P1050">
        <v>0.99398059999999999</v>
      </c>
      <c r="Q1050">
        <v>5.816325E-2</v>
      </c>
      <c r="R1050">
        <v>-9.2841889999999996E-2</v>
      </c>
      <c r="S1050">
        <v>2.9770660000000002</v>
      </c>
      <c r="T1050">
        <v>-0.12822990000000001</v>
      </c>
      <c r="U1050">
        <v>-0.52035520000000002</v>
      </c>
      <c r="V1050">
        <v>0.1011007</v>
      </c>
      <c r="W1050">
        <v>7.2028019999999998E-2</v>
      </c>
      <c r="X1050">
        <v>0.99226539999999996</v>
      </c>
      <c r="Y1050">
        <v>0.1802705</v>
      </c>
      <c r="Z1050">
        <v>-4.2101359999999997E-3</v>
      </c>
      <c r="AA1050">
        <v>0.98360809999999999</v>
      </c>
      <c r="AB1050">
        <v>33</v>
      </c>
      <c r="AC1050">
        <v>25.6053</v>
      </c>
      <c r="AD1050">
        <v>-1.11076633106</v>
      </c>
      <c r="AE1050">
        <v>-4.5094000000000198</v>
      </c>
      <c r="AF1050">
        <v>4.71556698259442</v>
      </c>
      <c r="AG1050">
        <v>-1.11076633106</v>
      </c>
      <c r="AH1050">
        <v>25.519965524187601</v>
      </c>
      <c r="AI1050">
        <v>92.450811293854699</v>
      </c>
      <c r="AJ1050">
        <v>79.5309968628859</v>
      </c>
      <c r="AK1050">
        <v>25.975738953209301</v>
      </c>
      <c r="AL1050">
        <v>85.869521695129507</v>
      </c>
      <c r="AM1050">
        <v>84.182280006131094</v>
      </c>
      <c r="AN1050">
        <v>1.00000000562138</v>
      </c>
    </row>
    <row r="1051" spans="1:40" x14ac:dyDescent="0.25">
      <c r="A1051" t="str">
        <f>"20190312151005782"</f>
        <v>20190312151005782</v>
      </c>
      <c r="B1051" t="str">
        <f>"1552374605771680"</f>
        <v>1552374605771680</v>
      </c>
      <c r="C1051" t="s">
        <v>40</v>
      </c>
      <c r="D1051">
        <v>5.214251</v>
      </c>
      <c r="E1051">
        <v>0.53073190000000003</v>
      </c>
      <c r="F1051" t="s">
        <v>42</v>
      </c>
      <c r="G1051">
        <v>-232.51349999999999</v>
      </c>
      <c r="H1051" s="1">
        <v>-4.378335E-6</v>
      </c>
      <c r="I1051">
        <v>362.93959999999998</v>
      </c>
      <c r="J1051">
        <v>-258.03769999999997</v>
      </c>
      <c r="K1051">
        <v>1.110751</v>
      </c>
      <c r="L1051">
        <v>367.45620000000002</v>
      </c>
      <c r="M1051">
        <v>0.99986660000000005</v>
      </c>
      <c r="N1051">
        <v>0</v>
      </c>
      <c r="O1051">
        <v>8.6733049999999992E-3</v>
      </c>
      <c r="P1051">
        <v>0.9939827</v>
      </c>
      <c r="Q1051">
        <v>5.8209610000000002E-2</v>
      </c>
      <c r="R1051">
        <v>-9.2789709999999997E-2</v>
      </c>
      <c r="S1051">
        <v>2.9768680000000001</v>
      </c>
      <c r="T1051">
        <v>-0.12859480000000001</v>
      </c>
      <c r="U1051">
        <v>-0.52267459999999999</v>
      </c>
      <c r="V1051">
        <v>0.10132869999999999</v>
      </c>
      <c r="W1051">
        <v>7.2067980000000004E-2</v>
      </c>
      <c r="X1051">
        <v>0.99223919999999999</v>
      </c>
      <c r="Y1051">
        <v>0.1812984</v>
      </c>
      <c r="Z1051">
        <v>-4.2561300000000003E-3</v>
      </c>
      <c r="AA1051">
        <v>0.98341889999999998</v>
      </c>
      <c r="AB1051">
        <v>33</v>
      </c>
      <c r="AC1051">
        <v>25.524199999999901</v>
      </c>
      <c r="AD1051">
        <v>-1.1107553783349999</v>
      </c>
      <c r="AE1051">
        <v>-4.5166000000000404</v>
      </c>
      <c r="AF1051">
        <v>4.7291463548433397</v>
      </c>
      <c r="AG1051">
        <v>-1.1107553783349999</v>
      </c>
      <c r="AH1051">
        <v>25.437351691278899</v>
      </c>
      <c r="AI1051">
        <v>92.458237981609301</v>
      </c>
      <c r="AJ1051">
        <v>79.468184076129702</v>
      </c>
      <c r="AK1051">
        <v>25.897055118716501</v>
      </c>
      <c r="AL1051">
        <v>85.867226020332893</v>
      </c>
      <c r="AM1051">
        <v>84.169097411376796</v>
      </c>
      <c r="AN1051">
        <v>0.99999996460080398</v>
      </c>
    </row>
    <row r="1052" spans="1:40" x14ac:dyDescent="0.25">
      <c r="A1052" t="str">
        <f>"20190312151005795"</f>
        <v>20190312151005795</v>
      </c>
      <c r="B1052" t="str">
        <f>"1552374605792177"</f>
        <v>1552374605792177</v>
      </c>
      <c r="C1052" t="s">
        <v>40</v>
      </c>
      <c r="D1052">
        <v>5.245571</v>
      </c>
      <c r="E1052">
        <v>0.53100899999999995</v>
      </c>
      <c r="F1052" t="s">
        <v>42</v>
      </c>
      <c r="G1052">
        <v>-232.42439999999999</v>
      </c>
      <c r="H1052" s="1">
        <v>-4.4151649999999998E-6</v>
      </c>
      <c r="I1052">
        <v>362.94760000000002</v>
      </c>
      <c r="J1052">
        <v>-257.851</v>
      </c>
      <c r="K1052">
        <v>1.110738</v>
      </c>
      <c r="L1052">
        <v>367.4581</v>
      </c>
      <c r="M1052">
        <v>0.99986430000000004</v>
      </c>
      <c r="N1052">
        <v>0</v>
      </c>
      <c r="O1052">
        <v>8.9387630000000006E-3</v>
      </c>
      <c r="P1052">
        <v>0.99399219999999999</v>
      </c>
      <c r="Q1052">
        <v>5.832698E-2</v>
      </c>
      <c r="R1052">
        <v>-9.2615890000000006E-2</v>
      </c>
      <c r="S1052">
        <v>2.976807</v>
      </c>
      <c r="T1052">
        <v>-0.12909280000000001</v>
      </c>
      <c r="U1052">
        <v>-0.52398679999999997</v>
      </c>
      <c r="V1052">
        <v>0.10142080000000001</v>
      </c>
      <c r="W1052">
        <v>7.2179740000000006E-2</v>
      </c>
      <c r="X1052">
        <v>0.99222169999999998</v>
      </c>
      <c r="Y1052">
        <v>0.18198120000000001</v>
      </c>
      <c r="Z1052">
        <v>-4.298634E-3</v>
      </c>
      <c r="AA1052">
        <v>0.98329259999999996</v>
      </c>
      <c r="AB1052">
        <v>33</v>
      </c>
      <c r="AC1052">
        <v>25.426600000000001</v>
      </c>
      <c r="AD1052">
        <v>-1.1107424151650001</v>
      </c>
      <c r="AE1052">
        <v>-4.5104999999999702</v>
      </c>
      <c r="AF1052">
        <v>4.7288750058589599</v>
      </c>
      <c r="AG1052">
        <v>-1.1107424151650001</v>
      </c>
      <c r="AH1052">
        <v>25.3383833811687</v>
      </c>
      <c r="AI1052">
        <v>92.467481481362498</v>
      </c>
      <c r="AJ1052">
        <v>79.428566759122603</v>
      </c>
      <c r="AK1052">
        <v>25.799799997383101</v>
      </c>
      <c r="AL1052">
        <v>85.860806061247303</v>
      </c>
      <c r="AM1052">
        <v>84.163731912747494</v>
      </c>
      <c r="AN1052">
        <v>0.99999999774499804</v>
      </c>
    </row>
    <row r="1053" spans="1:40" x14ac:dyDescent="0.25">
      <c r="A1053" t="str">
        <f>"20190312151005811"</f>
        <v>20190312151005811</v>
      </c>
      <c r="B1053" t="str">
        <f>"1552374605801936"</f>
        <v>1552374605801936</v>
      </c>
      <c r="C1053" t="s">
        <v>40</v>
      </c>
      <c r="D1053">
        <v>5.3046239999999996</v>
      </c>
      <c r="E1053">
        <v>0.53123640000000005</v>
      </c>
      <c r="F1053" t="s">
        <v>42</v>
      </c>
      <c r="G1053">
        <v>-232.01650000000001</v>
      </c>
      <c r="H1053" s="1">
        <v>-4.5994899999999999E-6</v>
      </c>
      <c r="I1053">
        <v>362.89490000000001</v>
      </c>
      <c r="J1053">
        <v>-257.60180000000003</v>
      </c>
      <c r="K1053">
        <v>1.1107149999999999</v>
      </c>
      <c r="L1053">
        <v>367.46069999999997</v>
      </c>
      <c r="M1053">
        <v>0.99986140000000001</v>
      </c>
      <c r="N1053">
        <v>0</v>
      </c>
      <c r="O1053">
        <v>9.2736109999999993E-3</v>
      </c>
      <c r="P1053">
        <v>0.99393759999999998</v>
      </c>
      <c r="Q1053">
        <v>5.8800600000000001E-2</v>
      </c>
      <c r="R1053">
        <v>-9.2902490000000004E-2</v>
      </c>
      <c r="S1053">
        <v>2.9766240000000002</v>
      </c>
      <c r="T1053">
        <v>-0.1279778</v>
      </c>
      <c r="U1053">
        <v>-0.52575680000000002</v>
      </c>
      <c r="V1053">
        <v>0.10204249999999999</v>
      </c>
      <c r="W1053">
        <v>7.2643910000000006E-2</v>
      </c>
      <c r="X1053">
        <v>0.99212409999999995</v>
      </c>
      <c r="Y1053">
        <v>0.18288969999999999</v>
      </c>
      <c r="Z1053">
        <v>-4.2952370000000004E-3</v>
      </c>
      <c r="AA1053">
        <v>0.98312409999999995</v>
      </c>
      <c r="AB1053">
        <v>33</v>
      </c>
      <c r="AC1053">
        <v>25.5853</v>
      </c>
      <c r="AD1053">
        <v>-1.1107195994900001</v>
      </c>
      <c r="AE1053">
        <v>-4.5657999999999603</v>
      </c>
      <c r="AF1053">
        <v>4.7941380734156196</v>
      </c>
      <c r="AG1053">
        <v>-1.1107195994900001</v>
      </c>
      <c r="AH1053">
        <v>25.495287669008398</v>
      </c>
      <c r="AI1053">
        <v>92.451638783218996</v>
      </c>
      <c r="AJ1053">
        <v>79.350449638551098</v>
      </c>
      <c r="AK1053">
        <v>25.965884372020799</v>
      </c>
      <c r="AL1053">
        <v>85.834141169879999</v>
      </c>
      <c r="AM1053">
        <v>84.127631749845193</v>
      </c>
      <c r="AN1053">
        <v>1.0000000196335701</v>
      </c>
    </row>
    <row r="1054" spans="1:40" x14ac:dyDescent="0.25">
      <c r="A1054" t="str">
        <f>"20190312151005826"</f>
        <v>20190312151005826</v>
      </c>
      <c r="B1054" t="str">
        <f>"1552374605821456"</f>
        <v>1552374605821456</v>
      </c>
      <c r="C1054" t="s">
        <v>40</v>
      </c>
      <c r="D1054">
        <v>5.2627759999999997</v>
      </c>
      <c r="E1054">
        <v>0.53166910000000001</v>
      </c>
      <c r="F1054" t="s">
        <v>42</v>
      </c>
      <c r="G1054">
        <v>-231.6121</v>
      </c>
      <c r="H1054" s="1">
        <v>-4.7812979999999998E-6</v>
      </c>
      <c r="I1054">
        <v>362.84800000000001</v>
      </c>
      <c r="J1054">
        <v>-257.3818</v>
      </c>
      <c r="K1054">
        <v>1.1106959999999999</v>
      </c>
      <c r="L1054">
        <v>367.46300000000002</v>
      </c>
      <c r="M1054">
        <v>0.99985880000000005</v>
      </c>
      <c r="N1054">
        <v>0</v>
      </c>
      <c r="O1054">
        <v>9.5511169999999996E-3</v>
      </c>
      <c r="P1054">
        <v>0.9939152</v>
      </c>
      <c r="Q1054">
        <v>5.8659459999999997E-2</v>
      </c>
      <c r="R1054">
        <v>-9.32307E-2</v>
      </c>
      <c r="S1054">
        <v>2.9764560000000002</v>
      </c>
      <c r="T1054">
        <v>-0.12720390000000001</v>
      </c>
      <c r="U1054">
        <v>-0.52825929999999999</v>
      </c>
      <c r="V1054">
        <v>0.1026498</v>
      </c>
      <c r="W1054">
        <v>7.2494569999999994E-2</v>
      </c>
      <c r="X1054">
        <v>0.99207230000000002</v>
      </c>
      <c r="Y1054">
        <v>0.1839742</v>
      </c>
      <c r="Z1054">
        <v>-4.3039669999999997E-3</v>
      </c>
      <c r="AA1054">
        <v>0.98292170000000001</v>
      </c>
      <c r="AB1054">
        <v>33</v>
      </c>
      <c r="AC1054">
        <v>25.7697</v>
      </c>
      <c r="AD1054">
        <v>-1.1107007812980001</v>
      </c>
      <c r="AE1054">
        <v>-4.6150000000000002</v>
      </c>
      <c r="AF1054">
        <v>4.8522085696043797</v>
      </c>
      <c r="AG1054">
        <v>-1.1107007812980001</v>
      </c>
      <c r="AH1054">
        <v>25.678221673626901</v>
      </c>
      <c r="AI1054">
        <v>92.433745032454397</v>
      </c>
      <c r="AJ1054">
        <v>79.299443708908797</v>
      </c>
      <c r="AK1054">
        <v>26.1562354429769</v>
      </c>
      <c r="AL1054">
        <v>85.842720035959402</v>
      </c>
      <c r="AM1054">
        <v>84.092622845734894</v>
      </c>
      <c r="AN1054">
        <v>0.99999994627340605</v>
      </c>
    </row>
    <row r="1055" spans="1:40" x14ac:dyDescent="0.25">
      <c r="A1055" t="str">
        <f>"20190312151005839"</f>
        <v>20190312151005839</v>
      </c>
      <c r="B1055" t="str">
        <f>"1552374605831554"</f>
        <v>1552374605831554</v>
      </c>
      <c r="C1055" t="s">
        <v>40</v>
      </c>
      <c r="D1055">
        <v>5.2511760000000001</v>
      </c>
      <c r="E1055">
        <v>0.53189949999999997</v>
      </c>
      <c r="F1055" t="s">
        <v>42</v>
      </c>
      <c r="G1055">
        <v>-231.93299999999999</v>
      </c>
      <c r="H1055" s="1">
        <v>-4.6330350000000003E-6</v>
      </c>
      <c r="I1055">
        <v>362.90769999999998</v>
      </c>
      <c r="J1055">
        <v>-257.1902</v>
      </c>
      <c r="K1055">
        <v>1.1106739999999999</v>
      </c>
      <c r="L1055">
        <v>367.46510000000001</v>
      </c>
      <c r="M1055">
        <v>0.99985670000000004</v>
      </c>
      <c r="N1055">
        <v>0</v>
      </c>
      <c r="O1055">
        <v>9.7806569999999999E-3</v>
      </c>
      <c r="P1055">
        <v>0.99392060000000004</v>
      </c>
      <c r="Q1055">
        <v>5.878539E-2</v>
      </c>
      <c r="R1055">
        <v>-9.3095200000000003E-2</v>
      </c>
      <c r="S1055">
        <v>2.976089</v>
      </c>
      <c r="T1055">
        <v>-0.12988949999999999</v>
      </c>
      <c r="U1055">
        <v>-0.53271480000000004</v>
      </c>
      <c r="V1055">
        <v>0.1027455</v>
      </c>
      <c r="W1055">
        <v>7.2612999999999997E-2</v>
      </c>
      <c r="X1055">
        <v>0.99205379999999999</v>
      </c>
      <c r="Y1055">
        <v>0.18563760000000001</v>
      </c>
      <c r="Z1055">
        <v>-4.440645E-3</v>
      </c>
      <c r="AA1055">
        <v>0.98260829999999999</v>
      </c>
      <c r="AB1055">
        <v>33</v>
      </c>
      <c r="AC1055">
        <v>25.257200000000001</v>
      </c>
      <c r="AD1055">
        <v>-1.110678633035</v>
      </c>
      <c r="AE1055">
        <v>-4.5574000000000296</v>
      </c>
      <c r="AF1055">
        <v>4.7952569995819001</v>
      </c>
      <c r="AG1055">
        <v>-1.110678633035</v>
      </c>
      <c r="AH1055">
        <v>25.164285336432702</v>
      </c>
      <c r="AI1055">
        <v>92.482613981945605</v>
      </c>
      <c r="AJ1055">
        <v>79.211176519696906</v>
      </c>
      <c r="AK1055">
        <v>25.641165207753801</v>
      </c>
      <c r="AL1055">
        <v>85.835916847636696</v>
      </c>
      <c r="AM1055">
        <v>84.087044940308999</v>
      </c>
      <c r="AN1055">
        <v>1.0000000138168399</v>
      </c>
    </row>
    <row r="1056" spans="1:40" x14ac:dyDescent="0.25">
      <c r="A1056" t="str">
        <f>"20190312151005851"</f>
        <v>20190312151005851</v>
      </c>
      <c r="B1056" t="str">
        <f>"1552374605841315"</f>
        <v>1552374605841315</v>
      </c>
      <c r="C1056" t="s">
        <v>40</v>
      </c>
      <c r="D1056">
        <v>5.2535790000000002</v>
      </c>
      <c r="E1056">
        <v>0.53209839999999997</v>
      </c>
      <c r="F1056" t="s">
        <v>42</v>
      </c>
      <c r="G1056">
        <v>-231.7749</v>
      </c>
      <c r="H1056" s="1">
        <v>-4.7016419999999999E-6</v>
      </c>
      <c r="I1056">
        <v>362.90339999999998</v>
      </c>
      <c r="J1056">
        <v>-257.00349999999997</v>
      </c>
      <c r="K1056">
        <v>1.1106510000000001</v>
      </c>
      <c r="L1056">
        <v>367.46710000000002</v>
      </c>
      <c r="M1056">
        <v>0.99985460000000004</v>
      </c>
      <c r="N1056">
        <v>0</v>
      </c>
      <c r="O1056">
        <v>9.9841819999999994E-3</v>
      </c>
      <c r="P1056">
        <v>0.99392170000000002</v>
      </c>
      <c r="Q1056">
        <v>5.8796809999999998E-2</v>
      </c>
      <c r="R1056">
        <v>-9.3074370000000003E-2</v>
      </c>
      <c r="S1056">
        <v>2.976013</v>
      </c>
      <c r="T1056">
        <v>-0.13005459999999999</v>
      </c>
      <c r="U1056">
        <v>-0.53414919999999899</v>
      </c>
      <c r="V1056">
        <v>0.1029306</v>
      </c>
      <c r="W1056">
        <v>7.2616810000000004E-2</v>
      </c>
      <c r="X1056">
        <v>0.99203430000000004</v>
      </c>
      <c r="Y1056">
        <v>0.18629950000000001</v>
      </c>
      <c r="Z1056">
        <v>-4.4693750000000003E-3</v>
      </c>
      <c r="AA1056">
        <v>0.98248290000000005</v>
      </c>
      <c r="AB1056">
        <v>33</v>
      </c>
      <c r="AC1056">
        <v>25.228599999999901</v>
      </c>
      <c r="AD1056">
        <v>-1.110655701642</v>
      </c>
      <c r="AE1056">
        <v>-4.5637000000000398</v>
      </c>
      <c r="AF1056">
        <v>4.8063635127247704</v>
      </c>
      <c r="AG1056">
        <v>-1.110655701642</v>
      </c>
      <c r="AH1056">
        <v>25.134603654530199</v>
      </c>
      <c r="AI1056">
        <v>92.485185899392405</v>
      </c>
      <c r="AJ1056">
        <v>79.174308663676797</v>
      </c>
      <c r="AK1056">
        <v>25.6141169508997</v>
      </c>
      <c r="AL1056">
        <v>85.835697835766894</v>
      </c>
      <c r="AM1056">
        <v>84.076352590238102</v>
      </c>
      <c r="AN1056">
        <v>0.99999998094371201</v>
      </c>
    </row>
    <row r="1057" spans="1:40" x14ac:dyDescent="0.25">
      <c r="A1057" t="str">
        <f>"20190312151005863"</f>
        <v>20190312151005863</v>
      </c>
      <c r="B1057" t="str">
        <f>"1552374605852051"</f>
        <v>1552374605852051</v>
      </c>
      <c r="C1057" t="s">
        <v>40</v>
      </c>
      <c r="D1057">
        <v>5.2302989999999996</v>
      </c>
      <c r="E1057">
        <v>0.53230999999999995</v>
      </c>
      <c r="F1057" t="s">
        <v>42</v>
      </c>
      <c r="G1057">
        <v>-231.69980000000001</v>
      </c>
      <c r="H1057" s="1">
        <v>-4.7321970000000003E-6</v>
      </c>
      <c r="I1057">
        <v>362.9128</v>
      </c>
      <c r="J1057">
        <v>-256.8313</v>
      </c>
      <c r="K1057">
        <v>1.11063</v>
      </c>
      <c r="L1057">
        <v>367.46910000000003</v>
      </c>
      <c r="M1057">
        <v>0.99985279999999999</v>
      </c>
      <c r="N1057">
        <v>0</v>
      </c>
      <c r="O1057">
        <v>1.0161140000000001E-2</v>
      </c>
      <c r="P1057">
        <v>0.9939211</v>
      </c>
      <c r="Q1057">
        <v>5.8692859999999999E-2</v>
      </c>
      <c r="R1057">
        <v>-9.3146779999999998E-2</v>
      </c>
      <c r="S1057">
        <v>2.9759220000000002</v>
      </c>
      <c r="T1057">
        <v>-0.13062169999999901</v>
      </c>
      <c r="U1057">
        <v>-0.53561400000000003</v>
      </c>
      <c r="V1057">
        <v>0.10318239999999899</v>
      </c>
      <c r="W1057">
        <v>7.2505520000000004E-2</v>
      </c>
      <c r="X1057">
        <v>0.99201629999999996</v>
      </c>
      <c r="Y1057">
        <v>0.18694469999999999</v>
      </c>
      <c r="Z1057">
        <v>-4.5105329999999997E-3</v>
      </c>
      <c r="AA1057">
        <v>0.98236009999999996</v>
      </c>
      <c r="AB1057">
        <v>33</v>
      </c>
      <c r="AC1057">
        <v>25.1314999999999</v>
      </c>
      <c r="AD1057">
        <v>-1.110634732197</v>
      </c>
      <c r="AE1057">
        <v>-4.5563000000000198</v>
      </c>
      <c r="AF1057">
        <v>4.8023731933431204</v>
      </c>
      <c r="AG1057">
        <v>-1.110634732197</v>
      </c>
      <c r="AH1057">
        <v>25.036559952068998</v>
      </c>
      <c r="AI1057">
        <v>92.494587292346694</v>
      </c>
      <c r="AJ1057">
        <v>79.141729997851002</v>
      </c>
      <c r="AK1057">
        <v>25.517163479314199</v>
      </c>
      <c r="AL1057">
        <v>85.842091210466805</v>
      </c>
      <c r="AM1057">
        <v>84.061857963443799</v>
      </c>
      <c r="AN1057">
        <v>0.99999999878295998</v>
      </c>
    </row>
    <row r="1058" spans="1:40" x14ac:dyDescent="0.25">
      <c r="A1058" t="str">
        <f>"20190312151005879"</f>
        <v>20190312151005879</v>
      </c>
      <c r="B1058" t="str">
        <f>"1552374605871570"</f>
        <v>1552374605871570</v>
      </c>
      <c r="C1058" t="s">
        <v>40</v>
      </c>
      <c r="D1058">
        <v>5.2139100000000003</v>
      </c>
      <c r="E1058">
        <v>0.53266279999999999</v>
      </c>
      <c r="F1058" t="s">
        <v>42</v>
      </c>
      <c r="G1058">
        <v>-231.6951</v>
      </c>
      <c r="H1058" s="1">
        <v>-4.7320559999999996E-6</v>
      </c>
      <c r="I1058">
        <v>362.92500000000001</v>
      </c>
      <c r="J1058">
        <v>-256.59960000000001</v>
      </c>
      <c r="K1058">
        <v>1.1106</v>
      </c>
      <c r="L1058">
        <v>367.47160000000002</v>
      </c>
      <c r="M1058">
        <v>0.99985060000000003</v>
      </c>
      <c r="N1058">
        <v>0</v>
      </c>
      <c r="O1058">
        <v>1.038214E-2</v>
      </c>
      <c r="P1058">
        <v>0.99390129999999999</v>
      </c>
      <c r="Q1058">
        <v>5.8378029999999997E-2</v>
      </c>
      <c r="R1058">
        <v>-9.3554670000000006E-2</v>
      </c>
      <c r="S1058">
        <v>2.9756930000000001</v>
      </c>
      <c r="T1058">
        <v>-0.1314794</v>
      </c>
      <c r="U1058">
        <v>-0.53793329999999995</v>
      </c>
      <c r="V1058">
        <v>0.10381460000000001</v>
      </c>
      <c r="W1058">
        <v>7.2180690000000006E-2</v>
      </c>
      <c r="X1058">
        <v>0.99197409999999997</v>
      </c>
      <c r="Y1058">
        <v>0.187913</v>
      </c>
      <c r="Z1058">
        <v>-4.5710519999999999E-3</v>
      </c>
      <c r="AA1058">
        <v>0.98217509999999997</v>
      </c>
      <c r="AB1058">
        <v>33</v>
      </c>
      <c r="AC1058">
        <v>24.904499999999999</v>
      </c>
      <c r="AD1058">
        <v>-1.110604732056</v>
      </c>
      <c r="AE1058">
        <v>-4.5466000000000104</v>
      </c>
      <c r="AF1058">
        <v>4.7957121140114598</v>
      </c>
      <c r="AG1058">
        <v>-1.110604732056</v>
      </c>
      <c r="AH1058">
        <v>24.8082053876328</v>
      </c>
      <c r="AI1058">
        <v>92.516753340612397</v>
      </c>
      <c r="AJ1058">
        <v>79.059018881453596</v>
      </c>
      <c r="AK1058">
        <v>25.2918831269305</v>
      </c>
      <c r="AL1058">
        <v>85.860751783888404</v>
      </c>
      <c r="AM1058">
        <v>84.025484917317897</v>
      </c>
      <c r="AN1058">
        <v>1.0000000691264199</v>
      </c>
    </row>
    <row r="1059" spans="1:40" x14ac:dyDescent="0.25">
      <c r="A1059" t="str">
        <f>"20190312151005891"</f>
        <v>20190312151005891</v>
      </c>
      <c r="B1059" t="str">
        <f>"1552374605881331"</f>
        <v>1552374605881331</v>
      </c>
      <c r="C1059" t="s">
        <v>40</v>
      </c>
      <c r="D1059">
        <v>5.3707570000000002</v>
      </c>
      <c r="E1059">
        <v>0.53282249999999998</v>
      </c>
      <c r="F1059" t="s">
        <v>42</v>
      </c>
      <c r="G1059">
        <v>-232.0393</v>
      </c>
      <c r="H1059" s="1">
        <v>-4.571538E-6</v>
      </c>
      <c r="I1059">
        <v>362.9973</v>
      </c>
      <c r="J1059">
        <v>-256.41520000000003</v>
      </c>
      <c r="K1059">
        <v>1.1105780000000001</v>
      </c>
      <c r="L1059">
        <v>367.47370000000001</v>
      </c>
      <c r="M1059">
        <v>0.99984890000000004</v>
      </c>
      <c r="N1059">
        <v>0</v>
      </c>
      <c r="O1059">
        <v>1.053539E-2</v>
      </c>
      <c r="P1059">
        <v>0.99390619999999996</v>
      </c>
      <c r="Q1059">
        <v>5.8135029999999997E-2</v>
      </c>
      <c r="R1059">
        <v>-9.3654070000000006E-2</v>
      </c>
      <c r="S1059">
        <v>2.9752960000000002</v>
      </c>
      <c r="T1059">
        <v>-0.13454089999999999</v>
      </c>
      <c r="U1059">
        <v>-0.54202269999999997</v>
      </c>
      <c r="V1059">
        <v>0.1040703</v>
      </c>
      <c r="W1059">
        <v>7.1930040000000001E-2</v>
      </c>
      <c r="X1059">
        <v>0.9919654</v>
      </c>
      <c r="Y1059">
        <v>0.18938260000000001</v>
      </c>
      <c r="Z1059">
        <v>-4.7172439999999998E-3</v>
      </c>
      <c r="AA1059">
        <v>0.98189199999999999</v>
      </c>
      <c r="AB1059">
        <v>33</v>
      </c>
      <c r="AC1059">
        <v>24.375900000000001</v>
      </c>
      <c r="AD1059">
        <v>-1.110582571538</v>
      </c>
      <c r="AE1059">
        <v>-4.4764000000000097</v>
      </c>
      <c r="AF1059">
        <v>4.7235006282716503</v>
      </c>
      <c r="AG1059">
        <v>-1.110582571538</v>
      </c>
      <c r="AH1059">
        <v>24.278628927845201</v>
      </c>
      <c r="AI1059">
        <v>92.570929533076196</v>
      </c>
      <c r="AJ1059">
        <v>78.990419396542293</v>
      </c>
      <c r="AK1059">
        <v>24.758769647328698</v>
      </c>
      <c r="AL1059">
        <v>85.875149931534807</v>
      </c>
      <c r="AM1059">
        <v>84.010824102778002</v>
      </c>
      <c r="AN1059">
        <v>0.99999995639682404</v>
      </c>
    </row>
    <row r="1060" spans="1:40" x14ac:dyDescent="0.25">
      <c r="A1060" t="str">
        <f>"20190312151005913"</f>
        <v>20190312151005913</v>
      </c>
      <c r="B1060" t="str">
        <f>"1552374605901826"</f>
        <v>1552374605901826</v>
      </c>
      <c r="C1060" t="s">
        <v>40</v>
      </c>
      <c r="D1060">
        <v>5.2869289999999998</v>
      </c>
      <c r="E1060">
        <v>0.55619339999999995</v>
      </c>
      <c r="F1060" t="s">
        <v>42</v>
      </c>
      <c r="G1060">
        <v>-231.9709</v>
      </c>
      <c r="H1060" s="1">
        <v>-4.5992419999999998E-6</v>
      </c>
      <c r="I1060">
        <v>363.00670000000002</v>
      </c>
      <c r="J1060">
        <v>-256.0924</v>
      </c>
      <c r="K1060">
        <v>1.1105419999999999</v>
      </c>
      <c r="L1060">
        <v>367.47739999999999</v>
      </c>
      <c r="M1060">
        <v>0.99984640000000002</v>
      </c>
      <c r="N1060">
        <v>0</v>
      </c>
      <c r="O1060">
        <v>1.077521E-2</v>
      </c>
      <c r="P1060">
        <v>0.99389229999999995</v>
      </c>
      <c r="Q1060">
        <v>5.8255010000000003E-2</v>
      </c>
      <c r="R1060">
        <v>-9.3724909999999995E-2</v>
      </c>
      <c r="S1060">
        <v>2.9751129999999999</v>
      </c>
      <c r="T1060">
        <v>-0.13516839999999999</v>
      </c>
      <c r="U1060">
        <v>-0.54367069999999995</v>
      </c>
      <c r="V1060">
        <v>0.10438600000000001</v>
      </c>
      <c r="W1060">
        <v>7.203611E-2</v>
      </c>
      <c r="X1060">
        <v>0.99192460000000005</v>
      </c>
      <c r="Y1060">
        <v>0.1901523</v>
      </c>
      <c r="Z1060">
        <v>-4.7674149999999997E-3</v>
      </c>
      <c r="AA1060">
        <v>0.98174300000000003</v>
      </c>
      <c r="AB1060">
        <v>33</v>
      </c>
      <c r="AC1060">
        <v>24.121500000000001</v>
      </c>
      <c r="AD1060">
        <v>-1.1105465992419901</v>
      </c>
      <c r="AE1060">
        <v>-4.4706999999999599</v>
      </c>
      <c r="AF1060">
        <v>4.7207055202476003</v>
      </c>
      <c r="AG1060">
        <v>-1.1105465992419901</v>
      </c>
      <c r="AH1060">
        <v>24.022693315025801</v>
      </c>
      <c r="AI1060">
        <v>92.597242774943496</v>
      </c>
      <c r="AJ1060">
        <v>78.882453438065198</v>
      </c>
      <c r="AK1060">
        <v>24.507308470449601</v>
      </c>
      <c r="AL1060">
        <v>85.869057045711003</v>
      </c>
      <c r="AM1060">
        <v>83.992543150866993</v>
      </c>
      <c r="AN1060">
        <v>1.00000002511254</v>
      </c>
    </row>
    <row r="1061" spans="1:40" x14ac:dyDescent="0.25">
      <c r="A1061" t="str">
        <f>"20190312151005935"</f>
        <v>20190312151005935</v>
      </c>
      <c r="B1061" t="str">
        <f>"1552374605931106"</f>
        <v>1552374605931106</v>
      </c>
      <c r="C1061" t="s">
        <v>40</v>
      </c>
      <c r="D1061">
        <v>5.3438600000000003</v>
      </c>
      <c r="E1061">
        <v>0.55683609999999994</v>
      </c>
      <c r="F1061" t="s">
        <v>42</v>
      </c>
      <c r="G1061">
        <v>-242.2825</v>
      </c>
      <c r="H1061" s="1">
        <v>-4.6117859999999997E-6</v>
      </c>
      <c r="I1061">
        <v>364.0736</v>
      </c>
      <c r="J1061">
        <v>-255.77029999999999</v>
      </c>
      <c r="K1061">
        <v>1.1105119999999999</v>
      </c>
      <c r="L1061">
        <v>367.48110000000003</v>
      </c>
      <c r="M1061">
        <v>0.99984430000000002</v>
      </c>
      <c r="N1061">
        <v>0</v>
      </c>
      <c r="O1061">
        <v>1.0971130000000001E-2</v>
      </c>
      <c r="P1061">
        <v>0.99380020000000002</v>
      </c>
      <c r="Q1061">
        <v>5.859756E-2</v>
      </c>
      <c r="R1061">
        <v>-9.4484570000000004E-2</v>
      </c>
      <c r="S1061">
        <v>2.9635310000000001</v>
      </c>
      <c r="T1061">
        <v>-0.23831749999999999</v>
      </c>
      <c r="U1061">
        <v>-0.73043819999999904</v>
      </c>
      <c r="V1061">
        <v>0.1053456</v>
      </c>
      <c r="W1061">
        <v>7.2364750000000005E-2</v>
      </c>
      <c r="X1061">
        <v>0.99179919999999999</v>
      </c>
      <c r="Y1061">
        <v>0.2491603</v>
      </c>
      <c r="Z1061">
        <v>-1.0723679999999999E-2</v>
      </c>
      <c r="AA1061">
        <v>0.96840289999999996</v>
      </c>
      <c r="AB1061">
        <v>33</v>
      </c>
      <c r="AC1061">
        <v>13.487799999999901</v>
      </c>
      <c r="AD1061">
        <v>-1.1105166117859999</v>
      </c>
      <c r="AE1061">
        <v>-3.4075000000000202</v>
      </c>
      <c r="AF1061">
        <v>3.5327734503233499</v>
      </c>
      <c r="AG1061">
        <v>-1.1105166117859999</v>
      </c>
      <c r="AH1061">
        <v>13.364437876976</v>
      </c>
      <c r="AI1061">
        <v>94.5930219674825</v>
      </c>
      <c r="AJ1061">
        <v>75.193040708403004</v>
      </c>
      <c r="AK1061">
        <v>13.868018429606799</v>
      </c>
      <c r="AL1061">
        <v>85.8501779970005</v>
      </c>
      <c r="AM1061">
        <v>83.936966387790804</v>
      </c>
      <c r="AN1061">
        <v>1.0000000028012801</v>
      </c>
    </row>
    <row r="1062" spans="1:40" x14ac:dyDescent="0.25">
      <c r="A1062" t="str">
        <f>"20190312151005957"</f>
        <v>20190312151005957</v>
      </c>
      <c r="B1062" t="str">
        <f>"1552374605951602"</f>
        <v>1552374605951602</v>
      </c>
      <c r="C1062" t="s">
        <v>40</v>
      </c>
      <c r="D1062">
        <v>5.3235650000000003</v>
      </c>
      <c r="E1062">
        <v>0.55709549999999997</v>
      </c>
      <c r="F1062" t="s">
        <v>42</v>
      </c>
      <c r="G1062">
        <v>-242.1181</v>
      </c>
      <c r="H1062" s="1">
        <v>-4.6882640000000003E-6</v>
      </c>
      <c r="I1062">
        <v>364.08049999999997</v>
      </c>
      <c r="J1062">
        <v>-255.44</v>
      </c>
      <c r="K1062">
        <v>1.110473</v>
      </c>
      <c r="L1062">
        <v>367.48489999999998</v>
      </c>
      <c r="M1062">
        <v>0.99984280000000003</v>
      </c>
      <c r="N1062">
        <v>0</v>
      </c>
      <c r="O1062">
        <v>1.1128590000000001E-2</v>
      </c>
      <c r="P1062">
        <v>0.99366810000000005</v>
      </c>
      <c r="Q1062">
        <v>5.9140070000000003E-2</v>
      </c>
      <c r="R1062">
        <v>-9.553383E-2</v>
      </c>
      <c r="S1062">
        <v>2.9627690000000002</v>
      </c>
      <c r="T1062">
        <v>-0.2410012</v>
      </c>
      <c r="U1062">
        <v>-0.73797609999999902</v>
      </c>
      <c r="V1062">
        <v>0.1065562</v>
      </c>
      <c r="W1062">
        <v>7.2891689999999995E-2</v>
      </c>
      <c r="X1062">
        <v>0.99163129999999999</v>
      </c>
      <c r="Y1062">
        <v>0.25166509999999997</v>
      </c>
      <c r="Z1062">
        <v>-1.095631E-2</v>
      </c>
      <c r="AA1062">
        <v>0.96775230000000001</v>
      </c>
      <c r="AB1062">
        <v>33</v>
      </c>
      <c r="AC1062">
        <v>13.321899999999999</v>
      </c>
      <c r="AD1062">
        <v>-1.110477688264</v>
      </c>
      <c r="AE1062">
        <v>-3.4043999999999999</v>
      </c>
      <c r="AF1062">
        <v>3.52943652804964</v>
      </c>
      <c r="AG1062">
        <v>-1.110477688264</v>
      </c>
      <c r="AH1062">
        <v>13.197107146838</v>
      </c>
      <c r="AI1062">
        <v>94.647280324934698</v>
      </c>
      <c r="AJ1062">
        <v>75.027214830383699</v>
      </c>
      <c r="AK1062">
        <v>13.705973878086301</v>
      </c>
      <c r="AL1062">
        <v>85.819906722869007</v>
      </c>
      <c r="AM1062">
        <v>83.866789328403698</v>
      </c>
      <c r="AN1062">
        <v>1.00000002868459</v>
      </c>
    </row>
    <row r="1063" spans="1:40" x14ac:dyDescent="0.25">
      <c r="A1063" t="str">
        <f>"20190312151005969"</f>
        <v>20190312151005969</v>
      </c>
      <c r="B1063" t="str">
        <f>"1552374605961362"</f>
        <v>1552374605961362</v>
      </c>
      <c r="C1063" t="s">
        <v>40</v>
      </c>
      <c r="D1063">
        <v>5.2618010000000002</v>
      </c>
      <c r="E1063">
        <v>0.55681930000000002</v>
      </c>
      <c r="F1063" t="s">
        <v>42</v>
      </c>
      <c r="G1063">
        <v>-241.7688</v>
      </c>
      <c r="H1063" s="1">
        <v>-4.8580300000000003E-6</v>
      </c>
      <c r="I1063">
        <v>364.05419999999998</v>
      </c>
      <c r="J1063">
        <v>-255.26329999999999</v>
      </c>
      <c r="K1063">
        <v>1.110457</v>
      </c>
      <c r="L1063">
        <v>367.48689999999999</v>
      </c>
      <c r="M1063">
        <v>0.99984200000000001</v>
      </c>
      <c r="N1063">
        <v>0</v>
      </c>
      <c r="O1063">
        <v>1.1192179999999999E-2</v>
      </c>
      <c r="P1063">
        <v>0.99363120000000005</v>
      </c>
      <c r="Q1063">
        <v>5.9301880000000001E-2</v>
      </c>
      <c r="R1063">
        <v>-9.5816109999999996E-2</v>
      </c>
      <c r="S1063">
        <v>2.9619749999999998</v>
      </c>
      <c r="T1063">
        <v>-0.24059549999999999</v>
      </c>
      <c r="U1063">
        <v>-0.74328609999999995</v>
      </c>
      <c r="V1063">
        <v>0.106904399999999</v>
      </c>
      <c r="W1063">
        <v>7.3046239999999998E-2</v>
      </c>
      <c r="X1063">
        <v>0.99158239999999997</v>
      </c>
      <c r="Y1063">
        <v>0.253417</v>
      </c>
      <c r="Z1063">
        <v>-1.1013459999999999E-2</v>
      </c>
      <c r="AA1063">
        <v>0.96729449999999995</v>
      </c>
      <c r="AB1063">
        <v>33</v>
      </c>
      <c r="AC1063">
        <v>13.494499999999899</v>
      </c>
      <c r="AD1063">
        <v>-1.1104618580299901</v>
      </c>
      <c r="AE1063">
        <v>-3.4327000000000099</v>
      </c>
      <c r="AF1063">
        <v>3.5608846882465701</v>
      </c>
      <c r="AG1063">
        <v>-1.1104618580299901</v>
      </c>
      <c r="AH1063">
        <v>13.370195926575001</v>
      </c>
      <c r="AI1063">
        <v>94.588574099862598</v>
      </c>
      <c r="AJ1063">
        <v>75.086591644905695</v>
      </c>
      <c r="AK1063">
        <v>13.8807479775455</v>
      </c>
      <c r="AL1063">
        <v>85.811027787077904</v>
      </c>
      <c r="AM1063">
        <v>83.846599852908497</v>
      </c>
      <c r="AN1063">
        <v>0.99999997995362799</v>
      </c>
    </row>
    <row r="1064" spans="1:40" x14ac:dyDescent="0.25">
      <c r="A1064" t="str">
        <f>"20190312151005980"</f>
        <v>20190312151005980</v>
      </c>
      <c r="B1064" t="str">
        <f>"1552374605971123"</f>
        <v>1552374605971123</v>
      </c>
      <c r="C1064" t="s">
        <v>40</v>
      </c>
      <c r="D1064">
        <v>5.333094</v>
      </c>
      <c r="E1064">
        <v>0.55696610000000002</v>
      </c>
      <c r="F1064" t="s">
        <v>42</v>
      </c>
      <c r="G1064">
        <v>-241.6782</v>
      </c>
      <c r="H1064" s="1">
        <v>-4.8956080000000004E-6</v>
      </c>
      <c r="I1064">
        <v>364.084</v>
      </c>
      <c r="J1064">
        <v>-255.0907</v>
      </c>
      <c r="K1064">
        <v>1.1104430000000001</v>
      </c>
      <c r="L1064">
        <v>367.4889</v>
      </c>
      <c r="M1064">
        <v>0.99984139999999999</v>
      </c>
      <c r="N1064">
        <v>0</v>
      </c>
      <c r="O1064">
        <v>1.1249220000000001E-2</v>
      </c>
      <c r="P1064">
        <v>0.99357070000000003</v>
      </c>
      <c r="Q1064">
        <v>5.9503010000000002E-2</v>
      </c>
      <c r="R1064">
        <v>-9.6315049999999999E-2</v>
      </c>
      <c r="S1064">
        <v>2.9621279999999999</v>
      </c>
      <c r="T1064">
        <v>-0.2421278</v>
      </c>
      <c r="U1064">
        <v>-0.74197389999999996</v>
      </c>
      <c r="V1064">
        <v>0.1074629</v>
      </c>
      <c r="W1064">
        <v>7.324029E-2</v>
      </c>
      <c r="X1064">
        <v>0.99150769999999999</v>
      </c>
      <c r="Y1064">
        <v>0.25304769999999999</v>
      </c>
      <c r="Z1064">
        <v>-1.107316E-2</v>
      </c>
      <c r="AA1064">
        <v>0.96739039999999998</v>
      </c>
      <c r="AB1064">
        <v>33</v>
      </c>
      <c r="AC1064">
        <v>13.4124999999999</v>
      </c>
      <c r="AD1064">
        <v>-1.1104478956079999</v>
      </c>
      <c r="AE1064">
        <v>-3.4048999999999898</v>
      </c>
      <c r="AF1064">
        <v>3.5328293277271698</v>
      </c>
      <c r="AG1064">
        <v>-1.1104478956079999</v>
      </c>
      <c r="AH1064">
        <v>13.2877781011106</v>
      </c>
      <c r="AI1064">
        <v>94.617379274685206</v>
      </c>
      <c r="AJ1064">
        <v>75.111175222442895</v>
      </c>
      <c r="AK1064">
        <v>13.794166319573799</v>
      </c>
      <c r="AL1064">
        <v>85.799879625730497</v>
      </c>
      <c r="AM1064">
        <v>83.814238837260504</v>
      </c>
      <c r="AN1064">
        <v>0.99999996705749095</v>
      </c>
    </row>
    <row r="1065" spans="1:40" x14ac:dyDescent="0.25">
      <c r="A1065" t="str">
        <f>"20190312151006002"</f>
        <v>20190312151006002</v>
      </c>
      <c r="B1065" t="str">
        <f>"1552374605991619"</f>
        <v>1552374605991619</v>
      </c>
      <c r="C1065" t="s">
        <v>40</v>
      </c>
      <c r="D1065">
        <v>5.3016870000000003</v>
      </c>
      <c r="E1065">
        <v>0.55508869999999999</v>
      </c>
      <c r="F1065" t="s">
        <v>42</v>
      </c>
      <c r="G1065">
        <v>-241.39930000000001</v>
      </c>
      <c r="H1065" s="1">
        <v>-5.0341309999999996E-6</v>
      </c>
      <c r="I1065">
        <v>364.0462</v>
      </c>
      <c r="J1065">
        <v>-254.77719999999999</v>
      </c>
      <c r="K1065">
        <v>1.1104069999999999</v>
      </c>
      <c r="L1065">
        <v>367.49259999999998</v>
      </c>
      <c r="M1065">
        <v>0.99984059999999997</v>
      </c>
      <c r="N1065">
        <v>0</v>
      </c>
      <c r="O1065">
        <v>1.1327830000000001E-2</v>
      </c>
      <c r="P1065">
        <v>0.99340439999999997</v>
      </c>
      <c r="Q1065">
        <v>5.9958999999999998E-2</v>
      </c>
      <c r="R1065">
        <v>-9.7738039999999998E-2</v>
      </c>
      <c r="S1065">
        <v>2.961624</v>
      </c>
      <c r="T1065">
        <v>-0.24020369999999999</v>
      </c>
      <c r="U1065">
        <v>-0.74468990000000002</v>
      </c>
      <c r="V1065">
        <v>0.1089672</v>
      </c>
      <c r="W1065">
        <v>7.3682059999999994E-2</v>
      </c>
      <c r="X1065">
        <v>0.99131080000000005</v>
      </c>
      <c r="Y1065">
        <v>0.25400679999999998</v>
      </c>
      <c r="Z1065">
        <v>-1.103056E-2</v>
      </c>
      <c r="AA1065">
        <v>0.96713950000000004</v>
      </c>
      <c r="AB1065">
        <v>33</v>
      </c>
      <c r="AC1065">
        <v>13.377899999999901</v>
      </c>
      <c r="AD1065">
        <v>-1.110412034131</v>
      </c>
      <c r="AE1065">
        <v>-3.4463999999999801</v>
      </c>
      <c r="AF1065">
        <v>3.5746408416205702</v>
      </c>
      <c r="AG1065">
        <v>-1.110412034131</v>
      </c>
      <c r="AH1065">
        <v>13.2523767292719</v>
      </c>
      <c r="AI1065">
        <v>94.625061505382803</v>
      </c>
      <c r="AJ1065">
        <v>74.904533191669699</v>
      </c>
      <c r="AK1065">
        <v>13.7708591237683</v>
      </c>
      <c r="AL1065">
        <v>85.774499630012301</v>
      </c>
      <c r="AM1065">
        <v>83.727098101462005</v>
      </c>
      <c r="AN1065">
        <v>0.99999999941916096</v>
      </c>
    </row>
    <row r="1066" spans="1:40" x14ac:dyDescent="0.25">
      <c r="A1066" t="str">
        <f>"20190312151006014"</f>
        <v>20190312151006014</v>
      </c>
      <c r="B1066" t="str">
        <f>"1552374606001379"</f>
        <v>1552374606001379</v>
      </c>
      <c r="C1066" t="s">
        <v>40</v>
      </c>
      <c r="D1066">
        <v>5.3052590000000004</v>
      </c>
      <c r="E1066">
        <v>0.55412899999999998</v>
      </c>
      <c r="F1066" t="s">
        <v>42</v>
      </c>
      <c r="G1066">
        <v>-227.02969999999999</v>
      </c>
      <c r="H1066" s="1">
        <v>-3.392779E-6</v>
      </c>
      <c r="I1066">
        <v>360.61180000000002</v>
      </c>
      <c r="J1066">
        <v>-254.60130000000001</v>
      </c>
      <c r="K1066">
        <v>1.11039</v>
      </c>
      <c r="L1066">
        <v>367.49459999999999</v>
      </c>
      <c r="M1066">
        <v>0.99984010000000001</v>
      </c>
      <c r="N1066">
        <v>0</v>
      </c>
      <c r="O1066">
        <v>1.136144E-2</v>
      </c>
      <c r="P1066">
        <v>0.99331040000000004</v>
      </c>
      <c r="Q1066">
        <v>6.0133319999999997E-2</v>
      </c>
      <c r="R1066">
        <v>-9.858314E-2</v>
      </c>
      <c r="S1066">
        <v>2.954971</v>
      </c>
      <c r="T1066">
        <v>-0.1182526</v>
      </c>
      <c r="U1066">
        <v>-0.73275760000000001</v>
      </c>
      <c r="V1066">
        <v>0.10984720000000001</v>
      </c>
      <c r="W1066">
        <v>7.3849449999999997E-2</v>
      </c>
      <c r="X1066">
        <v>0.9912012</v>
      </c>
      <c r="Y1066">
        <v>0.25149949999999999</v>
      </c>
      <c r="Z1066">
        <v>-5.4032150000000003E-3</v>
      </c>
      <c r="AA1066">
        <v>0.96784230000000004</v>
      </c>
      <c r="AB1066">
        <v>33</v>
      </c>
      <c r="AC1066">
        <v>27.5716</v>
      </c>
      <c r="AD1066">
        <v>-1.110393392779</v>
      </c>
      <c r="AE1066">
        <v>-6.8827999999999703</v>
      </c>
      <c r="AF1066">
        <v>7.1846692383664896</v>
      </c>
      <c r="AG1066">
        <v>-1.110393392779</v>
      </c>
      <c r="AH1066">
        <v>27.449704539663301</v>
      </c>
      <c r="AI1066">
        <v>92.241049682779902</v>
      </c>
      <c r="AJ1066">
        <v>75.332473499099194</v>
      </c>
      <c r="AK1066">
        <v>28.396104043799198</v>
      </c>
      <c r="AL1066">
        <v>85.7648826225319</v>
      </c>
      <c r="AM1066">
        <v>83.676154443075703</v>
      </c>
      <c r="AN1066">
        <v>0.99999998374729104</v>
      </c>
    </row>
    <row r="1067" spans="1:40" x14ac:dyDescent="0.25">
      <c r="A1067" t="str">
        <f>"20190312151006025"</f>
        <v>20190312151006025</v>
      </c>
      <c r="B1067" t="str">
        <f>"1552374606021875"</f>
        <v>1552374606021875</v>
      </c>
      <c r="C1067" t="s">
        <v>40</v>
      </c>
      <c r="D1067">
        <v>5.4224759999999996</v>
      </c>
      <c r="E1067">
        <v>0.55335570000000001</v>
      </c>
      <c r="F1067" t="s">
        <v>42</v>
      </c>
      <c r="G1067">
        <v>-226.81229999999999</v>
      </c>
      <c r="H1067" s="1">
        <v>-3.4555359999999999E-6</v>
      </c>
      <c r="I1067">
        <v>360.65390000000002</v>
      </c>
      <c r="J1067">
        <v>-254.43049999999999</v>
      </c>
      <c r="K1067">
        <v>1.1103769999999999</v>
      </c>
      <c r="L1067">
        <v>367.4966</v>
      </c>
      <c r="M1067">
        <v>0.99983999999999995</v>
      </c>
      <c r="N1067">
        <v>0</v>
      </c>
      <c r="O1067">
        <v>1.138721E-2</v>
      </c>
      <c r="P1067">
        <v>0.9932086</v>
      </c>
      <c r="Q1067">
        <v>6.0224380000000001E-2</v>
      </c>
      <c r="R1067">
        <v>-9.9552130000000003E-2</v>
      </c>
      <c r="S1067">
        <v>2.9551699999999999</v>
      </c>
      <c r="T1067">
        <v>-0.118082199999999</v>
      </c>
      <c r="U1067">
        <v>-0.72744750000000002</v>
      </c>
      <c r="V1067">
        <v>0.1108426</v>
      </c>
      <c r="W1067">
        <v>7.3933620000000005E-2</v>
      </c>
      <c r="X1067">
        <v>0.99108410000000002</v>
      </c>
      <c r="Y1067">
        <v>0.2498716</v>
      </c>
      <c r="Z1067">
        <v>-5.3652040000000002E-3</v>
      </c>
      <c r="AA1067">
        <v>0.96826409999999996</v>
      </c>
      <c r="AB1067">
        <v>33</v>
      </c>
      <c r="AC1067">
        <v>27.618200000000002</v>
      </c>
      <c r="AD1067">
        <v>-1.110380455536</v>
      </c>
      <c r="AE1067">
        <v>-6.8426999999999696</v>
      </c>
      <c r="AF1067">
        <v>7.1458977333303197</v>
      </c>
      <c r="AG1067">
        <v>-1.110380455536</v>
      </c>
      <c r="AH1067">
        <v>27.4966069224938</v>
      </c>
      <c r="AI1067">
        <v>92.238218312802204</v>
      </c>
      <c r="AJ1067">
        <v>75.432068901928901</v>
      </c>
      <c r="AK1067">
        <v>28.431675846164801</v>
      </c>
      <c r="AL1067">
        <v>85.760046791313002</v>
      </c>
      <c r="AM1067">
        <v>83.618572631195306</v>
      </c>
      <c r="AN1067">
        <v>0.99999997770693605</v>
      </c>
    </row>
    <row r="1068" spans="1:40" x14ac:dyDescent="0.25">
      <c r="A1068" t="str">
        <f>"20190312151006038"</f>
        <v>20190312151006038</v>
      </c>
      <c r="B1068" t="str">
        <f>"1552374606032117"</f>
        <v>1552374606032117</v>
      </c>
      <c r="C1068" t="s">
        <v>40</v>
      </c>
      <c r="D1068">
        <v>5.3339650000000001</v>
      </c>
      <c r="E1068">
        <v>0.55970019999999998</v>
      </c>
      <c r="F1068" t="s">
        <v>42</v>
      </c>
      <c r="G1068">
        <v>-226.5934</v>
      </c>
      <c r="H1068" s="1">
        <v>-3.524589E-6</v>
      </c>
      <c r="I1068">
        <v>360.67430000000002</v>
      </c>
      <c r="J1068">
        <v>-254.24520000000001</v>
      </c>
      <c r="K1068">
        <v>1.110368</v>
      </c>
      <c r="L1068">
        <v>367.49869999999999</v>
      </c>
      <c r="M1068">
        <v>0.9998397</v>
      </c>
      <c r="N1068">
        <v>0</v>
      </c>
      <c r="O1068">
        <v>1.141149E-2</v>
      </c>
      <c r="P1068">
        <v>0.99314619999999998</v>
      </c>
      <c r="Q1068">
        <v>6.0233929999999998E-2</v>
      </c>
      <c r="R1068">
        <v>-0.1001635</v>
      </c>
      <c r="S1068">
        <v>2.955063</v>
      </c>
      <c r="T1068">
        <v>-0.11787300000000001</v>
      </c>
      <c r="U1068">
        <v>-0.72421259999999998</v>
      </c>
      <c r="V1068">
        <v>0.11148</v>
      </c>
      <c r="W1068">
        <v>7.3936950000000001E-2</v>
      </c>
      <c r="X1068">
        <v>0.99101240000000002</v>
      </c>
      <c r="Y1068">
        <v>0.24890480000000001</v>
      </c>
      <c r="Z1068">
        <v>-5.3385439999999998E-3</v>
      </c>
      <c r="AA1068">
        <v>0.96851330000000002</v>
      </c>
      <c r="AB1068">
        <v>33</v>
      </c>
      <c r="AC1068">
        <v>27.651800000000001</v>
      </c>
      <c r="AD1068">
        <v>-1.110371524589</v>
      </c>
      <c r="AE1068">
        <v>-6.8243999999999598</v>
      </c>
      <c r="AF1068">
        <v>7.1286990076255901</v>
      </c>
      <c r="AG1068">
        <v>-1.110371524589</v>
      </c>
      <c r="AH1068">
        <v>27.530272239240102</v>
      </c>
      <c r="AI1068">
        <v>92.235977778427994</v>
      </c>
      <c r="AJ1068">
        <v>75.482666259993906</v>
      </c>
      <c r="AK1068">
        <v>28.459922066488801</v>
      </c>
      <c r="AL1068">
        <v>85.759855652238002</v>
      </c>
      <c r="AM1068">
        <v>83.581721110903302</v>
      </c>
      <c r="AN1068">
        <v>1.00000001996453</v>
      </c>
    </row>
    <row r="1069" spans="1:40" x14ac:dyDescent="0.25">
      <c r="A1069" t="str">
        <f>"20190312151006058"</f>
        <v>20190312151006058</v>
      </c>
      <c r="B1069" t="str">
        <f>"1552374606051636"</f>
        <v>1552374606051636</v>
      </c>
      <c r="C1069" t="s">
        <v>40</v>
      </c>
      <c r="D1069">
        <v>5.3122160000000003</v>
      </c>
      <c r="E1069">
        <v>0.55869930000000001</v>
      </c>
      <c r="F1069" t="s">
        <v>42</v>
      </c>
      <c r="G1069">
        <v>-240.58070000000001</v>
      </c>
      <c r="H1069" s="1">
        <v>-5.4459010000000001E-6</v>
      </c>
      <c r="I1069">
        <v>363.90629999999999</v>
      </c>
      <c r="J1069">
        <v>-253.95410000000001</v>
      </c>
      <c r="K1069">
        <v>1.1103529999999999</v>
      </c>
      <c r="L1069">
        <v>367.50200000000001</v>
      </c>
      <c r="M1069">
        <v>0.99983949999999999</v>
      </c>
      <c r="N1069">
        <v>0</v>
      </c>
      <c r="O1069">
        <v>1.143397E-2</v>
      </c>
      <c r="P1069">
        <v>0.99297630000000003</v>
      </c>
      <c r="Q1069">
        <v>6.0394940000000001E-2</v>
      </c>
      <c r="R1069">
        <v>-0.1017391</v>
      </c>
      <c r="S1069">
        <v>2.9568940000000001</v>
      </c>
      <c r="T1069">
        <v>-0.2402775</v>
      </c>
      <c r="U1069">
        <v>-0.77737429999999996</v>
      </c>
      <c r="V1069">
        <v>0.11307929999999999</v>
      </c>
      <c r="W1069">
        <v>7.4087689999999998E-2</v>
      </c>
      <c r="X1069">
        <v>0.99081989999999998</v>
      </c>
      <c r="Y1069">
        <v>0.26445350000000001</v>
      </c>
      <c r="Z1069">
        <v>-1.1461290000000001E-2</v>
      </c>
      <c r="AA1069">
        <v>0.96433029999999997</v>
      </c>
      <c r="AB1069">
        <v>33</v>
      </c>
      <c r="AC1069">
        <v>13.3734</v>
      </c>
      <c r="AD1069">
        <v>-1.1103584459010001</v>
      </c>
      <c r="AE1069">
        <v>-3.5956999999999599</v>
      </c>
      <c r="AF1069">
        <v>3.7244467700358599</v>
      </c>
      <c r="AG1069">
        <v>-1.1103584459010001</v>
      </c>
      <c r="AH1069">
        <v>13.246251035334501</v>
      </c>
      <c r="AI1069">
        <v>94.613502276076204</v>
      </c>
      <c r="AJ1069">
        <v>74.295616473152293</v>
      </c>
      <c r="AK1069">
        <v>13.8046211868459</v>
      </c>
      <c r="AL1069">
        <v>85.751195023394104</v>
      </c>
      <c r="AM1069">
        <v>83.489174980415996</v>
      </c>
      <c r="AN1069">
        <v>0.99999999406701801</v>
      </c>
    </row>
    <row r="1070" spans="1:40" x14ac:dyDescent="0.25">
      <c r="A1070" t="str">
        <f>"20190312151006069"</f>
        <v>20190312151006069</v>
      </c>
      <c r="B1070" t="str">
        <f>"1552374606061396"</f>
        <v>1552374606061396</v>
      </c>
      <c r="C1070" t="s">
        <v>40</v>
      </c>
      <c r="D1070">
        <v>5.3946019999999999</v>
      </c>
      <c r="E1070">
        <v>0.55913789999999997</v>
      </c>
      <c r="F1070" t="s">
        <v>42</v>
      </c>
      <c r="G1070">
        <v>-240.6011</v>
      </c>
      <c r="H1070" s="1">
        <v>-5.4186260000000004E-6</v>
      </c>
      <c r="I1070">
        <v>364.0059</v>
      </c>
      <c r="J1070">
        <v>-253.7884</v>
      </c>
      <c r="K1070">
        <v>1.1103430000000001</v>
      </c>
      <c r="L1070">
        <v>367.50400000000002</v>
      </c>
      <c r="M1070">
        <v>0.99983929999999999</v>
      </c>
      <c r="N1070">
        <v>0</v>
      </c>
      <c r="O1070">
        <v>1.144038E-2</v>
      </c>
      <c r="P1070">
        <v>0.99285760000000001</v>
      </c>
      <c r="Q1070">
        <v>6.0419590000000002E-2</v>
      </c>
      <c r="R1070">
        <v>-0.1028753</v>
      </c>
      <c r="S1070">
        <v>2.9568629999999998</v>
      </c>
      <c r="T1070">
        <v>-0.24587439999999999</v>
      </c>
      <c r="U1070">
        <v>-0.77416989999999997</v>
      </c>
      <c r="V1070">
        <v>0.11422209999999999</v>
      </c>
      <c r="W1070">
        <v>7.4106699999999998E-2</v>
      </c>
      <c r="X1070">
        <v>0.9906874</v>
      </c>
      <c r="Y1070">
        <v>0.26344709999999899</v>
      </c>
      <c r="Z1070">
        <v>-1.1688540000000001E-2</v>
      </c>
      <c r="AA1070">
        <v>0.96460310000000005</v>
      </c>
      <c r="AB1070">
        <v>33</v>
      </c>
      <c r="AC1070">
        <v>13.187299999999899</v>
      </c>
      <c r="AD1070">
        <v>-1.110348418626</v>
      </c>
      <c r="AE1070">
        <v>-3.49810000000002</v>
      </c>
      <c r="AF1070">
        <v>3.6247453084289898</v>
      </c>
      <c r="AG1070">
        <v>-1.110348418626</v>
      </c>
      <c r="AH1070">
        <v>13.0599135404709</v>
      </c>
      <c r="AI1070">
        <v>94.683369666915496</v>
      </c>
      <c r="AJ1070">
        <v>74.488142806726898</v>
      </c>
      <c r="AK1070">
        <v>13.599007090456899</v>
      </c>
      <c r="AL1070">
        <v>85.750102886740393</v>
      </c>
      <c r="AM1070">
        <v>83.423077073545102</v>
      </c>
      <c r="AN1070">
        <v>1.0000000078160201</v>
      </c>
    </row>
    <row r="1071" spans="1:40" x14ac:dyDescent="0.25">
      <c r="A1071" t="str">
        <f>"20190312151006080"</f>
        <v>20190312151006080</v>
      </c>
      <c r="B1071" t="str">
        <f>"1552374606072133"</f>
        <v>1552374606072133</v>
      </c>
      <c r="C1071" t="s">
        <v>40</v>
      </c>
      <c r="D1071">
        <v>5.3102809999999998</v>
      </c>
      <c r="E1071">
        <v>0.55862369999999995</v>
      </c>
      <c r="F1071" t="s">
        <v>42</v>
      </c>
      <c r="G1071">
        <v>-240.3081</v>
      </c>
      <c r="H1071" s="1">
        <v>-5.5686740000000003E-6</v>
      </c>
      <c r="I1071">
        <v>363.94069999999999</v>
      </c>
      <c r="J1071">
        <v>-253.61760000000001</v>
      </c>
      <c r="K1071">
        <v>1.110336</v>
      </c>
      <c r="L1071">
        <v>367.50599999999997</v>
      </c>
      <c r="M1071">
        <v>0.99983940000000004</v>
      </c>
      <c r="N1071">
        <v>0</v>
      </c>
      <c r="O1071">
        <v>1.1445790000000001E-2</v>
      </c>
      <c r="P1071">
        <v>0.99274580000000001</v>
      </c>
      <c r="Q1071">
        <v>6.0577110000000003E-2</v>
      </c>
      <c r="R1071">
        <v>-0.1038589</v>
      </c>
      <c r="S1071">
        <v>2.9554140000000002</v>
      </c>
      <c r="T1071">
        <v>-0.2434326</v>
      </c>
      <c r="U1071">
        <v>-0.78121949999999996</v>
      </c>
      <c r="V1071">
        <v>0.1152112</v>
      </c>
      <c r="W1071">
        <v>7.4258870000000005E-2</v>
      </c>
      <c r="X1071">
        <v>0.99056149999999998</v>
      </c>
      <c r="Y1071">
        <v>0.2657294</v>
      </c>
      <c r="Z1071">
        <v>-1.166757E-2</v>
      </c>
      <c r="AA1071">
        <v>0.96397699999999997</v>
      </c>
      <c r="AB1071">
        <v>33</v>
      </c>
      <c r="AC1071">
        <v>13.3095</v>
      </c>
      <c r="AD1071">
        <v>-1.1103415686739999</v>
      </c>
      <c r="AE1071">
        <v>-3.5652999999999699</v>
      </c>
      <c r="AF1071">
        <v>3.6934345348206499</v>
      </c>
      <c r="AG1071">
        <v>-1.1103415686739999</v>
      </c>
      <c r="AH1071">
        <v>13.1822149159179</v>
      </c>
      <c r="AI1071">
        <v>94.636931065455201</v>
      </c>
      <c r="AJ1071">
        <v>74.348023036406303</v>
      </c>
      <c r="AK1071">
        <v>13.7348136919137</v>
      </c>
      <c r="AL1071">
        <v>85.741360248079104</v>
      </c>
      <c r="AM1071">
        <v>83.365794390800502</v>
      </c>
      <c r="AN1071">
        <v>1.0000000428306799</v>
      </c>
    </row>
    <row r="1072" spans="1:40" x14ac:dyDescent="0.25">
      <c r="A1072" t="str">
        <f>"20190312151006091"</f>
        <v>20190312151006091</v>
      </c>
      <c r="B1072" t="str">
        <f>"1552374606081892"</f>
        <v>1552374606081892</v>
      </c>
      <c r="C1072" t="s">
        <v>40</v>
      </c>
      <c r="D1072">
        <v>5.3845470000000004</v>
      </c>
      <c r="E1072">
        <v>0.5588014</v>
      </c>
      <c r="F1072" t="s">
        <v>42</v>
      </c>
      <c r="G1072">
        <v>-240.0453</v>
      </c>
      <c r="H1072" s="1">
        <v>-5.6959409999999996E-6</v>
      </c>
      <c r="I1072">
        <v>363.92360000000002</v>
      </c>
      <c r="J1072">
        <v>-253.45079999999999</v>
      </c>
      <c r="K1072">
        <v>1.1103259999999999</v>
      </c>
      <c r="L1072">
        <v>367.50779999999997</v>
      </c>
      <c r="M1072">
        <v>0.99983949999999999</v>
      </c>
      <c r="N1072">
        <v>0</v>
      </c>
      <c r="O1072">
        <v>1.1448180000000001E-2</v>
      </c>
      <c r="P1072">
        <v>0.99266259999999995</v>
      </c>
      <c r="Q1072">
        <v>6.0499009999999999E-2</v>
      </c>
      <c r="R1072">
        <v>-0.104695899999999</v>
      </c>
      <c r="S1072">
        <v>2.955063</v>
      </c>
      <c r="T1072">
        <v>-0.24175070000000001</v>
      </c>
      <c r="U1072">
        <v>-0.77996829999999995</v>
      </c>
      <c r="V1072">
        <v>0.116051</v>
      </c>
      <c r="W1072">
        <v>7.4175660000000004E-2</v>
      </c>
      <c r="X1072">
        <v>0.99046959999999995</v>
      </c>
      <c r="Y1072">
        <v>0.2653913</v>
      </c>
      <c r="Z1072">
        <v>-1.1575770000000001E-2</v>
      </c>
      <c r="AA1072">
        <v>0.96407129999999996</v>
      </c>
      <c r="AB1072">
        <v>33</v>
      </c>
      <c r="AC1072">
        <v>13.4054999999999</v>
      </c>
      <c r="AD1072">
        <v>-1.1103316959409999</v>
      </c>
      <c r="AE1072">
        <v>-3.5841999999999499</v>
      </c>
      <c r="AF1072">
        <v>3.7136712524046001</v>
      </c>
      <c r="AG1072">
        <v>-1.1103316959409999</v>
      </c>
      <c r="AH1072">
        <v>13.2785681503776</v>
      </c>
      <c r="AI1072">
        <v>94.603994263979999</v>
      </c>
      <c r="AJ1072">
        <v>74.375071569686497</v>
      </c>
      <c r="AK1072">
        <v>13.8327351875965</v>
      </c>
      <c r="AL1072">
        <v>85.746140601201006</v>
      </c>
      <c r="AM1072">
        <v>83.317257547748099</v>
      </c>
      <c r="AN1072">
        <v>0.99999994583079599</v>
      </c>
    </row>
    <row r="1073" spans="1:40" x14ac:dyDescent="0.25">
      <c r="A1073" t="str">
        <f>"20190312151006103"</f>
        <v>20190312151006103</v>
      </c>
      <c r="B1073" t="str">
        <f>"1552374606091653"</f>
        <v>1552374606091653</v>
      </c>
      <c r="C1073" t="s">
        <v>40</v>
      </c>
      <c r="D1073">
        <v>5.3979720000000002</v>
      </c>
      <c r="E1073">
        <v>0.55892629999999999</v>
      </c>
      <c r="F1073" t="s">
        <v>42</v>
      </c>
      <c r="G1073">
        <v>-239.87119999999999</v>
      </c>
      <c r="H1073" s="1">
        <v>-1.5499500000000001E-6</v>
      </c>
      <c r="I1073">
        <v>363.90350000000001</v>
      </c>
      <c r="J1073">
        <v>-253.28290000000001</v>
      </c>
      <c r="K1073">
        <v>1.1103190000000001</v>
      </c>
      <c r="L1073">
        <v>367.50979999999998</v>
      </c>
      <c r="M1073">
        <v>0.99983949999999999</v>
      </c>
      <c r="N1073">
        <v>0</v>
      </c>
      <c r="O1073">
        <v>1.144975E-2</v>
      </c>
      <c r="P1073">
        <v>0.992564</v>
      </c>
      <c r="Q1073">
        <v>6.0728339999999999E-2</v>
      </c>
      <c r="R1073">
        <v>-0.1054948</v>
      </c>
      <c r="S1073">
        <v>2.9541930000000001</v>
      </c>
      <c r="T1073">
        <v>-0.24154629999999999</v>
      </c>
      <c r="U1073">
        <v>-0.78408809999999995</v>
      </c>
      <c r="V1073">
        <v>0.11685130000000001</v>
      </c>
      <c r="W1073">
        <v>7.4400099999999997E-2</v>
      </c>
      <c r="X1073">
        <v>0.99035870000000004</v>
      </c>
      <c r="Y1073">
        <v>0.26671620000000001</v>
      </c>
      <c r="Z1073">
        <v>-1.162056E-2</v>
      </c>
      <c r="AA1073">
        <v>0.96370509999999998</v>
      </c>
      <c r="AB1073">
        <v>33</v>
      </c>
      <c r="AC1073">
        <v>13.4117</v>
      </c>
      <c r="AD1073">
        <v>-1.11032054995</v>
      </c>
      <c r="AE1073">
        <v>-3.6062999999999699</v>
      </c>
      <c r="AF1073">
        <v>3.7357611520230098</v>
      </c>
      <c r="AG1073">
        <v>-1.11032054995</v>
      </c>
      <c r="AH1073">
        <v>13.2846151964032</v>
      </c>
      <c r="AI1073">
        <v>94.600032648470105</v>
      </c>
      <c r="AJ1073">
        <v>74.293507958096399</v>
      </c>
      <c r="AK1073">
        <v>13.844483523234601</v>
      </c>
      <c r="AL1073">
        <v>85.733245641684206</v>
      </c>
      <c r="AM1073">
        <v>83.270847207274599</v>
      </c>
      <c r="AN1073">
        <v>0.99999997792869399</v>
      </c>
    </row>
    <row r="1074" spans="1:40" x14ac:dyDescent="0.25">
      <c r="A1074" t="str">
        <f>"20190312151006117"</f>
        <v>20190312151006117</v>
      </c>
      <c r="B1074" t="str">
        <f>"1552374606112149"</f>
        <v>1552374606112149</v>
      </c>
      <c r="C1074" t="s">
        <v>40</v>
      </c>
      <c r="D1074">
        <v>5.3963720000000004</v>
      </c>
      <c r="E1074">
        <v>0.55923559999999894</v>
      </c>
      <c r="F1074" t="s">
        <v>42</v>
      </c>
      <c r="G1074">
        <v>-239.6437</v>
      </c>
      <c r="H1074" s="1">
        <v>-1.635205E-6</v>
      </c>
      <c r="I1074">
        <v>363.8741</v>
      </c>
      <c r="J1074">
        <v>-253.0857</v>
      </c>
      <c r="K1074">
        <v>1.1103130000000001</v>
      </c>
      <c r="L1074">
        <v>367.512</v>
      </c>
      <c r="M1074">
        <v>0.99983949999999999</v>
      </c>
      <c r="N1074">
        <v>0</v>
      </c>
      <c r="O1074">
        <v>1.1450490000000001E-2</v>
      </c>
      <c r="P1074">
        <v>0.99248550000000002</v>
      </c>
      <c r="Q1074">
        <v>6.0629710000000003E-2</v>
      </c>
      <c r="R1074">
        <v>-0.1062879</v>
      </c>
      <c r="S1074">
        <v>2.953506</v>
      </c>
      <c r="T1074">
        <v>-0.24043419999999999</v>
      </c>
      <c r="U1074">
        <v>-0.78729249999999995</v>
      </c>
      <c r="V1074">
        <v>0.1176455</v>
      </c>
      <c r="W1074">
        <v>7.4296920000000002E-2</v>
      </c>
      <c r="X1074">
        <v>0.9902725</v>
      </c>
      <c r="Y1074">
        <v>0.26775339999999997</v>
      </c>
      <c r="Z1074">
        <v>-1.160973E-2</v>
      </c>
      <c r="AA1074">
        <v>0.96341750000000004</v>
      </c>
      <c r="AB1074">
        <v>33</v>
      </c>
      <c r="AC1074">
        <v>13.442</v>
      </c>
      <c r="AD1074">
        <v>-1.110314635205</v>
      </c>
      <c r="AE1074">
        <v>-3.6378999999999402</v>
      </c>
      <c r="AF1074">
        <v>3.76764191069041</v>
      </c>
      <c r="AG1074">
        <v>-1.110314635205</v>
      </c>
      <c r="AH1074">
        <v>13.314813982273099</v>
      </c>
      <c r="AI1074">
        <v>94.587522680266801</v>
      </c>
      <c r="AJ1074">
        <v>74.2002815628273</v>
      </c>
      <c r="AK1074">
        <v>13.8820818157392</v>
      </c>
      <c r="AL1074">
        <v>85.739174178539898</v>
      </c>
      <c r="AM1074">
        <v>83.224950798550097</v>
      </c>
      <c r="AN1074">
        <v>1.00000006012399</v>
      </c>
    </row>
    <row r="1075" spans="1:40" x14ac:dyDescent="0.25">
      <c r="A1075" t="str">
        <f>"20190312151006137"</f>
        <v>20190312151006137</v>
      </c>
      <c r="B1075" t="str">
        <f>"1552374606132177"</f>
        <v>1552374606132177</v>
      </c>
      <c r="C1075" t="s">
        <v>40</v>
      </c>
      <c r="D1075">
        <v>5.3889620000000003</v>
      </c>
      <c r="E1075">
        <v>0.55930190000000002</v>
      </c>
      <c r="F1075" t="s">
        <v>42</v>
      </c>
      <c r="G1075">
        <v>-239.41730000000001</v>
      </c>
      <c r="H1075" s="1">
        <v>-1.719967E-6</v>
      </c>
      <c r="I1075">
        <v>363.8451</v>
      </c>
      <c r="J1075">
        <v>-252.8</v>
      </c>
      <c r="K1075">
        <v>1.110314</v>
      </c>
      <c r="L1075">
        <v>367.51530000000002</v>
      </c>
      <c r="M1075">
        <v>0.99983929999999999</v>
      </c>
      <c r="N1075">
        <v>0</v>
      </c>
      <c r="O1075">
        <v>1.144921E-2</v>
      </c>
      <c r="P1075">
        <v>0.99228950000000005</v>
      </c>
      <c r="Q1075">
        <v>6.1080000000000002E-2</v>
      </c>
      <c r="R1075">
        <v>-0.107845899999999</v>
      </c>
      <c r="S1075">
        <v>2.9525450000000002</v>
      </c>
      <c r="T1075">
        <v>-0.23983979999999999</v>
      </c>
      <c r="U1075">
        <v>-0.79208369999999995</v>
      </c>
      <c r="V1075">
        <v>0.1192011</v>
      </c>
      <c r="W1075">
        <v>7.4739630000000001E-2</v>
      </c>
      <c r="X1075">
        <v>0.99005310000000002</v>
      </c>
      <c r="Y1075">
        <v>0.26928839999999998</v>
      </c>
      <c r="Z1075">
        <v>-1.164344E-2</v>
      </c>
      <c r="AA1075">
        <v>0.96298919999999999</v>
      </c>
      <c r="AB1075">
        <v>33</v>
      </c>
      <c r="AC1075">
        <v>13.3827</v>
      </c>
      <c r="AD1075">
        <v>-1.110315719967</v>
      </c>
      <c r="AE1075">
        <v>-3.6702000000000199</v>
      </c>
      <c r="AF1075">
        <v>3.7988751760742101</v>
      </c>
      <c r="AG1075">
        <v>-1.110315719967</v>
      </c>
      <c r="AH1075">
        <v>13.254940556474301</v>
      </c>
      <c r="AI1075">
        <v>94.603769463529304</v>
      </c>
      <c r="AJ1075">
        <v>74.007660608294103</v>
      </c>
      <c r="AK1075">
        <v>13.8332101392651</v>
      </c>
      <c r="AL1075">
        <v>85.713737904572199</v>
      </c>
      <c r="AM1075">
        <v>83.134708456796901</v>
      </c>
      <c r="AN1075">
        <v>1.0000000276766701</v>
      </c>
    </row>
    <row r="1076" spans="1:40" x14ac:dyDescent="0.25">
      <c r="A1076" t="str">
        <f>"20190312151006159"</f>
        <v>20190312151006159</v>
      </c>
      <c r="B1076" t="str">
        <f>"1552374606151696"</f>
        <v>1552374606151696</v>
      </c>
      <c r="C1076" t="s">
        <v>40</v>
      </c>
      <c r="D1076">
        <v>5.1282730000000001</v>
      </c>
      <c r="E1076">
        <v>0.55948809999999904</v>
      </c>
      <c r="F1076" t="s">
        <v>42</v>
      </c>
      <c r="G1076">
        <v>-239.01949999999999</v>
      </c>
      <c r="H1076" s="1">
        <v>-1.8694080000000001E-6</v>
      </c>
      <c r="I1076">
        <v>363.79219999999998</v>
      </c>
      <c r="J1076">
        <v>-252.46360000000001</v>
      </c>
      <c r="K1076">
        <v>1.1103099999999999</v>
      </c>
      <c r="L1076">
        <v>367.51909999999998</v>
      </c>
      <c r="M1076">
        <v>0.9998397</v>
      </c>
      <c r="N1076">
        <v>0</v>
      </c>
      <c r="O1076">
        <v>1.14404E-2</v>
      </c>
      <c r="P1076">
        <v>0.99213839999999998</v>
      </c>
      <c r="Q1076">
        <v>6.123091E-2</v>
      </c>
      <c r="R1076">
        <v>-0.1091449</v>
      </c>
      <c r="S1076">
        <v>2.9512480000000001</v>
      </c>
      <c r="T1076">
        <v>-0.23778579999999999</v>
      </c>
      <c r="U1076">
        <v>-0.79733279999999995</v>
      </c>
      <c r="V1076">
        <v>0.1204908</v>
      </c>
      <c r="W1076">
        <v>7.4883699999999997E-2</v>
      </c>
      <c r="X1076">
        <v>0.98988600000000004</v>
      </c>
      <c r="Y1076">
        <v>0.2709917</v>
      </c>
      <c r="Z1076">
        <v>-1.1612920000000001E-2</v>
      </c>
      <c r="AA1076">
        <v>0.96251169999999997</v>
      </c>
      <c r="AB1076">
        <v>33</v>
      </c>
      <c r="AC1076">
        <v>13.444100000000001</v>
      </c>
      <c r="AD1076">
        <v>-1.1103118694079901</v>
      </c>
      <c r="AE1076">
        <v>-3.7269000000000001</v>
      </c>
      <c r="AF1076">
        <v>3.85605261993895</v>
      </c>
      <c r="AG1076">
        <v>-1.1103118694079901</v>
      </c>
      <c r="AH1076">
        <v>13.316234852368201</v>
      </c>
      <c r="AI1076">
        <v>94.579043794996295</v>
      </c>
      <c r="AJ1076">
        <v>73.850289683914696</v>
      </c>
      <c r="AK1076">
        <v>13.907697325528501</v>
      </c>
      <c r="AL1076">
        <v>85.705459758558405</v>
      </c>
      <c r="AM1076">
        <v>83.059989655220605</v>
      </c>
      <c r="AN1076">
        <v>0.99999994720316299</v>
      </c>
    </row>
    <row r="1077" spans="1:40" x14ac:dyDescent="0.25">
      <c r="A1077" t="str">
        <f>"20190312151006180"</f>
        <v>20190312151006180</v>
      </c>
      <c r="B1077" t="str">
        <f>"1552374606172195"</f>
        <v>1552374606172195</v>
      </c>
      <c r="C1077" t="s">
        <v>40</v>
      </c>
      <c r="D1077">
        <v>5.3878830000000004</v>
      </c>
      <c r="E1077">
        <v>0.55912299999999904</v>
      </c>
      <c r="F1077" t="s">
        <v>42</v>
      </c>
      <c r="G1077">
        <v>-238.6464</v>
      </c>
      <c r="H1077" s="1">
        <v>-2.0052639999999999E-6</v>
      </c>
      <c r="I1077">
        <v>363.75880000000001</v>
      </c>
      <c r="J1077">
        <v>-252.1506</v>
      </c>
      <c r="K1077">
        <v>1.1103000000000001</v>
      </c>
      <c r="L1077">
        <v>367.52269999999999</v>
      </c>
      <c r="M1077">
        <v>0.9998399</v>
      </c>
      <c r="N1077">
        <v>0</v>
      </c>
      <c r="O1077">
        <v>1.1416269999999999E-2</v>
      </c>
      <c r="P1077">
        <v>0.99199959999999998</v>
      </c>
      <c r="Q1077">
        <v>6.1301050000000003E-2</v>
      </c>
      <c r="R1077">
        <v>-0.11036070000000001</v>
      </c>
      <c r="S1077">
        <v>2.9501040000000001</v>
      </c>
      <c r="T1077">
        <v>-0.2370604</v>
      </c>
      <c r="U1077">
        <v>-0.80285640000000003</v>
      </c>
      <c r="V1077">
        <v>0.1216831</v>
      </c>
      <c r="W1077">
        <v>7.4945040000000004E-2</v>
      </c>
      <c r="X1077">
        <v>0.98973549999999999</v>
      </c>
      <c r="Y1077">
        <v>0.2727406</v>
      </c>
      <c r="Z1077">
        <v>-1.1646159999999999E-2</v>
      </c>
      <c r="AA1077">
        <v>0.96201709999999996</v>
      </c>
      <c r="AB1077">
        <v>33</v>
      </c>
      <c r="AC1077">
        <v>13.5041999999999</v>
      </c>
      <c r="AD1077">
        <v>-1.110302005264</v>
      </c>
      <c r="AE1077">
        <v>-3.7638999999999698</v>
      </c>
      <c r="AF1077">
        <v>3.89341478293094</v>
      </c>
      <c r="AG1077">
        <v>-1.110302005264</v>
      </c>
      <c r="AH1077">
        <v>13.3764399927084</v>
      </c>
      <c r="AI1077">
        <v>94.556670658531004</v>
      </c>
      <c r="AJ1077">
        <v>73.771565667506493</v>
      </c>
      <c r="AK1077">
        <v>13.975714511014001</v>
      </c>
      <c r="AL1077">
        <v>85.701935334526297</v>
      </c>
      <c r="AM1077">
        <v>82.990940288482605</v>
      </c>
      <c r="AN1077">
        <v>0.99999994790322899</v>
      </c>
    </row>
    <row r="1078" spans="1:40" x14ac:dyDescent="0.25">
      <c r="A1078" t="str">
        <f>"20190312151006192"</f>
        <v>20190312151006192</v>
      </c>
      <c r="B1078" t="str">
        <f>"1552374606181953"</f>
        <v>1552374606181953</v>
      </c>
      <c r="C1078" t="s">
        <v>40</v>
      </c>
      <c r="D1078">
        <v>5.406034</v>
      </c>
      <c r="E1078">
        <v>0.55915890000000001</v>
      </c>
      <c r="F1078" t="s">
        <v>42</v>
      </c>
      <c r="G1078">
        <v>-238.47499999999999</v>
      </c>
      <c r="H1078" s="1">
        <v>-2.0531829999999998E-6</v>
      </c>
      <c r="I1078">
        <v>363.79790000000003</v>
      </c>
      <c r="J1078">
        <v>-251.97219999999999</v>
      </c>
      <c r="K1078">
        <v>1.1102879999999999</v>
      </c>
      <c r="L1078">
        <v>367.5247</v>
      </c>
      <c r="M1078">
        <v>0.99984010000000001</v>
      </c>
      <c r="N1078">
        <v>0</v>
      </c>
      <c r="O1078">
        <v>1.1395519999999999E-2</v>
      </c>
      <c r="P1078">
        <v>0.99195109999999997</v>
      </c>
      <c r="Q1078">
        <v>6.1127599999999997E-2</v>
      </c>
      <c r="R1078">
        <v>-0.1108909</v>
      </c>
      <c r="S1078">
        <v>2.9496150000000001</v>
      </c>
      <c r="T1078">
        <v>-0.23947450000000001</v>
      </c>
      <c r="U1078">
        <v>-0.80337519999999996</v>
      </c>
      <c r="V1078">
        <v>0.1221936</v>
      </c>
      <c r="W1078">
        <v>7.4767210000000001E-2</v>
      </c>
      <c r="X1078">
        <v>0.98968610000000001</v>
      </c>
      <c r="Y1078">
        <v>0.27290039999999999</v>
      </c>
      <c r="Z1078">
        <v>-1.17707E-2</v>
      </c>
      <c r="AA1078">
        <v>0.96197029999999994</v>
      </c>
      <c r="AB1078">
        <v>33</v>
      </c>
      <c r="AC1078">
        <v>13.4971999999999</v>
      </c>
      <c r="AD1078">
        <v>-1.110290053183</v>
      </c>
      <c r="AE1078">
        <v>-3.7267999999999599</v>
      </c>
      <c r="AF1078">
        <v>3.8561348378160698</v>
      </c>
      <c r="AG1078">
        <v>-1.110290053183</v>
      </c>
      <c r="AH1078">
        <v>13.3697883796552</v>
      </c>
      <c r="AI1078">
        <v>94.562088215445002</v>
      </c>
      <c r="AJ1078">
        <v>73.911299828942802</v>
      </c>
      <c r="AK1078">
        <v>13.959002872926799</v>
      </c>
      <c r="AL1078">
        <v>85.712153108795803</v>
      </c>
      <c r="AM1078">
        <v>82.961481537678097</v>
      </c>
      <c r="AN1078">
        <v>0.99999999405267703</v>
      </c>
    </row>
    <row r="1079" spans="1:40" x14ac:dyDescent="0.25">
      <c r="A1079" t="str">
        <f>"20190312151006204"</f>
        <v>20190312151006204</v>
      </c>
      <c r="B1079" t="str">
        <f>"1552374606191713"</f>
        <v>1552374606191713</v>
      </c>
      <c r="C1079" t="s">
        <v>40</v>
      </c>
      <c r="D1079">
        <v>5.4101720000000002</v>
      </c>
      <c r="E1079">
        <v>0.55913419999999903</v>
      </c>
      <c r="F1079" t="s">
        <v>42</v>
      </c>
      <c r="G1079">
        <v>-238.28210000000001</v>
      </c>
      <c r="H1079" s="1">
        <v>-2.1215489999999998E-6</v>
      </c>
      <c r="I1079">
        <v>363.78769999999997</v>
      </c>
      <c r="J1079">
        <v>-251.8049</v>
      </c>
      <c r="K1079">
        <v>1.1102780000000001</v>
      </c>
      <c r="L1079">
        <v>367.52659999999997</v>
      </c>
      <c r="M1079">
        <v>0.99984059999999997</v>
      </c>
      <c r="N1079">
        <v>0</v>
      </c>
      <c r="O1079">
        <v>1.136938E-2</v>
      </c>
      <c r="P1079">
        <v>0.99188169999999998</v>
      </c>
      <c r="Q1079">
        <v>6.1320140000000002E-2</v>
      </c>
      <c r="R1079">
        <v>-0.1114034</v>
      </c>
      <c r="S1079">
        <v>2.9490660000000002</v>
      </c>
      <c r="T1079">
        <v>-0.239172</v>
      </c>
      <c r="U1079">
        <v>-0.80499270000000001</v>
      </c>
      <c r="V1079">
        <v>0.1226812</v>
      </c>
      <c r="W1079">
        <v>7.4954549999999995E-2</v>
      </c>
      <c r="X1079">
        <v>0.98961160000000004</v>
      </c>
      <c r="Y1079">
        <v>0.2734123</v>
      </c>
      <c r="Z1079">
        <v>-1.177543E-2</v>
      </c>
      <c r="AA1079">
        <v>0.96182480000000004</v>
      </c>
      <c r="AB1079">
        <v>33</v>
      </c>
      <c r="AC1079">
        <v>13.522799999999901</v>
      </c>
      <c r="AD1079">
        <v>-1.1102801215489999</v>
      </c>
      <c r="AE1079">
        <v>-3.7389000000000001</v>
      </c>
      <c r="AF1079">
        <v>3.86819460063928</v>
      </c>
      <c r="AG1079">
        <v>-1.1102801215489999</v>
      </c>
      <c r="AH1079">
        <v>13.3955248924036</v>
      </c>
      <c r="AI1079">
        <v>94.552901413807703</v>
      </c>
      <c r="AJ1079">
        <v>73.892991966574996</v>
      </c>
      <c r="AK1079">
        <v>13.986984612836499</v>
      </c>
      <c r="AL1079">
        <v>85.701389096568505</v>
      </c>
      <c r="AM1079">
        <v>82.933151906246906</v>
      </c>
      <c r="AN1079">
        <v>0.99999999012685103</v>
      </c>
    </row>
    <row r="1080" spans="1:40" x14ac:dyDescent="0.25">
      <c r="A1080" t="str">
        <f>"20190312151006216"</f>
        <v>20190312151006216</v>
      </c>
      <c r="B1080" t="str">
        <f>"1552374606212209"</f>
        <v>1552374606212209</v>
      </c>
      <c r="C1080" t="s">
        <v>40</v>
      </c>
      <c r="D1080">
        <v>5.3657269999999997</v>
      </c>
      <c r="E1080">
        <v>0.5591701</v>
      </c>
      <c r="F1080" t="s">
        <v>42</v>
      </c>
      <c r="G1080">
        <v>-238.0934</v>
      </c>
      <c r="H1080" s="1">
        <v>-2.188941E-6</v>
      </c>
      <c r="I1080">
        <v>363.7758</v>
      </c>
      <c r="J1080">
        <v>-251.63079999999999</v>
      </c>
      <c r="K1080">
        <v>1.1102650000000001</v>
      </c>
      <c r="L1080">
        <v>367.52850000000001</v>
      </c>
      <c r="M1080">
        <v>0.99984090000000003</v>
      </c>
      <c r="N1080">
        <v>0</v>
      </c>
      <c r="O1080">
        <v>1.1336189999999999E-2</v>
      </c>
      <c r="P1080">
        <v>0.99183929999999998</v>
      </c>
      <c r="Q1080">
        <v>6.1345869999999997E-2</v>
      </c>
      <c r="R1080">
        <v>-0.1117658</v>
      </c>
      <c r="S1080">
        <v>2.9487299999999999</v>
      </c>
      <c r="T1080">
        <v>-0.23877010000000001</v>
      </c>
      <c r="U1080">
        <v>-0.8066101</v>
      </c>
      <c r="V1080">
        <v>0.1230122</v>
      </c>
      <c r="W1080">
        <v>7.4974990000000005E-2</v>
      </c>
      <c r="X1080">
        <v>0.98956889999999997</v>
      </c>
      <c r="Y1080">
        <v>0.27390049999999999</v>
      </c>
      <c r="Z1080">
        <v>-1.1772899999999999E-2</v>
      </c>
      <c r="AA1080">
        <v>0.96168600000000004</v>
      </c>
      <c r="AB1080">
        <v>33</v>
      </c>
      <c r="AC1080">
        <v>13.5373999999999</v>
      </c>
      <c r="AD1080">
        <v>-1.1102671889409901</v>
      </c>
      <c r="AE1080">
        <v>-3.7526999999999999</v>
      </c>
      <c r="AF1080">
        <v>3.8816892508039702</v>
      </c>
      <c r="AG1080">
        <v>-1.1102671889409901</v>
      </c>
      <c r="AH1080">
        <v>13.4102187532743</v>
      </c>
      <c r="AI1080">
        <v>94.547047352211095</v>
      </c>
      <c r="AJ1080">
        <v>73.856513441311407</v>
      </c>
      <c r="AK1080">
        <v>14.004791025978101</v>
      </c>
      <c r="AL1080">
        <v>85.700214403556899</v>
      </c>
      <c r="AM1080">
        <v>82.913976110570999</v>
      </c>
      <c r="AN1080">
        <v>0.99999992916077196</v>
      </c>
    </row>
    <row r="1081" spans="1:40" x14ac:dyDescent="0.25">
      <c r="A1081" t="str">
        <f>"20190312151006236"</f>
        <v>20190312151006236</v>
      </c>
      <c r="B1081" t="str">
        <f>"1552374606231729"</f>
        <v>1552374606231729</v>
      </c>
      <c r="C1081" t="s">
        <v>40</v>
      </c>
      <c r="D1081">
        <v>5.4155069999999998</v>
      </c>
      <c r="E1081">
        <v>0.55920369999999997</v>
      </c>
      <c r="F1081" t="s">
        <v>42</v>
      </c>
      <c r="G1081">
        <v>-237.9974</v>
      </c>
      <c r="H1081" s="1">
        <v>-2.2169290000000001E-6</v>
      </c>
      <c r="I1081">
        <v>363.79329999999999</v>
      </c>
      <c r="J1081">
        <v>-251.33430000000001</v>
      </c>
      <c r="K1081">
        <v>1.1102379999999901</v>
      </c>
      <c r="L1081">
        <v>367.53179999999998</v>
      </c>
      <c r="M1081">
        <v>0.99984200000000001</v>
      </c>
      <c r="N1081">
        <v>0</v>
      </c>
      <c r="O1081">
        <v>1.123847E-2</v>
      </c>
      <c r="P1081">
        <v>0.99174549999999995</v>
      </c>
      <c r="Q1081">
        <v>6.1396390000000002E-2</v>
      </c>
      <c r="R1081">
        <v>-0.1125685</v>
      </c>
      <c r="S1081">
        <v>2.948502</v>
      </c>
      <c r="T1081">
        <v>-0.24011660000000001</v>
      </c>
      <c r="U1081">
        <v>-0.80780030000000003</v>
      </c>
      <c r="V1081">
        <v>0.12372279999999999</v>
      </c>
      <c r="W1081">
        <v>7.5012079999999995E-2</v>
      </c>
      <c r="X1081">
        <v>0.98947759999999996</v>
      </c>
      <c r="Y1081">
        <v>0.27417629999999998</v>
      </c>
      <c r="Z1081">
        <v>-1.184255E-2</v>
      </c>
      <c r="AA1081">
        <v>0.96160650000000003</v>
      </c>
      <c r="AB1081">
        <v>33</v>
      </c>
      <c r="AC1081">
        <v>13.3369</v>
      </c>
      <c r="AD1081">
        <v>-1.11024021692899</v>
      </c>
      <c r="AE1081">
        <v>-3.7384999999999802</v>
      </c>
      <c r="AF1081">
        <v>3.8633424136069601</v>
      </c>
      <c r="AG1081">
        <v>-1.11024021692899</v>
      </c>
      <c r="AH1081">
        <v>13.2091695311604</v>
      </c>
      <c r="AI1081">
        <v>94.612129116534405</v>
      </c>
      <c r="AJ1081">
        <v>73.697159247979201</v>
      </c>
      <c r="AK1081">
        <v>13.807251994767</v>
      </c>
      <c r="AL1081">
        <v>85.698083745661904</v>
      </c>
      <c r="AM1081">
        <v>82.872811419133797</v>
      </c>
      <c r="AN1081">
        <v>1.0000000321437601</v>
      </c>
    </row>
    <row r="1082" spans="1:40" x14ac:dyDescent="0.25">
      <c r="A1082" t="str">
        <f>"20190312151006249"</f>
        <v>20190312151006249</v>
      </c>
      <c r="B1082" t="str">
        <f>"1552374606241489"</f>
        <v>1552374606241489</v>
      </c>
      <c r="C1082" t="s">
        <v>40</v>
      </c>
      <c r="D1082">
        <v>5.4876040000000001</v>
      </c>
      <c r="E1082">
        <v>0.55937029999999999</v>
      </c>
      <c r="F1082" t="s">
        <v>42</v>
      </c>
      <c r="G1082">
        <v>-237.64269999999999</v>
      </c>
      <c r="H1082" s="1">
        <v>-2.344556E-6</v>
      </c>
      <c r="I1082">
        <v>363.76740000000001</v>
      </c>
      <c r="J1082">
        <v>-251.15100000000001</v>
      </c>
      <c r="K1082">
        <v>1.1102099999999999</v>
      </c>
      <c r="L1082">
        <v>367.53379999999999</v>
      </c>
      <c r="M1082">
        <v>0.99984309999999998</v>
      </c>
      <c r="N1082">
        <v>0</v>
      </c>
      <c r="O1082">
        <v>1.1141730000000001E-2</v>
      </c>
      <c r="P1082">
        <v>0.99167309999999997</v>
      </c>
      <c r="Q1082">
        <v>6.1517719999999998E-2</v>
      </c>
      <c r="R1082">
        <v>-0.11313810000000001</v>
      </c>
      <c r="S1082">
        <v>2.9477690000000001</v>
      </c>
      <c r="T1082">
        <v>-0.23902950000000001</v>
      </c>
      <c r="U1082">
        <v>-0.81045529999999999</v>
      </c>
      <c r="V1082">
        <v>0.1242009</v>
      </c>
      <c r="W1082">
        <v>7.5122389999999997E-2</v>
      </c>
      <c r="X1082">
        <v>0.98940930000000005</v>
      </c>
      <c r="Y1082">
        <v>0.27495520000000001</v>
      </c>
      <c r="Z1082">
        <v>-1.1813809999999999E-2</v>
      </c>
      <c r="AA1082">
        <v>0.96138449999999998</v>
      </c>
      <c r="AB1082">
        <v>33</v>
      </c>
      <c r="AC1082">
        <v>13.508299999999901</v>
      </c>
      <c r="AD1082">
        <v>-1.1102123445559999</v>
      </c>
      <c r="AE1082">
        <v>-3.7663999999999702</v>
      </c>
      <c r="AF1082">
        <v>3.8922912355758101</v>
      </c>
      <c r="AG1082">
        <v>-1.1102123445559999</v>
      </c>
      <c r="AH1082">
        <v>13.3816234906906</v>
      </c>
      <c r="AI1082">
        <v>94.554786071323406</v>
      </c>
      <c r="AJ1082">
        <v>73.781956541303202</v>
      </c>
      <c r="AK1082">
        <v>13.980355852379001</v>
      </c>
      <c r="AL1082">
        <v>85.691745426270302</v>
      </c>
      <c r="AM1082">
        <v>82.845066035584296</v>
      </c>
      <c r="AN1082">
        <v>0.99999999998330602</v>
      </c>
    </row>
    <row r="1083" spans="1:40" x14ac:dyDescent="0.25">
      <c r="A1083" t="str">
        <f>"20190312151006260"</f>
        <v>20190312151006260</v>
      </c>
      <c r="B1083" t="str">
        <f>"1552374606252224"</f>
        <v>1552374606252224</v>
      </c>
      <c r="C1083" t="s">
        <v>40</v>
      </c>
      <c r="D1083">
        <v>5.3986710000000002</v>
      </c>
      <c r="E1083">
        <v>0.5593245</v>
      </c>
      <c r="F1083" t="s">
        <v>42</v>
      </c>
      <c r="G1083">
        <v>-237.4384</v>
      </c>
      <c r="H1083" s="1">
        <v>-2.41952E-6</v>
      </c>
      <c r="I1083">
        <v>363.74689999999998</v>
      </c>
      <c r="J1083">
        <v>-250.9853</v>
      </c>
      <c r="K1083">
        <v>1.1101829999999999</v>
      </c>
      <c r="L1083">
        <v>367.53559999999999</v>
      </c>
      <c r="M1083">
        <v>0.99984419999999996</v>
      </c>
      <c r="N1083">
        <v>0</v>
      </c>
      <c r="O1083">
        <v>1.10419E-2</v>
      </c>
      <c r="P1083">
        <v>0.99162640000000002</v>
      </c>
      <c r="Q1083">
        <v>6.1766889999999998E-2</v>
      </c>
      <c r="R1083">
        <v>-0.1134092</v>
      </c>
      <c r="S1083">
        <v>2.9471280000000002</v>
      </c>
      <c r="T1083">
        <v>-0.2386065</v>
      </c>
      <c r="U1083">
        <v>-0.81387330000000002</v>
      </c>
      <c r="V1083">
        <v>0.124378</v>
      </c>
      <c r="W1083">
        <v>7.5361090000000006E-2</v>
      </c>
      <c r="X1083">
        <v>0.9893689</v>
      </c>
      <c r="Y1083">
        <v>0.2759491</v>
      </c>
      <c r="Z1083">
        <v>-1.1825159999999999E-2</v>
      </c>
      <c r="AA1083">
        <v>0.9610995</v>
      </c>
      <c r="AB1083">
        <v>33</v>
      </c>
      <c r="AC1083">
        <v>13.5468999999999</v>
      </c>
      <c r="AD1083">
        <v>-1.1101854195199901</v>
      </c>
      <c r="AE1083">
        <v>-3.7887</v>
      </c>
      <c r="AF1083">
        <v>3.9136890608556101</v>
      </c>
      <c r="AG1083">
        <v>-1.1101854195199901</v>
      </c>
      <c r="AH1083">
        <v>13.4206409439673</v>
      </c>
      <c r="AI1083">
        <v>94.540580839662496</v>
      </c>
      <c r="AJ1083">
        <v>73.742410003609095</v>
      </c>
      <c r="AK1083">
        <v>14.0236613292559</v>
      </c>
      <c r="AL1083">
        <v>85.678030047346795</v>
      </c>
      <c r="AM1083">
        <v>82.834680125614696</v>
      </c>
      <c r="AN1083">
        <v>1.0000000005285901</v>
      </c>
    </row>
    <row r="1084" spans="1:40" x14ac:dyDescent="0.25">
      <c r="A1084" t="str">
        <f>"20190312151006271"</f>
        <v>20190312151006271</v>
      </c>
      <c r="B1084" t="str">
        <f>"1552374606261985"</f>
        <v>1552374606261985</v>
      </c>
      <c r="C1084" t="s">
        <v>40</v>
      </c>
      <c r="D1084">
        <v>5.4969479999999997</v>
      </c>
      <c r="E1084">
        <v>0.55934309999999998</v>
      </c>
      <c r="F1084" t="s">
        <v>42</v>
      </c>
      <c r="G1084">
        <v>-237.25309999999999</v>
      </c>
      <c r="H1084" s="1">
        <v>-2.4839640000000001E-6</v>
      </c>
      <c r="I1084">
        <v>363.74160000000001</v>
      </c>
      <c r="J1084">
        <v>-250.8108</v>
      </c>
      <c r="K1084">
        <v>1.110147</v>
      </c>
      <c r="L1084">
        <v>367.53739999999999</v>
      </c>
      <c r="M1084">
        <v>0.99984589999999995</v>
      </c>
      <c r="N1084">
        <v>0</v>
      </c>
      <c r="O1084">
        <v>1.090297E-2</v>
      </c>
      <c r="P1084">
        <v>0.99158440000000003</v>
      </c>
      <c r="Q1084">
        <v>6.1713999999999998E-2</v>
      </c>
      <c r="R1084">
        <v>-0.1138079</v>
      </c>
      <c r="S1084">
        <v>2.9470519999999998</v>
      </c>
      <c r="T1084">
        <v>-0.23825550000000001</v>
      </c>
      <c r="U1084">
        <v>-0.81420899999999996</v>
      </c>
      <c r="V1084">
        <v>0.12464509999999999</v>
      </c>
      <c r="W1084">
        <v>7.5292620000000005E-2</v>
      </c>
      <c r="X1084">
        <v>0.98934049999999996</v>
      </c>
      <c r="Y1084">
        <v>0.27592689999999997</v>
      </c>
      <c r="Z1084">
        <v>-1.1796050000000001E-2</v>
      </c>
      <c r="AA1084">
        <v>0.96110620000000002</v>
      </c>
      <c r="AB1084">
        <v>33</v>
      </c>
      <c r="AC1084">
        <v>13.557700000000001</v>
      </c>
      <c r="AD1084">
        <v>-1.110149483964</v>
      </c>
      <c r="AE1084">
        <v>-3.7957999999999799</v>
      </c>
      <c r="AF1084">
        <v>3.9190408278876601</v>
      </c>
      <c r="AG1084">
        <v>-1.110149483964</v>
      </c>
      <c r="AH1084">
        <v>13.4319909566858</v>
      </c>
      <c r="AI1084">
        <v>94.5364292277782</v>
      </c>
      <c r="AJ1084">
        <v>73.734382974546605</v>
      </c>
      <c r="AK1084">
        <v>14.0360141759648</v>
      </c>
      <c r="AL1084">
        <v>85.681964274385507</v>
      </c>
      <c r="AM1084">
        <v>82.819249172729897</v>
      </c>
      <c r="AN1084">
        <v>1.0000000022603599</v>
      </c>
    </row>
    <row r="1085" spans="1:40" x14ac:dyDescent="0.25">
      <c r="A1085" t="str">
        <f>"20190312151006283"</f>
        <v>20190312151006283</v>
      </c>
      <c r="B1085" t="str">
        <f>"1552374606271744"</f>
        <v>1552374606271744</v>
      </c>
      <c r="C1085" t="s">
        <v>40</v>
      </c>
      <c r="D1085">
        <v>5.579593</v>
      </c>
      <c r="E1085">
        <v>0.55944969999999905</v>
      </c>
      <c r="F1085" t="s">
        <v>42</v>
      </c>
      <c r="G1085">
        <v>-237.10429999999999</v>
      </c>
      <c r="H1085" s="1">
        <v>-2.5339750000000002E-6</v>
      </c>
      <c r="I1085">
        <v>363.74400000000003</v>
      </c>
      <c r="J1085">
        <v>-250.65039999999999</v>
      </c>
      <c r="K1085">
        <v>1.110115</v>
      </c>
      <c r="L1085">
        <v>367.53899999999999</v>
      </c>
      <c r="M1085">
        <v>0.99984740000000005</v>
      </c>
      <c r="N1085">
        <v>0</v>
      </c>
      <c r="O1085">
        <v>1.075769E-2</v>
      </c>
      <c r="P1085">
        <v>0.99156060000000001</v>
      </c>
      <c r="Q1085">
        <v>6.1635479999999999E-2</v>
      </c>
      <c r="R1085">
        <v>-0.1140557</v>
      </c>
      <c r="S1085">
        <v>2.946701</v>
      </c>
      <c r="T1085">
        <v>-0.23866570000000001</v>
      </c>
      <c r="U1085">
        <v>-0.81552119999999995</v>
      </c>
      <c r="V1085">
        <v>0.124755</v>
      </c>
      <c r="W1085">
        <v>7.5198950000000001E-2</v>
      </c>
      <c r="X1085">
        <v>0.98933369999999998</v>
      </c>
      <c r="Y1085">
        <v>0.27621059999999997</v>
      </c>
      <c r="Z1085">
        <v>-1.181668E-2</v>
      </c>
      <c r="AA1085">
        <v>0.96102449999999995</v>
      </c>
      <c r="AB1085">
        <v>33</v>
      </c>
      <c r="AC1085">
        <v>13.5460999999999</v>
      </c>
      <c r="AD1085">
        <v>-1.110117533975</v>
      </c>
      <c r="AE1085">
        <v>-3.7949999999999502</v>
      </c>
      <c r="AF1085">
        <v>3.9161322663862599</v>
      </c>
      <c r="AG1085">
        <v>-1.110117533975</v>
      </c>
      <c r="AH1085">
        <v>13.420911641783199</v>
      </c>
      <c r="AI1085">
        <v>94.539999048305106</v>
      </c>
      <c r="AJ1085">
        <v>73.733108132794101</v>
      </c>
      <c r="AK1085">
        <v>14.0245970410426</v>
      </c>
      <c r="AL1085">
        <v>85.687346120586</v>
      </c>
      <c r="AM1085">
        <v>82.812935174374203</v>
      </c>
      <c r="AN1085">
        <v>0.99999993103089302</v>
      </c>
    </row>
    <row r="1086" spans="1:40" x14ac:dyDescent="0.25">
      <c r="A1086" t="str">
        <f>"20190312151006295"</f>
        <v>20190312151006295</v>
      </c>
      <c r="B1086" t="str">
        <f>"1552374606292240"</f>
        <v>1552374606292240</v>
      </c>
      <c r="C1086" t="s">
        <v>40</v>
      </c>
      <c r="D1086">
        <v>5.5038179999999999</v>
      </c>
      <c r="E1086">
        <v>0.55963719999999995</v>
      </c>
      <c r="F1086" t="s">
        <v>42</v>
      </c>
      <c r="G1086">
        <v>-236.87190000000001</v>
      </c>
      <c r="H1086" s="1">
        <v>-2.6201959999999998E-6</v>
      </c>
      <c r="I1086">
        <v>363.71730000000002</v>
      </c>
      <c r="J1086">
        <v>-250.46559999999999</v>
      </c>
      <c r="K1086">
        <v>1.110066</v>
      </c>
      <c r="L1086">
        <v>367.54079999999999</v>
      </c>
      <c r="M1086">
        <v>0.99984960000000001</v>
      </c>
      <c r="N1086">
        <v>0</v>
      </c>
      <c r="O1086">
        <v>1.056705E-2</v>
      </c>
      <c r="P1086">
        <v>0.99150329999999998</v>
      </c>
      <c r="Q1086">
        <v>6.1658490000000003E-2</v>
      </c>
      <c r="R1086">
        <v>-0.1145409</v>
      </c>
      <c r="S1086">
        <v>2.946304</v>
      </c>
      <c r="T1086">
        <v>-0.2373787</v>
      </c>
      <c r="U1086">
        <v>-0.81719969999999997</v>
      </c>
      <c r="V1086">
        <v>0.12505859999999999</v>
      </c>
      <c r="W1086">
        <v>7.5202290000000005E-2</v>
      </c>
      <c r="X1086">
        <v>0.98929520000000004</v>
      </c>
      <c r="Y1086">
        <v>0.27657789999999999</v>
      </c>
      <c r="Z1086">
        <v>-1.175324E-2</v>
      </c>
      <c r="AA1086">
        <v>0.96091959999999998</v>
      </c>
      <c r="AB1086">
        <v>33</v>
      </c>
      <c r="AC1086">
        <v>13.593699999999901</v>
      </c>
      <c r="AD1086">
        <v>-1.1100686201959999</v>
      </c>
      <c r="AE1086">
        <v>-3.8234999999999602</v>
      </c>
      <c r="AF1086">
        <v>3.9425819595899498</v>
      </c>
      <c r="AG1086">
        <v>-1.1100686201959999</v>
      </c>
      <c r="AH1086">
        <v>13.469299621515299</v>
      </c>
      <c r="AI1086">
        <v>94.522448347643007</v>
      </c>
      <c r="AJ1086">
        <v>73.684784360305898</v>
      </c>
      <c r="AK1086">
        <v>14.078289567407699</v>
      </c>
      <c r="AL1086">
        <v>85.687154573381505</v>
      </c>
      <c r="AM1086">
        <v>82.795351078870397</v>
      </c>
      <c r="AN1086">
        <v>1.00000001529912</v>
      </c>
    </row>
    <row r="1087" spans="1:40" x14ac:dyDescent="0.25">
      <c r="A1087" t="str">
        <f>"20190312151006306"</f>
        <v>20190312151006306</v>
      </c>
      <c r="B1087" t="str">
        <f>"1552374606302001"</f>
        <v>1552374606302001</v>
      </c>
      <c r="C1087" t="s">
        <v>40</v>
      </c>
      <c r="D1087">
        <v>5.4110100000000001</v>
      </c>
      <c r="E1087">
        <v>0.55938980000000005</v>
      </c>
      <c r="F1087" t="s">
        <v>42</v>
      </c>
      <c r="G1087">
        <v>-236.68729999999999</v>
      </c>
      <c r="H1087" s="1">
        <v>-2.6865110000000001E-6</v>
      </c>
      <c r="I1087">
        <v>363.70409999999998</v>
      </c>
      <c r="J1087">
        <v>-250.29859999999999</v>
      </c>
      <c r="K1087">
        <v>1.1100270000000001</v>
      </c>
      <c r="L1087">
        <v>367.54239999999999</v>
      </c>
      <c r="M1087">
        <v>0.99985190000000002</v>
      </c>
      <c r="N1087">
        <v>0</v>
      </c>
      <c r="O1087">
        <v>1.0360660000000001E-2</v>
      </c>
      <c r="P1087">
        <v>0.99146619999999996</v>
      </c>
      <c r="Q1087">
        <v>6.1838869999999997E-2</v>
      </c>
      <c r="R1087">
        <v>-0.1147666</v>
      </c>
      <c r="S1087">
        <v>2.9457089999999999</v>
      </c>
      <c r="T1087">
        <v>-0.2373239</v>
      </c>
      <c r="U1087">
        <v>-0.82025149999999902</v>
      </c>
      <c r="V1087">
        <v>0.1250867</v>
      </c>
      <c r="W1087">
        <v>7.5363940000000004E-2</v>
      </c>
      <c r="X1087">
        <v>0.98927929999999997</v>
      </c>
      <c r="Y1087">
        <v>0.2773523</v>
      </c>
      <c r="Z1087">
        <v>-1.176548E-2</v>
      </c>
      <c r="AA1087">
        <v>0.96069629999999995</v>
      </c>
      <c r="AB1087">
        <v>33</v>
      </c>
      <c r="AC1087">
        <v>13.6113</v>
      </c>
      <c r="AD1087">
        <v>-1.110029686511</v>
      </c>
      <c r="AE1087">
        <v>-3.8382999999999998</v>
      </c>
      <c r="AF1087">
        <v>3.9547646891444299</v>
      </c>
      <c r="AG1087">
        <v>-1.110029686511</v>
      </c>
      <c r="AH1087">
        <v>13.487702801834301</v>
      </c>
      <c r="AI1087">
        <v>94.515534166654604</v>
      </c>
      <c r="AJ1087">
        <v>73.658197009211193</v>
      </c>
      <c r="AK1087">
        <v>14.0993069518344</v>
      </c>
      <c r="AL1087">
        <v>85.677866155131696</v>
      </c>
      <c r="AM1087">
        <v>82.793634645565106</v>
      </c>
      <c r="AN1087">
        <v>0.99999996968885096</v>
      </c>
    </row>
    <row r="1088" spans="1:40" x14ac:dyDescent="0.25">
      <c r="A1088" t="str">
        <f>"20190312151006366"</f>
        <v>20190312151006366</v>
      </c>
      <c r="B1088" t="str">
        <f>"1552374606361536"</f>
        <v>1552374606361536</v>
      </c>
      <c r="C1088" t="s">
        <v>40</v>
      </c>
      <c r="D1088">
        <v>5.3652889999999998</v>
      </c>
      <c r="E1088">
        <v>0.52780709999999997</v>
      </c>
      <c r="F1088" t="s">
        <v>42</v>
      </c>
      <c r="G1088">
        <v>-236.47149999999999</v>
      </c>
      <c r="H1088" s="1">
        <v>-2.7616509999999999E-6</v>
      </c>
      <c r="I1088">
        <v>363.6977</v>
      </c>
      <c r="J1088">
        <v>-249.4375</v>
      </c>
      <c r="K1088">
        <v>1.109834</v>
      </c>
      <c r="L1088">
        <v>367.54950000000002</v>
      </c>
      <c r="M1088">
        <v>0.99986609999999998</v>
      </c>
      <c r="N1088">
        <v>0</v>
      </c>
      <c r="O1088">
        <v>8.9322380000000003E-3</v>
      </c>
      <c r="P1088">
        <v>0.99124330000000005</v>
      </c>
      <c r="Q1088">
        <v>6.22249E-2</v>
      </c>
      <c r="R1088">
        <v>-0.1164694</v>
      </c>
      <c r="S1088">
        <v>2.9457550000000001</v>
      </c>
      <c r="T1088">
        <v>-0.2364821</v>
      </c>
      <c r="U1088">
        <v>-0.81906129999999999</v>
      </c>
      <c r="V1088">
        <v>0.1254091</v>
      </c>
      <c r="W1088">
        <v>7.5659690000000002E-2</v>
      </c>
      <c r="X1088">
        <v>0.98921590000000004</v>
      </c>
      <c r="Y1088">
        <v>0.27563110000000002</v>
      </c>
      <c r="Z1088">
        <v>-1.1544179999999999E-2</v>
      </c>
      <c r="AA1088">
        <v>0.9611942</v>
      </c>
      <c r="AB1088">
        <v>33</v>
      </c>
      <c r="AC1088">
        <v>12.965999999999999</v>
      </c>
      <c r="AD1088">
        <v>-1.1098367616509901</v>
      </c>
      <c r="AE1088">
        <v>-3.8518000000000199</v>
      </c>
      <c r="AF1088">
        <v>3.94094015060017</v>
      </c>
      <c r="AG1088">
        <v>-1.1098367616509901</v>
      </c>
      <c r="AH1088">
        <v>12.8445977484238</v>
      </c>
      <c r="AI1088">
        <v>94.722158499935205</v>
      </c>
      <c r="AJ1088">
        <v>72.943099559077197</v>
      </c>
      <c r="AK1088">
        <v>13.4813366632147</v>
      </c>
      <c r="AL1088">
        <v>85.660872384015406</v>
      </c>
      <c r="AM1088">
        <v>82.774798731704195</v>
      </c>
      <c r="AN1088">
        <v>0.99999996393325696</v>
      </c>
    </row>
    <row r="1089" spans="1:40" x14ac:dyDescent="0.25">
      <c r="A1089" t="str">
        <f>"20190312151006382"</f>
        <v>20190312151006382</v>
      </c>
      <c r="B1089" t="str">
        <f>"1552374606372273"</f>
        <v>1552374606372273</v>
      </c>
      <c r="C1089" t="s">
        <v>40</v>
      </c>
      <c r="D1089">
        <v>5.3132710000000003</v>
      </c>
      <c r="E1089">
        <v>0.52791060000000001</v>
      </c>
      <c r="F1089" t="s">
        <v>42</v>
      </c>
      <c r="G1089">
        <v>-223.90880000000001</v>
      </c>
      <c r="H1089" s="1">
        <v>-3.9200620000000002E-6</v>
      </c>
      <c r="I1089">
        <v>362.6216</v>
      </c>
      <c r="J1089">
        <v>-249.20099999999999</v>
      </c>
      <c r="K1089">
        <v>1.109785</v>
      </c>
      <c r="L1089">
        <v>367.55119999999999</v>
      </c>
      <c r="M1089">
        <v>0.99987040000000005</v>
      </c>
      <c r="N1089">
        <v>0</v>
      </c>
      <c r="O1089">
        <v>8.4337709999999996E-3</v>
      </c>
      <c r="P1089">
        <v>0.99118070000000003</v>
      </c>
      <c r="Q1089">
        <v>6.2310919999999999E-2</v>
      </c>
      <c r="R1089">
        <v>-0.1169548</v>
      </c>
      <c r="S1089">
        <v>2.9672999999999998</v>
      </c>
      <c r="T1089">
        <v>-0.12900049999999999</v>
      </c>
      <c r="U1089">
        <v>-0.57278439999999997</v>
      </c>
      <c r="V1089">
        <v>0.1254094</v>
      </c>
      <c r="W1089">
        <v>7.5722449999999997E-2</v>
      </c>
      <c r="X1089">
        <v>0.98921110000000001</v>
      </c>
      <c r="Y1089">
        <v>0.19762060000000001</v>
      </c>
      <c r="Z1089">
        <v>-4.6176749999999999E-3</v>
      </c>
      <c r="AA1089">
        <v>0.98026769999999996</v>
      </c>
      <c r="AB1089">
        <v>33</v>
      </c>
      <c r="AC1089">
        <v>25.292199999999902</v>
      </c>
      <c r="AD1089">
        <v>-1.1097889200619999</v>
      </c>
      <c r="AE1089">
        <v>-4.92959999999999</v>
      </c>
      <c r="AF1089">
        <v>5.1332318159941197</v>
      </c>
      <c r="AG1089">
        <v>-1.1097889200619999</v>
      </c>
      <c r="AH1089">
        <v>25.202972878061299</v>
      </c>
      <c r="AI1089">
        <v>92.470675399628206</v>
      </c>
      <c r="AJ1089">
        <v>78.487712288475393</v>
      </c>
      <c r="AK1089">
        <v>25.744349714376501</v>
      </c>
      <c r="AL1089">
        <v>85.657266328673501</v>
      </c>
      <c r="AM1089">
        <v>82.774746941642903</v>
      </c>
      <c r="AN1089">
        <v>1.0000000037027801</v>
      </c>
    </row>
    <row r="1090" spans="1:40" x14ac:dyDescent="0.25">
      <c r="A1090" t="str">
        <f>"20190312151006394"</f>
        <v>20190312151006394</v>
      </c>
      <c r="B1090" t="str">
        <f>"1552374606382033"</f>
        <v>1552374606382033</v>
      </c>
      <c r="C1090" t="s">
        <v>40</v>
      </c>
      <c r="D1090">
        <v>5.314648</v>
      </c>
      <c r="E1090">
        <v>0.52851959999999998</v>
      </c>
      <c r="F1090" t="s">
        <v>42</v>
      </c>
      <c r="G1090">
        <v>-224.43809999999999</v>
      </c>
      <c r="H1090" s="1">
        <v>-3.7058120000000001E-6</v>
      </c>
      <c r="I1090">
        <v>362.74990000000003</v>
      </c>
      <c r="J1090">
        <v>-249.02080000000001</v>
      </c>
      <c r="K1090">
        <v>1.1097509999999999</v>
      </c>
      <c r="L1090">
        <v>367.5523</v>
      </c>
      <c r="M1090">
        <v>0.99987400000000004</v>
      </c>
      <c r="N1090">
        <v>0</v>
      </c>
      <c r="O1090">
        <v>8.0275699999999995E-3</v>
      </c>
      <c r="P1090">
        <v>0.99113450000000003</v>
      </c>
      <c r="Q1090">
        <v>6.2403109999999998E-2</v>
      </c>
      <c r="R1090">
        <v>-0.1172979</v>
      </c>
      <c r="S1090">
        <v>2.967133</v>
      </c>
      <c r="T1090">
        <v>-0.13297579999999901</v>
      </c>
      <c r="U1090">
        <v>-0.57528690000000005</v>
      </c>
      <c r="V1090">
        <v>0.12535669999999999</v>
      </c>
      <c r="W1090">
        <v>7.5798509999999999E-2</v>
      </c>
      <c r="X1090">
        <v>0.98921199999999998</v>
      </c>
      <c r="Y1090">
        <v>0.19801779999999999</v>
      </c>
      <c r="Z1090">
        <v>-4.7505020000000002E-3</v>
      </c>
      <c r="AA1090">
        <v>0.98018689999999997</v>
      </c>
      <c r="AB1090">
        <v>33</v>
      </c>
      <c r="AC1090">
        <v>24.582699999999999</v>
      </c>
      <c r="AD1090">
        <v>-1.1097547058120001</v>
      </c>
      <c r="AE1090">
        <v>-4.8023999999999702</v>
      </c>
      <c r="AF1090">
        <v>4.9898078999536697</v>
      </c>
      <c r="AG1090">
        <v>-1.1097547058120001</v>
      </c>
      <c r="AH1090">
        <v>24.495267399883101</v>
      </c>
      <c r="AI1090">
        <v>92.5418718190612</v>
      </c>
      <c r="AJ1090">
        <v>78.486098728033099</v>
      </c>
      <c r="AK1090">
        <v>25.022946736491399</v>
      </c>
      <c r="AL1090">
        <v>85.652896046902896</v>
      </c>
      <c r="AM1090">
        <v>82.777757599129501</v>
      </c>
      <c r="AN1090">
        <v>1.0000000486485501</v>
      </c>
    </row>
    <row r="1091" spans="1:40" x14ac:dyDescent="0.25">
      <c r="A1091" t="str">
        <f>"20190312151006407"</f>
        <v>20190312151006407</v>
      </c>
      <c r="B1091" t="str">
        <f>"1552374606401553"</f>
        <v>1552374606401553</v>
      </c>
      <c r="C1091" t="s">
        <v>40</v>
      </c>
      <c r="D1091">
        <v>5.352055</v>
      </c>
      <c r="E1091">
        <v>0.5290473</v>
      </c>
      <c r="F1091" t="s">
        <v>42</v>
      </c>
      <c r="G1091">
        <v>-224.83459999999999</v>
      </c>
      <c r="H1091" s="1">
        <v>-3.5535299999999999E-6</v>
      </c>
      <c r="I1091">
        <v>362.81509999999997</v>
      </c>
      <c r="J1091">
        <v>-248.83779999999999</v>
      </c>
      <c r="K1091">
        <v>1.1097170000000001</v>
      </c>
      <c r="L1091">
        <v>367.55329999999998</v>
      </c>
      <c r="M1091">
        <v>0.99987729999999997</v>
      </c>
      <c r="N1091">
        <v>0</v>
      </c>
      <c r="O1091">
        <v>7.5905240000000004E-3</v>
      </c>
      <c r="P1091">
        <v>0.99107699999999999</v>
      </c>
      <c r="Q1091">
        <v>6.2252410000000001E-2</v>
      </c>
      <c r="R1091">
        <v>-0.1178604</v>
      </c>
      <c r="S1091">
        <v>2.9666440000000001</v>
      </c>
      <c r="T1091">
        <v>-0.13612060000000001</v>
      </c>
      <c r="U1091">
        <v>-0.58105469999999904</v>
      </c>
      <c r="V1091">
        <v>0.12549199999999999</v>
      </c>
      <c r="W1091">
        <v>7.5632580000000005E-2</v>
      </c>
      <c r="X1091">
        <v>0.98920750000000002</v>
      </c>
      <c r="Y1091">
        <v>0.19944480000000001</v>
      </c>
      <c r="Z1091">
        <v>-4.875173E-3</v>
      </c>
      <c r="AA1091">
        <v>0.97989700000000002</v>
      </c>
      <c r="AB1091">
        <v>33</v>
      </c>
      <c r="AC1091">
        <v>24.0032</v>
      </c>
      <c r="AD1091">
        <v>-1.1097205535299901</v>
      </c>
      <c r="AE1091">
        <v>-4.7382</v>
      </c>
      <c r="AF1091">
        <v>4.9101759773805203</v>
      </c>
      <c r="AG1091">
        <v>-1.1097205535299901</v>
      </c>
      <c r="AH1091">
        <v>23.917335586053699</v>
      </c>
      <c r="AI1091">
        <v>92.6023167625968</v>
      </c>
      <c r="AJ1091">
        <v>78.398501112059094</v>
      </c>
      <c r="AK1091">
        <v>24.441363492482999</v>
      </c>
      <c r="AL1091">
        <v>85.662430308596001</v>
      </c>
      <c r="AM1091">
        <v>82.770012387415505</v>
      </c>
      <c r="AN1091">
        <v>1.0000000036388501</v>
      </c>
    </row>
    <row r="1092" spans="1:40" x14ac:dyDescent="0.25">
      <c r="A1092" t="str">
        <f>"20190312151006420"</f>
        <v>20190312151006420</v>
      </c>
      <c r="B1092" t="str">
        <f>"1552374606411313"</f>
        <v>1552374606411313</v>
      </c>
      <c r="C1092" t="s">
        <v>40</v>
      </c>
      <c r="D1092">
        <v>5.2845079999999998</v>
      </c>
      <c r="E1092">
        <v>0.52913849999999996</v>
      </c>
      <c r="F1092" t="s">
        <v>42</v>
      </c>
      <c r="G1092">
        <v>-227.1961</v>
      </c>
      <c r="H1092" s="1">
        <v>-2.628835E-6</v>
      </c>
      <c r="I1092">
        <v>363.27010000000001</v>
      </c>
      <c r="J1092">
        <v>-248.65600000000001</v>
      </c>
      <c r="K1092">
        <v>1.1096839999999999</v>
      </c>
      <c r="L1092">
        <v>367.55430000000001</v>
      </c>
      <c r="M1092">
        <v>0.99988069999999896</v>
      </c>
      <c r="N1092">
        <v>0</v>
      </c>
      <c r="O1092">
        <v>7.1430699999999996E-3</v>
      </c>
      <c r="P1092">
        <v>0.9910175</v>
      </c>
      <c r="Q1092">
        <v>6.242383E-2</v>
      </c>
      <c r="R1092">
        <v>-0.11827020000000001</v>
      </c>
      <c r="S1092">
        <v>2.9667819999999998</v>
      </c>
      <c r="T1092">
        <v>-0.1521267</v>
      </c>
      <c r="U1092">
        <v>-0.58715819999999996</v>
      </c>
      <c r="V1092">
        <v>0.12546450000000001</v>
      </c>
      <c r="W1092">
        <v>7.5788540000000001E-2</v>
      </c>
      <c r="X1092">
        <v>0.98919900000000005</v>
      </c>
      <c r="Y1092">
        <v>0.20088490000000001</v>
      </c>
      <c r="Z1092">
        <v>-5.4602510000000002E-3</v>
      </c>
      <c r="AA1092">
        <v>0.97959969999999996</v>
      </c>
      <c r="AB1092">
        <v>33</v>
      </c>
      <c r="AC1092">
        <v>21.459899999999902</v>
      </c>
      <c r="AD1092">
        <v>-1.109686628835</v>
      </c>
      <c r="AE1092">
        <v>-4.2841999999999896</v>
      </c>
      <c r="AF1092">
        <v>4.4260135006740304</v>
      </c>
      <c r="AG1092">
        <v>-1.109686628835</v>
      </c>
      <c r="AH1092">
        <v>21.3737862862634</v>
      </c>
      <c r="AI1092">
        <v>92.910385007907493</v>
      </c>
      <c r="AJ1092">
        <v>78.3007321886993</v>
      </c>
      <c r="AK1092">
        <v>21.855428161745699</v>
      </c>
      <c r="AL1092">
        <v>85.653468515310905</v>
      </c>
      <c r="AM1092">
        <v>82.771518533384196</v>
      </c>
      <c r="AN1092">
        <v>0.999999952578289</v>
      </c>
    </row>
    <row r="1093" spans="1:40" x14ac:dyDescent="0.25">
      <c r="A1093" t="str">
        <f>"20190312151006431"</f>
        <v>20190312151006431</v>
      </c>
      <c r="B1093" t="str">
        <f>"1552374606422049"</f>
        <v>1552374606422049</v>
      </c>
      <c r="C1093" t="s">
        <v>40</v>
      </c>
      <c r="D1093">
        <v>5.3307289999999998</v>
      </c>
      <c r="E1093">
        <v>0.52939349999999996</v>
      </c>
      <c r="F1093" t="s">
        <v>42</v>
      </c>
      <c r="G1093">
        <v>-227.6302</v>
      </c>
      <c r="H1093" s="1">
        <v>-2.4524609999999998E-6</v>
      </c>
      <c r="I1093">
        <v>363.37779999999998</v>
      </c>
      <c r="J1093">
        <v>-248.46889999999999</v>
      </c>
      <c r="K1093">
        <v>1.109653</v>
      </c>
      <c r="L1093">
        <v>367.55520000000001</v>
      </c>
      <c r="M1093">
        <v>0.99988410000000005</v>
      </c>
      <c r="N1093">
        <v>0</v>
      </c>
      <c r="O1093">
        <v>6.6555210000000002E-3</v>
      </c>
      <c r="P1093">
        <v>0.99098280000000005</v>
      </c>
      <c r="Q1093">
        <v>6.2198179999999999E-2</v>
      </c>
      <c r="R1093">
        <v>-0.1186802</v>
      </c>
      <c r="S1093">
        <v>2.966736</v>
      </c>
      <c r="T1093">
        <v>-0.15657560000000001</v>
      </c>
      <c r="U1093">
        <v>-0.5892944</v>
      </c>
      <c r="V1093">
        <v>0.1253967</v>
      </c>
      <c r="W1093">
        <v>7.5548909999999997E-2</v>
      </c>
      <c r="X1093">
        <v>0.98922600000000005</v>
      </c>
      <c r="Y1093">
        <v>0.20107369999999999</v>
      </c>
      <c r="Z1093">
        <v>-5.5988710000000001E-3</v>
      </c>
      <c r="AA1093">
        <v>0.97956010000000004</v>
      </c>
      <c r="AB1093">
        <v>33</v>
      </c>
      <c r="AC1093">
        <v>20.8386999999999</v>
      </c>
      <c r="AD1093">
        <v>-1.1096554524609901</v>
      </c>
      <c r="AE1093">
        <v>-4.1774000000000298</v>
      </c>
      <c r="AF1093">
        <v>4.3042794484302496</v>
      </c>
      <c r="AG1093">
        <v>-1.1096554524609901</v>
      </c>
      <c r="AH1093">
        <v>20.753858190195199</v>
      </c>
      <c r="AI1093">
        <v>92.996889256218296</v>
      </c>
      <c r="AJ1093">
        <v>78.2831594468351</v>
      </c>
      <c r="AK1093">
        <v>21.224532658508402</v>
      </c>
      <c r="AL1093">
        <v>85.667238092713205</v>
      </c>
      <c r="AM1093">
        <v>82.775578567841094</v>
      </c>
      <c r="AN1093">
        <v>1.00000002462453</v>
      </c>
    </row>
    <row r="1094" spans="1:40" x14ac:dyDescent="0.25">
      <c r="A1094" t="str">
        <f>"20190312151006449"</f>
        <v>20190312151006449</v>
      </c>
      <c r="B1094" t="str">
        <f>"1552374606441568"</f>
        <v>1552374606441568</v>
      </c>
      <c r="C1094" t="s">
        <v>40</v>
      </c>
      <c r="D1094">
        <v>5.3364849999999997</v>
      </c>
      <c r="E1094">
        <v>0.52891980000000005</v>
      </c>
      <c r="F1094" t="s">
        <v>42</v>
      </c>
      <c r="G1094">
        <v>-228.047</v>
      </c>
      <c r="H1094" s="1">
        <v>-2.2843810000000002E-6</v>
      </c>
      <c r="I1094">
        <v>363.47640000000001</v>
      </c>
      <c r="J1094">
        <v>-248.2311</v>
      </c>
      <c r="K1094">
        <v>1.109618</v>
      </c>
      <c r="L1094">
        <v>367.55610000000001</v>
      </c>
      <c r="M1094">
        <v>0.9998882</v>
      </c>
      <c r="N1094">
        <v>0</v>
      </c>
      <c r="O1094">
        <v>6.0148199999999997E-3</v>
      </c>
      <c r="P1094">
        <v>0.99088189999999998</v>
      </c>
      <c r="Q1094">
        <v>6.2171209999999998E-2</v>
      </c>
      <c r="R1094">
        <v>-0.119532</v>
      </c>
      <c r="S1094">
        <v>2.9664760000000001</v>
      </c>
      <c r="T1094">
        <v>-0.16118689999999999</v>
      </c>
      <c r="U1094">
        <v>-0.59246829999999995</v>
      </c>
      <c r="V1094">
        <v>0.12562019999999999</v>
      </c>
      <c r="W1094">
        <v>7.550374E-2</v>
      </c>
      <c r="X1094">
        <v>0.98920110000000006</v>
      </c>
      <c r="Y1094">
        <v>0.2014542</v>
      </c>
      <c r="Z1094">
        <v>-5.7391999999999999E-3</v>
      </c>
      <c r="AA1094">
        <v>0.97948109999999999</v>
      </c>
      <c r="AB1094">
        <v>33</v>
      </c>
      <c r="AC1094">
        <v>20.184100000000001</v>
      </c>
      <c r="AD1094">
        <v>-1.1096202843809999</v>
      </c>
      <c r="AE1094">
        <v>-4.0796999999999999</v>
      </c>
      <c r="AF1094">
        <v>4.1888783748794198</v>
      </c>
      <c r="AG1094">
        <v>-1.1096202843809999</v>
      </c>
      <c r="AH1094">
        <v>20.100828650889301</v>
      </c>
      <c r="AI1094">
        <v>93.093353899462301</v>
      </c>
      <c r="AJ1094">
        <v>78.228417209855607</v>
      </c>
      <c r="AK1094">
        <v>20.562618307682801</v>
      </c>
      <c r="AL1094">
        <v>85.669833591713797</v>
      </c>
      <c r="AM1094">
        <v>82.762658330329998</v>
      </c>
      <c r="AN1094">
        <v>1.0000000328216101</v>
      </c>
    </row>
    <row r="1095" spans="1:40" x14ac:dyDescent="0.25">
      <c r="A1095" t="str">
        <f>"20190312151006462"</f>
        <v>20190312151006462</v>
      </c>
      <c r="B1095" t="str">
        <f>"1552374606451328"</f>
        <v>1552374606451328</v>
      </c>
      <c r="C1095" t="s">
        <v>40</v>
      </c>
      <c r="D1095">
        <v>5.4809679999999998</v>
      </c>
      <c r="E1095">
        <v>0.52882419999999997</v>
      </c>
      <c r="F1095" t="s">
        <v>42</v>
      </c>
      <c r="G1095">
        <v>-229.3449</v>
      </c>
      <c r="H1095" s="1">
        <v>-1.759343E-6</v>
      </c>
      <c r="I1095">
        <v>363.78960000000001</v>
      </c>
      <c r="J1095">
        <v>-248.0428</v>
      </c>
      <c r="K1095">
        <v>1.1095889999999999</v>
      </c>
      <c r="L1095">
        <v>367.55680000000001</v>
      </c>
      <c r="M1095">
        <v>0.99989130000000004</v>
      </c>
      <c r="N1095">
        <v>0</v>
      </c>
      <c r="O1095">
        <v>5.4937969999999999E-3</v>
      </c>
      <c r="P1095">
        <v>0.99081920000000001</v>
      </c>
      <c r="Q1095">
        <v>6.1976469999999999E-2</v>
      </c>
      <c r="R1095">
        <v>-0.12015149999999999</v>
      </c>
      <c r="S1095">
        <v>2.9671630000000002</v>
      </c>
      <c r="T1095">
        <v>-0.17432919999999999</v>
      </c>
      <c r="U1095">
        <v>-0.59173580000000003</v>
      </c>
      <c r="V1095">
        <v>0.1257278</v>
      </c>
      <c r="W1095">
        <v>7.5296890000000005E-2</v>
      </c>
      <c r="X1095">
        <v>0.98920319999999995</v>
      </c>
      <c r="Y1095">
        <v>0.2006202</v>
      </c>
      <c r="Z1095">
        <v>-6.1505900000000001E-3</v>
      </c>
      <c r="AA1095">
        <v>0.97964980000000002</v>
      </c>
      <c r="AB1095">
        <v>33</v>
      </c>
      <c r="AC1095">
        <v>18.697900000000001</v>
      </c>
      <c r="AD1095">
        <v>-1.1095907593430001</v>
      </c>
      <c r="AE1095">
        <v>-3.7671999999999999</v>
      </c>
      <c r="AF1095">
        <v>3.8568228701403902</v>
      </c>
      <c r="AG1095">
        <v>-1.1095907593430001</v>
      </c>
      <c r="AH1095">
        <v>18.6139259161159</v>
      </c>
      <c r="AI1095">
        <v>93.340618849013495</v>
      </c>
      <c r="AJ1095">
        <v>78.293907799828801</v>
      </c>
      <c r="AK1095">
        <v>19.041652037454799</v>
      </c>
      <c r="AL1095">
        <v>85.681719071403506</v>
      </c>
      <c r="AM1095">
        <v>82.756540212291</v>
      </c>
      <c r="AN1095">
        <v>1.0000000361133701</v>
      </c>
    </row>
    <row r="1096" spans="1:40" x14ac:dyDescent="0.25">
      <c r="A1096" t="str">
        <f>"20190312151006474"</f>
        <v>20190312151006474</v>
      </c>
      <c r="B1096" t="str">
        <f>"1552374606462065"</f>
        <v>1552374606462065</v>
      </c>
      <c r="C1096" t="s">
        <v>40</v>
      </c>
      <c r="D1096">
        <v>5.2822209999999998</v>
      </c>
      <c r="E1096">
        <v>0.52875289999999997</v>
      </c>
      <c r="F1096" t="s">
        <v>42</v>
      </c>
      <c r="G1096">
        <v>-228.56200000000001</v>
      </c>
      <c r="H1096" s="1">
        <v>-2.0593299999999999E-6</v>
      </c>
      <c r="I1096">
        <v>363.66359999999997</v>
      </c>
      <c r="J1096">
        <v>-247.85400000000001</v>
      </c>
      <c r="K1096">
        <v>1.1095660000000001</v>
      </c>
      <c r="L1096">
        <v>367.5573</v>
      </c>
      <c r="M1096">
        <v>0.99989419999999996</v>
      </c>
      <c r="N1096">
        <v>0</v>
      </c>
      <c r="O1096">
        <v>4.9585269999999999E-3</v>
      </c>
      <c r="P1096">
        <v>0.99071089999999995</v>
      </c>
      <c r="Q1096">
        <v>6.212173E-2</v>
      </c>
      <c r="R1096">
        <v>-0.12096700000000001</v>
      </c>
      <c r="S1096">
        <v>2.9664609999999998</v>
      </c>
      <c r="T1096">
        <v>-0.16896329999999901</v>
      </c>
      <c r="U1096">
        <v>-0.59283450000000004</v>
      </c>
      <c r="V1096">
        <v>0.1260172</v>
      </c>
      <c r="W1096">
        <v>7.5429549999999998E-2</v>
      </c>
      <c r="X1096">
        <v>0.98915620000000004</v>
      </c>
      <c r="Y1096">
        <v>0.20051069999999999</v>
      </c>
      <c r="Z1096">
        <v>-5.9294839999999996E-3</v>
      </c>
      <c r="AA1096">
        <v>0.97967360000000003</v>
      </c>
      <c r="AB1096">
        <v>32</v>
      </c>
      <c r="AC1096">
        <v>19.292000000000002</v>
      </c>
      <c r="AD1096">
        <v>-1.1095680593299999</v>
      </c>
      <c r="AE1096">
        <v>-3.8937000000000199</v>
      </c>
      <c r="AF1096">
        <v>3.97668135507559</v>
      </c>
      <c r="AG1096">
        <v>-1.1095680593299999</v>
      </c>
      <c r="AH1096">
        <v>19.2113918361519</v>
      </c>
      <c r="AI1096">
        <v>93.237016881635498</v>
      </c>
      <c r="AJ1096">
        <v>78.305166602914795</v>
      </c>
      <c r="AK1096">
        <v>19.650005398478999</v>
      </c>
      <c r="AL1096">
        <v>85.674096249029006</v>
      </c>
      <c r="AM1096">
        <v>82.739703641692699</v>
      </c>
      <c r="AN1096">
        <v>0.99999996985373996</v>
      </c>
    </row>
    <row r="1097" spans="1:40" x14ac:dyDescent="0.25">
      <c r="A1097" t="str">
        <f>"20190312151006486"</f>
        <v>20190312151006486</v>
      </c>
      <c r="B1097" t="str">
        <f>"1552374606481585"</f>
        <v>1552374606481585</v>
      </c>
      <c r="C1097" t="s">
        <v>40</v>
      </c>
      <c r="D1097">
        <v>5.4376350000000002</v>
      </c>
      <c r="E1097">
        <v>0.52846539999999997</v>
      </c>
      <c r="F1097" t="s">
        <v>42</v>
      </c>
      <c r="G1097">
        <v>-227.62</v>
      </c>
      <c r="H1097" s="1">
        <v>-2.423623E-6</v>
      </c>
      <c r="I1097">
        <v>363.49919999999997</v>
      </c>
      <c r="J1097">
        <v>-247.69040000000001</v>
      </c>
      <c r="K1097">
        <v>1.10955</v>
      </c>
      <c r="L1097">
        <v>367.55759999999998</v>
      </c>
      <c r="M1097">
        <v>0.99989649999999997</v>
      </c>
      <c r="N1097">
        <v>0</v>
      </c>
      <c r="O1097">
        <v>4.4865490000000003E-3</v>
      </c>
      <c r="P1097">
        <v>0.99062600000000001</v>
      </c>
      <c r="Q1097">
        <v>6.230724E-2</v>
      </c>
      <c r="R1097">
        <v>-0.1215647</v>
      </c>
      <c r="S1097">
        <v>2.9656980000000002</v>
      </c>
      <c r="T1097">
        <v>-0.16262869999999999</v>
      </c>
      <c r="U1097">
        <v>-0.59478759999999997</v>
      </c>
      <c r="V1097">
        <v>0.1261506</v>
      </c>
      <c r="W1097">
        <v>7.5605480000000003E-2</v>
      </c>
      <c r="X1097">
        <v>0.98912580000000005</v>
      </c>
      <c r="Y1097">
        <v>0.2007409</v>
      </c>
      <c r="Z1097">
        <v>-5.6892119999999999E-3</v>
      </c>
      <c r="AA1097">
        <v>0.97962780000000005</v>
      </c>
      <c r="AB1097">
        <v>32</v>
      </c>
      <c r="AC1097">
        <v>20.070399999999999</v>
      </c>
      <c r="AD1097">
        <v>-1.1095524236229899</v>
      </c>
      <c r="AE1097">
        <v>-4.0583999999999998</v>
      </c>
      <c r="AF1097">
        <v>4.1362696493485096</v>
      </c>
      <c r="AG1097">
        <v>-1.1095524236229899</v>
      </c>
      <c r="AH1097">
        <v>19.993284593104701</v>
      </c>
      <c r="AI1097">
        <v>93.110703932397399</v>
      </c>
      <c r="AJ1097">
        <v>78.311378288010303</v>
      </c>
      <c r="AK1097">
        <v>20.446790995502599</v>
      </c>
      <c r="AL1097">
        <v>85.663987490203894</v>
      </c>
      <c r="AM1097">
        <v>82.7318791483994</v>
      </c>
      <c r="AN1097">
        <v>1.0000000053560101</v>
      </c>
    </row>
    <row r="1098" spans="1:40" x14ac:dyDescent="0.25">
      <c r="A1098" t="str">
        <f>"20190312151006504"</f>
        <v>20190312151006504</v>
      </c>
      <c r="B1098" t="str">
        <f>"1552374606491345"</f>
        <v>1552374606491345</v>
      </c>
      <c r="C1098" t="s">
        <v>40</v>
      </c>
      <c r="D1098">
        <v>5.3365039999999997</v>
      </c>
      <c r="E1098">
        <v>0.52841349999999998</v>
      </c>
      <c r="F1098" t="s">
        <v>42</v>
      </c>
      <c r="G1098">
        <v>-226.2937</v>
      </c>
      <c r="H1098" s="1">
        <v>-2.935618E-6</v>
      </c>
      <c r="I1098">
        <v>363.2713</v>
      </c>
      <c r="J1098">
        <v>-247.4323</v>
      </c>
      <c r="K1098">
        <v>1.109526</v>
      </c>
      <c r="L1098">
        <v>367.55810000000002</v>
      </c>
      <c r="M1098">
        <v>0.99989969999999995</v>
      </c>
      <c r="N1098">
        <v>0</v>
      </c>
      <c r="O1098">
        <v>3.7333399999999999E-3</v>
      </c>
      <c r="P1098">
        <v>0.99046489999999998</v>
      </c>
      <c r="Q1098">
        <v>6.2694139999999995E-2</v>
      </c>
      <c r="R1098">
        <v>-0.1226747</v>
      </c>
      <c r="S1098">
        <v>2.9651640000000001</v>
      </c>
      <c r="T1098">
        <v>-0.15376139999999999</v>
      </c>
      <c r="U1098">
        <v>-0.59399409999999997</v>
      </c>
      <c r="V1098">
        <v>0.12651889999999999</v>
      </c>
      <c r="W1098">
        <v>7.5978729999999994E-2</v>
      </c>
      <c r="X1098">
        <v>0.98905010000000004</v>
      </c>
      <c r="Y1098">
        <v>0.19981840000000001</v>
      </c>
      <c r="Z1098">
        <v>-5.3181840000000001E-3</v>
      </c>
      <c r="AA1098">
        <v>0.97981850000000004</v>
      </c>
      <c r="AB1098">
        <v>32</v>
      </c>
      <c r="AC1098">
        <v>21.1386</v>
      </c>
      <c r="AD1098">
        <v>-1.109528935618</v>
      </c>
      <c r="AE1098">
        <v>-4.2868000000000199</v>
      </c>
      <c r="AF1098">
        <v>4.3541730816744604</v>
      </c>
      <c r="AG1098">
        <v>-1.109528935618</v>
      </c>
      <c r="AH1098">
        <v>21.066700513253899</v>
      </c>
      <c r="AI1098">
        <v>92.952544785111201</v>
      </c>
      <c r="AJ1098">
        <v>78.322249335896402</v>
      </c>
      <c r="AK1098">
        <v>21.540560535865399</v>
      </c>
      <c r="AL1098">
        <v>85.6425399080955</v>
      </c>
      <c r="AM1098">
        <v>82.710335671251798</v>
      </c>
      <c r="AN1098">
        <v>0.999999949889815</v>
      </c>
    </row>
    <row r="1099" spans="1:40" x14ac:dyDescent="0.25">
      <c r="A1099" t="str">
        <f>"20190312151006519"</f>
        <v>20190312151006519</v>
      </c>
      <c r="B1099" t="str">
        <f>"1552374606511841"</f>
        <v>1552374606511841</v>
      </c>
      <c r="C1099" t="s">
        <v>40</v>
      </c>
      <c r="D1099">
        <v>5.326721</v>
      </c>
      <c r="E1099">
        <v>0.52817619999999998</v>
      </c>
      <c r="F1099" t="s">
        <v>42</v>
      </c>
      <c r="G1099">
        <v>-225.38130000000001</v>
      </c>
      <c r="H1099" s="1">
        <v>-3.2873150000000001E-6</v>
      </c>
      <c r="I1099">
        <v>363.11630000000002</v>
      </c>
      <c r="J1099">
        <v>-247.21190000000001</v>
      </c>
      <c r="K1099">
        <v>1.10951</v>
      </c>
      <c r="L1099">
        <v>367.55829999999997</v>
      </c>
      <c r="M1099">
        <v>0.99990199999999996</v>
      </c>
      <c r="N1099">
        <v>0</v>
      </c>
      <c r="O1099">
        <v>3.0836729999999999E-3</v>
      </c>
      <c r="P1099">
        <v>0.99038029999999999</v>
      </c>
      <c r="Q1099">
        <v>6.2669950000000002E-2</v>
      </c>
      <c r="R1099">
        <v>-0.1233689</v>
      </c>
      <c r="S1099">
        <v>2.9643709999999999</v>
      </c>
      <c r="T1099">
        <v>-0.1491567</v>
      </c>
      <c r="U1099">
        <v>-0.5971069</v>
      </c>
      <c r="V1099">
        <v>0.1265722</v>
      </c>
      <c r="W1099">
        <v>7.5944970000000001E-2</v>
      </c>
      <c r="X1099">
        <v>0.98904590000000003</v>
      </c>
      <c r="Y1099">
        <v>0.200237</v>
      </c>
      <c r="Z1099">
        <v>-5.1380109999999996E-3</v>
      </c>
      <c r="AA1099">
        <v>0.97973399999999999</v>
      </c>
      <c r="AB1099">
        <v>32</v>
      </c>
      <c r="AC1099">
        <v>21.8306</v>
      </c>
      <c r="AD1099">
        <v>-1.109513287315</v>
      </c>
      <c r="AE1099">
        <v>-4.4419999999999398</v>
      </c>
      <c r="AF1099">
        <v>4.4981465536864098</v>
      </c>
      <c r="AG1099">
        <v>-1.109513287315</v>
      </c>
      <c r="AH1099">
        <v>21.762817565653901</v>
      </c>
      <c r="AI1099">
        <v>92.858219555182004</v>
      </c>
      <c r="AJ1099">
        <v>78.322005811397105</v>
      </c>
      <c r="AK1099">
        <v>22.250495961868001</v>
      </c>
      <c r="AL1099">
        <v>85.644479933870997</v>
      </c>
      <c r="AM1099">
        <v>82.707267093379798</v>
      </c>
      <c r="AN1099">
        <v>0.99999997629397497</v>
      </c>
    </row>
    <row r="1100" spans="1:40" x14ac:dyDescent="0.25">
      <c r="A1100" t="str">
        <f>"20190312151006535"</f>
        <v>20190312151006535</v>
      </c>
      <c r="B1100" t="str">
        <f>"1552374606531360"</f>
        <v>1552374606531360</v>
      </c>
      <c r="C1100" t="s">
        <v>40</v>
      </c>
      <c r="D1100">
        <v>5.327591</v>
      </c>
      <c r="E1100">
        <v>0.52809150000000005</v>
      </c>
      <c r="F1100" t="s">
        <v>42</v>
      </c>
      <c r="G1100">
        <v>-224.1095</v>
      </c>
      <c r="H1100" s="1">
        <v>-3.7766130000000001E-6</v>
      </c>
      <c r="I1100">
        <v>362.904</v>
      </c>
      <c r="J1100">
        <v>-246.9725</v>
      </c>
      <c r="K1100">
        <v>1.109499</v>
      </c>
      <c r="L1100">
        <v>367.55829999999997</v>
      </c>
      <c r="M1100">
        <v>0.99990400000000002</v>
      </c>
      <c r="N1100">
        <v>0</v>
      </c>
      <c r="O1100">
        <v>2.3722729999999998E-3</v>
      </c>
      <c r="P1100">
        <v>0.99027229999999999</v>
      </c>
      <c r="Q1100">
        <v>6.2597550000000002E-2</v>
      </c>
      <c r="R1100">
        <v>-0.1242693</v>
      </c>
      <c r="S1100">
        <v>2.9637760000000002</v>
      </c>
      <c r="T1100">
        <v>-0.14233760000000001</v>
      </c>
      <c r="U1100">
        <v>-0.59707639999999995</v>
      </c>
      <c r="V1100">
        <v>0.12676989999999999</v>
      </c>
      <c r="W1100">
        <v>7.5864619999999994E-2</v>
      </c>
      <c r="X1100">
        <v>0.98902679999999998</v>
      </c>
      <c r="Y1100">
        <v>0.19959180000000001</v>
      </c>
      <c r="Z1100">
        <v>-4.8552040000000001E-3</v>
      </c>
      <c r="AA1100">
        <v>0.97986709999999999</v>
      </c>
      <c r="AB1100">
        <v>32</v>
      </c>
      <c r="AC1100">
        <v>22.863</v>
      </c>
      <c r="AD1100">
        <v>-1.1095027766129999</v>
      </c>
      <c r="AE1100">
        <v>-4.6542999999999699</v>
      </c>
      <c r="AF1100">
        <v>4.6979059315354696</v>
      </c>
      <c r="AG1100">
        <v>-1.1095027766129999</v>
      </c>
      <c r="AH1100">
        <v>22.800335311518701</v>
      </c>
      <c r="AI1100">
        <v>92.728680420870305</v>
      </c>
      <c r="AJ1100">
        <v>78.357400108449198</v>
      </c>
      <c r="AK1100">
        <v>23.305720475251501</v>
      </c>
      <c r="AL1100">
        <v>85.649097202138606</v>
      </c>
      <c r="AM1100">
        <v>82.695859559802301</v>
      </c>
      <c r="AN1100">
        <v>1.0000000296159901</v>
      </c>
    </row>
    <row r="1101" spans="1:40" x14ac:dyDescent="0.25">
      <c r="A1101" t="str">
        <f>"20190312151006549"</f>
        <v>20190312151006549</v>
      </c>
      <c r="B1101" t="str">
        <f>"1552374606542096"</f>
        <v>1552374606542096</v>
      </c>
      <c r="C1101" t="s">
        <v>40</v>
      </c>
      <c r="D1101">
        <v>5.3529970000000002</v>
      </c>
      <c r="E1101">
        <v>0.52813279999999996</v>
      </c>
      <c r="F1101" t="s">
        <v>42</v>
      </c>
      <c r="G1101">
        <v>-223.2492</v>
      </c>
      <c r="H1101" s="1">
        <v>-4.1077399999999999E-6</v>
      </c>
      <c r="I1101">
        <v>362.75990000000002</v>
      </c>
      <c r="J1101">
        <v>-246.76939999999999</v>
      </c>
      <c r="K1101">
        <v>1.1094919999999999</v>
      </c>
      <c r="L1101">
        <v>367.5582</v>
      </c>
      <c r="M1101">
        <v>0.99990520000000005</v>
      </c>
      <c r="N1101">
        <v>0</v>
      </c>
      <c r="O1101">
        <v>1.7673960000000001E-3</v>
      </c>
      <c r="P1101">
        <v>0.99012909999999998</v>
      </c>
      <c r="Q1101">
        <v>6.1497719999999999E-2</v>
      </c>
      <c r="R1101">
        <v>-0.12594710000000001</v>
      </c>
      <c r="S1101">
        <v>2.9630130000000001</v>
      </c>
      <c r="T1101">
        <v>-0.138574799999999</v>
      </c>
      <c r="U1101">
        <v>-0.59930419999999995</v>
      </c>
      <c r="V1101">
        <v>0.1278474</v>
      </c>
      <c r="W1101">
        <v>7.4755799999999997E-2</v>
      </c>
      <c r="X1101">
        <v>0.98897250000000003</v>
      </c>
      <c r="Y1101">
        <v>0.1997678</v>
      </c>
      <c r="Z1101">
        <v>-4.7039150000000004E-3</v>
      </c>
      <c r="AA1101">
        <v>0.97983200000000004</v>
      </c>
      <c r="AB1101">
        <v>32</v>
      </c>
      <c r="AC1101">
        <v>23.5201999999999</v>
      </c>
      <c r="AD1101">
        <v>-1.1094961077399901</v>
      </c>
      <c r="AE1101">
        <v>-4.7982999999999798</v>
      </c>
      <c r="AF1101">
        <v>4.8295485622347796</v>
      </c>
      <c r="AG1101">
        <v>-1.1094961077399901</v>
      </c>
      <c r="AH1101">
        <v>23.461561226515499</v>
      </c>
      <c r="AI1101">
        <v>92.651975036768107</v>
      </c>
      <c r="AJ1101">
        <v>78.368176690472893</v>
      </c>
      <c r="AK1101">
        <v>23.979165459073201</v>
      </c>
      <c r="AL1101">
        <v>85.712808698997193</v>
      </c>
      <c r="AM1101">
        <v>82.634055842334604</v>
      </c>
      <c r="AN1101">
        <v>0.99999999653832505</v>
      </c>
    </row>
    <row r="1102" spans="1:40" x14ac:dyDescent="0.25">
      <c r="A1102" t="str">
        <f>"20190312151006571"</f>
        <v>20190312151006571</v>
      </c>
      <c r="B1102" t="str">
        <f>"1552374606561616"</f>
        <v>1552374606561616</v>
      </c>
      <c r="C1102" t="s">
        <v>40</v>
      </c>
      <c r="D1102">
        <v>5.3469980000000001</v>
      </c>
      <c r="E1102">
        <v>0.52816859999999999</v>
      </c>
      <c r="F1102" t="s">
        <v>42</v>
      </c>
      <c r="G1102">
        <v>-223.3673</v>
      </c>
      <c r="H1102" s="1">
        <v>-4.0614109999999999E-6</v>
      </c>
      <c r="I1102">
        <v>362.78300000000002</v>
      </c>
      <c r="J1102">
        <v>-246.45419999999999</v>
      </c>
      <c r="K1102">
        <v>1.1094809999999999</v>
      </c>
      <c r="L1102">
        <v>367.55779999999999</v>
      </c>
      <c r="M1102">
        <v>0.99990650000000003</v>
      </c>
      <c r="N1102">
        <v>0</v>
      </c>
      <c r="O1102">
        <v>8.2743550000000002E-4</v>
      </c>
      <c r="P1102">
        <v>0.99001609999999995</v>
      </c>
      <c r="Q1102">
        <v>6.0894360000000002E-2</v>
      </c>
      <c r="R1102">
        <v>-0.12712370000000001</v>
      </c>
      <c r="S1102">
        <v>2.9617460000000002</v>
      </c>
      <c r="T1102">
        <v>-0.14041589999999901</v>
      </c>
      <c r="U1102">
        <v>-0.60433959999999998</v>
      </c>
      <c r="V1102">
        <v>0.1280935</v>
      </c>
      <c r="W1102">
        <v>7.4145240000000001E-2</v>
      </c>
      <c r="X1102">
        <v>0.98898660000000005</v>
      </c>
      <c r="Y1102">
        <v>0.20052239999999999</v>
      </c>
      <c r="Z1102">
        <v>-4.7411429999999997E-3</v>
      </c>
      <c r="AA1102">
        <v>0.97967769999999998</v>
      </c>
      <c r="AB1102">
        <v>32</v>
      </c>
      <c r="AC1102">
        <v>23.086899999999901</v>
      </c>
      <c r="AD1102">
        <v>-1.1094850614109999</v>
      </c>
      <c r="AE1102">
        <v>-4.7747999999999697</v>
      </c>
      <c r="AF1102">
        <v>4.7833093093146104</v>
      </c>
      <c r="AG1102">
        <v>-1.1094850614109999</v>
      </c>
      <c r="AH1102">
        <v>23.031931294183298</v>
      </c>
      <c r="AI1102">
        <v>92.7003648332404</v>
      </c>
      <c r="AJ1102">
        <v>78.267501674318197</v>
      </c>
      <c r="AK1102">
        <v>23.5495406364976</v>
      </c>
      <c r="AL1102">
        <v>85.747888489405298</v>
      </c>
      <c r="AM1102">
        <v>82.620136975901303</v>
      </c>
      <c r="AN1102">
        <v>0.99999997816823305</v>
      </c>
    </row>
    <row r="1103" spans="1:40" x14ac:dyDescent="0.25">
      <c r="A1103" t="str">
        <f>"20190312151006585"</f>
        <v>20190312151006585</v>
      </c>
      <c r="B1103" t="str">
        <f>"1552374606571377"</f>
        <v>1552374606571377</v>
      </c>
      <c r="C1103" t="s">
        <v>40</v>
      </c>
      <c r="D1103">
        <v>5.3298740000000002</v>
      </c>
      <c r="E1103">
        <v>0.52826669999999998</v>
      </c>
      <c r="F1103" t="s">
        <v>42</v>
      </c>
      <c r="G1103">
        <v>-222.76669999999999</v>
      </c>
      <c r="H1103" s="1">
        <v>-4.3137720000000002E-6</v>
      </c>
      <c r="I1103">
        <v>362.69130000000001</v>
      </c>
      <c r="J1103">
        <v>-246.26169999999999</v>
      </c>
      <c r="K1103">
        <v>1.1094740000000001</v>
      </c>
      <c r="L1103">
        <v>367.55739999999997</v>
      </c>
      <c r="M1103">
        <v>0.99990699999999999</v>
      </c>
      <c r="N1103">
        <v>0</v>
      </c>
      <c r="O1103">
        <v>2.5408780000000001E-4</v>
      </c>
      <c r="P1103">
        <v>0.98996430000000002</v>
      </c>
      <c r="Q1103">
        <v>6.0838709999999997E-2</v>
      </c>
      <c r="R1103">
        <v>-0.1275522</v>
      </c>
      <c r="S1103">
        <v>2.9606479999999999</v>
      </c>
      <c r="T1103">
        <v>-0.13867179999999901</v>
      </c>
      <c r="U1103">
        <v>-0.60824579999999995</v>
      </c>
      <c r="V1103">
        <v>0.1279547</v>
      </c>
      <c r="W1103">
        <v>7.4086260000000001E-2</v>
      </c>
      <c r="X1103">
        <v>0.98900900000000003</v>
      </c>
      <c r="Y1103">
        <v>0.2012774</v>
      </c>
      <c r="Z1103">
        <v>-4.6743280000000002E-3</v>
      </c>
      <c r="AA1103">
        <v>0.97952309999999998</v>
      </c>
      <c r="AB1103">
        <v>32</v>
      </c>
      <c r="AC1103">
        <v>23.495000000000001</v>
      </c>
      <c r="AD1103">
        <v>-1.1094783137719999</v>
      </c>
      <c r="AE1103">
        <v>-4.8660999999999603</v>
      </c>
      <c r="AF1103">
        <v>4.8616750137348399</v>
      </c>
      <c r="AG1103">
        <v>-1.1094783137719999</v>
      </c>
      <c r="AH1103">
        <v>23.443635799959601</v>
      </c>
      <c r="AI1103">
        <v>92.653155211424803</v>
      </c>
      <c r="AJ1103">
        <v>78.284225937651399</v>
      </c>
      <c r="AK1103">
        <v>23.968122279166</v>
      </c>
      <c r="AL1103">
        <v>85.751277167506501</v>
      </c>
      <c r="AM1103">
        <v>82.628210793728101</v>
      </c>
      <c r="AN1103">
        <v>0.99999999062693801</v>
      </c>
    </row>
    <row r="1104" spans="1:40" x14ac:dyDescent="0.25">
      <c r="A1104" t="str">
        <f>"20190312151006596"</f>
        <v>20190312151006596</v>
      </c>
      <c r="B1104" t="str">
        <f>"1552374606591872"</f>
        <v>1552374606591872</v>
      </c>
      <c r="C1104" t="s">
        <v>40</v>
      </c>
      <c r="D1104">
        <v>5.3548249999999999</v>
      </c>
      <c r="E1104">
        <v>0.52818290000000001</v>
      </c>
      <c r="F1104" t="s">
        <v>42</v>
      </c>
      <c r="G1104">
        <v>-222.41030000000001</v>
      </c>
      <c r="H1104" s="1">
        <v>-4.4759889999999999E-6</v>
      </c>
      <c r="I1104">
        <v>362.6388</v>
      </c>
      <c r="J1104">
        <v>-246.0822</v>
      </c>
      <c r="K1104">
        <v>1.1094710000000001</v>
      </c>
      <c r="L1104">
        <v>367.55689999999998</v>
      </c>
      <c r="M1104">
        <v>0.99990699999999999</v>
      </c>
      <c r="N1104">
        <v>0</v>
      </c>
      <c r="O1104">
        <v>-2.8014970000000001E-4</v>
      </c>
      <c r="P1104">
        <v>0.98992069999999999</v>
      </c>
      <c r="Q1104">
        <v>6.0603079999999997E-2</v>
      </c>
      <c r="R1104">
        <v>-0.12800249999999999</v>
      </c>
      <c r="S1104">
        <v>2.9602050000000002</v>
      </c>
      <c r="T1104">
        <v>-0.13769729999999999</v>
      </c>
      <c r="U1104">
        <v>-0.61044309999999902</v>
      </c>
      <c r="V1104">
        <v>0.12787609999999999</v>
      </c>
      <c r="W1104">
        <v>7.3847549999999998E-2</v>
      </c>
      <c r="X1104">
        <v>0.98903700000000005</v>
      </c>
      <c r="Y1104">
        <v>0.20148379999999999</v>
      </c>
      <c r="Z1104">
        <v>-4.622017E-3</v>
      </c>
      <c r="AA1104">
        <v>0.97948089999999999</v>
      </c>
      <c r="AB1104">
        <v>32</v>
      </c>
      <c r="AC1104">
        <v>23.671899999999901</v>
      </c>
      <c r="AD1104">
        <v>-1.109475475989</v>
      </c>
      <c r="AE1104">
        <v>-4.9180999999999804</v>
      </c>
      <c r="AF1104">
        <v>4.9011466993771098</v>
      </c>
      <c r="AG1104">
        <v>-1.109475475989</v>
      </c>
      <c r="AH1104">
        <v>23.623530665642999</v>
      </c>
      <c r="AI1104">
        <v>92.632925129850094</v>
      </c>
      <c r="AJ1104">
        <v>78.279190225683294</v>
      </c>
      <c r="AK1104">
        <v>24.1520884378807</v>
      </c>
      <c r="AL1104">
        <v>85.764991734777794</v>
      </c>
      <c r="AM1104">
        <v>82.632895651583198</v>
      </c>
      <c r="AN1104">
        <v>0.99999997248060501</v>
      </c>
    </row>
    <row r="1105" spans="1:40" x14ac:dyDescent="0.25">
      <c r="A1105" t="str">
        <f>"20190312151006616"</f>
        <v>20190312151006616</v>
      </c>
      <c r="B1105" t="str">
        <f>"1552374606611392"</f>
        <v>1552374606611392</v>
      </c>
      <c r="C1105" t="s">
        <v>40</v>
      </c>
      <c r="D1105">
        <v>5.3501940000000001</v>
      </c>
      <c r="E1105">
        <v>0.52821490000000004</v>
      </c>
      <c r="F1105" t="s">
        <v>42</v>
      </c>
      <c r="G1105">
        <v>-221.8877</v>
      </c>
      <c r="H1105" s="1">
        <v>-4.7140860000000004E-6</v>
      </c>
      <c r="I1105">
        <v>362.56049999999999</v>
      </c>
      <c r="J1105">
        <v>-245.8142</v>
      </c>
      <c r="K1105">
        <v>1.1094630000000001</v>
      </c>
      <c r="L1105">
        <v>367.55599999999998</v>
      </c>
      <c r="M1105">
        <v>0.99990639999999997</v>
      </c>
      <c r="N1105">
        <v>0</v>
      </c>
      <c r="O1105">
        <v>-1.0759700000000001E-3</v>
      </c>
      <c r="P1105">
        <v>0.98983209999999999</v>
      </c>
      <c r="Q1105">
        <v>6.0788229999999999E-2</v>
      </c>
      <c r="R1105">
        <v>-0.1285982</v>
      </c>
      <c r="S1105">
        <v>2.9598390000000001</v>
      </c>
      <c r="T1105">
        <v>-0.1357275</v>
      </c>
      <c r="U1105">
        <v>-0.61123660000000002</v>
      </c>
      <c r="V1105">
        <v>0.12768460000000001</v>
      </c>
      <c r="W1105">
        <v>7.4028730000000001E-2</v>
      </c>
      <c r="X1105">
        <v>0.98904820000000004</v>
      </c>
      <c r="Y1105">
        <v>0.2009872</v>
      </c>
      <c r="Z1105">
        <v>-4.5090390000000003E-3</v>
      </c>
      <c r="AA1105">
        <v>0.97958350000000005</v>
      </c>
      <c r="AB1105">
        <v>32</v>
      </c>
      <c r="AC1105">
        <v>23.926500000000001</v>
      </c>
      <c r="AD1105">
        <v>-1.1094677140860001</v>
      </c>
      <c r="AE1105">
        <v>-4.9954999999999901</v>
      </c>
      <c r="AF1105">
        <v>4.9595321551819698</v>
      </c>
      <c r="AG1105">
        <v>-1.1094677140860001</v>
      </c>
      <c r="AH1105">
        <v>23.882655078499699</v>
      </c>
      <c r="AI1105">
        <v>92.604279283034799</v>
      </c>
      <c r="AJ1105">
        <v>78.268552406177903</v>
      </c>
      <c r="AK1105">
        <v>24.4173932147858</v>
      </c>
      <c r="AL1105">
        <v>85.754582407685803</v>
      </c>
      <c r="AM1105">
        <v>82.643889668843698</v>
      </c>
      <c r="AN1105">
        <v>0.99999997593290602</v>
      </c>
    </row>
    <row r="1106" spans="1:40" x14ac:dyDescent="0.25">
      <c r="A1106" t="str">
        <f>"20190312151006639"</f>
        <v>20190312151006639</v>
      </c>
      <c r="B1106" t="str">
        <f>"1552374606631889"</f>
        <v>1552374606631889</v>
      </c>
      <c r="C1106" t="s">
        <v>40</v>
      </c>
      <c r="D1106">
        <v>5.0866850000000001</v>
      </c>
      <c r="E1106">
        <v>0.52813160000000003</v>
      </c>
      <c r="F1106" t="s">
        <v>42</v>
      </c>
      <c r="G1106">
        <v>-221.10769999999999</v>
      </c>
      <c r="H1106" s="1">
        <v>-5.0709120000000003E-6</v>
      </c>
      <c r="I1106">
        <v>362.43529999999998</v>
      </c>
      <c r="J1106">
        <v>-245.47389999999999</v>
      </c>
      <c r="K1106">
        <v>1.109459</v>
      </c>
      <c r="L1106">
        <v>367.55459999999999</v>
      </c>
      <c r="M1106">
        <v>0.99990489999999999</v>
      </c>
      <c r="N1106">
        <v>0</v>
      </c>
      <c r="O1106">
        <v>-2.084317E-3</v>
      </c>
      <c r="P1106">
        <v>0.9897553</v>
      </c>
      <c r="Q1106">
        <v>6.0599559999999997E-2</v>
      </c>
      <c r="R1106">
        <v>-0.1292769</v>
      </c>
      <c r="S1106">
        <v>2.9593050000000001</v>
      </c>
      <c r="T1106">
        <v>-0.1328897</v>
      </c>
      <c r="U1106">
        <v>-0.61334230000000001</v>
      </c>
      <c r="V1106">
        <v>0.12736510000000001</v>
      </c>
      <c r="W1106">
        <v>7.3836609999999997E-2</v>
      </c>
      <c r="X1106">
        <v>0.98910379999999998</v>
      </c>
      <c r="Y1106">
        <v>0.20071230000000001</v>
      </c>
      <c r="Z1106">
        <v>-4.3644349999999998E-3</v>
      </c>
      <c r="AA1106">
        <v>0.97964050000000003</v>
      </c>
      <c r="AB1106">
        <v>32</v>
      </c>
      <c r="AC1106">
        <v>24.3661999999999</v>
      </c>
      <c r="AD1106">
        <v>-1.1094640709119901</v>
      </c>
      <c r="AE1106">
        <v>-5.1193000000000097</v>
      </c>
      <c r="AF1106">
        <v>5.0584532124913499</v>
      </c>
      <c r="AG1106">
        <v>-1.1094640709119901</v>
      </c>
      <c r="AH1106">
        <v>24.328511625222799</v>
      </c>
      <c r="AI1106">
        <v>92.556475089438095</v>
      </c>
      <c r="AJ1106">
        <v>78.254254139672</v>
      </c>
      <c r="AK1106">
        <v>24.873587142312399</v>
      </c>
      <c r="AL1106">
        <v>85.765620469930596</v>
      </c>
      <c r="AM1106">
        <v>82.662503690127707</v>
      </c>
      <c r="AN1106">
        <v>1.00000002042437</v>
      </c>
    </row>
    <row r="1107" spans="1:40" x14ac:dyDescent="0.25">
      <c r="A1107" t="str">
        <f>"20190312151006652"</f>
        <v>20190312151006652</v>
      </c>
      <c r="B1107" t="str">
        <f>"1552374606641649"</f>
        <v>1552374606641649</v>
      </c>
      <c r="C1107" t="s">
        <v>40</v>
      </c>
      <c r="D1107">
        <v>5.3749390000000004</v>
      </c>
      <c r="E1107">
        <v>0.52802119999999997</v>
      </c>
      <c r="F1107" t="s">
        <v>42</v>
      </c>
      <c r="G1107">
        <v>-220.6232</v>
      </c>
      <c r="H1107" s="1">
        <v>-5.2865959999999901E-6</v>
      </c>
      <c r="I1107">
        <v>362.39109999999999</v>
      </c>
      <c r="J1107">
        <v>-245.28100000000001</v>
      </c>
      <c r="K1107">
        <v>1.1094569999999999</v>
      </c>
      <c r="L1107">
        <v>367.55360000000002</v>
      </c>
      <c r="M1107">
        <v>0.9999036</v>
      </c>
      <c r="N1107">
        <v>0</v>
      </c>
      <c r="O1107">
        <v>-2.6548219999999998E-3</v>
      </c>
      <c r="P1107">
        <v>0.9896836</v>
      </c>
      <c r="Q1107">
        <v>6.0626399999999997E-2</v>
      </c>
      <c r="R1107">
        <v>-0.12981199999999901</v>
      </c>
      <c r="S1107">
        <v>2.9588169999999998</v>
      </c>
      <c r="T1107">
        <v>-0.1320964</v>
      </c>
      <c r="U1107">
        <v>-0.61477660000000001</v>
      </c>
      <c r="V1107">
        <v>0.1273358</v>
      </c>
      <c r="W1107">
        <v>7.3860869999999995E-2</v>
      </c>
      <c r="X1107">
        <v>0.98910580000000003</v>
      </c>
      <c r="Y1107">
        <v>0.20064370000000001</v>
      </c>
      <c r="Z1107">
        <v>-4.3121920000000003E-3</v>
      </c>
      <c r="AA1107">
        <v>0.97965480000000005</v>
      </c>
      <c r="AB1107">
        <v>32</v>
      </c>
      <c r="AC1107">
        <v>24.657799999999899</v>
      </c>
      <c r="AD1107">
        <v>-1.109462286596</v>
      </c>
      <c r="AE1107">
        <v>-5.1625000000000201</v>
      </c>
      <c r="AF1107">
        <v>5.0871472404369298</v>
      </c>
      <c r="AG1107">
        <v>-1.109462286596</v>
      </c>
      <c r="AH1107">
        <v>24.623662814216299</v>
      </c>
      <c r="AI1107">
        <v>92.526533096857804</v>
      </c>
      <c r="AJ1107">
        <v>78.327151975727702</v>
      </c>
      <c r="AK1107">
        <v>25.168129529217701</v>
      </c>
      <c r="AL1107">
        <v>85.764226831509902</v>
      </c>
      <c r="AM1107">
        <v>82.664187944436605</v>
      </c>
      <c r="AN1107">
        <v>1.0000000588362099</v>
      </c>
    </row>
    <row r="1108" spans="1:40" x14ac:dyDescent="0.25">
      <c r="A1108" t="str">
        <f>"20190312151006665"</f>
        <v>20190312151006665</v>
      </c>
      <c r="B1108" t="str">
        <f>"1552374606651409"</f>
        <v>1552374606651409</v>
      </c>
      <c r="C1108" t="s">
        <v>40</v>
      </c>
      <c r="D1108">
        <v>5.3547209999999996</v>
      </c>
      <c r="E1108">
        <v>0.52792879999999998</v>
      </c>
      <c r="F1108" t="s">
        <v>42</v>
      </c>
      <c r="G1108">
        <v>-220.86949999999999</v>
      </c>
      <c r="H1108" s="1">
        <v>-5.1654279999999996E-6</v>
      </c>
      <c r="I1108">
        <v>362.47829999999999</v>
      </c>
      <c r="J1108">
        <v>-245.10220000000001</v>
      </c>
      <c r="K1108">
        <v>1.1094520000000001</v>
      </c>
      <c r="L1108">
        <v>367.55259999999998</v>
      </c>
      <c r="M1108">
        <v>0.99990199999999996</v>
      </c>
      <c r="N1108">
        <v>0</v>
      </c>
      <c r="O1108">
        <v>-3.1833640000000002E-3</v>
      </c>
      <c r="P1108">
        <v>0.9896644</v>
      </c>
      <c r="Q1108">
        <v>6.0183559999999997E-2</v>
      </c>
      <c r="R1108">
        <v>-0.13016369999999999</v>
      </c>
      <c r="S1108">
        <v>2.9588169999999998</v>
      </c>
      <c r="T1108">
        <v>-0.13447310000000001</v>
      </c>
      <c r="U1108">
        <v>-0.61514279999999999</v>
      </c>
      <c r="V1108">
        <v>0.12716340000000001</v>
      </c>
      <c r="W1108">
        <v>7.3417200000000002E-2</v>
      </c>
      <c r="X1108">
        <v>0.98916099999999996</v>
      </c>
      <c r="Y1108">
        <v>0.2002362</v>
      </c>
      <c r="Z1108">
        <v>-4.3567340000000001E-3</v>
      </c>
      <c r="AA1108">
        <v>0.97973790000000005</v>
      </c>
      <c r="AB1108">
        <v>32</v>
      </c>
      <c r="AC1108">
        <v>24.232700000000001</v>
      </c>
      <c r="AD1108">
        <v>-1.1094571654279901</v>
      </c>
      <c r="AE1108">
        <v>-5.0742999999999903</v>
      </c>
      <c r="AF1108">
        <v>4.9871111091831697</v>
      </c>
      <c r="AG1108">
        <v>-1.1094571654279901</v>
      </c>
      <c r="AH1108">
        <v>24.200136312673301</v>
      </c>
      <c r="AI1108">
        <v>92.570942520649595</v>
      </c>
      <c r="AJ1108">
        <v>78.355622904170104</v>
      </c>
      <c r="AK1108">
        <v>24.733555546447899</v>
      </c>
      <c r="AL1108">
        <v>85.789716415672402</v>
      </c>
      <c r="AM1108">
        <v>82.674416319493503</v>
      </c>
      <c r="AN1108">
        <v>1.00000004973819</v>
      </c>
    </row>
    <row r="1109" spans="1:40" x14ac:dyDescent="0.25">
      <c r="A1109" t="str">
        <f>"20190312151006678"</f>
        <v>20190312151006678</v>
      </c>
      <c r="B1109" t="str">
        <f>"1552374606671906"</f>
        <v>1552374606671906</v>
      </c>
      <c r="C1109" t="s">
        <v>40</v>
      </c>
      <c r="D1109">
        <v>5.3873749999999996</v>
      </c>
      <c r="E1109">
        <v>0.52753839999999996</v>
      </c>
      <c r="F1109" t="s">
        <v>42</v>
      </c>
      <c r="G1109">
        <v>-221.30959999999999</v>
      </c>
      <c r="H1109" s="1">
        <v>-4.9549900000000001E-6</v>
      </c>
      <c r="I1109">
        <v>362.60039999999998</v>
      </c>
      <c r="J1109">
        <v>-244.9075</v>
      </c>
      <c r="K1109">
        <v>1.10945</v>
      </c>
      <c r="L1109">
        <v>367.5514</v>
      </c>
      <c r="M1109">
        <v>0.99990000000000001</v>
      </c>
      <c r="N1109">
        <v>0</v>
      </c>
      <c r="O1109">
        <v>-3.7588679999999998E-3</v>
      </c>
      <c r="P1109">
        <v>0.98960040000000005</v>
      </c>
      <c r="Q1109">
        <v>6.001285E-2</v>
      </c>
      <c r="R1109">
        <v>-0.13072719999999999</v>
      </c>
      <c r="S1109">
        <v>2.9587400000000001</v>
      </c>
      <c r="T1109">
        <v>-0.13796639999999999</v>
      </c>
      <c r="U1109">
        <v>-0.61581419999999998</v>
      </c>
      <c r="V1109">
        <v>0.12715689999999999</v>
      </c>
      <c r="W1109">
        <v>7.3244069999999994E-2</v>
      </c>
      <c r="X1109">
        <v>0.98917460000000001</v>
      </c>
      <c r="Y1109">
        <v>0.19988120000000001</v>
      </c>
      <c r="Z1109">
        <v>-4.4350839999999997E-3</v>
      </c>
      <c r="AA1109">
        <v>0.97981010000000002</v>
      </c>
      <c r="AB1109">
        <v>32</v>
      </c>
      <c r="AC1109">
        <v>23.597899999999999</v>
      </c>
      <c r="AD1109">
        <v>-1.1094549549899999</v>
      </c>
      <c r="AE1109">
        <v>-4.9510000000000201</v>
      </c>
      <c r="AF1109">
        <v>4.8519827070796104</v>
      </c>
      <c r="AG1109">
        <v>-1.1094549549899999</v>
      </c>
      <c r="AH1109">
        <v>23.566449982543698</v>
      </c>
      <c r="AI1109">
        <v>92.640072043378197</v>
      </c>
      <c r="AJ1109">
        <v>78.366210818121402</v>
      </c>
      <c r="AK1109">
        <v>24.0863071322003</v>
      </c>
      <c r="AL1109">
        <v>85.799662519498398</v>
      </c>
      <c r="AM1109">
        <v>82.674886321336501</v>
      </c>
      <c r="AN1109">
        <v>0.99999998014646696</v>
      </c>
    </row>
    <row r="1110" spans="1:40" x14ac:dyDescent="0.25">
      <c r="A1110" t="str">
        <f>"20190312151006693"</f>
        <v>20190312151006693</v>
      </c>
      <c r="B1110" t="str">
        <f>"1552374606681664"</f>
        <v>1552374606681664</v>
      </c>
      <c r="C1110" t="s">
        <v>40</v>
      </c>
      <c r="D1110">
        <v>5.3043630000000004</v>
      </c>
      <c r="E1110">
        <v>0.52738019999999997</v>
      </c>
      <c r="F1110" t="s">
        <v>42</v>
      </c>
      <c r="G1110">
        <v>-221.3271</v>
      </c>
      <c r="H1110" s="1">
        <v>-4.9378450000000002E-6</v>
      </c>
      <c r="I1110">
        <v>362.65480000000002</v>
      </c>
      <c r="J1110">
        <v>-244.68639999999999</v>
      </c>
      <c r="K1110">
        <v>1.10945</v>
      </c>
      <c r="L1110">
        <v>367.54989999999998</v>
      </c>
      <c r="M1110">
        <v>0.99989749999999999</v>
      </c>
      <c r="N1110">
        <v>0</v>
      </c>
      <c r="O1110">
        <v>-4.4095619999999997E-3</v>
      </c>
      <c r="P1110">
        <v>0.98952249999999997</v>
      </c>
      <c r="Q1110">
        <v>5.9853150000000001E-2</v>
      </c>
      <c r="R1110">
        <v>-0.13138920000000001</v>
      </c>
      <c r="S1110">
        <v>2.9588169999999998</v>
      </c>
      <c r="T1110">
        <v>-0.13921149999999999</v>
      </c>
      <c r="U1110">
        <v>-0.61441040000000002</v>
      </c>
      <c r="V1110">
        <v>0.12717419999999999</v>
      </c>
      <c r="W1110">
        <v>7.3082389999999997E-2</v>
      </c>
      <c r="X1110">
        <v>0.98918439999999996</v>
      </c>
      <c r="Y1110">
        <v>0.19879089999999999</v>
      </c>
      <c r="Z1110">
        <v>-4.4195320000000003E-3</v>
      </c>
      <c r="AA1110">
        <v>0.98003200000000001</v>
      </c>
      <c r="AB1110">
        <v>32</v>
      </c>
      <c r="AC1110">
        <v>23.359299999999902</v>
      </c>
      <c r="AD1110">
        <v>-1.109454937845</v>
      </c>
      <c r="AE1110">
        <v>-4.8950999999999496</v>
      </c>
      <c r="AF1110">
        <v>4.7817057667456604</v>
      </c>
      <c r="AG1110">
        <v>-1.109454937845</v>
      </c>
      <c r="AH1110">
        <v>23.330245744757399</v>
      </c>
      <c r="AI1110">
        <v>92.667249721196697</v>
      </c>
      <c r="AJ1110">
        <v>78.417217907071901</v>
      </c>
      <c r="AK1110">
        <v>23.841056327470199</v>
      </c>
      <c r="AL1110">
        <v>85.808951267079806</v>
      </c>
      <c r="AM1110">
        <v>82.673972340705703</v>
      </c>
      <c r="AN1110">
        <v>1.00000004503855</v>
      </c>
    </row>
    <row r="1111" spans="1:40" x14ac:dyDescent="0.25">
      <c r="A1111" t="str">
        <f>"20190312151006707"</f>
        <v>20190312151006707</v>
      </c>
      <c r="B1111" t="str">
        <f>"1552374606702161"</f>
        <v>1552374606702161</v>
      </c>
      <c r="C1111" t="s">
        <v>40</v>
      </c>
      <c r="D1111">
        <v>5.3744509999999996</v>
      </c>
      <c r="E1111">
        <v>0.52709379999999995</v>
      </c>
      <c r="F1111" t="s">
        <v>42</v>
      </c>
      <c r="G1111">
        <v>-221.6551</v>
      </c>
      <c r="H1111" s="1">
        <v>-4.7784800000000004E-6</v>
      </c>
      <c r="I1111">
        <v>362.75990000000002</v>
      </c>
      <c r="J1111">
        <v>-244.50409999999999</v>
      </c>
      <c r="K1111">
        <v>1.109451</v>
      </c>
      <c r="L1111">
        <v>367.54849999999999</v>
      </c>
      <c r="M1111">
        <v>0.99989499999999998</v>
      </c>
      <c r="N1111">
        <v>0</v>
      </c>
      <c r="O1111">
        <v>-4.9445019999999999E-3</v>
      </c>
      <c r="P1111">
        <v>0.98948919999999996</v>
      </c>
      <c r="Q1111">
        <v>5.9810349999999998E-2</v>
      </c>
      <c r="R1111">
        <v>-0.1316582</v>
      </c>
      <c r="S1111">
        <v>2.95871</v>
      </c>
      <c r="T1111">
        <v>-0.14252500000000001</v>
      </c>
      <c r="U1111">
        <v>-0.61532589999999998</v>
      </c>
      <c r="V1111">
        <v>0.12691350000000001</v>
      </c>
      <c r="W1111">
        <v>7.3039110000000004E-2</v>
      </c>
      <c r="X1111">
        <v>0.98922100000000002</v>
      </c>
      <c r="Y1111">
        <v>0.19855529999999999</v>
      </c>
      <c r="Z1111">
        <v>-4.4935349999999999E-3</v>
      </c>
      <c r="AA1111">
        <v>0.98007940000000004</v>
      </c>
      <c r="AB1111">
        <v>32</v>
      </c>
      <c r="AC1111">
        <v>22.848999999999901</v>
      </c>
      <c r="AD1111">
        <v>-1.1094557784800001</v>
      </c>
      <c r="AE1111">
        <v>-4.7885999999999704</v>
      </c>
      <c r="AF1111">
        <v>4.6650181630292904</v>
      </c>
      <c r="AG1111">
        <v>-1.1094557784800001</v>
      </c>
      <c r="AH1111">
        <v>22.8208594725686</v>
      </c>
      <c r="AI1111">
        <v>92.726986763611293</v>
      </c>
      <c r="AJ1111">
        <v>78.446821582119597</v>
      </c>
      <c r="AK1111">
        <v>23.3191962479954</v>
      </c>
      <c r="AL1111">
        <v>85.811437347707098</v>
      </c>
      <c r="AM1111">
        <v>82.689095209193795</v>
      </c>
      <c r="AN1111">
        <v>0.99999996745641995</v>
      </c>
    </row>
    <row r="1112" spans="1:40" x14ac:dyDescent="0.25">
      <c r="A1112" t="str">
        <f>"20190312151006720"</f>
        <v>20190312151006720</v>
      </c>
      <c r="B1112" t="str">
        <f>"1552374606711921"</f>
        <v>1552374606711921</v>
      </c>
      <c r="C1112" t="s">
        <v>40</v>
      </c>
      <c r="D1112">
        <v>5.3798859999999999</v>
      </c>
      <c r="E1112">
        <v>0.52696690000000002</v>
      </c>
      <c r="F1112" t="s">
        <v>42</v>
      </c>
      <c r="G1112">
        <v>-221.30709999999999</v>
      </c>
      <c r="H1112" s="1">
        <v>-4.9324579999999999E-6</v>
      </c>
      <c r="I1112">
        <v>362.73349999999999</v>
      </c>
      <c r="J1112">
        <v>-244.30609999999999</v>
      </c>
      <c r="K1112">
        <v>1.1094520000000001</v>
      </c>
      <c r="L1112">
        <v>367.54700000000003</v>
      </c>
      <c r="M1112">
        <v>0.99989189999999994</v>
      </c>
      <c r="N1112">
        <v>0</v>
      </c>
      <c r="O1112">
        <v>-5.5243690000000003E-3</v>
      </c>
      <c r="P1112">
        <v>0.98945459999999996</v>
      </c>
      <c r="Q1112">
        <v>5.9904560000000003E-2</v>
      </c>
      <c r="R1112">
        <v>-0.13187479999999999</v>
      </c>
      <c r="S1112">
        <v>2.9586790000000001</v>
      </c>
      <c r="T1112">
        <v>-0.14150599999999999</v>
      </c>
      <c r="U1112">
        <v>-0.61413569999999995</v>
      </c>
      <c r="V1112">
        <v>0.1265559</v>
      </c>
      <c r="W1112">
        <v>7.313327E-2</v>
      </c>
      <c r="X1112">
        <v>0.98925989999999997</v>
      </c>
      <c r="Y1112">
        <v>0.1976156</v>
      </c>
      <c r="Z1112">
        <v>-4.4120280000000001E-3</v>
      </c>
      <c r="AA1112">
        <v>0.98026970000000002</v>
      </c>
      <c r="AB1112">
        <v>32</v>
      </c>
      <c r="AC1112">
        <v>22.998999999999899</v>
      </c>
      <c r="AD1112">
        <v>-1.1094569324579999</v>
      </c>
      <c r="AE1112">
        <v>-4.8134999999999701</v>
      </c>
      <c r="AF1112">
        <v>4.67593533075088</v>
      </c>
      <c r="AG1112">
        <v>-1.1094569324579999</v>
      </c>
      <c r="AH1112">
        <v>22.9740251297466</v>
      </c>
      <c r="AI1112">
        <v>92.709306388312697</v>
      </c>
      <c r="AJ1112">
        <v>78.495648480436301</v>
      </c>
      <c r="AK1112">
        <v>23.471282380061201</v>
      </c>
      <c r="AL1112">
        <v>85.8060280904119</v>
      </c>
      <c r="AM1112">
        <v>82.709756560320102</v>
      </c>
      <c r="AN1112">
        <v>1.00000001037685</v>
      </c>
    </row>
    <row r="1113" spans="1:40" x14ac:dyDescent="0.25">
      <c r="A1113" t="str">
        <f>"20190312151006740"</f>
        <v>20190312151006740</v>
      </c>
      <c r="B1113" t="str">
        <f>"1552374606731441"</f>
        <v>1552374606731441</v>
      </c>
      <c r="C1113" t="s">
        <v>40</v>
      </c>
      <c r="D1113">
        <v>5.4107900000000004</v>
      </c>
      <c r="E1113">
        <v>0.52676060000000002</v>
      </c>
      <c r="F1113" t="s">
        <v>42</v>
      </c>
      <c r="G1113">
        <v>-221.00890000000001</v>
      </c>
      <c r="H1113" s="1">
        <v>-5.0635629999999997E-6</v>
      </c>
      <c r="I1113">
        <v>362.71550000000002</v>
      </c>
      <c r="J1113">
        <v>-244.0292</v>
      </c>
      <c r="K1113">
        <v>1.109459</v>
      </c>
      <c r="L1113">
        <v>367.5446</v>
      </c>
      <c r="M1113">
        <v>0.99988719999999998</v>
      </c>
      <c r="N1113">
        <v>0</v>
      </c>
      <c r="O1113">
        <v>-6.3314030000000002E-3</v>
      </c>
      <c r="P1113">
        <v>0.98943179999999997</v>
      </c>
      <c r="Q1113">
        <v>5.9791509999999999E-2</v>
      </c>
      <c r="R1113">
        <v>-0.13209879999999999</v>
      </c>
      <c r="S1113">
        <v>2.9586939999999999</v>
      </c>
      <c r="T1113">
        <v>-0.14089860000000001</v>
      </c>
      <c r="U1113">
        <v>-0.61358639999999998</v>
      </c>
      <c r="V1113">
        <v>0.1259797</v>
      </c>
      <c r="W1113">
        <v>7.3021039999999995E-2</v>
      </c>
      <c r="X1113">
        <v>0.98934169999999999</v>
      </c>
      <c r="Y1113">
        <v>0.19665260000000001</v>
      </c>
      <c r="Z1113">
        <v>-4.3324949999999996E-3</v>
      </c>
      <c r="AA1113">
        <v>0.98046369999999905</v>
      </c>
      <c r="AB1113">
        <v>32</v>
      </c>
      <c r="AC1113">
        <v>23.020299999999899</v>
      </c>
      <c r="AD1113">
        <v>-1.109464063563</v>
      </c>
      <c r="AE1113">
        <v>-4.82909999999998</v>
      </c>
      <c r="AF1113">
        <v>4.6728424790418801</v>
      </c>
      <c r="AG1113">
        <v>-1.109464063563</v>
      </c>
      <c r="AH1113">
        <v>22.9992463471071</v>
      </c>
      <c r="AI1113">
        <v>92.706545874260101</v>
      </c>
      <c r="AJ1113">
        <v>78.515327731871594</v>
      </c>
      <c r="AK1113">
        <v>23.495354857443498</v>
      </c>
      <c r="AL1113">
        <v>85.812475499674704</v>
      </c>
      <c r="AM1113">
        <v>82.743187490777899</v>
      </c>
      <c r="AN1113">
        <v>0.99999997822682996</v>
      </c>
    </row>
    <row r="1114" spans="1:40" x14ac:dyDescent="0.25">
      <c r="A1114" t="str">
        <f>"20190312151006761"</f>
        <v>20190312151006761</v>
      </c>
      <c r="B1114" t="str">
        <f>"1552374606751937"</f>
        <v>1552374606751937</v>
      </c>
      <c r="C1114" t="s">
        <v>40</v>
      </c>
      <c r="D1114">
        <v>5.4059739999999996</v>
      </c>
      <c r="E1114">
        <v>0.52659089999999997</v>
      </c>
      <c r="F1114" t="s">
        <v>42</v>
      </c>
      <c r="G1114">
        <v>-220.79079999999999</v>
      </c>
      <c r="H1114" s="1">
        <v>-5.1539080000000001E-6</v>
      </c>
      <c r="I1114">
        <v>362.73360000000002</v>
      </c>
      <c r="J1114">
        <v>-243.7081</v>
      </c>
      <c r="K1114">
        <v>1.1094759999999999</v>
      </c>
      <c r="L1114">
        <v>367.54160000000002</v>
      </c>
      <c r="M1114">
        <v>0.99988100000000002</v>
      </c>
      <c r="N1114">
        <v>0</v>
      </c>
      <c r="O1114">
        <v>-7.2627369999999896E-3</v>
      </c>
      <c r="P1114">
        <v>0.98945369999999999</v>
      </c>
      <c r="Q1114">
        <v>6.0110379999999998E-2</v>
      </c>
      <c r="R1114">
        <v>-0.1317895</v>
      </c>
      <c r="S1114">
        <v>2.9588169999999998</v>
      </c>
      <c r="T1114">
        <v>-0.14126169999999999</v>
      </c>
      <c r="U1114">
        <v>-0.6125488</v>
      </c>
      <c r="V1114">
        <v>0.1247475</v>
      </c>
      <c r="W1114">
        <v>7.3342519999999994E-2</v>
      </c>
      <c r="X1114">
        <v>0.98947410000000002</v>
      </c>
      <c r="Y1114">
        <v>0.19540279999999999</v>
      </c>
      <c r="Z1114">
        <v>-4.2701600000000003E-3</v>
      </c>
      <c r="AA1114">
        <v>0.98071379999999997</v>
      </c>
      <c r="AB1114">
        <v>32</v>
      </c>
      <c r="AC1114">
        <v>22.917300000000001</v>
      </c>
      <c r="AD1114">
        <v>-1.1094811539080001</v>
      </c>
      <c r="AE1114">
        <v>-4.8079999999999901</v>
      </c>
      <c r="AF1114">
        <v>4.6310190356143703</v>
      </c>
      <c r="AG1114">
        <v>-1.1094811539080001</v>
      </c>
      <c r="AH1114">
        <v>22.9002081784848</v>
      </c>
      <c r="AI1114">
        <v>92.718776196735902</v>
      </c>
      <c r="AJ1114">
        <v>78.567481489489793</v>
      </c>
      <c r="AK1114">
        <v>23.390100905234299</v>
      </c>
      <c r="AL1114">
        <v>85.794006744771096</v>
      </c>
      <c r="AM1114">
        <v>82.814371805254794</v>
      </c>
      <c r="AN1114">
        <v>1.0000000292835001</v>
      </c>
    </row>
    <row r="1115" spans="1:40" x14ac:dyDescent="0.25">
      <c r="A1115" t="str">
        <f>"20190312151006773"</f>
        <v>20190312151006773</v>
      </c>
      <c r="B1115" t="str">
        <f>"1552374606761698"</f>
        <v>1552374606761698</v>
      </c>
      <c r="C1115" t="s">
        <v>40</v>
      </c>
      <c r="D1115">
        <v>5.5450569999999999</v>
      </c>
      <c r="E1115">
        <v>0.52655949999999996</v>
      </c>
      <c r="F1115" t="s">
        <v>42</v>
      </c>
      <c r="G1115">
        <v>-220.26849999999999</v>
      </c>
      <c r="H1115" s="1">
        <v>-5.3828609999999997E-6</v>
      </c>
      <c r="I1115">
        <v>362.70620000000002</v>
      </c>
      <c r="J1115">
        <v>-243.5335</v>
      </c>
      <c r="K1115">
        <v>1.109478</v>
      </c>
      <c r="L1115">
        <v>367.53980000000001</v>
      </c>
      <c r="M1115">
        <v>0.99987720000000002</v>
      </c>
      <c r="N1115">
        <v>0</v>
      </c>
      <c r="O1115">
        <v>-7.7674989999999998E-3</v>
      </c>
      <c r="P1115">
        <v>0.98942189999999997</v>
      </c>
      <c r="Q1115">
        <v>6.0294180000000003E-2</v>
      </c>
      <c r="R1115">
        <v>-0.1319447</v>
      </c>
      <c r="S1115">
        <v>2.9591829999999999</v>
      </c>
      <c r="T1115">
        <v>-0.1400679</v>
      </c>
      <c r="U1115">
        <v>-0.61044309999999902</v>
      </c>
      <c r="V1115">
        <v>0.12440279999999999</v>
      </c>
      <c r="W1115">
        <v>7.3527029999999993E-2</v>
      </c>
      <c r="X1115">
        <v>0.98950380000000004</v>
      </c>
      <c r="Y1115">
        <v>0.19421949999999999</v>
      </c>
      <c r="Z1115">
        <v>-4.1825810000000003E-3</v>
      </c>
      <c r="AA1115">
        <v>0.98094919999999997</v>
      </c>
      <c r="AB1115">
        <v>32</v>
      </c>
      <c r="AC1115">
        <v>23.265000000000001</v>
      </c>
      <c r="AD1115">
        <v>-1.109483382861</v>
      </c>
      <c r="AE1115">
        <v>-4.8335999999999899</v>
      </c>
      <c r="AF1115">
        <v>4.6426050691874003</v>
      </c>
      <c r="AG1115">
        <v>-1.109483382861</v>
      </c>
      <c r="AH1115">
        <v>23.251155948745598</v>
      </c>
      <c r="AI1115">
        <v>92.679124554065197</v>
      </c>
      <c r="AJ1115">
        <v>78.708138259862295</v>
      </c>
      <c r="AK1115">
        <v>23.736069349371601</v>
      </c>
      <c r="AL1115">
        <v>85.783406464331705</v>
      </c>
      <c r="AM1115">
        <v>82.834233161500606</v>
      </c>
      <c r="AN1115">
        <v>1.0000000255014501</v>
      </c>
    </row>
    <row r="1116" spans="1:40" x14ac:dyDescent="0.25">
      <c r="A1116" t="str">
        <f>"20190312151006786"</f>
        <v>20190312151006786</v>
      </c>
      <c r="B1116" t="str">
        <f>"1552374606782193"</f>
        <v>1552374606782193</v>
      </c>
      <c r="C1116" t="s">
        <v>40</v>
      </c>
      <c r="D1116">
        <v>5.4419029999999999</v>
      </c>
      <c r="E1116">
        <v>0.52648459999999997</v>
      </c>
      <c r="F1116" t="s">
        <v>42</v>
      </c>
      <c r="G1116">
        <v>-219.95529999999999</v>
      </c>
      <c r="H1116" s="1">
        <v>-1.848127E-6</v>
      </c>
      <c r="I1116">
        <v>362.67529999999999</v>
      </c>
      <c r="J1116">
        <v>-243.35900000000001</v>
      </c>
      <c r="K1116">
        <v>1.1094809999999999</v>
      </c>
      <c r="L1116">
        <v>367.53800000000001</v>
      </c>
      <c r="M1116">
        <v>0.99987309999999996</v>
      </c>
      <c r="N1116">
        <v>0</v>
      </c>
      <c r="O1116">
        <v>-8.2702409999999994E-3</v>
      </c>
      <c r="P1116">
        <v>0.98939540000000004</v>
      </c>
      <c r="Q1116">
        <v>6.0345049999999997E-2</v>
      </c>
      <c r="R1116">
        <v>-0.1321186</v>
      </c>
      <c r="S1116">
        <v>2.959152</v>
      </c>
      <c r="T1116">
        <v>-0.13924339999999999</v>
      </c>
      <c r="U1116">
        <v>-0.61050419999999905</v>
      </c>
      <c r="V1116">
        <v>0.1240787</v>
      </c>
      <c r="W1116">
        <v>7.3577920000000005E-2</v>
      </c>
      <c r="X1116">
        <v>0.98954070000000005</v>
      </c>
      <c r="Y1116">
        <v>0.19375100000000001</v>
      </c>
      <c r="Z1116">
        <v>-4.1237259999999899E-3</v>
      </c>
      <c r="AA1116">
        <v>0.98104210000000003</v>
      </c>
      <c r="AB1116">
        <v>32</v>
      </c>
      <c r="AC1116">
        <v>23.403700000000001</v>
      </c>
      <c r="AD1116">
        <v>-1.109482848127</v>
      </c>
      <c r="AE1116">
        <v>-4.86270000000001</v>
      </c>
      <c r="AF1116">
        <v>4.6589245179307799</v>
      </c>
      <c r="AG1116">
        <v>-1.109482848127</v>
      </c>
      <c r="AH1116">
        <v>23.392722711594999</v>
      </c>
      <c r="AI1116">
        <v>92.663193787743893</v>
      </c>
      <c r="AJ1116">
        <v>78.736282000919402</v>
      </c>
      <c r="AK1116">
        <v>23.877939729290599</v>
      </c>
      <c r="AL1116">
        <v>85.780482720750598</v>
      </c>
      <c r="AM1116">
        <v>82.852972205152497</v>
      </c>
      <c r="AN1116">
        <v>1.0000000155308499</v>
      </c>
    </row>
    <row r="1117" spans="1:40" x14ac:dyDescent="0.25">
      <c r="A1117" t="str">
        <f>"20190312151006798"</f>
        <v>20190312151006798</v>
      </c>
      <c r="B1117" t="str">
        <f>"1552374606791952"</f>
        <v>1552374606791952</v>
      </c>
      <c r="C1117" t="s">
        <v>40</v>
      </c>
      <c r="D1117">
        <v>5.4102600000000001</v>
      </c>
      <c r="E1117">
        <v>0.52646340000000003</v>
      </c>
      <c r="F1117" t="s">
        <v>42</v>
      </c>
      <c r="G1117">
        <v>-220.1507</v>
      </c>
      <c r="H1117" s="1">
        <v>-5.4257530000000004E-6</v>
      </c>
      <c r="I1117">
        <v>362.74919999999997</v>
      </c>
      <c r="J1117">
        <v>-243.1721</v>
      </c>
      <c r="K1117">
        <v>1.109486</v>
      </c>
      <c r="L1117">
        <v>367.53590000000003</v>
      </c>
      <c r="M1117">
        <v>0.9998686</v>
      </c>
      <c r="N1117">
        <v>0</v>
      </c>
      <c r="O1117">
        <v>-8.8076709999999996E-3</v>
      </c>
      <c r="P1117">
        <v>0.98929339999999999</v>
      </c>
      <c r="Q1117">
        <v>6.0671580000000003E-2</v>
      </c>
      <c r="R1117">
        <v>-0.13273199999999999</v>
      </c>
      <c r="S1117">
        <v>2.959244</v>
      </c>
      <c r="T1117">
        <v>-0.1414677</v>
      </c>
      <c r="U1117">
        <v>-0.61059569999999996</v>
      </c>
      <c r="V1117">
        <v>0.1241608</v>
      </c>
      <c r="W1117">
        <v>7.3903189999999994E-2</v>
      </c>
      <c r="X1117">
        <v>0.98950610000000006</v>
      </c>
      <c r="Y1117">
        <v>0.19324169999999999</v>
      </c>
      <c r="Z1117">
        <v>-4.1519469999999996E-3</v>
      </c>
      <c r="AA1117">
        <v>0.98114239999999997</v>
      </c>
      <c r="AB1117">
        <v>32</v>
      </c>
      <c r="AC1117">
        <v>23.0214</v>
      </c>
      <c r="AD1117">
        <v>-1.109491425753</v>
      </c>
      <c r="AE1117">
        <v>-4.7867000000000504</v>
      </c>
      <c r="AF1117">
        <v>4.5735480491875098</v>
      </c>
      <c r="AG1117">
        <v>-1.109491425753</v>
      </c>
      <c r="AH1117">
        <v>23.011437769325799</v>
      </c>
      <c r="AI1117">
        <v>92.707489228519094</v>
      </c>
      <c r="AJ1117">
        <v>78.758889785798203</v>
      </c>
      <c r="AK1117">
        <v>23.487753855862799</v>
      </c>
      <c r="AL1117">
        <v>85.761794983416806</v>
      </c>
      <c r="AM1117">
        <v>82.848044649491399</v>
      </c>
      <c r="AN1117">
        <v>0.99999995384301199</v>
      </c>
    </row>
    <row r="1118" spans="1:40" x14ac:dyDescent="0.25">
      <c r="A1118" t="str">
        <f>"20190312151006811"</f>
        <v>20190312151006811</v>
      </c>
      <c r="B1118" t="str">
        <f>"1552374606801713"</f>
        <v>1552374606801713</v>
      </c>
      <c r="C1118" t="s">
        <v>40</v>
      </c>
      <c r="D1118">
        <v>5.3899599999999896</v>
      </c>
      <c r="E1118">
        <v>0.52643779999999996</v>
      </c>
      <c r="F1118" t="s">
        <v>42</v>
      </c>
      <c r="G1118">
        <v>-220.0146</v>
      </c>
      <c r="H1118" s="1">
        <v>-5.4852600000000004E-6</v>
      </c>
      <c r="I1118">
        <v>362.74279999999999</v>
      </c>
      <c r="J1118">
        <v>-242.99369999999999</v>
      </c>
      <c r="K1118">
        <v>1.1094889999999999</v>
      </c>
      <c r="L1118">
        <v>367.53379999999999</v>
      </c>
      <c r="M1118">
        <v>0.99986390000000003</v>
      </c>
      <c r="N1118">
        <v>0</v>
      </c>
      <c r="O1118">
        <v>-9.3189950000000001E-3</v>
      </c>
      <c r="P1118">
        <v>0.98923430000000001</v>
      </c>
      <c r="Q1118">
        <v>6.0667760000000001E-2</v>
      </c>
      <c r="R1118">
        <v>-0.1331724</v>
      </c>
      <c r="S1118">
        <v>2.9589690000000002</v>
      </c>
      <c r="T1118">
        <v>-0.14176569999999999</v>
      </c>
      <c r="U1118">
        <v>-0.61242680000000005</v>
      </c>
      <c r="V1118">
        <v>0.1240947</v>
      </c>
      <c r="W1118">
        <v>7.3898920000000007E-2</v>
      </c>
      <c r="X1118">
        <v>0.98951480000000003</v>
      </c>
      <c r="Y1118">
        <v>0.19333990000000001</v>
      </c>
      <c r="Z1118">
        <v>-4.1389130000000001E-3</v>
      </c>
      <c r="AA1118">
        <v>0.98112310000000003</v>
      </c>
      <c r="AB1118">
        <v>32</v>
      </c>
      <c r="AC1118">
        <v>22.979099999999899</v>
      </c>
      <c r="AD1118">
        <v>-1.1094944852599999</v>
      </c>
      <c r="AE1118">
        <v>-4.7909999999999897</v>
      </c>
      <c r="AF1118">
        <v>4.5664280579621996</v>
      </c>
      <c r="AG1118">
        <v>-1.1094944852599999</v>
      </c>
      <c r="AH1118">
        <v>22.971432747795099</v>
      </c>
      <c r="AI1118">
        <v>92.712186052457398</v>
      </c>
      <c r="AJ1118">
        <v>78.756895748287306</v>
      </c>
      <c r="AK1118">
        <v>23.4471739386187</v>
      </c>
      <c r="AL1118">
        <v>85.762040682287306</v>
      </c>
      <c r="AM1118">
        <v>82.851874967109396</v>
      </c>
      <c r="AN1118">
        <v>1.00000004218214</v>
      </c>
    </row>
    <row r="1119" spans="1:40" x14ac:dyDescent="0.25">
      <c r="A1119" t="str">
        <f>"20190312151006828"</f>
        <v>20190312151006828</v>
      </c>
      <c r="B1119" t="str">
        <f>"1552374606822212"</f>
        <v>1552374606822212</v>
      </c>
      <c r="C1119" t="s">
        <v>40</v>
      </c>
      <c r="D1119">
        <v>5.4191669999999998</v>
      </c>
      <c r="E1119">
        <v>0.52635549999999998</v>
      </c>
      <c r="F1119" t="s">
        <v>42</v>
      </c>
      <c r="G1119">
        <v>-220.03200000000001</v>
      </c>
      <c r="H1119" s="1">
        <v>-5.4723500000000002E-6</v>
      </c>
      <c r="I1119">
        <v>362.77350000000001</v>
      </c>
      <c r="J1119">
        <v>-242.75149999999999</v>
      </c>
      <c r="K1119">
        <v>1.1094949999999999</v>
      </c>
      <c r="L1119">
        <v>367.5308</v>
      </c>
      <c r="M1119">
        <v>0.99985740000000001</v>
      </c>
      <c r="N1119">
        <v>0</v>
      </c>
      <c r="O1119">
        <v>-1.0011610000000001E-2</v>
      </c>
      <c r="P1119">
        <v>0.98912730000000004</v>
      </c>
      <c r="Q1119">
        <v>6.0423690000000002E-2</v>
      </c>
      <c r="R1119">
        <v>-0.13407629999999901</v>
      </c>
      <c r="S1119">
        <v>2.9588320000000001</v>
      </c>
      <c r="T1119">
        <v>-0.1429685</v>
      </c>
      <c r="U1119">
        <v>-0.61340329999999998</v>
      </c>
      <c r="V1119">
        <v>0.1243124</v>
      </c>
      <c r="W1119">
        <v>7.3652579999999995E-2</v>
      </c>
      <c r="X1119">
        <v>0.98950579999999999</v>
      </c>
      <c r="Y1119">
        <v>0.1929775</v>
      </c>
      <c r="Z1119">
        <v>-4.132302E-3</v>
      </c>
      <c r="AA1119">
        <v>0.98119449999999997</v>
      </c>
      <c r="AB1119">
        <v>32</v>
      </c>
      <c r="AC1119">
        <v>22.719499999999901</v>
      </c>
      <c r="AD1119">
        <v>-1.1095004723499999</v>
      </c>
      <c r="AE1119">
        <v>-4.7572999999999803</v>
      </c>
      <c r="AF1119">
        <v>4.5192567638686398</v>
      </c>
      <c r="AG1119">
        <v>-1.1095004723499999</v>
      </c>
      <c r="AH1119">
        <v>22.714099823715198</v>
      </c>
      <c r="AI1119">
        <v>92.742789231503295</v>
      </c>
      <c r="AJ1119">
        <v>78.747230465469897</v>
      </c>
      <c r="AK1119">
        <v>23.1858794053108</v>
      </c>
      <c r="AL1119">
        <v>85.776193321550494</v>
      </c>
      <c r="AM1119">
        <v>82.839400573805904</v>
      </c>
      <c r="AN1119">
        <v>1.00000000178402</v>
      </c>
    </row>
    <row r="1120" spans="1:40" x14ac:dyDescent="0.25">
      <c r="A1120" t="str">
        <f>"20190312151006850"</f>
        <v>20190312151006850</v>
      </c>
      <c r="B1120" t="str">
        <f>"1552374606841729"</f>
        <v>1552374606841729</v>
      </c>
      <c r="C1120" t="s">
        <v>40</v>
      </c>
      <c r="D1120">
        <v>5.4314999999999998</v>
      </c>
      <c r="E1120">
        <v>0.52636769999999999</v>
      </c>
      <c r="F1120" t="s">
        <v>42</v>
      </c>
      <c r="G1120">
        <v>-220.20849999999999</v>
      </c>
      <c r="H1120" s="1">
        <v>-5.3840779999999996E-6</v>
      </c>
      <c r="I1120">
        <v>362.84440000000001</v>
      </c>
      <c r="J1120">
        <v>-242.43520000000001</v>
      </c>
      <c r="K1120">
        <v>1.1094999999999999</v>
      </c>
      <c r="L1120">
        <v>367.52670000000001</v>
      </c>
      <c r="M1120">
        <v>0.99984790000000001</v>
      </c>
      <c r="N1120">
        <v>0</v>
      </c>
      <c r="O1120">
        <v>-1.091077E-2</v>
      </c>
      <c r="P1120">
        <v>0.98893509999999996</v>
      </c>
      <c r="Q1120">
        <v>6.051985E-2</v>
      </c>
      <c r="R1120">
        <v>-0.13544410000000001</v>
      </c>
      <c r="S1120">
        <v>2.9584809999999999</v>
      </c>
      <c r="T1120">
        <v>-0.14560709999999999</v>
      </c>
      <c r="U1120">
        <v>-0.61502080000000003</v>
      </c>
      <c r="V1120">
        <v>0.12479079999999999</v>
      </c>
      <c r="W1120">
        <v>7.3745790000000006E-2</v>
      </c>
      <c r="X1120">
        <v>0.9894387</v>
      </c>
      <c r="Y1120">
        <v>0.1926264</v>
      </c>
      <c r="Z1120">
        <v>-4.1564530000000001E-3</v>
      </c>
      <c r="AA1120">
        <v>0.98126340000000001</v>
      </c>
      <c r="AB1120">
        <v>32</v>
      </c>
      <c r="AC1120">
        <v>22.226700000000001</v>
      </c>
      <c r="AD1120">
        <v>-1.109505384078</v>
      </c>
      <c r="AE1120">
        <v>-4.6822999999999899</v>
      </c>
      <c r="AF1120">
        <v>4.4289214391150802</v>
      </c>
      <c r="AG1120">
        <v>-1.109505384078</v>
      </c>
      <c r="AH1120">
        <v>22.2234461739511</v>
      </c>
      <c r="AI1120">
        <v>92.803086163856605</v>
      </c>
      <c r="AJ1120">
        <v>78.729161342007302</v>
      </c>
      <c r="AK1120">
        <v>22.687615722187498</v>
      </c>
      <c r="AL1120">
        <v>85.770838478977097</v>
      </c>
      <c r="AM1120">
        <v>82.811649264714902</v>
      </c>
      <c r="AN1120">
        <v>1.0000000631825201</v>
      </c>
    </row>
    <row r="1121" spans="1:40" x14ac:dyDescent="0.25">
      <c r="A1121" t="str">
        <f>"20190312151006872"</f>
        <v>20190312151006872</v>
      </c>
      <c r="B1121" t="str">
        <f>"1552374606862225"</f>
        <v>1552374606862225</v>
      </c>
      <c r="C1121" t="s">
        <v>40</v>
      </c>
      <c r="D1121">
        <v>5.3753659999999996</v>
      </c>
      <c r="E1121">
        <v>0.52630350000000004</v>
      </c>
      <c r="F1121" t="s">
        <v>42</v>
      </c>
      <c r="G1121">
        <v>-220.21440000000001</v>
      </c>
      <c r="H1121" s="1">
        <v>-5.3764930000000001E-6</v>
      </c>
      <c r="I1121">
        <v>362.87290000000002</v>
      </c>
      <c r="J1121">
        <v>-242.11779999999999</v>
      </c>
      <c r="K1121">
        <v>1.109502</v>
      </c>
      <c r="L1121">
        <v>367.5222</v>
      </c>
      <c r="M1121">
        <v>0.99983770000000005</v>
      </c>
      <c r="N1121">
        <v>0</v>
      </c>
      <c r="O1121">
        <v>-1.180405E-2</v>
      </c>
      <c r="P1121">
        <v>0.98868009999999995</v>
      </c>
      <c r="Q1121">
        <v>6.0394200000000002E-2</v>
      </c>
      <c r="R1121">
        <v>-0.1373471</v>
      </c>
      <c r="S1121">
        <v>2.9577640000000001</v>
      </c>
      <c r="T1121">
        <v>-0.1476835</v>
      </c>
      <c r="U1121">
        <v>-0.61944580000000005</v>
      </c>
      <c r="V1121">
        <v>0.12581030000000001</v>
      </c>
      <c r="W1121">
        <v>7.3615970000000003E-2</v>
      </c>
      <c r="X1121">
        <v>0.98931919999999995</v>
      </c>
      <c r="Y1121">
        <v>0.19319819999999999</v>
      </c>
      <c r="Z1121">
        <v>-4.1860600000000001E-3</v>
      </c>
      <c r="AA1121">
        <v>0.98115079999999999</v>
      </c>
      <c r="AB1121">
        <v>32</v>
      </c>
      <c r="AC1121">
        <v>21.903399999999898</v>
      </c>
      <c r="AD1121">
        <v>-1.1095073764929999</v>
      </c>
      <c r="AE1121">
        <v>-4.6492999999999798</v>
      </c>
      <c r="AF1121">
        <v>4.3796500567418697</v>
      </c>
      <c r="AG1121">
        <v>-1.1095073764929999</v>
      </c>
      <c r="AH1121">
        <v>21.9029818045579</v>
      </c>
      <c r="AI1121">
        <v>92.843673432896594</v>
      </c>
      <c r="AJ1121">
        <v>78.692447764134499</v>
      </c>
      <c r="AK1121">
        <v>22.3640996503058</v>
      </c>
      <c r="AL1121">
        <v>85.778296669078799</v>
      </c>
      <c r="AM1121">
        <v>82.752678561236905</v>
      </c>
      <c r="AN1121">
        <v>1.0000000110568801</v>
      </c>
    </row>
    <row r="1122" spans="1:40" x14ac:dyDescent="0.25">
      <c r="A1122" t="str">
        <f>"20190312151006895"</f>
        <v>20190312151006895</v>
      </c>
      <c r="B1122" t="str">
        <f>"1552374606891505"</f>
        <v>1552374606891505</v>
      </c>
      <c r="C1122" t="s">
        <v>40</v>
      </c>
      <c r="D1122">
        <v>5.3639000000000001</v>
      </c>
      <c r="E1122">
        <v>0.5263814</v>
      </c>
      <c r="F1122" t="s">
        <v>42</v>
      </c>
      <c r="G1122">
        <v>-220.5129</v>
      </c>
      <c r="H1122" s="1">
        <v>-5.2337800000000001E-6</v>
      </c>
      <c r="I1122">
        <v>362.9554</v>
      </c>
      <c r="J1122">
        <v>-241.79409999999999</v>
      </c>
      <c r="K1122">
        <v>1.109513</v>
      </c>
      <c r="L1122">
        <v>367.51749999999998</v>
      </c>
      <c r="M1122">
        <v>0.99982689999999996</v>
      </c>
      <c r="N1122">
        <v>0</v>
      </c>
      <c r="O1122">
        <v>-1.270334E-2</v>
      </c>
      <c r="P1122">
        <v>0.98849310000000001</v>
      </c>
      <c r="Q1122">
        <v>6.0265899999999997E-2</v>
      </c>
      <c r="R1122">
        <v>-0.13874239999999999</v>
      </c>
      <c r="S1122">
        <v>2.9568020000000002</v>
      </c>
      <c r="T1122">
        <v>-0.15184449999999999</v>
      </c>
      <c r="U1122">
        <v>-0.625</v>
      </c>
      <c r="V1122">
        <v>0.12631510000000001</v>
      </c>
      <c r="W1122">
        <v>7.3486599999999999E-2</v>
      </c>
      <c r="X1122">
        <v>0.98926449999999999</v>
      </c>
      <c r="Y1122">
        <v>0.1941321</v>
      </c>
      <c r="Z1122">
        <v>-4.2824839999999996E-3</v>
      </c>
      <c r="AA1122">
        <v>0.980966</v>
      </c>
      <c r="AB1122">
        <v>32</v>
      </c>
      <c r="AC1122">
        <v>21.281199999999899</v>
      </c>
      <c r="AD1122">
        <v>-1.10951823377999</v>
      </c>
      <c r="AE1122">
        <v>-4.5620999999999796</v>
      </c>
      <c r="AF1122">
        <v>4.2802412611174701</v>
      </c>
      <c r="AG1122">
        <v>-1.10951823377999</v>
      </c>
      <c r="AH1122">
        <v>21.282134935840801</v>
      </c>
      <c r="AI1122">
        <v>92.925861609914605</v>
      </c>
      <c r="AJ1122">
        <v>78.628433883707601</v>
      </c>
      <c r="AK1122">
        <v>21.7366226307538</v>
      </c>
      <c r="AL1122">
        <v>85.785729184311094</v>
      </c>
      <c r="AM1122">
        <v>82.723512489213206</v>
      </c>
      <c r="AN1122">
        <v>1.0000000179139099</v>
      </c>
    </row>
    <row r="1123" spans="1:40" x14ac:dyDescent="0.25">
      <c r="A1123" t="str">
        <f>"20190312151006917"</f>
        <v>20190312151006917</v>
      </c>
      <c r="B1123" t="str">
        <f>"1552374606912004"</f>
        <v>1552374606912004</v>
      </c>
      <c r="C1123" t="s">
        <v>40</v>
      </c>
      <c r="D1123">
        <v>5.5944919999999998</v>
      </c>
      <c r="E1123">
        <v>0.52637460000000003</v>
      </c>
      <c r="F1123" t="s">
        <v>42</v>
      </c>
      <c r="G1123">
        <v>-220.77459999999999</v>
      </c>
      <c r="H1123" s="1">
        <v>-5.1069150000000004E-6</v>
      </c>
      <c r="I1123">
        <v>363.0378</v>
      </c>
      <c r="J1123">
        <v>-241.47569999999999</v>
      </c>
      <c r="K1123">
        <v>1.109531</v>
      </c>
      <c r="L1123">
        <v>367.51249999999999</v>
      </c>
      <c r="M1123">
        <v>0.99981540000000002</v>
      </c>
      <c r="N1123">
        <v>0</v>
      </c>
      <c r="O1123">
        <v>-1.3568810000000001E-2</v>
      </c>
      <c r="P1123">
        <v>0.98836619999999997</v>
      </c>
      <c r="Q1123">
        <v>5.9806150000000002E-2</v>
      </c>
      <c r="R1123">
        <v>-0.1398411</v>
      </c>
      <c r="S1123">
        <v>2.9560089999999999</v>
      </c>
      <c r="T1123">
        <v>-0.15603300000000001</v>
      </c>
      <c r="U1123">
        <v>-0.62997440000000005</v>
      </c>
      <c r="V1123">
        <v>0.12655459999999999</v>
      </c>
      <c r="W1123">
        <v>7.3028170000000003E-2</v>
      </c>
      <c r="X1123">
        <v>0.98926780000000003</v>
      </c>
      <c r="Y1123">
        <v>0.1949032</v>
      </c>
      <c r="Z1123">
        <v>-4.3758490000000002E-3</v>
      </c>
      <c r="AA1123">
        <v>0.98081269999999998</v>
      </c>
      <c r="AB1123">
        <v>32</v>
      </c>
      <c r="AC1123">
        <v>20.7011</v>
      </c>
      <c r="AD1123">
        <v>-1.109536106915</v>
      </c>
      <c r="AE1123">
        <v>-4.4746999999999799</v>
      </c>
      <c r="AF1123">
        <v>4.1818954671874797</v>
      </c>
      <c r="AG1123">
        <v>-1.109536106915</v>
      </c>
      <c r="AH1123">
        <v>20.7030961434114</v>
      </c>
      <c r="AI1123">
        <v>93.007085742148504</v>
      </c>
      <c r="AJ1123">
        <v>78.580271380083005</v>
      </c>
      <c r="AK1123">
        <v>21.150354843225902</v>
      </c>
      <c r="AL1123">
        <v>85.812065895661803</v>
      </c>
      <c r="AM1123">
        <v>82.709888231934301</v>
      </c>
      <c r="AN1123">
        <v>0.99999998025577397</v>
      </c>
    </row>
    <row r="1124" spans="1:40" x14ac:dyDescent="0.25">
      <c r="A1124" t="str">
        <f>"20190312151006941"</f>
        <v>20190312151006941</v>
      </c>
      <c r="B1124" t="str">
        <f>"1552374606931521"</f>
        <v>1552374606931521</v>
      </c>
      <c r="C1124" t="s">
        <v>40</v>
      </c>
      <c r="D1124">
        <v>5.4487870000000003</v>
      </c>
      <c r="E1124">
        <v>0.52624859999999996</v>
      </c>
      <c r="F1124" t="s">
        <v>42</v>
      </c>
      <c r="G1124">
        <v>-220.7397</v>
      </c>
      <c r="H1124" s="1">
        <v>-5.1157239999999998E-6</v>
      </c>
      <c r="I1124">
        <v>363.07260000000002</v>
      </c>
      <c r="J1124">
        <v>-241.14840000000001</v>
      </c>
      <c r="K1124">
        <v>1.109553</v>
      </c>
      <c r="L1124">
        <v>367.50700000000001</v>
      </c>
      <c r="M1124">
        <v>0.99980349999999996</v>
      </c>
      <c r="N1124">
        <v>0</v>
      </c>
      <c r="O1124">
        <v>-1.442999E-2</v>
      </c>
      <c r="P1124">
        <v>0.98819299999999999</v>
      </c>
      <c r="Q1124">
        <v>6.0300720000000002E-2</v>
      </c>
      <c r="R1124">
        <v>-0.14084859999999999</v>
      </c>
      <c r="S1124">
        <v>2.9553219999999998</v>
      </c>
      <c r="T1124">
        <v>-0.1581321</v>
      </c>
      <c r="U1124">
        <v>-0.63278199999999996</v>
      </c>
      <c r="V1124">
        <v>0.12670880000000001</v>
      </c>
      <c r="W1124">
        <v>7.3525129999999994E-2</v>
      </c>
      <c r="X1124">
        <v>0.98921130000000002</v>
      </c>
      <c r="Y1124">
        <v>0.19499040000000001</v>
      </c>
      <c r="Z1124">
        <v>-4.3920139999999996E-3</v>
      </c>
      <c r="AA1124">
        <v>0.98079530000000004</v>
      </c>
      <c r="AB1124">
        <v>32</v>
      </c>
      <c r="AC1124">
        <v>20.4087</v>
      </c>
      <c r="AD1124">
        <v>-1.109558115724</v>
      </c>
      <c r="AE1124">
        <v>-4.4343999999999202</v>
      </c>
      <c r="AF1124">
        <v>4.1277630216506198</v>
      </c>
      <c r="AG1124">
        <v>-1.109558115724</v>
      </c>
      <c r="AH1124">
        <v>20.412953203950799</v>
      </c>
      <c r="AI1124">
        <v>93.049678156792595</v>
      </c>
      <c r="AJ1124">
        <v>78.568204769038601</v>
      </c>
      <c r="AK1124">
        <v>20.8556516388666</v>
      </c>
      <c r="AL1124">
        <v>85.7835156424308</v>
      </c>
      <c r="AM1124">
        <v>82.700688962111997</v>
      </c>
      <c r="AN1124">
        <v>1.0000000303933201</v>
      </c>
    </row>
    <row r="1125" spans="1:40" x14ac:dyDescent="0.25">
      <c r="A1125" t="str">
        <f>"20190312151006962"</f>
        <v>20190312151006962</v>
      </c>
      <c r="B1125" t="str">
        <f>"1552374606952016"</f>
        <v>1552374606952016</v>
      </c>
      <c r="C1125" t="s">
        <v>40</v>
      </c>
      <c r="D1125">
        <v>5.4500900000000003</v>
      </c>
      <c r="E1125">
        <v>0.52610699999999999</v>
      </c>
      <c r="F1125" t="s">
        <v>42</v>
      </c>
      <c r="G1125">
        <v>-220.0369</v>
      </c>
      <c r="H1125" s="1">
        <v>-5.4353890000000004E-6</v>
      </c>
      <c r="I1125">
        <v>362.97</v>
      </c>
      <c r="J1125">
        <v>-240.83240000000001</v>
      </c>
      <c r="K1125">
        <v>1.109577</v>
      </c>
      <c r="L1125">
        <v>367.5016</v>
      </c>
      <c r="M1125">
        <v>0.9997916</v>
      </c>
      <c r="N1125">
        <v>0</v>
      </c>
      <c r="O1125">
        <v>-1.5230209999999999E-2</v>
      </c>
      <c r="P1125">
        <v>0.98807809999999996</v>
      </c>
      <c r="Q1125">
        <v>6.0121439999999998E-2</v>
      </c>
      <c r="R1125">
        <v>-0.14172960000000001</v>
      </c>
      <c r="S1125">
        <v>2.954834</v>
      </c>
      <c r="T1125">
        <v>-0.15529699999999999</v>
      </c>
      <c r="U1125">
        <v>-0.63500979999999996</v>
      </c>
      <c r="V1125">
        <v>0.12679399999999999</v>
      </c>
      <c r="W1125">
        <v>7.3351089999999994E-2</v>
      </c>
      <c r="X1125">
        <v>0.98921329999999996</v>
      </c>
      <c r="Y1125">
        <v>0.1949554</v>
      </c>
      <c r="Z1125">
        <v>-4.2713079999999997E-3</v>
      </c>
      <c r="AA1125">
        <v>0.98080279999999997</v>
      </c>
      <c r="AB1125">
        <v>32</v>
      </c>
      <c r="AC1125">
        <v>20.795500000000001</v>
      </c>
      <c r="AD1125">
        <v>-1.109582435389</v>
      </c>
      <c r="AE1125">
        <v>-4.5315999999999601</v>
      </c>
      <c r="AF1125">
        <v>4.2029021630733299</v>
      </c>
      <c r="AG1125">
        <v>-1.109582435389</v>
      </c>
      <c r="AH1125">
        <v>20.805563875771501</v>
      </c>
      <c r="AI1125">
        <v>92.992418888417404</v>
      </c>
      <c r="AJ1125">
        <v>78.5794541739008</v>
      </c>
      <c r="AK1125">
        <v>21.254812348315301</v>
      </c>
      <c r="AL1125">
        <v>85.793514383628903</v>
      </c>
      <c r="AM1125">
        <v>82.695848442133894</v>
      </c>
      <c r="AN1125">
        <v>1.0000000268685301</v>
      </c>
    </row>
    <row r="1126" spans="1:40" x14ac:dyDescent="0.25">
      <c r="A1126" t="str">
        <f>"20190312151006985"</f>
        <v>20190312151006985</v>
      </c>
      <c r="B1126" t="str">
        <f>"1552374606982274"</f>
        <v>1552374606982274</v>
      </c>
      <c r="C1126" t="s">
        <v>40</v>
      </c>
      <c r="D1126">
        <v>5.4602380000000004</v>
      </c>
      <c r="E1126">
        <v>0.52616289999999999</v>
      </c>
      <c r="F1126" t="s">
        <v>42</v>
      </c>
      <c r="G1126">
        <v>-219.64449999999999</v>
      </c>
      <c r="H1126" s="1">
        <v>-1.8844919999999999E-6</v>
      </c>
      <c r="I1126">
        <v>362.93619999999999</v>
      </c>
      <c r="J1126">
        <v>-240.5164</v>
      </c>
      <c r="K1126">
        <v>1.1096010000000001</v>
      </c>
      <c r="L1126">
        <v>367.49590000000001</v>
      </c>
      <c r="M1126">
        <v>0.99977959999999999</v>
      </c>
      <c r="N1126">
        <v>0</v>
      </c>
      <c r="O1126">
        <v>-1.6003119999999999E-2</v>
      </c>
      <c r="P1126">
        <v>0.98798520000000001</v>
      </c>
      <c r="Q1126">
        <v>6.0055099999999903E-2</v>
      </c>
      <c r="R1126">
        <v>-0.14240369999999999</v>
      </c>
      <c r="S1126">
        <v>2.9542999999999999</v>
      </c>
      <c r="T1126">
        <v>-0.15471170000000001</v>
      </c>
      <c r="U1126">
        <v>-0.63656619999999997</v>
      </c>
      <c r="V1126">
        <v>0.1266999</v>
      </c>
      <c r="W1126">
        <v>7.3290209999999995E-2</v>
      </c>
      <c r="X1126">
        <v>0.9892299</v>
      </c>
      <c r="Y1126">
        <v>0.1947305</v>
      </c>
      <c r="Z1126">
        <v>-4.209974E-3</v>
      </c>
      <c r="AA1126">
        <v>0.98084780000000005</v>
      </c>
      <c r="AB1126">
        <v>32</v>
      </c>
      <c r="AC1126">
        <v>20.8719</v>
      </c>
      <c r="AD1126">
        <v>-1.1096028844920001</v>
      </c>
      <c r="AE1126">
        <v>-4.5597000000000198</v>
      </c>
      <c r="AF1126">
        <v>4.2137030982874704</v>
      </c>
      <c r="AG1126">
        <v>-1.1096028844920001</v>
      </c>
      <c r="AH1126">
        <v>20.885862940040901</v>
      </c>
      <c r="AI1126">
        <v>92.981139472220704</v>
      </c>
      <c r="AJ1126">
        <v>78.593740944995204</v>
      </c>
      <c r="AK1126">
        <v>21.335552092973</v>
      </c>
      <c r="AL1126">
        <v>85.797012092739294</v>
      </c>
      <c r="AM1126">
        <v>82.701331891295794</v>
      </c>
      <c r="AN1126">
        <v>1.00000005729793</v>
      </c>
    </row>
    <row r="1127" spans="1:40" x14ac:dyDescent="0.25">
      <c r="A1127" t="str">
        <f>"20190312151007006"</f>
        <v>20190312151007006</v>
      </c>
      <c r="B1127" t="str">
        <f>"1552374607001793"</f>
        <v>1552374607001793</v>
      </c>
      <c r="C1127" t="s">
        <v>40</v>
      </c>
      <c r="D1127">
        <v>5.469284</v>
      </c>
      <c r="E1127">
        <v>0.52813559999999904</v>
      </c>
      <c r="F1127" t="s">
        <v>42</v>
      </c>
      <c r="G1127">
        <v>-219.6635</v>
      </c>
      <c r="H1127" s="1">
        <v>-1.8648060000000001E-6</v>
      </c>
      <c r="I1127">
        <v>362.98579999999998</v>
      </c>
      <c r="J1127">
        <v>-240.20570000000001</v>
      </c>
      <c r="K1127">
        <v>1.109629</v>
      </c>
      <c r="L1127">
        <v>367.49020000000002</v>
      </c>
      <c r="M1127">
        <v>0.99976770000000004</v>
      </c>
      <c r="N1127">
        <v>0</v>
      </c>
      <c r="O1127">
        <v>-1.6732150000000001E-2</v>
      </c>
      <c r="P1127">
        <v>0.98796600000000001</v>
      </c>
      <c r="Q1127">
        <v>5.9744029999999997E-2</v>
      </c>
      <c r="R1127">
        <v>-0.14266799999999999</v>
      </c>
      <c r="S1127">
        <v>2.9539490000000002</v>
      </c>
      <c r="T1127">
        <v>-0.15718199999999999</v>
      </c>
      <c r="U1127">
        <v>-0.6388855</v>
      </c>
      <c r="V1127">
        <v>0.12623719999999999</v>
      </c>
      <c r="W1127">
        <v>7.2985369999999994E-2</v>
      </c>
      <c r="X1127">
        <v>0.98931150000000001</v>
      </c>
      <c r="Y1127">
        <v>0.19476859999999999</v>
      </c>
      <c r="Z1127">
        <v>-4.2399619999999999E-3</v>
      </c>
      <c r="AA1127">
        <v>0.98084009999999999</v>
      </c>
      <c r="AB1127">
        <v>32</v>
      </c>
      <c r="AC1127">
        <v>20.542200000000001</v>
      </c>
      <c r="AD1127">
        <v>-1.109630864806</v>
      </c>
      <c r="AE1127">
        <v>-4.5044000000000297</v>
      </c>
      <c r="AF1127">
        <v>4.1484730883707499</v>
      </c>
      <c r="AG1127">
        <v>-1.109630864806</v>
      </c>
      <c r="AH1127">
        <v>20.5574671472307</v>
      </c>
      <c r="AI1127">
        <v>93.028720843656004</v>
      </c>
      <c r="AJ1127">
        <v>78.590999856503899</v>
      </c>
      <c r="AK1127">
        <v>21.001203897170701</v>
      </c>
      <c r="AL1127">
        <v>85.814524671327405</v>
      </c>
      <c r="AM1127">
        <v>82.728293712885105</v>
      </c>
      <c r="AN1127">
        <v>0.99999996946506298</v>
      </c>
    </row>
    <row r="1128" spans="1:40" x14ac:dyDescent="0.25">
      <c r="A1128" t="str">
        <f>"20190312151007029"</f>
        <v>20190312151007029</v>
      </c>
      <c r="B1128" t="str">
        <f>"1552374607022290"</f>
        <v>1552374607022290</v>
      </c>
      <c r="C1128" t="s">
        <v>40</v>
      </c>
      <c r="D1128">
        <v>5.4872829999999997</v>
      </c>
      <c r="E1128">
        <v>0.52709490000000003</v>
      </c>
      <c r="F1128" t="s">
        <v>42</v>
      </c>
      <c r="G1128">
        <v>-228.607</v>
      </c>
      <c r="H1128" s="1">
        <v>-1.7116240000000001E-6</v>
      </c>
      <c r="I1128">
        <v>364.9128</v>
      </c>
      <c r="J1128">
        <v>-239.8817</v>
      </c>
      <c r="K1128">
        <v>1.109658</v>
      </c>
      <c r="L1128">
        <v>367.48399999999998</v>
      </c>
      <c r="M1128">
        <v>0.99975539999999996</v>
      </c>
      <c r="N1128">
        <v>0</v>
      </c>
      <c r="O1128">
        <v>-1.7453960000000001E-2</v>
      </c>
      <c r="P1128">
        <v>0.98788889999999996</v>
      </c>
      <c r="Q1128">
        <v>5.9789509999999997E-2</v>
      </c>
      <c r="R1128">
        <v>-0.14318220000000001</v>
      </c>
      <c r="S1128">
        <v>2.9587249999999998</v>
      </c>
      <c r="T1128">
        <v>-0.28305639999999999</v>
      </c>
      <c r="U1128">
        <v>-0.65747069999999996</v>
      </c>
      <c r="V1128">
        <v>0.12603259999999999</v>
      </c>
      <c r="W1128">
        <v>7.3037690000000002E-2</v>
      </c>
      <c r="X1128">
        <v>0.98933369999999998</v>
      </c>
      <c r="Y1128">
        <v>0.1990606</v>
      </c>
      <c r="Z1128">
        <v>-7.7411499999999996E-3</v>
      </c>
      <c r="AA1128">
        <v>0.97995659999999896</v>
      </c>
      <c r="AB1128">
        <v>32</v>
      </c>
      <c r="AC1128">
        <v>11.2746999999999</v>
      </c>
      <c r="AD1128">
        <v>-1.1096597116239999</v>
      </c>
      <c r="AE1128">
        <v>-2.5712000000000299</v>
      </c>
      <c r="AF1128">
        <v>2.3523422777811498</v>
      </c>
      <c r="AG1128">
        <v>-1.1096597116239999</v>
      </c>
      <c r="AH1128">
        <v>11.2146032789787</v>
      </c>
      <c r="AI1128">
        <v>95.531291827309104</v>
      </c>
      <c r="AJ1128">
        <v>78.153552729358296</v>
      </c>
      <c r="AK1128">
        <v>11.5122624002547</v>
      </c>
      <c r="AL1128">
        <v>85.811518832169497</v>
      </c>
      <c r="AM1128">
        <v>82.740114715708501</v>
      </c>
      <c r="AN1128">
        <v>0.99999994518949098</v>
      </c>
    </row>
    <row r="1129" spans="1:40" x14ac:dyDescent="0.25">
      <c r="A1129" t="str">
        <f>"20190312151007051"</f>
        <v>20190312151007051</v>
      </c>
      <c r="B1129" t="str">
        <f>"1552374607041813"</f>
        <v>1552374607041813</v>
      </c>
      <c r="C1129" t="s">
        <v>40</v>
      </c>
      <c r="D1129">
        <v>5.4123289999999997</v>
      </c>
      <c r="E1129">
        <v>0.52418180000000003</v>
      </c>
      <c r="F1129" t="s">
        <v>42</v>
      </c>
      <c r="G1129">
        <v>-228.0573</v>
      </c>
      <c r="H1129" s="1">
        <v>-1.906129E-6</v>
      </c>
      <c r="I1129">
        <v>364.88479999999998</v>
      </c>
      <c r="J1129">
        <v>-239.56389999999999</v>
      </c>
      <c r="K1129">
        <v>1.1096889999999999</v>
      </c>
      <c r="L1129">
        <v>367.47770000000003</v>
      </c>
      <c r="M1129">
        <v>0.99974359999999995</v>
      </c>
      <c r="N1129">
        <v>0</v>
      </c>
      <c r="O1129">
        <v>-1.8119699999999999E-2</v>
      </c>
      <c r="P1129">
        <v>0.9878226</v>
      </c>
      <c r="Q1129">
        <v>5.9996609999999999E-2</v>
      </c>
      <c r="R1129">
        <v>-0.14355219999999999</v>
      </c>
      <c r="S1129">
        <v>2.9593050000000001</v>
      </c>
      <c r="T1129">
        <v>-0.27771400000000002</v>
      </c>
      <c r="U1129">
        <v>-0.65048219999999901</v>
      </c>
      <c r="V1129">
        <v>0.12573879999999901</v>
      </c>
      <c r="W1129">
        <v>7.3252159999999997E-2</v>
      </c>
      <c r="X1129">
        <v>0.98935530000000005</v>
      </c>
      <c r="Y1129">
        <v>0.19620409999999999</v>
      </c>
      <c r="Z1129">
        <v>-7.4023969999999998E-3</v>
      </c>
      <c r="AA1129">
        <v>0.98053509999999999</v>
      </c>
      <c r="AB1129">
        <v>32</v>
      </c>
      <c r="AC1129">
        <v>11.506599999999899</v>
      </c>
      <c r="AD1129">
        <v>-1.1096909061289999</v>
      </c>
      <c r="AE1129">
        <v>-2.5929000000000402</v>
      </c>
      <c r="AF1129">
        <v>2.3630432498663398</v>
      </c>
      <c r="AG1129">
        <v>-1.1096909061289999</v>
      </c>
      <c r="AH1129">
        <v>11.4503488734012</v>
      </c>
      <c r="AI1129">
        <v>95.4218830460525</v>
      </c>
      <c r="AJ1129">
        <v>78.339397825901202</v>
      </c>
      <c r="AK1129">
        <v>11.744184800593199</v>
      </c>
      <c r="AL1129">
        <v>85.799197904091599</v>
      </c>
      <c r="AM1129">
        <v>82.757015062078906</v>
      </c>
      <c r="AN1129">
        <v>1.0000000172040899</v>
      </c>
    </row>
    <row r="1130" spans="1:40" x14ac:dyDescent="0.25">
      <c r="A1130" t="str">
        <f>"20190312151007073"</f>
        <v>20190312151007073</v>
      </c>
      <c r="B1130" t="str">
        <f>"1552374607061336"</f>
        <v>1552374607061336</v>
      </c>
      <c r="C1130" t="s">
        <v>40</v>
      </c>
      <c r="D1130">
        <v>5.4397219999999997</v>
      </c>
      <c r="E1130">
        <v>0.52251419999999904</v>
      </c>
      <c r="F1130" t="s">
        <v>42</v>
      </c>
      <c r="G1130">
        <v>-225.8184</v>
      </c>
      <c r="H1130" s="1">
        <v>-2.7536159999999998E-6</v>
      </c>
      <c r="I1130">
        <v>364.56319999999999</v>
      </c>
      <c r="J1130">
        <v>-239.25739999999999</v>
      </c>
      <c r="K1130">
        <v>1.1097220000000001</v>
      </c>
      <c r="L1130">
        <v>367.47149999999999</v>
      </c>
      <c r="M1130">
        <v>0.99973259999999997</v>
      </c>
      <c r="N1130">
        <v>0</v>
      </c>
      <c r="O1130">
        <v>-1.8721270000000002E-2</v>
      </c>
      <c r="P1130">
        <v>0.98777380000000004</v>
      </c>
      <c r="Q1130">
        <v>6.0067629999999997E-2</v>
      </c>
      <c r="R1130">
        <v>-0.1438594</v>
      </c>
      <c r="S1130">
        <v>2.9602970000000002</v>
      </c>
      <c r="T1130">
        <v>-0.23898639999999999</v>
      </c>
      <c r="U1130">
        <v>-0.62765499999999996</v>
      </c>
      <c r="V1130">
        <v>0.1254448</v>
      </c>
      <c r="W1130">
        <v>7.3332060000000004E-2</v>
      </c>
      <c r="X1130">
        <v>0.98938669999999995</v>
      </c>
      <c r="Y1130">
        <v>0.18853320000000001</v>
      </c>
      <c r="Z1130">
        <v>-6.02295E-3</v>
      </c>
      <c r="AA1130">
        <v>0.98204829999999999</v>
      </c>
      <c r="AB1130">
        <v>32</v>
      </c>
      <c r="AC1130">
        <v>13.438999999999901</v>
      </c>
      <c r="AD1130">
        <v>-1.109724753616</v>
      </c>
      <c r="AE1130">
        <v>-2.9082999999999899</v>
      </c>
      <c r="AF1130">
        <v>2.6389826568229799</v>
      </c>
      <c r="AG1130">
        <v>-1.109724753616</v>
      </c>
      <c r="AH1130">
        <v>13.4037897350946</v>
      </c>
      <c r="AI1130">
        <v>94.644078097149702</v>
      </c>
      <c r="AJ1130">
        <v>78.861874281970501</v>
      </c>
      <c r="AK1130">
        <v>13.706104397472901</v>
      </c>
      <c r="AL1130">
        <v>85.794607618746795</v>
      </c>
      <c r="AM1130">
        <v>82.773998155186703</v>
      </c>
      <c r="AN1130">
        <v>1.00000001550388</v>
      </c>
    </row>
    <row r="1131" spans="1:40" x14ac:dyDescent="0.25">
      <c r="A1131" t="str">
        <f>"20190312151007095"</f>
        <v>20190312151007095</v>
      </c>
      <c r="B1131" t="str">
        <f>"1552374607091589"</f>
        <v>1552374607091589</v>
      </c>
      <c r="C1131" t="s">
        <v>40</v>
      </c>
      <c r="D1131">
        <v>5.4355270000000004</v>
      </c>
      <c r="E1131">
        <v>0.52108880000000002</v>
      </c>
      <c r="F1131" t="s">
        <v>42</v>
      </c>
      <c r="G1131">
        <v>-224.1936</v>
      </c>
      <c r="H1131" s="1">
        <v>-3.4089199999999998E-6</v>
      </c>
      <c r="I1131">
        <v>364.3415</v>
      </c>
      <c r="J1131">
        <v>-238.93709999999999</v>
      </c>
      <c r="K1131">
        <v>1.1097589999999999</v>
      </c>
      <c r="L1131">
        <v>367.46480000000003</v>
      </c>
      <c r="M1131">
        <v>0.99972150000000004</v>
      </c>
      <c r="N1131">
        <v>0</v>
      </c>
      <c r="O1131">
        <v>-1.930403E-2</v>
      </c>
      <c r="P1131">
        <v>0.98763809999999996</v>
      </c>
      <c r="Q1131">
        <v>6.0208890000000001E-2</v>
      </c>
      <c r="R1131">
        <v>-0.14472699999999999</v>
      </c>
      <c r="S1131">
        <v>2.960785</v>
      </c>
      <c r="T1131">
        <v>-0.21811510000000001</v>
      </c>
      <c r="U1131">
        <v>-0.61517330000000003</v>
      </c>
      <c r="V1131">
        <v>0.12573099999999901</v>
      </c>
      <c r="W1131">
        <v>7.3481379999999999E-2</v>
      </c>
      <c r="X1131">
        <v>0.98933930000000003</v>
      </c>
      <c r="Y1131">
        <v>0.18406149999999999</v>
      </c>
      <c r="Z1131">
        <v>-5.2947089999999999E-3</v>
      </c>
      <c r="AA1131">
        <v>0.98290040000000001</v>
      </c>
      <c r="AB1131">
        <v>32</v>
      </c>
      <c r="AC1131">
        <v>14.7434999999999</v>
      </c>
      <c r="AD1131">
        <v>-1.10976240892</v>
      </c>
      <c r="AE1131">
        <v>-3.1233000000000199</v>
      </c>
      <c r="AF1131">
        <v>2.8227764096288501</v>
      </c>
      <c r="AG1131">
        <v>-1.10976240892</v>
      </c>
      <c r="AH1131">
        <v>14.7212252795895</v>
      </c>
      <c r="AI1131">
        <v>94.234248530423699</v>
      </c>
      <c r="AJ1131">
        <v>79.145359570730307</v>
      </c>
      <c r="AK1131">
        <v>15.0304395476458</v>
      </c>
      <c r="AL1131">
        <v>85.7860291049588</v>
      </c>
      <c r="AM1131">
        <v>82.757343712136205</v>
      </c>
      <c r="AN1131">
        <v>1.00000002404609</v>
      </c>
    </row>
    <row r="1132" spans="1:40" x14ac:dyDescent="0.25">
      <c r="A1132" t="str">
        <f>"20190312151007118"</f>
        <v>20190312151007118</v>
      </c>
      <c r="B1132" t="str">
        <f>"1552374607112084"</f>
        <v>1552374607112084</v>
      </c>
      <c r="C1132" t="s">
        <v>40</v>
      </c>
      <c r="D1132">
        <v>5.4619530000000003</v>
      </c>
      <c r="E1132">
        <v>0.52058329999999997</v>
      </c>
      <c r="F1132" t="s">
        <v>42</v>
      </c>
      <c r="G1132">
        <v>-222.41650000000001</v>
      </c>
      <c r="H1132" s="1">
        <v>-4.2174910000000002E-6</v>
      </c>
      <c r="I1132">
        <v>364.08109999999999</v>
      </c>
      <c r="J1132">
        <v>-238.61410000000001</v>
      </c>
      <c r="K1132">
        <v>1.109802</v>
      </c>
      <c r="L1132">
        <v>367.45800000000003</v>
      </c>
      <c r="M1132">
        <v>0.99971109999999996</v>
      </c>
      <c r="N1132">
        <v>0</v>
      </c>
      <c r="O1132">
        <v>-1.9838700000000001E-2</v>
      </c>
      <c r="P1132">
        <v>0.98750400000000005</v>
      </c>
      <c r="Q1132">
        <v>6.0440309999999997E-2</v>
      </c>
      <c r="R1132">
        <v>-0.14554310000000001</v>
      </c>
      <c r="S1132">
        <v>2.9608150000000002</v>
      </c>
      <c r="T1132">
        <v>-0.19889029999999999</v>
      </c>
      <c r="U1132">
        <v>-0.60641480000000003</v>
      </c>
      <c r="V1132">
        <v>0.12601270000000001</v>
      </c>
      <c r="W1132">
        <v>7.3722019999999999E-2</v>
      </c>
      <c r="X1132">
        <v>0.98928550000000004</v>
      </c>
      <c r="Y1132">
        <v>0.18082380000000001</v>
      </c>
      <c r="Z1132">
        <v>-4.6874789999999996E-3</v>
      </c>
      <c r="AA1132">
        <v>0.98350439999999995</v>
      </c>
      <c r="AB1132">
        <v>32</v>
      </c>
      <c r="AC1132">
        <v>16.197599999999898</v>
      </c>
      <c r="AD1132">
        <v>-1.1098062174909999</v>
      </c>
      <c r="AE1132">
        <v>-3.3769000000000302</v>
      </c>
      <c r="AF1132">
        <v>3.0411841002203399</v>
      </c>
      <c r="AG1132">
        <v>-1.1098062174909999</v>
      </c>
      <c r="AH1132">
        <v>16.188578801590001</v>
      </c>
      <c r="AI1132">
        <v>93.854551871210802</v>
      </c>
      <c r="AJ1132">
        <v>79.360427974047894</v>
      </c>
      <c r="AK1132">
        <v>16.509105190382201</v>
      </c>
      <c r="AL1132">
        <v>85.772203716521304</v>
      </c>
      <c r="AM1132">
        <v>82.740898904100305</v>
      </c>
      <c r="AN1132">
        <v>0.99999996865220897</v>
      </c>
    </row>
    <row r="1133" spans="1:40" x14ac:dyDescent="0.25">
      <c r="A1133" t="str">
        <f>"20190312151007142"</f>
        <v>20190312151007142</v>
      </c>
      <c r="B1133" t="str">
        <f>"1552374607131604"</f>
        <v>1552374607131604</v>
      </c>
      <c r="C1133" t="s">
        <v>40</v>
      </c>
      <c r="D1133">
        <v>5.6471559999999998</v>
      </c>
      <c r="E1133">
        <v>0.520171099999999</v>
      </c>
      <c r="F1133" t="s">
        <v>42</v>
      </c>
      <c r="G1133">
        <v>-221.46600000000001</v>
      </c>
      <c r="H1133" s="1">
        <v>-4.6475360000000001E-6</v>
      </c>
      <c r="I1133">
        <v>363.95549999999997</v>
      </c>
      <c r="J1133">
        <v>-238.28899999999999</v>
      </c>
      <c r="K1133">
        <v>1.1098460000000001</v>
      </c>
      <c r="L1133">
        <v>367.45100000000002</v>
      </c>
      <c r="M1133">
        <v>0.99970159999999997</v>
      </c>
      <c r="N1133">
        <v>0</v>
      </c>
      <c r="O1133">
        <v>-2.031755E-2</v>
      </c>
      <c r="P1133">
        <v>0.98733530000000003</v>
      </c>
      <c r="Q1133">
        <v>6.050299E-2</v>
      </c>
      <c r="R1133">
        <v>-0.14665919999999999</v>
      </c>
      <c r="S1133">
        <v>2.9605869999999999</v>
      </c>
      <c r="T1133">
        <v>-0.19160430000000001</v>
      </c>
      <c r="U1133">
        <v>-0.60467530000000003</v>
      </c>
      <c r="V1133">
        <v>0.1266495</v>
      </c>
      <c r="W1133">
        <v>7.3793319999999996E-2</v>
      </c>
      <c r="X1133">
        <v>0.98919889999999999</v>
      </c>
      <c r="Y1133">
        <v>0.1798408</v>
      </c>
      <c r="Z1133">
        <v>-4.4546550000000001E-3</v>
      </c>
      <c r="AA1133">
        <v>0.98368560000000005</v>
      </c>
      <c r="AB1133">
        <v>32</v>
      </c>
      <c r="AC1133">
        <v>16.823</v>
      </c>
      <c r="AD1133">
        <v>-1.1098506475359999</v>
      </c>
      <c r="AE1133">
        <v>-3.4954999999999901</v>
      </c>
      <c r="AF1133">
        <v>3.1398446559342199</v>
      </c>
      <c r="AG1133">
        <v>-1.1098506475359999</v>
      </c>
      <c r="AH1133">
        <v>16.8203751481574</v>
      </c>
      <c r="AI1133">
        <v>93.711127147473704</v>
      </c>
      <c r="AJ1133">
        <v>79.426340653547598</v>
      </c>
      <c r="AK1133">
        <v>17.146877647198199</v>
      </c>
      <c r="AL1133">
        <v>85.768107531574501</v>
      </c>
      <c r="AM1133">
        <v>82.703977767163707</v>
      </c>
      <c r="AN1133">
        <v>1.00000000684404</v>
      </c>
    </row>
    <row r="1134" spans="1:40" x14ac:dyDescent="0.25">
      <c r="A1134" t="str">
        <f>"20190312151007163"</f>
        <v>20190312151007163</v>
      </c>
      <c r="B1134" t="str">
        <f>"1552374607152100"</f>
        <v>1552374607152100</v>
      </c>
      <c r="C1134" t="s">
        <v>40</v>
      </c>
      <c r="D1134">
        <v>5.4723949999999997</v>
      </c>
      <c r="E1134">
        <v>0.5198448</v>
      </c>
      <c r="F1134" t="s">
        <v>42</v>
      </c>
      <c r="G1134">
        <v>-220.6431</v>
      </c>
      <c r="H1134" s="1">
        <v>-5.0198200000000003E-6</v>
      </c>
      <c r="I1134">
        <v>363.84679999999997</v>
      </c>
      <c r="J1134">
        <v>-237.97829999999999</v>
      </c>
      <c r="K1134">
        <v>1.109888</v>
      </c>
      <c r="L1134">
        <v>367.44420000000002</v>
      </c>
      <c r="M1134">
        <v>0.99969300000000005</v>
      </c>
      <c r="N1134">
        <v>0</v>
      </c>
      <c r="O1134">
        <v>-2.07326E-2</v>
      </c>
      <c r="P1134">
        <v>0.98727410000000004</v>
      </c>
      <c r="Q1134">
        <v>5.9995930000000003E-2</v>
      </c>
      <c r="R1134">
        <v>-0.14727850000000001</v>
      </c>
      <c r="S1134">
        <v>2.960083</v>
      </c>
      <c r="T1134">
        <v>-0.18617549999999999</v>
      </c>
      <c r="U1134">
        <v>-0.60458369999999995</v>
      </c>
      <c r="V1134">
        <v>0.12685099999999999</v>
      </c>
      <c r="W1134">
        <v>7.3295920000000001E-2</v>
      </c>
      <c r="X1134">
        <v>0.98921009999999998</v>
      </c>
      <c r="Y1134">
        <v>0.17945529999999901</v>
      </c>
      <c r="Z1134">
        <v>-4.2916450000000002E-3</v>
      </c>
      <c r="AA1134">
        <v>0.98375679999999999</v>
      </c>
      <c r="AB1134">
        <v>32</v>
      </c>
      <c r="AC1134">
        <v>17.335199999999901</v>
      </c>
      <c r="AD1134">
        <v>-1.1098930198200001</v>
      </c>
      <c r="AE1134">
        <v>-3.5974000000000501</v>
      </c>
      <c r="AF1134">
        <v>3.2245173944916199</v>
      </c>
      <c r="AG1134">
        <v>-1.1098930198200001</v>
      </c>
      <c r="AH1134">
        <v>17.337925374603699</v>
      </c>
      <c r="AI1134">
        <v>93.601225497729899</v>
      </c>
      <c r="AJ1134">
        <v>79.464467610198298</v>
      </c>
      <c r="AK1134">
        <v>17.6701168993912</v>
      </c>
      <c r="AL1134">
        <v>85.796683999854494</v>
      </c>
      <c r="AM1134">
        <v>82.692576975035493</v>
      </c>
      <c r="AN1134">
        <v>1.00000004501582</v>
      </c>
    </row>
    <row r="1135" spans="1:40" x14ac:dyDescent="0.25">
      <c r="A1135" t="str">
        <f>"20190312151007185"</f>
        <v>20190312151007185</v>
      </c>
      <c r="B1135" t="str">
        <f>"1552374607181381"</f>
        <v>1552374607181381</v>
      </c>
      <c r="C1135" t="s">
        <v>40</v>
      </c>
      <c r="D1135">
        <v>5.3966250000000002</v>
      </c>
      <c r="E1135">
        <v>0.51941800000000005</v>
      </c>
      <c r="F1135" t="s">
        <v>42</v>
      </c>
      <c r="G1135">
        <v>-220.089</v>
      </c>
      <c r="H1135" s="1">
        <v>-5.2666999999999999E-6</v>
      </c>
      <c r="I1135">
        <v>363.79509999999999</v>
      </c>
      <c r="J1135">
        <v>-237.6704</v>
      </c>
      <c r="K1135">
        <v>1.1099250000000001</v>
      </c>
      <c r="L1135">
        <v>367.43740000000003</v>
      </c>
      <c r="M1135">
        <v>0.99968539999999995</v>
      </c>
      <c r="N1135">
        <v>0</v>
      </c>
      <c r="O1135">
        <v>-2.1103489999999999E-2</v>
      </c>
      <c r="P1135">
        <v>0.987236</v>
      </c>
      <c r="Q1135">
        <v>5.943437E-2</v>
      </c>
      <c r="R1135">
        <v>-0.14775969999999999</v>
      </c>
      <c r="S1135">
        <v>2.9597630000000001</v>
      </c>
      <c r="T1135">
        <v>-0.18363009999999999</v>
      </c>
      <c r="U1135">
        <v>-0.60372919999999997</v>
      </c>
      <c r="V1135">
        <v>0.12695870000000001</v>
      </c>
      <c r="W1135">
        <v>7.2743299999999997E-2</v>
      </c>
      <c r="X1135">
        <v>0.98923700000000003</v>
      </c>
      <c r="Y1135">
        <v>0.17884839999999999</v>
      </c>
      <c r="Z1135">
        <v>-4.1923020000000002E-3</v>
      </c>
      <c r="AA1135">
        <v>0.98386770000000001</v>
      </c>
      <c r="AB1135">
        <v>32</v>
      </c>
      <c r="AC1135">
        <v>17.581399999999899</v>
      </c>
      <c r="AD1135">
        <v>-1.1099302666999999</v>
      </c>
      <c r="AE1135">
        <v>-3.6423000000000298</v>
      </c>
      <c r="AF1135">
        <v>3.2579753474579798</v>
      </c>
      <c r="AG1135">
        <v>-1.1099302666999999</v>
      </c>
      <c r="AH1135">
        <v>17.587146826948</v>
      </c>
      <c r="AI1135">
        <v>93.550909904955603</v>
      </c>
      <c r="AJ1135">
        <v>79.505069879813902</v>
      </c>
      <c r="AK1135">
        <v>17.920772362657999</v>
      </c>
      <c r="AL1135">
        <v>85.828431231782005</v>
      </c>
      <c r="AM1135">
        <v>82.686636637898403</v>
      </c>
      <c r="AN1135">
        <v>0.99999997068478896</v>
      </c>
    </row>
    <row r="1136" spans="1:40" x14ac:dyDescent="0.25">
      <c r="A1136" t="str">
        <f>"20190312151007207"</f>
        <v>20190312151007207</v>
      </c>
      <c r="B1136" t="str">
        <f>"1552374607201876"</f>
        <v>1552374607201876</v>
      </c>
      <c r="C1136" t="s">
        <v>40</v>
      </c>
      <c r="D1136">
        <v>5.6299510000000001</v>
      </c>
      <c r="E1136">
        <v>0.51927100000000004</v>
      </c>
      <c r="F1136" t="s">
        <v>42</v>
      </c>
      <c r="G1136">
        <v>-219.64340000000001</v>
      </c>
      <c r="H1136" s="1">
        <v>-1.66245999999999E-6</v>
      </c>
      <c r="I1136">
        <v>363.77199999999999</v>
      </c>
      <c r="J1136">
        <v>-237.34950000000001</v>
      </c>
      <c r="K1136">
        <v>1.109958</v>
      </c>
      <c r="L1136">
        <v>367.43020000000001</v>
      </c>
      <c r="M1136">
        <v>0.99967799999999996</v>
      </c>
      <c r="N1136">
        <v>0</v>
      </c>
      <c r="O1136">
        <v>-2.1448890000000002E-2</v>
      </c>
      <c r="P1136">
        <v>0.98725300000000005</v>
      </c>
      <c r="Q1136">
        <v>5.8686090000000003E-2</v>
      </c>
      <c r="R1136">
        <v>-0.14794589999999999</v>
      </c>
      <c r="S1136">
        <v>2.9597020000000001</v>
      </c>
      <c r="T1136">
        <v>-0.1822288</v>
      </c>
      <c r="U1136">
        <v>-0.60177609999999904</v>
      </c>
      <c r="V1136">
        <v>0.12679569999999901</v>
      </c>
      <c r="W1136">
        <v>7.200426E-2</v>
      </c>
      <c r="X1136">
        <v>0.98931199999999997</v>
      </c>
      <c r="Y1136">
        <v>0.17789569999999999</v>
      </c>
      <c r="Z1136">
        <v>-4.1107069999999999E-3</v>
      </c>
      <c r="AA1136">
        <v>0.98404069999999999</v>
      </c>
      <c r="AB1136">
        <v>32</v>
      </c>
      <c r="AC1136">
        <v>17.7060999999999</v>
      </c>
      <c r="AD1136">
        <v>-1.1099596624600001</v>
      </c>
      <c r="AE1136">
        <v>-3.6582000000000199</v>
      </c>
      <c r="AF1136">
        <v>3.2652407832758801</v>
      </c>
      <c r="AG1136">
        <v>-1.1099596624600001</v>
      </c>
      <c r="AH1136">
        <v>17.713736096063201</v>
      </c>
      <c r="AI1136">
        <v>93.526265313741703</v>
      </c>
      <c r="AJ1136">
        <v>79.555691992428095</v>
      </c>
      <c r="AK1136">
        <v>18.046336312560101</v>
      </c>
      <c r="AL1136">
        <v>85.870886556010007</v>
      </c>
      <c r="AM1136">
        <v>82.696472418019894</v>
      </c>
      <c r="AN1136">
        <v>0.99999999817031804</v>
      </c>
    </row>
    <row r="1137" spans="1:40" x14ac:dyDescent="0.25">
      <c r="A1137" t="str">
        <f>"20190312151007230"</f>
        <v>20190312151007230</v>
      </c>
      <c r="B1137" t="str">
        <f>"1552374607221401"</f>
        <v>1552374607221401</v>
      </c>
      <c r="C1137" t="s">
        <v>40</v>
      </c>
      <c r="D1137">
        <v>5.4527269999999897</v>
      </c>
      <c r="E1137">
        <v>0.51909039999999995</v>
      </c>
      <c r="F1137" t="s">
        <v>42</v>
      </c>
      <c r="G1137">
        <v>-219.3391</v>
      </c>
      <c r="H1137" s="1">
        <v>-1.766639E-6</v>
      </c>
      <c r="I1137">
        <v>363.7697</v>
      </c>
      <c r="J1137">
        <v>-237.0378</v>
      </c>
      <c r="K1137">
        <v>1.109979</v>
      </c>
      <c r="L1137">
        <v>367.42309999999998</v>
      </c>
      <c r="M1137">
        <v>0.99967159999999999</v>
      </c>
      <c r="N1137">
        <v>0</v>
      </c>
      <c r="O1137">
        <v>-2.175204E-2</v>
      </c>
      <c r="P1137">
        <v>0.98733510000000002</v>
      </c>
      <c r="Q1137">
        <v>5.8288529999999998E-2</v>
      </c>
      <c r="R1137">
        <v>-0.14755409999999999</v>
      </c>
      <c r="S1137">
        <v>2.9594269999999998</v>
      </c>
      <c r="T1137">
        <v>-0.18238499999999999</v>
      </c>
      <c r="U1137">
        <v>-0.60147090000000003</v>
      </c>
      <c r="V1137">
        <v>0.12609589999999901</v>
      </c>
      <c r="W1137">
        <v>7.1612830000000002E-2</v>
      </c>
      <c r="X1137">
        <v>0.98942980000000003</v>
      </c>
      <c r="Y1137">
        <v>0.17751839999999999</v>
      </c>
      <c r="Z1137">
        <v>-4.0846859999999997E-3</v>
      </c>
      <c r="AA1137">
        <v>0.98410900000000001</v>
      </c>
      <c r="AB1137">
        <v>32</v>
      </c>
      <c r="AC1137">
        <v>17.698699999999999</v>
      </c>
      <c r="AD1137">
        <v>-1.109980766639</v>
      </c>
      <c r="AE1137">
        <v>-3.6533999999999698</v>
      </c>
      <c r="AF1137">
        <v>3.2552369709187201</v>
      </c>
      <c r="AG1137">
        <v>-1.109980766639</v>
      </c>
      <c r="AH1137">
        <v>17.7071879420347</v>
      </c>
      <c r="AI1137">
        <v>93.527944203931895</v>
      </c>
      <c r="AJ1137">
        <v>79.583223044533696</v>
      </c>
      <c r="AK1137">
        <v>18.038102168844802</v>
      </c>
      <c r="AL1137">
        <v>85.893371697621603</v>
      </c>
      <c r="AM1137">
        <v>82.737205308080405</v>
      </c>
      <c r="AN1137">
        <v>0.999999951272728</v>
      </c>
    </row>
    <row r="1138" spans="1:40" x14ac:dyDescent="0.25">
      <c r="A1138" t="str">
        <f>"20190312151007252"</f>
        <v>20190312151007252</v>
      </c>
      <c r="B1138" t="str">
        <f>"1552374607241893"</f>
        <v>1552374607241893</v>
      </c>
      <c r="C1138" t="s">
        <v>40</v>
      </c>
      <c r="D1138">
        <v>8.8389019999999991</v>
      </c>
      <c r="E1138">
        <v>0.51900609999999903</v>
      </c>
      <c r="F1138" t="s">
        <v>42</v>
      </c>
      <c r="G1138">
        <v>-218.95830000000001</v>
      </c>
      <c r="H1138" s="1">
        <v>-1.897728E-6</v>
      </c>
      <c r="I1138">
        <v>363.76400000000001</v>
      </c>
      <c r="J1138">
        <v>-236.72319999999999</v>
      </c>
      <c r="K1138">
        <v>1.1100000000000001</v>
      </c>
      <c r="L1138">
        <v>367.41590000000002</v>
      </c>
      <c r="M1138">
        <v>0.99966540000000004</v>
      </c>
      <c r="N1138">
        <v>0</v>
      </c>
      <c r="O1138">
        <v>-2.2035809999999999E-2</v>
      </c>
      <c r="P1138">
        <v>0.98748049999999998</v>
      </c>
      <c r="Q1138">
        <v>5.8469449999999999E-2</v>
      </c>
      <c r="R1138">
        <v>-0.146505</v>
      </c>
      <c r="S1138">
        <v>2.9597020000000001</v>
      </c>
      <c r="T1138">
        <v>-0.1817087</v>
      </c>
      <c r="U1138">
        <v>-0.59899899999999995</v>
      </c>
      <c r="V1138">
        <v>0.1247587</v>
      </c>
      <c r="W1138">
        <v>7.1791170000000001E-2</v>
      </c>
      <c r="X1138">
        <v>0.98958639999999998</v>
      </c>
      <c r="Y1138">
        <v>0.17643619999999999</v>
      </c>
      <c r="Z1138">
        <v>-4.0194619999999997E-3</v>
      </c>
      <c r="AA1138">
        <v>0.98430390000000001</v>
      </c>
      <c r="AB1138">
        <v>32</v>
      </c>
      <c r="AC1138">
        <v>17.764899999999901</v>
      </c>
      <c r="AD1138">
        <v>-1.110001897728</v>
      </c>
      <c r="AE1138">
        <v>-3.6519000000000101</v>
      </c>
      <c r="AF1138">
        <v>3.24734922993752</v>
      </c>
      <c r="AG1138">
        <v>-1.110001897728</v>
      </c>
      <c r="AH1138">
        <v>17.774485563696299</v>
      </c>
      <c r="AI1138">
        <v>93.515395630337594</v>
      </c>
      <c r="AJ1138">
        <v>79.646407185218493</v>
      </c>
      <c r="AK1138">
        <v>18.102754439260998</v>
      </c>
      <c r="AL1138">
        <v>85.883127293977594</v>
      </c>
      <c r="AM1138">
        <v>82.814540399880599</v>
      </c>
      <c r="AN1138">
        <v>0.99999997419030895</v>
      </c>
    </row>
    <row r="1139" spans="1:40" x14ac:dyDescent="0.25">
      <c r="A1139" t="str">
        <f>"20190312151007274"</f>
        <v>20190312151007274</v>
      </c>
      <c r="B1139" t="str">
        <f>"1552374607272149"</f>
        <v>1552374607272149</v>
      </c>
      <c r="C1139" t="s">
        <v>40</v>
      </c>
      <c r="D1139">
        <v>5.7649889999999999</v>
      </c>
      <c r="E1139">
        <v>0.51896200000000003</v>
      </c>
      <c r="F1139" t="s">
        <v>42</v>
      </c>
      <c r="G1139">
        <v>-218.36930000000001</v>
      </c>
      <c r="H1139" s="1">
        <v>-2.1088710000000001E-6</v>
      </c>
      <c r="I1139">
        <v>363.72379999999998</v>
      </c>
      <c r="J1139">
        <v>-236.41149999999999</v>
      </c>
      <c r="K1139">
        <v>1.1100080000000001</v>
      </c>
      <c r="L1139">
        <v>367.40879999999999</v>
      </c>
      <c r="M1139">
        <v>0.99965979999999999</v>
      </c>
      <c r="N1139">
        <v>0</v>
      </c>
      <c r="O1139">
        <v>-2.230203E-2</v>
      </c>
      <c r="P1139">
        <v>0.9876161</v>
      </c>
      <c r="Q1139">
        <v>5.8845830000000002E-2</v>
      </c>
      <c r="R1139">
        <v>-0.14543629999999999</v>
      </c>
      <c r="S1139">
        <v>2.9602970000000002</v>
      </c>
      <c r="T1139">
        <v>-0.17903179999999999</v>
      </c>
      <c r="U1139">
        <v>-0.5954895</v>
      </c>
      <c r="V1139">
        <v>0.1234204</v>
      </c>
      <c r="W1139">
        <v>7.2156440000000002E-2</v>
      </c>
      <c r="X1139">
        <v>0.98972769999999999</v>
      </c>
      <c r="Y1139">
        <v>0.17502529999999999</v>
      </c>
      <c r="Z1139">
        <v>-3.9019200000000001E-3</v>
      </c>
      <c r="AA1139">
        <v>0.98455619999999999</v>
      </c>
      <c r="AB1139">
        <v>32</v>
      </c>
      <c r="AC1139">
        <v>18.042199999999902</v>
      </c>
      <c r="AD1139">
        <v>-1.1100101088709999</v>
      </c>
      <c r="AE1139">
        <v>-3.6850000000000001</v>
      </c>
      <c r="AF1139">
        <v>3.2697880132516799</v>
      </c>
      <c r="AG1139">
        <v>-1.1100101088709999</v>
      </c>
      <c r="AH1139">
        <v>18.054301794921901</v>
      </c>
      <c r="AI1139">
        <v>93.462036930359901</v>
      </c>
      <c r="AJ1139">
        <v>79.734517512191502</v>
      </c>
      <c r="AK1139">
        <v>18.381551876692001</v>
      </c>
      <c r="AL1139">
        <v>85.862144691474995</v>
      </c>
      <c r="AM1139">
        <v>82.891831280699904</v>
      </c>
      <c r="AN1139">
        <v>1.00000003355846</v>
      </c>
    </row>
    <row r="1140" spans="1:40" x14ac:dyDescent="0.25">
      <c r="A1140" t="str">
        <f>"20190312151007297"</f>
        <v>20190312151007297</v>
      </c>
      <c r="B1140" t="str">
        <f>"1552374607291669"</f>
        <v>1552374607291669</v>
      </c>
      <c r="C1140" t="s">
        <v>40</v>
      </c>
      <c r="D1140">
        <v>5.5039129999999998</v>
      </c>
      <c r="E1140">
        <v>0.51892729999999998</v>
      </c>
      <c r="F1140" t="s">
        <v>42</v>
      </c>
      <c r="G1140">
        <v>-217.70699999999999</v>
      </c>
      <c r="H1140" s="1">
        <v>-2.347983E-6</v>
      </c>
      <c r="I1140">
        <v>363.67219999999998</v>
      </c>
      <c r="J1140">
        <v>-236.0883</v>
      </c>
      <c r="K1140">
        <v>1.11002</v>
      </c>
      <c r="L1140">
        <v>367.40129999999999</v>
      </c>
      <c r="M1140">
        <v>0.9996543</v>
      </c>
      <c r="N1140">
        <v>0</v>
      </c>
      <c r="O1140">
        <v>-2.256913E-2</v>
      </c>
      <c r="P1140">
        <v>0.98770840000000004</v>
      </c>
      <c r="Q1140">
        <v>5.9299949999999997E-2</v>
      </c>
      <c r="R1140">
        <v>-0.144623799999999</v>
      </c>
      <c r="S1140">
        <v>2.9609679999999998</v>
      </c>
      <c r="T1140">
        <v>-0.1757166</v>
      </c>
      <c r="U1140">
        <v>-0.59149169999999995</v>
      </c>
      <c r="V1140">
        <v>0.1223397</v>
      </c>
      <c r="W1140">
        <v>7.2589219999999996E-2</v>
      </c>
      <c r="X1140">
        <v>0.98983019999999999</v>
      </c>
      <c r="Y1140">
        <v>0.17345379999999999</v>
      </c>
      <c r="Z1140">
        <v>-3.7676400000000001E-3</v>
      </c>
      <c r="AA1140">
        <v>0.98483480000000001</v>
      </c>
      <c r="AB1140">
        <v>32</v>
      </c>
      <c r="AC1140">
        <v>18.3813</v>
      </c>
      <c r="AD1140">
        <v>-1.110022347983</v>
      </c>
      <c r="AE1140">
        <v>-3.7291000000000101</v>
      </c>
      <c r="AF1140">
        <v>3.30169765403138</v>
      </c>
      <c r="AG1140">
        <v>-1.110022347983</v>
      </c>
      <c r="AH1140">
        <v>18.396351729804302</v>
      </c>
      <c r="AI1140">
        <v>93.398822329074903</v>
      </c>
      <c r="AJ1140">
        <v>79.825127714798896</v>
      </c>
      <c r="AK1140">
        <v>18.7232239205307</v>
      </c>
      <c r="AL1140">
        <v>85.837282934331398</v>
      </c>
      <c r="AM1140">
        <v>82.954166110342001</v>
      </c>
      <c r="AN1140">
        <v>1.00000001094416</v>
      </c>
    </row>
    <row r="1141" spans="1:40" x14ac:dyDescent="0.25">
      <c r="A1141" t="str">
        <f>"20190312151007319"</f>
        <v>20190312151007319</v>
      </c>
      <c r="B1141" t="str">
        <f>"1552374607312168"</f>
        <v>1552374607312168</v>
      </c>
      <c r="C1141" t="s">
        <v>40</v>
      </c>
      <c r="D1141">
        <v>5.4704090000000001</v>
      </c>
      <c r="E1141">
        <v>0.51886949999999998</v>
      </c>
      <c r="F1141" t="s">
        <v>42</v>
      </c>
      <c r="G1141">
        <v>-217.0658</v>
      </c>
      <c r="H1141" s="1">
        <v>-2.5813210000000001E-6</v>
      </c>
      <c r="I1141">
        <v>363.61540000000002</v>
      </c>
      <c r="J1141">
        <v>-235.7833</v>
      </c>
      <c r="K1141">
        <v>1.110017</v>
      </c>
      <c r="L1141">
        <v>367.39409999999998</v>
      </c>
      <c r="M1141">
        <v>0.99964900000000001</v>
      </c>
      <c r="N1141">
        <v>0</v>
      </c>
      <c r="O1141">
        <v>-2.2817130000000001E-2</v>
      </c>
      <c r="P1141">
        <v>0.98782400000000004</v>
      </c>
      <c r="Q1141">
        <v>5.9278909999999997E-2</v>
      </c>
      <c r="R1141">
        <v>-0.14384189999999999</v>
      </c>
      <c r="S1141">
        <v>2.961411</v>
      </c>
      <c r="T1141">
        <v>-0.17280699999999999</v>
      </c>
      <c r="U1141">
        <v>-0.58938599999999997</v>
      </c>
      <c r="V1141">
        <v>0.1213082</v>
      </c>
      <c r="W1141">
        <v>7.2544040000000004E-2</v>
      </c>
      <c r="X1141">
        <v>0.98996039999999996</v>
      </c>
      <c r="Y1141">
        <v>0.17251810000000001</v>
      </c>
      <c r="Z1141">
        <v>-3.6637499999999999E-3</v>
      </c>
      <c r="AA1141">
        <v>0.98499950000000003</v>
      </c>
      <c r="AB1141">
        <v>32</v>
      </c>
      <c r="AC1141">
        <v>18.717500000000001</v>
      </c>
      <c r="AD1141">
        <v>-1.1100195813210001</v>
      </c>
      <c r="AE1141">
        <v>-3.77869999999995</v>
      </c>
      <c r="AF1141">
        <v>3.3393134336602501</v>
      </c>
      <c r="AG1141">
        <v>-1.1100195813210001</v>
      </c>
      <c r="AH1141">
        <v>18.735541460199201</v>
      </c>
      <c r="AI1141">
        <v>93.338138410174594</v>
      </c>
      <c r="AJ1141">
        <v>79.894056523439005</v>
      </c>
      <c r="AK1141">
        <v>19.063149568892999</v>
      </c>
      <c r="AL1141">
        <v>85.839878168698306</v>
      </c>
      <c r="AM1141">
        <v>83.013892837594696</v>
      </c>
      <c r="AN1141">
        <v>0.999999955347459</v>
      </c>
    </row>
    <row r="1142" spans="1:40" x14ac:dyDescent="0.25">
      <c r="A1142" t="str">
        <f>"20190312151007342"</f>
        <v>20190312151007342</v>
      </c>
      <c r="B1142" t="str">
        <f>"1552374607331685"</f>
        <v>1552374607331685</v>
      </c>
      <c r="C1142" t="s">
        <v>40</v>
      </c>
      <c r="D1142">
        <v>5.474888</v>
      </c>
      <c r="E1142">
        <v>0.51876520000000004</v>
      </c>
      <c r="F1142" t="s">
        <v>42</v>
      </c>
      <c r="G1142">
        <v>-216.6361</v>
      </c>
      <c r="H1142" s="1">
        <v>-2.7305259999999998E-6</v>
      </c>
      <c r="I1142">
        <v>363.60419999999999</v>
      </c>
      <c r="J1142">
        <v>-235.4554</v>
      </c>
      <c r="K1142">
        <v>1.1100139999999901</v>
      </c>
      <c r="L1142">
        <v>367.38630000000001</v>
      </c>
      <c r="M1142">
        <v>0.99964330000000001</v>
      </c>
      <c r="N1142">
        <v>0</v>
      </c>
      <c r="O1142">
        <v>-2.3084540000000001E-2</v>
      </c>
      <c r="P1142">
        <v>0.98781459999999999</v>
      </c>
      <c r="Q1142">
        <v>5.8944400000000001E-2</v>
      </c>
      <c r="R1142">
        <v>-0.1440427</v>
      </c>
      <c r="S1142">
        <v>2.9619450000000001</v>
      </c>
      <c r="T1142">
        <v>-0.1717119</v>
      </c>
      <c r="U1142">
        <v>-0.58627320000000005</v>
      </c>
      <c r="V1142">
        <v>0.1212432</v>
      </c>
      <c r="W1142">
        <v>7.2175000000000003E-2</v>
      </c>
      <c r="X1142">
        <v>0.98999539999999997</v>
      </c>
      <c r="Y1142">
        <v>0.1712301</v>
      </c>
      <c r="Z1142">
        <v>-3.5880259999999998E-3</v>
      </c>
      <c r="AA1142">
        <v>0.98522449999999995</v>
      </c>
      <c r="AB1142">
        <v>31</v>
      </c>
      <c r="AC1142">
        <v>18.819299999999998</v>
      </c>
      <c r="AD1142">
        <v>-1.11001673052599</v>
      </c>
      <c r="AE1142">
        <v>-3.78210000000001</v>
      </c>
      <c r="AF1142">
        <v>3.33546433855089</v>
      </c>
      <c r="AG1142">
        <v>-1.11001673052599</v>
      </c>
      <c r="AH1142">
        <v>18.838605094427798</v>
      </c>
      <c r="AI1142">
        <v>93.320581186449203</v>
      </c>
      <c r="AJ1142">
        <v>79.959564803495795</v>
      </c>
      <c r="AK1142">
        <v>19.163780978700199</v>
      </c>
      <c r="AL1142">
        <v>85.861078437810804</v>
      </c>
      <c r="AM1142">
        <v>83.017843625377097</v>
      </c>
      <c r="AN1142">
        <v>1.0000000180961901</v>
      </c>
    </row>
    <row r="1143" spans="1:40" x14ac:dyDescent="0.25">
      <c r="A1143" t="str">
        <f>"20190312151007364"</f>
        <v>20190312151007364</v>
      </c>
      <c r="B1143" t="str">
        <f>"1552374607361940"</f>
        <v>1552374607361940</v>
      </c>
      <c r="C1143" t="s">
        <v>40</v>
      </c>
      <c r="D1143">
        <v>5.6257710000000003</v>
      </c>
      <c r="E1143">
        <v>0.51875669999999996</v>
      </c>
      <c r="F1143" t="s">
        <v>42</v>
      </c>
      <c r="G1143">
        <v>-216.2097</v>
      </c>
      <c r="H1143" s="1">
        <v>-2.8831110000000001E-6</v>
      </c>
      <c r="I1143">
        <v>363.5761</v>
      </c>
      <c r="J1143">
        <v>-235.1455</v>
      </c>
      <c r="K1143">
        <v>1.1100179999999999</v>
      </c>
      <c r="L1143">
        <v>367.37880000000001</v>
      </c>
      <c r="M1143">
        <v>0.99963780000000002</v>
      </c>
      <c r="N1143">
        <v>0</v>
      </c>
      <c r="O1143">
        <v>-2.3339579999999999E-2</v>
      </c>
      <c r="P1143">
        <v>0.98774119999999999</v>
      </c>
      <c r="Q1143">
        <v>5.8399920000000001E-2</v>
      </c>
      <c r="R1143">
        <v>-0.14476559999999999</v>
      </c>
      <c r="S1143">
        <v>2.9616850000000001</v>
      </c>
      <c r="T1143">
        <v>-0.17081740000000001</v>
      </c>
      <c r="U1143">
        <v>-0.58633419999999903</v>
      </c>
      <c r="V1143">
        <v>0.121714</v>
      </c>
      <c r="W1143">
        <v>7.1595240000000004E-2</v>
      </c>
      <c r="X1143">
        <v>0.98997970000000002</v>
      </c>
      <c r="Y1143">
        <v>0.171017899999999</v>
      </c>
      <c r="Z1143">
        <v>-3.5490719999999999E-3</v>
      </c>
      <c r="AA1143">
        <v>0.98526150000000001</v>
      </c>
      <c r="AB1143">
        <v>31</v>
      </c>
      <c r="AC1143">
        <v>18.9358</v>
      </c>
      <c r="AD1143">
        <v>-1.1100208831109999</v>
      </c>
      <c r="AE1143">
        <v>-3.80270000000001</v>
      </c>
      <c r="AF1143">
        <v>3.3486097834967898</v>
      </c>
      <c r="AG1143">
        <v>-1.1100208831109999</v>
      </c>
      <c r="AH1143">
        <v>18.956785723159999</v>
      </c>
      <c r="AI1143">
        <v>93.300169899345903</v>
      </c>
      <c r="AJ1143">
        <v>79.982363322697296</v>
      </c>
      <c r="AK1143">
        <v>19.282247244470099</v>
      </c>
      <c r="AL1143">
        <v>85.894382288675104</v>
      </c>
      <c r="AM1143">
        <v>82.990890297887006</v>
      </c>
      <c r="AN1143">
        <v>0.999999991299373</v>
      </c>
    </row>
    <row r="1144" spans="1:40" x14ac:dyDescent="0.25">
      <c r="A1144" t="str">
        <f>"20190312151007376"</f>
        <v>20190312151007376</v>
      </c>
      <c r="B1144" t="str">
        <f>"1552374607371701"</f>
        <v>1552374607371701</v>
      </c>
      <c r="C1144" t="s">
        <v>40</v>
      </c>
      <c r="D1144">
        <v>5.4585470000000003</v>
      </c>
      <c r="E1144">
        <v>0.52041700000000002</v>
      </c>
      <c r="F1144" t="s">
        <v>42</v>
      </c>
      <c r="G1144">
        <v>-215.96109999999999</v>
      </c>
      <c r="H1144" s="1">
        <v>-2.9696089999999999E-6</v>
      </c>
      <c r="I1144">
        <v>363.56889999999999</v>
      </c>
      <c r="J1144">
        <v>-234.96639999999999</v>
      </c>
      <c r="K1144">
        <v>1.1100179999999999</v>
      </c>
      <c r="L1144">
        <v>367.37450000000001</v>
      </c>
      <c r="M1144">
        <v>0.99963460000000004</v>
      </c>
      <c r="N1144">
        <v>0</v>
      </c>
      <c r="O1144">
        <v>-2.3487580000000001E-2</v>
      </c>
      <c r="P1144">
        <v>0.98775409999999997</v>
      </c>
      <c r="Q1144">
        <v>5.829351E-2</v>
      </c>
      <c r="R1144">
        <v>-0.14471979999999901</v>
      </c>
      <c r="S1144">
        <v>2.961182</v>
      </c>
      <c r="T1144">
        <v>-0.1713353</v>
      </c>
      <c r="U1144">
        <v>-0.58807369999999903</v>
      </c>
      <c r="V1144">
        <v>0.121521</v>
      </c>
      <c r="W1144">
        <v>7.1469669999999999E-2</v>
      </c>
      <c r="X1144">
        <v>0.99001249999999996</v>
      </c>
      <c r="Y1144">
        <v>0.1714589</v>
      </c>
      <c r="Z1144">
        <v>-3.5643699999999999E-3</v>
      </c>
      <c r="AA1144">
        <v>0.98518479999999997</v>
      </c>
      <c r="AB1144">
        <v>31</v>
      </c>
      <c r="AC1144">
        <v>19.005299999999998</v>
      </c>
      <c r="AD1144">
        <v>-1.110020969609</v>
      </c>
      <c r="AE1144">
        <v>-3.8056000000000201</v>
      </c>
      <c r="AF1144">
        <v>3.3471437280905199</v>
      </c>
      <c r="AG1144">
        <v>-1.110020969609</v>
      </c>
      <c r="AH1144">
        <v>19.0270445885869</v>
      </c>
      <c r="AI1144">
        <v>93.2884199123352</v>
      </c>
      <c r="AJ1144">
        <v>80.022891152550997</v>
      </c>
      <c r="AK1144">
        <v>19.351070860950902</v>
      </c>
      <c r="AL1144">
        <v>85.901595469081897</v>
      </c>
      <c r="AM1144">
        <v>83.002123796025302</v>
      </c>
      <c r="AN1144">
        <v>1.0000000086635701</v>
      </c>
    </row>
    <row r="1145" spans="1:40" x14ac:dyDescent="0.25">
      <c r="A1145" t="str">
        <f>"20190312151007398"</f>
        <v>20190312151007398</v>
      </c>
      <c r="B1145" t="str">
        <f>"1552374607392200"</f>
        <v>1552374607392200</v>
      </c>
      <c r="C1145" t="s">
        <v>40</v>
      </c>
      <c r="D1145">
        <v>5.5076669999999996</v>
      </c>
      <c r="E1145">
        <v>0.52116470000000004</v>
      </c>
      <c r="F1145" t="s">
        <v>41</v>
      </c>
      <c r="G1145">
        <v>-234.23079999999999</v>
      </c>
      <c r="H1145">
        <v>1.03689599999999</v>
      </c>
      <c r="I1145">
        <v>367.22489999999999</v>
      </c>
      <c r="J1145">
        <v>-234.6739</v>
      </c>
      <c r="K1145">
        <v>1.1100159999999999</v>
      </c>
      <c r="L1145">
        <v>367.36739999999998</v>
      </c>
      <c r="M1145">
        <v>0.99962960000000001</v>
      </c>
      <c r="N1145">
        <v>0</v>
      </c>
      <c r="O1145">
        <v>-2.3731200000000001E-2</v>
      </c>
      <c r="P1145">
        <v>0.98770539999999996</v>
      </c>
      <c r="Q1145">
        <v>5.7974480000000002E-2</v>
      </c>
      <c r="R1145">
        <v>-0.1451809</v>
      </c>
      <c r="S1145">
        <v>2.9661870000000001</v>
      </c>
      <c r="T1145">
        <v>-0.2948712</v>
      </c>
      <c r="U1145">
        <v>-0.6034851</v>
      </c>
      <c r="V1145">
        <v>0.1217411</v>
      </c>
      <c r="W1145">
        <v>7.1114369999999996E-2</v>
      </c>
      <c r="X1145">
        <v>0.99001099999999997</v>
      </c>
      <c r="Y1145">
        <v>0.17534060000000001</v>
      </c>
      <c r="Z1145">
        <v>-6.2781290000000003E-3</v>
      </c>
      <c r="AA1145">
        <v>0.98448780000000002</v>
      </c>
      <c r="AB1145">
        <v>31</v>
      </c>
      <c r="AC1145">
        <v>0.44310000000001498</v>
      </c>
      <c r="AD1145">
        <v>-7.3120000000000004E-2</v>
      </c>
      <c r="AE1145">
        <v>-0.142499999999984</v>
      </c>
      <c r="AF1145">
        <v>0.12876583288537899</v>
      </c>
      <c r="AG1145">
        <v>-7.3120000000000004E-2</v>
      </c>
      <c r="AH1145">
        <v>0.43560688293079303</v>
      </c>
      <c r="AI1145">
        <v>99.144579327887797</v>
      </c>
      <c r="AJ1145">
        <v>73.532267633089205</v>
      </c>
      <c r="AK1145">
        <v>0.46008752490732402</v>
      </c>
      <c r="AL1145">
        <v>85.922004410702201</v>
      </c>
      <c r="AM1145">
        <v>82.989564668111001</v>
      </c>
      <c r="AN1145">
        <v>0.99999996458535201</v>
      </c>
    </row>
    <row r="1146" spans="1:40" x14ac:dyDescent="0.25">
      <c r="A1146" t="str">
        <f>"20190312151007409"</f>
        <v>20190312151007409</v>
      </c>
      <c r="B1146" t="str">
        <f>"1552374607401957"</f>
        <v>1552374607401957</v>
      </c>
      <c r="C1146" t="s">
        <v>40</v>
      </c>
      <c r="D1146">
        <v>5.4341019999999904</v>
      </c>
      <c r="E1146">
        <v>0.52090289999999995</v>
      </c>
      <c r="F1146" t="s">
        <v>42</v>
      </c>
      <c r="G1146">
        <v>-221.7347</v>
      </c>
      <c r="H1146" s="1">
        <v>-4.3999040000000001E-6</v>
      </c>
      <c r="I1146">
        <v>364.70170000000002</v>
      </c>
      <c r="J1146">
        <v>-234.51230000000001</v>
      </c>
      <c r="K1146">
        <v>1.1100139999999901</v>
      </c>
      <c r="L1146">
        <v>367.36329999999998</v>
      </c>
      <c r="M1146">
        <v>0.99962649999999997</v>
      </c>
      <c r="N1146">
        <v>0</v>
      </c>
      <c r="O1146">
        <v>-2.3865979999999998E-2</v>
      </c>
      <c r="P1146">
        <v>0.98767539999999998</v>
      </c>
      <c r="Q1146">
        <v>5.8066520000000003E-2</v>
      </c>
      <c r="R1146">
        <v>-0.14534639999999999</v>
      </c>
      <c r="S1146">
        <v>2.9625849999999998</v>
      </c>
      <c r="T1146">
        <v>-0.2541506</v>
      </c>
      <c r="U1146">
        <v>-0.610321</v>
      </c>
      <c r="V1146">
        <v>0.1217739</v>
      </c>
      <c r="W1146">
        <v>7.1186189999999996E-2</v>
      </c>
      <c r="X1146">
        <v>0.99000189999999999</v>
      </c>
      <c r="Y1146">
        <v>0.17779610000000001</v>
      </c>
      <c r="Z1146">
        <v>-5.512304E-3</v>
      </c>
      <c r="AA1146">
        <v>0.98405189999999998</v>
      </c>
      <c r="AB1146">
        <v>31</v>
      </c>
      <c r="AC1146">
        <v>12.7776</v>
      </c>
      <c r="AD1146">
        <v>-1.1100183999040001</v>
      </c>
      <c r="AE1146">
        <v>-2.66159999999996</v>
      </c>
      <c r="AF1146">
        <v>2.3389472948299002</v>
      </c>
      <c r="AG1146">
        <v>-1.1100183999040001</v>
      </c>
      <c r="AH1146">
        <v>12.745301121236499</v>
      </c>
      <c r="AI1146">
        <v>94.896110935912503</v>
      </c>
      <c r="AJ1146">
        <v>79.601101127596806</v>
      </c>
      <c r="AK1146">
        <v>13.005595563722199</v>
      </c>
      <c r="AL1146">
        <v>85.917879359013796</v>
      </c>
      <c r="AM1146">
        <v>82.987630874579693</v>
      </c>
      <c r="AN1146">
        <v>1.0000000591857601</v>
      </c>
    </row>
    <row r="1147" spans="1:40" x14ac:dyDescent="0.25">
      <c r="A1147" t="str">
        <f>"20190312151007421"</f>
        <v>20190312151007421</v>
      </c>
      <c r="B1147" t="str">
        <f>"1552374607411716"</f>
        <v>1552374607411716</v>
      </c>
      <c r="C1147" t="s">
        <v>40</v>
      </c>
      <c r="D1147">
        <v>5.4653989999999997</v>
      </c>
      <c r="E1147">
        <v>0.52133569999999996</v>
      </c>
      <c r="F1147" t="s">
        <v>41</v>
      </c>
      <c r="G1147">
        <v>-233.66909999999999</v>
      </c>
      <c r="H1147">
        <v>1.033142</v>
      </c>
      <c r="I1147">
        <v>367.18979999999999</v>
      </c>
      <c r="J1147">
        <v>-234.34399999999999</v>
      </c>
      <c r="K1147">
        <v>1.110012</v>
      </c>
      <c r="L1147">
        <v>367.35919999999999</v>
      </c>
      <c r="M1147">
        <v>0.99962340000000005</v>
      </c>
      <c r="N1147">
        <v>0</v>
      </c>
      <c r="O1147">
        <v>-2.4005760000000001E-2</v>
      </c>
      <c r="P1147">
        <v>0.98762039999999995</v>
      </c>
      <c r="Q1147">
        <v>5.7818540000000002E-2</v>
      </c>
      <c r="R1147">
        <v>-0.14581849999999999</v>
      </c>
      <c r="S1147">
        <v>2.9636689999999999</v>
      </c>
      <c r="T1147">
        <v>-0.27039829999999998</v>
      </c>
      <c r="U1147">
        <v>-0.60913090000000003</v>
      </c>
      <c r="V1147">
        <v>0.12210790000000001</v>
      </c>
      <c r="W1147">
        <v>7.0916989999999999E-2</v>
      </c>
      <c r="X1147">
        <v>0.98997999999999997</v>
      </c>
      <c r="Y1147">
        <v>0.1771404</v>
      </c>
      <c r="Z1147">
        <v>-5.8193469999999999E-3</v>
      </c>
      <c r="AA1147">
        <v>0.98416840000000005</v>
      </c>
      <c r="AB1147">
        <v>31</v>
      </c>
      <c r="AC1147">
        <v>0.67490000000003603</v>
      </c>
      <c r="AD1147">
        <v>-7.6869999999999994E-2</v>
      </c>
      <c r="AE1147">
        <v>-0.169399999999996</v>
      </c>
      <c r="AF1147">
        <v>0.15130177145388099</v>
      </c>
      <c r="AG1147">
        <v>-7.6869999999999994E-2</v>
      </c>
      <c r="AH1147">
        <v>0.670588564253637</v>
      </c>
      <c r="AI1147">
        <v>96.380297260465298</v>
      </c>
      <c r="AJ1147">
        <v>77.285518304707495</v>
      </c>
      <c r="AK1147">
        <v>0.69172989342143998</v>
      </c>
      <c r="AL1147">
        <v>85.933342138417899</v>
      </c>
      <c r="AM1147">
        <v>82.968435713163402</v>
      </c>
      <c r="AN1147">
        <v>0.99999997955653397</v>
      </c>
    </row>
    <row r="1148" spans="1:40" x14ac:dyDescent="0.25">
      <c r="A1148" t="str">
        <f>"20190312151007433"</f>
        <v>20190312151007433</v>
      </c>
      <c r="B1148" t="str">
        <f>"1552374607422455"</f>
        <v>1552374607422455</v>
      </c>
      <c r="C1148" t="s">
        <v>40</v>
      </c>
      <c r="D1148">
        <v>5.4841980000000001</v>
      </c>
      <c r="E1148">
        <v>0.52166509999999999</v>
      </c>
      <c r="F1148" t="s">
        <v>42</v>
      </c>
      <c r="G1148">
        <v>-222.1114</v>
      </c>
      <c r="H1148" s="1">
        <v>-4.216662E-6</v>
      </c>
      <c r="I1148">
        <v>364.82369999999997</v>
      </c>
      <c r="J1148">
        <v>-234.1748</v>
      </c>
      <c r="K1148">
        <v>1.110007</v>
      </c>
      <c r="L1148">
        <v>367.35489999999999</v>
      </c>
      <c r="M1148">
        <v>0.99962039999999996</v>
      </c>
      <c r="N1148">
        <v>0</v>
      </c>
      <c r="O1148">
        <v>-2.4145550000000002E-2</v>
      </c>
      <c r="P1148">
        <v>0.98760400000000004</v>
      </c>
      <c r="Q1148">
        <v>5.7773600000000001E-2</v>
      </c>
      <c r="R1148">
        <v>-0.1459471</v>
      </c>
      <c r="S1148">
        <v>2.9626619999999999</v>
      </c>
      <c r="T1148">
        <v>-0.26883770000000001</v>
      </c>
      <c r="U1148">
        <v>-0.61407469999999997</v>
      </c>
      <c r="V1148">
        <v>0.1220984</v>
      </c>
      <c r="W1148">
        <v>7.0851349999999994E-2</v>
      </c>
      <c r="X1148">
        <v>0.98998589999999997</v>
      </c>
      <c r="Y1148">
        <v>0.17864530000000001</v>
      </c>
      <c r="Z1148">
        <v>-5.8417800000000004E-3</v>
      </c>
      <c r="AA1148">
        <v>0.9838962</v>
      </c>
      <c r="AB1148">
        <v>31</v>
      </c>
      <c r="AC1148">
        <v>12.0634</v>
      </c>
      <c r="AD1148">
        <v>-1.110011216662</v>
      </c>
      <c r="AE1148">
        <v>-2.5312000000000099</v>
      </c>
      <c r="AF1148">
        <v>2.2211460508721301</v>
      </c>
      <c r="AG1148">
        <v>-1.110011216662</v>
      </c>
      <c r="AH1148">
        <v>12.023498199812501</v>
      </c>
      <c r="AI1148">
        <v>95.187324714702996</v>
      </c>
      <c r="AJ1148">
        <v>79.533532088054201</v>
      </c>
      <c r="AK1148">
        <v>12.2772197032274</v>
      </c>
      <c r="AL1148">
        <v>85.937112631938305</v>
      </c>
      <c r="AM1148">
        <v>82.969018776709802</v>
      </c>
      <c r="AN1148">
        <v>1.00000000763909</v>
      </c>
    </row>
    <row r="1149" spans="1:40" x14ac:dyDescent="0.25">
      <c r="A1149" t="str">
        <f>"20190312151007445"</f>
        <v>20190312151007445</v>
      </c>
      <c r="B1149" t="str">
        <f>"1552374607442078"</f>
        <v>1552374607442078</v>
      </c>
      <c r="C1149" t="s">
        <v>40</v>
      </c>
      <c r="D1149">
        <v>5.4784090000000001</v>
      </c>
      <c r="E1149">
        <v>0.52211830000000004</v>
      </c>
      <c r="F1149" t="s">
        <v>41</v>
      </c>
      <c r="G1149">
        <v>-233.37639999999999</v>
      </c>
      <c r="H1149">
        <v>1.038035</v>
      </c>
      <c r="I1149">
        <v>367.18849999999998</v>
      </c>
      <c r="J1149">
        <v>-234.01</v>
      </c>
      <c r="K1149">
        <v>1.1100030000000001</v>
      </c>
      <c r="L1149">
        <v>367.35090000000002</v>
      </c>
      <c r="M1149">
        <v>0.99961739999999999</v>
      </c>
      <c r="N1149">
        <v>0</v>
      </c>
      <c r="O1149">
        <v>-2.4281420000000001E-2</v>
      </c>
      <c r="P1149">
        <v>0.98758299999999999</v>
      </c>
      <c r="Q1149">
        <v>5.7633909999999997E-2</v>
      </c>
      <c r="R1149">
        <v>-0.14614479999999999</v>
      </c>
      <c r="S1149">
        <v>2.9621119999999999</v>
      </c>
      <c r="T1149">
        <v>-0.26723049999999998</v>
      </c>
      <c r="U1149">
        <v>-0.61691280000000004</v>
      </c>
      <c r="V1149">
        <v>0.1221617</v>
      </c>
      <c r="W1149">
        <v>7.0692480000000002E-2</v>
      </c>
      <c r="X1149">
        <v>0.98998949999999997</v>
      </c>
      <c r="Y1149">
        <v>0.179456</v>
      </c>
      <c r="Z1149">
        <v>-5.8315190000000003E-3</v>
      </c>
      <c r="AA1149">
        <v>0.98374870000000003</v>
      </c>
      <c r="AB1149">
        <v>31</v>
      </c>
      <c r="AC1149">
        <v>0.63360000000000105</v>
      </c>
      <c r="AD1149">
        <v>-7.1968000000000004E-2</v>
      </c>
      <c r="AE1149">
        <v>-0.16240000000004701</v>
      </c>
      <c r="AF1149">
        <v>0.14520810498745201</v>
      </c>
      <c r="AG1149">
        <v>-7.1968000000000004E-2</v>
      </c>
      <c r="AH1149">
        <v>0.62973300726104497</v>
      </c>
      <c r="AI1149">
        <v>96.354342465246006</v>
      </c>
      <c r="AJ1149">
        <v>77.015308830389301</v>
      </c>
      <c r="AK1149">
        <v>0.65025260261846396</v>
      </c>
      <c r="AL1149">
        <v>85.946238302362204</v>
      </c>
      <c r="AM1149">
        <v>82.9654355106738</v>
      </c>
      <c r="AN1149">
        <v>1.0000000588928399</v>
      </c>
    </row>
    <row r="1150" spans="1:40" x14ac:dyDescent="0.25">
      <c r="A1150" t="str">
        <f>"20190312151007456"</f>
        <v>20190312151007456</v>
      </c>
      <c r="B1150" t="str">
        <f>"1552374607451839"</f>
        <v>1552374607451839</v>
      </c>
      <c r="C1150" t="s">
        <v>40</v>
      </c>
      <c r="D1150">
        <v>5.5971359999999999</v>
      </c>
      <c r="E1150">
        <v>0.52193579999999995</v>
      </c>
      <c r="F1150" t="s">
        <v>42</v>
      </c>
      <c r="G1150">
        <v>-221.5822</v>
      </c>
      <c r="H1150" s="1">
        <v>-4.4578379999999997E-6</v>
      </c>
      <c r="I1150">
        <v>364.7439</v>
      </c>
      <c r="J1150">
        <v>-233.84710000000001</v>
      </c>
      <c r="K1150">
        <v>1.1100000000000001</v>
      </c>
      <c r="L1150">
        <v>367.3467</v>
      </c>
      <c r="M1150">
        <v>0.99961440000000001</v>
      </c>
      <c r="N1150">
        <v>0</v>
      </c>
      <c r="O1150">
        <v>-2.4415019999999999E-2</v>
      </c>
      <c r="P1150">
        <v>0.98760599999999998</v>
      </c>
      <c r="Q1150">
        <v>5.7480700000000003E-2</v>
      </c>
      <c r="R1150">
        <v>-0.14605029999999999</v>
      </c>
      <c r="S1150">
        <v>2.9612120000000002</v>
      </c>
      <c r="T1150">
        <v>-0.26448319999999997</v>
      </c>
      <c r="U1150">
        <v>-0.62115480000000001</v>
      </c>
      <c r="V1150">
        <v>0.1219336</v>
      </c>
      <c r="W1150">
        <v>7.0522199999999993E-2</v>
      </c>
      <c r="X1150">
        <v>0.99002970000000001</v>
      </c>
      <c r="Y1150">
        <v>0.18074209999999999</v>
      </c>
      <c r="Z1150">
        <v>-5.8176290000000004E-3</v>
      </c>
      <c r="AA1150">
        <v>0.98351330000000003</v>
      </c>
      <c r="AB1150">
        <v>31</v>
      </c>
      <c r="AC1150">
        <v>12.264900000000001</v>
      </c>
      <c r="AD1150">
        <v>-1.1100044578379999</v>
      </c>
      <c r="AE1150">
        <v>-2.6027999999999998</v>
      </c>
      <c r="AF1150">
        <v>2.2846435897982902</v>
      </c>
      <c r="AG1150">
        <v>-1.1100044578379999</v>
      </c>
      <c r="AH1150">
        <v>12.228949045297201</v>
      </c>
      <c r="AI1150">
        <v>95.098705633664395</v>
      </c>
      <c r="AJ1150">
        <v>79.417845441906394</v>
      </c>
      <c r="AK1150">
        <v>12.4899520007605</v>
      </c>
      <c r="AL1150">
        <v>85.956018779983395</v>
      </c>
      <c r="AM1150">
        <v>82.978721458157295</v>
      </c>
      <c r="AN1150">
        <v>0.99999999519194405</v>
      </c>
    </row>
    <row r="1151" spans="1:40" x14ac:dyDescent="0.25">
      <c r="A1151" t="str">
        <f>"20190312151007469"</f>
        <v>20190312151007469</v>
      </c>
      <c r="B1151" t="str">
        <f>"1552374607461598"</f>
        <v>1552374607461598</v>
      </c>
      <c r="C1151" t="s">
        <v>40</v>
      </c>
      <c r="D1151">
        <v>5.5970019999999998</v>
      </c>
      <c r="E1151">
        <v>0.52186880000000002</v>
      </c>
      <c r="F1151" t="s">
        <v>42</v>
      </c>
      <c r="G1151">
        <v>-220.81200000000001</v>
      </c>
      <c r="H1151" s="1">
        <v>-4.8101020000000004E-6</v>
      </c>
      <c r="I1151">
        <v>364.6207</v>
      </c>
      <c r="J1151">
        <v>-233.67320000000001</v>
      </c>
      <c r="K1151">
        <v>1.110001</v>
      </c>
      <c r="L1151">
        <v>367.34230000000002</v>
      </c>
      <c r="M1151">
        <v>0.99961109999999997</v>
      </c>
      <c r="N1151">
        <v>0</v>
      </c>
      <c r="O1151">
        <v>-2.4557679999999998E-2</v>
      </c>
      <c r="P1151">
        <v>0.98758639999999998</v>
      </c>
      <c r="Q1151">
        <v>5.7227020000000003E-2</v>
      </c>
      <c r="R1151">
        <v>-0.146282299999999</v>
      </c>
      <c r="S1151">
        <v>2.9607540000000001</v>
      </c>
      <c r="T1151">
        <v>-0.25212180000000001</v>
      </c>
      <c r="U1151">
        <v>-0.61917109999999997</v>
      </c>
      <c r="V1151">
        <v>0.12202440000000001</v>
      </c>
      <c r="W1151">
        <v>7.025062E-2</v>
      </c>
      <c r="X1151">
        <v>0.99003790000000003</v>
      </c>
      <c r="Y1151">
        <v>0.18005789999999999</v>
      </c>
      <c r="Z1151">
        <v>-5.5071540000000002E-3</v>
      </c>
      <c r="AA1151">
        <v>0.98364059999999998</v>
      </c>
      <c r="AB1151">
        <v>31</v>
      </c>
      <c r="AC1151">
        <v>12.861199999999901</v>
      </c>
      <c r="AD1151">
        <v>-1.1100058101019901</v>
      </c>
      <c r="AE1151">
        <v>-2.72160000000002</v>
      </c>
      <c r="AF1151">
        <v>2.38788568698704</v>
      </c>
      <c r="AG1151">
        <v>-1.1100058101019901</v>
      </c>
      <c r="AH1151">
        <v>12.8326713161168</v>
      </c>
      <c r="AI1151">
        <v>94.860664710828104</v>
      </c>
      <c r="AJ1151">
        <v>79.459038510011794</v>
      </c>
      <c r="AK1151">
        <v>13.100059696813</v>
      </c>
      <c r="AL1151">
        <v>85.971618173186897</v>
      </c>
      <c r="AM1151">
        <v>82.973602800088997</v>
      </c>
      <c r="AN1151">
        <v>1.0000000736210699</v>
      </c>
    </row>
    <row r="1152" spans="1:40" x14ac:dyDescent="0.25">
      <c r="A1152" t="str">
        <f>"20190312151007487"</f>
        <v>20190312151007487</v>
      </c>
      <c r="B1152" t="str">
        <f>"1552374607482094"</f>
        <v>1552374607482094</v>
      </c>
      <c r="C1152" t="s">
        <v>40</v>
      </c>
      <c r="D1152">
        <v>5.5157600000000002</v>
      </c>
      <c r="E1152">
        <v>0.52214589999999905</v>
      </c>
      <c r="F1152" t="s">
        <v>42</v>
      </c>
      <c r="G1152">
        <v>-220.11760000000001</v>
      </c>
      <c r="H1152" s="1">
        <v>-5.1283859999999999E-6</v>
      </c>
      <c r="I1152">
        <v>364.50560000000002</v>
      </c>
      <c r="J1152">
        <v>-233.41990000000001</v>
      </c>
      <c r="K1152">
        <v>1.109999</v>
      </c>
      <c r="L1152">
        <v>367.33580000000001</v>
      </c>
      <c r="M1152">
        <v>0.99960629999999995</v>
      </c>
      <c r="N1152">
        <v>0</v>
      </c>
      <c r="O1152">
        <v>-2.4765840000000001E-2</v>
      </c>
      <c r="P1152">
        <v>0.98756509999999997</v>
      </c>
      <c r="Q1152">
        <v>5.6760789999999998E-2</v>
      </c>
      <c r="R1152">
        <v>-0.14660709999999999</v>
      </c>
      <c r="S1152">
        <v>2.9600219999999999</v>
      </c>
      <c r="T1152">
        <v>-0.2423816</v>
      </c>
      <c r="U1152">
        <v>-0.6194153</v>
      </c>
      <c r="V1152">
        <v>0.12214270000000001</v>
      </c>
      <c r="W1152">
        <v>6.9759710000000003E-2</v>
      </c>
      <c r="X1152">
        <v>0.99005790000000005</v>
      </c>
      <c r="Y1152">
        <v>0.18002089999999901</v>
      </c>
      <c r="Z1152">
        <v>-5.2780250000000004E-3</v>
      </c>
      <c r="AA1152">
        <v>0.98364870000000004</v>
      </c>
      <c r="AB1152">
        <v>31</v>
      </c>
      <c r="AC1152">
        <v>13.302300000000001</v>
      </c>
      <c r="AD1152">
        <v>-1.110004128386</v>
      </c>
      <c r="AE1152">
        <v>-2.8301999999999898</v>
      </c>
      <c r="AF1152">
        <v>2.4833179980651101</v>
      </c>
      <c r="AG1152">
        <v>-1.110004128386</v>
      </c>
      <c r="AH1152">
        <v>13.2798545441738</v>
      </c>
      <c r="AI1152">
        <v>94.696950010136305</v>
      </c>
      <c r="AJ1152">
        <v>79.408083874915107</v>
      </c>
      <c r="AK1152">
        <v>13.5555713328122</v>
      </c>
      <c r="AL1152">
        <v>85.999813926370393</v>
      </c>
      <c r="AM1152">
        <v>82.966999702846294</v>
      </c>
      <c r="AN1152">
        <v>0.99999995082749005</v>
      </c>
    </row>
    <row r="1153" spans="1:40" x14ac:dyDescent="0.25">
      <c r="A1153" t="str">
        <f>"20190312151007510"</f>
        <v>20190312151007510</v>
      </c>
      <c r="B1153" t="str">
        <f>"1552374607501614"</f>
        <v>1552374607501614</v>
      </c>
      <c r="C1153" t="s">
        <v>40</v>
      </c>
      <c r="D1153">
        <v>5.5074779999999999</v>
      </c>
      <c r="E1153">
        <v>0.52187709999999998</v>
      </c>
      <c r="F1153" t="s">
        <v>42</v>
      </c>
      <c r="G1153">
        <v>-220.167</v>
      </c>
      <c r="H1153" s="1">
        <v>-5.0997560000000003E-6</v>
      </c>
      <c r="I1153">
        <v>364.54759999999999</v>
      </c>
      <c r="J1153">
        <v>-233.10560000000001</v>
      </c>
      <c r="K1153">
        <v>1.1100030000000001</v>
      </c>
      <c r="L1153">
        <v>367.32780000000002</v>
      </c>
      <c r="M1153">
        <v>0.99960020000000005</v>
      </c>
      <c r="N1153">
        <v>0</v>
      </c>
      <c r="O1153">
        <v>-2.5024520000000001E-2</v>
      </c>
      <c r="P1153">
        <v>0.98757329999999999</v>
      </c>
      <c r="Q1153">
        <v>5.6611660000000001E-2</v>
      </c>
      <c r="R1153">
        <v>-0.1466094</v>
      </c>
      <c r="S1153">
        <v>2.9595950000000002</v>
      </c>
      <c r="T1153">
        <v>-0.2478813</v>
      </c>
      <c r="U1153">
        <v>-0.62265009999999998</v>
      </c>
      <c r="V1153">
        <v>0.1218878</v>
      </c>
      <c r="W1153">
        <v>6.9583229999999996E-2</v>
      </c>
      <c r="X1153">
        <v>0.99010180000000003</v>
      </c>
      <c r="Y1153">
        <v>0.18079999999999999</v>
      </c>
      <c r="Z1153">
        <v>-5.4084149999999998E-3</v>
      </c>
      <c r="AA1153">
        <v>0.98350499999999996</v>
      </c>
      <c r="AB1153">
        <v>31</v>
      </c>
      <c r="AC1153">
        <v>12.938599999999999</v>
      </c>
      <c r="AD1153">
        <v>-1.110008099756</v>
      </c>
      <c r="AE1153">
        <v>-2.78020000000003</v>
      </c>
      <c r="AF1153">
        <v>2.4383645826119298</v>
      </c>
      <c r="AG1153">
        <v>-1.110008099756</v>
      </c>
      <c r="AH1153">
        <v>12.913279478190899</v>
      </c>
      <c r="AI1153">
        <v>94.828085650159906</v>
      </c>
      <c r="AJ1153">
        <v>79.306961277291904</v>
      </c>
      <c r="AK1153">
        <v>13.188272316764101</v>
      </c>
      <c r="AL1153">
        <v>86.009950385644302</v>
      </c>
      <c r="AM1153">
        <v>82.981838449086894</v>
      </c>
      <c r="AN1153">
        <v>1.00000001802465</v>
      </c>
    </row>
    <row r="1154" spans="1:40" x14ac:dyDescent="0.25">
      <c r="A1154" t="str">
        <f>"20190312151007523"</f>
        <v>20190312151007523</v>
      </c>
      <c r="B1154" t="str">
        <f>"1552374607511374"</f>
        <v>1552374607511374</v>
      </c>
      <c r="C1154" t="s">
        <v>40</v>
      </c>
      <c r="D1154">
        <v>5.5992430000000004</v>
      </c>
      <c r="E1154">
        <v>0.52179019999999998</v>
      </c>
      <c r="F1154" t="s">
        <v>42</v>
      </c>
      <c r="G1154">
        <v>-219.0907</v>
      </c>
      <c r="H1154" s="1">
        <v>-1.6864240000000001E-6</v>
      </c>
      <c r="I1154">
        <v>364.38900000000001</v>
      </c>
      <c r="J1154">
        <v>-232.9196</v>
      </c>
      <c r="K1154">
        <v>1.1100030000000001</v>
      </c>
      <c r="L1154">
        <v>367.3229</v>
      </c>
      <c r="M1154">
        <v>0.9995967</v>
      </c>
      <c r="N1154">
        <v>0</v>
      </c>
      <c r="O1154">
        <v>-2.5177450000000001E-2</v>
      </c>
      <c r="P1154">
        <v>0.98755059999999995</v>
      </c>
      <c r="Q1154">
        <v>5.6896189999999999E-2</v>
      </c>
      <c r="R1154">
        <v>-0.146652799999999</v>
      </c>
      <c r="S1154">
        <v>2.959076</v>
      </c>
      <c r="T1154">
        <v>-0.2343624</v>
      </c>
      <c r="U1154">
        <v>-0.62048340000000002</v>
      </c>
      <c r="V1154">
        <v>0.1217801</v>
      </c>
      <c r="W1154">
        <v>6.9852479999999995E-2</v>
      </c>
      <c r="X1154">
        <v>0.99009610000000003</v>
      </c>
      <c r="Y1154">
        <v>0.1800523</v>
      </c>
      <c r="Z1154">
        <v>-5.0744229999999998E-3</v>
      </c>
      <c r="AA1154">
        <v>0.98364390000000002</v>
      </c>
      <c r="AB1154">
        <v>31</v>
      </c>
      <c r="AC1154">
        <v>13.828900000000001</v>
      </c>
      <c r="AD1154">
        <v>-1.1100046864240001</v>
      </c>
      <c r="AE1154">
        <v>-2.9338999999999902</v>
      </c>
      <c r="AF1154">
        <v>2.5689251354254998</v>
      </c>
      <c r="AG1154">
        <v>-1.1100046864240001</v>
      </c>
      <c r="AH1154">
        <v>13.8132273680034</v>
      </c>
      <c r="AI1154">
        <v>94.517182730161394</v>
      </c>
      <c r="AJ1154">
        <v>79.464735763325606</v>
      </c>
      <c r="AK1154">
        <v>14.0938545854377</v>
      </c>
      <c r="AL1154">
        <v>85.994485894091099</v>
      </c>
      <c r="AM1154">
        <v>82.987937965373106</v>
      </c>
      <c r="AN1154">
        <v>1.00000002447668</v>
      </c>
    </row>
    <row r="1155" spans="1:40" x14ac:dyDescent="0.25">
      <c r="A1155" t="str">
        <f>"20190312151007544"</f>
        <v>20190312151007544</v>
      </c>
      <c r="B1155" t="str">
        <f>"1552374607531871"</f>
        <v>1552374607531871</v>
      </c>
      <c r="C1155" t="s">
        <v>40</v>
      </c>
      <c r="D1155">
        <v>5.503482</v>
      </c>
      <c r="E1155">
        <v>0.52171670000000003</v>
      </c>
      <c r="F1155" t="s">
        <v>42</v>
      </c>
      <c r="G1155">
        <v>-218.4949</v>
      </c>
      <c r="H1155" s="1">
        <v>-1.9124199999999998E-6</v>
      </c>
      <c r="I1155">
        <v>364.30160000000001</v>
      </c>
      <c r="J1155">
        <v>-232.62870000000001</v>
      </c>
      <c r="K1155">
        <v>1.110006</v>
      </c>
      <c r="L1155">
        <v>367.31529999999998</v>
      </c>
      <c r="M1155">
        <v>0.99959089999999995</v>
      </c>
      <c r="N1155">
        <v>0</v>
      </c>
      <c r="O1155">
        <v>-2.541558E-2</v>
      </c>
      <c r="P1155">
        <v>0.98754219999999904</v>
      </c>
      <c r="Q1155">
        <v>5.7129439999999997E-2</v>
      </c>
      <c r="R1155">
        <v>-0.14661859999999999</v>
      </c>
      <c r="S1155">
        <v>2.9589080000000001</v>
      </c>
      <c r="T1155">
        <v>-0.22769210000000001</v>
      </c>
      <c r="U1155">
        <v>-0.61975100000000005</v>
      </c>
      <c r="V1155">
        <v>0.12151000000000001</v>
      </c>
      <c r="W1155">
        <v>7.0064130000000002E-2</v>
      </c>
      <c r="X1155">
        <v>0.9901143</v>
      </c>
      <c r="Y1155">
        <v>0.179623799999999</v>
      </c>
      <c r="Z1155">
        <v>-4.8964489999999998E-3</v>
      </c>
      <c r="AA1155">
        <v>0.98372320000000002</v>
      </c>
      <c r="AB1155">
        <v>31</v>
      </c>
      <c r="AC1155">
        <v>14.133800000000001</v>
      </c>
      <c r="AD1155">
        <v>-1.11000791242</v>
      </c>
      <c r="AE1155">
        <v>-3.0136999999999698</v>
      </c>
      <c r="AF1155">
        <v>2.63791397846596</v>
      </c>
      <c r="AG1155">
        <v>-1.11000791242</v>
      </c>
      <c r="AH1155">
        <v>14.1225175397578</v>
      </c>
      <c r="AI1155">
        <v>94.418019388460095</v>
      </c>
      <c r="AJ1155">
        <v>79.419770004479005</v>
      </c>
      <c r="AK1155">
        <v>14.4095874120041</v>
      </c>
      <c r="AL1155">
        <v>85.982329338673395</v>
      </c>
      <c r="AM1155">
        <v>83.003463260377202</v>
      </c>
      <c r="AN1155">
        <v>0.99999999473857304</v>
      </c>
    </row>
    <row r="1156" spans="1:40" x14ac:dyDescent="0.25">
      <c r="A1156" t="str">
        <f>"20190312151007566"</f>
        <v>20190312151007566</v>
      </c>
      <c r="B1156" t="str">
        <f>"1552374607562127"</f>
        <v>1552374607562127</v>
      </c>
      <c r="C1156" t="s">
        <v>40</v>
      </c>
      <c r="D1156">
        <v>5.5414479999999999</v>
      </c>
      <c r="E1156">
        <v>0.52166749999999995</v>
      </c>
      <c r="F1156" t="s">
        <v>42</v>
      </c>
      <c r="G1156">
        <v>-217.56979999999999</v>
      </c>
      <c r="H1156" s="1">
        <v>-2.263875E-6</v>
      </c>
      <c r="I1156">
        <v>364.16390000000001</v>
      </c>
      <c r="J1156">
        <v>-232.3219</v>
      </c>
      <c r="K1156">
        <v>1.1100049999999999</v>
      </c>
      <c r="L1156">
        <v>367.30720000000002</v>
      </c>
      <c r="M1156">
        <v>0.99958469999999999</v>
      </c>
      <c r="N1156">
        <v>0</v>
      </c>
      <c r="O1156">
        <v>-2.566587E-2</v>
      </c>
      <c r="P1156">
        <v>0.98754839999999999</v>
      </c>
      <c r="Q1156">
        <v>5.7515669999999998E-2</v>
      </c>
      <c r="R1156">
        <v>-0.14642539999999901</v>
      </c>
      <c r="S1156">
        <v>2.958542</v>
      </c>
      <c r="T1156">
        <v>-0.21807589999999999</v>
      </c>
      <c r="U1156">
        <v>-0.61914060000000004</v>
      </c>
      <c r="V1156">
        <v>0.1210687</v>
      </c>
      <c r="W1156">
        <v>7.0430400000000004E-2</v>
      </c>
      <c r="X1156">
        <v>0.99014239999999998</v>
      </c>
      <c r="Y1156">
        <v>0.17924499999999999</v>
      </c>
      <c r="Z1156">
        <v>-4.6588790000000003E-3</v>
      </c>
      <c r="AA1156">
        <v>0.98379340000000004</v>
      </c>
      <c r="AB1156">
        <v>31</v>
      </c>
      <c r="AC1156">
        <v>14.7521</v>
      </c>
      <c r="AD1156">
        <v>-1.11000726387499</v>
      </c>
      <c r="AE1156">
        <v>-3.1433</v>
      </c>
      <c r="AF1156">
        <v>2.7487198944373299</v>
      </c>
      <c r="AG1156">
        <v>-1.11000726387499</v>
      </c>
      <c r="AH1156">
        <v>14.748049736176601</v>
      </c>
      <c r="AI1156">
        <v>94.231635220973899</v>
      </c>
      <c r="AJ1156">
        <v>79.442430305762898</v>
      </c>
      <c r="AK1156">
        <v>15.043023240182499</v>
      </c>
      <c r="AL1156">
        <v>85.961291751512405</v>
      </c>
      <c r="AM1156">
        <v>83.028818686250801</v>
      </c>
      <c r="AN1156">
        <v>1.0000000218208001</v>
      </c>
    </row>
    <row r="1157" spans="1:40" x14ac:dyDescent="0.25">
      <c r="A1157" t="str">
        <f>"20190312151007588"</f>
        <v>20190312151007588</v>
      </c>
      <c r="B1157" t="str">
        <f>"1552374607581647"</f>
        <v>1552374607581647</v>
      </c>
      <c r="C1157" t="s">
        <v>40</v>
      </c>
      <c r="D1157">
        <v>5.4990569999999996</v>
      </c>
      <c r="E1157">
        <v>0.52160280000000003</v>
      </c>
      <c r="F1157" t="s">
        <v>42</v>
      </c>
      <c r="G1157">
        <v>-216.36580000000001</v>
      </c>
      <c r="H1157" s="1">
        <v>-2.724235E-6</v>
      </c>
      <c r="I1157">
        <v>363.9735</v>
      </c>
      <c r="J1157">
        <v>-232.006</v>
      </c>
      <c r="K1157">
        <v>1.110007</v>
      </c>
      <c r="L1157">
        <v>367.29880000000003</v>
      </c>
      <c r="M1157">
        <v>0.99957830000000003</v>
      </c>
      <c r="N1157">
        <v>0</v>
      </c>
      <c r="O1157">
        <v>-2.592322E-2</v>
      </c>
      <c r="P1157">
        <v>0.98760519999999996</v>
      </c>
      <c r="Q1157">
        <v>5.7757259999999998E-2</v>
      </c>
      <c r="R1157">
        <v>-0.14594470000000001</v>
      </c>
      <c r="S1157">
        <v>2.9581759999999999</v>
      </c>
      <c r="T1157">
        <v>-0.20578850000000001</v>
      </c>
      <c r="U1157">
        <v>-0.61804199999999998</v>
      </c>
      <c r="V1157">
        <v>0.1203317</v>
      </c>
      <c r="W1157">
        <v>7.0654419999999996E-2</v>
      </c>
      <c r="X1157">
        <v>0.99021630000000005</v>
      </c>
      <c r="Y1157">
        <v>0.17871139999999999</v>
      </c>
      <c r="Z1157">
        <v>-4.3616970000000003E-3</v>
      </c>
      <c r="AA1157">
        <v>0.98389190000000004</v>
      </c>
      <c r="AB1157">
        <v>31</v>
      </c>
      <c r="AC1157">
        <v>15.640199999999901</v>
      </c>
      <c r="AD1157">
        <v>-1.110009724235</v>
      </c>
      <c r="AE1157">
        <v>-3.3253000000000199</v>
      </c>
      <c r="AF1157">
        <v>2.9047051127919201</v>
      </c>
      <c r="AG1157">
        <v>-1.110009724235</v>
      </c>
      <c r="AH1157">
        <v>15.645754076429901</v>
      </c>
      <c r="AI1157">
        <v>93.990171571063897</v>
      </c>
      <c r="AJ1157">
        <v>79.482525348276695</v>
      </c>
      <c r="AK1157">
        <v>15.951772754158</v>
      </c>
      <c r="AL1157">
        <v>85.948424381291801</v>
      </c>
      <c r="AM1157">
        <v>83.071353708793296</v>
      </c>
      <c r="AN1157">
        <v>1.00000004293805</v>
      </c>
    </row>
    <row r="1158" spans="1:40" x14ac:dyDescent="0.25">
      <c r="A1158" t="str">
        <f>"20190312151007610"</f>
        <v>20190312151007610</v>
      </c>
      <c r="B1158" t="str">
        <f>"1552374607602142"</f>
        <v>1552374607602142</v>
      </c>
      <c r="C1158" t="s">
        <v>40</v>
      </c>
      <c r="D1158">
        <v>5.5320359999999997</v>
      </c>
      <c r="E1158">
        <v>0.52183679999999999</v>
      </c>
      <c r="F1158" t="s">
        <v>42</v>
      </c>
      <c r="G1158">
        <v>-215.57149999999999</v>
      </c>
      <c r="H1158" s="1">
        <v>-3.0204069999999999E-6</v>
      </c>
      <c r="I1158">
        <v>363.87630000000001</v>
      </c>
      <c r="J1158">
        <v>-231.69239999999999</v>
      </c>
      <c r="K1158">
        <v>1.110007</v>
      </c>
      <c r="L1158">
        <v>367.29039999999998</v>
      </c>
      <c r="M1158">
        <v>0.99957180000000001</v>
      </c>
      <c r="N1158">
        <v>0</v>
      </c>
      <c r="O1158">
        <v>-2.6179029999999999E-2</v>
      </c>
      <c r="P1158">
        <v>0.98764059999999998</v>
      </c>
      <c r="Q1158">
        <v>5.8166179999999998E-2</v>
      </c>
      <c r="R1158">
        <v>-0.14554220000000001</v>
      </c>
      <c r="S1158">
        <v>2.9582980000000001</v>
      </c>
      <c r="T1158">
        <v>-0.1998074</v>
      </c>
      <c r="U1158">
        <v>-0.61605829999999995</v>
      </c>
      <c r="V1158">
        <v>0.1196749</v>
      </c>
      <c r="W1158">
        <v>7.1047780000000005E-2</v>
      </c>
      <c r="X1158">
        <v>0.99026769999999997</v>
      </c>
      <c r="Y1158">
        <v>0.17784179999999999</v>
      </c>
      <c r="Z1158">
        <v>-4.1892509999999997E-3</v>
      </c>
      <c r="AA1158">
        <v>0.98405019999999999</v>
      </c>
      <c r="AB1158">
        <v>31</v>
      </c>
      <c r="AC1158">
        <v>16.120899999999999</v>
      </c>
      <c r="AD1158">
        <v>-1.110010020407</v>
      </c>
      <c r="AE1158">
        <v>-3.4140999999999599</v>
      </c>
      <c r="AF1158">
        <v>2.9773542265592998</v>
      </c>
      <c r="AG1158">
        <v>-1.110010020407</v>
      </c>
      <c r="AH1158">
        <v>16.1315617489924</v>
      </c>
      <c r="AI1158">
        <v>93.871129152798304</v>
      </c>
      <c r="AJ1158">
        <v>79.542770868306903</v>
      </c>
      <c r="AK1158">
        <v>16.441534140626</v>
      </c>
      <c r="AL1158">
        <v>85.925829528749304</v>
      </c>
      <c r="AM1158">
        <v>83.109161568796097</v>
      </c>
      <c r="AN1158">
        <v>0.99999999319811395</v>
      </c>
    </row>
    <row r="1159" spans="1:40" x14ac:dyDescent="0.25">
      <c r="A1159" t="str">
        <f>"20190312151007633"</f>
        <v>20190312151007633</v>
      </c>
      <c r="B1159" t="str">
        <f>"1552374607621662"</f>
        <v>1552374607621662</v>
      </c>
      <c r="C1159" t="s">
        <v>40</v>
      </c>
      <c r="D1159">
        <v>5.5039480000000003</v>
      </c>
      <c r="E1159">
        <v>0.52205820000000003</v>
      </c>
      <c r="F1159" t="s">
        <v>42</v>
      </c>
      <c r="G1159">
        <v>-215.0463</v>
      </c>
      <c r="H1159" s="1">
        <v>-3.214288E-6</v>
      </c>
      <c r="I1159">
        <v>363.81939999999997</v>
      </c>
      <c r="J1159">
        <v>-231.37960000000001</v>
      </c>
      <c r="K1159">
        <v>1.1100110000000001</v>
      </c>
      <c r="L1159">
        <v>367.28190000000001</v>
      </c>
      <c r="M1159">
        <v>0.99956520000000004</v>
      </c>
      <c r="N1159">
        <v>0</v>
      </c>
      <c r="O1159">
        <v>-2.6434389999999999E-2</v>
      </c>
      <c r="P1159">
        <v>0.98761829999999995</v>
      </c>
      <c r="Q1159">
        <v>5.8596969999999998E-2</v>
      </c>
      <c r="R1159">
        <v>-0.14552209999999999</v>
      </c>
      <c r="S1159">
        <v>2.9582670000000002</v>
      </c>
      <c r="T1159">
        <v>-0.19726550000000001</v>
      </c>
      <c r="U1159">
        <v>-0.61685179999999995</v>
      </c>
      <c r="V1159">
        <v>0.1194023</v>
      </c>
      <c r="W1159">
        <v>7.1463470000000001E-2</v>
      </c>
      <c r="X1159">
        <v>0.99027069999999995</v>
      </c>
      <c r="Y1159">
        <v>0.17785429999999999</v>
      </c>
      <c r="Z1159">
        <v>-4.1196109999999996E-3</v>
      </c>
      <c r="AA1159">
        <v>0.98404820000000004</v>
      </c>
      <c r="AB1159">
        <v>31</v>
      </c>
      <c r="AC1159">
        <v>16.333300000000001</v>
      </c>
      <c r="AD1159">
        <v>-1.1100142142880001</v>
      </c>
      <c r="AE1159">
        <v>-3.4625000000000301</v>
      </c>
      <c r="AF1159">
        <v>3.0161608638547701</v>
      </c>
      <c r="AG1159">
        <v>-1.1100142142880001</v>
      </c>
      <c r="AH1159">
        <v>16.346875781545599</v>
      </c>
      <c r="AI1159">
        <v>93.820345491123405</v>
      </c>
      <c r="AJ1159">
        <v>79.545934120223606</v>
      </c>
      <c r="AK1159">
        <v>16.659823100196899</v>
      </c>
      <c r="AL1159">
        <v>85.901951569940294</v>
      </c>
      <c r="AM1159">
        <v>83.1247279991982</v>
      </c>
      <c r="AN1159">
        <v>0.99999999803410999</v>
      </c>
    </row>
    <row r="1160" spans="1:40" x14ac:dyDescent="0.25">
      <c r="A1160" t="str">
        <f>"20190312151007654"</f>
        <v>20190312151007654</v>
      </c>
      <c r="B1160" t="str">
        <f>"1552374607651450"</f>
        <v>1552374607651450</v>
      </c>
      <c r="C1160" t="s">
        <v>40</v>
      </c>
      <c r="D1160">
        <v>5.632447</v>
      </c>
      <c r="E1160">
        <v>0.52240589999999998</v>
      </c>
      <c r="F1160" t="s">
        <v>42</v>
      </c>
      <c r="G1160">
        <v>-214.8946</v>
      </c>
      <c r="H1160" s="1">
        <v>-3.2608900000000001E-6</v>
      </c>
      <c r="I1160">
        <v>363.8383</v>
      </c>
      <c r="J1160">
        <v>-231.08250000000001</v>
      </c>
      <c r="K1160">
        <v>1.1100139999999901</v>
      </c>
      <c r="L1160">
        <v>367.27379999999999</v>
      </c>
      <c r="M1160">
        <v>0.99955899999999998</v>
      </c>
      <c r="N1160">
        <v>0</v>
      </c>
      <c r="O1160">
        <v>-2.6676430000000001E-2</v>
      </c>
      <c r="P1160">
        <v>0.98752700000000004</v>
      </c>
      <c r="Q1160">
        <v>5.8680389999999999E-2</v>
      </c>
      <c r="R1160">
        <v>-0.1461076</v>
      </c>
      <c r="S1160">
        <v>2.9583740000000001</v>
      </c>
      <c r="T1160">
        <v>-0.19920070000000001</v>
      </c>
      <c r="U1160">
        <v>-0.617981</v>
      </c>
      <c r="V1160">
        <v>0.11975</v>
      </c>
      <c r="W1160">
        <v>7.1538169999999998E-2</v>
      </c>
      <c r="X1160">
        <v>0.99022330000000003</v>
      </c>
      <c r="Y1160">
        <v>0.1779628</v>
      </c>
      <c r="Z1160">
        <v>-4.1471650000000004E-3</v>
      </c>
      <c r="AA1160">
        <v>0.98402849999999997</v>
      </c>
      <c r="AB1160">
        <v>31</v>
      </c>
      <c r="AC1160">
        <v>16.187899999999999</v>
      </c>
      <c r="AD1160">
        <v>-1.1100172608900001</v>
      </c>
      <c r="AE1160">
        <v>-3.43549999999999</v>
      </c>
      <c r="AF1160">
        <v>2.9889568087601801</v>
      </c>
      <c r="AG1160">
        <v>-1.1100172608900001</v>
      </c>
      <c r="AH1160">
        <v>16.200899953492499</v>
      </c>
      <c r="AI1160">
        <v>93.854686818407501</v>
      </c>
      <c r="AJ1160">
        <v>79.546857786657299</v>
      </c>
      <c r="AK1160">
        <v>16.511667402996601</v>
      </c>
      <c r="AL1160">
        <v>85.897660510559902</v>
      </c>
      <c r="AM1160">
        <v>83.104572764235897</v>
      </c>
      <c r="AN1160">
        <v>0.99999997806491903</v>
      </c>
    </row>
    <row r="1161" spans="1:40" x14ac:dyDescent="0.25">
      <c r="A1161" t="str">
        <f>"20190312151007676"</f>
        <v>20190312151007676</v>
      </c>
      <c r="B1161" t="str">
        <f>"1552374607671945"</f>
        <v>1552374607671945</v>
      </c>
      <c r="C1161" t="s">
        <v>40</v>
      </c>
      <c r="D1161">
        <v>5.5243859999999998</v>
      </c>
      <c r="E1161">
        <v>0.53946079999999996</v>
      </c>
      <c r="F1161" t="s">
        <v>42</v>
      </c>
      <c r="G1161">
        <v>-214.40010000000001</v>
      </c>
      <c r="H1161" s="1">
        <v>-3.4488119999999998E-6</v>
      </c>
      <c r="I1161">
        <v>363.76440000000002</v>
      </c>
      <c r="J1161">
        <v>-230.76859999999999</v>
      </c>
      <c r="K1161">
        <v>1.11002</v>
      </c>
      <c r="L1161">
        <v>367.26510000000002</v>
      </c>
      <c r="M1161">
        <v>0.9995522</v>
      </c>
      <c r="N1161">
        <v>0</v>
      </c>
      <c r="O1161">
        <v>-2.6933180000000001E-2</v>
      </c>
      <c r="P1161">
        <v>0.98745019999999994</v>
      </c>
      <c r="Q1161">
        <v>5.8090570000000001E-2</v>
      </c>
      <c r="R1161">
        <v>-0.1468602</v>
      </c>
      <c r="S1161">
        <v>2.9575200000000001</v>
      </c>
      <c r="T1161">
        <v>-0.1967875</v>
      </c>
      <c r="U1161">
        <v>-0.62216190000000005</v>
      </c>
      <c r="V1161">
        <v>0.1202495</v>
      </c>
      <c r="W1161">
        <v>7.0949319999999996E-2</v>
      </c>
      <c r="X1161">
        <v>0.99020520000000001</v>
      </c>
      <c r="Y1161">
        <v>0.1791053</v>
      </c>
      <c r="Z1161">
        <v>-4.1183130000000002E-3</v>
      </c>
      <c r="AA1161">
        <v>0.98382130000000001</v>
      </c>
      <c r="AB1161">
        <v>31</v>
      </c>
      <c r="AC1161">
        <v>16.368499999999901</v>
      </c>
      <c r="AD1161">
        <v>-1.110023448812</v>
      </c>
      <c r="AE1161">
        <v>-3.5006999999999899</v>
      </c>
      <c r="AF1161">
        <v>3.0451450670540599</v>
      </c>
      <c r="AG1161">
        <v>-1.110023448812</v>
      </c>
      <c r="AH1161">
        <v>16.384799088150402</v>
      </c>
      <c r="AI1161">
        <v>93.810647902331894</v>
      </c>
      <c r="AJ1161">
        <v>79.471597326733203</v>
      </c>
      <c r="AK1161">
        <v>16.7022963000712</v>
      </c>
      <c r="AL1161">
        <v>85.931485347351199</v>
      </c>
      <c r="AM1161">
        <v>83.0759639247987</v>
      </c>
      <c r="AN1161">
        <v>1.0000000431828699</v>
      </c>
    </row>
    <row r="1162" spans="1:40" x14ac:dyDescent="0.25">
      <c r="A1162" t="str">
        <f>"20190312151007691"</f>
        <v>20190312151007691</v>
      </c>
      <c r="B1162" t="str">
        <f>"1552374607681705"</f>
        <v>1552374607681705</v>
      </c>
      <c r="C1162" t="s">
        <v>40</v>
      </c>
      <c r="D1162">
        <v>5.5493059999999996</v>
      </c>
      <c r="E1162">
        <v>0.53863909999999904</v>
      </c>
      <c r="F1162" t="s">
        <v>42</v>
      </c>
      <c r="G1162">
        <v>-219.48070000000001</v>
      </c>
      <c r="H1162" s="1">
        <v>-1.565288E-6</v>
      </c>
      <c r="I1162">
        <v>364.34530000000001</v>
      </c>
      <c r="J1162">
        <v>-230.57140000000001</v>
      </c>
      <c r="K1162">
        <v>1.1100239999999999</v>
      </c>
      <c r="L1162">
        <v>367.25959999999998</v>
      </c>
      <c r="M1162">
        <v>0.99954770000000004</v>
      </c>
      <c r="N1162">
        <v>0</v>
      </c>
      <c r="O1162">
        <v>-2.709626E-2</v>
      </c>
      <c r="P1162">
        <v>0.98733439999999995</v>
      </c>
      <c r="Q1162">
        <v>5.7905030000000003E-2</v>
      </c>
      <c r="R1162">
        <v>-0.1477098</v>
      </c>
      <c r="S1162">
        <v>2.9419710000000001</v>
      </c>
      <c r="T1162">
        <v>-0.28930470000000003</v>
      </c>
      <c r="U1162">
        <v>-0.7609863</v>
      </c>
      <c r="V1162">
        <v>0.12093959999999999</v>
      </c>
      <c r="W1162">
        <v>7.0767650000000001E-2</v>
      </c>
      <c r="X1162">
        <v>0.99013410000000002</v>
      </c>
      <c r="Y1162">
        <v>0.2232112</v>
      </c>
      <c r="Z1162">
        <v>-8.1593789999999996E-3</v>
      </c>
      <c r="AA1162">
        <v>0.97473600000000005</v>
      </c>
      <c r="AB1162">
        <v>31</v>
      </c>
      <c r="AC1162">
        <v>11.090699999999901</v>
      </c>
      <c r="AD1162">
        <v>-1.110025565288</v>
      </c>
      <c r="AE1162">
        <v>-2.9142999999999599</v>
      </c>
      <c r="AF1162">
        <v>2.58843345340527</v>
      </c>
      <c r="AG1162">
        <v>-1.110025565288</v>
      </c>
      <c r="AH1162">
        <v>11.0619473341697</v>
      </c>
      <c r="AI1162">
        <v>95.580488647930494</v>
      </c>
      <c r="AJ1162">
        <v>76.830063656817899</v>
      </c>
      <c r="AK1162">
        <v>11.4148509986878</v>
      </c>
      <c r="AL1162">
        <v>85.941920291360404</v>
      </c>
      <c r="AM1162">
        <v>83.036121479907905</v>
      </c>
      <c r="AN1162">
        <v>0.99999999155874597</v>
      </c>
    </row>
    <row r="1163" spans="1:40" x14ac:dyDescent="0.25">
      <c r="A1163" t="str">
        <f>"20190312151007711"</f>
        <v>20190312151007711</v>
      </c>
      <c r="B1163" t="str">
        <f>"1552374607702202"</f>
        <v>1552374607702202</v>
      </c>
      <c r="C1163" t="s">
        <v>40</v>
      </c>
      <c r="D1163">
        <v>5.6277660000000003</v>
      </c>
      <c r="E1163">
        <v>0.53860589999999997</v>
      </c>
      <c r="F1163" t="s">
        <v>42</v>
      </c>
      <c r="G1163">
        <v>-218.71680000000001</v>
      </c>
      <c r="H1163" s="1">
        <v>-1.8612160000000001E-6</v>
      </c>
      <c r="I1163">
        <v>364.21030000000002</v>
      </c>
      <c r="J1163">
        <v>-230.29050000000001</v>
      </c>
      <c r="K1163">
        <v>1.1100239999999999</v>
      </c>
      <c r="L1163">
        <v>367.25170000000003</v>
      </c>
      <c r="M1163">
        <v>0.99954120000000002</v>
      </c>
      <c r="N1163">
        <v>0</v>
      </c>
      <c r="O1163">
        <v>-2.733004E-2</v>
      </c>
      <c r="P1163">
        <v>0.98717250000000001</v>
      </c>
      <c r="Q1163">
        <v>5.7781989999999998E-2</v>
      </c>
      <c r="R1163">
        <v>-0.14883640000000001</v>
      </c>
      <c r="S1163">
        <v>2.9414669999999998</v>
      </c>
      <c r="T1163">
        <v>-0.275426</v>
      </c>
      <c r="U1163">
        <v>-0.75662229999999997</v>
      </c>
      <c r="V1163">
        <v>0.121838</v>
      </c>
      <c r="W1163">
        <v>7.065109E-2</v>
      </c>
      <c r="X1163">
        <v>0.99003229999999998</v>
      </c>
      <c r="Y1163">
        <v>0.2217566</v>
      </c>
      <c r="Z1163">
        <v>-7.68397E-3</v>
      </c>
      <c r="AA1163">
        <v>0.97507180000000004</v>
      </c>
      <c r="AB1163">
        <v>31</v>
      </c>
      <c r="AC1163">
        <v>11.573700000000001</v>
      </c>
      <c r="AD1163">
        <v>-1.1100258612160001</v>
      </c>
      <c r="AE1163">
        <v>-3.0413999999999999</v>
      </c>
      <c r="AF1163">
        <v>2.7006892457132099</v>
      </c>
      <c r="AG1163">
        <v>-1.1100258612160001</v>
      </c>
      <c r="AH1163">
        <v>11.5530971338196</v>
      </c>
      <c r="AI1163">
        <v>95.344926552949005</v>
      </c>
      <c r="AJ1163">
        <v>76.8426207127346</v>
      </c>
      <c r="AK1163">
        <v>11.916372484860901</v>
      </c>
      <c r="AL1163">
        <v>85.948615540454298</v>
      </c>
      <c r="AM1163">
        <v>82.984189732437201</v>
      </c>
      <c r="AN1163">
        <v>1.0000000149027299</v>
      </c>
    </row>
    <row r="1164" spans="1:40" x14ac:dyDescent="0.25">
      <c r="A1164" t="str">
        <f>"20190312151007725"</f>
        <v>20190312151007725</v>
      </c>
      <c r="B1164" t="str">
        <f>"1552374607721722"</f>
        <v>1552374607721722</v>
      </c>
      <c r="C1164" t="s">
        <v>40</v>
      </c>
      <c r="D1164">
        <v>5.9678290000000001</v>
      </c>
      <c r="E1164">
        <v>0.52640299999999995</v>
      </c>
      <c r="F1164" t="s">
        <v>42</v>
      </c>
      <c r="G1164">
        <v>-218.60149999999999</v>
      </c>
      <c r="H1164" s="1">
        <v>-1.8951259999999999E-6</v>
      </c>
      <c r="I1164">
        <v>364.23020000000002</v>
      </c>
      <c r="J1164">
        <v>-230.0873</v>
      </c>
      <c r="K1164">
        <v>1.110028</v>
      </c>
      <c r="L1164">
        <v>367.24599999999998</v>
      </c>
      <c r="M1164">
        <v>0.99953639999999999</v>
      </c>
      <c r="N1164">
        <v>0</v>
      </c>
      <c r="O1164">
        <v>-2.7499119999999998E-2</v>
      </c>
      <c r="P1164">
        <v>0.98708770000000001</v>
      </c>
      <c r="Q1164">
        <v>5.7494179999999999E-2</v>
      </c>
      <c r="R1164">
        <v>-0.1495069</v>
      </c>
      <c r="S1164">
        <v>2.9407350000000001</v>
      </c>
      <c r="T1164">
        <v>-0.2792616</v>
      </c>
      <c r="U1164">
        <v>-0.76016240000000002</v>
      </c>
      <c r="V1164">
        <v>0.12234299999999999</v>
      </c>
      <c r="W1164">
        <v>7.0371429999999999E-2</v>
      </c>
      <c r="X1164">
        <v>0.98998989999999998</v>
      </c>
      <c r="Y1164">
        <v>0.22272500000000001</v>
      </c>
      <c r="Z1164">
        <v>-7.8206700000000001E-3</v>
      </c>
      <c r="AA1164">
        <v>0.97484990000000005</v>
      </c>
      <c r="AB1164">
        <v>31</v>
      </c>
      <c r="AC1164">
        <v>11.485799999999999</v>
      </c>
      <c r="AD1164">
        <v>-1.1100298951259999</v>
      </c>
      <c r="AE1164">
        <v>-3.0157999999999499</v>
      </c>
      <c r="AF1164">
        <v>2.6754062821354299</v>
      </c>
      <c r="AG1164">
        <v>-1.1100298951259999</v>
      </c>
      <c r="AH1164">
        <v>11.4642246197012</v>
      </c>
      <c r="AI1164">
        <v>95.386604332340397</v>
      </c>
      <c r="AJ1164">
        <v>76.863984472459094</v>
      </c>
      <c r="AK1164">
        <v>11.824483552084899</v>
      </c>
      <c r="AL1164">
        <v>85.964678698366598</v>
      </c>
      <c r="AM1164">
        <v>82.955103171057104</v>
      </c>
      <c r="AN1164">
        <v>0.99999997495562698</v>
      </c>
    </row>
    <row r="1165" spans="1:40" x14ac:dyDescent="0.25">
      <c r="A1165" t="str">
        <f>"20190312151007745"</f>
        <v>20190312151007745</v>
      </c>
      <c r="B1165" t="str">
        <f>"1552374607742218"</f>
        <v>1552374607742218</v>
      </c>
      <c r="C1165" t="s">
        <v>40</v>
      </c>
      <c r="D1165">
        <v>5.8659239999999997</v>
      </c>
      <c r="E1165">
        <v>0.54116180000000003</v>
      </c>
      <c r="F1165" t="s">
        <v>48</v>
      </c>
      <c r="G1165">
        <v>-205.68029999999999</v>
      </c>
      <c r="H1165" s="1">
        <v>-5.0145780000000001E-6</v>
      </c>
      <c r="I1165">
        <v>361.75650000000002</v>
      </c>
      <c r="J1165">
        <v>-229.82060000000001</v>
      </c>
      <c r="K1165">
        <v>1.110033</v>
      </c>
      <c r="L1165">
        <v>367.23840000000001</v>
      </c>
      <c r="M1165">
        <v>0.99953009999999998</v>
      </c>
      <c r="N1165">
        <v>0</v>
      </c>
      <c r="O1165">
        <v>-2.7720100000000001E-2</v>
      </c>
      <c r="P1165">
        <v>0.98693160000000002</v>
      </c>
      <c r="Q1165">
        <v>5.773665E-2</v>
      </c>
      <c r="R1165">
        <v>-0.15044170000000001</v>
      </c>
      <c r="S1165">
        <v>2.9466709999999998</v>
      </c>
      <c r="T1165">
        <v>-0.134015</v>
      </c>
      <c r="U1165">
        <v>-0.66275019999999996</v>
      </c>
      <c r="V1165">
        <v>0.12306259999999999</v>
      </c>
      <c r="W1165">
        <v>7.0625899999999894E-2</v>
      </c>
      <c r="X1165">
        <v>0.98988259999999995</v>
      </c>
      <c r="Y1165">
        <v>0.19214059999999999</v>
      </c>
      <c r="Z1165">
        <v>-3.0696679999999998E-3</v>
      </c>
      <c r="AA1165">
        <v>0.98136259999999997</v>
      </c>
      <c r="AB1165">
        <v>31</v>
      </c>
      <c r="AC1165">
        <v>24.1403</v>
      </c>
      <c r="AD1165">
        <v>-1.110038014578</v>
      </c>
      <c r="AE1165">
        <v>-5.4818999999999898</v>
      </c>
      <c r="AF1165">
        <v>4.8009109446620597</v>
      </c>
      <c r="AG1165">
        <v>-1.110038014578</v>
      </c>
      <c r="AH1165">
        <v>24.234265202339198</v>
      </c>
      <c r="AI1165">
        <v>92.572643424139699</v>
      </c>
      <c r="AJ1165">
        <v>78.794546311848407</v>
      </c>
      <c r="AK1165">
        <v>24.73015447161</v>
      </c>
      <c r="AL1165">
        <v>85.950062340657695</v>
      </c>
      <c r="AM1165">
        <v>82.913326059541404</v>
      </c>
      <c r="AN1165">
        <v>0.99999999152616403</v>
      </c>
    </row>
    <row r="1166" spans="1:40" x14ac:dyDescent="0.25">
      <c r="A1166" t="str">
        <f>"20190312151007766"</f>
        <v>20190312151007766</v>
      </c>
      <c r="B1166" t="str">
        <f>"1552374607761737"</f>
        <v>1552374607761737</v>
      </c>
      <c r="C1166" t="s">
        <v>40</v>
      </c>
      <c r="D1166">
        <v>5.4482559999999998</v>
      </c>
      <c r="E1166">
        <v>0.53790839999999995</v>
      </c>
      <c r="F1166" t="s">
        <v>42</v>
      </c>
      <c r="G1166">
        <v>-218.3125</v>
      </c>
      <c r="H1166" s="1">
        <v>-2.0116139999999999E-6</v>
      </c>
      <c r="I1166">
        <v>364.16210000000001</v>
      </c>
      <c r="J1166">
        <v>-229.51820000000001</v>
      </c>
      <c r="K1166">
        <v>1.1100319999999999</v>
      </c>
      <c r="L1166">
        <v>367.22969999999998</v>
      </c>
      <c r="M1166">
        <v>0.99952289999999999</v>
      </c>
      <c r="N1166">
        <v>0</v>
      </c>
      <c r="O1166">
        <v>-2.796972E-2</v>
      </c>
      <c r="P1166">
        <v>0.9867861</v>
      </c>
      <c r="Q1166">
        <v>5.7880349999999997E-2</v>
      </c>
      <c r="R1166">
        <v>-0.1513381</v>
      </c>
      <c r="S1166">
        <v>2.936661</v>
      </c>
      <c r="T1166">
        <v>-0.28325820000000002</v>
      </c>
      <c r="U1166">
        <v>-0.78500369999999997</v>
      </c>
      <c r="V1166">
        <v>0.12371550000000001</v>
      </c>
      <c r="W1166">
        <v>7.0785710000000002E-2</v>
      </c>
      <c r="X1166">
        <v>0.98978980000000005</v>
      </c>
      <c r="Y1166">
        <v>0.23024530000000001</v>
      </c>
      <c r="Z1166">
        <v>-8.2456660000000005E-3</v>
      </c>
      <c r="AA1166">
        <v>0.97309769999999896</v>
      </c>
      <c r="AB1166">
        <v>31</v>
      </c>
      <c r="AC1166">
        <v>11.2057</v>
      </c>
      <c r="AD1166">
        <v>-1.1100340116139999</v>
      </c>
      <c r="AE1166">
        <v>-3.0675999999999699</v>
      </c>
      <c r="AF1166">
        <v>2.72804886396968</v>
      </c>
      <c r="AG1166">
        <v>-1.1100340116139999</v>
      </c>
      <c r="AH1166">
        <v>11.185017617466199</v>
      </c>
      <c r="AI1166">
        <v>95.507237620996307</v>
      </c>
      <c r="AJ1166">
        <v>76.293059367690901</v>
      </c>
      <c r="AK1166">
        <v>11.5662891721664</v>
      </c>
      <c r="AL1166">
        <v>85.940882941776096</v>
      </c>
      <c r="AM1166">
        <v>82.875452445726296</v>
      </c>
      <c r="AN1166">
        <v>0.999999994932247</v>
      </c>
    </row>
    <row r="1167" spans="1:40" x14ac:dyDescent="0.25">
      <c r="A1167" t="str">
        <f>"20190312151007800"</f>
        <v>20190312151007800</v>
      </c>
      <c r="B1167" t="str">
        <f>"1552374607791997"</f>
        <v>1552374607791997</v>
      </c>
      <c r="C1167" t="s">
        <v>40</v>
      </c>
      <c r="D1167">
        <v>5.4738300000000004</v>
      </c>
      <c r="E1167">
        <v>0.53706980000000004</v>
      </c>
      <c r="F1167" t="s">
        <v>42</v>
      </c>
      <c r="G1167">
        <v>-218.15010000000001</v>
      </c>
      <c r="H1167" s="1">
        <v>-2.0346349999999999E-6</v>
      </c>
      <c r="I1167">
        <v>364.28320000000002</v>
      </c>
      <c r="J1167">
        <v>-229.05520000000001</v>
      </c>
      <c r="K1167">
        <v>1.110036</v>
      </c>
      <c r="L1167">
        <v>367.21629999999999</v>
      </c>
      <c r="M1167">
        <v>0.99951179999999995</v>
      </c>
      <c r="N1167">
        <v>0</v>
      </c>
      <c r="O1167">
        <v>-2.835201E-2</v>
      </c>
      <c r="P1167">
        <v>0.98675299999999999</v>
      </c>
      <c r="Q1167">
        <v>5.7964670000000003E-2</v>
      </c>
      <c r="R1167">
        <v>-0.15152289999999999</v>
      </c>
      <c r="S1167">
        <v>2.94014</v>
      </c>
      <c r="T1167">
        <v>-0.28708650000000002</v>
      </c>
      <c r="U1167">
        <v>-0.76205440000000002</v>
      </c>
      <c r="V1167">
        <v>0.1235224</v>
      </c>
      <c r="W1167">
        <v>7.0903670000000002E-2</v>
      </c>
      <c r="X1167">
        <v>0.9898055</v>
      </c>
      <c r="Y1167">
        <v>0.22248709999999999</v>
      </c>
      <c r="Z1167">
        <v>-7.9467909999999999E-3</v>
      </c>
      <c r="AA1167">
        <v>0.97490319999999997</v>
      </c>
      <c r="AB1167">
        <v>31</v>
      </c>
      <c r="AC1167">
        <v>10.905099999999999</v>
      </c>
      <c r="AD1167">
        <v>-1.1100380346349901</v>
      </c>
      <c r="AE1167">
        <v>-2.9330999999999601</v>
      </c>
      <c r="AF1167">
        <v>2.59761349107941</v>
      </c>
      <c r="AG1167">
        <v>-1.1100380346349901</v>
      </c>
      <c r="AH1167">
        <v>10.8787673765821</v>
      </c>
      <c r="AI1167">
        <v>95.667875887452993</v>
      </c>
      <c r="AJ1167">
        <v>76.570471432077397</v>
      </c>
      <c r="AK1167">
        <v>11.239544471247999</v>
      </c>
      <c r="AL1167">
        <v>85.934107412096694</v>
      </c>
      <c r="AM1167">
        <v>82.886570385028307</v>
      </c>
      <c r="AN1167">
        <v>1.00000002077573</v>
      </c>
    </row>
    <row r="1168" spans="1:40" x14ac:dyDescent="0.25">
      <c r="A1168" t="str">
        <f>"20190312151007822"</f>
        <v>20190312151007822</v>
      </c>
      <c r="B1168" t="str">
        <f>"1552374607811514"</f>
        <v>1552374607811514</v>
      </c>
      <c r="C1168" t="s">
        <v>40</v>
      </c>
      <c r="D1168">
        <v>5.5301200000000001</v>
      </c>
      <c r="E1168">
        <v>0.52520649999999902</v>
      </c>
      <c r="F1168" t="s">
        <v>42</v>
      </c>
      <c r="G1168">
        <v>-217.8141</v>
      </c>
      <c r="H1168" s="1">
        <v>-2.1371050000000002E-6</v>
      </c>
      <c r="I1168">
        <v>364.3279</v>
      </c>
      <c r="J1168">
        <v>-228.74719999999999</v>
      </c>
      <c r="K1168">
        <v>1.1100410000000001</v>
      </c>
      <c r="L1168">
        <v>367.20729999999998</v>
      </c>
      <c r="M1168">
        <v>0.99950410000000001</v>
      </c>
      <c r="N1168">
        <v>0</v>
      </c>
      <c r="O1168">
        <v>-2.8606599999999999E-2</v>
      </c>
      <c r="P1168">
        <v>0.98665930000000002</v>
      </c>
      <c r="Q1168">
        <v>5.8001610000000002E-2</v>
      </c>
      <c r="R1168">
        <v>-0.15211669999999999</v>
      </c>
      <c r="S1168">
        <v>2.941284</v>
      </c>
      <c r="T1168">
        <v>-0.29044399999999998</v>
      </c>
      <c r="U1168">
        <v>-0.75576779999999999</v>
      </c>
      <c r="V1168">
        <v>0.1238665</v>
      </c>
      <c r="W1168">
        <v>7.0971199999999998E-2</v>
      </c>
      <c r="X1168">
        <v>0.98975769999999996</v>
      </c>
      <c r="Y1168">
        <v>0.22018389999999999</v>
      </c>
      <c r="Z1168">
        <v>-7.9020900000000005E-3</v>
      </c>
      <c r="AA1168">
        <v>0.97542640000000003</v>
      </c>
      <c r="AB1168">
        <v>31</v>
      </c>
      <c r="AC1168">
        <v>10.9330999999999</v>
      </c>
      <c r="AD1168">
        <v>-1.1100431371049999</v>
      </c>
      <c r="AE1168">
        <v>-2.8793999999999702</v>
      </c>
      <c r="AF1168">
        <v>2.54094128630339</v>
      </c>
      <c r="AG1168">
        <v>-1.1100431371049999</v>
      </c>
      <c r="AH1168">
        <v>10.905871247651699</v>
      </c>
      <c r="AI1168">
        <v>95.661178917903001</v>
      </c>
      <c r="AJ1168">
        <v>76.884722935412697</v>
      </c>
      <c r="AK1168">
        <v>11.252848797394901</v>
      </c>
      <c r="AL1168">
        <v>85.930228627837593</v>
      </c>
      <c r="AM1168">
        <v>82.866617195620407</v>
      </c>
      <c r="AN1168">
        <v>1.0000000628804799</v>
      </c>
    </row>
    <row r="1169" spans="1:40" x14ac:dyDescent="0.25">
      <c r="A1169" t="str">
        <f>"20190312151007844"</f>
        <v>20190312151007844</v>
      </c>
      <c r="B1169" t="str">
        <f>"1552374607841770"</f>
        <v>1552374607841770</v>
      </c>
      <c r="C1169" t="s">
        <v>40</v>
      </c>
      <c r="D1169">
        <v>5.56602</v>
      </c>
      <c r="E1169">
        <v>0.53764440000000002</v>
      </c>
      <c r="F1169" t="s">
        <v>48</v>
      </c>
      <c r="G1169">
        <v>-207.5735</v>
      </c>
      <c r="H1169" s="1">
        <v>-5.5913299999999997E-6</v>
      </c>
      <c r="I1169">
        <v>362.45510000000002</v>
      </c>
      <c r="J1169">
        <v>-228.43819999999999</v>
      </c>
      <c r="K1169">
        <v>1.1100479999999999</v>
      </c>
      <c r="L1169">
        <v>367.19810000000001</v>
      </c>
      <c r="M1169">
        <v>0.9994963</v>
      </c>
      <c r="N1169">
        <v>0</v>
      </c>
      <c r="O1169">
        <v>-2.8863010000000001E-2</v>
      </c>
      <c r="P1169">
        <v>0.98656670000000002</v>
      </c>
      <c r="Q1169">
        <v>5.8007830000000003E-2</v>
      </c>
      <c r="R1169">
        <v>-0.15271570000000001</v>
      </c>
      <c r="S1169">
        <v>2.947632</v>
      </c>
      <c r="T1169">
        <v>-0.15453169999999999</v>
      </c>
      <c r="U1169">
        <v>-0.66156009999999998</v>
      </c>
      <c r="V1169">
        <v>0.12421359999999999</v>
      </c>
      <c r="W1169">
        <v>7.1012110000000003E-2</v>
      </c>
      <c r="X1169">
        <v>0.98971120000000001</v>
      </c>
      <c r="Y1169">
        <v>0.1905229</v>
      </c>
      <c r="Z1169">
        <v>-3.4371639999999999E-3</v>
      </c>
      <c r="AA1169">
        <v>0.98167680000000002</v>
      </c>
      <c r="AB1169">
        <v>31</v>
      </c>
      <c r="AC1169">
        <v>20.864699999999999</v>
      </c>
      <c r="AD1169">
        <v>-1.11005359132999</v>
      </c>
      <c r="AE1169">
        <v>-4.7429999999999897</v>
      </c>
      <c r="AF1169">
        <v>4.1276439080052301</v>
      </c>
      <c r="AG1169">
        <v>-1.11005359132999</v>
      </c>
      <c r="AH1169">
        <v>20.9365657783591</v>
      </c>
      <c r="AI1169">
        <v>92.977759766947003</v>
      </c>
      <c r="AJ1169">
        <v>78.847165799823898</v>
      </c>
      <c r="AK1169">
        <v>21.368421790073199</v>
      </c>
      <c r="AL1169">
        <v>85.927878467247496</v>
      </c>
      <c r="AM1169">
        <v>82.846502135762904</v>
      </c>
      <c r="AN1169">
        <v>0.99999999879852597</v>
      </c>
    </row>
    <row r="1170" spans="1:40" x14ac:dyDescent="0.25">
      <c r="A1170" t="str">
        <f>"20190312151007867"</f>
        <v>20190312151007867</v>
      </c>
      <c r="B1170" t="str">
        <f>"1552374607862265"</f>
        <v>1552374607862265</v>
      </c>
      <c r="C1170" t="s">
        <v>40</v>
      </c>
      <c r="D1170">
        <v>5.7135930000000004</v>
      </c>
      <c r="E1170">
        <v>0.53669659999999997</v>
      </c>
      <c r="F1170" t="s">
        <v>42</v>
      </c>
      <c r="G1170">
        <v>-217.13929999999999</v>
      </c>
      <c r="H1170" s="1">
        <v>-2.3847510000000001E-6</v>
      </c>
      <c r="I1170">
        <v>364.26010000000002</v>
      </c>
      <c r="J1170">
        <v>-228.1293</v>
      </c>
      <c r="K1170">
        <v>1.110058</v>
      </c>
      <c r="L1170">
        <v>367.18889999999999</v>
      </c>
      <c r="M1170">
        <v>0.99948820000000005</v>
      </c>
      <c r="N1170">
        <v>0</v>
      </c>
      <c r="O1170">
        <v>-2.9119590000000001E-2</v>
      </c>
      <c r="P1170">
        <v>0.98652629999999997</v>
      </c>
      <c r="Q1170">
        <v>5.816023E-2</v>
      </c>
      <c r="R1170">
        <v>-0.15291589999999999</v>
      </c>
      <c r="S1170">
        <v>2.939514</v>
      </c>
      <c r="T1170">
        <v>-0.28878920000000002</v>
      </c>
      <c r="U1170">
        <v>-0.76434329999999995</v>
      </c>
      <c r="V1170">
        <v>0.1241608</v>
      </c>
      <c r="W1170">
        <v>7.1207580000000006E-2</v>
      </c>
      <c r="X1170">
        <v>0.98970380000000002</v>
      </c>
      <c r="Y1170">
        <v>0.2224932</v>
      </c>
      <c r="Z1170">
        <v>-7.9210229999999993E-3</v>
      </c>
      <c r="AA1170">
        <v>0.97490200000000005</v>
      </c>
      <c r="AB1170">
        <v>31</v>
      </c>
      <c r="AC1170">
        <v>10.99</v>
      </c>
      <c r="AD1170">
        <v>-1.110060384751</v>
      </c>
      <c r="AE1170">
        <v>-2.9287999999999599</v>
      </c>
      <c r="AF1170">
        <v>2.5829012984922799</v>
      </c>
      <c r="AG1170">
        <v>-1.110060384751</v>
      </c>
      <c r="AH1170">
        <v>10.9661704413057</v>
      </c>
      <c r="AI1170">
        <v>95.627176463652901</v>
      </c>
      <c r="AJ1170">
        <v>76.746480762141005</v>
      </c>
      <c r="AK1170">
        <v>11.3207997651807</v>
      </c>
      <c r="AL1170">
        <v>85.916650514727394</v>
      </c>
      <c r="AM1170">
        <v>82.849458511113895</v>
      </c>
      <c r="AN1170">
        <v>1.0000000177202599</v>
      </c>
    </row>
    <row r="1171" spans="1:40" x14ac:dyDescent="0.25">
      <c r="A1171" t="str">
        <f>"20190312151007888"</f>
        <v>20190312151007888</v>
      </c>
      <c r="B1171" t="str">
        <f>"1552374607881785"</f>
        <v>1552374607881785</v>
      </c>
      <c r="C1171" t="s">
        <v>40</v>
      </c>
      <c r="D1171">
        <v>5.5998570000000001</v>
      </c>
      <c r="E1171">
        <v>0.53739130000000002</v>
      </c>
      <c r="F1171" t="s">
        <v>42</v>
      </c>
      <c r="G1171">
        <v>-215.7971</v>
      </c>
      <c r="H1171" s="1">
        <v>-2.9074950000000002E-6</v>
      </c>
      <c r="I1171">
        <v>364.01209999999998</v>
      </c>
      <c r="J1171">
        <v>-227.8211</v>
      </c>
      <c r="K1171">
        <v>1.110066</v>
      </c>
      <c r="L1171">
        <v>367.17970000000003</v>
      </c>
      <c r="M1171">
        <v>0.99947989999999998</v>
      </c>
      <c r="N1171">
        <v>0</v>
      </c>
      <c r="O1171">
        <v>-2.9376240000000001E-2</v>
      </c>
      <c r="P1171">
        <v>0.9864889</v>
      </c>
      <c r="Q1171">
        <v>5.8125620000000003E-2</v>
      </c>
      <c r="R1171">
        <v>-0.153171</v>
      </c>
      <c r="S1171">
        <v>2.9392239999999998</v>
      </c>
      <c r="T1171">
        <v>-0.26456729999999901</v>
      </c>
      <c r="U1171">
        <v>-0.75714110000000001</v>
      </c>
      <c r="V1171">
        <v>0.12416240000000001</v>
      </c>
      <c r="W1171">
        <v>7.1229000000000001E-2</v>
      </c>
      <c r="X1171">
        <v>0.98970199999999997</v>
      </c>
      <c r="Y1171">
        <v>0.22017539999999999</v>
      </c>
      <c r="Z1171">
        <v>-7.1370849999999996E-3</v>
      </c>
      <c r="AA1171">
        <v>0.97543420000000003</v>
      </c>
      <c r="AB1171">
        <v>31</v>
      </c>
      <c r="AC1171">
        <v>12.023999999999999</v>
      </c>
      <c r="AD1171">
        <v>-1.1100689074950001</v>
      </c>
      <c r="AE1171">
        <v>-3.1676000000000499</v>
      </c>
      <c r="AF1171">
        <v>2.7907391769622598</v>
      </c>
      <c r="AG1171">
        <v>-1.1100689074950001</v>
      </c>
      <c r="AH1171">
        <v>12.0161011990151</v>
      </c>
      <c r="AI1171">
        <v>95.142009605720006</v>
      </c>
      <c r="AJ1171">
        <v>76.924858791953298</v>
      </c>
      <c r="AK1171">
        <v>12.385764657791301</v>
      </c>
      <c r="AL1171">
        <v>85.915419880375495</v>
      </c>
      <c r="AM1171">
        <v>82.849354448940801</v>
      </c>
      <c r="AN1171">
        <v>0.999999960409379</v>
      </c>
    </row>
    <row r="1172" spans="1:40" x14ac:dyDescent="0.25">
      <c r="A1172" t="str">
        <f>"20190312151007912"</f>
        <v>20190312151007912</v>
      </c>
      <c r="B1172" t="str">
        <f>"1552374607902287"</f>
        <v>1552374607902287</v>
      </c>
      <c r="C1172" t="s">
        <v>40</v>
      </c>
      <c r="D1172">
        <v>5.5864399999999996</v>
      </c>
      <c r="E1172">
        <v>0.53518140000000003</v>
      </c>
      <c r="F1172" t="s">
        <v>42</v>
      </c>
      <c r="G1172">
        <v>-215.46530000000001</v>
      </c>
      <c r="H1172" s="1">
        <v>-3.0319740000000001E-6</v>
      </c>
      <c r="I1172">
        <v>363.96870000000001</v>
      </c>
      <c r="J1172">
        <v>-227.49870000000001</v>
      </c>
      <c r="K1172">
        <v>1.1100840000000001</v>
      </c>
      <c r="L1172">
        <v>367.16989999999998</v>
      </c>
      <c r="M1172">
        <v>0.99947109999999995</v>
      </c>
      <c r="N1172">
        <v>0</v>
      </c>
      <c r="O1172">
        <v>-2.96447E-2</v>
      </c>
      <c r="P1172">
        <v>0.98643219999999998</v>
      </c>
      <c r="Q1172">
        <v>5.8002449999999997E-2</v>
      </c>
      <c r="R1172">
        <v>-0.153582</v>
      </c>
      <c r="S1172">
        <v>2.9380799999999998</v>
      </c>
      <c r="T1172">
        <v>-0.26396049999999999</v>
      </c>
      <c r="U1172">
        <v>-0.76351930000000001</v>
      </c>
      <c r="V1172">
        <v>0.1243088</v>
      </c>
      <c r="W1172">
        <v>7.1177630000000006E-2</v>
      </c>
      <c r="X1172">
        <v>0.98968739999999999</v>
      </c>
      <c r="Y1172">
        <v>0.22198689999999999</v>
      </c>
      <c r="Z1172">
        <v>-7.1778390000000001E-3</v>
      </c>
      <c r="AA1172">
        <v>0.97502319999999998</v>
      </c>
      <c r="AB1172">
        <v>31</v>
      </c>
      <c r="AC1172">
        <v>12.0334</v>
      </c>
      <c r="AD1172">
        <v>-1.1100870319739999</v>
      </c>
      <c r="AE1172">
        <v>-3.2011999999999698</v>
      </c>
      <c r="AF1172">
        <v>2.8206170031035298</v>
      </c>
      <c r="AG1172">
        <v>-1.1100870319739999</v>
      </c>
      <c r="AH1172">
        <v>12.027427142332</v>
      </c>
      <c r="AI1172">
        <v>95.134715415331002</v>
      </c>
      <c r="AJ1172">
        <v>76.801763553565294</v>
      </c>
      <c r="AK1172">
        <v>12.4035147099868</v>
      </c>
      <c r="AL1172">
        <v>85.918370984771002</v>
      </c>
      <c r="AM1172">
        <v>82.840906030605794</v>
      </c>
      <c r="AN1172">
        <v>1.0000000412443</v>
      </c>
    </row>
    <row r="1173" spans="1:40" x14ac:dyDescent="0.25">
      <c r="A1173" t="str">
        <f>"20190312151007933"</f>
        <v>20190312151007933</v>
      </c>
      <c r="B1173" t="str">
        <f>"1552374607921801"</f>
        <v>1552374607921801</v>
      </c>
      <c r="C1173" t="s">
        <v>40</v>
      </c>
      <c r="D1173">
        <v>5.5956299999999999</v>
      </c>
      <c r="E1173">
        <v>0.53558240000000001</v>
      </c>
      <c r="F1173" t="s">
        <v>42</v>
      </c>
      <c r="G1173">
        <v>-213.4659</v>
      </c>
      <c r="H1173" s="1">
        <v>-3.8516599999999996E-6</v>
      </c>
      <c r="I1173">
        <v>363.60539999999997</v>
      </c>
      <c r="J1173">
        <v>-227.20779999999999</v>
      </c>
      <c r="K1173">
        <v>1.1100950000000001</v>
      </c>
      <c r="L1173">
        <v>367.161</v>
      </c>
      <c r="M1173">
        <v>0.99946299999999999</v>
      </c>
      <c r="N1173">
        <v>0</v>
      </c>
      <c r="O1173">
        <v>-2.988708E-2</v>
      </c>
      <c r="P1173">
        <v>0.98626389999999997</v>
      </c>
      <c r="Q1173">
        <v>5.7813200000000002E-2</v>
      </c>
      <c r="R1173">
        <v>-0.15473100000000001</v>
      </c>
      <c r="S1173">
        <v>2.9387210000000001</v>
      </c>
      <c r="T1173">
        <v>-0.23247119999999999</v>
      </c>
      <c r="U1173">
        <v>-0.74646000000000001</v>
      </c>
      <c r="V1173">
        <v>0.12522179999999999</v>
      </c>
      <c r="W1173">
        <v>7.1063500000000002E-2</v>
      </c>
      <c r="X1173">
        <v>0.98958049999999997</v>
      </c>
      <c r="Y1173">
        <v>0.2165638</v>
      </c>
      <c r="Z1173">
        <v>-6.0977239999999997E-3</v>
      </c>
      <c r="AA1173">
        <v>0.97624940000000004</v>
      </c>
      <c r="AB1173">
        <v>31</v>
      </c>
      <c r="AC1173">
        <v>13.7418999999999</v>
      </c>
      <c r="AD1173">
        <v>-1.1100988516600001</v>
      </c>
      <c r="AE1173">
        <v>-3.5556000000000201</v>
      </c>
      <c r="AF1173">
        <v>3.1241608115322999</v>
      </c>
      <c r="AG1173">
        <v>-1.1100988516600001</v>
      </c>
      <c r="AH1173">
        <v>13.757889223230301</v>
      </c>
      <c r="AI1173">
        <v>94.499044900089004</v>
      </c>
      <c r="AJ1173">
        <v>77.206157930060002</v>
      </c>
      <c r="AK1173">
        <v>14.151756644157199</v>
      </c>
      <c r="AL1173">
        <v>85.924926760408297</v>
      </c>
      <c r="AM1173">
        <v>82.788105992637398</v>
      </c>
      <c r="AN1173">
        <v>1.00000004310386</v>
      </c>
    </row>
    <row r="1174" spans="1:40" x14ac:dyDescent="0.25">
      <c r="A1174" t="str">
        <f>"20190312151007956"</f>
        <v>20190312151007956</v>
      </c>
      <c r="B1174" t="str">
        <f>"1552374607952057"</f>
        <v>1552374607952057</v>
      </c>
      <c r="C1174" t="s">
        <v>40</v>
      </c>
      <c r="D1174">
        <v>5.7498519999999997</v>
      </c>
      <c r="E1174">
        <v>0.53666420000000004</v>
      </c>
      <c r="F1174" t="s">
        <v>42</v>
      </c>
      <c r="G1174">
        <v>-212.9228</v>
      </c>
      <c r="H1174" s="1">
        <v>-4.1038189999999999E-6</v>
      </c>
      <c r="I1174">
        <v>363.4975</v>
      </c>
      <c r="J1174">
        <v>-226.88759999999999</v>
      </c>
      <c r="K1174">
        <v>1.1101080000000001</v>
      </c>
      <c r="L1174">
        <v>367.15109999999999</v>
      </c>
      <c r="M1174">
        <v>0.99945349999999999</v>
      </c>
      <c r="N1174">
        <v>0</v>
      </c>
      <c r="O1174">
        <v>-3.0155330000000001E-2</v>
      </c>
      <c r="P1174">
        <v>0.98606009999999999</v>
      </c>
      <c r="Q1174">
        <v>5.7481020000000001E-2</v>
      </c>
      <c r="R1174">
        <v>-0.15614600000000001</v>
      </c>
      <c r="S1174">
        <v>2.9369960000000002</v>
      </c>
      <c r="T1174">
        <v>-0.22823450000000001</v>
      </c>
      <c r="U1174">
        <v>-0.75320430000000005</v>
      </c>
      <c r="V1174">
        <v>0.1263765</v>
      </c>
      <c r="W1174">
        <v>7.0818519999999996E-2</v>
      </c>
      <c r="X1174">
        <v>0.98945119999999998</v>
      </c>
      <c r="Y1174">
        <v>0.21855740000000001</v>
      </c>
      <c r="Z1174">
        <v>-6.0443390000000001E-3</v>
      </c>
      <c r="AA1174">
        <v>0.97580540000000004</v>
      </c>
      <c r="AB1174">
        <v>31</v>
      </c>
      <c r="AC1174">
        <v>13.964799999999901</v>
      </c>
      <c r="AD1174">
        <v>-1.1101121038190001</v>
      </c>
      <c r="AE1174">
        <v>-3.65359999999998</v>
      </c>
      <c r="AF1174">
        <v>3.2117905753397902</v>
      </c>
      <c r="AG1174">
        <v>-1.1101121038190001</v>
      </c>
      <c r="AH1174">
        <v>13.9859154205847</v>
      </c>
      <c r="AI1174">
        <v>94.423587107870105</v>
      </c>
      <c r="AJ1174">
        <v>77.066574405668902</v>
      </c>
      <c r="AK1174">
        <v>14.392837723487199</v>
      </c>
      <c r="AL1174">
        <v>85.938998276268293</v>
      </c>
      <c r="AM1174">
        <v>82.721372358100396</v>
      </c>
      <c r="AN1174">
        <v>0.99999997985433997</v>
      </c>
    </row>
    <row r="1175" spans="1:40" x14ac:dyDescent="0.25">
      <c r="A1175" t="str">
        <f>"20190312151007979"</f>
        <v>20190312151007979</v>
      </c>
      <c r="B1175" t="str">
        <f>"1552374607971578"</f>
        <v>1552374607971578</v>
      </c>
      <c r="C1175" t="s">
        <v>40</v>
      </c>
      <c r="D1175">
        <v>5.5605370000000001</v>
      </c>
      <c r="E1175">
        <v>0.53700630000000005</v>
      </c>
      <c r="F1175" t="s">
        <v>42</v>
      </c>
      <c r="G1175">
        <v>-213.34110000000001</v>
      </c>
      <c r="H1175" s="1">
        <v>-3.9033889999999997E-6</v>
      </c>
      <c r="I1175">
        <v>363.6157</v>
      </c>
      <c r="J1175">
        <v>-226.58369999999999</v>
      </c>
      <c r="K1175">
        <v>1.11012</v>
      </c>
      <c r="L1175">
        <v>367.14170000000001</v>
      </c>
      <c r="M1175">
        <v>0.99944469999999996</v>
      </c>
      <c r="N1175">
        <v>0</v>
      </c>
      <c r="O1175">
        <v>-3.041162E-2</v>
      </c>
      <c r="P1175">
        <v>0.98593629999999999</v>
      </c>
      <c r="Q1175">
        <v>5.7372090000000001E-2</v>
      </c>
      <c r="R1175">
        <v>-0.15696559999999901</v>
      </c>
      <c r="S1175">
        <v>2.93512</v>
      </c>
      <c r="T1175">
        <v>-0.24052670000000001</v>
      </c>
      <c r="U1175">
        <v>-0.76602169999999903</v>
      </c>
      <c r="V1175">
        <v>0.1269458</v>
      </c>
      <c r="W1175">
        <v>7.0790930000000002E-2</v>
      </c>
      <c r="X1175">
        <v>0.98938029999999999</v>
      </c>
      <c r="Y1175">
        <v>0.22237950000000001</v>
      </c>
      <c r="Z1175">
        <v>-6.5026229999999999E-3</v>
      </c>
      <c r="AA1175">
        <v>0.97493850000000004</v>
      </c>
      <c r="AB1175">
        <v>31</v>
      </c>
      <c r="AC1175">
        <v>13.2425999999999</v>
      </c>
      <c r="AD1175">
        <v>-1.110123903389</v>
      </c>
      <c r="AE1175">
        <v>-3.52600000000001</v>
      </c>
      <c r="AF1175">
        <v>3.1012514918485201</v>
      </c>
      <c r="AG1175">
        <v>-1.110123903389</v>
      </c>
      <c r="AH1175">
        <v>13.2567217102026</v>
      </c>
      <c r="AI1175">
        <v>94.661526863149405</v>
      </c>
      <c r="AJ1175">
        <v>76.833123907353894</v>
      </c>
      <c r="AK1175">
        <v>13.6598245376112</v>
      </c>
      <c r="AL1175">
        <v>85.940583065107703</v>
      </c>
      <c r="AM1175">
        <v>82.688419374696394</v>
      </c>
      <c r="AN1175">
        <v>0.99999998496799702</v>
      </c>
    </row>
    <row r="1176" spans="1:40" x14ac:dyDescent="0.25">
      <c r="A1176" t="str">
        <f>"20190312151008000"</f>
        <v>20190312151008000</v>
      </c>
      <c r="B1176" t="str">
        <f>"1552374607992073"</f>
        <v>1552374607992073</v>
      </c>
      <c r="C1176" t="s">
        <v>40</v>
      </c>
      <c r="D1176">
        <v>5.6956189999999998</v>
      </c>
      <c r="E1176">
        <v>0.53694449999999905</v>
      </c>
      <c r="F1176" t="s">
        <v>42</v>
      </c>
      <c r="G1176">
        <v>-213.19470000000001</v>
      </c>
      <c r="H1176" s="1">
        <v>-3.9649199999999996E-6</v>
      </c>
      <c r="I1176">
        <v>363.62290000000002</v>
      </c>
      <c r="J1176">
        <v>-226.279</v>
      </c>
      <c r="K1176">
        <v>1.110125</v>
      </c>
      <c r="L1176">
        <v>367.13209999999998</v>
      </c>
      <c r="M1176">
        <v>0.99943579999999999</v>
      </c>
      <c r="N1176">
        <v>0</v>
      </c>
      <c r="O1176">
        <v>-3.067015E-2</v>
      </c>
      <c r="P1176">
        <v>0.9857863</v>
      </c>
      <c r="Q1176">
        <v>5.7231749999999998E-2</v>
      </c>
      <c r="R1176">
        <v>-0.15795680000000001</v>
      </c>
      <c r="S1176">
        <v>2.9341889999999999</v>
      </c>
      <c r="T1176">
        <v>-0.24328169999999999</v>
      </c>
      <c r="U1176">
        <v>-0.77111819999999998</v>
      </c>
      <c r="V1176">
        <v>0.1276851</v>
      </c>
      <c r="W1176">
        <v>7.0725289999999996E-2</v>
      </c>
      <c r="X1176">
        <v>0.98928990000000006</v>
      </c>
      <c r="Y1176">
        <v>0.22376979999999999</v>
      </c>
      <c r="Z1176">
        <v>-6.6130579999999998E-3</v>
      </c>
      <c r="AA1176">
        <v>0.97461960000000003</v>
      </c>
      <c r="AB1176">
        <v>31</v>
      </c>
      <c r="AC1176">
        <v>13.084300000000001</v>
      </c>
      <c r="AD1176">
        <v>-1.1101289649199999</v>
      </c>
      <c r="AE1176">
        <v>-3.5091999999999599</v>
      </c>
      <c r="AF1176">
        <v>3.0854931032773898</v>
      </c>
      <c r="AG1176">
        <v>-1.1101289649199999</v>
      </c>
      <c r="AH1176">
        <v>13.097822668457701</v>
      </c>
      <c r="AI1176">
        <v>94.716138704384207</v>
      </c>
      <c r="AJ1176">
        <v>76.744341620569102</v>
      </c>
      <c r="AK1176">
        <v>13.5020595711725</v>
      </c>
      <c r="AL1176">
        <v>85.944353588654707</v>
      </c>
      <c r="AM1176">
        <v>82.645638727966499</v>
      </c>
      <c r="AN1176">
        <v>1.0000000288248001</v>
      </c>
    </row>
    <row r="1177" spans="1:40" x14ac:dyDescent="0.25">
      <c r="A1177" t="str">
        <f>"20190312151008022"</f>
        <v>20190312151008022</v>
      </c>
      <c r="B1177" t="str">
        <f>"1552374608011594"</f>
        <v>1552374608011594</v>
      </c>
      <c r="C1177" t="s">
        <v>40</v>
      </c>
      <c r="D1177">
        <v>5.6966809999999999</v>
      </c>
      <c r="E1177">
        <v>0.53639419999999904</v>
      </c>
      <c r="F1177" t="s">
        <v>42</v>
      </c>
      <c r="G1177">
        <v>-212.81549999999999</v>
      </c>
      <c r="H1177" s="1">
        <v>-4.134709E-6</v>
      </c>
      <c r="I1177">
        <v>363.58280000000002</v>
      </c>
      <c r="J1177">
        <v>-225.97370000000001</v>
      </c>
      <c r="K1177">
        <v>1.1101299999999901</v>
      </c>
      <c r="L1177">
        <v>367.1225</v>
      </c>
      <c r="M1177">
        <v>0.9994267</v>
      </c>
      <c r="N1177">
        <v>0</v>
      </c>
      <c r="O1177">
        <v>-3.0929829999999998E-2</v>
      </c>
      <c r="P1177">
        <v>0.9856876</v>
      </c>
      <c r="Q1177">
        <v>5.6856610000000002E-2</v>
      </c>
      <c r="R1177">
        <v>-0.1587056</v>
      </c>
      <c r="S1177">
        <v>2.933395</v>
      </c>
      <c r="T1177">
        <v>-0.24187110000000001</v>
      </c>
      <c r="U1177">
        <v>-0.77331539999999999</v>
      </c>
      <c r="V1177">
        <v>0.1281796</v>
      </c>
      <c r="W1177">
        <v>7.0418999999999995E-2</v>
      </c>
      <c r="X1177">
        <v>0.98924780000000001</v>
      </c>
      <c r="Y1177">
        <v>0.22427030000000001</v>
      </c>
      <c r="Z1177">
        <v>-6.5752290000000001E-3</v>
      </c>
      <c r="AA1177">
        <v>0.97450479999999995</v>
      </c>
      <c r="AB1177">
        <v>31</v>
      </c>
      <c r="AC1177">
        <v>13.158200000000001</v>
      </c>
      <c r="AD1177">
        <v>-1.1101341347089999</v>
      </c>
      <c r="AE1177">
        <v>-3.5396999999999799</v>
      </c>
      <c r="AF1177">
        <v>3.1103412926532901</v>
      </c>
      <c r="AG1177">
        <v>-1.1101341347089999</v>
      </c>
      <c r="AH1177">
        <v>13.1739519531467</v>
      </c>
      <c r="AI1177">
        <v>94.6884814982443</v>
      </c>
      <c r="AJ1177">
        <v>76.715855012123598</v>
      </c>
      <c r="AK1177">
        <v>13.5815916157734</v>
      </c>
      <c r="AL1177">
        <v>85.961946572602599</v>
      </c>
      <c r="AM1177">
        <v>82.617159577228094</v>
      </c>
      <c r="AN1177">
        <v>1.0000000276109899</v>
      </c>
    </row>
    <row r="1178" spans="1:40" x14ac:dyDescent="0.25">
      <c r="A1178" t="str">
        <f>"20190312151008045"</f>
        <v>20190312151008045</v>
      </c>
      <c r="B1178" t="str">
        <f>"1552374608041851"</f>
        <v>1552374608041851</v>
      </c>
      <c r="C1178" t="s">
        <v>40</v>
      </c>
      <c r="D1178">
        <v>5.69313</v>
      </c>
      <c r="E1178">
        <v>0.53658490000000003</v>
      </c>
      <c r="F1178" t="s">
        <v>42</v>
      </c>
      <c r="G1178">
        <v>-211.98070000000001</v>
      </c>
      <c r="H1178" s="1">
        <v>-4.5175249999999996E-6</v>
      </c>
      <c r="I1178">
        <v>363.4436</v>
      </c>
      <c r="J1178">
        <v>-225.66669999999999</v>
      </c>
      <c r="K1178">
        <v>1.1101270000000001</v>
      </c>
      <c r="L1178">
        <v>367.11270000000002</v>
      </c>
      <c r="M1178">
        <v>0.99941769999999996</v>
      </c>
      <c r="N1178">
        <v>0</v>
      </c>
      <c r="O1178">
        <v>-3.1192190000000002E-2</v>
      </c>
      <c r="P1178">
        <v>0.98569980000000001</v>
      </c>
      <c r="Q1178">
        <v>5.6456659999999999E-2</v>
      </c>
      <c r="R1178">
        <v>-0.15877279999999999</v>
      </c>
      <c r="S1178">
        <v>2.9328310000000002</v>
      </c>
      <c r="T1178">
        <v>-0.23267479999999999</v>
      </c>
      <c r="U1178">
        <v>-0.77105709999999905</v>
      </c>
      <c r="V1178">
        <v>0.1279865</v>
      </c>
      <c r="W1178">
        <v>7.0083640000000003E-2</v>
      </c>
      <c r="X1178">
        <v>0.98929659999999997</v>
      </c>
      <c r="Y1178">
        <v>0.22340750000000001</v>
      </c>
      <c r="Z1178">
        <v>-6.2737670000000004E-3</v>
      </c>
      <c r="AA1178">
        <v>0.97470500000000004</v>
      </c>
      <c r="AB1178">
        <v>31</v>
      </c>
      <c r="AC1178">
        <v>13.6859999999999</v>
      </c>
      <c r="AD1178">
        <v>-1.1101315175249999</v>
      </c>
      <c r="AE1178">
        <v>-3.66910000000001</v>
      </c>
      <c r="AF1178">
        <v>3.22060788617391</v>
      </c>
      <c r="AG1178">
        <v>-1.1101315175249999</v>
      </c>
      <c r="AH1178">
        <v>13.7096426632533</v>
      </c>
      <c r="AI1178">
        <v>94.507226827378602</v>
      </c>
      <c r="AJ1178">
        <v>76.780035721182998</v>
      </c>
      <c r="AK1178">
        <v>14.1265356367647</v>
      </c>
      <c r="AL1178">
        <v>85.981208811943503</v>
      </c>
      <c r="AM1178">
        <v>82.628518887386505</v>
      </c>
      <c r="AN1178">
        <v>1.0000000117747201</v>
      </c>
    </row>
    <row r="1179" spans="1:40" x14ac:dyDescent="0.25">
      <c r="A1179" t="str">
        <f>"20190312151008068"</f>
        <v>20190312151008068</v>
      </c>
      <c r="B1179" t="str">
        <f>"1552374608061374"</f>
        <v>1552374608061374</v>
      </c>
      <c r="C1179" t="s">
        <v>40</v>
      </c>
      <c r="D1179">
        <v>5.5721489999999996</v>
      </c>
      <c r="E1179">
        <v>0.53711419999999999</v>
      </c>
      <c r="F1179" t="s">
        <v>42</v>
      </c>
      <c r="G1179">
        <v>-211.43549999999999</v>
      </c>
      <c r="H1179" s="1">
        <v>-4.7656650000000001E-6</v>
      </c>
      <c r="I1179">
        <v>363.36329999999998</v>
      </c>
      <c r="J1179">
        <v>-225.3544</v>
      </c>
      <c r="K1179">
        <v>1.110134</v>
      </c>
      <c r="L1179">
        <v>367.10270000000003</v>
      </c>
      <c r="M1179">
        <v>0.99940839999999997</v>
      </c>
      <c r="N1179">
        <v>0</v>
      </c>
      <c r="O1179">
        <v>-3.1461790000000003E-2</v>
      </c>
      <c r="P1179">
        <v>0.98572150000000003</v>
      </c>
      <c r="Q1179">
        <v>5.6511260000000001E-2</v>
      </c>
      <c r="R1179">
        <v>-0.15861989999999901</v>
      </c>
      <c r="S1179">
        <v>2.9321899999999999</v>
      </c>
      <c r="T1179">
        <v>-0.22872999999999999</v>
      </c>
      <c r="U1179">
        <v>-0.77252200000000004</v>
      </c>
      <c r="V1179">
        <v>0.12756589999999901</v>
      </c>
      <c r="W1179">
        <v>7.0196839999999996E-2</v>
      </c>
      <c r="X1179">
        <v>0.98934290000000003</v>
      </c>
      <c r="Y1179">
        <v>0.22367110000000001</v>
      </c>
      <c r="Z1179">
        <v>-6.1581229999999997E-3</v>
      </c>
      <c r="AA1179">
        <v>0.97464519999999999</v>
      </c>
      <c r="AB1179">
        <v>31</v>
      </c>
      <c r="AC1179">
        <v>13.918900000000001</v>
      </c>
      <c r="AD1179">
        <v>-1.1101387656649999</v>
      </c>
      <c r="AE1179">
        <v>-3.7394000000000398</v>
      </c>
      <c r="AF1179">
        <v>3.2801314895681299</v>
      </c>
      <c r="AG1179">
        <v>-1.1101387656649999</v>
      </c>
      <c r="AH1179">
        <v>13.9469198899054</v>
      </c>
      <c r="AI1179">
        <v>94.430616063216206</v>
      </c>
      <c r="AJ1179">
        <v>76.765306389994294</v>
      </c>
      <c r="AK1179">
        <v>14.370394743476201</v>
      </c>
      <c r="AL1179">
        <v>85.974706927447102</v>
      </c>
      <c r="AM1179">
        <v>82.652818623579407</v>
      </c>
      <c r="AN1179">
        <v>1.0000000144846</v>
      </c>
    </row>
    <row r="1180" spans="1:40" x14ac:dyDescent="0.25">
      <c r="A1180" t="str">
        <f>"20190312151008089"</f>
        <v>20190312151008089</v>
      </c>
      <c r="B1180" t="str">
        <f>"1552374608081866"</f>
        <v>1552374608081866</v>
      </c>
      <c r="C1180" t="s">
        <v>40</v>
      </c>
      <c r="D1180">
        <v>5.7177670000000003</v>
      </c>
      <c r="E1180">
        <v>0.53785780000000005</v>
      </c>
      <c r="F1180" t="s">
        <v>42</v>
      </c>
      <c r="G1180">
        <v>-211.33799999999999</v>
      </c>
      <c r="H1180" s="1">
        <v>-4.8027959999999999E-6</v>
      </c>
      <c r="I1180">
        <v>363.3897</v>
      </c>
      <c r="J1180">
        <v>-225.05420000000001</v>
      </c>
      <c r="K1180">
        <v>1.110139</v>
      </c>
      <c r="L1180">
        <v>367.09289999999999</v>
      </c>
      <c r="M1180">
        <v>0.99939929999999999</v>
      </c>
      <c r="N1180">
        <v>0</v>
      </c>
      <c r="O1180">
        <v>-3.1724660000000002E-2</v>
      </c>
      <c r="P1180">
        <v>0.98567740000000004</v>
      </c>
      <c r="Q1180">
        <v>5.6786150000000001E-2</v>
      </c>
      <c r="R1180">
        <v>-0.15879409999999999</v>
      </c>
      <c r="S1180">
        <v>2.9318080000000002</v>
      </c>
      <c r="T1180">
        <v>-0.23220769999999999</v>
      </c>
      <c r="U1180">
        <v>-0.77664180000000005</v>
      </c>
      <c r="V1180">
        <v>0.1274817</v>
      </c>
      <c r="W1180">
        <v>7.0521249999999994E-2</v>
      </c>
      <c r="X1180">
        <v>0.98933059999999995</v>
      </c>
      <c r="Y1180">
        <v>0.2247072</v>
      </c>
      <c r="Z1180">
        <v>-6.2710609999999996E-3</v>
      </c>
      <c r="AA1180">
        <v>0.97440610000000005</v>
      </c>
      <c r="AB1180">
        <v>31</v>
      </c>
      <c r="AC1180">
        <v>13.716200000000001</v>
      </c>
      <c r="AD1180">
        <v>-1.110143802796</v>
      </c>
      <c r="AE1180">
        <v>-3.7031999999999798</v>
      </c>
      <c r="AF1180">
        <v>3.2463304233208299</v>
      </c>
      <c r="AG1180">
        <v>-1.110143802796</v>
      </c>
      <c r="AH1180">
        <v>13.742879059531999</v>
      </c>
      <c r="AI1180">
        <v>94.495118046900899</v>
      </c>
      <c r="AJ1180">
        <v>76.709273460892106</v>
      </c>
      <c r="AK1180">
        <v>14.164667497869001</v>
      </c>
      <c r="AL1180">
        <v>85.956073096195794</v>
      </c>
      <c r="AM1180">
        <v>82.657524912937305</v>
      </c>
      <c r="AN1180">
        <v>0.99999993331640402</v>
      </c>
    </row>
    <row r="1181" spans="1:40" x14ac:dyDescent="0.25">
      <c r="A1181" t="str">
        <f>"20190312151008112"</f>
        <v>20190312151008112</v>
      </c>
      <c r="B1181" t="str">
        <f>"1552374608101389"</f>
        <v>1552374608101389</v>
      </c>
      <c r="C1181" t="s">
        <v>40</v>
      </c>
      <c r="D1181">
        <v>5.983276</v>
      </c>
      <c r="E1181">
        <v>0.53802799999999995</v>
      </c>
      <c r="F1181" t="s">
        <v>42</v>
      </c>
      <c r="G1181">
        <v>-211.2372</v>
      </c>
      <c r="H1181" s="1">
        <v>-4.8440339999999901E-6</v>
      </c>
      <c r="I1181">
        <v>363.40100000000001</v>
      </c>
      <c r="J1181">
        <v>-224.7482</v>
      </c>
      <c r="K1181">
        <v>1.1101430000000001</v>
      </c>
      <c r="L1181">
        <v>367.0829</v>
      </c>
      <c r="M1181">
        <v>0.99939</v>
      </c>
      <c r="N1181">
        <v>0</v>
      </c>
      <c r="O1181">
        <v>-3.1999930000000003E-2</v>
      </c>
      <c r="P1181">
        <v>0.98571549999999997</v>
      </c>
      <c r="Q1181">
        <v>5.7351800000000001E-2</v>
      </c>
      <c r="R1181">
        <v>-0.15835450000000001</v>
      </c>
      <c r="S1181">
        <v>2.9310299999999998</v>
      </c>
      <c r="T1181">
        <v>-0.2354966</v>
      </c>
      <c r="U1181">
        <v>-0.7831726</v>
      </c>
      <c r="V1181">
        <v>0.1267692</v>
      </c>
      <c r="W1181">
        <v>7.1131029999999998E-2</v>
      </c>
      <c r="X1181">
        <v>0.9893786</v>
      </c>
      <c r="Y1181">
        <v>0.22650960000000001</v>
      </c>
      <c r="Z1181">
        <v>-6.4088770000000003E-3</v>
      </c>
      <c r="AA1181">
        <v>0.97398790000000002</v>
      </c>
      <c r="AB1181">
        <v>31</v>
      </c>
      <c r="AC1181">
        <v>13.5109999999999</v>
      </c>
      <c r="AD1181">
        <v>-1.110147844034</v>
      </c>
      <c r="AE1181">
        <v>-3.6818999999999802</v>
      </c>
      <c r="AF1181">
        <v>3.2273382062632399</v>
      </c>
      <c r="AG1181">
        <v>-1.110147844034</v>
      </c>
      <c r="AH1181">
        <v>13.5368379962967</v>
      </c>
      <c r="AI1181">
        <v>94.5610292921547</v>
      </c>
      <c r="AJ1181">
        <v>76.590353705672001</v>
      </c>
      <c r="AK1181">
        <v>13.960448526863299</v>
      </c>
      <c r="AL1181">
        <v>85.921047722396594</v>
      </c>
      <c r="AM1181">
        <v>82.698468592334606</v>
      </c>
      <c r="AN1181">
        <v>1.00000003381772</v>
      </c>
    </row>
    <row r="1182" spans="1:40" x14ac:dyDescent="0.25">
      <c r="A1182" t="str">
        <f>"20190312151008134"</f>
        <v>20190312151008134</v>
      </c>
      <c r="B1182" t="str">
        <f>"1552374608131642"</f>
        <v>1552374608131642</v>
      </c>
      <c r="C1182" t="s">
        <v>40</v>
      </c>
      <c r="D1182">
        <v>5.6715090000000004</v>
      </c>
      <c r="E1182">
        <v>0.53949029999999998</v>
      </c>
      <c r="F1182" t="s">
        <v>42</v>
      </c>
      <c r="G1182">
        <v>-210.7664</v>
      </c>
      <c r="H1182" s="1">
        <v>-5.0555479999999998E-6</v>
      </c>
      <c r="I1182">
        <v>363.34719999999999</v>
      </c>
      <c r="J1182">
        <v>-224.44669999999999</v>
      </c>
      <c r="K1182">
        <v>1.110136</v>
      </c>
      <c r="L1182">
        <v>367.07299999999998</v>
      </c>
      <c r="M1182">
        <v>0.99938020000000005</v>
      </c>
      <c r="N1182">
        <v>0</v>
      </c>
      <c r="O1182">
        <v>-3.228201E-2</v>
      </c>
      <c r="P1182">
        <v>0.98574419999999996</v>
      </c>
      <c r="Q1182">
        <v>5.7667700000000002E-2</v>
      </c>
      <c r="R1182">
        <v>-0.15805959999999999</v>
      </c>
      <c r="S1182">
        <v>2.9311980000000002</v>
      </c>
      <c r="T1182">
        <v>-0.23273550000000001</v>
      </c>
      <c r="U1182">
        <v>-0.7831726</v>
      </c>
      <c r="V1182">
        <v>0.12619549999999999</v>
      </c>
      <c r="W1182">
        <v>7.1483930000000001E-2</v>
      </c>
      <c r="X1182">
        <v>0.98942649999999999</v>
      </c>
      <c r="Y1182">
        <v>0.2262361</v>
      </c>
      <c r="Z1182">
        <v>-6.3010310000000003E-3</v>
      </c>
      <c r="AA1182">
        <v>0.97405209999999998</v>
      </c>
      <c r="AB1182">
        <v>31</v>
      </c>
      <c r="AC1182">
        <v>13.6802999999999</v>
      </c>
      <c r="AD1182">
        <v>-1.110141055548</v>
      </c>
      <c r="AE1182">
        <v>-3.72580000000004</v>
      </c>
      <c r="AF1182">
        <v>3.2621880178692102</v>
      </c>
      <c r="AG1182">
        <v>-1.110141055548</v>
      </c>
      <c r="AH1182">
        <v>13.709412042040499</v>
      </c>
      <c r="AI1182">
        <v>94.504289498889804</v>
      </c>
      <c r="AJ1182">
        <v>76.615245402328995</v>
      </c>
      <c r="AK1182">
        <v>14.135850252658599</v>
      </c>
      <c r="AL1182">
        <v>85.900776414254096</v>
      </c>
      <c r="AM1182">
        <v>82.731505951122898</v>
      </c>
      <c r="AN1182">
        <v>1.00000002768537</v>
      </c>
    </row>
    <row r="1183" spans="1:40" x14ac:dyDescent="0.25">
      <c r="A1183" t="str">
        <f>"20190312151008157"</f>
        <v>20190312151008157</v>
      </c>
      <c r="B1183" t="str">
        <f>"1552374608152138"</f>
        <v>1552374608152138</v>
      </c>
      <c r="C1183" t="s">
        <v>40</v>
      </c>
      <c r="D1183">
        <v>5.7141080000000004</v>
      </c>
      <c r="E1183">
        <v>0.53997229999999996</v>
      </c>
      <c r="F1183" t="s">
        <v>42</v>
      </c>
      <c r="G1183">
        <v>-210.66470000000001</v>
      </c>
      <c r="H1183" s="1">
        <v>-5.1011430000000003E-6</v>
      </c>
      <c r="I1183">
        <v>363.33620000000002</v>
      </c>
      <c r="J1183">
        <v>-224.12809999999999</v>
      </c>
      <c r="K1183">
        <v>1.1101270000000001</v>
      </c>
      <c r="L1183">
        <v>367.06240000000003</v>
      </c>
      <c r="M1183">
        <v>0.99936950000000002</v>
      </c>
      <c r="N1183">
        <v>0</v>
      </c>
      <c r="O1183">
        <v>-3.259836E-2</v>
      </c>
      <c r="P1183">
        <v>0.98571470000000005</v>
      </c>
      <c r="Q1183">
        <v>5.7539050000000001E-2</v>
      </c>
      <c r="R1183">
        <v>-0.1582904</v>
      </c>
      <c r="S1183">
        <v>2.9298250000000001</v>
      </c>
      <c r="T1183">
        <v>-0.2359966</v>
      </c>
      <c r="U1183">
        <v>-0.79437259999999998</v>
      </c>
      <c r="V1183">
        <v>0.126115899999999</v>
      </c>
      <c r="W1183">
        <v>7.1386430000000001E-2</v>
      </c>
      <c r="X1183">
        <v>0.98944370000000004</v>
      </c>
      <c r="Y1183">
        <v>0.22948760000000001</v>
      </c>
      <c r="Z1183">
        <v>-6.4923719999999997E-3</v>
      </c>
      <c r="AA1183">
        <v>0.97328990000000004</v>
      </c>
      <c r="AB1183">
        <v>31</v>
      </c>
      <c r="AC1183">
        <v>13.463399999999901</v>
      </c>
      <c r="AD1183">
        <v>-1.1101321011429901</v>
      </c>
      <c r="AE1183">
        <v>-3.7262</v>
      </c>
      <c r="AF1183">
        <v>3.26467403691418</v>
      </c>
      <c r="AG1183">
        <v>-1.1101321011429901</v>
      </c>
      <c r="AH1183">
        <v>13.492515561367799</v>
      </c>
      <c r="AI1183">
        <v>94.572211894959693</v>
      </c>
      <c r="AJ1183">
        <v>76.398030315883105</v>
      </c>
      <c r="AK1183">
        <v>13.926179160955799</v>
      </c>
      <c r="AL1183">
        <v>85.906377107470803</v>
      </c>
      <c r="AM1183">
        <v>82.736166619245694</v>
      </c>
      <c r="AN1183">
        <v>1.0000000390453201</v>
      </c>
    </row>
    <row r="1184" spans="1:40" x14ac:dyDescent="0.25">
      <c r="A1184" t="str">
        <f>"20190312151008180"</f>
        <v>20190312151008180</v>
      </c>
      <c r="B1184" t="str">
        <f>"1552374608171658"</f>
        <v>1552374608171658</v>
      </c>
      <c r="C1184" t="s">
        <v>40</v>
      </c>
      <c r="D1184">
        <v>5.9035890000000002</v>
      </c>
      <c r="E1184">
        <v>0.54023829999999995</v>
      </c>
      <c r="F1184" t="s">
        <v>42</v>
      </c>
      <c r="G1184">
        <v>-210.4255</v>
      </c>
      <c r="H1184" s="1">
        <v>-5.2055489999999901E-6</v>
      </c>
      <c r="I1184">
        <v>363.32600000000002</v>
      </c>
      <c r="J1184">
        <v>-223.82390000000001</v>
      </c>
      <c r="K1184">
        <v>1.110112</v>
      </c>
      <c r="L1184">
        <v>367.0521</v>
      </c>
      <c r="M1184">
        <v>0.99935839999999998</v>
      </c>
      <c r="N1184">
        <v>0</v>
      </c>
      <c r="O1184">
        <v>-3.2926080000000003E-2</v>
      </c>
      <c r="P1184">
        <v>0.98562709999999998</v>
      </c>
      <c r="Q1184">
        <v>5.6985250000000001E-2</v>
      </c>
      <c r="R1184">
        <v>-0.15903589999999901</v>
      </c>
      <c r="S1184">
        <v>2.9290769999999999</v>
      </c>
      <c r="T1184">
        <v>-0.2373025</v>
      </c>
      <c r="U1184">
        <v>-0.79867549999999998</v>
      </c>
      <c r="V1184">
        <v>0.1265413</v>
      </c>
      <c r="W1184">
        <v>7.0855150000000006E-2</v>
      </c>
      <c r="X1184">
        <v>0.98942750000000002</v>
      </c>
      <c r="Y1184">
        <v>0.2305536</v>
      </c>
      <c r="Z1184">
        <v>-6.5449469999999997E-3</v>
      </c>
      <c r="AA1184">
        <v>0.97303759999999995</v>
      </c>
      <c r="AB1184">
        <v>31</v>
      </c>
      <c r="AC1184">
        <v>13.398400000000001</v>
      </c>
      <c r="AD1184">
        <v>-1.1101172055490001</v>
      </c>
      <c r="AE1184">
        <v>-3.7261000000000299</v>
      </c>
      <c r="AF1184">
        <v>3.2620924396229398</v>
      </c>
      <c r="AG1184">
        <v>-1.1101172055490001</v>
      </c>
      <c r="AH1184">
        <v>13.428266294449401</v>
      </c>
      <c r="AI1184">
        <v>94.592922298600698</v>
      </c>
      <c r="AJ1184">
        <v>76.345785235619005</v>
      </c>
      <c r="AK1184">
        <v>13.8633308757076</v>
      </c>
      <c r="AL1184">
        <v>85.936894187175696</v>
      </c>
      <c r="AM1184">
        <v>82.7118100281523</v>
      </c>
      <c r="AN1184">
        <v>0.99999996532172997</v>
      </c>
    </row>
    <row r="1185" spans="1:40" x14ac:dyDescent="0.25">
      <c r="A1185" t="str">
        <f>"20190312151008202"</f>
        <v>20190312151008202</v>
      </c>
      <c r="B1185" t="str">
        <f>"1552374608191178"</f>
        <v>1552374608191178</v>
      </c>
      <c r="C1185" t="s">
        <v>40</v>
      </c>
      <c r="D1185">
        <v>5.552664</v>
      </c>
      <c r="E1185">
        <v>0.54081630000000003</v>
      </c>
      <c r="F1185" t="s">
        <v>42</v>
      </c>
      <c r="G1185">
        <v>-210.53649999999999</v>
      </c>
      <c r="H1185" s="1">
        <v>-5.1431760000000003E-6</v>
      </c>
      <c r="I1185">
        <v>363.40940000000001</v>
      </c>
      <c r="J1185">
        <v>-223.52010000000001</v>
      </c>
      <c r="K1185">
        <v>1.1100969999999999</v>
      </c>
      <c r="L1185">
        <v>367.04169999999999</v>
      </c>
      <c r="M1185">
        <v>0.99934639999999997</v>
      </c>
      <c r="N1185">
        <v>0</v>
      </c>
      <c r="O1185">
        <v>-3.3281739999999997E-2</v>
      </c>
      <c r="P1185">
        <v>0.98560930000000002</v>
      </c>
      <c r="Q1185">
        <v>5.6712749999999999E-2</v>
      </c>
      <c r="R1185">
        <v>-0.15924389999999999</v>
      </c>
      <c r="S1185">
        <v>2.9283450000000002</v>
      </c>
      <c r="T1185">
        <v>-0.24465139999999999</v>
      </c>
      <c r="U1185">
        <v>-0.80279540000000005</v>
      </c>
      <c r="V1185">
        <v>0.1264007</v>
      </c>
      <c r="W1185">
        <v>7.0600670000000004E-2</v>
      </c>
      <c r="X1185">
        <v>0.98946369999999895</v>
      </c>
      <c r="Y1185">
        <v>0.23150299999999999</v>
      </c>
      <c r="Z1185">
        <v>-6.7572140000000001E-3</v>
      </c>
      <c r="AA1185">
        <v>0.97281070000000003</v>
      </c>
      <c r="AB1185">
        <v>30</v>
      </c>
      <c r="AC1185">
        <v>12.983599999999999</v>
      </c>
      <c r="AD1185">
        <v>-1.1101021431760001</v>
      </c>
      <c r="AE1185">
        <v>-3.6322999999999799</v>
      </c>
      <c r="AF1185">
        <v>3.1765912187640999</v>
      </c>
      <c r="AG1185">
        <v>-1.1101021431760001</v>
      </c>
      <c r="AH1185">
        <v>13.009109371850499</v>
      </c>
      <c r="AI1185">
        <v>94.738818455492506</v>
      </c>
      <c r="AJ1185">
        <v>76.277918035396297</v>
      </c>
      <c r="AK1185">
        <v>13.4372610746455</v>
      </c>
      <c r="AL1185">
        <v>85.951511575575793</v>
      </c>
      <c r="AM1185">
        <v>82.720084498117998</v>
      </c>
      <c r="AN1185">
        <v>1.0000000025913101</v>
      </c>
    </row>
    <row r="1186" spans="1:40" x14ac:dyDescent="0.25">
      <c r="A1186" t="str">
        <f>"20190312151008224"</f>
        <v>20190312151008224</v>
      </c>
      <c r="B1186" t="str">
        <f>"1552374608211674"</f>
        <v>1552374608211674</v>
      </c>
      <c r="C1186" t="s">
        <v>40</v>
      </c>
      <c r="D1186">
        <v>5.5738890000000003</v>
      </c>
      <c r="E1186">
        <v>0.54147829999999997</v>
      </c>
      <c r="F1186" t="s">
        <v>42</v>
      </c>
      <c r="G1186">
        <v>-210.32470000000001</v>
      </c>
      <c r="H1186" s="1">
        <v>-5.2361359999999999E-6</v>
      </c>
      <c r="I1186">
        <v>363.3974</v>
      </c>
      <c r="J1186">
        <v>-223.2235</v>
      </c>
      <c r="K1186">
        <v>1.1100760000000001</v>
      </c>
      <c r="L1186">
        <v>367.03149999999999</v>
      </c>
      <c r="M1186">
        <v>0.99933340000000004</v>
      </c>
      <c r="N1186">
        <v>0</v>
      </c>
      <c r="O1186">
        <v>-3.3655249999999998E-2</v>
      </c>
      <c r="P1186">
        <v>0.98549969999999998</v>
      </c>
      <c r="Q1186">
        <v>5.6677970000000001E-2</v>
      </c>
      <c r="R1186">
        <v>-0.15993199999999999</v>
      </c>
      <c r="S1186">
        <v>2.9273220000000002</v>
      </c>
      <c r="T1186">
        <v>-0.24626799999999999</v>
      </c>
      <c r="U1186">
        <v>-0.80847170000000002</v>
      </c>
      <c r="V1186">
        <v>0.12672549999999999</v>
      </c>
      <c r="W1186">
        <v>7.0578810000000006E-2</v>
      </c>
      <c r="X1186">
        <v>0.98942370000000002</v>
      </c>
      <c r="Y1186">
        <v>0.23296729999999999</v>
      </c>
      <c r="Z1186">
        <v>-6.831958E-3</v>
      </c>
      <c r="AA1186">
        <v>0.97246060000000001</v>
      </c>
      <c r="AB1186">
        <v>30</v>
      </c>
      <c r="AC1186">
        <v>12.8987999999999</v>
      </c>
      <c r="AD1186">
        <v>-1.110081236136</v>
      </c>
      <c r="AE1186">
        <v>-3.6340999999999801</v>
      </c>
      <c r="AF1186">
        <v>3.17609141544968</v>
      </c>
      <c r="AG1186">
        <v>-1.110081236136</v>
      </c>
      <c r="AH1186">
        <v>12.925120646381201</v>
      </c>
      <c r="AI1186">
        <v>94.767682738459897</v>
      </c>
      <c r="AJ1186">
        <v>76.194242143220904</v>
      </c>
      <c r="AK1186">
        <v>13.3558444418024</v>
      </c>
      <c r="AL1186">
        <v>85.952767140247204</v>
      </c>
      <c r="AM1186">
        <v>82.701287552924299</v>
      </c>
      <c r="AN1186">
        <v>0.99999998944647694</v>
      </c>
    </row>
    <row r="1187" spans="1:40" x14ac:dyDescent="0.25">
      <c r="A1187" t="str">
        <f>"20190312151008246"</f>
        <v>20190312151008246</v>
      </c>
      <c r="B1187" t="str">
        <f>"1552374608241930"</f>
        <v>1552374608241930</v>
      </c>
      <c r="C1187" t="s">
        <v>40</v>
      </c>
      <c r="D1187">
        <v>5.7253819999999997</v>
      </c>
      <c r="E1187">
        <v>0.54214910000000005</v>
      </c>
      <c r="F1187" t="s">
        <v>42</v>
      </c>
      <c r="G1187">
        <v>-210.07990000000001</v>
      </c>
      <c r="H1187" s="1">
        <v>-5.3467549999999996E-6</v>
      </c>
      <c r="I1187">
        <v>363.36599999999999</v>
      </c>
      <c r="J1187">
        <v>-222.9229</v>
      </c>
      <c r="K1187">
        <v>1.110044</v>
      </c>
      <c r="L1187">
        <v>367.02089999999998</v>
      </c>
      <c r="M1187">
        <v>0.99931939999999997</v>
      </c>
      <c r="N1187">
        <v>0</v>
      </c>
      <c r="O1187">
        <v>-3.4065369999999998E-2</v>
      </c>
      <c r="P1187">
        <v>0.98534270000000002</v>
      </c>
      <c r="Q1187">
        <v>5.6503650000000002E-2</v>
      </c>
      <c r="R1187">
        <v>-0.16095860000000001</v>
      </c>
      <c r="S1187">
        <v>2.9259339999999998</v>
      </c>
      <c r="T1187">
        <v>-0.24711559999999999</v>
      </c>
      <c r="U1187">
        <v>-0.81597900000000001</v>
      </c>
      <c r="V1187">
        <v>0.1273542</v>
      </c>
      <c r="W1187">
        <v>7.0413749999999997E-2</v>
      </c>
      <c r="X1187">
        <v>0.98935470000000003</v>
      </c>
      <c r="Y1187">
        <v>0.23499300000000001</v>
      </c>
      <c r="Z1187">
        <v>-6.9062050000000003E-3</v>
      </c>
      <c r="AA1187">
        <v>0.97197250000000002</v>
      </c>
      <c r="AB1187">
        <v>30</v>
      </c>
      <c r="AC1187">
        <v>12.8429999999999</v>
      </c>
      <c r="AD1187">
        <v>-1.1100493467550001</v>
      </c>
      <c r="AE1187">
        <v>-3.6548999999999898</v>
      </c>
      <c r="AF1187">
        <v>3.1931654691510398</v>
      </c>
      <c r="AG1187">
        <v>-1.1100493467550001</v>
      </c>
      <c r="AH1187">
        <v>12.871112291624399</v>
      </c>
      <c r="AI1187">
        <v>94.784844837128304</v>
      </c>
      <c r="AJ1187">
        <v>76.066921002830199</v>
      </c>
      <c r="AK1187">
        <v>13.3076687248073</v>
      </c>
      <c r="AL1187">
        <v>85.962247832047098</v>
      </c>
      <c r="AM1187">
        <v>82.664965159603994</v>
      </c>
      <c r="AN1187">
        <v>0.99999995542939502</v>
      </c>
    </row>
    <row r="1188" spans="1:40" x14ac:dyDescent="0.25">
      <c r="A1188" t="str">
        <f>"20190312151008269"</f>
        <v>20190312151008269</v>
      </c>
      <c r="B1188" t="str">
        <f>"1552374608261454"</f>
        <v>1552374608261454</v>
      </c>
      <c r="C1188" t="s">
        <v>40</v>
      </c>
      <c r="D1188">
        <v>5.7933830000000004</v>
      </c>
      <c r="E1188">
        <v>0.54253189999999996</v>
      </c>
      <c r="F1188" t="s">
        <v>42</v>
      </c>
      <c r="G1188">
        <v>-210.06870000000001</v>
      </c>
      <c r="H1188" s="1">
        <v>-5.3460159999999997E-6</v>
      </c>
      <c r="I1188">
        <v>363.39710000000002</v>
      </c>
      <c r="J1188">
        <v>-222.61940000000001</v>
      </c>
      <c r="K1188">
        <v>1.110023</v>
      </c>
      <c r="L1188">
        <v>367.01</v>
      </c>
      <c r="M1188">
        <v>0.99930379999999996</v>
      </c>
      <c r="N1188">
        <v>0</v>
      </c>
      <c r="O1188">
        <v>-3.4517249999999999E-2</v>
      </c>
      <c r="P1188">
        <v>0.98525200000000002</v>
      </c>
      <c r="Q1188">
        <v>5.5715519999999998E-2</v>
      </c>
      <c r="R1188">
        <v>-0.1617864</v>
      </c>
      <c r="S1188">
        <v>2.9244539999999999</v>
      </c>
      <c r="T1188">
        <v>-0.25254549999999998</v>
      </c>
      <c r="U1188">
        <v>-0.82443239999999995</v>
      </c>
      <c r="V1188">
        <v>0.12774059999999901</v>
      </c>
      <c r="W1188">
        <v>6.9632230000000003E-2</v>
      </c>
      <c r="X1188">
        <v>0.98936029999999997</v>
      </c>
      <c r="Y1188">
        <v>0.2372493</v>
      </c>
      <c r="Z1188">
        <v>-7.1154919999999898E-3</v>
      </c>
      <c r="AA1188">
        <v>0.97142269999999997</v>
      </c>
      <c r="AB1188">
        <v>30</v>
      </c>
      <c r="AC1188">
        <v>12.550700000000001</v>
      </c>
      <c r="AD1188">
        <v>-1.1100283460160001</v>
      </c>
      <c r="AE1188">
        <v>-3.6128999999999598</v>
      </c>
      <c r="AF1188">
        <v>3.1546990814168998</v>
      </c>
      <c r="AG1188">
        <v>-1.1100283460160001</v>
      </c>
      <c r="AH1188">
        <v>12.577086787506</v>
      </c>
      <c r="AI1188">
        <v>94.892938854049206</v>
      </c>
      <c r="AJ1188">
        <v>75.919056871547099</v>
      </c>
      <c r="AK1188">
        <v>13.014123146939699</v>
      </c>
      <c r="AL1188">
        <v>86.007136217193803</v>
      </c>
      <c r="AM1188">
        <v>82.642994881285901</v>
      </c>
      <c r="AN1188">
        <v>1.0000000557796</v>
      </c>
    </row>
    <row r="1189" spans="1:40" x14ac:dyDescent="0.25">
      <c r="A1189" t="str">
        <f>"20190312151008291"</f>
        <v>20190312151008291</v>
      </c>
      <c r="B1189" t="str">
        <f>"1552374608281946"</f>
        <v>1552374608281946</v>
      </c>
      <c r="C1189" t="s">
        <v>40</v>
      </c>
      <c r="D1189">
        <v>5.9423170000000001</v>
      </c>
      <c r="E1189">
        <v>0.54288910000000001</v>
      </c>
      <c r="F1189" t="s">
        <v>42</v>
      </c>
      <c r="G1189">
        <v>-210.2295</v>
      </c>
      <c r="H1189" s="1">
        <v>-5.2600069999999996E-6</v>
      </c>
      <c r="I1189">
        <v>363.49310000000003</v>
      </c>
      <c r="J1189">
        <v>-222.3135</v>
      </c>
      <c r="K1189">
        <v>1.109993</v>
      </c>
      <c r="L1189">
        <v>366.99900000000002</v>
      </c>
      <c r="M1189">
        <v>0.99928620000000001</v>
      </c>
      <c r="N1189">
        <v>0</v>
      </c>
      <c r="O1189">
        <v>-3.5014139999999999E-2</v>
      </c>
      <c r="P1189">
        <v>0.98511610000000005</v>
      </c>
      <c r="Q1189">
        <v>5.587905E-2</v>
      </c>
      <c r="R1189">
        <v>-0.162554799999999</v>
      </c>
      <c r="S1189">
        <v>2.9234619999999998</v>
      </c>
      <c r="T1189">
        <v>-0.26191599999999998</v>
      </c>
      <c r="U1189">
        <v>-0.82983399999999996</v>
      </c>
      <c r="V1189">
        <v>0.12802629999999901</v>
      </c>
      <c r="W1189">
        <v>6.9797769999999995E-2</v>
      </c>
      <c r="X1189">
        <v>0.98931159999999996</v>
      </c>
      <c r="Y1189">
        <v>0.2384588</v>
      </c>
      <c r="Z1189">
        <v>-7.3887219999999899E-3</v>
      </c>
      <c r="AA1189">
        <v>0.97112449999999995</v>
      </c>
      <c r="AB1189">
        <v>30</v>
      </c>
      <c r="AC1189">
        <v>12.084</v>
      </c>
      <c r="AD1189">
        <v>-1.109998260007</v>
      </c>
      <c r="AE1189">
        <v>-3.5058999999999898</v>
      </c>
      <c r="AF1189">
        <v>3.0568065165378799</v>
      </c>
      <c r="AG1189">
        <v>-1.109998260007</v>
      </c>
      <c r="AH1189">
        <v>12.105147811062899</v>
      </c>
      <c r="AI1189">
        <v>95.080555914507897</v>
      </c>
      <c r="AJ1189">
        <v>75.827880283879693</v>
      </c>
      <c r="AK1189">
        <v>12.5343833412118</v>
      </c>
      <c r="AL1189">
        <v>85.997627925356895</v>
      </c>
      <c r="AM1189">
        <v>82.626362370227298</v>
      </c>
      <c r="AN1189">
        <v>0.99999995204160996</v>
      </c>
    </row>
    <row r="1190" spans="1:40" x14ac:dyDescent="0.25">
      <c r="A1190" t="str">
        <f>"20190312151008313"</f>
        <v>20190312151008313</v>
      </c>
      <c r="B1190" t="str">
        <f>"1552374608301466"</f>
        <v>1552374608301466</v>
      </c>
      <c r="C1190" t="s">
        <v>40</v>
      </c>
      <c r="D1190">
        <v>5.8345690000000001</v>
      </c>
      <c r="E1190">
        <v>0.54349139999999996</v>
      </c>
      <c r="F1190" t="s">
        <v>42</v>
      </c>
      <c r="G1190">
        <v>-209.99639999999999</v>
      </c>
      <c r="H1190" s="1">
        <v>-5.3625059999999996E-6</v>
      </c>
      <c r="I1190">
        <v>363.47890000000001</v>
      </c>
      <c r="J1190">
        <v>-222.01759999999999</v>
      </c>
      <c r="K1190">
        <v>1.10996299999999</v>
      </c>
      <c r="L1190">
        <v>366.98809999999997</v>
      </c>
      <c r="M1190">
        <v>0.99926749999999998</v>
      </c>
      <c r="N1190">
        <v>0</v>
      </c>
      <c r="O1190">
        <v>-3.5538260000000002E-2</v>
      </c>
      <c r="P1190">
        <v>0.98494150000000003</v>
      </c>
      <c r="Q1190">
        <v>5.5391160000000002E-2</v>
      </c>
      <c r="R1190">
        <v>-0.16377429999999901</v>
      </c>
      <c r="S1190">
        <v>2.9224399999999999</v>
      </c>
      <c r="T1190">
        <v>-0.26336479999999901</v>
      </c>
      <c r="U1190">
        <v>-0.83520509999999903</v>
      </c>
      <c r="V1190">
        <v>0.12873699999999999</v>
      </c>
      <c r="W1190">
        <v>6.9308759999999997E-2</v>
      </c>
      <c r="X1190">
        <v>0.98925379999999996</v>
      </c>
      <c r="Y1190">
        <v>0.23967849999999999</v>
      </c>
      <c r="Z1190">
        <v>-7.4378150000000004E-3</v>
      </c>
      <c r="AA1190">
        <v>0.97082380000000001</v>
      </c>
      <c r="AB1190">
        <v>30</v>
      </c>
      <c r="AC1190">
        <v>12.021199999999901</v>
      </c>
      <c r="AD1190">
        <v>-1.10996836250599</v>
      </c>
      <c r="AE1190">
        <v>-3.5091999999999599</v>
      </c>
      <c r="AF1190">
        <v>3.0557210876534899</v>
      </c>
      <c r="AG1190">
        <v>-1.10996836250599</v>
      </c>
      <c r="AH1190">
        <v>12.0437111801743</v>
      </c>
      <c r="AI1190">
        <v>95.104751757524696</v>
      </c>
      <c r="AJ1190">
        <v>75.763371772504996</v>
      </c>
      <c r="AK1190">
        <v>12.4747921875576</v>
      </c>
      <c r="AL1190">
        <v>86.025714345556693</v>
      </c>
      <c r="AM1190">
        <v>82.585455607604899</v>
      </c>
      <c r="AN1190">
        <v>1.00000000009808</v>
      </c>
    </row>
    <row r="1191" spans="1:40" x14ac:dyDescent="0.25">
      <c r="A1191" t="str">
        <f>"20190312151008326"</f>
        <v>20190312151008326</v>
      </c>
      <c r="B1191" t="str">
        <f>"1552374608321962"</f>
        <v>1552374608321962</v>
      </c>
      <c r="C1191" t="s">
        <v>40</v>
      </c>
      <c r="D1191">
        <v>5.8411759999999999</v>
      </c>
      <c r="E1191">
        <v>0.5438866</v>
      </c>
      <c r="F1191" t="s">
        <v>48</v>
      </c>
      <c r="G1191">
        <v>-209.8998</v>
      </c>
      <c r="H1191" s="1">
        <v>-6.2087559999999901E-6</v>
      </c>
      <c r="I1191">
        <v>363.48779999999999</v>
      </c>
      <c r="J1191">
        <v>-221.84309999999999</v>
      </c>
      <c r="K1191">
        <v>1.1099429999999999</v>
      </c>
      <c r="L1191">
        <v>366.98149999999998</v>
      </c>
      <c r="M1191">
        <v>0.99925560000000002</v>
      </c>
      <c r="N1191">
        <v>0</v>
      </c>
      <c r="O1191">
        <v>-3.5871029999999998E-2</v>
      </c>
      <c r="P1191">
        <v>0.98480400000000001</v>
      </c>
      <c r="Q1191">
        <v>5.5340189999999997E-2</v>
      </c>
      <c r="R1191">
        <v>-0.16461770000000001</v>
      </c>
      <c r="S1191">
        <v>2.920639</v>
      </c>
      <c r="T1191">
        <v>-0.26752520000000002</v>
      </c>
      <c r="U1191">
        <v>-0.84362789999999999</v>
      </c>
      <c r="V1191">
        <v>0.1292585</v>
      </c>
      <c r="W1191">
        <v>6.9254549999999998E-2</v>
      </c>
      <c r="X1191">
        <v>0.9891896</v>
      </c>
      <c r="Y1191">
        <v>0.24206649999999999</v>
      </c>
      <c r="Z1191">
        <v>-7.6336659999999999E-3</v>
      </c>
      <c r="AA1191">
        <v>0.97022960000000003</v>
      </c>
      <c r="AB1191">
        <v>30</v>
      </c>
      <c r="AC1191">
        <v>11.943299999999899</v>
      </c>
      <c r="AD1191">
        <v>-1.1099492087559999</v>
      </c>
      <c r="AE1191">
        <v>-3.4936999999999898</v>
      </c>
      <c r="AF1191">
        <v>3.0388123909823599</v>
      </c>
      <c r="AG1191">
        <v>-1.1099492087559999</v>
      </c>
      <c r="AH1191">
        <v>11.9657467747223</v>
      </c>
      <c r="AI1191">
        <v>95.1374542841927</v>
      </c>
      <c r="AJ1191">
        <v>75.750450519831503</v>
      </c>
      <c r="AK1191">
        <v>12.3953807472938</v>
      </c>
      <c r="AL1191">
        <v>86.028827864984393</v>
      </c>
      <c r="AM1191">
        <v>82.555278558170201</v>
      </c>
      <c r="AN1191">
        <v>1.0000000086330501</v>
      </c>
    </row>
    <row r="1192" spans="1:40" x14ac:dyDescent="0.25">
      <c r="A1192" t="str">
        <f>"20190312151008338"</f>
        <v>20190312151008338</v>
      </c>
      <c r="B1192" t="str">
        <f>"1552374608331723"</f>
        <v>1552374608331723</v>
      </c>
      <c r="C1192" t="s">
        <v>40</v>
      </c>
      <c r="D1192">
        <v>5.7376839999999998</v>
      </c>
      <c r="E1192">
        <v>0.54407329999999998</v>
      </c>
      <c r="F1192" t="s">
        <v>42</v>
      </c>
      <c r="G1192">
        <v>-210.0455</v>
      </c>
      <c r="H1192" s="1">
        <v>-5.3292240000000004E-6</v>
      </c>
      <c r="I1192">
        <v>363.54790000000003</v>
      </c>
      <c r="J1192">
        <v>-221.67789999999999</v>
      </c>
      <c r="K1192">
        <v>1.1099190000000001</v>
      </c>
      <c r="L1192">
        <v>366.9753</v>
      </c>
      <c r="M1192">
        <v>0.99924380000000002</v>
      </c>
      <c r="N1192">
        <v>0</v>
      </c>
      <c r="O1192">
        <v>-3.61958E-2</v>
      </c>
      <c r="P1192">
        <v>0.98468840000000002</v>
      </c>
      <c r="Q1192">
        <v>5.5353769999999997E-2</v>
      </c>
      <c r="R1192">
        <v>-0.16530310000000001</v>
      </c>
      <c r="S1192">
        <v>2.9196780000000002</v>
      </c>
      <c r="T1192">
        <v>-0.27468809999999999</v>
      </c>
      <c r="U1192">
        <v>-0.84973140000000003</v>
      </c>
      <c r="V1192">
        <v>0.12962939999999901</v>
      </c>
      <c r="W1192">
        <v>6.9265019999999997E-2</v>
      </c>
      <c r="X1192">
        <v>0.98914029999999997</v>
      </c>
      <c r="Y1192">
        <v>0.24365880000000001</v>
      </c>
      <c r="Z1192">
        <v>-7.8809399999999995E-3</v>
      </c>
      <c r="AA1192">
        <v>0.96982900000000005</v>
      </c>
      <c r="AB1192">
        <v>30</v>
      </c>
      <c r="AC1192">
        <v>11.632399999999899</v>
      </c>
      <c r="AD1192">
        <v>-1.109924329224</v>
      </c>
      <c r="AE1192">
        <v>-3.4273999999999698</v>
      </c>
      <c r="AF1192">
        <v>2.9791108836318299</v>
      </c>
      <c r="AG1192">
        <v>-1.109924329224</v>
      </c>
      <c r="AH1192">
        <v>11.651242534416999</v>
      </c>
      <c r="AI1192">
        <v>95.273068366009696</v>
      </c>
      <c r="AJ1192">
        <v>75.657312350247807</v>
      </c>
      <c r="AK1192">
        <v>12.0771886740825</v>
      </c>
      <c r="AL1192">
        <v>86.028226415146804</v>
      </c>
      <c r="AM1192">
        <v>82.533789087260104</v>
      </c>
      <c r="AN1192">
        <v>0.99999997871202395</v>
      </c>
    </row>
    <row r="1193" spans="1:40" x14ac:dyDescent="0.25">
      <c r="A1193" t="str">
        <f>"20190312151008350"</f>
        <v>20190312151008350</v>
      </c>
      <c r="B1193" t="str">
        <f>"1552374608342458"</f>
        <v>1552374608342458</v>
      </c>
      <c r="C1193" t="s">
        <v>40</v>
      </c>
      <c r="D1193">
        <v>5.893815</v>
      </c>
      <c r="E1193">
        <v>0.54407329999999998</v>
      </c>
      <c r="F1193" t="s">
        <v>42</v>
      </c>
      <c r="G1193">
        <v>-209.99719999999999</v>
      </c>
      <c r="H1193" s="1">
        <v>-5.3476289999999996E-6</v>
      </c>
      <c r="I1193">
        <v>363.56099999999998</v>
      </c>
      <c r="J1193">
        <v>-221.51400000000001</v>
      </c>
      <c r="K1193">
        <v>1.109896</v>
      </c>
      <c r="L1193">
        <v>366.96899999999999</v>
      </c>
      <c r="M1193">
        <v>0.99923099999999998</v>
      </c>
      <c r="N1193">
        <v>0</v>
      </c>
      <c r="O1193">
        <v>-3.6542650000000003E-2</v>
      </c>
      <c r="P1193">
        <v>0.98456080000000001</v>
      </c>
      <c r="Q1193">
        <v>5.5294219999999998E-2</v>
      </c>
      <c r="R1193">
        <v>-0.1660809</v>
      </c>
      <c r="S1193">
        <v>2.919006</v>
      </c>
      <c r="T1193">
        <v>-0.27736650000000002</v>
      </c>
      <c r="U1193">
        <v>-0.85321039999999904</v>
      </c>
      <c r="V1193">
        <v>0.13007099999999999</v>
      </c>
      <c r="W1193">
        <v>6.9201260000000001E-2</v>
      </c>
      <c r="X1193">
        <v>0.98908680000000004</v>
      </c>
      <c r="Y1193">
        <v>0.24442910000000001</v>
      </c>
      <c r="Z1193">
        <v>-7.9615869999999991E-3</v>
      </c>
      <c r="AA1193">
        <v>0.96963449999999995</v>
      </c>
      <c r="AB1193">
        <v>30</v>
      </c>
      <c r="AC1193">
        <v>11.5168</v>
      </c>
      <c r="AD1193">
        <v>-1.1099013476290001</v>
      </c>
      <c r="AE1193">
        <v>-3.4080000000000101</v>
      </c>
      <c r="AF1193">
        <v>2.9595523151718699</v>
      </c>
      <c r="AG1193">
        <v>-1.1099013476290001</v>
      </c>
      <c r="AH1193">
        <v>11.535147981342901</v>
      </c>
      <c r="AI1193">
        <v>95.324608320648494</v>
      </c>
      <c r="AJ1193">
        <v>75.610113747424904</v>
      </c>
      <c r="AK1193">
        <v>11.960370807762899</v>
      </c>
      <c r="AL1193">
        <v>86.031888420606293</v>
      </c>
      <c r="AM1193">
        <v>82.508242231425399</v>
      </c>
      <c r="AN1193">
        <v>0.99999998868041295</v>
      </c>
    </row>
    <row r="1194" spans="1:40" x14ac:dyDescent="0.25">
      <c r="A1194" t="str">
        <f>"20190312151008364"</f>
        <v>20190312151008364</v>
      </c>
      <c r="B1194" t="str">
        <f>"1552374608352218"</f>
        <v>1552374608352218</v>
      </c>
      <c r="C1194" t="s">
        <v>40</v>
      </c>
      <c r="D1194">
        <v>5.8327669999999996</v>
      </c>
      <c r="E1194">
        <v>0.55523469999999997</v>
      </c>
      <c r="F1194" t="s">
        <v>48</v>
      </c>
      <c r="G1194">
        <v>-209.8416</v>
      </c>
      <c r="H1194" s="1">
        <v>-6.1800269999999998E-6</v>
      </c>
      <c r="I1194">
        <v>363.54680000000002</v>
      </c>
      <c r="J1194">
        <v>-221.3254</v>
      </c>
      <c r="K1194">
        <v>1.1098730000000001</v>
      </c>
      <c r="L1194">
        <v>366.96170000000001</v>
      </c>
      <c r="M1194">
        <v>0.99921579999999999</v>
      </c>
      <c r="N1194">
        <v>0</v>
      </c>
      <c r="O1194">
        <v>-3.6956320000000001E-2</v>
      </c>
      <c r="P1194">
        <v>0.98441769999999995</v>
      </c>
      <c r="Q1194">
        <v>5.5118710000000001E-2</v>
      </c>
      <c r="R1194">
        <v>-0.16698440000000001</v>
      </c>
      <c r="S1194">
        <v>2.9183349999999999</v>
      </c>
      <c r="T1194">
        <v>-0.27749659999999998</v>
      </c>
      <c r="U1194">
        <v>-0.85559079999999998</v>
      </c>
      <c r="V1194">
        <v>0.13057360000000001</v>
      </c>
      <c r="W1194">
        <v>6.9020020000000001E-2</v>
      </c>
      <c r="X1194">
        <v>0.9890333</v>
      </c>
      <c r="Y1194">
        <v>0.24481539999999999</v>
      </c>
      <c r="Z1194">
        <v>-7.9458040000000008E-3</v>
      </c>
      <c r="AA1194">
        <v>0.96953710000000004</v>
      </c>
      <c r="AB1194">
        <v>30</v>
      </c>
      <c r="AC1194">
        <v>11.4838</v>
      </c>
      <c r="AD1194">
        <v>-1.10987918002699</v>
      </c>
      <c r="AE1194">
        <v>-3.4148999999999798</v>
      </c>
      <c r="AF1194">
        <v>2.9626994471147099</v>
      </c>
      <c r="AG1194">
        <v>-1.10987918002699</v>
      </c>
      <c r="AH1194">
        <v>11.5034476569415</v>
      </c>
      <c r="AI1194">
        <v>95.337835777999501</v>
      </c>
      <c r="AJ1194">
        <v>75.557411307043793</v>
      </c>
      <c r="AK1194">
        <v>11.930579525076899</v>
      </c>
      <c r="AL1194">
        <v>86.042297832647606</v>
      </c>
      <c r="AM1194">
        <v>82.479222321102299</v>
      </c>
      <c r="AN1194">
        <v>1.00000004834332</v>
      </c>
    </row>
    <row r="1195" spans="1:40" x14ac:dyDescent="0.25">
      <c r="A1195" t="str">
        <f>"20190312151008382"</f>
        <v>20190312151008382</v>
      </c>
      <c r="B1195" t="str">
        <f>"1552374608371739"</f>
        <v>1552374608371739</v>
      </c>
      <c r="C1195" t="s">
        <v>40</v>
      </c>
      <c r="D1195">
        <v>5.7787499999999996</v>
      </c>
      <c r="E1195">
        <v>0.55522109999999902</v>
      </c>
      <c r="F1195" t="s">
        <v>42</v>
      </c>
      <c r="G1195">
        <v>-213.8484</v>
      </c>
      <c r="H1195" s="1">
        <v>-3.5251010000000002E-6</v>
      </c>
      <c r="I1195">
        <v>364.5215</v>
      </c>
      <c r="J1195">
        <v>-221.09520000000001</v>
      </c>
      <c r="K1195">
        <v>1.1098479999999999</v>
      </c>
      <c r="L1195">
        <v>366.95260000000002</v>
      </c>
      <c r="M1195">
        <v>0.99919599999999997</v>
      </c>
      <c r="N1195">
        <v>0</v>
      </c>
      <c r="O1195">
        <v>-3.7488710000000001E-2</v>
      </c>
      <c r="P1195">
        <v>0.98422469999999995</v>
      </c>
      <c r="Q1195">
        <v>5.4996709999999997E-2</v>
      </c>
      <c r="R1195">
        <v>-0.16816</v>
      </c>
      <c r="S1195">
        <v>2.910568</v>
      </c>
      <c r="T1195">
        <v>-0.4320368</v>
      </c>
      <c r="U1195">
        <v>-0.94985960000000003</v>
      </c>
      <c r="V1195">
        <v>0.13123319999999999</v>
      </c>
      <c r="W1195">
        <v>6.8890629999999994E-2</v>
      </c>
      <c r="X1195">
        <v>0.98895500000000003</v>
      </c>
      <c r="Y1195">
        <v>0.27206760000000002</v>
      </c>
      <c r="Z1195">
        <v>-1.4194089999999999E-2</v>
      </c>
      <c r="AA1195">
        <v>0.96217350000000001</v>
      </c>
      <c r="AB1195">
        <v>30</v>
      </c>
      <c r="AC1195">
        <v>7.2468000000000004</v>
      </c>
      <c r="AD1195">
        <v>-1.1098515251009999</v>
      </c>
      <c r="AE1195">
        <v>-2.43110000000001</v>
      </c>
      <c r="AF1195">
        <v>2.1131399415188401</v>
      </c>
      <c r="AG1195">
        <v>-1.1098515251009999</v>
      </c>
      <c r="AH1195">
        <v>7.18145032449537</v>
      </c>
      <c r="AI1195">
        <v>98.4331880740516</v>
      </c>
      <c r="AJ1195">
        <v>73.6034937517461</v>
      </c>
      <c r="AK1195">
        <v>7.5677182547585602</v>
      </c>
      <c r="AL1195">
        <v>86.049728956061102</v>
      </c>
      <c r="AM1195">
        <v>82.441077321495598</v>
      </c>
      <c r="AN1195">
        <v>1.0000000318545099</v>
      </c>
    </row>
    <row r="1196" spans="1:40" x14ac:dyDescent="0.25">
      <c r="A1196" t="str">
        <f>"20190312151008402"</f>
        <v>20190312151008402</v>
      </c>
      <c r="B1196" t="str">
        <f>"1552374608392234"</f>
        <v>1552374608392234</v>
      </c>
      <c r="C1196" t="s">
        <v>40</v>
      </c>
      <c r="D1196">
        <v>5.9960529999999999</v>
      </c>
      <c r="E1196">
        <v>0.55500319999999903</v>
      </c>
      <c r="F1196" t="s">
        <v>42</v>
      </c>
      <c r="G1196">
        <v>-213.7594</v>
      </c>
      <c r="H1196" s="1">
        <v>-3.5585010000000001E-6</v>
      </c>
      <c r="I1196">
        <v>364.54829999999998</v>
      </c>
      <c r="J1196">
        <v>-220.80670000000001</v>
      </c>
      <c r="K1196">
        <v>1.10981</v>
      </c>
      <c r="L1196">
        <v>366.94110000000001</v>
      </c>
      <c r="M1196">
        <v>0.99916859999999996</v>
      </c>
      <c r="N1196">
        <v>0</v>
      </c>
      <c r="O1196">
        <v>-3.8207499999999998E-2</v>
      </c>
      <c r="P1196">
        <v>0.98406800000000005</v>
      </c>
      <c r="Q1196">
        <v>5.4639939999999998E-2</v>
      </c>
      <c r="R1196">
        <v>-0.16918859999999999</v>
      </c>
      <c r="S1196">
        <v>2.9097599999999999</v>
      </c>
      <c r="T1196">
        <v>-0.44022509999999998</v>
      </c>
      <c r="U1196">
        <v>-0.95367429999999997</v>
      </c>
      <c r="V1196">
        <v>0.1315615</v>
      </c>
      <c r="W1196">
        <v>6.8524329999999994E-2</v>
      </c>
      <c r="X1196">
        <v>0.98893679999999995</v>
      </c>
      <c r="Y1196">
        <v>0.272509</v>
      </c>
      <c r="Z1196">
        <v>-1.438862E-2</v>
      </c>
      <c r="AA1196">
        <v>0.9620457</v>
      </c>
      <c r="AB1196">
        <v>30</v>
      </c>
      <c r="AC1196">
        <v>7.0472999999999999</v>
      </c>
      <c r="AD1196">
        <v>-1.1098135585010001</v>
      </c>
      <c r="AE1196">
        <v>-2.3928000000000198</v>
      </c>
      <c r="AF1196">
        <v>2.07561091328756</v>
      </c>
      <c r="AG1196">
        <v>-1.1098135585010001</v>
      </c>
      <c r="AH1196">
        <v>6.9784089683236203</v>
      </c>
      <c r="AI1196">
        <v>98.667188789218201</v>
      </c>
      <c r="AJ1196">
        <v>73.4357715381297</v>
      </c>
      <c r="AK1196">
        <v>7.3646478888790501</v>
      </c>
      <c r="AL1196">
        <v>86.070766000914603</v>
      </c>
      <c r="AM1196">
        <v>82.422249145193504</v>
      </c>
      <c r="AN1196">
        <v>1.00000000323921</v>
      </c>
    </row>
    <row r="1197" spans="1:40" x14ac:dyDescent="0.25">
      <c r="A1197" t="str">
        <f>"20190312151008417"</f>
        <v>20190312151008417</v>
      </c>
      <c r="B1197" t="str">
        <f>"1552374608411755"</f>
        <v>1552374608411755</v>
      </c>
      <c r="C1197" t="s">
        <v>40</v>
      </c>
      <c r="D1197">
        <v>5.7635230000000002</v>
      </c>
      <c r="E1197">
        <v>0.55752889999999999</v>
      </c>
      <c r="F1197" t="s">
        <v>42</v>
      </c>
      <c r="G1197">
        <v>-213.4391</v>
      </c>
      <c r="H1197" s="1">
        <v>-3.700891E-6</v>
      </c>
      <c r="I1197">
        <v>364.52019999999999</v>
      </c>
      <c r="J1197">
        <v>-220.6131</v>
      </c>
      <c r="K1197">
        <v>1.1097859999999999</v>
      </c>
      <c r="L1197">
        <v>366.9332</v>
      </c>
      <c r="M1197">
        <v>0.99914899999999995</v>
      </c>
      <c r="N1197">
        <v>0</v>
      </c>
      <c r="O1197">
        <v>-3.8715890000000003E-2</v>
      </c>
      <c r="P1197">
        <v>0.98391839999999997</v>
      </c>
      <c r="Q1197">
        <v>5.4768499999999998E-2</v>
      </c>
      <c r="R1197">
        <v>-0.1700159</v>
      </c>
      <c r="S1197">
        <v>2.908585</v>
      </c>
      <c r="T1197">
        <v>-0.43813000000000002</v>
      </c>
      <c r="U1197">
        <v>-0.95571899999999999</v>
      </c>
      <c r="V1197">
        <v>0.1318954</v>
      </c>
      <c r="W1197">
        <v>6.8645159999999997E-2</v>
      </c>
      <c r="X1197">
        <v>0.98888399999999999</v>
      </c>
      <c r="Y1197">
        <v>0.2727695</v>
      </c>
      <c r="Z1197">
        <v>-1.4269850000000001E-2</v>
      </c>
      <c r="AA1197">
        <v>0.96197359999999998</v>
      </c>
      <c r="AB1197">
        <v>30</v>
      </c>
      <c r="AC1197">
        <v>7.1740000000000004</v>
      </c>
      <c r="AD1197">
        <v>-1.109789700891</v>
      </c>
      <c r="AE1197">
        <v>-2.41300000000001</v>
      </c>
      <c r="AF1197">
        <v>2.0885143553209602</v>
      </c>
      <c r="AG1197">
        <v>-1.109789700891</v>
      </c>
      <c r="AH1197">
        <v>7.1092126461090004</v>
      </c>
      <c r="AI1197">
        <v>98.518237103703598</v>
      </c>
      <c r="AJ1197">
        <v>73.628490357435794</v>
      </c>
      <c r="AK1197">
        <v>7.4922913611378998</v>
      </c>
      <c r="AL1197">
        <v>86.0638268354231</v>
      </c>
      <c r="AM1197">
        <v>82.402840437862096</v>
      </c>
      <c r="AN1197">
        <v>1.00000005999429</v>
      </c>
    </row>
    <row r="1198" spans="1:40" x14ac:dyDescent="0.25">
      <c r="A1198" t="str">
        <f>"20190312151008429"</f>
        <v>20190312151008429</v>
      </c>
      <c r="B1198" t="str">
        <f>"1552374608421515"</f>
        <v>1552374608421515</v>
      </c>
      <c r="C1198" t="s">
        <v>40</v>
      </c>
      <c r="D1198">
        <v>5.6901510000000002</v>
      </c>
      <c r="E1198">
        <v>0.55970330000000001</v>
      </c>
      <c r="F1198" t="s">
        <v>48</v>
      </c>
      <c r="G1198">
        <v>-206.4555</v>
      </c>
      <c r="H1198" s="1">
        <v>-5.2610790000000004E-6</v>
      </c>
      <c r="I1198">
        <v>362.17340000000002</v>
      </c>
      <c r="J1198">
        <v>-220.44880000000001</v>
      </c>
      <c r="K1198">
        <v>1.109764</v>
      </c>
      <c r="L1198">
        <v>366.92630000000003</v>
      </c>
      <c r="M1198">
        <v>0.99913110000000005</v>
      </c>
      <c r="N1198">
        <v>0</v>
      </c>
      <c r="O1198">
        <v>-3.9178919999999999E-2</v>
      </c>
      <c r="P1198">
        <v>0.98376010000000003</v>
      </c>
      <c r="Q1198">
        <v>5.5165810000000003E-2</v>
      </c>
      <c r="R1198">
        <v>-0.17080209999999901</v>
      </c>
      <c r="S1198">
        <v>2.8935849999999999</v>
      </c>
      <c r="T1198">
        <v>-0.226823</v>
      </c>
      <c r="U1198">
        <v>-0.97280880000000003</v>
      </c>
      <c r="V1198">
        <v>0.132233399999999</v>
      </c>
      <c r="W1198">
        <v>6.9033810000000001E-2</v>
      </c>
      <c r="X1198">
        <v>0.98881169999999996</v>
      </c>
      <c r="Y1198">
        <v>0.28061970000000003</v>
      </c>
      <c r="Z1198">
        <v>-7.7094310000000001E-3</v>
      </c>
      <c r="AA1198">
        <v>0.95978810000000003</v>
      </c>
      <c r="AB1198">
        <v>30</v>
      </c>
      <c r="AC1198">
        <v>13.9933</v>
      </c>
      <c r="AD1198">
        <v>-1.109769261079</v>
      </c>
      <c r="AE1198">
        <v>-4.7529000000000101</v>
      </c>
      <c r="AF1198">
        <v>4.1773956200216498</v>
      </c>
      <c r="AG1198">
        <v>-1.109769261079</v>
      </c>
      <c r="AH1198">
        <v>14.0893354348069</v>
      </c>
      <c r="AI1198">
        <v>94.318621255520398</v>
      </c>
      <c r="AJ1198">
        <v>73.485254955489495</v>
      </c>
      <c r="AK1198">
        <v>14.737421584982799</v>
      </c>
      <c r="AL1198">
        <v>86.041505478710505</v>
      </c>
      <c r="AM1198">
        <v>82.383049574649903</v>
      </c>
      <c r="AN1198">
        <v>0.99999995852778201</v>
      </c>
    </row>
    <row r="1199" spans="1:40" x14ac:dyDescent="0.25">
      <c r="A1199" t="str">
        <f>"20190312151008442"</f>
        <v>20190312151008442</v>
      </c>
      <c r="B1199" t="str">
        <f>"1552374608432250"</f>
        <v>1552374608432250</v>
      </c>
      <c r="C1199" t="s">
        <v>40</v>
      </c>
      <c r="D1199">
        <v>5.6861560000000004</v>
      </c>
      <c r="E1199">
        <v>0.55970330000000001</v>
      </c>
      <c r="F1199" t="s">
        <v>48</v>
      </c>
      <c r="G1199">
        <v>-205.39750000000001</v>
      </c>
      <c r="H1199" s="1">
        <v>-4.8819120000000001E-6</v>
      </c>
      <c r="I1199">
        <v>361.76060000000001</v>
      </c>
      <c r="J1199">
        <v>-220.27719999999999</v>
      </c>
      <c r="K1199">
        <v>1.1097360000000001</v>
      </c>
      <c r="L1199">
        <v>366.91910000000001</v>
      </c>
      <c r="M1199">
        <v>0.99911110000000003</v>
      </c>
      <c r="N1199">
        <v>0</v>
      </c>
      <c r="O1199">
        <v>-3.9682450000000001E-2</v>
      </c>
      <c r="P1199">
        <v>0.98356350000000003</v>
      </c>
      <c r="Q1199">
        <v>5.535793E-2</v>
      </c>
      <c r="R1199">
        <v>-0.171867299999999</v>
      </c>
      <c r="S1199">
        <v>2.889297</v>
      </c>
      <c r="T1199">
        <v>-0.21303440000000001</v>
      </c>
      <c r="U1199">
        <v>-0.99163820000000003</v>
      </c>
      <c r="V1199">
        <v>0.1328125</v>
      </c>
      <c r="W1199">
        <v>6.9215540000000006E-2</v>
      </c>
      <c r="X1199">
        <v>0.98872139999999997</v>
      </c>
      <c r="Y1199">
        <v>0.28623389999999999</v>
      </c>
      <c r="Z1199">
        <v>-7.4099119999999899E-3</v>
      </c>
      <c r="AA1199">
        <v>0.95813110000000001</v>
      </c>
      <c r="AB1199">
        <v>30</v>
      </c>
      <c r="AC1199">
        <v>14.8796999999999</v>
      </c>
      <c r="AD1199">
        <v>-1.109740881912</v>
      </c>
      <c r="AE1199">
        <v>-5.1585000000000001</v>
      </c>
      <c r="AF1199">
        <v>4.5413631501621801</v>
      </c>
      <c r="AG1199">
        <v>-1.109740881912</v>
      </c>
      <c r="AH1199">
        <v>14.998226234403701</v>
      </c>
      <c r="AI1199">
        <v>94.0507129363465</v>
      </c>
      <c r="AJ1199">
        <v>73.154036678190906</v>
      </c>
      <c r="AK1199">
        <v>15.709942529016301</v>
      </c>
      <c r="AL1199">
        <v>86.031068231750496</v>
      </c>
      <c r="AM1199">
        <v>82.349395856829304</v>
      </c>
      <c r="AN1199">
        <v>0.99999997897585002</v>
      </c>
    </row>
    <row r="1200" spans="1:40" x14ac:dyDescent="0.25">
      <c r="A1200" t="str">
        <f>"20190312151008453"</f>
        <v>20190312151008453</v>
      </c>
      <c r="B1200" t="str">
        <f>"1552374608442010"</f>
        <v>1552374608442010</v>
      </c>
      <c r="C1200" t="s">
        <v>40</v>
      </c>
      <c r="D1200">
        <v>5.7233109999999998</v>
      </c>
      <c r="E1200">
        <v>0.57081850000000001</v>
      </c>
      <c r="F1200" t="s">
        <v>48</v>
      </c>
      <c r="G1200">
        <v>-205.2193</v>
      </c>
      <c r="H1200" s="1">
        <v>-4.8046520000000003E-6</v>
      </c>
      <c r="I1200">
        <v>361.73469999999998</v>
      </c>
      <c r="J1200">
        <v>-220.11949999999999</v>
      </c>
      <c r="K1200">
        <v>1.109707</v>
      </c>
      <c r="L1200">
        <v>366.91239999999999</v>
      </c>
      <c r="M1200">
        <v>0.99909139999999996</v>
      </c>
      <c r="N1200">
        <v>0</v>
      </c>
      <c r="O1200">
        <v>-4.0174590000000003E-2</v>
      </c>
      <c r="P1200">
        <v>0.98338689999999995</v>
      </c>
      <c r="Q1200">
        <v>5.5539529999999997E-2</v>
      </c>
      <c r="R1200">
        <v>-0.17281740000000001</v>
      </c>
      <c r="S1200">
        <v>2.8883209999999999</v>
      </c>
      <c r="T1200">
        <v>-0.21286450000000001</v>
      </c>
      <c r="U1200">
        <v>-0.99444580000000005</v>
      </c>
      <c r="V1200">
        <v>0.1332874</v>
      </c>
      <c r="W1200">
        <v>6.9385829999999996E-2</v>
      </c>
      <c r="X1200">
        <v>0.98864560000000001</v>
      </c>
      <c r="Y1200">
        <v>0.28669529999999999</v>
      </c>
      <c r="Z1200">
        <v>-7.3866849999999996E-3</v>
      </c>
      <c r="AA1200">
        <v>0.95799330000000005</v>
      </c>
      <c r="AB1200">
        <v>30</v>
      </c>
      <c r="AC1200">
        <v>14.9001999999999</v>
      </c>
      <c r="AD1200">
        <v>-1.109711804652</v>
      </c>
      <c r="AE1200">
        <v>-5.1777000000000104</v>
      </c>
      <c r="AF1200">
        <v>4.5523191275577597</v>
      </c>
      <c r="AG1200">
        <v>-1.109711804652</v>
      </c>
      <c r="AH1200">
        <v>15.021856453299</v>
      </c>
      <c r="AI1200">
        <v>94.043973509894897</v>
      </c>
      <c r="AJ1200">
        <v>73.140757885171894</v>
      </c>
      <c r="AK1200">
        <v>15.735667797460399</v>
      </c>
      <c r="AL1200">
        <v>86.021287996383904</v>
      </c>
      <c r="AM1200">
        <v>82.321783560246601</v>
      </c>
      <c r="AN1200">
        <v>1.0000000234014501</v>
      </c>
    </row>
    <row r="1201" spans="1:40" x14ac:dyDescent="0.25">
      <c r="A1201" t="str">
        <f>"20190312151008466"</f>
        <v>20190312151008466</v>
      </c>
      <c r="B1201" t="str">
        <f>"1552374608461530"</f>
        <v>1552374608461530</v>
      </c>
      <c r="C1201" t="s">
        <v>40</v>
      </c>
      <c r="D1201">
        <v>5.7323919999999999</v>
      </c>
      <c r="E1201">
        <v>0.57184939999999995</v>
      </c>
      <c r="F1201" t="s">
        <v>42</v>
      </c>
      <c r="G1201">
        <v>-211.83260000000001</v>
      </c>
      <c r="H1201" s="1">
        <v>-4.521193E-6</v>
      </c>
      <c r="I1201">
        <v>363.78100000000001</v>
      </c>
      <c r="J1201">
        <v>-219.96080000000001</v>
      </c>
      <c r="K1201">
        <v>1.1096680000000001</v>
      </c>
      <c r="L1201">
        <v>366.90550000000002</v>
      </c>
      <c r="M1201">
        <v>0.99906969999999995</v>
      </c>
      <c r="N1201">
        <v>0</v>
      </c>
      <c r="O1201">
        <v>-4.0706909999999999E-2</v>
      </c>
      <c r="P1201">
        <v>0.98322659999999995</v>
      </c>
      <c r="Q1201">
        <v>5.5617859999999998E-2</v>
      </c>
      <c r="R1201">
        <v>-0.17370150000000001</v>
      </c>
      <c r="S1201">
        <v>2.8811650000000002</v>
      </c>
      <c r="T1201">
        <v>-0.38582090000000002</v>
      </c>
      <c r="U1201">
        <v>-1.088684</v>
      </c>
      <c r="V1201">
        <v>0.1336569</v>
      </c>
      <c r="W1201">
        <v>6.9450529999999996E-2</v>
      </c>
      <c r="X1201">
        <v>0.98859109999999994</v>
      </c>
      <c r="Y1201">
        <v>0.31297409999999998</v>
      </c>
      <c r="Z1201">
        <v>-1.493713E-2</v>
      </c>
      <c r="AA1201">
        <v>0.94964420000000005</v>
      </c>
      <c r="AB1201">
        <v>30</v>
      </c>
      <c r="AC1201">
        <v>8.1281999999999908</v>
      </c>
      <c r="AD1201">
        <v>-1.1096725211929901</v>
      </c>
      <c r="AE1201">
        <v>-3.12450000000001</v>
      </c>
      <c r="AF1201">
        <v>2.7464045416014899</v>
      </c>
      <c r="AG1201">
        <v>-1.1096725211929901</v>
      </c>
      <c r="AH1201">
        <v>8.1168568822826206</v>
      </c>
      <c r="AI1201">
        <v>97.378735554070005</v>
      </c>
      <c r="AJ1201">
        <v>71.306333100782297</v>
      </c>
      <c r="AK1201">
        <v>8.64045581308525</v>
      </c>
      <c r="AL1201">
        <v>86.017571714481505</v>
      </c>
      <c r="AM1201">
        <v>82.300333579451504</v>
      </c>
      <c r="AN1201">
        <v>0.99999995301704903</v>
      </c>
    </row>
    <row r="1202" spans="1:40" x14ac:dyDescent="0.25">
      <c r="A1202" t="str">
        <f>"20190312151008481"</f>
        <v>20190312151008481</v>
      </c>
      <c r="B1202" t="str">
        <f>"1552374608472267"</f>
        <v>1552374608472267</v>
      </c>
      <c r="C1202" t="s">
        <v>40</v>
      </c>
      <c r="D1202">
        <v>5.7871199999999998</v>
      </c>
      <c r="E1202">
        <v>0.57229509999999995</v>
      </c>
      <c r="F1202" t="s">
        <v>42</v>
      </c>
      <c r="G1202">
        <v>-211.63030000000001</v>
      </c>
      <c r="H1202" s="1">
        <v>-4.6180630000000003E-6</v>
      </c>
      <c r="I1202">
        <v>363.7244</v>
      </c>
      <c r="J1202">
        <v>-219.76300000000001</v>
      </c>
      <c r="K1202">
        <v>1.1096140000000001</v>
      </c>
      <c r="L1202">
        <v>366.89670000000001</v>
      </c>
      <c r="M1202">
        <v>0.99904099999999996</v>
      </c>
      <c r="N1202">
        <v>0</v>
      </c>
      <c r="O1202">
        <v>-4.1407869999999999E-2</v>
      </c>
      <c r="P1202">
        <v>0.98296729999999999</v>
      </c>
      <c r="Q1202">
        <v>5.5578719999999998E-2</v>
      </c>
      <c r="R1202">
        <v>-0.17517559999999999</v>
      </c>
      <c r="S1202">
        <v>2.878647</v>
      </c>
      <c r="T1202">
        <v>-0.38344919999999999</v>
      </c>
      <c r="U1202">
        <v>-1.099243</v>
      </c>
      <c r="V1202">
        <v>0.13445550000000001</v>
      </c>
      <c r="W1202">
        <v>6.9391540000000002E-2</v>
      </c>
      <c r="X1202">
        <v>0.988487</v>
      </c>
      <c r="Y1202">
        <v>0.31563629999999998</v>
      </c>
      <c r="Z1202">
        <v>-1.493008E-2</v>
      </c>
      <c r="AA1202">
        <v>0.94876280000000002</v>
      </c>
      <c r="AB1202">
        <v>30</v>
      </c>
      <c r="AC1202">
        <v>8.1326999999999998</v>
      </c>
      <c r="AD1202">
        <v>-1.1096186180630001</v>
      </c>
      <c r="AE1202">
        <v>-3.1722999999999999</v>
      </c>
      <c r="AF1202">
        <v>2.7877444272616199</v>
      </c>
      <c r="AG1202">
        <v>-1.1096186180630001</v>
      </c>
      <c r="AH1202">
        <v>8.1258040514930094</v>
      </c>
      <c r="AI1202">
        <v>97.359861683911404</v>
      </c>
      <c r="AJ1202">
        <v>71.064286662711396</v>
      </c>
      <c r="AK1202">
        <v>8.6620704195094405</v>
      </c>
      <c r="AL1202">
        <v>86.020959986594903</v>
      </c>
      <c r="AM1202">
        <v>82.254079084704003</v>
      </c>
      <c r="AN1202">
        <v>1.00000000823641</v>
      </c>
    </row>
    <row r="1203" spans="1:40" x14ac:dyDescent="0.25">
      <c r="A1203" t="str">
        <f>"20190312151008493"</f>
        <v>20190312151008493</v>
      </c>
      <c r="B1203" t="str">
        <f>"1552374608482028"</f>
        <v>1552374608482028</v>
      </c>
      <c r="C1203" t="s">
        <v>40</v>
      </c>
      <c r="D1203">
        <v>5.7626189999999999</v>
      </c>
      <c r="E1203">
        <v>0.57279569999999902</v>
      </c>
      <c r="F1203" t="s">
        <v>42</v>
      </c>
      <c r="G1203">
        <v>-211.60079999999999</v>
      </c>
      <c r="H1203" s="1">
        <v>-4.6255900000000004E-6</v>
      </c>
      <c r="I1203">
        <v>363.75330000000002</v>
      </c>
      <c r="J1203">
        <v>-219.58709999999999</v>
      </c>
      <c r="K1203">
        <v>1.109551</v>
      </c>
      <c r="L1203">
        <v>366.8888</v>
      </c>
      <c r="M1203">
        <v>0.99901249999999997</v>
      </c>
      <c r="N1203">
        <v>0</v>
      </c>
      <c r="O1203">
        <v>-4.2089250000000002E-2</v>
      </c>
      <c r="P1203">
        <v>0.98277369999999997</v>
      </c>
      <c r="Q1203">
        <v>5.5578130000000003E-2</v>
      </c>
      <c r="R1203">
        <v>-0.17625769999999999</v>
      </c>
      <c r="S1203">
        <v>2.8766479999999999</v>
      </c>
      <c r="T1203">
        <v>-0.39106190000000002</v>
      </c>
      <c r="U1203">
        <v>-1.1078190000000001</v>
      </c>
      <c r="V1203">
        <v>0.13488029999999901</v>
      </c>
      <c r="W1203">
        <v>6.9371080000000002E-2</v>
      </c>
      <c r="X1203">
        <v>0.98843060000000005</v>
      </c>
      <c r="Y1203">
        <v>0.31757999999999997</v>
      </c>
      <c r="Z1203">
        <v>-1.526457E-2</v>
      </c>
      <c r="AA1203">
        <v>0.94810859999999997</v>
      </c>
      <c r="AB1203">
        <v>30</v>
      </c>
      <c r="AC1203">
        <v>7.9863</v>
      </c>
      <c r="AD1203">
        <v>-1.1095556255900001</v>
      </c>
      <c r="AE1203">
        <v>-3.1354999999999702</v>
      </c>
      <c r="AF1203">
        <v>2.7505485587244101</v>
      </c>
      <c r="AG1203">
        <v>-1.1095556255900001</v>
      </c>
      <c r="AH1203">
        <v>7.9777830580784199</v>
      </c>
      <c r="AI1203">
        <v>97.490578837707304</v>
      </c>
      <c r="AJ1203">
        <v>70.977032835862204</v>
      </c>
      <c r="AK1203">
        <v>8.5112662737070099</v>
      </c>
      <c r="AL1203">
        <v>86.022135242603795</v>
      </c>
      <c r="AM1203">
        <v>82.229467088995705</v>
      </c>
      <c r="AN1203">
        <v>1.0000000465423999</v>
      </c>
    </row>
    <row r="1204" spans="1:40" x14ac:dyDescent="0.25">
      <c r="A1204" t="str">
        <f>"20190312151008506"</f>
        <v>20190312151008506</v>
      </c>
      <c r="B1204" t="str">
        <f>"1552374608501547"</f>
        <v>1552374608501547</v>
      </c>
      <c r="C1204" t="s">
        <v>40</v>
      </c>
      <c r="D1204">
        <v>5.8203430000000003</v>
      </c>
      <c r="E1204">
        <v>0.57314900000000002</v>
      </c>
      <c r="F1204" t="s">
        <v>42</v>
      </c>
      <c r="G1204">
        <v>-211.44450000000001</v>
      </c>
      <c r="H1204" s="1">
        <v>-4.6967119999999998E-6</v>
      </c>
      <c r="I1204">
        <v>363.7303</v>
      </c>
      <c r="J1204">
        <v>-219.43260000000001</v>
      </c>
      <c r="K1204">
        <v>1.1094930000000001</v>
      </c>
      <c r="L1204">
        <v>366.88159999999999</v>
      </c>
      <c r="M1204">
        <v>0.99898509999999996</v>
      </c>
      <c r="N1204">
        <v>0</v>
      </c>
      <c r="O1204">
        <v>-4.2733510000000002E-2</v>
      </c>
      <c r="P1204">
        <v>0.98265270000000005</v>
      </c>
      <c r="Q1204">
        <v>5.4883960000000002E-2</v>
      </c>
      <c r="R1204">
        <v>-0.1771491</v>
      </c>
      <c r="S1204">
        <v>2.8747859999999998</v>
      </c>
      <c r="T1204">
        <v>-0.39173200000000002</v>
      </c>
      <c r="U1204">
        <v>-1.1151120000000001</v>
      </c>
      <c r="V1204">
        <v>0.13514579999999901</v>
      </c>
      <c r="W1204">
        <v>6.8658960000000005E-2</v>
      </c>
      <c r="X1204">
        <v>0.98844399999999999</v>
      </c>
      <c r="Y1204">
        <v>0.31925130000000002</v>
      </c>
      <c r="Z1204">
        <v>-1.531851E-2</v>
      </c>
      <c r="AA1204">
        <v>0.94754629999999995</v>
      </c>
      <c r="AB1204">
        <v>30</v>
      </c>
      <c r="AC1204">
        <v>7.9881000000000002</v>
      </c>
      <c r="AD1204">
        <v>-1.109497696712</v>
      </c>
      <c r="AE1204">
        <v>-3.1512999999999902</v>
      </c>
      <c r="AF1204">
        <v>2.7609369135973698</v>
      </c>
      <c r="AG1204">
        <v>-1.109497696712</v>
      </c>
      <c r="AH1204">
        <v>7.9822299262829901</v>
      </c>
      <c r="AI1204">
        <v>97.483533945047199</v>
      </c>
      <c r="AJ1204">
        <v>70.9202434151088</v>
      </c>
      <c r="AK1204">
        <v>8.5187881987945708</v>
      </c>
      <c r="AL1204">
        <v>86.063034010148598</v>
      </c>
      <c r="AM1204">
        <v>82.214463143330306</v>
      </c>
      <c r="AN1204">
        <v>0.99999999059096001</v>
      </c>
    </row>
    <row r="1205" spans="1:40" x14ac:dyDescent="0.25">
      <c r="A1205" t="str">
        <f>"20190312151008519"</f>
        <v>20190312151008519</v>
      </c>
      <c r="B1205" t="str">
        <f>"1552374608512283"</f>
        <v>1552374608512283</v>
      </c>
      <c r="C1205" t="s">
        <v>40</v>
      </c>
      <c r="D1205">
        <v>5.9570360000000004</v>
      </c>
      <c r="E1205">
        <v>0.57335550000000002</v>
      </c>
      <c r="F1205" t="s">
        <v>42</v>
      </c>
      <c r="G1205">
        <v>-211.35079999999999</v>
      </c>
      <c r="H1205" s="1">
        <v>-4.7372909999999999E-6</v>
      </c>
      <c r="I1205">
        <v>363.72809999999998</v>
      </c>
      <c r="J1205">
        <v>-219.26480000000001</v>
      </c>
      <c r="K1205">
        <v>1.109426</v>
      </c>
      <c r="L1205">
        <v>366.87380000000002</v>
      </c>
      <c r="M1205">
        <v>0.9989538</v>
      </c>
      <c r="N1205">
        <v>0</v>
      </c>
      <c r="O1205">
        <v>-4.3460779999999997E-2</v>
      </c>
      <c r="P1205">
        <v>0.98247589999999996</v>
      </c>
      <c r="Q1205">
        <v>5.426947E-2</v>
      </c>
      <c r="R1205">
        <v>-0.17831459999999999</v>
      </c>
      <c r="S1205">
        <v>2.8728639999999999</v>
      </c>
      <c r="T1205">
        <v>-0.39439079999999999</v>
      </c>
      <c r="U1205">
        <v>-1.1209720000000001</v>
      </c>
      <c r="V1205">
        <v>0.13560729999999999</v>
      </c>
      <c r="W1205">
        <v>6.8022440000000003E-2</v>
      </c>
      <c r="X1205">
        <v>0.98842479999999999</v>
      </c>
      <c r="Y1205">
        <v>0.32041960000000003</v>
      </c>
      <c r="Z1205">
        <v>-1.540736E-2</v>
      </c>
      <c r="AA1205">
        <v>0.94715039999999995</v>
      </c>
      <c r="AB1205">
        <v>30</v>
      </c>
      <c r="AC1205">
        <v>7.9140000000000104</v>
      </c>
      <c r="AD1205">
        <v>-1.1094307372909999</v>
      </c>
      <c r="AE1205">
        <v>-3.1457000000000299</v>
      </c>
      <c r="AF1205">
        <v>2.7520394477888299</v>
      </c>
      <c r="AG1205">
        <v>-1.1094307372909999</v>
      </c>
      <c r="AH1205">
        <v>7.9090269012036201</v>
      </c>
      <c r="AI1205">
        <v>97.546754502298597</v>
      </c>
      <c r="AJ1205">
        <v>70.814054326019601</v>
      </c>
      <c r="AK1205">
        <v>8.4473229017834104</v>
      </c>
      <c r="AL1205">
        <v>86.099589378289394</v>
      </c>
      <c r="AM1205">
        <v>82.188054690240094</v>
      </c>
      <c r="AN1205">
        <v>0.99999998870594098</v>
      </c>
    </row>
    <row r="1206" spans="1:40" x14ac:dyDescent="0.25">
      <c r="A1206" t="str">
        <f>"20190312151008530"</f>
        <v>20190312151008530</v>
      </c>
      <c r="B1206" t="str">
        <f>"1552374608522043"</f>
        <v>1552374608522043</v>
      </c>
      <c r="C1206" t="s">
        <v>40</v>
      </c>
      <c r="D1206">
        <v>5.9092169999999999</v>
      </c>
      <c r="E1206">
        <v>0.57341209999999998</v>
      </c>
      <c r="F1206" t="s">
        <v>42</v>
      </c>
      <c r="G1206">
        <v>-211.40559999999999</v>
      </c>
      <c r="H1206" s="1">
        <v>-4.7024169999999999E-6</v>
      </c>
      <c r="I1206">
        <v>363.7921</v>
      </c>
      <c r="J1206">
        <v>-219.0951</v>
      </c>
      <c r="K1206">
        <v>1.10934</v>
      </c>
      <c r="L1206">
        <v>366.8655</v>
      </c>
      <c r="M1206">
        <v>0.99891739999999996</v>
      </c>
      <c r="N1206">
        <v>0</v>
      </c>
      <c r="O1206">
        <v>-4.4287479999999997E-2</v>
      </c>
      <c r="P1206">
        <v>0.98224350000000005</v>
      </c>
      <c r="Q1206">
        <v>5.3848960000000001E-2</v>
      </c>
      <c r="R1206">
        <v>-0.17971670000000001</v>
      </c>
      <c r="S1206">
        <v>2.8715519999999999</v>
      </c>
      <c r="T1206">
        <v>-0.40535769999999999</v>
      </c>
      <c r="U1206">
        <v>-1.125977</v>
      </c>
      <c r="V1206">
        <v>0.136211</v>
      </c>
      <c r="W1206">
        <v>6.7576199999999906E-2</v>
      </c>
      <c r="X1206">
        <v>0.98837240000000004</v>
      </c>
      <c r="Y1206">
        <v>0.32108969999999998</v>
      </c>
      <c r="Z1206">
        <v>-1.576791E-2</v>
      </c>
      <c r="AA1206">
        <v>0.94691749999999997</v>
      </c>
      <c r="AB1206">
        <v>30</v>
      </c>
      <c r="AC1206">
        <v>7.6894999999999998</v>
      </c>
      <c r="AD1206">
        <v>-1.109344702417</v>
      </c>
      <c r="AE1206">
        <v>-3.0733999999999901</v>
      </c>
      <c r="AF1206">
        <v>2.6816749158947402</v>
      </c>
      <c r="AG1206">
        <v>-1.109344702417</v>
      </c>
      <c r="AH1206">
        <v>7.6802494584905299</v>
      </c>
      <c r="AI1206">
        <v>97.765384916570994</v>
      </c>
      <c r="AJ1206">
        <v>70.752581705477894</v>
      </c>
      <c r="AK1206">
        <v>8.2102532097350007</v>
      </c>
      <c r="AL1206">
        <v>86.125216020696598</v>
      </c>
      <c r="AM1206">
        <v>82.153298705351503</v>
      </c>
      <c r="AN1206">
        <v>0.99999999020459995</v>
      </c>
    </row>
    <row r="1207" spans="1:40" x14ac:dyDescent="0.25">
      <c r="A1207" t="str">
        <f>"20190312151008542"</f>
        <v>20190312151008542</v>
      </c>
      <c r="B1207" t="str">
        <f>"1552374608531803"</f>
        <v>1552374608531803</v>
      </c>
      <c r="C1207" t="s">
        <v>40</v>
      </c>
      <c r="D1207">
        <v>5.8970190000000002</v>
      </c>
      <c r="E1207">
        <v>0.57353659999999995</v>
      </c>
      <c r="F1207" t="s">
        <v>42</v>
      </c>
      <c r="G1207">
        <v>-211.36150000000001</v>
      </c>
      <c r="H1207" s="1">
        <v>-4.7168640000000004E-6</v>
      </c>
      <c r="I1207">
        <v>363.8175</v>
      </c>
      <c r="J1207">
        <v>-218.93879999999999</v>
      </c>
      <c r="K1207">
        <v>1.109267</v>
      </c>
      <c r="L1207">
        <v>366.8578</v>
      </c>
      <c r="M1207">
        <v>0.99888160000000004</v>
      </c>
      <c r="N1207">
        <v>0</v>
      </c>
      <c r="O1207">
        <v>-4.5087410000000001E-2</v>
      </c>
      <c r="P1207">
        <v>0.98203209999999996</v>
      </c>
      <c r="Q1207">
        <v>5.3427410000000002E-2</v>
      </c>
      <c r="R1207">
        <v>-0.1809943</v>
      </c>
      <c r="S1207">
        <v>2.8698579999999998</v>
      </c>
      <c r="T1207">
        <v>-0.41165780000000002</v>
      </c>
      <c r="U1207">
        <v>-1.131073</v>
      </c>
      <c r="V1207">
        <v>0.13671510000000001</v>
      </c>
      <c r="W1207">
        <v>6.7129939999999999E-2</v>
      </c>
      <c r="X1207">
        <v>0.98833320000000002</v>
      </c>
      <c r="Y1207">
        <v>0.32190360000000001</v>
      </c>
      <c r="Z1207">
        <v>-1.5961039999999999E-2</v>
      </c>
      <c r="AA1207">
        <v>0.94663790000000003</v>
      </c>
      <c r="AB1207">
        <v>30</v>
      </c>
      <c r="AC1207">
        <v>7.5772999999999797</v>
      </c>
      <c r="AD1207">
        <v>-1.1092717168640001</v>
      </c>
      <c r="AE1207">
        <v>-3.0402999999999998</v>
      </c>
      <c r="AF1207">
        <v>2.64667599952974</v>
      </c>
      <c r="AG1207">
        <v>-1.1092717168640001</v>
      </c>
      <c r="AH1207">
        <v>7.5670034202251797</v>
      </c>
      <c r="AI1207">
        <v>97.878183971285594</v>
      </c>
      <c r="AJ1207">
        <v>70.721929202216998</v>
      </c>
      <c r="AK1207">
        <v>8.0928930766457494</v>
      </c>
      <c r="AL1207">
        <v>86.150842993258294</v>
      </c>
      <c r="AM1207">
        <v>82.124314322080707</v>
      </c>
      <c r="AN1207">
        <v>0.999999980817326</v>
      </c>
    </row>
    <row r="1208" spans="1:40" x14ac:dyDescent="0.25">
      <c r="A1208" t="str">
        <f>"20190312151008554"</f>
        <v>20190312151008554</v>
      </c>
      <c r="B1208" t="str">
        <f>"1552374608541564"</f>
        <v>1552374608541564</v>
      </c>
      <c r="C1208" t="s">
        <v>40</v>
      </c>
      <c r="D1208">
        <v>5.8767160000000001</v>
      </c>
      <c r="E1208">
        <v>0.57362740000000001</v>
      </c>
      <c r="F1208" t="s">
        <v>42</v>
      </c>
      <c r="G1208">
        <v>-211.29150000000001</v>
      </c>
      <c r="H1208" s="1">
        <v>-4.7449320000000001E-6</v>
      </c>
      <c r="I1208">
        <v>363.82859999999999</v>
      </c>
      <c r="J1208">
        <v>-218.77670000000001</v>
      </c>
      <c r="K1208">
        <v>1.1091869999999999</v>
      </c>
      <c r="L1208">
        <v>366.84969999999998</v>
      </c>
      <c r="M1208">
        <v>0.99884130000000004</v>
      </c>
      <c r="N1208">
        <v>0</v>
      </c>
      <c r="O1208">
        <v>-4.597176E-2</v>
      </c>
      <c r="P1208">
        <v>0.9817863</v>
      </c>
      <c r="Q1208">
        <v>5.3304789999999998E-2</v>
      </c>
      <c r="R1208">
        <v>-0.1823582</v>
      </c>
      <c r="S1208">
        <v>2.8681489999999998</v>
      </c>
      <c r="T1208">
        <v>-0.4160316</v>
      </c>
      <c r="U1208">
        <v>-1.136139</v>
      </c>
      <c r="V1208">
        <v>0.1372256</v>
      </c>
      <c r="W1208">
        <v>6.6980559999999995E-2</v>
      </c>
      <c r="X1208">
        <v>0.98827259999999995</v>
      </c>
      <c r="Y1208">
        <v>0.32265319999999997</v>
      </c>
      <c r="Z1208">
        <v>-1.6062719999999999E-2</v>
      </c>
      <c r="AA1208">
        <v>0.94638089999999997</v>
      </c>
      <c r="AB1208">
        <v>30</v>
      </c>
      <c r="AC1208">
        <v>7.4851999999999901</v>
      </c>
      <c r="AD1208">
        <v>-1.1091917449319999</v>
      </c>
      <c r="AE1208">
        <v>-3.0210999999999899</v>
      </c>
      <c r="AF1208">
        <v>2.62421043364205</v>
      </c>
      <c r="AG1208">
        <v>-1.1091917449319999</v>
      </c>
      <c r="AH1208">
        <v>7.47503521484464</v>
      </c>
      <c r="AI1208">
        <v>97.970117983450194</v>
      </c>
      <c r="AJ1208">
        <v>70.655698410355896</v>
      </c>
      <c r="AK1208">
        <v>7.9995586247135302</v>
      </c>
      <c r="AL1208">
        <v>86.159421203727405</v>
      </c>
      <c r="AM1208">
        <v>82.094798666311405</v>
      </c>
      <c r="AN1208">
        <v>0.99999999631201597</v>
      </c>
    </row>
    <row r="1209" spans="1:40" x14ac:dyDescent="0.25">
      <c r="A1209" t="str">
        <f>"20190312151008572"</f>
        <v>20190312151008572</v>
      </c>
      <c r="B1209" t="str">
        <f>"1552374608562059"</f>
        <v>1552374608562059</v>
      </c>
      <c r="C1209" t="s">
        <v>40</v>
      </c>
      <c r="D1209">
        <v>5.9264010000000003</v>
      </c>
      <c r="E1209">
        <v>0.574808599999999</v>
      </c>
      <c r="F1209" t="s">
        <v>42</v>
      </c>
      <c r="G1209">
        <v>-211.1542</v>
      </c>
      <c r="H1209" s="1">
        <v>-4.8060619999999998E-6</v>
      </c>
      <c r="I1209">
        <v>363.81580000000002</v>
      </c>
      <c r="J1209">
        <v>-218.55009999999999</v>
      </c>
      <c r="K1209">
        <v>1.109073</v>
      </c>
      <c r="L1209">
        <v>366.83789999999999</v>
      </c>
      <c r="M1209">
        <v>0.99877780000000005</v>
      </c>
      <c r="N1209">
        <v>0</v>
      </c>
      <c r="O1209">
        <v>-4.732985E-2</v>
      </c>
      <c r="P1209">
        <v>0.98130919999999999</v>
      </c>
      <c r="Q1209">
        <v>5.291071E-2</v>
      </c>
      <c r="R1209">
        <v>-0.18502150000000001</v>
      </c>
      <c r="S1209">
        <v>2.8663940000000001</v>
      </c>
      <c r="T1209">
        <v>-0.41710229999999998</v>
      </c>
      <c r="U1209">
        <v>-1.1408689999999999</v>
      </c>
      <c r="V1209">
        <v>0.13858110000000001</v>
      </c>
      <c r="W1209">
        <v>6.6543309999999994E-2</v>
      </c>
      <c r="X1209">
        <v>0.98811300000000002</v>
      </c>
      <c r="Y1209">
        <v>0.32291130000000001</v>
      </c>
      <c r="Z1209">
        <v>-1.5937659999999999E-2</v>
      </c>
      <c r="AA1209">
        <v>0.946295</v>
      </c>
      <c r="AB1209">
        <v>30</v>
      </c>
      <c r="AC1209">
        <v>7.3958999999999797</v>
      </c>
      <c r="AD1209">
        <v>-1.1090778060619999</v>
      </c>
      <c r="AE1209">
        <v>-3.02209999999996</v>
      </c>
      <c r="AF1209">
        <v>2.6181777553032202</v>
      </c>
      <c r="AG1209">
        <v>-1.1090778060619999</v>
      </c>
      <c r="AH1209">
        <v>7.3882872728528799</v>
      </c>
      <c r="AI1209">
        <v>98.053411679908706</v>
      </c>
      <c r="AJ1209">
        <v>70.487266647883899</v>
      </c>
      <c r="AK1209">
        <v>7.9165457849028904</v>
      </c>
      <c r="AL1209">
        <v>86.184529881918706</v>
      </c>
      <c r="AM1209">
        <v>82.016440912575106</v>
      </c>
      <c r="AN1209">
        <v>1.00000001707598</v>
      </c>
    </row>
    <row r="1210" spans="1:40" x14ac:dyDescent="0.25">
      <c r="A1210" t="str">
        <f>"20190312151008594"</f>
        <v>20190312151008594</v>
      </c>
      <c r="B1210" t="str">
        <f>"1552374608581579"</f>
        <v>1552374608581579</v>
      </c>
      <c r="C1210" t="s">
        <v>40</v>
      </c>
      <c r="D1210">
        <v>5.816783</v>
      </c>
      <c r="E1210">
        <v>0.57478669999999898</v>
      </c>
      <c r="F1210" t="s">
        <v>42</v>
      </c>
      <c r="G1210">
        <v>-210.9897</v>
      </c>
      <c r="H1210" s="1">
        <v>-4.8837130000000001E-6</v>
      </c>
      <c r="I1210">
        <v>363.77600000000001</v>
      </c>
      <c r="J1210">
        <v>-218.2645</v>
      </c>
      <c r="K1210">
        <v>1.1089169999999999</v>
      </c>
      <c r="L1210">
        <v>366.82240000000002</v>
      </c>
      <c r="M1210">
        <v>0.99868639999999997</v>
      </c>
      <c r="N1210">
        <v>0</v>
      </c>
      <c r="O1210">
        <v>-4.9220060000000003E-2</v>
      </c>
      <c r="P1210">
        <v>0.98070840000000004</v>
      </c>
      <c r="Q1210">
        <v>5.231719E-2</v>
      </c>
      <c r="R1210">
        <v>-0.18834580000000001</v>
      </c>
      <c r="S1210">
        <v>2.8612980000000001</v>
      </c>
      <c r="T1210">
        <v>-0.41973579999999999</v>
      </c>
      <c r="U1210">
        <v>-1.1587829999999999</v>
      </c>
      <c r="V1210">
        <v>0.1400824</v>
      </c>
      <c r="W1210">
        <v>6.5891469999999994E-2</v>
      </c>
      <c r="X1210">
        <v>0.98794499999999996</v>
      </c>
      <c r="Y1210">
        <v>0.32674880000000001</v>
      </c>
      <c r="Z1210">
        <v>-1.605154E-2</v>
      </c>
      <c r="AA1210">
        <v>0.94497489999999995</v>
      </c>
      <c r="AB1210">
        <v>30</v>
      </c>
      <c r="AC1210">
        <v>7.2747999999999902</v>
      </c>
      <c r="AD1210">
        <v>-1.1089218837129999</v>
      </c>
      <c r="AE1210">
        <v>-3.0464000000000002</v>
      </c>
      <c r="AF1210">
        <v>2.6325608937144298</v>
      </c>
      <c r="AG1210">
        <v>-1.1089218837129999</v>
      </c>
      <c r="AH1210">
        <v>7.2721750958847897</v>
      </c>
      <c r="AI1210">
        <v>98.159600543902002</v>
      </c>
      <c r="AJ1210">
        <v>70.099510580398501</v>
      </c>
      <c r="AK1210">
        <v>7.8131053511711297</v>
      </c>
      <c r="AL1210">
        <v>86.221959814284304</v>
      </c>
      <c r="AM1210">
        <v>81.929731080472905</v>
      </c>
      <c r="AN1210">
        <v>1.00000004381675</v>
      </c>
    </row>
    <row r="1211" spans="1:40" x14ac:dyDescent="0.25">
      <c r="A1211" t="str">
        <f>"20190312151008615"</f>
        <v>20190312151008615</v>
      </c>
      <c r="B1211" t="str">
        <f>"1552374608611835"</f>
        <v>1552374608611835</v>
      </c>
      <c r="C1211" t="s">
        <v>40</v>
      </c>
      <c r="D1211">
        <v>5.8779830000000004</v>
      </c>
      <c r="E1211">
        <v>0.57515760000000005</v>
      </c>
      <c r="F1211" t="s">
        <v>42</v>
      </c>
      <c r="G1211">
        <v>-210.70779999999999</v>
      </c>
      <c r="H1211" s="1">
        <v>-5.0124929999999999E-6</v>
      </c>
      <c r="I1211">
        <v>363.73180000000002</v>
      </c>
      <c r="J1211">
        <v>-217.9691</v>
      </c>
      <c r="K1211">
        <v>1.1087469999999999</v>
      </c>
      <c r="L1211">
        <v>366.80560000000003</v>
      </c>
      <c r="M1211">
        <v>0.99857660000000004</v>
      </c>
      <c r="N1211">
        <v>0</v>
      </c>
      <c r="O1211">
        <v>-5.1398319999999997E-2</v>
      </c>
      <c r="P1211">
        <v>0.97997489999999998</v>
      </c>
      <c r="Q1211">
        <v>5.2027230000000001E-2</v>
      </c>
      <c r="R1211">
        <v>-0.1922046</v>
      </c>
      <c r="S1211">
        <v>2.8569789999999999</v>
      </c>
      <c r="T1211">
        <v>-0.41924929999999999</v>
      </c>
      <c r="U1211">
        <v>-1.1684570000000001</v>
      </c>
      <c r="V1211">
        <v>0.1418432</v>
      </c>
      <c r="W1211">
        <v>6.5536529999999996E-2</v>
      </c>
      <c r="X1211">
        <v>0.98771730000000002</v>
      </c>
      <c r="Y1211">
        <v>0.32794259999999997</v>
      </c>
      <c r="Z1211">
        <v>-1.5825510000000001E-2</v>
      </c>
      <c r="AA1211">
        <v>0.94456510000000005</v>
      </c>
      <c r="AB1211">
        <v>30</v>
      </c>
      <c r="AC1211">
        <v>7.2613000000000003</v>
      </c>
      <c r="AD1211">
        <v>-1.1087520124929999</v>
      </c>
      <c r="AE1211">
        <v>-3.0737999999999999</v>
      </c>
      <c r="AF1211">
        <v>2.6441982071910699</v>
      </c>
      <c r="AG1211">
        <v>-1.1087520124929999</v>
      </c>
      <c r="AH1211">
        <v>7.2660389268349297</v>
      </c>
      <c r="AI1211">
        <v>98.160238537804602</v>
      </c>
      <c r="AJ1211">
        <v>70.0029501623996</v>
      </c>
      <c r="AK1211">
        <v>7.8113018678322899</v>
      </c>
      <c r="AL1211">
        <v>86.242340255661603</v>
      </c>
      <c r="AM1211">
        <v>81.827793053090403</v>
      </c>
      <c r="AN1211">
        <v>0.99999999743498502</v>
      </c>
    </row>
    <row r="1212" spans="1:40" x14ac:dyDescent="0.25">
      <c r="A1212" t="str">
        <f>"20190312151008630"</f>
        <v>20190312151008630</v>
      </c>
      <c r="B1212" t="str">
        <f>"1552374608621595"</f>
        <v>1552374608621595</v>
      </c>
      <c r="C1212" t="s">
        <v>40</v>
      </c>
      <c r="D1212">
        <v>5.9747629999999896</v>
      </c>
      <c r="E1212">
        <v>0.57552029999999998</v>
      </c>
      <c r="F1212" t="s">
        <v>42</v>
      </c>
      <c r="G1212">
        <v>-210.5301</v>
      </c>
      <c r="H1212" s="1">
        <v>-5.0909900000000002E-6</v>
      </c>
      <c r="I1212">
        <v>363.71899999999999</v>
      </c>
      <c r="J1212">
        <v>-217.7765</v>
      </c>
      <c r="K1212">
        <v>1.1086290000000001</v>
      </c>
      <c r="L1212">
        <v>366.79410000000001</v>
      </c>
      <c r="M1212">
        <v>0.99849500000000002</v>
      </c>
      <c r="N1212">
        <v>0</v>
      </c>
      <c r="O1212">
        <v>-5.2960489999999999E-2</v>
      </c>
      <c r="P1212">
        <v>0.9795488</v>
      </c>
      <c r="Q1212">
        <v>5.1815350000000003E-2</v>
      </c>
      <c r="R1212">
        <v>-0.1944217</v>
      </c>
      <c r="S1212">
        <v>2.851791</v>
      </c>
      <c r="T1212">
        <v>-0.42503960000000002</v>
      </c>
      <c r="U1212">
        <v>-1.1832279999999999</v>
      </c>
      <c r="V1212">
        <v>0.14255039999999999</v>
      </c>
      <c r="W1212">
        <v>6.528436E-2</v>
      </c>
      <c r="X1212">
        <v>0.98763219999999996</v>
      </c>
      <c r="Y1212">
        <v>0.33116010000000001</v>
      </c>
      <c r="Z1212">
        <v>-1.606194E-2</v>
      </c>
      <c r="AA1212">
        <v>0.94343790000000005</v>
      </c>
      <c r="AB1212">
        <v>30</v>
      </c>
      <c r="AC1212">
        <v>7.2463999999999897</v>
      </c>
      <c r="AD1212">
        <v>-1.1086340909899901</v>
      </c>
      <c r="AE1212">
        <v>-3.0751000000000199</v>
      </c>
      <c r="AF1212">
        <v>2.6347137431044199</v>
      </c>
      <c r="AG1212">
        <v>-1.1086340909899901</v>
      </c>
      <c r="AH1212">
        <v>7.2552011482482897</v>
      </c>
      <c r="AI1212">
        <v>98.173383151272205</v>
      </c>
      <c r="AJ1212">
        <v>70.041597003314806</v>
      </c>
      <c r="AK1212">
        <v>7.7979952396338197</v>
      </c>
      <c r="AL1212">
        <v>86.256819600277097</v>
      </c>
      <c r="AM1212">
        <v>81.786904612544006</v>
      </c>
      <c r="AN1212">
        <v>1.0000000133388001</v>
      </c>
    </row>
    <row r="1213" spans="1:40" x14ac:dyDescent="0.25">
      <c r="A1213" t="str">
        <f>"20190312151008644"</f>
        <v>20190312151008644</v>
      </c>
      <c r="B1213" t="str">
        <f>"1552374608632331"</f>
        <v>1552374608632331</v>
      </c>
      <c r="C1213" t="s">
        <v>40</v>
      </c>
      <c r="D1213">
        <v>5.8244930000000004</v>
      </c>
      <c r="E1213">
        <v>0.57568629999999998</v>
      </c>
      <c r="F1213" t="s">
        <v>42</v>
      </c>
      <c r="G1213">
        <v>-210.40469999999999</v>
      </c>
      <c r="H1213" s="1">
        <v>-5.1466790000000003E-6</v>
      </c>
      <c r="I1213">
        <v>363.70819999999998</v>
      </c>
      <c r="J1213">
        <v>-217.5959</v>
      </c>
      <c r="K1213">
        <v>1.1085240000000001</v>
      </c>
      <c r="L1213">
        <v>366.78300000000002</v>
      </c>
      <c r="M1213">
        <v>0.99841230000000003</v>
      </c>
      <c r="N1213">
        <v>0</v>
      </c>
      <c r="O1213">
        <v>-5.4497490000000003E-2</v>
      </c>
      <c r="P1213">
        <v>0.97903850000000003</v>
      </c>
      <c r="Q1213">
        <v>5.218097E-2</v>
      </c>
      <c r="R1213">
        <v>-0.196879</v>
      </c>
      <c r="S1213">
        <v>2.8486020000000001</v>
      </c>
      <c r="T1213">
        <v>-0.4283981</v>
      </c>
      <c r="U1213">
        <v>-1.1924440000000001</v>
      </c>
      <c r="V1213">
        <v>0.14352860000000001</v>
      </c>
      <c r="W1213">
        <v>6.5608849999999996E-2</v>
      </c>
      <c r="X1213">
        <v>0.98746900000000004</v>
      </c>
      <c r="Y1213">
        <v>0.33264110000000002</v>
      </c>
      <c r="Z1213">
        <v>-1.6081809999999998E-2</v>
      </c>
      <c r="AA1213">
        <v>0.94291639999999999</v>
      </c>
      <c r="AB1213">
        <v>30</v>
      </c>
      <c r="AC1213">
        <v>7.1912000000000003</v>
      </c>
      <c r="AD1213">
        <v>-1.1085291466789999</v>
      </c>
      <c r="AE1213">
        <v>-3.07480000000003</v>
      </c>
      <c r="AF1213">
        <v>2.6255413923605402</v>
      </c>
      <c r="AG1213">
        <v>-1.1085291466789999</v>
      </c>
      <c r="AH1213">
        <v>7.2033836895535099</v>
      </c>
      <c r="AI1213">
        <v>98.227115374872298</v>
      </c>
      <c r="AJ1213">
        <v>69.973847577628206</v>
      </c>
      <c r="AK1213">
        <v>7.74667935640562</v>
      </c>
      <c r="AL1213">
        <v>86.238187708997401</v>
      </c>
      <c r="AM1213">
        <v>81.729974256555593</v>
      </c>
      <c r="AN1213">
        <v>1.00000000308864</v>
      </c>
    </row>
    <row r="1214" spans="1:40" x14ac:dyDescent="0.25">
      <c r="A1214" t="str">
        <f>"20190312151008656"</f>
        <v>20190312151008656</v>
      </c>
      <c r="B1214" t="str">
        <f>"1552374608651850"</f>
        <v>1552374608651850</v>
      </c>
      <c r="C1214" t="s">
        <v>40</v>
      </c>
      <c r="D1214">
        <v>5.8281369999999999</v>
      </c>
      <c r="E1214">
        <v>0.57618459999999905</v>
      </c>
      <c r="F1214" t="s">
        <v>42</v>
      </c>
      <c r="G1214">
        <v>-210.2329</v>
      </c>
      <c r="H1214" s="1">
        <v>-5.2262299999999996E-6</v>
      </c>
      <c r="I1214">
        <v>363.67529999999999</v>
      </c>
      <c r="J1214">
        <v>-217.4179</v>
      </c>
      <c r="K1214">
        <v>1.1084229999999999</v>
      </c>
      <c r="L1214">
        <v>366.77179999999998</v>
      </c>
      <c r="M1214">
        <v>0.9983244</v>
      </c>
      <c r="N1214">
        <v>0</v>
      </c>
      <c r="O1214">
        <v>-5.6082159999999999E-2</v>
      </c>
      <c r="P1214">
        <v>0.97857450000000001</v>
      </c>
      <c r="Q1214">
        <v>5.2481800000000002E-2</v>
      </c>
      <c r="R1214">
        <v>-0.1990933</v>
      </c>
      <c r="S1214">
        <v>2.8455349999999999</v>
      </c>
      <c r="T1214">
        <v>-0.42840309999999998</v>
      </c>
      <c r="U1214">
        <v>-1.2009890000000001</v>
      </c>
      <c r="V1214">
        <v>0.1442147</v>
      </c>
      <c r="W1214">
        <v>6.5871509999999994E-2</v>
      </c>
      <c r="X1214">
        <v>0.98735150000000005</v>
      </c>
      <c r="Y1214">
        <v>0.33391520000000002</v>
      </c>
      <c r="Z1214">
        <v>-1.5954490000000002E-2</v>
      </c>
      <c r="AA1214">
        <v>0.94246810000000003</v>
      </c>
      <c r="AB1214">
        <v>30</v>
      </c>
      <c r="AC1214">
        <v>7.1849999999999996</v>
      </c>
      <c r="AD1214">
        <v>-1.10842822623</v>
      </c>
      <c r="AE1214">
        <v>-3.09649999999999</v>
      </c>
      <c r="AF1214">
        <v>2.6357318661677702</v>
      </c>
      <c r="AG1214">
        <v>-1.10842822623</v>
      </c>
      <c r="AH1214">
        <v>7.2027964476007904</v>
      </c>
      <c r="AI1214">
        <v>98.223262000367498</v>
      </c>
      <c r="AJ1214">
        <v>69.9008230811896</v>
      </c>
      <c r="AK1214">
        <v>7.7495788445957698</v>
      </c>
      <c r="AL1214">
        <v>86.223105611098205</v>
      </c>
      <c r="AM1214">
        <v>81.690017262403103</v>
      </c>
      <c r="AN1214">
        <v>0.99999996003900904</v>
      </c>
    </row>
    <row r="1215" spans="1:40" x14ac:dyDescent="0.25">
      <c r="A1215" t="str">
        <f>"20190312151008672"</f>
        <v>20190312151008672</v>
      </c>
      <c r="B1215" t="str">
        <f>"1552374608661611"</f>
        <v>1552374608661611</v>
      </c>
      <c r="C1215" t="s">
        <v>40</v>
      </c>
      <c r="D1215">
        <v>5.8521780000000003</v>
      </c>
      <c r="E1215">
        <v>0.57639940000000001</v>
      </c>
      <c r="F1215" t="s">
        <v>42</v>
      </c>
      <c r="G1215">
        <v>-210.08969999999999</v>
      </c>
      <c r="H1215" s="1">
        <v>-5.2923820000000003E-6</v>
      </c>
      <c r="I1215">
        <v>363.64859999999999</v>
      </c>
      <c r="J1215">
        <v>-217.21459999999999</v>
      </c>
      <c r="K1215">
        <v>1.108314</v>
      </c>
      <c r="L1215">
        <v>366.75830000000002</v>
      </c>
      <c r="M1215">
        <v>0.99821380000000004</v>
      </c>
      <c r="N1215">
        <v>0</v>
      </c>
      <c r="O1215">
        <v>-5.801564E-2</v>
      </c>
      <c r="P1215">
        <v>0.97784070000000001</v>
      </c>
      <c r="Q1215">
        <v>5.2905529999999999E-2</v>
      </c>
      <c r="R1215">
        <v>-0.20255570000000001</v>
      </c>
      <c r="S1215">
        <v>2.842285</v>
      </c>
      <c r="T1215">
        <v>-0.42990990000000001</v>
      </c>
      <c r="U1215">
        <v>-1.2113339999999999</v>
      </c>
      <c r="V1215">
        <v>0.14582020000000001</v>
      </c>
      <c r="W1215">
        <v>6.6246429999999995E-2</v>
      </c>
      <c r="X1215">
        <v>0.98709060000000004</v>
      </c>
      <c r="Y1215">
        <v>0.33536949999999999</v>
      </c>
      <c r="Z1215">
        <v>-1.5844130000000001E-2</v>
      </c>
      <c r="AA1215">
        <v>0.94195340000000005</v>
      </c>
      <c r="AB1215">
        <v>30</v>
      </c>
      <c r="AC1215">
        <v>7.1248999999999896</v>
      </c>
      <c r="AD1215">
        <v>-1.108319292382</v>
      </c>
      <c r="AE1215">
        <v>-3.1097000000000299</v>
      </c>
      <c r="AF1215">
        <v>2.6374554043065102</v>
      </c>
      <c r="AG1215">
        <v>-1.108319292382</v>
      </c>
      <c r="AH1215">
        <v>7.14803768250946</v>
      </c>
      <c r="AI1215">
        <v>98.276535307655806</v>
      </c>
      <c r="AJ1215">
        <v>69.747142070139503</v>
      </c>
      <c r="AK1215">
        <v>7.6992847313336199</v>
      </c>
      <c r="AL1215">
        <v>86.201577352828096</v>
      </c>
      <c r="AM1215">
        <v>81.596629038542403</v>
      </c>
      <c r="AN1215">
        <v>0.999999986412072</v>
      </c>
    </row>
    <row r="1216" spans="1:40" x14ac:dyDescent="0.25">
      <c r="A1216" t="str">
        <f>"20190312151008686"</f>
        <v>20190312151008686</v>
      </c>
      <c r="B1216" t="str">
        <f>"1552374608682107"</f>
        <v>1552374608682107</v>
      </c>
      <c r="C1216" t="s">
        <v>40</v>
      </c>
      <c r="D1216">
        <v>5.8126629999999997</v>
      </c>
      <c r="E1216">
        <v>0.5767833</v>
      </c>
      <c r="F1216" t="s">
        <v>48</v>
      </c>
      <c r="G1216">
        <v>-209.89850000000001</v>
      </c>
      <c r="H1216" s="1">
        <v>-6.1900250000000001E-6</v>
      </c>
      <c r="I1216">
        <v>363.60489999999999</v>
      </c>
      <c r="J1216">
        <v>-217.03620000000001</v>
      </c>
      <c r="K1216">
        <v>1.1082190000000001</v>
      </c>
      <c r="L1216">
        <v>366.74619999999999</v>
      </c>
      <c r="M1216">
        <v>0.99810940000000004</v>
      </c>
      <c r="N1216">
        <v>0</v>
      </c>
      <c r="O1216">
        <v>-5.9783160000000002E-2</v>
      </c>
      <c r="P1216">
        <v>0.97736699999999999</v>
      </c>
      <c r="Q1216">
        <v>5.3470219999999999E-2</v>
      </c>
      <c r="R1216">
        <v>-0.2046819</v>
      </c>
      <c r="S1216">
        <v>2.8378749999999999</v>
      </c>
      <c r="T1216">
        <v>-0.42991089999999998</v>
      </c>
      <c r="U1216">
        <v>-1.223206</v>
      </c>
      <c r="V1216">
        <v>0.1462397</v>
      </c>
      <c r="W1216">
        <v>6.6776929999999998E-2</v>
      </c>
      <c r="X1216">
        <v>0.9869928</v>
      </c>
      <c r="Y1216">
        <v>0.33755220000000002</v>
      </c>
      <c r="Z1216">
        <v>-1.575876E-2</v>
      </c>
      <c r="AA1216">
        <v>0.94117490000000004</v>
      </c>
      <c r="AB1216">
        <v>30</v>
      </c>
      <c r="AC1216">
        <v>7.1376999999999899</v>
      </c>
      <c r="AD1216">
        <v>-1.108225190025</v>
      </c>
      <c r="AE1216">
        <v>-3.1413000000000002</v>
      </c>
      <c r="AF1216">
        <v>2.6552982326905301</v>
      </c>
      <c r="AG1216">
        <v>-1.108225190025</v>
      </c>
      <c r="AH1216">
        <v>7.1679876529015703</v>
      </c>
      <c r="AI1216">
        <v>98.249256329119405</v>
      </c>
      <c r="AJ1216">
        <v>69.673433120320794</v>
      </c>
      <c r="AK1216">
        <v>7.7239121414270899</v>
      </c>
      <c r="AL1216">
        <v>86.171114528916405</v>
      </c>
      <c r="AM1216">
        <v>81.571977580378004</v>
      </c>
      <c r="AN1216">
        <v>0.999999997744077</v>
      </c>
    </row>
    <row r="1217" spans="1:40" x14ac:dyDescent="0.25">
      <c r="A1217" t="str">
        <f>"20190312151008699"</f>
        <v>20190312151008699</v>
      </c>
      <c r="B1217" t="str">
        <f>"1552374608691867"</f>
        <v>1552374608691867</v>
      </c>
      <c r="C1217" t="s">
        <v>40</v>
      </c>
      <c r="D1217">
        <v>5.7802480000000003</v>
      </c>
      <c r="E1217">
        <v>0.57709029999999994</v>
      </c>
      <c r="F1217" t="s">
        <v>48</v>
      </c>
      <c r="G1217">
        <v>-209.708</v>
      </c>
      <c r="H1217" s="1">
        <v>-6.133278E-6</v>
      </c>
      <c r="I1217">
        <v>363.56</v>
      </c>
      <c r="J1217">
        <v>-216.8578</v>
      </c>
      <c r="K1217">
        <v>1.1081259999999999</v>
      </c>
      <c r="L1217">
        <v>366.7337</v>
      </c>
      <c r="M1217">
        <v>0.99799859999999896</v>
      </c>
      <c r="N1217">
        <v>0</v>
      </c>
      <c r="O1217">
        <v>-6.1604150000000003E-2</v>
      </c>
      <c r="P1217">
        <v>0.97682519999999995</v>
      </c>
      <c r="Q1217">
        <v>5.3540860000000003E-2</v>
      </c>
      <c r="R1217">
        <v>-0.20723469999999999</v>
      </c>
      <c r="S1217">
        <v>2.8348080000000002</v>
      </c>
      <c r="T1217">
        <v>-0.42870409999999998</v>
      </c>
      <c r="U1217">
        <v>-1.2325440000000001</v>
      </c>
      <c r="V1217">
        <v>0.14703379999999999</v>
      </c>
      <c r="W1217">
        <v>6.6811640000000005E-2</v>
      </c>
      <c r="X1217">
        <v>0.98687250000000004</v>
      </c>
      <c r="Y1217">
        <v>0.33883639999999998</v>
      </c>
      <c r="Z1217">
        <v>-1.555317E-2</v>
      </c>
      <c r="AA1217">
        <v>0.94071669999999996</v>
      </c>
      <c r="AB1217">
        <v>30</v>
      </c>
      <c r="AC1217">
        <v>7.1497999999999902</v>
      </c>
      <c r="AD1217">
        <v>-1.1081321332780001</v>
      </c>
      <c r="AE1217">
        <v>-3.17369999999999</v>
      </c>
      <c r="AF1217">
        <v>2.67351838867306</v>
      </c>
      <c r="AG1217">
        <v>-1.1081321332780001</v>
      </c>
      <c r="AH1217">
        <v>7.18751648479103</v>
      </c>
      <c r="AI1217">
        <v>98.222423443772499</v>
      </c>
      <c r="AJ1217">
        <v>69.596463784159695</v>
      </c>
      <c r="AK1217">
        <v>7.7482934003894703</v>
      </c>
      <c r="AL1217">
        <v>86.169121474188401</v>
      </c>
      <c r="AM1217">
        <v>81.525857057980403</v>
      </c>
      <c r="AN1217">
        <v>1.0000000324190801</v>
      </c>
    </row>
    <row r="1218" spans="1:40" x14ac:dyDescent="0.25">
      <c r="A1218" t="str">
        <f>"20190312151008711"</f>
        <v>20190312151008711</v>
      </c>
      <c r="B1218" t="str">
        <f>"1552374608701627"</f>
        <v>1552374608701627</v>
      </c>
      <c r="C1218" t="s">
        <v>40</v>
      </c>
      <c r="D1218">
        <v>5.7419289999999998</v>
      </c>
      <c r="E1218">
        <v>0.57741049999999905</v>
      </c>
      <c r="F1218" t="s">
        <v>48</v>
      </c>
      <c r="G1218">
        <v>-209.5257</v>
      </c>
      <c r="H1218" s="1">
        <v>-6.0789859999999998E-6</v>
      </c>
      <c r="I1218">
        <v>363.51679999999999</v>
      </c>
      <c r="J1218">
        <v>-216.69200000000001</v>
      </c>
      <c r="K1218">
        <v>1.108047</v>
      </c>
      <c r="L1218">
        <v>366.7217</v>
      </c>
      <c r="M1218">
        <v>0.99788770000000004</v>
      </c>
      <c r="N1218">
        <v>0</v>
      </c>
      <c r="O1218">
        <v>-6.3374749999999994E-2</v>
      </c>
      <c r="P1218">
        <v>0.97632859999999999</v>
      </c>
      <c r="Q1218">
        <v>5.3817530000000002E-2</v>
      </c>
      <c r="R1218">
        <v>-0.2094905</v>
      </c>
      <c r="S1218">
        <v>2.8311310000000001</v>
      </c>
      <c r="T1218">
        <v>-0.42788029999999999</v>
      </c>
      <c r="U1218">
        <v>-1.2421260000000001</v>
      </c>
      <c r="V1218">
        <v>0.1475783</v>
      </c>
      <c r="W1218">
        <v>6.7058099999999995E-2</v>
      </c>
      <c r="X1218">
        <v>0.9867745</v>
      </c>
      <c r="Y1218">
        <v>0.34030009999999999</v>
      </c>
      <c r="Z1218">
        <v>-1.538485E-2</v>
      </c>
      <c r="AA1218">
        <v>0.940191</v>
      </c>
      <c r="AB1218">
        <v>30</v>
      </c>
      <c r="AC1218">
        <v>7.1662999999999997</v>
      </c>
      <c r="AD1218">
        <v>-1.1080530789859999</v>
      </c>
      <c r="AE1218">
        <v>-3.2048999999999999</v>
      </c>
      <c r="AF1218">
        <v>2.6906425520645101</v>
      </c>
      <c r="AG1218">
        <v>-1.1080530789859999</v>
      </c>
      <c r="AH1218">
        <v>7.2113521222044099</v>
      </c>
      <c r="AI1218">
        <v>98.192011182053093</v>
      </c>
      <c r="AJ1218">
        <v>69.538847695716598</v>
      </c>
      <c r="AK1218">
        <v>7.7763062182023601</v>
      </c>
      <c r="AL1218">
        <v>86.154968602245503</v>
      </c>
      <c r="AM1218">
        <v>81.494101183839106</v>
      </c>
      <c r="AN1218">
        <v>1.0000000286283699</v>
      </c>
    </row>
    <row r="1219" spans="1:40" x14ac:dyDescent="0.25">
      <c r="A1219" t="str">
        <f>"20190312151008727"</f>
        <v>20190312151008727</v>
      </c>
      <c r="B1219" t="str">
        <f>"1552374608722124"</f>
        <v>1552374608722124</v>
      </c>
      <c r="C1219" t="s">
        <v>40</v>
      </c>
      <c r="D1219">
        <v>5.7695600000000002</v>
      </c>
      <c r="E1219">
        <v>0.57798229999999995</v>
      </c>
      <c r="F1219" t="s">
        <v>48</v>
      </c>
      <c r="G1219">
        <v>-209.3409</v>
      </c>
      <c r="H1219" s="1">
        <v>-6.0247360000000002E-6</v>
      </c>
      <c r="I1219">
        <v>363.46800000000002</v>
      </c>
      <c r="J1219">
        <v>-216.49590000000001</v>
      </c>
      <c r="K1219">
        <v>1.1079589999999999</v>
      </c>
      <c r="L1219">
        <v>366.70710000000003</v>
      </c>
      <c r="M1219">
        <v>0.99774910000000006</v>
      </c>
      <c r="N1219">
        <v>0</v>
      </c>
      <c r="O1219">
        <v>-6.5520789999999995E-2</v>
      </c>
      <c r="P1219">
        <v>0.97553009999999996</v>
      </c>
      <c r="Q1219">
        <v>5.4427499999999997E-2</v>
      </c>
      <c r="R1219">
        <v>-0.2130223</v>
      </c>
      <c r="S1219">
        <v>2.8276819999999998</v>
      </c>
      <c r="T1219">
        <v>-0.42622260000000001</v>
      </c>
      <c r="U1219">
        <v>-1.2515559999999999</v>
      </c>
      <c r="V1219">
        <v>0.14904790000000001</v>
      </c>
      <c r="W1219">
        <v>6.7628049999999995E-2</v>
      </c>
      <c r="X1219">
        <v>0.98651460000000002</v>
      </c>
      <c r="Y1219">
        <v>0.34135589999999999</v>
      </c>
      <c r="Z1219">
        <v>-1.510395E-2</v>
      </c>
      <c r="AA1219">
        <v>0.9398128</v>
      </c>
      <c r="AB1219">
        <v>30</v>
      </c>
      <c r="AC1219">
        <v>7.1550000000000002</v>
      </c>
      <c r="AD1219">
        <v>-1.107965024736</v>
      </c>
      <c r="AE1219">
        <v>-3.2391000000000001</v>
      </c>
      <c r="AF1219">
        <v>2.7093711866449501</v>
      </c>
      <c r="AG1219">
        <v>-1.107965024736</v>
      </c>
      <c r="AH1219">
        <v>7.2084201057432997</v>
      </c>
      <c r="AI1219">
        <v>98.187358273083206</v>
      </c>
      <c r="AJ1219">
        <v>69.400667221999001</v>
      </c>
      <c r="AK1219">
        <v>7.7800770654245097</v>
      </c>
      <c r="AL1219">
        <v>86.122238238827094</v>
      </c>
      <c r="AM1219">
        <v>81.408426721563202</v>
      </c>
      <c r="AN1219">
        <v>0.99999994282718396</v>
      </c>
    </row>
    <row r="1220" spans="1:40" x14ac:dyDescent="0.25">
      <c r="A1220" t="str">
        <f>"20190312151008740"</f>
        <v>20190312151008740</v>
      </c>
      <c r="B1220" t="str">
        <f>"1552374608731882"</f>
        <v>1552374608731882</v>
      </c>
      <c r="C1220" t="s">
        <v>40</v>
      </c>
      <c r="D1220">
        <v>5.7450960000000002</v>
      </c>
      <c r="E1220">
        <v>0.57825289999999996</v>
      </c>
      <c r="F1220" t="s">
        <v>48</v>
      </c>
      <c r="G1220">
        <v>-209.1087</v>
      </c>
      <c r="H1220" s="1">
        <v>-5.9586540000000002E-6</v>
      </c>
      <c r="I1220">
        <v>363.39350000000002</v>
      </c>
      <c r="J1220">
        <v>-216.31620000000001</v>
      </c>
      <c r="K1220">
        <v>1.1078859999999999</v>
      </c>
      <c r="L1220">
        <v>366.69330000000002</v>
      </c>
      <c r="M1220">
        <v>0.99761520000000004</v>
      </c>
      <c r="N1220">
        <v>0</v>
      </c>
      <c r="O1220">
        <v>-6.7530740000000006E-2</v>
      </c>
      <c r="P1220">
        <v>0.97493149999999995</v>
      </c>
      <c r="Q1220">
        <v>5.3995399999999999E-2</v>
      </c>
      <c r="R1220">
        <v>-0.21585550000000001</v>
      </c>
      <c r="S1220">
        <v>2.8224179999999999</v>
      </c>
      <c r="T1220">
        <v>-0.42331930000000001</v>
      </c>
      <c r="U1220">
        <v>-1.266022</v>
      </c>
      <c r="V1220">
        <v>0.1499346</v>
      </c>
      <c r="W1220">
        <v>6.7165619999999995E-2</v>
      </c>
      <c r="X1220">
        <v>0.98641190000000001</v>
      </c>
      <c r="Y1220">
        <v>0.34415499999999999</v>
      </c>
      <c r="Z1220">
        <v>-1.492857E-2</v>
      </c>
      <c r="AA1220">
        <v>0.93879420000000002</v>
      </c>
      <c r="AB1220">
        <v>29</v>
      </c>
      <c r="AC1220">
        <v>7.2074999999999996</v>
      </c>
      <c r="AD1220">
        <v>-1.1078919586539999</v>
      </c>
      <c r="AE1220">
        <v>-3.2997999999999998</v>
      </c>
      <c r="AF1220">
        <v>2.7517371206980599</v>
      </c>
      <c r="AG1220">
        <v>-1.1078919586539999</v>
      </c>
      <c r="AH1220">
        <v>7.2718587140709099</v>
      </c>
      <c r="AI1220">
        <v>98.109628805051003</v>
      </c>
      <c r="AJ1220">
        <v>69.272904072256694</v>
      </c>
      <c r="AK1220">
        <v>7.8536240635064098</v>
      </c>
      <c r="AL1220">
        <v>86.1487942089733</v>
      </c>
      <c r="AM1220">
        <v>81.357197919600907</v>
      </c>
      <c r="AN1220">
        <v>1.00000002062437</v>
      </c>
    </row>
    <row r="1221" spans="1:40" x14ac:dyDescent="0.25">
      <c r="A1221" t="str">
        <f>"20190312151008752"</f>
        <v>20190312151008752</v>
      </c>
      <c r="B1221" t="str">
        <f>"1552374608741643"</f>
        <v>1552374608741643</v>
      </c>
      <c r="C1221" t="s">
        <v>40</v>
      </c>
      <c r="D1221">
        <v>5.7233359999999998</v>
      </c>
      <c r="E1221">
        <v>0.57852199999999998</v>
      </c>
      <c r="F1221" t="s">
        <v>48</v>
      </c>
      <c r="G1221">
        <v>-208.9633</v>
      </c>
      <c r="H1221" s="1">
        <v>-5.9146099999999999E-6</v>
      </c>
      <c r="I1221">
        <v>363.36399999999998</v>
      </c>
      <c r="J1221">
        <v>-216.1559</v>
      </c>
      <c r="K1221">
        <v>1.107829</v>
      </c>
      <c r="L1221">
        <v>366.68060000000003</v>
      </c>
      <c r="M1221">
        <v>0.99748879999999995</v>
      </c>
      <c r="N1221">
        <v>0</v>
      </c>
      <c r="O1221">
        <v>-6.9371730000000006E-2</v>
      </c>
      <c r="P1221">
        <v>0.97435329999999998</v>
      </c>
      <c r="Q1221">
        <v>5.3748209999999998E-2</v>
      </c>
      <c r="R1221">
        <v>-0.2185116</v>
      </c>
      <c r="S1221">
        <v>2.818146</v>
      </c>
      <c r="T1221">
        <v>-0.42462499999999997</v>
      </c>
      <c r="U1221">
        <v>-1.2760309999999999</v>
      </c>
      <c r="V1221">
        <v>0.15080969999999999</v>
      </c>
      <c r="W1221">
        <v>6.6893010000000003E-2</v>
      </c>
      <c r="X1221">
        <v>0.98629699999999998</v>
      </c>
      <c r="Y1221">
        <v>0.34571069999999998</v>
      </c>
      <c r="Z1221">
        <v>-1.4835070000000001E-2</v>
      </c>
      <c r="AA1221">
        <v>0.9382239</v>
      </c>
      <c r="AB1221">
        <v>29</v>
      </c>
      <c r="AC1221">
        <v>7.1925999999999899</v>
      </c>
      <c r="AD1221">
        <v>-1.1078349146099999</v>
      </c>
      <c r="AE1221">
        <v>-3.31659999999999</v>
      </c>
      <c r="AF1221">
        <v>2.7556829122074298</v>
      </c>
      <c r="AG1221">
        <v>-1.1078349146099999</v>
      </c>
      <c r="AH1221">
        <v>7.2632735849430796</v>
      </c>
      <c r="AI1221">
        <v>98.116045532574603</v>
      </c>
      <c r="AJ1221">
        <v>69.223275981104806</v>
      </c>
      <c r="AK1221">
        <v>7.8470522924466897</v>
      </c>
      <c r="AL1221">
        <v>86.164448763261902</v>
      </c>
      <c r="AM1221">
        <v>81.306524945534207</v>
      </c>
      <c r="AN1221">
        <v>1.0000000063049701</v>
      </c>
    </row>
    <row r="1222" spans="1:40" x14ac:dyDescent="0.25">
      <c r="A1222" t="str">
        <f>"20190312151008765"</f>
        <v>20190312151008765</v>
      </c>
      <c r="B1222" t="str">
        <f>"1552374608752380"</f>
        <v>1552374608752380</v>
      </c>
      <c r="C1222" t="s">
        <v>40</v>
      </c>
      <c r="D1222">
        <v>5.8474440000000003</v>
      </c>
      <c r="E1222">
        <v>0.57888669999999998</v>
      </c>
      <c r="F1222" t="s">
        <v>48</v>
      </c>
      <c r="G1222">
        <v>-208.7954</v>
      </c>
      <c r="H1222" s="1">
        <v>-5.865716E-6</v>
      </c>
      <c r="I1222">
        <v>363.31720000000001</v>
      </c>
      <c r="J1222">
        <v>-216.00110000000001</v>
      </c>
      <c r="K1222">
        <v>1.1077729999999999</v>
      </c>
      <c r="L1222">
        <v>366.66809999999998</v>
      </c>
      <c r="M1222">
        <v>0.99736150000000001</v>
      </c>
      <c r="N1222">
        <v>0</v>
      </c>
      <c r="O1222">
        <v>-7.1176420000000004E-2</v>
      </c>
      <c r="P1222">
        <v>0.97387020000000002</v>
      </c>
      <c r="Q1222">
        <v>5.3096989999999997E-2</v>
      </c>
      <c r="R1222">
        <v>-0.22081120000000001</v>
      </c>
      <c r="S1222">
        <v>2.8140109999999998</v>
      </c>
      <c r="T1222">
        <v>-0.4235392</v>
      </c>
      <c r="U1222">
        <v>-1.2858579999999999</v>
      </c>
      <c r="V1222">
        <v>0.151355399999999</v>
      </c>
      <c r="W1222">
        <v>6.6221669999999996E-2</v>
      </c>
      <c r="X1222">
        <v>0.98625870000000004</v>
      </c>
      <c r="Y1222">
        <v>0.3472597</v>
      </c>
      <c r="Z1222">
        <v>-1.466276E-2</v>
      </c>
      <c r="AA1222">
        <v>0.9376544</v>
      </c>
      <c r="AB1222">
        <v>29</v>
      </c>
      <c r="AC1222">
        <v>7.2057000000000002</v>
      </c>
      <c r="AD1222">
        <v>-1.1077788657159999</v>
      </c>
      <c r="AE1222">
        <v>-3.3508999999999598</v>
      </c>
      <c r="AF1222">
        <v>2.7755357186326002</v>
      </c>
      <c r="AG1222">
        <v>-1.1077788657159999</v>
      </c>
      <c r="AH1222">
        <v>7.2843962166223104</v>
      </c>
      <c r="AI1222">
        <v>98.088109536411096</v>
      </c>
      <c r="AJ1222">
        <v>69.141917859127403</v>
      </c>
      <c r="AK1222">
        <v>7.8735761113660301</v>
      </c>
      <c r="AL1222">
        <v>86.202999151062599</v>
      </c>
      <c r="AM1222">
        <v>81.275217446256704</v>
      </c>
      <c r="AN1222">
        <v>0.99999999500621894</v>
      </c>
    </row>
    <row r="1223" spans="1:40" x14ac:dyDescent="0.25">
      <c r="A1223" t="str">
        <f>"20190312151008778"</f>
        <v>20190312151008778</v>
      </c>
      <c r="B1223" t="str">
        <f>"1552374608771898"</f>
        <v>1552374608771898</v>
      </c>
      <c r="C1223" t="s">
        <v>40</v>
      </c>
      <c r="D1223">
        <v>5.7499279999999997</v>
      </c>
      <c r="E1223">
        <v>0.579337199999999</v>
      </c>
      <c r="F1223" t="s">
        <v>48</v>
      </c>
      <c r="G1223">
        <v>-208.6789</v>
      </c>
      <c r="H1223" s="1">
        <v>-5.8306719999999898E-6</v>
      </c>
      <c r="I1223">
        <v>363.2919</v>
      </c>
      <c r="J1223">
        <v>-215.8203</v>
      </c>
      <c r="K1223">
        <v>1.10772</v>
      </c>
      <c r="L1223">
        <v>366.65309999999999</v>
      </c>
      <c r="M1223">
        <v>0.99720699999999995</v>
      </c>
      <c r="N1223">
        <v>0</v>
      </c>
      <c r="O1223">
        <v>-7.3309620000000006E-2</v>
      </c>
      <c r="P1223">
        <v>0.97322679999999995</v>
      </c>
      <c r="Q1223">
        <v>5.2541350000000001E-2</v>
      </c>
      <c r="R1223">
        <v>-0.22376180000000001</v>
      </c>
      <c r="S1223">
        <v>2.8098749999999999</v>
      </c>
      <c r="T1223">
        <v>-0.42510819999999999</v>
      </c>
      <c r="U1223">
        <v>-1.295593</v>
      </c>
      <c r="V1223">
        <v>0.15223800000000001</v>
      </c>
      <c r="W1223">
        <v>6.5641669999999999E-2</v>
      </c>
      <c r="X1223">
        <v>0.98616159999999997</v>
      </c>
      <c r="Y1223">
        <v>0.34844789999999998</v>
      </c>
      <c r="Z1223">
        <v>-1.4508780000000001E-2</v>
      </c>
      <c r="AA1223">
        <v>0.93721589999999999</v>
      </c>
      <c r="AB1223">
        <v>29</v>
      </c>
      <c r="AC1223">
        <v>7.1414</v>
      </c>
      <c r="AD1223">
        <v>-1.1077258306719999</v>
      </c>
      <c r="AE1223">
        <v>-3.36119999999999</v>
      </c>
      <c r="AF1223">
        <v>2.7739297013444699</v>
      </c>
      <c r="AG1223">
        <v>-1.1077258306719999</v>
      </c>
      <c r="AH1223">
        <v>7.2262790714308203</v>
      </c>
      <c r="AI1223">
        <v>98.144279134377996</v>
      </c>
      <c r="AJ1223">
        <v>68.999854473404497</v>
      </c>
      <c r="AK1223">
        <v>7.8192615841995003</v>
      </c>
      <c r="AL1223">
        <v>86.236303072176995</v>
      </c>
      <c r="AM1223">
        <v>81.224279585938305</v>
      </c>
      <c r="AN1223">
        <v>0.999999969399474</v>
      </c>
    </row>
    <row r="1224" spans="1:40" x14ac:dyDescent="0.25">
      <c r="A1224" t="str">
        <f>"20190312151008792"</f>
        <v>20190312151008792</v>
      </c>
      <c r="B1224" t="str">
        <f>"1552374608781659"</f>
        <v>1552374608781659</v>
      </c>
      <c r="C1224" t="s">
        <v>40</v>
      </c>
      <c r="D1224">
        <v>5.8336610000000002</v>
      </c>
      <c r="E1224">
        <v>0.57959749999999999</v>
      </c>
      <c r="F1224" t="s">
        <v>48</v>
      </c>
      <c r="G1224">
        <v>-208.55709999999999</v>
      </c>
      <c r="H1224" s="1">
        <v>-5.7938079999999997E-6</v>
      </c>
      <c r="I1224">
        <v>363.26679999999999</v>
      </c>
      <c r="J1224">
        <v>-215.62880000000001</v>
      </c>
      <c r="K1224">
        <v>1.107675</v>
      </c>
      <c r="L1224">
        <v>366.63659999999999</v>
      </c>
      <c r="M1224">
        <v>0.99703459999999999</v>
      </c>
      <c r="N1224">
        <v>0</v>
      </c>
      <c r="O1224">
        <v>-7.5617329999999996E-2</v>
      </c>
      <c r="P1224">
        <v>0.97261790000000004</v>
      </c>
      <c r="Q1224">
        <v>5.2184029999999999E-2</v>
      </c>
      <c r="R1224">
        <v>-0.2264766</v>
      </c>
      <c r="S1224">
        <v>2.8049469999999999</v>
      </c>
      <c r="T1224">
        <v>-0.42778559999999999</v>
      </c>
      <c r="U1224">
        <v>-1.307739</v>
      </c>
      <c r="V1224">
        <v>0.15271129999999999</v>
      </c>
      <c r="W1224">
        <v>6.5264840000000005E-2</v>
      </c>
      <c r="X1224">
        <v>0.98611349999999998</v>
      </c>
      <c r="Y1224">
        <v>0.35021649999999999</v>
      </c>
      <c r="Z1224">
        <v>-1.4408229999999999E-2</v>
      </c>
      <c r="AA1224">
        <v>0.93655790000000005</v>
      </c>
      <c r="AB1224">
        <v>29</v>
      </c>
      <c r="AC1224">
        <v>7.0717000000000203</v>
      </c>
      <c r="AD1224">
        <v>-1.107680793808</v>
      </c>
      <c r="AE1224">
        <v>-3.3697999999999899</v>
      </c>
      <c r="AF1224">
        <v>2.7699680356977701</v>
      </c>
      <c r="AG1224">
        <v>-1.107680793808</v>
      </c>
      <c r="AH1224">
        <v>7.1630677628655199</v>
      </c>
      <c r="AI1224">
        <v>98.207141686958195</v>
      </c>
      <c r="AJ1224">
        <v>68.858446040072195</v>
      </c>
      <c r="AK1224">
        <v>7.75945999636326</v>
      </c>
      <c r="AL1224">
        <v>86.257940495407794</v>
      </c>
      <c r="AM1224">
        <v>81.197000338075995</v>
      </c>
      <c r="AN1224">
        <v>1.0000000376850799</v>
      </c>
    </row>
    <row r="1225" spans="1:40" x14ac:dyDescent="0.25">
      <c r="A1225" t="str">
        <f>"20190312151008806"</f>
        <v>20190312151008806</v>
      </c>
      <c r="B1225" t="str">
        <f>"1552374608802155"</f>
        <v>1552374608802155</v>
      </c>
      <c r="C1225" t="s">
        <v>40</v>
      </c>
      <c r="D1225">
        <v>5.7707959999999998</v>
      </c>
      <c r="E1225">
        <v>0.58005549999999995</v>
      </c>
      <c r="F1225" t="s">
        <v>48</v>
      </c>
      <c r="G1225">
        <v>-208.39519999999999</v>
      </c>
      <c r="H1225" s="1">
        <v>-5.7447829999999998E-6</v>
      </c>
      <c r="I1225">
        <v>363.2337</v>
      </c>
      <c r="J1225">
        <v>-215.45859999999999</v>
      </c>
      <c r="K1225">
        <v>1.107634</v>
      </c>
      <c r="L1225">
        <v>366.6216</v>
      </c>
      <c r="M1225">
        <v>0.99687530000000002</v>
      </c>
      <c r="N1225">
        <v>0</v>
      </c>
      <c r="O1225">
        <v>-7.7690209999999996E-2</v>
      </c>
      <c r="P1225">
        <v>0.97183470000000005</v>
      </c>
      <c r="Q1225">
        <v>5.1915540000000003E-2</v>
      </c>
      <c r="R1225">
        <v>-0.22987450000000001</v>
      </c>
      <c r="S1225">
        <v>2.8006899999999999</v>
      </c>
      <c r="T1225">
        <v>-0.42886780000000002</v>
      </c>
      <c r="U1225">
        <v>-1.3175349999999999</v>
      </c>
      <c r="V1225">
        <v>0.15411159999999999</v>
      </c>
      <c r="W1225">
        <v>6.4971719999999997E-2</v>
      </c>
      <c r="X1225">
        <v>0.98591490000000004</v>
      </c>
      <c r="Y1225">
        <v>0.35149439999999998</v>
      </c>
      <c r="Z1225">
        <v>-1.4249939999999999E-2</v>
      </c>
      <c r="AA1225">
        <v>0.93608150000000001</v>
      </c>
      <c r="AB1225">
        <v>29</v>
      </c>
      <c r="AC1225">
        <v>7.0633999999999997</v>
      </c>
      <c r="AD1225">
        <v>-1.107639744783</v>
      </c>
      <c r="AE1225">
        <v>-3.3879000000000001</v>
      </c>
      <c r="AF1225">
        <v>2.77340082919283</v>
      </c>
      <c r="AG1225">
        <v>-1.107639744783</v>
      </c>
      <c r="AH1225">
        <v>7.1620995023778402</v>
      </c>
      <c r="AI1225">
        <v>98.206487700885006</v>
      </c>
      <c r="AJ1225">
        <v>68.831955586744797</v>
      </c>
      <c r="AK1225">
        <v>7.7597865463910303</v>
      </c>
      <c r="AL1225">
        <v>86.274770427393705</v>
      </c>
      <c r="AM1225">
        <v>81.115801150606998</v>
      </c>
      <c r="AN1225">
        <v>0.99999994984816298</v>
      </c>
    </row>
    <row r="1226" spans="1:40" x14ac:dyDescent="0.25">
      <c r="A1226" t="str">
        <f>"20190312151008821"</f>
        <v>20190312151008821</v>
      </c>
      <c r="B1226" t="str">
        <f>"1552374608811915"</f>
        <v>1552374608811915</v>
      </c>
      <c r="C1226" t="s">
        <v>40</v>
      </c>
      <c r="D1226">
        <v>5.7711449999999997</v>
      </c>
      <c r="E1226">
        <v>0.58024799999999999</v>
      </c>
      <c r="F1226" t="s">
        <v>48</v>
      </c>
      <c r="G1226">
        <v>-208.27189999999999</v>
      </c>
      <c r="H1226" s="1">
        <v>-5.7092039999999996E-6</v>
      </c>
      <c r="I1226">
        <v>363.19720000000001</v>
      </c>
      <c r="J1226">
        <v>-215.25960000000001</v>
      </c>
      <c r="K1226">
        <v>1.107591</v>
      </c>
      <c r="L1226">
        <v>366.60359999999997</v>
      </c>
      <c r="M1226">
        <v>0.9966815</v>
      </c>
      <c r="N1226">
        <v>0</v>
      </c>
      <c r="O1226">
        <v>-8.0137E-2</v>
      </c>
      <c r="P1226">
        <v>0.97113539999999998</v>
      </c>
      <c r="Q1226">
        <v>5.1647289999999998E-2</v>
      </c>
      <c r="R1226">
        <v>-0.23287099999999999</v>
      </c>
      <c r="S1226">
        <v>2.7949519999999999</v>
      </c>
      <c r="T1226">
        <v>-0.43076959999999997</v>
      </c>
      <c r="U1226">
        <v>-1.3317570000000001</v>
      </c>
      <c r="V1226">
        <v>0.15473629999999999</v>
      </c>
      <c r="W1226">
        <v>6.4683850000000001E-2</v>
      </c>
      <c r="X1226">
        <v>0.98583600000000005</v>
      </c>
      <c r="Y1226">
        <v>0.35380329999999999</v>
      </c>
      <c r="Z1226">
        <v>-1.414063E-2</v>
      </c>
      <c r="AA1226">
        <v>0.93521299999999996</v>
      </c>
      <c r="AB1226">
        <v>29</v>
      </c>
      <c r="AC1226">
        <v>6.98770000000001</v>
      </c>
      <c r="AD1226">
        <v>-1.107596709204</v>
      </c>
      <c r="AE1226">
        <v>-3.4063999999999601</v>
      </c>
      <c r="AF1226">
        <v>2.77899769410394</v>
      </c>
      <c r="AG1226">
        <v>-1.107596709204</v>
      </c>
      <c r="AH1226">
        <v>7.0942146852911998</v>
      </c>
      <c r="AI1226">
        <v>98.271207215189094</v>
      </c>
      <c r="AJ1226">
        <v>68.608364338307496</v>
      </c>
      <c r="AK1226">
        <v>7.6991870126056803</v>
      </c>
      <c r="AL1226">
        <v>86.291299010932605</v>
      </c>
      <c r="AM1226">
        <v>81.079664060683996</v>
      </c>
      <c r="AN1226">
        <v>0.99999997094225501</v>
      </c>
    </row>
    <row r="1227" spans="1:40" x14ac:dyDescent="0.25">
      <c r="A1227" t="str">
        <f>"20190312151008833"</f>
        <v>20190312151008833</v>
      </c>
      <c r="B1227" t="str">
        <f>"1552374608821674"</f>
        <v>1552374608821674</v>
      </c>
      <c r="C1227" t="s">
        <v>40</v>
      </c>
      <c r="D1227">
        <v>5.7615600000000002</v>
      </c>
      <c r="E1227">
        <v>0.58049770000000001</v>
      </c>
      <c r="F1227" t="s">
        <v>48</v>
      </c>
      <c r="G1227">
        <v>-208.1019</v>
      </c>
      <c r="H1227" s="1">
        <v>-5.6579389999999997E-6</v>
      </c>
      <c r="I1227">
        <v>363.16120000000001</v>
      </c>
      <c r="J1227">
        <v>-215.09270000000001</v>
      </c>
      <c r="K1227">
        <v>1.107561</v>
      </c>
      <c r="L1227">
        <v>366.5881</v>
      </c>
      <c r="M1227">
        <v>0.99651179999999995</v>
      </c>
      <c r="N1227">
        <v>0</v>
      </c>
      <c r="O1227">
        <v>-8.2220489999999993E-2</v>
      </c>
      <c r="P1227">
        <v>0.97056909999999996</v>
      </c>
      <c r="Q1227">
        <v>5.1388129999999997E-2</v>
      </c>
      <c r="R1227">
        <v>-0.2352774</v>
      </c>
      <c r="S1227">
        <v>2.7903440000000002</v>
      </c>
      <c r="T1227">
        <v>-0.43178299999999997</v>
      </c>
      <c r="U1227">
        <v>-1.3420099999999999</v>
      </c>
      <c r="V1227">
        <v>0.15512129999999999</v>
      </c>
      <c r="W1227">
        <v>6.4410250000000002E-2</v>
      </c>
      <c r="X1227">
        <v>0.98579340000000004</v>
      </c>
      <c r="Y1227">
        <v>0.3552363</v>
      </c>
      <c r="Z1227">
        <v>-1.398836E-2</v>
      </c>
      <c r="AA1227">
        <v>0.9346719</v>
      </c>
      <c r="AB1227">
        <v>29</v>
      </c>
      <c r="AC1227">
        <v>6.9908000000000001</v>
      </c>
      <c r="AD1227">
        <v>-1.107566657939</v>
      </c>
      <c r="AE1227">
        <v>-3.4268999999999799</v>
      </c>
      <c r="AF1227">
        <v>2.7841053020567799</v>
      </c>
      <c r="AG1227">
        <v>-1.107566657939</v>
      </c>
      <c r="AH1227">
        <v>7.1051245535961103</v>
      </c>
      <c r="AI1227">
        <v>98.258136498947493</v>
      </c>
      <c r="AJ1227">
        <v>68.602534503266895</v>
      </c>
      <c r="AK1227">
        <v>7.7110791175316802</v>
      </c>
      <c r="AL1227">
        <v>86.307007864710897</v>
      </c>
      <c r="AM1227">
        <v>81.057447382812398</v>
      </c>
      <c r="AN1227">
        <v>0.99999996275115499</v>
      </c>
    </row>
    <row r="1228" spans="1:40" x14ac:dyDescent="0.25">
      <c r="A1228" t="str">
        <f>"20190312151008845"</f>
        <v>20190312151008845</v>
      </c>
      <c r="B1228" t="str">
        <f>"1552374608842172"</f>
        <v>1552374608842172</v>
      </c>
      <c r="C1228" t="s">
        <v>40</v>
      </c>
      <c r="D1228">
        <v>5.9412719999999997</v>
      </c>
      <c r="E1228">
        <v>0.58073009999999903</v>
      </c>
      <c r="F1228" t="s">
        <v>48</v>
      </c>
      <c r="G1228">
        <v>-207.9639</v>
      </c>
      <c r="H1228" s="1">
        <v>-5.6163220000000001E-6</v>
      </c>
      <c r="I1228">
        <v>363.1318</v>
      </c>
      <c r="J1228">
        <v>-214.94210000000001</v>
      </c>
      <c r="K1228">
        <v>1.1075280000000001</v>
      </c>
      <c r="L1228">
        <v>366.57380000000001</v>
      </c>
      <c r="M1228">
        <v>0.99635309999999999</v>
      </c>
      <c r="N1228">
        <v>0</v>
      </c>
      <c r="O1228">
        <v>-8.4120089999999995E-2</v>
      </c>
      <c r="P1228">
        <v>0.97002670000000002</v>
      </c>
      <c r="Q1228">
        <v>5.0937589999999998E-2</v>
      </c>
      <c r="R1228">
        <v>-0.2376007</v>
      </c>
      <c r="S1228">
        <v>2.7864070000000001</v>
      </c>
      <c r="T1228">
        <v>-0.43291279999999999</v>
      </c>
      <c r="U1228">
        <v>-1.3509519999999999</v>
      </c>
      <c r="V1228">
        <v>0.1556023</v>
      </c>
      <c r="W1228">
        <v>6.3945799999999997E-2</v>
      </c>
      <c r="X1228">
        <v>0.98574790000000001</v>
      </c>
      <c r="Y1228">
        <v>0.35639500000000002</v>
      </c>
      <c r="Z1228">
        <v>-1.384351E-2</v>
      </c>
      <c r="AA1228">
        <v>0.93423279999999997</v>
      </c>
      <c r="AB1228">
        <v>29</v>
      </c>
      <c r="AC1228">
        <v>6.97820000000001</v>
      </c>
      <c r="AD1228">
        <v>-1.107533616322</v>
      </c>
      <c r="AE1228">
        <v>-3.4420000000000002</v>
      </c>
      <c r="AF1228">
        <v>2.7862792597444201</v>
      </c>
      <c r="AG1228">
        <v>-1.107533616322</v>
      </c>
      <c r="AH1228">
        <v>7.0991984241333297</v>
      </c>
      <c r="AI1228">
        <v>98.262937415252395</v>
      </c>
      <c r="AJ1228">
        <v>68.571084523004501</v>
      </c>
      <c r="AK1228">
        <v>7.7064000084204203</v>
      </c>
      <c r="AL1228">
        <v>86.333674116858305</v>
      </c>
      <c r="AM1228">
        <v>81.029761204596696</v>
      </c>
      <c r="AN1228">
        <v>1.0000000317286599</v>
      </c>
    </row>
    <row r="1229" spans="1:40" x14ac:dyDescent="0.25">
      <c r="A1229" t="str">
        <f>"20190312151008858"</f>
        <v>20190312151008858</v>
      </c>
      <c r="B1229" t="str">
        <f>"1552374608851931"</f>
        <v>1552374608851931</v>
      </c>
      <c r="C1229" t="s">
        <v>40</v>
      </c>
      <c r="D1229">
        <v>5.7711670000000002</v>
      </c>
      <c r="E1229">
        <v>0.59125319999999904</v>
      </c>
      <c r="F1229" t="s">
        <v>48</v>
      </c>
      <c r="G1229">
        <v>-207.84610000000001</v>
      </c>
      <c r="H1229" s="1">
        <v>-5.5807830000000002E-6</v>
      </c>
      <c r="I1229">
        <v>363.10680000000002</v>
      </c>
      <c r="J1229">
        <v>-214.76929999999999</v>
      </c>
      <c r="K1229">
        <v>1.1074900000000001</v>
      </c>
      <c r="L1229">
        <v>366.55700000000002</v>
      </c>
      <c r="M1229">
        <v>0.99616530000000003</v>
      </c>
      <c r="N1229">
        <v>0</v>
      </c>
      <c r="O1229">
        <v>-8.6314970000000005E-2</v>
      </c>
      <c r="P1229">
        <v>0.96953020000000001</v>
      </c>
      <c r="Q1229">
        <v>5.043781E-2</v>
      </c>
      <c r="R1229">
        <v>-0.23972299999999999</v>
      </c>
      <c r="S1229">
        <v>2.7825009999999999</v>
      </c>
      <c r="T1229">
        <v>-0.43428739999999999</v>
      </c>
      <c r="U1229">
        <v>-1.359467</v>
      </c>
      <c r="V1229">
        <v>0.15558759999999999</v>
      </c>
      <c r="W1229">
        <v>6.343472E-2</v>
      </c>
      <c r="X1229">
        <v>0.98578319999999997</v>
      </c>
      <c r="Y1229">
        <v>0.35715970000000002</v>
      </c>
      <c r="Z1229">
        <v>-1.363369E-2</v>
      </c>
      <c r="AA1229">
        <v>0.93394379999999999</v>
      </c>
      <c r="AB1229">
        <v>29</v>
      </c>
      <c r="AC1229">
        <v>6.92319999999998</v>
      </c>
      <c r="AD1229">
        <v>-1.10749558078299</v>
      </c>
      <c r="AE1229">
        <v>-3.45019999999993</v>
      </c>
      <c r="AF1229">
        <v>2.7826427043498598</v>
      </c>
      <c r="AG1229">
        <v>-1.10749558078299</v>
      </c>
      <c r="AH1229">
        <v>7.0506598024338496</v>
      </c>
      <c r="AI1229">
        <v>98.312637947480894</v>
      </c>
      <c r="AJ1229">
        <v>68.462627312637295</v>
      </c>
      <c r="AK1229">
        <v>7.6603818789393303</v>
      </c>
      <c r="AL1229">
        <v>86.363016268850998</v>
      </c>
      <c r="AM1229">
        <v>81.030910824210494</v>
      </c>
      <c r="AN1229">
        <v>0.99999999118873895</v>
      </c>
    </row>
    <row r="1230" spans="1:40" x14ac:dyDescent="0.25">
      <c r="A1230" t="str">
        <f>"20190312151008871"</f>
        <v>20190312151008871</v>
      </c>
      <c r="B1230" t="str">
        <f>"1552374608861690"</f>
        <v>1552374608861690</v>
      </c>
      <c r="C1230" t="s">
        <v>40</v>
      </c>
      <c r="D1230">
        <v>5.7916819999999998</v>
      </c>
      <c r="E1230">
        <v>0.59105810000000003</v>
      </c>
      <c r="F1230" t="s">
        <v>48</v>
      </c>
      <c r="G1230">
        <v>-208.1771</v>
      </c>
      <c r="H1230" s="1">
        <v>-5.6927270000000003E-6</v>
      </c>
      <c r="I1230">
        <v>363.09949999999998</v>
      </c>
      <c r="J1230">
        <v>-214.59010000000001</v>
      </c>
      <c r="K1230">
        <v>1.1074409999999999</v>
      </c>
      <c r="L1230">
        <v>366.53910000000002</v>
      </c>
      <c r="M1230">
        <v>0.99596169999999995</v>
      </c>
      <c r="N1230">
        <v>0</v>
      </c>
      <c r="O1230">
        <v>-8.8633820000000002E-2</v>
      </c>
      <c r="P1230">
        <v>0.96881079999999997</v>
      </c>
      <c r="Q1230">
        <v>4.9942060000000003E-2</v>
      </c>
      <c r="R1230">
        <v>-0.2427164</v>
      </c>
      <c r="S1230">
        <v>2.760437</v>
      </c>
      <c r="T1230">
        <v>-0.46375539999999998</v>
      </c>
      <c r="U1230">
        <v>-1.4478150000000001</v>
      </c>
      <c r="V1230">
        <v>0.15633820000000001</v>
      </c>
      <c r="W1230">
        <v>6.2919349999999999E-2</v>
      </c>
      <c r="X1230">
        <v>0.9856975</v>
      </c>
      <c r="Y1230">
        <v>0.38096600000000003</v>
      </c>
      <c r="Z1230">
        <v>-1.6066239999999999E-2</v>
      </c>
      <c r="AA1230">
        <v>0.92444939999999998</v>
      </c>
      <c r="AB1230">
        <v>29</v>
      </c>
      <c r="AC1230">
        <v>6.41300000000001</v>
      </c>
      <c r="AD1230">
        <v>-1.1074466927269999</v>
      </c>
      <c r="AE1230">
        <v>-3.43960000000004</v>
      </c>
      <c r="AF1230">
        <v>2.7929122333090199</v>
      </c>
      <c r="AG1230">
        <v>-1.1074466927269999</v>
      </c>
      <c r="AH1230">
        <v>6.5411645824193601</v>
      </c>
      <c r="AI1230">
        <v>98.850174237119802</v>
      </c>
      <c r="AJ1230">
        <v>66.878740563267897</v>
      </c>
      <c r="AK1230">
        <v>7.1981685875295103</v>
      </c>
      <c r="AL1230">
        <v>86.392604003552904</v>
      </c>
      <c r="AM1230">
        <v>80.987579090938496</v>
      </c>
      <c r="AN1230">
        <v>1.0000000194449501</v>
      </c>
    </row>
    <row r="1231" spans="1:40" x14ac:dyDescent="0.25">
      <c r="A1231" t="str">
        <f>"20190312151008885"</f>
        <v>20190312151008885</v>
      </c>
      <c r="B1231" t="str">
        <f>"1552374608871454"</f>
        <v>1552374608871454</v>
      </c>
      <c r="C1231" t="s">
        <v>40</v>
      </c>
      <c r="D1231">
        <v>5.7815960000000004</v>
      </c>
      <c r="E1231">
        <v>0.591414</v>
      </c>
      <c r="F1231" t="s">
        <v>48</v>
      </c>
      <c r="G1231">
        <v>-208.02950000000001</v>
      </c>
      <c r="H1231" s="1">
        <v>-5.6470009999999997E-6</v>
      </c>
      <c r="I1231">
        <v>363.07600000000002</v>
      </c>
      <c r="J1231">
        <v>-214.42339999999999</v>
      </c>
      <c r="K1231">
        <v>1.1074029999999999</v>
      </c>
      <c r="L1231">
        <v>366.52199999999999</v>
      </c>
      <c r="M1231">
        <v>0.99576529999999996</v>
      </c>
      <c r="N1231">
        <v>0</v>
      </c>
      <c r="O1231">
        <v>-9.0814710000000007E-2</v>
      </c>
      <c r="P1231">
        <v>0.96823009999999998</v>
      </c>
      <c r="Q1231">
        <v>4.9853080000000001E-2</v>
      </c>
      <c r="R1231">
        <v>-0.24504200000000001</v>
      </c>
      <c r="S1231">
        <v>2.7560730000000002</v>
      </c>
      <c r="T1231">
        <v>-0.46522989999999997</v>
      </c>
      <c r="U1231">
        <v>-1.4548030000000001</v>
      </c>
      <c r="V1231">
        <v>0.156551</v>
      </c>
      <c r="W1231">
        <v>6.2816070000000002E-2</v>
      </c>
      <c r="X1231">
        <v>0.9856703</v>
      </c>
      <c r="Y1231">
        <v>0.38137700000000002</v>
      </c>
      <c r="Z1231">
        <v>-1.5824290000000001E-2</v>
      </c>
      <c r="AA1231">
        <v>0.9242842</v>
      </c>
      <c r="AB1231">
        <v>29</v>
      </c>
      <c r="AC1231">
        <v>6.3938999999999702</v>
      </c>
      <c r="AD1231">
        <v>-1.1074086470010001</v>
      </c>
      <c r="AE1231">
        <v>-3.4460000000000202</v>
      </c>
      <c r="AF1231">
        <v>2.7862701652639998</v>
      </c>
      <c r="AG1231">
        <v>-1.1074086470010001</v>
      </c>
      <c r="AH1231">
        <v>6.52869125177354</v>
      </c>
      <c r="AI1231">
        <v>98.867149887874504</v>
      </c>
      <c r="AJ1231">
        <v>66.888511649964101</v>
      </c>
      <c r="AK1231">
        <v>7.1842511653113297</v>
      </c>
      <c r="AL1231">
        <v>86.398533196473693</v>
      </c>
      <c r="AM1231">
        <v>80.975268633347795</v>
      </c>
      <c r="AN1231">
        <v>1.0000000072766599</v>
      </c>
    </row>
    <row r="1232" spans="1:40" x14ac:dyDescent="0.25">
      <c r="A1232" t="str">
        <f>"20190312151008896"</f>
        <v>20190312151008896</v>
      </c>
      <c r="B1232" t="str">
        <f>"1552374608891947"</f>
        <v>1552374608891947</v>
      </c>
      <c r="C1232" t="s">
        <v>40</v>
      </c>
      <c r="D1232">
        <v>5.689775</v>
      </c>
      <c r="E1232">
        <v>0.59144229999999998</v>
      </c>
      <c r="F1232" t="s">
        <v>48</v>
      </c>
      <c r="G1232">
        <v>-207.7978</v>
      </c>
      <c r="H1232" s="1">
        <v>-5.5816679999999901E-6</v>
      </c>
      <c r="I1232">
        <v>362.99779999999998</v>
      </c>
      <c r="J1232">
        <v>-214.26230000000001</v>
      </c>
      <c r="K1232">
        <v>1.107362</v>
      </c>
      <c r="L1232">
        <v>366.5052</v>
      </c>
      <c r="M1232">
        <v>0.99556909999999998</v>
      </c>
      <c r="N1232">
        <v>0</v>
      </c>
      <c r="O1232">
        <v>-9.2940869999999995E-2</v>
      </c>
      <c r="P1232">
        <v>0.96766560000000001</v>
      </c>
      <c r="Q1232">
        <v>4.9814770000000001E-2</v>
      </c>
      <c r="R1232">
        <v>-0.2472684</v>
      </c>
      <c r="S1232">
        <v>2.7516780000000001</v>
      </c>
      <c r="T1232">
        <v>-0.45991779999999999</v>
      </c>
      <c r="U1232">
        <v>-1.463654</v>
      </c>
      <c r="V1232">
        <v>0.15671860000000001</v>
      </c>
      <c r="W1232">
        <v>6.2764189999999997E-2</v>
      </c>
      <c r="X1232">
        <v>0.98564700000000005</v>
      </c>
      <c r="Y1232">
        <v>0.38241629999999999</v>
      </c>
      <c r="Z1232">
        <v>-1.541154E-2</v>
      </c>
      <c r="AA1232">
        <v>0.92386159999999995</v>
      </c>
      <c r="AB1232">
        <v>29</v>
      </c>
      <c r="AC1232">
        <v>6.4645000000000099</v>
      </c>
      <c r="AD1232">
        <v>-1.107367581668</v>
      </c>
      <c r="AE1232">
        <v>-3.5074000000000098</v>
      </c>
      <c r="AF1232">
        <v>2.8272440342801302</v>
      </c>
      <c r="AG1232">
        <v>-1.107367581668</v>
      </c>
      <c r="AH1232">
        <v>6.6126188067729004</v>
      </c>
      <c r="AI1232">
        <v>98.753615507289396</v>
      </c>
      <c r="AJ1232">
        <v>66.850731887933406</v>
      </c>
      <c r="AK1232">
        <v>7.2764207735663904</v>
      </c>
      <c r="AL1232">
        <v>86.401511681607801</v>
      </c>
      <c r="AM1232">
        <v>80.965556179313594</v>
      </c>
      <c r="AN1232">
        <v>1.00000003587065</v>
      </c>
    </row>
    <row r="1233" spans="1:40" x14ac:dyDescent="0.25">
      <c r="A1233" t="str">
        <f>"20190312151008908"</f>
        <v>20190312151008908</v>
      </c>
      <c r="B1233" t="str">
        <f>"1552374608901707"</f>
        <v>1552374608901707</v>
      </c>
      <c r="C1233" t="s">
        <v>40</v>
      </c>
      <c r="D1233">
        <v>5.8266200000000001</v>
      </c>
      <c r="E1233">
        <v>0.59112980000000004</v>
      </c>
      <c r="F1233" t="s">
        <v>48</v>
      </c>
      <c r="G1233">
        <v>-207.7543</v>
      </c>
      <c r="H1233" s="1">
        <v>-5.5631500000000003E-6</v>
      </c>
      <c r="I1233">
        <v>363.02289999999999</v>
      </c>
      <c r="J1233">
        <v>-214.114</v>
      </c>
      <c r="K1233">
        <v>1.1073249999999999</v>
      </c>
      <c r="L1233">
        <v>366.48930000000001</v>
      </c>
      <c r="M1233">
        <v>0.99538040000000005</v>
      </c>
      <c r="N1233">
        <v>0</v>
      </c>
      <c r="O1233">
        <v>-9.4940570000000002E-2</v>
      </c>
      <c r="P1233">
        <v>0.96707120000000002</v>
      </c>
      <c r="Q1233">
        <v>4.939027E-2</v>
      </c>
      <c r="R1233">
        <v>-0.2496679</v>
      </c>
      <c r="S1233">
        <v>2.7485200000000001</v>
      </c>
      <c r="T1233">
        <v>-0.4676727</v>
      </c>
      <c r="U1233">
        <v>-1.4706729999999999</v>
      </c>
      <c r="V1233">
        <v>0.1571842</v>
      </c>
      <c r="W1233">
        <v>6.2323030000000001E-2</v>
      </c>
      <c r="X1233">
        <v>0.98560080000000005</v>
      </c>
      <c r="Y1233">
        <v>0.38275169999999997</v>
      </c>
      <c r="Z1233">
        <v>-1.539009E-2</v>
      </c>
      <c r="AA1233">
        <v>0.92372299999999996</v>
      </c>
      <c r="AB1233">
        <v>29</v>
      </c>
      <c r="AC1233">
        <v>6.3597000000000001</v>
      </c>
      <c r="AD1233">
        <v>-1.1073305631499999</v>
      </c>
      <c r="AE1233">
        <v>-3.4664000000000201</v>
      </c>
      <c r="AF1233">
        <v>2.7818635381844001</v>
      </c>
      <c r="AG1233">
        <v>-1.1073305631499999</v>
      </c>
      <c r="AH1233">
        <v>6.5079921026211203</v>
      </c>
      <c r="AI1233">
        <v>98.892134718997397</v>
      </c>
      <c r="AJ1233">
        <v>66.855548230868195</v>
      </c>
      <c r="AK1233">
        <v>7.1637215837122499</v>
      </c>
      <c r="AL1233">
        <v>86.426837687359793</v>
      </c>
      <c r="AM1233">
        <v>80.938742424627307</v>
      </c>
      <c r="AN1233">
        <v>0.99999998487932995</v>
      </c>
    </row>
    <row r="1234" spans="1:40" x14ac:dyDescent="0.25">
      <c r="A1234" t="str">
        <f>"20190312151008921"</f>
        <v>20190312151008921</v>
      </c>
      <c r="B1234" t="str">
        <f>"1552374608912443"</f>
        <v>1552374608912443</v>
      </c>
      <c r="C1234" t="s">
        <v>40</v>
      </c>
      <c r="D1234">
        <v>5.8528900000000004</v>
      </c>
      <c r="E1234">
        <v>0.59171870000000004</v>
      </c>
      <c r="F1234" t="s">
        <v>48</v>
      </c>
      <c r="G1234">
        <v>-207.7099</v>
      </c>
      <c r="H1234" s="1">
        <v>-5.5442299999999998E-6</v>
      </c>
      <c r="I1234">
        <v>363.0489</v>
      </c>
      <c r="J1234">
        <v>-213.9573</v>
      </c>
      <c r="K1234">
        <v>1.107283</v>
      </c>
      <c r="L1234">
        <v>366.47219999999999</v>
      </c>
      <c r="M1234">
        <v>0.99517500000000003</v>
      </c>
      <c r="N1234">
        <v>0</v>
      </c>
      <c r="O1234">
        <v>-9.7068879999999996E-2</v>
      </c>
      <c r="P1234">
        <v>0.96644549999999996</v>
      </c>
      <c r="Q1234">
        <v>4.9159010000000003E-2</v>
      </c>
      <c r="R1234">
        <v>-0.25212420000000002</v>
      </c>
      <c r="S1234">
        <v>2.7456049999999999</v>
      </c>
      <c r="T1234">
        <v>-0.47473969999999999</v>
      </c>
      <c r="U1234">
        <v>-1.4749760000000001</v>
      </c>
      <c r="V1234">
        <v>0.15758420000000001</v>
      </c>
      <c r="W1234">
        <v>6.207414E-2</v>
      </c>
      <c r="X1234">
        <v>0.98555269999999995</v>
      </c>
      <c r="Y1234">
        <v>0.38224229999999998</v>
      </c>
      <c r="Z1234">
        <v>-1.525088E-2</v>
      </c>
      <c r="AA1234">
        <v>0.92393630000000004</v>
      </c>
      <c r="AB1234">
        <v>29</v>
      </c>
      <c r="AC1234">
        <v>6.2473999999999901</v>
      </c>
      <c r="AD1234">
        <v>-1.10728854423</v>
      </c>
      <c r="AE1234">
        <v>-3.4232999999999798</v>
      </c>
      <c r="AF1234">
        <v>2.7345737410366402</v>
      </c>
      <c r="AG1234">
        <v>-1.10728854423</v>
      </c>
      <c r="AH1234">
        <v>6.3957023002552003</v>
      </c>
      <c r="AI1234">
        <v>99.045001003313601</v>
      </c>
      <c r="AJ1234">
        <v>66.850179159076305</v>
      </c>
      <c r="AK1234">
        <v>7.0433649187614797</v>
      </c>
      <c r="AL1234">
        <v>86.441125936871003</v>
      </c>
      <c r="AM1234">
        <v>80.915631521539893</v>
      </c>
      <c r="AN1234">
        <v>1.0000000517118299</v>
      </c>
    </row>
    <row r="1235" spans="1:40" x14ac:dyDescent="0.25">
      <c r="A1235" t="str">
        <f>"20190312151008931"</f>
        <v>20190312151008931</v>
      </c>
      <c r="B1235" t="str">
        <f>"1552374608922202"</f>
        <v>1552374608922202</v>
      </c>
      <c r="C1235" t="s">
        <v>40</v>
      </c>
      <c r="D1235">
        <v>5.7234639999999999</v>
      </c>
      <c r="E1235">
        <v>0.59100359999999996</v>
      </c>
      <c r="F1235" t="s">
        <v>48</v>
      </c>
      <c r="G1235">
        <v>-207.5401</v>
      </c>
      <c r="H1235" s="1">
        <v>-5.4962440000000004E-6</v>
      </c>
      <c r="I1235">
        <v>362.99220000000003</v>
      </c>
      <c r="J1235">
        <v>-213.8</v>
      </c>
      <c r="K1235">
        <v>1.1072420000000001</v>
      </c>
      <c r="L1235">
        <v>366.45460000000003</v>
      </c>
      <c r="M1235">
        <v>0.9949595</v>
      </c>
      <c r="N1235">
        <v>0</v>
      </c>
      <c r="O1235">
        <v>-9.9252750000000001E-2</v>
      </c>
      <c r="P1235">
        <v>0.96576890000000004</v>
      </c>
      <c r="Q1235">
        <v>4.9238169999999998E-2</v>
      </c>
      <c r="R1235">
        <v>-0.254689</v>
      </c>
      <c r="S1235">
        <v>2.7405089999999999</v>
      </c>
      <c r="T1235">
        <v>-0.47286919999999999</v>
      </c>
      <c r="U1235">
        <v>-1.486145</v>
      </c>
      <c r="V1235">
        <v>0.15804550000000001</v>
      </c>
      <c r="W1235">
        <v>6.2133620000000001E-2</v>
      </c>
      <c r="X1235">
        <v>0.98547499999999999</v>
      </c>
      <c r="Y1235">
        <v>0.38387719999999997</v>
      </c>
      <c r="Z1235">
        <v>-1.4989560000000001E-2</v>
      </c>
      <c r="AA1235">
        <v>0.92326249999999999</v>
      </c>
      <c r="AB1235">
        <v>29</v>
      </c>
      <c r="AC1235">
        <v>6.2599000000000098</v>
      </c>
      <c r="AD1235">
        <v>-1.107247496244</v>
      </c>
      <c r="AE1235">
        <v>-3.4624000000000001</v>
      </c>
      <c r="AF1235">
        <v>2.7578538840059701</v>
      </c>
      <c r="AG1235">
        <v>-1.107247496244</v>
      </c>
      <c r="AH1235">
        <v>6.41889330084362</v>
      </c>
      <c r="AI1235">
        <v>99.005850277267399</v>
      </c>
      <c r="AJ1235">
        <v>66.749399572130201</v>
      </c>
      <c r="AK1235">
        <v>7.07346776843442</v>
      </c>
      <c r="AL1235">
        <v>86.437711105833301</v>
      </c>
      <c r="AM1235">
        <v>80.888777709523595</v>
      </c>
      <c r="AN1235">
        <v>0.99999997121477602</v>
      </c>
    </row>
    <row r="1236" spans="1:40" x14ac:dyDescent="0.25">
      <c r="A1236" t="str">
        <f>"20190312151008943"</f>
        <v>20190312151008943</v>
      </c>
      <c r="B1236" t="str">
        <f>"1552374608931963"</f>
        <v>1552374608931963</v>
      </c>
      <c r="C1236" t="s">
        <v>40</v>
      </c>
      <c r="D1236">
        <v>5.7108629999999998</v>
      </c>
      <c r="E1236">
        <v>0.59121969999999902</v>
      </c>
      <c r="F1236" t="s">
        <v>48</v>
      </c>
      <c r="G1236">
        <v>-207.37530000000001</v>
      </c>
      <c r="H1236" s="1">
        <v>-5.4455249999999998E-6</v>
      </c>
      <c r="I1236">
        <v>362.96390000000002</v>
      </c>
      <c r="J1236">
        <v>-213.6609</v>
      </c>
      <c r="K1236">
        <v>1.1072010000000001</v>
      </c>
      <c r="L1236">
        <v>366.43880000000001</v>
      </c>
      <c r="M1236">
        <v>0.99476209999999998</v>
      </c>
      <c r="N1236">
        <v>0</v>
      </c>
      <c r="O1236">
        <v>-0.1012117</v>
      </c>
      <c r="P1236">
        <v>0.96518000000000004</v>
      </c>
      <c r="Q1236">
        <v>4.9172069999999998E-2</v>
      </c>
      <c r="R1236">
        <v>-0.2569244</v>
      </c>
      <c r="S1236">
        <v>2.7380979999999999</v>
      </c>
      <c r="T1236">
        <v>-0.47188950000000002</v>
      </c>
      <c r="U1236">
        <v>-1.487671</v>
      </c>
      <c r="V1236">
        <v>0.15839230000000001</v>
      </c>
      <c r="W1236">
        <v>6.2050330000000001E-2</v>
      </c>
      <c r="X1236">
        <v>0.98542459999999998</v>
      </c>
      <c r="Y1236">
        <v>0.38284309999999999</v>
      </c>
      <c r="Z1236">
        <v>-1.457698E-2</v>
      </c>
      <c r="AA1236">
        <v>0.92369840000000003</v>
      </c>
      <c r="AB1236">
        <v>29</v>
      </c>
      <c r="AC1236">
        <v>6.2855999999999801</v>
      </c>
      <c r="AD1236">
        <v>-1.1072064455249999</v>
      </c>
      <c r="AE1236">
        <v>-3.4748999999999901</v>
      </c>
      <c r="AF1236">
        <v>2.7553296290778002</v>
      </c>
      <c r="AG1236">
        <v>-1.1072064455249999</v>
      </c>
      <c r="AH1236">
        <v>6.4517250875862997</v>
      </c>
      <c r="AI1236">
        <v>98.968667437272202</v>
      </c>
      <c r="AJ1236">
        <v>66.874190333691999</v>
      </c>
      <c r="AK1236">
        <v>7.1022886511093404</v>
      </c>
      <c r="AL1236">
        <v>86.442492611470996</v>
      </c>
      <c r="AM1236">
        <v>80.868662203807006</v>
      </c>
      <c r="AN1236">
        <v>1.0000000032187699</v>
      </c>
    </row>
    <row r="1237" spans="1:40" x14ac:dyDescent="0.25">
      <c r="A1237" t="str">
        <f>"20190312151008954"</f>
        <v>20190312151008954</v>
      </c>
      <c r="B1237" t="str">
        <f>"1552374608941723"</f>
        <v>1552374608941723</v>
      </c>
      <c r="C1237" t="s">
        <v>40</v>
      </c>
      <c r="D1237">
        <v>5.6441369999999997</v>
      </c>
      <c r="E1237">
        <v>0.59115969999999995</v>
      </c>
      <c r="F1237" t="s">
        <v>48</v>
      </c>
      <c r="G1237">
        <v>-207.17769999999999</v>
      </c>
      <c r="H1237" s="1">
        <v>-5.390874E-6</v>
      </c>
      <c r="I1237">
        <v>362.89019999999999</v>
      </c>
      <c r="J1237">
        <v>-213.5087</v>
      </c>
      <c r="K1237">
        <v>1.107156</v>
      </c>
      <c r="L1237">
        <v>366.4212</v>
      </c>
      <c r="M1237">
        <v>0.9945389</v>
      </c>
      <c r="N1237">
        <v>0</v>
      </c>
      <c r="O1237">
        <v>-0.1033811</v>
      </c>
      <c r="P1237">
        <v>0.96452800000000005</v>
      </c>
      <c r="Q1237">
        <v>4.8932049999999998E-2</v>
      </c>
      <c r="R1237">
        <v>-0.25940639999999998</v>
      </c>
      <c r="S1237">
        <v>2.7336879999999999</v>
      </c>
      <c r="T1237">
        <v>-0.46686240000000001</v>
      </c>
      <c r="U1237">
        <v>-1.4963070000000001</v>
      </c>
      <c r="V1237">
        <v>0.15878220000000001</v>
      </c>
      <c r="W1237">
        <v>6.1791430000000001E-2</v>
      </c>
      <c r="X1237">
        <v>0.98537810000000003</v>
      </c>
      <c r="Y1237">
        <v>0.38378240000000002</v>
      </c>
      <c r="Z1237">
        <v>-1.417038E-2</v>
      </c>
      <c r="AA1237">
        <v>0.92331490000000005</v>
      </c>
      <c r="AB1237">
        <v>29</v>
      </c>
      <c r="AC1237">
        <v>6.3310000000000102</v>
      </c>
      <c r="AD1237">
        <v>-1.1071613908739999</v>
      </c>
      <c r="AE1237">
        <v>-3.5310000000000001</v>
      </c>
      <c r="AF1237">
        <v>2.7923669524724999</v>
      </c>
      <c r="AG1237">
        <v>-1.1071613908739999</v>
      </c>
      <c r="AH1237">
        <v>6.5102830800655402</v>
      </c>
      <c r="AI1237">
        <v>98.883090727126699</v>
      </c>
      <c r="AJ1237">
        <v>66.784714915026996</v>
      </c>
      <c r="AK1237">
        <v>7.1698608999959204</v>
      </c>
      <c r="AL1237">
        <v>86.4573549403176</v>
      </c>
      <c r="AM1237">
        <v>80.846139834646195</v>
      </c>
      <c r="AN1237">
        <v>0.99999998390894695</v>
      </c>
    </row>
    <row r="1238" spans="1:40" x14ac:dyDescent="0.25">
      <c r="A1238" t="str">
        <f>"20190312151008967"</f>
        <v>20190312151008967</v>
      </c>
      <c r="B1238" t="str">
        <f>"1552374608962219"</f>
        <v>1552374608962219</v>
      </c>
      <c r="C1238" t="s">
        <v>40</v>
      </c>
      <c r="D1238">
        <v>5.7461630000000001</v>
      </c>
      <c r="E1238">
        <v>0.59167950000000002</v>
      </c>
      <c r="F1238" t="s">
        <v>48</v>
      </c>
      <c r="G1238">
        <v>-206.97550000000001</v>
      </c>
      <c r="H1238" s="1">
        <v>-5.3335340000000004E-6</v>
      </c>
      <c r="I1238">
        <v>362.82400000000001</v>
      </c>
      <c r="J1238">
        <v>-213.3519</v>
      </c>
      <c r="K1238">
        <v>1.10711</v>
      </c>
      <c r="L1238">
        <v>366.40249999999997</v>
      </c>
      <c r="M1238">
        <v>0.99429869999999998</v>
      </c>
      <c r="N1238">
        <v>0</v>
      </c>
      <c r="O1238">
        <v>-0.10566689999999899</v>
      </c>
      <c r="P1238">
        <v>0.96381550000000005</v>
      </c>
      <c r="Q1238">
        <v>4.8829699999999997E-2</v>
      </c>
      <c r="R1238">
        <v>-0.26206040000000003</v>
      </c>
      <c r="S1238">
        <v>2.7296140000000002</v>
      </c>
      <c r="T1238">
        <v>-0.46257809999999999</v>
      </c>
      <c r="U1238">
        <v>-1.5029300000000001</v>
      </c>
      <c r="V1238">
        <v>0.15923619999999999</v>
      </c>
      <c r="W1238">
        <v>6.1667230000000003E-2</v>
      </c>
      <c r="X1238">
        <v>0.98531259999999998</v>
      </c>
      <c r="Y1238">
        <v>0.38403890000000002</v>
      </c>
      <c r="Z1238">
        <v>-1.3719739999999999E-2</v>
      </c>
      <c r="AA1238">
        <v>0.92321500000000001</v>
      </c>
      <c r="AB1238">
        <v>29</v>
      </c>
      <c r="AC1238">
        <v>6.3763999999999896</v>
      </c>
      <c r="AD1238">
        <v>-1.107115333534</v>
      </c>
      <c r="AE1238">
        <v>-3.57849999999996</v>
      </c>
      <c r="AF1238">
        <v>2.8199687513025999</v>
      </c>
      <c r="AG1238">
        <v>-1.107115333534</v>
      </c>
      <c r="AH1238">
        <v>6.5682800051366197</v>
      </c>
      <c r="AI1238">
        <v>98.804224981617494</v>
      </c>
      <c r="AJ1238">
        <v>66.764633880382206</v>
      </c>
      <c r="AK1238">
        <v>7.2332724506924801</v>
      </c>
      <c r="AL1238">
        <v>86.464484613965993</v>
      </c>
      <c r="AM1238">
        <v>80.819811684243106</v>
      </c>
      <c r="AN1238">
        <v>0.99999996718253503</v>
      </c>
    </row>
    <row r="1239" spans="1:40" x14ac:dyDescent="0.25">
      <c r="A1239" t="str">
        <f>"20190312151008980"</f>
        <v>20190312151008980</v>
      </c>
      <c r="B1239" t="str">
        <f>"1552374608971979"</f>
        <v>1552374608971979</v>
      </c>
      <c r="C1239" t="s">
        <v>40</v>
      </c>
      <c r="D1239">
        <v>5.719379</v>
      </c>
      <c r="E1239">
        <v>0.59210640000000003</v>
      </c>
      <c r="F1239" t="s">
        <v>48</v>
      </c>
      <c r="G1239">
        <v>-206.77090000000001</v>
      </c>
      <c r="H1239" s="1">
        <v>-5.2775300000000003E-6</v>
      </c>
      <c r="I1239">
        <v>362.74400000000003</v>
      </c>
      <c r="J1239">
        <v>-213.18770000000001</v>
      </c>
      <c r="K1239">
        <v>1.107057</v>
      </c>
      <c r="L1239">
        <v>366.38260000000002</v>
      </c>
      <c r="M1239">
        <v>0.99403830000000004</v>
      </c>
      <c r="N1239">
        <v>0</v>
      </c>
      <c r="O1239">
        <v>-0.10808719999999999</v>
      </c>
      <c r="P1239">
        <v>0.96299509999999999</v>
      </c>
      <c r="Q1239">
        <v>4.8729069999999999E-2</v>
      </c>
      <c r="R1239">
        <v>-0.26507649999999999</v>
      </c>
      <c r="S1239">
        <v>2.724091</v>
      </c>
      <c r="T1239">
        <v>-0.45826790000000001</v>
      </c>
      <c r="U1239">
        <v>-1.514343</v>
      </c>
      <c r="V1239">
        <v>0.1599295</v>
      </c>
      <c r="W1239">
        <v>6.1541569999999997E-2</v>
      </c>
      <c r="X1239">
        <v>0.98520819999999998</v>
      </c>
      <c r="Y1239">
        <v>0.38560670000000002</v>
      </c>
      <c r="Z1239">
        <v>-1.335686E-2</v>
      </c>
      <c r="AA1239">
        <v>0.92256649999999996</v>
      </c>
      <c r="AB1239">
        <v>29</v>
      </c>
      <c r="AC1239">
        <v>6.4167999999999896</v>
      </c>
      <c r="AD1239">
        <v>-1.1070622775300001</v>
      </c>
      <c r="AE1239">
        <v>-3.6385999999999901</v>
      </c>
      <c r="AF1239">
        <v>2.85923477527616</v>
      </c>
      <c r="AG1239">
        <v>-1.1070622775300001</v>
      </c>
      <c r="AH1239">
        <v>6.6233472002888201</v>
      </c>
      <c r="AI1239">
        <v>98.724383936887804</v>
      </c>
      <c r="AJ1239">
        <v>66.650610722291404</v>
      </c>
      <c r="AK1239">
        <v>7.2985983943530002</v>
      </c>
      <c r="AL1239">
        <v>86.471698231412503</v>
      </c>
      <c r="AM1239">
        <v>80.7795667119982</v>
      </c>
      <c r="AN1239">
        <v>1.0000000035777701</v>
      </c>
    </row>
    <row r="1240" spans="1:40" x14ac:dyDescent="0.25">
      <c r="A1240" t="str">
        <f>"20190312151008995"</f>
        <v>20190312151008995</v>
      </c>
      <c r="B1240" t="str">
        <f>"1552374608981739"</f>
        <v>1552374608981739</v>
      </c>
      <c r="C1240" t="s">
        <v>40</v>
      </c>
      <c r="D1240">
        <v>5.6833090000000004</v>
      </c>
      <c r="E1240">
        <v>0.59220950000000006</v>
      </c>
      <c r="F1240" t="s">
        <v>48</v>
      </c>
      <c r="G1240">
        <v>-206.5615</v>
      </c>
      <c r="H1240" s="1">
        <v>-5.2202049999999999E-6</v>
      </c>
      <c r="I1240">
        <v>362.66230000000002</v>
      </c>
      <c r="J1240">
        <v>-212.98159999999999</v>
      </c>
      <c r="K1240">
        <v>1.106984</v>
      </c>
      <c r="L1240">
        <v>366.35700000000003</v>
      </c>
      <c r="M1240">
        <v>0.99369490000000005</v>
      </c>
      <c r="N1240">
        <v>0</v>
      </c>
      <c r="O1240">
        <v>-0.1112008</v>
      </c>
      <c r="P1240">
        <v>0.96195269999999999</v>
      </c>
      <c r="Q1240">
        <v>4.8327170000000003E-2</v>
      </c>
      <c r="R1240">
        <v>-0.26890839999999999</v>
      </c>
      <c r="S1240">
        <v>2.7181850000000001</v>
      </c>
      <c r="T1240">
        <v>-0.45413359999999903</v>
      </c>
      <c r="U1240">
        <v>-1.526154</v>
      </c>
      <c r="V1240">
        <v>0.160771</v>
      </c>
      <c r="W1240">
        <v>6.1107519999999999E-2</v>
      </c>
      <c r="X1240">
        <v>0.98509820000000003</v>
      </c>
      <c r="Y1240">
        <v>0.38669520000000002</v>
      </c>
      <c r="Z1240">
        <v>-1.2861890000000001E-2</v>
      </c>
      <c r="AA1240">
        <v>0.92211790000000005</v>
      </c>
      <c r="AB1240">
        <v>29</v>
      </c>
      <c r="AC1240">
        <v>6.4200999999999899</v>
      </c>
      <c r="AD1240">
        <v>-1.106989220205</v>
      </c>
      <c r="AE1240">
        <v>-3.6946999999999499</v>
      </c>
      <c r="AF1240">
        <v>2.89317154142068</v>
      </c>
      <c r="AG1240">
        <v>-1.106989220205</v>
      </c>
      <c r="AH1240">
        <v>6.6428101868792098</v>
      </c>
      <c r="AI1240">
        <v>98.686638894282197</v>
      </c>
      <c r="AJ1240">
        <v>66.465223758542606</v>
      </c>
      <c r="AK1240">
        <v>7.3295834725203104</v>
      </c>
      <c r="AL1240">
        <v>86.496614184277902</v>
      </c>
      <c r="AM1240">
        <v>80.730874402489107</v>
      </c>
      <c r="AN1240">
        <v>0.99999995354239402</v>
      </c>
    </row>
    <row r="1241" spans="1:40" x14ac:dyDescent="0.25">
      <c r="A1241" t="str">
        <f>"20190312151009018"</f>
        <v>20190312151009018</v>
      </c>
      <c r="B1241" t="str">
        <f>"1552374609011995"</f>
        <v>1552374609011995</v>
      </c>
      <c r="C1241" t="s">
        <v>40</v>
      </c>
      <c r="D1241">
        <v>5.6994759999999998</v>
      </c>
      <c r="E1241">
        <v>0.59256209999999998</v>
      </c>
      <c r="F1241" t="s">
        <v>48</v>
      </c>
      <c r="G1241">
        <v>-206.35679999999999</v>
      </c>
      <c r="H1241" s="1">
        <v>-5.1428909999999999E-6</v>
      </c>
      <c r="I1241">
        <v>362.59890000000001</v>
      </c>
      <c r="J1241">
        <v>-212.69499999999999</v>
      </c>
      <c r="K1241">
        <v>1.1068849999999999</v>
      </c>
      <c r="L1241">
        <v>366.32010000000002</v>
      </c>
      <c r="M1241">
        <v>0.99318850000000003</v>
      </c>
      <c r="N1241">
        <v>0</v>
      </c>
      <c r="O1241">
        <v>-0.11563519999999899</v>
      </c>
      <c r="P1241">
        <v>0.96059110000000003</v>
      </c>
      <c r="Q1241">
        <v>4.8439349999999999E-2</v>
      </c>
      <c r="R1241">
        <v>-0.27371240000000002</v>
      </c>
      <c r="S1241">
        <v>2.7114410000000002</v>
      </c>
      <c r="T1241">
        <v>-0.45307619999999998</v>
      </c>
      <c r="U1241">
        <v>-1.5381469999999999</v>
      </c>
      <c r="V1241">
        <v>0.16131280000000001</v>
      </c>
      <c r="W1241">
        <v>6.1182239999999999E-2</v>
      </c>
      <c r="X1241">
        <v>0.98500500000000002</v>
      </c>
      <c r="Y1241">
        <v>0.38671</v>
      </c>
      <c r="Z1241">
        <v>-1.2176970000000001E-2</v>
      </c>
      <c r="AA1241">
        <v>0.92212099999999997</v>
      </c>
      <c r="AB1241">
        <v>29</v>
      </c>
      <c r="AC1241">
        <v>6.3381999999999996</v>
      </c>
      <c r="AD1241">
        <v>-1.1068901428910001</v>
      </c>
      <c r="AE1241">
        <v>-3.7212000000000001</v>
      </c>
      <c r="AF1241">
        <v>2.8975205624391398</v>
      </c>
      <c r="AG1241">
        <v>-1.1068901428910001</v>
      </c>
      <c r="AH1241">
        <v>6.5768522315569999</v>
      </c>
      <c r="AI1241">
        <v>98.755687330778898</v>
      </c>
      <c r="AJ1241">
        <v>66.223465190561498</v>
      </c>
      <c r="AK1241">
        <v>7.27157592781119</v>
      </c>
      <c r="AL1241">
        <v>86.492325068684906</v>
      </c>
      <c r="AM1241">
        <v>80.699317646523795</v>
      </c>
      <c r="AN1241">
        <v>0.99999996798012802</v>
      </c>
    </row>
    <row r="1242" spans="1:40" x14ac:dyDescent="0.25">
      <c r="A1242" t="str">
        <f>"20190312151009031"</f>
        <v>20190312151009031</v>
      </c>
      <c r="B1242" t="str">
        <f>"1552374609021754"</f>
        <v>1552374609021754</v>
      </c>
      <c r="C1242" t="s">
        <v>40</v>
      </c>
      <c r="D1242">
        <v>5.5993409999999999</v>
      </c>
      <c r="E1242">
        <v>0.59243119999999905</v>
      </c>
      <c r="F1242" t="s">
        <v>48</v>
      </c>
      <c r="G1242">
        <v>-206.0231</v>
      </c>
      <c r="H1242" s="1">
        <v>-5.0134089999999998E-6</v>
      </c>
      <c r="I1242">
        <v>362.48180000000002</v>
      </c>
      <c r="J1242">
        <v>-212.5128</v>
      </c>
      <c r="K1242">
        <v>1.106827</v>
      </c>
      <c r="L1242">
        <v>366.29590000000002</v>
      </c>
      <c r="M1242">
        <v>0.99284539999999999</v>
      </c>
      <c r="N1242">
        <v>0</v>
      </c>
      <c r="O1242">
        <v>-0.1185446</v>
      </c>
      <c r="P1242">
        <v>0.95978339999999995</v>
      </c>
      <c r="Q1242">
        <v>4.8148530000000002E-2</v>
      </c>
      <c r="R1242">
        <v>-0.27658280000000002</v>
      </c>
      <c r="S1242">
        <v>2.7026520000000001</v>
      </c>
      <c r="T1242">
        <v>-0.44837739999999998</v>
      </c>
      <c r="U1242">
        <v>-1.55481</v>
      </c>
      <c r="V1242">
        <v>0.1613764</v>
      </c>
      <c r="W1242">
        <v>6.0870500000000001E-2</v>
      </c>
      <c r="X1242">
        <v>0.9850139</v>
      </c>
      <c r="Y1242">
        <v>0.38963189999999998</v>
      </c>
      <c r="Z1242">
        <v>-1.1857619999999999E-2</v>
      </c>
      <c r="AA1242">
        <v>0.92089430000000005</v>
      </c>
      <c r="AB1242">
        <v>29</v>
      </c>
      <c r="AC1242">
        <v>6.4896999999999903</v>
      </c>
      <c r="AD1242">
        <v>-1.1068320134089999</v>
      </c>
      <c r="AE1242">
        <v>-3.8140999999999901</v>
      </c>
      <c r="AF1242">
        <v>2.9539376787591198</v>
      </c>
      <c r="AG1242">
        <v>-1.1068320134089999</v>
      </c>
      <c r="AH1242">
        <v>6.7501771720614796</v>
      </c>
      <c r="AI1242">
        <v>98.542927688988399</v>
      </c>
      <c r="AJ1242">
        <v>66.365384870840103</v>
      </c>
      <c r="AK1242">
        <v>7.4508869787509102</v>
      </c>
      <c r="AL1242">
        <v>86.510219821743405</v>
      </c>
      <c r="AM1242">
        <v>80.695797425157807</v>
      </c>
      <c r="AN1242">
        <v>0.99999997172020905</v>
      </c>
    </row>
    <row r="1243" spans="1:40" x14ac:dyDescent="0.25">
      <c r="A1243" t="str">
        <f>"20190312151009043"</f>
        <v>20190312151009043</v>
      </c>
      <c r="B1243" t="str">
        <f>"1552374609031515"</f>
        <v>1552374609031515</v>
      </c>
      <c r="C1243" t="s">
        <v>40</v>
      </c>
      <c r="D1243">
        <v>5.7561299999999997</v>
      </c>
      <c r="E1243">
        <v>0.59243119999999905</v>
      </c>
      <c r="F1243" t="s">
        <v>48</v>
      </c>
      <c r="G1243">
        <v>-205.82239999999999</v>
      </c>
      <c r="H1243" s="1">
        <v>-4.933166E-6</v>
      </c>
      <c r="I1243">
        <v>362.4221</v>
      </c>
      <c r="J1243">
        <v>-212.37020000000001</v>
      </c>
      <c r="K1243">
        <v>1.1067769999999999</v>
      </c>
      <c r="L1243">
        <v>366.2765</v>
      </c>
      <c r="M1243">
        <v>0.99256789999999995</v>
      </c>
      <c r="N1243">
        <v>0</v>
      </c>
      <c r="O1243">
        <v>-0.12084540000000001</v>
      </c>
      <c r="P1243">
        <v>0.95921250000000002</v>
      </c>
      <c r="Q1243">
        <v>4.8034250000000001E-2</v>
      </c>
      <c r="R1243">
        <v>-0.27857569999999998</v>
      </c>
      <c r="S1243">
        <v>2.6979220000000002</v>
      </c>
      <c r="T1243">
        <v>-0.44633440000000002</v>
      </c>
      <c r="U1243">
        <v>-1.5621339999999999</v>
      </c>
      <c r="V1243">
        <v>0.16114419999999999</v>
      </c>
      <c r="W1243">
        <v>6.0743409999999998E-2</v>
      </c>
      <c r="X1243">
        <v>0.98505980000000004</v>
      </c>
      <c r="Y1243">
        <v>0.39011230000000002</v>
      </c>
      <c r="Z1243">
        <v>-1.150815E-2</v>
      </c>
      <c r="AA1243">
        <v>0.92069540000000005</v>
      </c>
      <c r="AB1243">
        <v>29</v>
      </c>
      <c r="AC1243">
        <v>6.54780000000002</v>
      </c>
      <c r="AD1243">
        <v>-1.106781933166</v>
      </c>
      <c r="AE1243">
        <v>-3.8543999999999898</v>
      </c>
      <c r="AF1243">
        <v>2.9717369680749601</v>
      </c>
      <c r="AG1243">
        <v>-1.106781933166</v>
      </c>
      <c r="AH1243">
        <v>6.8209060383879496</v>
      </c>
      <c r="AI1243">
        <v>98.461147120842696</v>
      </c>
      <c r="AJ1243">
        <v>66.458173490335</v>
      </c>
      <c r="AK1243">
        <v>7.5220307124820502</v>
      </c>
      <c r="AL1243">
        <v>86.517515183591897</v>
      </c>
      <c r="AM1243">
        <v>80.709376738570796</v>
      </c>
      <c r="AN1243">
        <v>1.00000001231405</v>
      </c>
    </row>
    <row r="1244" spans="1:40" x14ac:dyDescent="0.25">
      <c r="A1244" t="str">
        <f>"20190312151009054"</f>
        <v>20190312151009054</v>
      </c>
      <c r="B1244" t="str">
        <f>"1552374609042251"</f>
        <v>1552374609042251</v>
      </c>
      <c r="C1244" t="s">
        <v>40</v>
      </c>
      <c r="D1244">
        <v>5.8901000000000003</v>
      </c>
      <c r="E1244">
        <v>0.59237769999999901</v>
      </c>
      <c r="F1244" t="s">
        <v>48</v>
      </c>
      <c r="G1244">
        <v>-205.68700000000001</v>
      </c>
      <c r="H1244" s="1">
        <v>-4.8779219999999997E-6</v>
      </c>
      <c r="I1244">
        <v>362.38679999999999</v>
      </c>
      <c r="J1244">
        <v>-212.21799999999999</v>
      </c>
      <c r="K1244">
        <v>1.106727</v>
      </c>
      <c r="L1244">
        <v>366.25549999999998</v>
      </c>
      <c r="M1244">
        <v>0.99226219999999998</v>
      </c>
      <c r="N1244">
        <v>0</v>
      </c>
      <c r="O1244">
        <v>-0.123331</v>
      </c>
      <c r="P1244">
        <v>0.95854629999999996</v>
      </c>
      <c r="Q1244">
        <v>4.7549800000000003E-2</v>
      </c>
      <c r="R1244">
        <v>-0.2809413</v>
      </c>
      <c r="S1244">
        <v>2.6944270000000001</v>
      </c>
      <c r="T1244">
        <v>-0.44621529999999998</v>
      </c>
      <c r="U1244">
        <v>-1.5682069999999999</v>
      </c>
      <c r="V1244">
        <v>0.16110720000000001</v>
      </c>
      <c r="W1244">
        <v>6.0244600000000002E-2</v>
      </c>
      <c r="X1244">
        <v>0.98509650000000004</v>
      </c>
      <c r="Y1244">
        <v>0.389905</v>
      </c>
      <c r="Z1244">
        <v>-1.1125360000000001E-2</v>
      </c>
      <c r="AA1244">
        <v>0.92078789999999999</v>
      </c>
      <c r="AB1244">
        <v>29</v>
      </c>
      <c r="AC1244">
        <v>6.5309999999999704</v>
      </c>
      <c r="AD1244">
        <v>-1.1067318779219999</v>
      </c>
      <c r="AE1244">
        <v>-3.8686999999999898</v>
      </c>
      <c r="AF1244">
        <v>2.97045772186123</v>
      </c>
      <c r="AG1244">
        <v>-1.1067318779219999</v>
      </c>
      <c r="AH1244">
        <v>6.8134737899480804</v>
      </c>
      <c r="AI1244">
        <v>98.468986473958097</v>
      </c>
      <c r="AJ1244">
        <v>66.444330591153403</v>
      </c>
      <c r="AK1244">
        <v>7.5147787467951002</v>
      </c>
      <c r="AL1244">
        <v>86.546147383658393</v>
      </c>
      <c r="AM1244">
        <v>80.711812771595504</v>
      </c>
      <c r="AN1244">
        <v>1.0000000280166199</v>
      </c>
    </row>
    <row r="1245" spans="1:40" x14ac:dyDescent="0.25">
      <c r="A1245" t="str">
        <f>"20190312151009066"</f>
        <v>20190312151009066</v>
      </c>
      <c r="B1245" t="str">
        <f>"1552374609061771"</f>
        <v>1552374609061771</v>
      </c>
      <c r="C1245" t="s">
        <v>40</v>
      </c>
      <c r="D1245">
        <v>5.8237769999999998</v>
      </c>
      <c r="E1245">
        <v>0.59248400000000001</v>
      </c>
      <c r="F1245" t="s">
        <v>48</v>
      </c>
      <c r="G1245">
        <v>-205.6379</v>
      </c>
      <c r="H1245" s="1">
        <v>-4.8510559999999997E-6</v>
      </c>
      <c r="I1245">
        <v>362.40469999999999</v>
      </c>
      <c r="J1245">
        <v>-212.0701</v>
      </c>
      <c r="K1245">
        <v>1.106681</v>
      </c>
      <c r="L1245">
        <v>366.23450000000003</v>
      </c>
      <c r="M1245">
        <v>0.99195279999999997</v>
      </c>
      <c r="N1245">
        <v>0</v>
      </c>
      <c r="O1245">
        <v>-0.12579409999999999</v>
      </c>
      <c r="P1245">
        <v>0.95784009999999997</v>
      </c>
      <c r="Q1245">
        <v>4.6983659999999997E-2</v>
      </c>
      <c r="R1245">
        <v>-0.28343420000000003</v>
      </c>
      <c r="S1245">
        <v>2.6906889999999999</v>
      </c>
      <c r="T1245">
        <v>-0.45255089999999998</v>
      </c>
      <c r="U1245">
        <v>-1.5746150000000001</v>
      </c>
      <c r="V1245">
        <v>0.16122239999999999</v>
      </c>
      <c r="W1245">
        <v>5.9662479999999997E-2</v>
      </c>
      <c r="X1245">
        <v>0.98511309999999996</v>
      </c>
      <c r="Y1245">
        <v>0.3897621</v>
      </c>
      <c r="Z1245">
        <v>-1.090523E-2</v>
      </c>
      <c r="AA1245">
        <v>0.92085099999999998</v>
      </c>
      <c r="AB1245">
        <v>29</v>
      </c>
      <c r="AC1245">
        <v>6.4321999999999901</v>
      </c>
      <c r="AD1245">
        <v>-1.106685851056</v>
      </c>
      <c r="AE1245">
        <v>-3.8298000000000298</v>
      </c>
      <c r="AF1245">
        <v>2.9262037525459901</v>
      </c>
      <c r="AG1245">
        <v>-1.106685851056</v>
      </c>
      <c r="AH1245">
        <v>6.7161307177474496</v>
      </c>
      <c r="AI1245">
        <v>98.590402869421993</v>
      </c>
      <c r="AJ1245">
        <v>66.457346305117198</v>
      </c>
      <c r="AK1245">
        <v>7.4090373053597602</v>
      </c>
      <c r="AL1245">
        <v>86.579560571220895</v>
      </c>
      <c r="AM1245">
        <v>80.705440995652793</v>
      </c>
      <c r="AN1245">
        <v>1.00000004678655</v>
      </c>
    </row>
    <row r="1246" spans="1:40" x14ac:dyDescent="0.25">
      <c r="A1246" t="str">
        <f>"20190312151009078"</f>
        <v>20190312151009078</v>
      </c>
      <c r="B1246" t="str">
        <f>"1552374609071531"</f>
        <v>1552374609071531</v>
      </c>
      <c r="C1246" t="s">
        <v>40</v>
      </c>
      <c r="D1246">
        <v>5.8924519999999996</v>
      </c>
      <c r="E1246">
        <v>0.59262320000000002</v>
      </c>
      <c r="F1246" t="s">
        <v>48</v>
      </c>
      <c r="G1246">
        <v>-205.64</v>
      </c>
      <c r="H1246" s="1">
        <v>-4.8428399999999999E-6</v>
      </c>
      <c r="I1246">
        <v>362.44639999999998</v>
      </c>
      <c r="J1246">
        <v>-211.917</v>
      </c>
      <c r="K1246">
        <v>1.1066309999999999</v>
      </c>
      <c r="L1246">
        <v>366.21260000000001</v>
      </c>
      <c r="M1246">
        <v>0.99162380000000006</v>
      </c>
      <c r="N1246">
        <v>0</v>
      </c>
      <c r="O1246">
        <v>-0.1283618</v>
      </c>
      <c r="P1246">
        <v>0.95714690000000002</v>
      </c>
      <c r="Q1246">
        <v>4.6242190000000002E-2</v>
      </c>
      <c r="R1246">
        <v>-0.285887</v>
      </c>
      <c r="S1246">
        <v>2.6863860000000002</v>
      </c>
      <c r="T1246">
        <v>-0.46235510000000002</v>
      </c>
      <c r="U1246">
        <v>-1.5826420000000001</v>
      </c>
      <c r="V1246">
        <v>0.16119129999999901</v>
      </c>
      <c r="W1246">
        <v>5.8906600000000003E-2</v>
      </c>
      <c r="X1246">
        <v>0.98516360000000003</v>
      </c>
      <c r="Y1246">
        <v>0.38997379999999998</v>
      </c>
      <c r="Z1246">
        <v>-1.0766609999999999E-2</v>
      </c>
      <c r="AA1246">
        <v>0.920763</v>
      </c>
      <c r="AB1246">
        <v>29</v>
      </c>
      <c r="AC1246">
        <v>6.2770000000000099</v>
      </c>
      <c r="AD1246">
        <v>-1.1066358428399901</v>
      </c>
      <c r="AE1246">
        <v>-3.76620000000002</v>
      </c>
      <c r="AF1246">
        <v>2.8637781130578799</v>
      </c>
      <c r="AG1246">
        <v>-1.1066358428399901</v>
      </c>
      <c r="AH1246">
        <v>6.5586551882686503</v>
      </c>
      <c r="AI1246">
        <v>98.790092171404297</v>
      </c>
      <c r="AJ1246">
        <v>66.411942776190699</v>
      </c>
      <c r="AK1246">
        <v>7.2416728625429396</v>
      </c>
      <c r="AL1246">
        <v>86.622945355819596</v>
      </c>
      <c r="AM1246">
        <v>80.707670691179402</v>
      </c>
      <c r="AN1246">
        <v>0.99999997074210401</v>
      </c>
    </row>
    <row r="1247" spans="1:40" x14ac:dyDescent="0.25">
      <c r="A1247" t="str">
        <f>"20190312151009094"</f>
        <v>20190312151009094</v>
      </c>
      <c r="B1247" t="str">
        <f>"1552374609092027"</f>
        <v>1552374609092027</v>
      </c>
      <c r="C1247" t="s">
        <v>40</v>
      </c>
      <c r="D1247">
        <v>5.7612839999999998</v>
      </c>
      <c r="E1247">
        <v>0.59262530000000002</v>
      </c>
      <c r="F1247" t="s">
        <v>48</v>
      </c>
      <c r="G1247">
        <v>-205.6206</v>
      </c>
      <c r="H1247" s="1">
        <v>-4.8265399999999997E-6</v>
      </c>
      <c r="I1247">
        <v>362.47890000000001</v>
      </c>
      <c r="J1247">
        <v>-211.69669999999999</v>
      </c>
      <c r="K1247">
        <v>1.106555</v>
      </c>
      <c r="L1247">
        <v>366.18009999999998</v>
      </c>
      <c r="M1247">
        <v>0.99112639999999996</v>
      </c>
      <c r="N1247">
        <v>0</v>
      </c>
      <c r="O1247">
        <v>-0.13214709999999999</v>
      </c>
      <c r="P1247">
        <v>0.95576110000000003</v>
      </c>
      <c r="Q1247">
        <v>4.4057789999999999E-2</v>
      </c>
      <c r="R1247">
        <v>-0.29082649999999999</v>
      </c>
      <c r="S1247">
        <v>2.6820529999999998</v>
      </c>
      <c r="T1247">
        <v>-0.47138400000000003</v>
      </c>
      <c r="U1247">
        <v>-1.5904240000000001</v>
      </c>
      <c r="V1247">
        <v>0.16249430000000001</v>
      </c>
      <c r="W1247">
        <v>5.6685390000000002E-2</v>
      </c>
      <c r="X1247">
        <v>0.98507990000000001</v>
      </c>
      <c r="Y1247">
        <v>0.3890325</v>
      </c>
      <c r="Z1247">
        <v>-1.030993E-2</v>
      </c>
      <c r="AA1247">
        <v>0.92116640000000005</v>
      </c>
      <c r="AB1247">
        <v>29</v>
      </c>
      <c r="AC1247">
        <v>6.0760999999999896</v>
      </c>
      <c r="AD1247">
        <v>-1.1065598265399901</v>
      </c>
      <c r="AE1247">
        <v>-3.7011999999999698</v>
      </c>
      <c r="AF1247">
        <v>2.79802681867266</v>
      </c>
      <c r="AG1247">
        <v>-1.1065598265399901</v>
      </c>
      <c r="AH1247">
        <v>6.3581482764748296</v>
      </c>
      <c r="AI1247">
        <v>99.050919691778404</v>
      </c>
      <c r="AJ1247">
        <v>66.247171791746993</v>
      </c>
      <c r="AK1247">
        <v>7.0341650700963498</v>
      </c>
      <c r="AL1247">
        <v>86.750424597498395</v>
      </c>
      <c r="AM1247">
        <v>80.633099695053204</v>
      </c>
      <c r="AN1247">
        <v>1.00000002017797</v>
      </c>
    </row>
    <row r="1248" spans="1:40" x14ac:dyDescent="0.25">
      <c r="A1248" t="str">
        <f>"20190312151009108"</f>
        <v>20190312151009108</v>
      </c>
      <c r="B1248" t="str">
        <f>"1552374609101787"</f>
        <v>1552374609101787</v>
      </c>
      <c r="C1248" t="s">
        <v>40</v>
      </c>
      <c r="D1248">
        <v>5.8466279999999999</v>
      </c>
      <c r="E1248">
        <v>0.59260649999999904</v>
      </c>
      <c r="F1248" t="s">
        <v>48</v>
      </c>
      <c r="G1248">
        <v>-205.57669999999999</v>
      </c>
      <c r="H1248" s="1">
        <v>-4.7994040000000003E-6</v>
      </c>
      <c r="I1248">
        <v>362.50909999999999</v>
      </c>
      <c r="J1248">
        <v>-211.53579999999999</v>
      </c>
      <c r="K1248">
        <v>1.106503</v>
      </c>
      <c r="L1248">
        <v>366.15559999999999</v>
      </c>
      <c r="M1248">
        <v>0.99074669999999998</v>
      </c>
      <c r="N1248">
        <v>0</v>
      </c>
      <c r="O1248">
        <v>-0.13496349999999999</v>
      </c>
      <c r="P1248">
        <v>0.95472469999999998</v>
      </c>
      <c r="Q1248">
        <v>4.3065180000000002E-2</v>
      </c>
      <c r="R1248">
        <v>-0.29435689999999998</v>
      </c>
      <c r="S1248">
        <v>2.6732330000000002</v>
      </c>
      <c r="T1248">
        <v>-0.48334260000000001</v>
      </c>
      <c r="U1248">
        <v>-1.6034550000000001</v>
      </c>
      <c r="V1248">
        <v>0.1633279</v>
      </c>
      <c r="W1248">
        <v>5.566753E-2</v>
      </c>
      <c r="X1248">
        <v>0.98500010000000005</v>
      </c>
      <c r="Y1248">
        <v>0.3909164</v>
      </c>
      <c r="Z1248">
        <v>-1.0288220000000001E-2</v>
      </c>
      <c r="AA1248">
        <v>0.92036870000000004</v>
      </c>
      <c r="AB1248">
        <v>29</v>
      </c>
      <c r="AC1248">
        <v>5.9591000000000003</v>
      </c>
      <c r="AD1248">
        <v>-1.106507799404</v>
      </c>
      <c r="AE1248">
        <v>-3.6465000000000001</v>
      </c>
      <c r="AF1248">
        <v>2.7400509125117498</v>
      </c>
      <c r="AG1248">
        <v>-1.106507799404</v>
      </c>
      <c r="AH1248">
        <v>6.24022349949849</v>
      </c>
      <c r="AI1248">
        <v>99.221876380139605</v>
      </c>
      <c r="AJ1248">
        <v>66.293962448062899</v>
      </c>
      <c r="AK1248">
        <v>6.9045367575957997</v>
      </c>
      <c r="AL1248">
        <v>86.8088359743453</v>
      </c>
      <c r="AM1248">
        <v>80.585156271617706</v>
      </c>
      <c r="AN1248">
        <v>1.0000000369073501</v>
      </c>
    </row>
    <row r="1249" spans="1:40" x14ac:dyDescent="0.25">
      <c r="A1249" t="str">
        <f>"20190312151009119"</f>
        <v>20190312151009119</v>
      </c>
      <c r="B1249" t="str">
        <f>"1552374609111548"</f>
        <v>1552374609111548</v>
      </c>
      <c r="C1249" t="s">
        <v>40</v>
      </c>
      <c r="D1249">
        <v>5.8416009999999998</v>
      </c>
      <c r="E1249">
        <v>0.59244629999999998</v>
      </c>
      <c r="F1249" t="s">
        <v>48</v>
      </c>
      <c r="G1249">
        <v>-205.49780000000001</v>
      </c>
      <c r="H1249" s="1">
        <v>-4.7638559999999999E-6</v>
      </c>
      <c r="I1249">
        <v>362.50369999999998</v>
      </c>
      <c r="J1249">
        <v>-211.3922</v>
      </c>
      <c r="K1249">
        <v>1.106457</v>
      </c>
      <c r="L1249">
        <v>366.1336</v>
      </c>
      <c r="M1249">
        <v>0.99039920000000004</v>
      </c>
      <c r="N1249">
        <v>0</v>
      </c>
      <c r="O1249">
        <v>-0.13749069999999999</v>
      </c>
      <c r="P1249">
        <v>0.95363339999999996</v>
      </c>
      <c r="Q1249">
        <v>4.2439919999999999E-2</v>
      </c>
      <c r="R1249">
        <v>-0.29796409999999901</v>
      </c>
      <c r="S1249">
        <v>2.6669459999999998</v>
      </c>
      <c r="T1249">
        <v>-0.48874139999999999</v>
      </c>
      <c r="U1249">
        <v>-1.6130370000000001</v>
      </c>
      <c r="V1249">
        <v>0.16453570000000001</v>
      </c>
      <c r="W1249">
        <v>5.5013350000000003E-2</v>
      </c>
      <c r="X1249">
        <v>0.98483580000000004</v>
      </c>
      <c r="Y1249">
        <v>0.39189990000000002</v>
      </c>
      <c r="Z1249">
        <v>-1.008409E-2</v>
      </c>
      <c r="AA1249">
        <v>0.91995260000000001</v>
      </c>
      <c r="AB1249">
        <v>29</v>
      </c>
      <c r="AC1249">
        <v>5.8943999999999903</v>
      </c>
      <c r="AD1249">
        <v>-1.1064617638559999</v>
      </c>
      <c r="AE1249">
        <v>-3.6299000000000201</v>
      </c>
      <c r="AF1249">
        <v>2.7155351929893299</v>
      </c>
      <c r="AG1249">
        <v>-1.1064617638559999</v>
      </c>
      <c r="AH1249">
        <v>6.1796612406477598</v>
      </c>
      <c r="AI1249">
        <v>99.309165437648005</v>
      </c>
      <c r="AJ1249">
        <v>66.277820969458105</v>
      </c>
      <c r="AK1249">
        <v>6.8400732502220496</v>
      </c>
      <c r="AL1249">
        <v>86.846375166223993</v>
      </c>
      <c r="AM1249">
        <v>80.515240788276401</v>
      </c>
      <c r="AN1249">
        <v>1.0000000091071699</v>
      </c>
    </row>
    <row r="1250" spans="1:40" x14ac:dyDescent="0.25">
      <c r="A1250" t="str">
        <f>"20190312151009130"</f>
        <v>20190312151009130</v>
      </c>
      <c r="B1250" t="str">
        <f>"1552374609122283"</f>
        <v>1552374609122283</v>
      </c>
      <c r="C1250" t="s">
        <v>40</v>
      </c>
      <c r="D1250">
        <v>5.8613999999999997</v>
      </c>
      <c r="E1250">
        <v>0.59244629999999998</v>
      </c>
      <c r="F1250" t="s">
        <v>48</v>
      </c>
      <c r="G1250">
        <v>-205.38390000000001</v>
      </c>
      <c r="H1250" s="1">
        <v>-4.7177319999999998E-6</v>
      </c>
      <c r="I1250">
        <v>362.47250000000003</v>
      </c>
      <c r="J1250">
        <v>-211.2542</v>
      </c>
      <c r="K1250">
        <v>1.1064130000000001</v>
      </c>
      <c r="L1250">
        <v>366.11180000000002</v>
      </c>
      <c r="M1250">
        <v>0.99005209999999999</v>
      </c>
      <c r="N1250">
        <v>0</v>
      </c>
      <c r="O1250">
        <v>-0.13996749999999999</v>
      </c>
      <c r="P1250">
        <v>0.95241739999999997</v>
      </c>
      <c r="Q1250">
        <v>4.2109059999999997E-2</v>
      </c>
      <c r="R1250">
        <v>-0.30187439999999999</v>
      </c>
      <c r="S1250">
        <v>2.661057</v>
      </c>
      <c r="T1250">
        <v>-0.49004540000000002</v>
      </c>
      <c r="U1250">
        <v>-1.6214900000000001</v>
      </c>
      <c r="V1250">
        <v>0.1661144</v>
      </c>
      <c r="W1250">
        <v>5.46496E-2</v>
      </c>
      <c r="X1250">
        <v>0.98459099999999999</v>
      </c>
      <c r="Y1250">
        <v>0.39263749999999997</v>
      </c>
      <c r="Z1250">
        <v>-9.7789839999999992E-3</v>
      </c>
      <c r="AA1250">
        <v>0.91964129999999999</v>
      </c>
      <c r="AB1250">
        <v>29</v>
      </c>
      <c r="AC1250">
        <v>5.8702999999999799</v>
      </c>
      <c r="AD1250">
        <v>-1.10641771773199</v>
      </c>
      <c r="AE1250">
        <v>-3.6392999999999902</v>
      </c>
      <c r="AF1250">
        <v>2.7121355004406298</v>
      </c>
      <c r="AG1250">
        <v>-1.10641771773199</v>
      </c>
      <c r="AH1250">
        <v>6.1637685751479498</v>
      </c>
      <c r="AI1250">
        <v>99.330417276355504</v>
      </c>
      <c r="AJ1250">
        <v>66.249903296027796</v>
      </c>
      <c r="AK1250">
        <v>6.8243594708106601</v>
      </c>
      <c r="AL1250">
        <v>86.867247893455598</v>
      </c>
      <c r="AM1250">
        <v>80.423576177832999</v>
      </c>
      <c r="AN1250">
        <v>1.0000000049742599</v>
      </c>
    </row>
    <row r="1251" spans="1:40" x14ac:dyDescent="0.25">
      <c r="A1251" t="str">
        <f>"20190312151009140"</f>
        <v>20190312151009140</v>
      </c>
      <c r="B1251" t="str">
        <f>"1552374609132043"</f>
        <v>1552374609132043</v>
      </c>
      <c r="C1251" t="s">
        <v>40</v>
      </c>
      <c r="D1251">
        <v>5.6784100000000004</v>
      </c>
      <c r="E1251">
        <v>0.5670444</v>
      </c>
      <c r="F1251" t="s">
        <v>48</v>
      </c>
      <c r="G1251">
        <v>-205.27590000000001</v>
      </c>
      <c r="H1251" s="1">
        <v>-4.6756550000000002E-6</v>
      </c>
      <c r="I1251">
        <v>362.43529999999998</v>
      </c>
      <c r="J1251">
        <v>-211.11930000000001</v>
      </c>
      <c r="K1251">
        <v>1.1063730000000001</v>
      </c>
      <c r="L1251">
        <v>366.09039999999999</v>
      </c>
      <c r="M1251">
        <v>0.9897051</v>
      </c>
      <c r="N1251">
        <v>0</v>
      </c>
      <c r="O1251">
        <v>-0.14239979999999999</v>
      </c>
      <c r="P1251">
        <v>0.9511889</v>
      </c>
      <c r="Q1251">
        <v>4.2105320000000002E-2</v>
      </c>
      <c r="R1251">
        <v>-0.3057241</v>
      </c>
      <c r="S1251">
        <v>2.654236</v>
      </c>
      <c r="T1251">
        <v>-0.49122539999999998</v>
      </c>
      <c r="U1251">
        <v>-1.6322939999999999</v>
      </c>
      <c r="V1251">
        <v>0.16768359999999999</v>
      </c>
      <c r="W1251">
        <v>5.4613420000000003E-2</v>
      </c>
      <c r="X1251">
        <v>0.98432699999999995</v>
      </c>
      <c r="Y1251">
        <v>0.39414290000000002</v>
      </c>
      <c r="Z1251">
        <v>-9.5427050000000003E-3</v>
      </c>
      <c r="AA1251">
        <v>0.91899960000000003</v>
      </c>
      <c r="AB1251">
        <v>29</v>
      </c>
      <c r="AC1251">
        <v>5.8433999999999999</v>
      </c>
      <c r="AD1251">
        <v>-1.1063776756549999</v>
      </c>
      <c r="AE1251">
        <v>-3.6551</v>
      </c>
      <c r="AF1251">
        <v>2.7156837234832301</v>
      </c>
      <c r="AG1251">
        <v>-1.1063776756549999</v>
      </c>
      <c r="AH1251">
        <v>6.14601266174376</v>
      </c>
      <c r="AI1251">
        <v>99.350294256822494</v>
      </c>
      <c r="AJ1251">
        <v>66.161230879013701</v>
      </c>
      <c r="AK1251">
        <v>6.8097343035902798</v>
      </c>
      <c r="AL1251">
        <v>86.869324030905901</v>
      </c>
      <c r="AM1251">
        <v>80.332267826078194</v>
      </c>
      <c r="AN1251">
        <v>1.00000002914102</v>
      </c>
    </row>
    <row r="1252" spans="1:40" x14ac:dyDescent="0.25">
      <c r="A1252" t="str">
        <f>"20190312151009151"</f>
        <v>20190312151009151</v>
      </c>
      <c r="B1252" t="str">
        <f>"1552374609141803"</f>
        <v>1552374609141803</v>
      </c>
      <c r="C1252" t="s">
        <v>40</v>
      </c>
      <c r="D1252">
        <v>5.6737979999999997</v>
      </c>
      <c r="E1252">
        <v>0.56467800000000001</v>
      </c>
      <c r="F1252" t="s">
        <v>48</v>
      </c>
      <c r="G1252">
        <v>-203.11609999999999</v>
      </c>
      <c r="H1252" s="1">
        <v>-3.7367320000000002E-6</v>
      </c>
      <c r="I1252">
        <v>361.81459999999998</v>
      </c>
      <c r="J1252">
        <v>-210.97190000000001</v>
      </c>
      <c r="K1252">
        <v>1.106331</v>
      </c>
      <c r="L1252">
        <v>366.06630000000001</v>
      </c>
      <c r="M1252">
        <v>0.98931340000000001</v>
      </c>
      <c r="N1252">
        <v>0</v>
      </c>
      <c r="O1252">
        <v>-0.145095899999999</v>
      </c>
      <c r="P1252">
        <v>0.94982639999999996</v>
      </c>
      <c r="Q1252">
        <v>4.205192E-2</v>
      </c>
      <c r="R1252">
        <v>-0.30993789999999999</v>
      </c>
      <c r="S1252">
        <v>2.7058719999999998</v>
      </c>
      <c r="T1252">
        <v>-0.37406420000000001</v>
      </c>
      <c r="U1252">
        <v>-1.445648</v>
      </c>
      <c r="V1252">
        <v>0.16937099999999999</v>
      </c>
      <c r="W1252">
        <v>5.4525320000000002E-2</v>
      </c>
      <c r="X1252">
        <v>0.98404290000000005</v>
      </c>
      <c r="Y1252">
        <v>0.33685019999999999</v>
      </c>
      <c r="Z1252">
        <v>-3.2255410000000002E-3</v>
      </c>
      <c r="AA1252">
        <v>0.94155270000000002</v>
      </c>
      <c r="AB1252">
        <v>29</v>
      </c>
      <c r="AC1252">
        <v>7.8558000000000101</v>
      </c>
      <c r="AD1252">
        <v>-1.106334736732</v>
      </c>
      <c r="AE1252">
        <v>-4.25170000000002</v>
      </c>
      <c r="AF1252">
        <v>3.02040298526089</v>
      </c>
      <c r="AG1252">
        <v>-1.106334736732</v>
      </c>
      <c r="AH1252">
        <v>8.2628660757360901</v>
      </c>
      <c r="AI1252">
        <v>97.167556302734894</v>
      </c>
      <c r="AJ1252">
        <v>69.920651314007998</v>
      </c>
      <c r="AK1252">
        <v>8.8668915933726797</v>
      </c>
      <c r="AL1252">
        <v>86.874379191443197</v>
      </c>
      <c r="AM1252">
        <v>80.234080267961602</v>
      </c>
      <c r="AN1252">
        <v>0.99999998760125597</v>
      </c>
    </row>
    <row r="1253" spans="1:40" x14ac:dyDescent="0.25">
      <c r="A1253" t="str">
        <f>"20190312151009164"</f>
        <v>20190312151009164</v>
      </c>
      <c r="B1253" t="str">
        <f>"1552374609151564"</f>
        <v>1552374609151564</v>
      </c>
      <c r="C1253" t="s">
        <v>40</v>
      </c>
      <c r="D1253">
        <v>5.6749419999999997</v>
      </c>
      <c r="E1253">
        <v>0.56392279999999995</v>
      </c>
      <c r="F1253" t="s">
        <v>48</v>
      </c>
      <c r="G1253">
        <v>-202.8501</v>
      </c>
      <c r="H1253" s="1">
        <v>-3.6181850000000002E-6</v>
      </c>
      <c r="I1253">
        <v>361.7457</v>
      </c>
      <c r="J1253">
        <v>-210.82570000000001</v>
      </c>
      <c r="K1253">
        <v>1.1062920000000001</v>
      </c>
      <c r="L1253">
        <v>366.0421</v>
      </c>
      <c r="M1253">
        <v>0.98891399999999996</v>
      </c>
      <c r="N1253">
        <v>0</v>
      </c>
      <c r="O1253">
        <v>-0.14779400000000001</v>
      </c>
      <c r="P1253">
        <v>0.94852959999999997</v>
      </c>
      <c r="Q1253">
        <v>4.2168049999999999E-2</v>
      </c>
      <c r="R1253">
        <v>-0.31386989999999998</v>
      </c>
      <c r="S1253">
        <v>2.7051699999999999</v>
      </c>
      <c r="T1253">
        <v>-0.36849549999999998</v>
      </c>
      <c r="U1253">
        <v>-1.439117</v>
      </c>
      <c r="V1253">
        <v>0.17077120000000001</v>
      </c>
      <c r="W1253">
        <v>5.4610079999999998E-2</v>
      </c>
      <c r="X1253">
        <v>0.98379620000000001</v>
      </c>
      <c r="Y1253">
        <v>0.33269880000000002</v>
      </c>
      <c r="Z1253">
        <v>-2.58106E-3</v>
      </c>
      <c r="AA1253">
        <v>0.94302960000000002</v>
      </c>
      <c r="AB1253">
        <v>29</v>
      </c>
      <c r="AC1253">
        <v>7.9756000000000098</v>
      </c>
      <c r="AD1253">
        <v>-1.1062956181849899</v>
      </c>
      <c r="AE1253">
        <v>-4.2964000000000002</v>
      </c>
      <c r="AF1253">
        <v>3.0252257266637499</v>
      </c>
      <c r="AG1253">
        <v>-1.1062956181849899</v>
      </c>
      <c r="AH1253">
        <v>8.39780709777291</v>
      </c>
      <c r="AI1253">
        <v>97.065181102973895</v>
      </c>
      <c r="AJ1253">
        <v>70.188953077649401</v>
      </c>
      <c r="AK1253">
        <v>8.9943896259550993</v>
      </c>
      <c r="AL1253">
        <v>86.869515635366596</v>
      </c>
      <c r="AM1253">
        <v>80.152497897770601</v>
      </c>
      <c r="AN1253">
        <v>1.0000000133607401</v>
      </c>
    </row>
    <row r="1254" spans="1:40" x14ac:dyDescent="0.25">
      <c r="A1254" t="str">
        <f>"20190312151009174"</f>
        <v>20190312151009174</v>
      </c>
      <c r="B1254" t="str">
        <f>"1552374609172059"</f>
        <v>1552374609172059</v>
      </c>
      <c r="C1254" t="s">
        <v>40</v>
      </c>
      <c r="D1254">
        <v>5.7077710000000002</v>
      </c>
      <c r="E1254">
        <v>0.56229560000000001</v>
      </c>
      <c r="F1254" t="s">
        <v>48</v>
      </c>
      <c r="G1254">
        <v>-202.53829999999999</v>
      </c>
      <c r="H1254" s="1">
        <v>-3.491387E-6</v>
      </c>
      <c r="I1254">
        <v>361.60989999999998</v>
      </c>
      <c r="J1254">
        <v>-210.67259999999999</v>
      </c>
      <c r="K1254">
        <v>1.106252</v>
      </c>
      <c r="L1254">
        <v>366.01639999999998</v>
      </c>
      <c r="M1254">
        <v>0.98848340000000001</v>
      </c>
      <c r="N1254">
        <v>0</v>
      </c>
      <c r="O1254">
        <v>-0.15064640000000001</v>
      </c>
      <c r="P1254">
        <v>0.94754020000000005</v>
      </c>
      <c r="Q1254">
        <v>4.2680559999999999E-2</v>
      </c>
      <c r="R1254">
        <v>-0.31677559999999999</v>
      </c>
      <c r="S1254">
        <v>2.7008510000000001</v>
      </c>
      <c r="T1254">
        <v>-0.36053960000000002</v>
      </c>
      <c r="U1254">
        <v>-1.444458</v>
      </c>
      <c r="V1254">
        <v>0.17096229999999901</v>
      </c>
      <c r="W1254">
        <v>5.510524E-2</v>
      </c>
      <c r="X1254">
        <v>0.98373540000000004</v>
      </c>
      <c r="Y1254">
        <v>0.3321327</v>
      </c>
      <c r="Z1254">
        <v>-2.1475909999999999E-3</v>
      </c>
      <c r="AA1254">
        <v>0.94323020000000002</v>
      </c>
      <c r="AB1254">
        <v>29</v>
      </c>
      <c r="AC1254">
        <v>8.1342999999999908</v>
      </c>
      <c r="AD1254">
        <v>-1.106255491387</v>
      </c>
      <c r="AE1254">
        <v>-4.4064999999999896</v>
      </c>
      <c r="AF1254">
        <v>3.0865363008874298</v>
      </c>
      <c r="AG1254">
        <v>-1.106255491387</v>
      </c>
      <c r="AH1254">
        <v>8.5826153071418805</v>
      </c>
      <c r="AI1254">
        <v>96.915626536479806</v>
      </c>
      <c r="AJ1254">
        <v>70.220068288416996</v>
      </c>
      <c r="AK1254">
        <v>9.1875890776256401</v>
      </c>
      <c r="AL1254">
        <v>86.841102281464103</v>
      </c>
      <c r="AM1254">
        <v>80.141096887399797</v>
      </c>
      <c r="AN1254">
        <v>1.0000000163549501</v>
      </c>
    </row>
    <row r="1255" spans="1:40" x14ac:dyDescent="0.25">
      <c r="A1255" t="str">
        <f>"20190312151009187"</f>
        <v>20190312151009187</v>
      </c>
      <c r="B1255" t="str">
        <f>"1552374609181819"</f>
        <v>1552374609181819</v>
      </c>
      <c r="C1255" t="s">
        <v>40</v>
      </c>
      <c r="D1255">
        <v>5.6889120000000002</v>
      </c>
      <c r="E1255">
        <v>0.562087</v>
      </c>
      <c r="F1255" t="s">
        <v>48</v>
      </c>
      <c r="G1255">
        <v>-201.90430000000001</v>
      </c>
      <c r="H1255" s="1">
        <v>-3.2318909999999999E-6</v>
      </c>
      <c r="I1255">
        <v>361.34129999999999</v>
      </c>
      <c r="J1255">
        <v>-210.52510000000001</v>
      </c>
      <c r="K1255">
        <v>1.106212</v>
      </c>
      <c r="L1255">
        <v>365.99099999999999</v>
      </c>
      <c r="M1255">
        <v>0.98805370000000003</v>
      </c>
      <c r="N1255">
        <v>0</v>
      </c>
      <c r="O1255">
        <v>-0.15343909999999999</v>
      </c>
      <c r="P1255">
        <v>0.94625910000000002</v>
      </c>
      <c r="Q1255">
        <v>4.2786829999999998E-2</v>
      </c>
      <c r="R1255">
        <v>-0.3205673</v>
      </c>
      <c r="S1255">
        <v>2.7001499999999998</v>
      </c>
      <c r="T1255">
        <v>-0.34066429999999998</v>
      </c>
      <c r="U1255">
        <v>-1.439667</v>
      </c>
      <c r="V1255">
        <v>0.17212959999999999</v>
      </c>
      <c r="W1255">
        <v>5.5183799999999998E-2</v>
      </c>
      <c r="X1255">
        <v>0.98352740000000005</v>
      </c>
      <c r="Y1255">
        <v>0.32843519999999998</v>
      </c>
      <c r="Z1255">
        <v>-1.492588E-3</v>
      </c>
      <c r="AA1255">
        <v>0.94452539999999996</v>
      </c>
      <c r="AB1255">
        <v>29</v>
      </c>
      <c r="AC1255">
        <v>8.6207999999999991</v>
      </c>
      <c r="AD1255">
        <v>-1.1062152318909999</v>
      </c>
      <c r="AE1255">
        <v>-4.6496999999999904</v>
      </c>
      <c r="AF1255">
        <v>3.2305169792690802</v>
      </c>
      <c r="AG1255">
        <v>-1.1062152318909999</v>
      </c>
      <c r="AH1255">
        <v>9.1159355471724695</v>
      </c>
      <c r="AI1255">
        <v>96.525118369426494</v>
      </c>
      <c r="AJ1255">
        <v>70.486625879104295</v>
      </c>
      <c r="AK1255">
        <v>9.7344867863085707</v>
      </c>
      <c r="AL1255">
        <v>86.8365942099243</v>
      </c>
      <c r="AM1255">
        <v>80.073058962828597</v>
      </c>
      <c r="AN1255">
        <v>0.99999999876468004</v>
      </c>
    </row>
    <row r="1256" spans="1:40" x14ac:dyDescent="0.25">
      <c r="A1256" t="str">
        <f>"20190312151009213"</f>
        <v>20190312151009213</v>
      </c>
      <c r="B1256" t="str">
        <f>"1552374609202315"</f>
        <v>1552374609202315</v>
      </c>
      <c r="C1256" t="s">
        <v>40</v>
      </c>
      <c r="D1256">
        <v>5.6697769999999998</v>
      </c>
      <c r="E1256">
        <v>0.5617434</v>
      </c>
      <c r="F1256" t="s">
        <v>48</v>
      </c>
      <c r="G1256">
        <v>-201.93440000000001</v>
      </c>
      <c r="H1256" s="1">
        <v>-3.2403539999999999E-6</v>
      </c>
      <c r="I1256">
        <v>361.37139999999999</v>
      </c>
      <c r="J1256">
        <v>-210.1936</v>
      </c>
      <c r="K1256">
        <v>1.1061270000000001</v>
      </c>
      <c r="L1256">
        <v>365.93239999999997</v>
      </c>
      <c r="M1256">
        <v>0.98704389999999997</v>
      </c>
      <c r="N1256">
        <v>0</v>
      </c>
      <c r="O1256">
        <v>-0.159805</v>
      </c>
      <c r="P1256">
        <v>0.94348810000000005</v>
      </c>
      <c r="Q1256">
        <v>4.2806509999999999E-2</v>
      </c>
      <c r="R1256">
        <v>-0.3286307</v>
      </c>
      <c r="S1256">
        <v>2.6951139999999998</v>
      </c>
      <c r="T1256">
        <v>-0.347047099999999</v>
      </c>
      <c r="U1256">
        <v>-1.4492799999999999</v>
      </c>
      <c r="V1256">
        <v>0.1741963</v>
      </c>
      <c r="W1256">
        <v>5.5146189999999998E-2</v>
      </c>
      <c r="X1256">
        <v>0.98316559999999997</v>
      </c>
      <c r="Y1256">
        <v>0.32571299999999997</v>
      </c>
      <c r="Z1256">
        <v>-6.1592459999999999E-4</v>
      </c>
      <c r="AA1256">
        <v>0.94546850000000004</v>
      </c>
      <c r="AB1256">
        <v>29</v>
      </c>
      <c r="AC1256">
        <v>8.2591999999999892</v>
      </c>
      <c r="AD1256">
        <v>-1.1061302403540001</v>
      </c>
      <c r="AE1256">
        <v>-4.5609999999999697</v>
      </c>
      <c r="AF1256">
        <v>3.1392265847611198</v>
      </c>
      <c r="AG1256">
        <v>-1.1061302403540001</v>
      </c>
      <c r="AH1256">
        <v>8.7615555846712994</v>
      </c>
      <c r="AI1256">
        <v>96.777794237057407</v>
      </c>
      <c r="AJ1256">
        <v>70.2876227905641</v>
      </c>
      <c r="AK1256">
        <v>9.3724662668041407</v>
      </c>
      <c r="AL1256">
        <v>86.838752473941497</v>
      </c>
      <c r="AM1256">
        <v>79.952661692716902</v>
      </c>
      <c r="AN1256">
        <v>1.00000002511428</v>
      </c>
    </row>
    <row r="1257" spans="1:40" x14ac:dyDescent="0.25">
      <c r="A1257" t="str">
        <f>"20190312151009230"</f>
        <v>20190312151009230</v>
      </c>
      <c r="B1257" t="str">
        <f>"1552374609221835"</f>
        <v>1552374609221835</v>
      </c>
      <c r="C1257" t="s">
        <v>40</v>
      </c>
      <c r="D1257">
        <v>5.7481710000000001</v>
      </c>
      <c r="E1257">
        <v>0.56111820000000001</v>
      </c>
      <c r="F1257" t="s">
        <v>48</v>
      </c>
      <c r="G1257">
        <v>-201.63929999999999</v>
      </c>
      <c r="H1257" s="1">
        <v>-3.1191069999999999E-6</v>
      </c>
      <c r="I1257">
        <v>361.2484</v>
      </c>
      <c r="J1257">
        <v>-209.9803</v>
      </c>
      <c r="K1257">
        <v>1.106066</v>
      </c>
      <c r="L1257">
        <v>365.89339999999999</v>
      </c>
      <c r="M1257">
        <v>0.98635799999999996</v>
      </c>
      <c r="N1257">
        <v>0</v>
      </c>
      <c r="O1257">
        <v>-0.16398489999999999</v>
      </c>
      <c r="P1257">
        <v>0.94166419999999995</v>
      </c>
      <c r="Q1257">
        <v>4.2529150000000002E-2</v>
      </c>
      <c r="R1257">
        <v>-0.3338564</v>
      </c>
      <c r="S1257">
        <v>2.6836090000000001</v>
      </c>
      <c r="T1257">
        <v>-0.34700750000000002</v>
      </c>
      <c r="U1257">
        <v>-1.4694210000000001</v>
      </c>
      <c r="V1257">
        <v>0.17548549999999999</v>
      </c>
      <c r="W1257">
        <v>5.4832430000000001E-2</v>
      </c>
      <c r="X1257">
        <v>0.98295379999999999</v>
      </c>
      <c r="Y1257">
        <v>0.32887719999999998</v>
      </c>
      <c r="Z1257">
        <v>-3.2234940000000001E-4</v>
      </c>
      <c r="AA1257">
        <v>0.94437269999999895</v>
      </c>
      <c r="AB1257">
        <v>29</v>
      </c>
      <c r="AC1257">
        <v>8.3409999999999993</v>
      </c>
      <c r="AD1257">
        <v>-1.106069119107</v>
      </c>
      <c r="AE1257">
        <v>-4.64499999999998</v>
      </c>
      <c r="AF1257">
        <v>3.1715982350685201</v>
      </c>
      <c r="AG1257">
        <v>-1.106069119107</v>
      </c>
      <c r="AH1257">
        <v>8.87078838994832</v>
      </c>
      <c r="AI1257">
        <v>96.696335331759201</v>
      </c>
      <c r="AJ1257">
        <v>70.326361267357896</v>
      </c>
      <c r="AK1257">
        <v>9.4854262381916001</v>
      </c>
      <c r="AL1257">
        <v>86.856756648291395</v>
      </c>
      <c r="AM1257">
        <v>79.877698845428895</v>
      </c>
      <c r="AN1257">
        <v>0.99999996451219597</v>
      </c>
    </row>
    <row r="1258" spans="1:40" x14ac:dyDescent="0.25">
      <c r="A1258" t="str">
        <f>"20190312151009243"</f>
        <v>20190312151009243</v>
      </c>
      <c r="B1258" t="str">
        <f>"1552374609231595"</f>
        <v>1552374609231595</v>
      </c>
      <c r="C1258" t="s">
        <v>40</v>
      </c>
      <c r="D1258">
        <v>4.375159</v>
      </c>
      <c r="E1258">
        <v>0.56111820000000001</v>
      </c>
      <c r="F1258" t="s">
        <v>48</v>
      </c>
      <c r="G1258">
        <v>-201.74549999999999</v>
      </c>
      <c r="H1258" s="1">
        <v>-3.1521989999999998E-6</v>
      </c>
      <c r="I1258">
        <v>361.34019999999998</v>
      </c>
      <c r="J1258">
        <v>-209.81870000000001</v>
      </c>
      <c r="K1258">
        <v>1.1060209999999999</v>
      </c>
      <c r="L1258">
        <v>365.86320000000001</v>
      </c>
      <c r="M1258">
        <v>0.98581929999999995</v>
      </c>
      <c r="N1258">
        <v>0</v>
      </c>
      <c r="O1258">
        <v>-0.16719239999999999</v>
      </c>
      <c r="P1258">
        <v>0.94034010000000001</v>
      </c>
      <c r="Q1258">
        <v>4.2118839999999998E-2</v>
      </c>
      <c r="R1258">
        <v>-0.3376189</v>
      </c>
      <c r="S1258">
        <v>2.6772770000000001</v>
      </c>
      <c r="T1258">
        <v>-0.35959839999999998</v>
      </c>
      <c r="U1258">
        <v>-1.480316</v>
      </c>
      <c r="V1258">
        <v>0.1762177</v>
      </c>
      <c r="W1258">
        <v>5.4397719999999997E-2</v>
      </c>
      <c r="X1258">
        <v>0.98284700000000003</v>
      </c>
      <c r="Y1258">
        <v>0.32963340000000002</v>
      </c>
      <c r="Z1258" s="1">
        <v>4.902482E-6</v>
      </c>
      <c r="AA1258">
        <v>0.94410899999999998</v>
      </c>
      <c r="AB1258">
        <v>29</v>
      </c>
      <c r="AC1258">
        <v>8.0732000000000106</v>
      </c>
      <c r="AD1258">
        <v>-1.106024152199</v>
      </c>
      <c r="AE1258">
        <v>-4.5230000000000201</v>
      </c>
      <c r="AF1258">
        <v>3.06561235961756</v>
      </c>
      <c r="AG1258">
        <v>-1.106024152199</v>
      </c>
      <c r="AH1258">
        <v>8.5930770164890902</v>
      </c>
      <c r="AI1258">
        <v>96.912098027879907</v>
      </c>
      <c r="AJ1258">
        <v>70.365951140047997</v>
      </c>
      <c r="AK1258">
        <v>9.1903341166684704</v>
      </c>
      <c r="AL1258">
        <v>86.881701061854798</v>
      </c>
      <c r="AM1258">
        <v>79.835261579130403</v>
      </c>
      <c r="AN1258">
        <v>1.0000000075717399</v>
      </c>
    </row>
    <row r="1259" spans="1:40" x14ac:dyDescent="0.25">
      <c r="A1259" t="str">
        <f>"20190312151009254"</f>
        <v>20190312151009254</v>
      </c>
      <c r="B1259" t="str">
        <f>"1552374609242332"</f>
        <v>1552374609242332</v>
      </c>
      <c r="C1259" t="s">
        <v>40</v>
      </c>
      <c r="D1259">
        <v>5.6812110000000002</v>
      </c>
      <c r="E1259">
        <v>0.54985280000000003</v>
      </c>
      <c r="F1259" t="s">
        <v>48</v>
      </c>
      <c r="G1259">
        <v>-201.63059999999999</v>
      </c>
      <c r="H1259" s="1">
        <v>-3.1048779999999999E-6</v>
      </c>
      <c r="I1259">
        <v>361.29289999999997</v>
      </c>
      <c r="J1259">
        <v>-209.67679999999999</v>
      </c>
      <c r="K1259">
        <v>1.1059779999999999</v>
      </c>
      <c r="L1259">
        <v>365.83620000000002</v>
      </c>
      <c r="M1259">
        <v>0.98533210000000004</v>
      </c>
      <c r="N1259">
        <v>0</v>
      </c>
      <c r="O1259">
        <v>-0.170041</v>
      </c>
      <c r="P1259">
        <v>0.9392798</v>
      </c>
      <c r="Q1259">
        <v>4.1750990000000002E-2</v>
      </c>
      <c r="R1259">
        <v>-0.34060319999999999</v>
      </c>
      <c r="S1259">
        <v>2.6712039999999999</v>
      </c>
      <c r="T1259">
        <v>-0.36081669999999999</v>
      </c>
      <c r="U1259">
        <v>-1.4909669999999999</v>
      </c>
      <c r="V1259">
        <v>0.17649690000000001</v>
      </c>
      <c r="W1259">
        <v>5.4012060000000001E-2</v>
      </c>
      <c r="X1259">
        <v>0.98281819999999998</v>
      </c>
      <c r="Y1259">
        <v>0.33069229999999999</v>
      </c>
      <c r="Z1259">
        <v>2.8267320000000001E-4</v>
      </c>
      <c r="AA1259">
        <v>0.94373859999999998</v>
      </c>
      <c r="AB1259">
        <v>29</v>
      </c>
      <c r="AC1259">
        <v>8.04619999999999</v>
      </c>
      <c r="AD1259">
        <v>-1.1059811048779999</v>
      </c>
      <c r="AE1259">
        <v>-4.5433000000000403</v>
      </c>
      <c r="AF1259">
        <v>3.0648892094389</v>
      </c>
      <c r="AG1259">
        <v>-1.1059811048779999</v>
      </c>
      <c r="AH1259">
        <v>8.5787271172455508</v>
      </c>
      <c r="AI1259">
        <v>96.922168669178404</v>
      </c>
      <c r="AJ1259">
        <v>70.339908768162999</v>
      </c>
      <c r="AK1259">
        <v>9.1766714566146703</v>
      </c>
      <c r="AL1259">
        <v>86.903830374792506</v>
      </c>
      <c r="AM1259">
        <v>79.819201024892294</v>
      </c>
      <c r="AN1259">
        <v>1.00000003629314</v>
      </c>
    </row>
    <row r="1260" spans="1:40" x14ac:dyDescent="0.25">
      <c r="A1260" t="str">
        <f>"20190312151009264"</f>
        <v>20190312151009264</v>
      </c>
      <c r="B1260" t="str">
        <f>"1552374609261994"</f>
        <v>1552374609261994</v>
      </c>
      <c r="C1260" t="s">
        <v>40</v>
      </c>
      <c r="D1260">
        <v>5.7753009999999998</v>
      </c>
      <c r="E1260">
        <v>0.54877880000000001</v>
      </c>
      <c r="F1260" t="s">
        <v>48</v>
      </c>
      <c r="G1260">
        <v>-198.03819999999999</v>
      </c>
      <c r="H1260" s="1">
        <v>-9.6491760000000001E-6</v>
      </c>
      <c r="I1260">
        <v>359.74149999999997</v>
      </c>
      <c r="J1260">
        <v>-209.53909999999999</v>
      </c>
      <c r="K1260">
        <v>1.1059380000000001</v>
      </c>
      <c r="L1260">
        <v>365.80959999999999</v>
      </c>
      <c r="M1260">
        <v>0.98484400000000005</v>
      </c>
      <c r="N1260">
        <v>0</v>
      </c>
      <c r="O1260">
        <v>-0.17284459999999999</v>
      </c>
      <c r="P1260">
        <v>0.93816980000000005</v>
      </c>
      <c r="Q1260">
        <v>4.1054840000000002E-2</v>
      </c>
      <c r="R1260">
        <v>-0.3437325</v>
      </c>
      <c r="S1260">
        <v>2.6937869999999999</v>
      </c>
      <c r="T1260">
        <v>-0.2559824</v>
      </c>
      <c r="U1260">
        <v>-1.4106449999999999</v>
      </c>
      <c r="V1260">
        <v>0.17696909999999999</v>
      </c>
      <c r="W1260">
        <v>5.3295450000000001E-2</v>
      </c>
      <c r="X1260">
        <v>0.98277239999999999</v>
      </c>
      <c r="Y1260">
        <v>0.30333139999999997</v>
      </c>
      <c r="Z1260">
        <v>1.670307E-3</v>
      </c>
      <c r="AA1260">
        <v>0.9528837</v>
      </c>
      <c r="AB1260">
        <v>29</v>
      </c>
      <c r="AC1260">
        <v>11.5009</v>
      </c>
      <c r="AD1260">
        <v>-1.1059476491760001</v>
      </c>
      <c r="AE1260">
        <v>-6.06810000000001</v>
      </c>
      <c r="AF1260">
        <v>3.96003170587176</v>
      </c>
      <c r="AG1260">
        <v>-1.1059476491760001</v>
      </c>
      <c r="AH1260">
        <v>12.287828746311799</v>
      </c>
      <c r="AI1260">
        <v>94.896278663669406</v>
      </c>
      <c r="AJ1260">
        <v>72.137286018923902</v>
      </c>
      <c r="AK1260">
        <v>12.957457567475</v>
      </c>
      <c r="AL1260">
        <v>86.9449483060543</v>
      </c>
      <c r="AM1260">
        <v>79.792069551989997</v>
      </c>
      <c r="AN1260">
        <v>1.0000000287736299</v>
      </c>
    </row>
    <row r="1261" spans="1:40" x14ac:dyDescent="0.25">
      <c r="A1261" t="str">
        <f>"20190312151009275"</f>
        <v>20190312151009275</v>
      </c>
      <c r="B1261" t="str">
        <f>"1552374609271753"</f>
        <v>1552374609271753</v>
      </c>
      <c r="C1261" t="s">
        <v>40</v>
      </c>
      <c r="D1261">
        <v>5.7230559999999997</v>
      </c>
      <c r="E1261">
        <v>0.5573323</v>
      </c>
      <c r="F1261" t="s">
        <v>48</v>
      </c>
      <c r="G1261">
        <v>-198.35679999999999</v>
      </c>
      <c r="H1261" s="1">
        <v>-9.7291680000000008E-6</v>
      </c>
      <c r="I1261">
        <v>359.94529999999997</v>
      </c>
      <c r="J1261">
        <v>-209.40020000000001</v>
      </c>
      <c r="K1261">
        <v>1.105893</v>
      </c>
      <c r="L1261">
        <v>365.7824</v>
      </c>
      <c r="M1261">
        <v>0.98434010000000005</v>
      </c>
      <c r="N1261">
        <v>0</v>
      </c>
      <c r="O1261">
        <v>-0.17569170000000001</v>
      </c>
      <c r="P1261">
        <v>0.93710090000000001</v>
      </c>
      <c r="Q1261">
        <v>4.0573690000000003E-2</v>
      </c>
      <c r="R1261">
        <v>-0.34669280000000002</v>
      </c>
      <c r="S1261">
        <v>2.6920929999999998</v>
      </c>
      <c r="T1261">
        <v>-0.2662506</v>
      </c>
      <c r="U1261">
        <v>-1.4118040000000001</v>
      </c>
      <c r="V1261">
        <v>0.177227</v>
      </c>
      <c r="W1261">
        <v>5.2795950000000001E-2</v>
      </c>
      <c r="X1261">
        <v>0.98275290000000004</v>
      </c>
      <c r="Y1261">
        <v>0.30112509999999998</v>
      </c>
      <c r="Z1261">
        <v>2.0953539999999998E-3</v>
      </c>
      <c r="AA1261">
        <v>0.95358229999999999</v>
      </c>
      <c r="AB1261">
        <v>29</v>
      </c>
      <c r="AC1261">
        <v>11.0434</v>
      </c>
      <c r="AD1261">
        <v>-1.1059027291679999</v>
      </c>
      <c r="AE1261">
        <v>-5.8371000000000199</v>
      </c>
      <c r="AF1261">
        <v>3.7762518344806102</v>
      </c>
      <c r="AG1261">
        <v>-1.1059027291679999</v>
      </c>
      <c r="AH1261">
        <v>11.8046923916688</v>
      </c>
      <c r="AI1261">
        <v>95.098941113282706</v>
      </c>
      <c r="AJ1261">
        <v>72.260830856430303</v>
      </c>
      <c r="AK1261">
        <v>12.443225515344601</v>
      </c>
      <c r="AL1261">
        <v>86.973607938199606</v>
      </c>
      <c r="AM1261">
        <v>79.777308277631505</v>
      </c>
      <c r="AN1261">
        <v>1.0000000421619</v>
      </c>
    </row>
    <row r="1262" spans="1:40" x14ac:dyDescent="0.25">
      <c r="A1262" t="str">
        <f>"20190312151009288"</f>
        <v>20190312151009288</v>
      </c>
      <c r="B1262" t="str">
        <f>"1552374609281514"</f>
        <v>1552374609281514</v>
      </c>
      <c r="C1262" t="s">
        <v>40</v>
      </c>
      <c r="D1262">
        <v>5.7336869999999998</v>
      </c>
      <c r="E1262">
        <v>0.55673950000000005</v>
      </c>
      <c r="F1262" t="s">
        <v>48</v>
      </c>
      <c r="G1262">
        <v>-202.0667</v>
      </c>
      <c r="H1262" s="1">
        <v>-3.237088E-6</v>
      </c>
      <c r="I1262">
        <v>361.68639999999999</v>
      </c>
      <c r="J1262">
        <v>-209.25360000000001</v>
      </c>
      <c r="K1262">
        <v>1.1058399999999999</v>
      </c>
      <c r="L1262">
        <v>365.75290000000001</v>
      </c>
      <c r="M1262">
        <v>0.98378770000000004</v>
      </c>
      <c r="N1262">
        <v>0</v>
      </c>
      <c r="O1262">
        <v>-0.1787571</v>
      </c>
      <c r="P1262">
        <v>0.9358744</v>
      </c>
      <c r="Q1262">
        <v>3.9997669999999999E-2</v>
      </c>
      <c r="R1262">
        <v>-0.35005599999999998</v>
      </c>
      <c r="S1262">
        <v>2.667557</v>
      </c>
      <c r="T1262">
        <v>-0.40226970000000001</v>
      </c>
      <c r="U1262">
        <v>-1.4898990000000001</v>
      </c>
      <c r="V1262">
        <v>0.177691299999999</v>
      </c>
      <c r="W1262">
        <v>5.2196439999999997E-2</v>
      </c>
      <c r="X1262">
        <v>0.98270109999999999</v>
      </c>
      <c r="Y1262">
        <v>0.32246360000000002</v>
      </c>
      <c r="Z1262">
        <v>2.0698499999999998E-3</v>
      </c>
      <c r="AA1262">
        <v>0.94657959999999997</v>
      </c>
      <c r="AB1262">
        <v>29</v>
      </c>
      <c r="AC1262">
        <v>7.1868999999999996</v>
      </c>
      <c r="AD1262">
        <v>-1.105843237088</v>
      </c>
      <c r="AE1262">
        <v>-4.0665000000000102</v>
      </c>
      <c r="AF1262">
        <v>2.6682919112776098</v>
      </c>
      <c r="AG1262">
        <v>-1.105843237088</v>
      </c>
      <c r="AH1262">
        <v>7.6607211860054401</v>
      </c>
      <c r="AI1262">
        <v>97.762708301425903</v>
      </c>
      <c r="AJ1262">
        <v>70.796354496229497</v>
      </c>
      <c r="AK1262">
        <v>8.1871435848234295</v>
      </c>
      <c r="AL1262">
        <v>87.008004809992997</v>
      </c>
      <c r="AM1262">
        <v>79.750564964933702</v>
      </c>
      <c r="AN1262">
        <v>1.00000005919278</v>
      </c>
    </row>
    <row r="1263" spans="1:40" x14ac:dyDescent="0.25">
      <c r="A1263" t="str">
        <f>"20190312151009301"</f>
        <v>20190312151009301</v>
      </c>
      <c r="B1263" t="str">
        <f>"1552374609292251"</f>
        <v>1552374609292251</v>
      </c>
      <c r="C1263" t="s">
        <v>40</v>
      </c>
      <c r="D1263">
        <v>5.7450169999999998</v>
      </c>
      <c r="E1263">
        <v>0.55649059999999995</v>
      </c>
      <c r="F1263" t="s">
        <v>48</v>
      </c>
      <c r="G1263">
        <v>-202.04060000000001</v>
      </c>
      <c r="H1263" s="1">
        <v>-3.2200429999999998E-6</v>
      </c>
      <c r="I1263">
        <v>361.70400000000001</v>
      </c>
      <c r="J1263">
        <v>-209.09569999999999</v>
      </c>
      <c r="K1263">
        <v>1.1057790000000001</v>
      </c>
      <c r="L1263">
        <v>365.72089999999997</v>
      </c>
      <c r="M1263">
        <v>0.98317719999999997</v>
      </c>
      <c r="N1263">
        <v>0</v>
      </c>
      <c r="O1263">
        <v>-0.18208579999999999</v>
      </c>
      <c r="P1263">
        <v>0.93461939999999999</v>
      </c>
      <c r="Q1263">
        <v>3.9703830000000002E-2</v>
      </c>
      <c r="R1263">
        <v>-0.35342709999999999</v>
      </c>
      <c r="S1263">
        <v>2.6637420000000001</v>
      </c>
      <c r="T1263">
        <v>-0.40838439999999998</v>
      </c>
      <c r="U1263">
        <v>-1.495239</v>
      </c>
      <c r="V1263">
        <v>0.17790919999999999</v>
      </c>
      <c r="W1263">
        <v>5.1879769999999999E-2</v>
      </c>
      <c r="X1263">
        <v>0.98267839999999995</v>
      </c>
      <c r="Y1263">
        <v>0.32128250000000003</v>
      </c>
      <c r="Z1263">
        <v>2.6419719999999998E-3</v>
      </c>
      <c r="AA1263">
        <v>0.94697969999999998</v>
      </c>
      <c r="AB1263">
        <v>28</v>
      </c>
      <c r="AC1263">
        <v>7.0550999999999799</v>
      </c>
      <c r="AD1263">
        <v>-1.1057822200430001</v>
      </c>
      <c r="AE1263">
        <v>-4.0168999999999597</v>
      </c>
      <c r="AF1263">
        <v>2.61642757392806</v>
      </c>
      <c r="AG1263">
        <v>-1.1057822200430001</v>
      </c>
      <c r="AH1263">
        <v>7.5289526372524298</v>
      </c>
      <c r="AI1263">
        <v>97.898356514509203</v>
      </c>
      <c r="AJ1263">
        <v>70.836869380288107</v>
      </c>
      <c r="AK1263">
        <v>8.0469606300618004</v>
      </c>
      <c r="AL1263">
        <v>87.026173151100906</v>
      </c>
      <c r="AM1263">
        <v>79.738031138569099</v>
      </c>
      <c r="AN1263">
        <v>1.0000000159032201</v>
      </c>
    </row>
    <row r="1264" spans="1:40" x14ac:dyDescent="0.25">
      <c r="A1264" t="str">
        <f>"20190312151009312"</f>
        <v>20190312151009312</v>
      </c>
      <c r="B1264" t="str">
        <f>"1552374609302009"</f>
        <v>1552374609302009</v>
      </c>
      <c r="C1264" t="s">
        <v>40</v>
      </c>
      <c r="D1264">
        <v>5.7212399999999999</v>
      </c>
      <c r="E1264">
        <v>0.55594519999999903</v>
      </c>
      <c r="F1264" t="s">
        <v>48</v>
      </c>
      <c r="G1264">
        <v>-201.86959999999999</v>
      </c>
      <c r="H1264" s="1">
        <v>-3.1490440000000002E-6</v>
      </c>
      <c r="I1264">
        <v>361.63619999999997</v>
      </c>
      <c r="J1264">
        <v>-208.93299999999999</v>
      </c>
      <c r="K1264">
        <v>1.105712</v>
      </c>
      <c r="L1264">
        <v>365.68700000000001</v>
      </c>
      <c r="M1264">
        <v>0.98252139999999999</v>
      </c>
      <c r="N1264">
        <v>0</v>
      </c>
      <c r="O1264">
        <v>-0.1855909</v>
      </c>
      <c r="P1264">
        <v>0.93326370000000003</v>
      </c>
      <c r="Q1264">
        <v>3.9120790000000003E-2</v>
      </c>
      <c r="R1264">
        <v>-0.35705569999999998</v>
      </c>
      <c r="S1264">
        <v>2.6588289999999999</v>
      </c>
      <c r="T1264">
        <v>-0.40687040000000002</v>
      </c>
      <c r="U1264">
        <v>-1.5029300000000001</v>
      </c>
      <c r="V1264">
        <v>0.17822060000000001</v>
      </c>
      <c r="W1264">
        <v>5.1268809999999998E-2</v>
      </c>
      <c r="X1264">
        <v>0.98265400000000003</v>
      </c>
      <c r="Y1264">
        <v>0.32077369999999999</v>
      </c>
      <c r="Z1264">
        <v>3.1479450000000001E-3</v>
      </c>
      <c r="AA1264">
        <v>0.94715059999999995</v>
      </c>
      <c r="AB1264">
        <v>28</v>
      </c>
      <c r="AC1264">
        <v>7.0633999999999997</v>
      </c>
      <c r="AD1264">
        <v>-1.105715149044</v>
      </c>
      <c r="AE1264">
        <v>-4.0507999999999802</v>
      </c>
      <c r="AF1264">
        <v>2.6210393036476201</v>
      </c>
      <c r="AG1264">
        <v>-1.105715149044</v>
      </c>
      <c r="AH1264">
        <v>7.5532477484616001</v>
      </c>
      <c r="AI1264">
        <v>97.874020964546403</v>
      </c>
      <c r="AJ1264">
        <v>70.862803790769902</v>
      </c>
      <c r="AK1264">
        <v>8.0711835917498096</v>
      </c>
      <c r="AL1264">
        <v>87.061225119002799</v>
      </c>
      <c r="AM1264">
        <v>79.720202137541307</v>
      </c>
      <c r="AN1264">
        <v>0.99999997842958699</v>
      </c>
    </row>
    <row r="1265" spans="1:40" x14ac:dyDescent="0.25">
      <c r="A1265" t="str">
        <f>"20190312151009324"</f>
        <v>20190312151009324</v>
      </c>
      <c r="B1265" t="str">
        <f>"1552374609321530"</f>
        <v>1552374609321530</v>
      </c>
      <c r="C1265" t="s">
        <v>40</v>
      </c>
      <c r="D1265">
        <v>5.733231</v>
      </c>
      <c r="E1265">
        <v>0.55527569999999904</v>
      </c>
      <c r="F1265" t="s">
        <v>48</v>
      </c>
      <c r="G1265">
        <v>-201.5326</v>
      </c>
      <c r="H1265" s="1">
        <v>-3.0137649999999999E-6</v>
      </c>
      <c r="I1265">
        <v>361.48140000000001</v>
      </c>
      <c r="J1265">
        <v>-208.791</v>
      </c>
      <c r="K1265">
        <v>1.105648</v>
      </c>
      <c r="L1265">
        <v>365.65699999999998</v>
      </c>
      <c r="M1265">
        <v>0.98192950000000001</v>
      </c>
      <c r="N1265">
        <v>0</v>
      </c>
      <c r="O1265">
        <v>-0.188697</v>
      </c>
      <c r="P1265">
        <v>0.93193219999999999</v>
      </c>
      <c r="Q1265">
        <v>3.9153750000000001E-2</v>
      </c>
      <c r="R1265">
        <v>-0.36051309999999998</v>
      </c>
      <c r="S1265">
        <v>2.654083</v>
      </c>
      <c r="T1265">
        <v>-0.3965514</v>
      </c>
      <c r="U1265">
        <v>-1.5083009999999999</v>
      </c>
      <c r="V1265">
        <v>0.1787648</v>
      </c>
      <c r="W1265">
        <v>5.127309E-2</v>
      </c>
      <c r="X1265">
        <v>0.98255499999999996</v>
      </c>
      <c r="Y1265">
        <v>0.32004290000000002</v>
      </c>
      <c r="Z1265">
        <v>3.535027E-3</v>
      </c>
      <c r="AA1265">
        <v>0.94739649999999997</v>
      </c>
      <c r="AB1265">
        <v>28</v>
      </c>
      <c r="AC1265">
        <v>7.2583999999999902</v>
      </c>
      <c r="AD1265">
        <v>-1.105651013765</v>
      </c>
      <c r="AE1265">
        <v>-4.17559999999997</v>
      </c>
      <c r="AF1265">
        <v>2.6839978826111701</v>
      </c>
      <c r="AG1265">
        <v>-1.105651013765</v>
      </c>
      <c r="AH1265">
        <v>7.7803415965114802</v>
      </c>
      <c r="AI1265">
        <v>97.651270471668894</v>
      </c>
      <c r="AJ1265">
        <v>70.967013242701697</v>
      </c>
      <c r="AK1265">
        <v>8.3042172512830899</v>
      </c>
      <c r="AL1265">
        <v>87.060979797559298</v>
      </c>
      <c r="AM1265">
        <v>79.688468291757204</v>
      </c>
      <c r="AN1265">
        <v>1.00000005575109</v>
      </c>
    </row>
    <row r="1266" spans="1:40" x14ac:dyDescent="0.25">
      <c r="A1266" t="str">
        <f>"20190312151009337"</f>
        <v>20190312151009337</v>
      </c>
      <c r="B1266" t="str">
        <f>"1552374609332267"</f>
        <v>1552374609332267</v>
      </c>
      <c r="C1266" t="s">
        <v>40</v>
      </c>
      <c r="D1266">
        <v>5.6962330000000003</v>
      </c>
      <c r="E1266">
        <v>0.55497350000000001</v>
      </c>
      <c r="F1266" t="s">
        <v>48</v>
      </c>
      <c r="G1266">
        <v>-201.21780000000001</v>
      </c>
      <c r="H1266" s="1">
        <v>-2.887957E-6</v>
      </c>
      <c r="I1266">
        <v>361.33440000000002</v>
      </c>
      <c r="J1266">
        <v>-208.62739999999999</v>
      </c>
      <c r="K1266">
        <v>1.1055710000000001</v>
      </c>
      <c r="L1266">
        <v>365.62189999999998</v>
      </c>
      <c r="M1266">
        <v>0.98122779999999998</v>
      </c>
      <c r="N1266">
        <v>0</v>
      </c>
      <c r="O1266">
        <v>-0.19231280000000001</v>
      </c>
      <c r="P1266">
        <v>0.93038169999999998</v>
      </c>
      <c r="Q1266">
        <v>3.8772910000000001E-2</v>
      </c>
      <c r="R1266">
        <v>-0.36453720000000001</v>
      </c>
      <c r="S1266">
        <v>2.6502379999999999</v>
      </c>
      <c r="T1266">
        <v>-0.38692300000000002</v>
      </c>
      <c r="U1266">
        <v>-1.5126649999999999</v>
      </c>
      <c r="V1266">
        <v>0.17939369999999999</v>
      </c>
      <c r="W1266">
        <v>5.0858309999999997E-2</v>
      </c>
      <c r="X1266">
        <v>0.9824619</v>
      </c>
      <c r="Y1266">
        <v>0.3184129</v>
      </c>
      <c r="Z1266">
        <v>4.0318849999999998E-3</v>
      </c>
      <c r="AA1266">
        <v>0.9479436</v>
      </c>
      <c r="AB1266">
        <v>28</v>
      </c>
      <c r="AC1266">
        <v>7.4095999999999798</v>
      </c>
      <c r="AD1266">
        <v>-1.1055738879569901</v>
      </c>
      <c r="AE1266">
        <v>-4.2874999999999597</v>
      </c>
      <c r="AF1266">
        <v>2.7366978717394601</v>
      </c>
      <c r="AG1266">
        <v>-1.1055738879569901</v>
      </c>
      <c r="AH1266">
        <v>7.9630743036805001</v>
      </c>
      <c r="AI1266">
        <v>97.4801418288842</v>
      </c>
      <c r="AJ1266">
        <v>71.033510574564701</v>
      </c>
      <c r="AK1266">
        <v>8.4924885180288801</v>
      </c>
      <c r="AL1266">
        <v>87.084775900367305</v>
      </c>
      <c r="AM1266">
        <v>79.652014942739996</v>
      </c>
      <c r="AN1266">
        <v>1.0000000261236699</v>
      </c>
    </row>
    <row r="1267" spans="1:40" x14ac:dyDescent="0.25">
      <c r="A1267" t="str">
        <f>"20190312151009352"</f>
        <v>20190312151009352</v>
      </c>
      <c r="B1267" t="str">
        <f>"1552374609342026"</f>
        <v>1552374609342026</v>
      </c>
      <c r="C1267" t="s">
        <v>40</v>
      </c>
      <c r="D1267">
        <v>5.7366630000000001</v>
      </c>
      <c r="E1267">
        <v>0.55466490000000002</v>
      </c>
      <c r="F1267" t="s">
        <v>48</v>
      </c>
      <c r="G1267">
        <v>-201.0215</v>
      </c>
      <c r="H1267" s="1">
        <v>-2.8089509999999998E-6</v>
      </c>
      <c r="I1267">
        <v>361.24520000000001</v>
      </c>
      <c r="J1267">
        <v>-208.44059999999999</v>
      </c>
      <c r="K1267">
        <v>1.1054809999999999</v>
      </c>
      <c r="L1267">
        <v>365.5806</v>
      </c>
      <c r="M1267">
        <v>0.9803866</v>
      </c>
      <c r="N1267">
        <v>0</v>
      </c>
      <c r="O1267">
        <v>-0.19655600000000001</v>
      </c>
      <c r="P1267">
        <v>0.92855869999999996</v>
      </c>
      <c r="Q1267">
        <v>3.7890479999999997E-2</v>
      </c>
      <c r="R1267">
        <v>-0.36924760000000001</v>
      </c>
      <c r="S1267">
        <v>2.6443180000000002</v>
      </c>
      <c r="T1267">
        <v>-0.38437270000000001</v>
      </c>
      <c r="U1267">
        <v>-1.5216369999999999</v>
      </c>
      <c r="V1267">
        <v>0.18011629999999901</v>
      </c>
      <c r="W1267">
        <v>4.993537E-2</v>
      </c>
      <c r="X1267">
        <v>0.98237699999999994</v>
      </c>
      <c r="Y1267">
        <v>0.31769560000000002</v>
      </c>
      <c r="Z1267">
        <v>4.6039669999999996E-3</v>
      </c>
      <c r="AA1267">
        <v>0.94818159999999896</v>
      </c>
      <c r="AB1267">
        <v>28</v>
      </c>
      <c r="AC1267">
        <v>7.4190999999999798</v>
      </c>
      <c r="AD1267">
        <v>-1.105483808951</v>
      </c>
      <c r="AE1267">
        <v>-4.3353999999999902</v>
      </c>
      <c r="AF1267">
        <v>2.74692568852835</v>
      </c>
      <c r="AG1267">
        <v>-1.105483808951</v>
      </c>
      <c r="AH1267">
        <v>7.9942677306028296</v>
      </c>
      <c r="AI1267">
        <v>97.450822336777506</v>
      </c>
      <c r="AJ1267">
        <v>71.036667811431599</v>
      </c>
      <c r="AK1267">
        <v>8.5250226825919597</v>
      </c>
      <c r="AL1267">
        <v>87.137723664840493</v>
      </c>
      <c r="AM1267">
        <v>79.610360671966006</v>
      </c>
      <c r="AN1267">
        <v>0.99999999641586301</v>
      </c>
    </row>
    <row r="1268" spans="1:40" x14ac:dyDescent="0.25">
      <c r="A1268" t="str">
        <f>"20190312151009365"</f>
        <v>20190312151009365</v>
      </c>
      <c r="B1268" t="str">
        <f>"1552374609362407"</f>
        <v>1552374609362407</v>
      </c>
      <c r="C1268" t="s">
        <v>40</v>
      </c>
      <c r="D1268">
        <v>5.754562</v>
      </c>
      <c r="E1268">
        <v>0.55470649999999999</v>
      </c>
      <c r="F1268" t="s">
        <v>48</v>
      </c>
      <c r="G1268">
        <v>-200.85419999999999</v>
      </c>
      <c r="H1268" s="1">
        <v>-2.7413220000000001E-6</v>
      </c>
      <c r="I1268">
        <v>361.1705</v>
      </c>
      <c r="J1268">
        <v>-208.28700000000001</v>
      </c>
      <c r="K1268">
        <v>1.105399</v>
      </c>
      <c r="L1268">
        <v>365.54610000000002</v>
      </c>
      <c r="M1268">
        <v>0.9796667</v>
      </c>
      <c r="N1268">
        <v>0</v>
      </c>
      <c r="O1268">
        <v>-0.2001117</v>
      </c>
      <c r="P1268">
        <v>0.92711480000000002</v>
      </c>
      <c r="Q1268">
        <v>3.7357609999999999E-2</v>
      </c>
      <c r="R1268">
        <v>-0.3729113</v>
      </c>
      <c r="S1268">
        <v>2.6369319999999998</v>
      </c>
      <c r="T1268">
        <v>-0.38424930000000002</v>
      </c>
      <c r="U1268">
        <v>-1.5328980000000001</v>
      </c>
      <c r="V1268">
        <v>0.18043049999999999</v>
      </c>
      <c r="W1268">
        <v>4.937101E-2</v>
      </c>
      <c r="X1268">
        <v>0.98234779999999999</v>
      </c>
      <c r="Y1268">
        <v>0.31845580000000001</v>
      </c>
      <c r="Z1268">
        <v>5.013946E-3</v>
      </c>
      <c r="AA1268">
        <v>0.9479244</v>
      </c>
      <c r="AB1268">
        <v>28</v>
      </c>
      <c r="AC1268">
        <v>7.4328000000000101</v>
      </c>
      <c r="AD1268">
        <v>-1.1054017413220001</v>
      </c>
      <c r="AE1268">
        <v>-4.3756000000000199</v>
      </c>
      <c r="AF1268">
        <v>2.7542912851074601</v>
      </c>
      <c r="AG1268">
        <v>-1.1054017413220001</v>
      </c>
      <c r="AH1268">
        <v>8.0262919996991204</v>
      </c>
      <c r="AI1268">
        <v>97.421903218912007</v>
      </c>
      <c r="AJ1268">
        <v>71.059900574797098</v>
      </c>
      <c r="AK1268">
        <v>8.5574176453747306</v>
      </c>
      <c r="AL1268">
        <v>87.170098860817106</v>
      </c>
      <c r="AM1268">
        <v>79.592329794902597</v>
      </c>
      <c r="AN1268">
        <v>0.999999931061752</v>
      </c>
    </row>
    <row r="1269" spans="1:40" x14ac:dyDescent="0.25">
      <c r="A1269" t="str">
        <f>"20190312151009378"</f>
        <v>20190312151009378</v>
      </c>
      <c r="B1269" t="str">
        <f>"1552374609372166"</f>
        <v>1552374609372166</v>
      </c>
      <c r="C1269" t="s">
        <v>40</v>
      </c>
      <c r="D1269">
        <v>5.7245100000000004</v>
      </c>
      <c r="E1269">
        <v>0.5544888</v>
      </c>
      <c r="F1269" t="s">
        <v>48</v>
      </c>
      <c r="G1269">
        <v>-200.8039</v>
      </c>
      <c r="H1269" s="1">
        <v>-2.7194050000000001E-6</v>
      </c>
      <c r="I1269">
        <v>361.1551</v>
      </c>
      <c r="J1269">
        <v>-208.11529999999999</v>
      </c>
      <c r="K1269">
        <v>1.105305</v>
      </c>
      <c r="L1269">
        <v>365.50689999999997</v>
      </c>
      <c r="M1269">
        <v>0.97883339999999996</v>
      </c>
      <c r="N1269">
        <v>0</v>
      </c>
      <c r="O1269">
        <v>-0.20414860000000001</v>
      </c>
      <c r="P1269">
        <v>0.92541150000000005</v>
      </c>
      <c r="Q1269">
        <v>3.6775700000000001E-2</v>
      </c>
      <c r="R1269">
        <v>-0.37717600000000001</v>
      </c>
      <c r="S1269">
        <v>2.63063</v>
      </c>
      <c r="T1269">
        <v>-0.3885922</v>
      </c>
      <c r="U1269">
        <v>-1.5436099999999999</v>
      </c>
      <c r="V1269">
        <v>0.18090339999999999</v>
      </c>
      <c r="W1269">
        <v>4.8750450000000001E-2</v>
      </c>
      <c r="X1269">
        <v>0.9822919</v>
      </c>
      <c r="Y1269">
        <v>0.31842120000000002</v>
      </c>
      <c r="Z1269">
        <v>5.6021059999999999E-3</v>
      </c>
      <c r="AA1269">
        <v>0.94793280000000002</v>
      </c>
      <c r="AB1269">
        <v>28</v>
      </c>
      <c r="AC1269">
        <v>7.3113999999999901</v>
      </c>
      <c r="AD1269">
        <v>-1.1053077194050001</v>
      </c>
      <c r="AE1269">
        <v>-4.3517999999999599</v>
      </c>
      <c r="AF1269">
        <v>2.72143774504119</v>
      </c>
      <c r="AG1269">
        <v>-1.1053077194050001</v>
      </c>
      <c r="AH1269">
        <v>7.9123692797224097</v>
      </c>
      <c r="AI1269">
        <v>97.525111432070801</v>
      </c>
      <c r="AJ1269">
        <v>71.019484944040997</v>
      </c>
      <c r="AK1269">
        <v>8.4399950339680903</v>
      </c>
      <c r="AL1269">
        <v>87.205697425784194</v>
      </c>
      <c r="AM1269">
        <v>79.565069401478894</v>
      </c>
      <c r="AN1269">
        <v>1.00000001165618</v>
      </c>
    </row>
    <row r="1270" spans="1:40" x14ac:dyDescent="0.25">
      <c r="A1270" t="str">
        <f>"20190312151009392"</f>
        <v>20190312151009392</v>
      </c>
      <c r="B1270" t="str">
        <f>"1552374609381927"</f>
        <v>1552374609381927</v>
      </c>
      <c r="C1270" t="s">
        <v>40</v>
      </c>
      <c r="D1270">
        <v>5.6905359999999998</v>
      </c>
      <c r="E1270">
        <v>0.55427130000000002</v>
      </c>
      <c r="F1270" t="s">
        <v>48</v>
      </c>
      <c r="G1270">
        <v>-200.69990000000001</v>
      </c>
      <c r="H1270" s="1">
        <v>-2.6713210000000001E-6</v>
      </c>
      <c r="I1270">
        <v>361.11329999999998</v>
      </c>
      <c r="J1270">
        <v>-207.94210000000001</v>
      </c>
      <c r="K1270">
        <v>1.105205</v>
      </c>
      <c r="L1270">
        <v>365.46620000000001</v>
      </c>
      <c r="M1270">
        <v>0.97794930000000002</v>
      </c>
      <c r="N1270">
        <v>0</v>
      </c>
      <c r="O1270">
        <v>-0.20834130000000001</v>
      </c>
      <c r="P1270">
        <v>0.92363759999999995</v>
      </c>
      <c r="Q1270">
        <v>3.6455769999999998E-2</v>
      </c>
      <c r="R1270">
        <v>-0.38152950000000002</v>
      </c>
      <c r="S1270">
        <v>2.6237339999999998</v>
      </c>
      <c r="T1270">
        <v>-0.39108320000000002</v>
      </c>
      <c r="U1270">
        <v>-1.554565</v>
      </c>
      <c r="V1270">
        <v>0.18132490000000001</v>
      </c>
      <c r="W1270">
        <v>4.8390870000000002E-2</v>
      </c>
      <c r="X1270">
        <v>0.98223199999999999</v>
      </c>
      <c r="Y1270">
        <v>0.31840220000000002</v>
      </c>
      <c r="Z1270">
        <v>6.1936229999999997E-3</v>
      </c>
      <c r="AA1270">
        <v>0.94793550000000004</v>
      </c>
      <c r="AB1270">
        <v>28</v>
      </c>
      <c r="AC1270">
        <v>7.2421999999999898</v>
      </c>
      <c r="AD1270">
        <v>-1.105207671321</v>
      </c>
      <c r="AE1270">
        <v>-4.3529000000000302</v>
      </c>
      <c r="AF1270">
        <v>2.7021247246917999</v>
      </c>
      <c r="AG1270">
        <v>-1.105207671321</v>
      </c>
      <c r="AH1270">
        <v>7.8558287673238496</v>
      </c>
      <c r="AI1270">
        <v>97.577927082188907</v>
      </c>
      <c r="AJ1270">
        <v>71.018611447621893</v>
      </c>
      <c r="AK1270">
        <v>8.3807522124240492</v>
      </c>
      <c r="AL1270">
        <v>87.226324289751801</v>
      </c>
      <c r="AM1270">
        <v>79.540668455934195</v>
      </c>
      <c r="AN1270">
        <v>1.00000004874168</v>
      </c>
    </row>
    <row r="1271" spans="1:40" x14ac:dyDescent="0.25">
      <c r="A1271" t="str">
        <f>"20190312151009407"</f>
        <v>20190312151009407</v>
      </c>
      <c r="B1271" t="str">
        <f>"1552374609402423"</f>
        <v>1552374609402423</v>
      </c>
      <c r="C1271" t="s">
        <v>40</v>
      </c>
      <c r="D1271">
        <v>5.9826589999999999</v>
      </c>
      <c r="E1271">
        <v>0.55401299999999998</v>
      </c>
      <c r="F1271" t="s">
        <v>48</v>
      </c>
      <c r="G1271">
        <v>-200.57239999999999</v>
      </c>
      <c r="H1271" s="1">
        <v>-2.6111470000000001E-6</v>
      </c>
      <c r="I1271">
        <v>361.05579999999998</v>
      </c>
      <c r="J1271">
        <v>-207.7687</v>
      </c>
      <c r="K1271">
        <v>1.105111</v>
      </c>
      <c r="L1271">
        <v>365.42469999999997</v>
      </c>
      <c r="M1271">
        <v>0.97702840000000002</v>
      </c>
      <c r="N1271">
        <v>0</v>
      </c>
      <c r="O1271">
        <v>-0.2126181</v>
      </c>
      <c r="P1271">
        <v>0.92175379999999996</v>
      </c>
      <c r="Q1271">
        <v>3.5954159999999999E-2</v>
      </c>
      <c r="R1271">
        <v>-0.38610630000000001</v>
      </c>
      <c r="S1271">
        <v>2.6166689999999999</v>
      </c>
      <c r="T1271">
        <v>-0.39241350000000003</v>
      </c>
      <c r="U1271">
        <v>-1.5659479999999999</v>
      </c>
      <c r="V1271">
        <v>0.1819009</v>
      </c>
      <c r="W1271">
        <v>4.7847889999999997E-2</v>
      </c>
      <c r="X1271">
        <v>0.98215200000000003</v>
      </c>
      <c r="Y1271">
        <v>0.31844549999999999</v>
      </c>
      <c r="Z1271">
        <v>6.7794580000000004E-3</v>
      </c>
      <c r="AA1271">
        <v>0.94791689999999995</v>
      </c>
      <c r="AB1271">
        <v>28</v>
      </c>
      <c r="AC1271">
        <v>7.1962999999999999</v>
      </c>
      <c r="AD1271">
        <v>-1.1051136111469999</v>
      </c>
      <c r="AE1271">
        <v>-4.3688999999999902</v>
      </c>
      <c r="AF1271">
        <v>2.6923680907014198</v>
      </c>
      <c r="AG1271">
        <v>-1.1051136111469999</v>
      </c>
      <c r="AH1271">
        <v>7.8258760947274704</v>
      </c>
      <c r="AI1271">
        <v>97.605790682435796</v>
      </c>
      <c r="AJ1271">
        <v>71.015036882207099</v>
      </c>
      <c r="AK1271">
        <v>8.3495184699117004</v>
      </c>
      <c r="AL1271">
        <v>87.257470572872805</v>
      </c>
      <c r="AM1271">
        <v>79.507344175145406</v>
      </c>
      <c r="AN1271">
        <v>0.99999995455113</v>
      </c>
    </row>
    <row r="1272" spans="1:40" x14ac:dyDescent="0.25">
      <c r="A1272" t="str">
        <f>"20190312151009421"</f>
        <v>20190312151009421</v>
      </c>
      <c r="B1272" t="str">
        <f>"1552374609412183"</f>
        <v>1552374609412183</v>
      </c>
      <c r="C1272" t="s">
        <v>40</v>
      </c>
      <c r="D1272">
        <v>5.7399839999999998</v>
      </c>
      <c r="E1272">
        <v>0.5547031</v>
      </c>
      <c r="F1272" t="s">
        <v>48</v>
      </c>
      <c r="G1272">
        <v>-200.4393</v>
      </c>
      <c r="H1272" s="1">
        <v>-2.548699E-6</v>
      </c>
      <c r="I1272">
        <v>360.99450000000002</v>
      </c>
      <c r="J1272">
        <v>-207.5814</v>
      </c>
      <c r="K1272">
        <v>1.105003</v>
      </c>
      <c r="L1272">
        <v>365.37900000000002</v>
      </c>
      <c r="M1272">
        <v>0.97599190000000002</v>
      </c>
      <c r="N1272">
        <v>0</v>
      </c>
      <c r="O1272">
        <v>-0.2173253</v>
      </c>
      <c r="P1272">
        <v>0.91936980000000001</v>
      </c>
      <c r="Q1272">
        <v>3.5461279999999998E-2</v>
      </c>
      <c r="R1272">
        <v>-0.391793</v>
      </c>
      <c r="S1272">
        <v>2.6093289999999998</v>
      </c>
      <c r="T1272">
        <v>-0.39343240000000002</v>
      </c>
      <c r="U1272">
        <v>-1.5772090000000001</v>
      </c>
      <c r="V1272">
        <v>0.18323690000000001</v>
      </c>
      <c r="W1272">
        <v>4.729825E-2</v>
      </c>
      <c r="X1272">
        <v>0.98193030000000003</v>
      </c>
      <c r="Y1272">
        <v>0.31808750000000002</v>
      </c>
      <c r="Z1272">
        <v>7.4489339999999999E-3</v>
      </c>
      <c r="AA1272">
        <v>0.94803210000000004</v>
      </c>
      <c r="AB1272">
        <v>28</v>
      </c>
      <c r="AC1272">
        <v>7.1420999999999903</v>
      </c>
      <c r="AD1272">
        <v>-1.105005548699</v>
      </c>
      <c r="AE1272">
        <v>-4.3845000000000001</v>
      </c>
      <c r="AF1272">
        <v>2.6807571299503299</v>
      </c>
      <c r="AG1272">
        <v>-1.105005548699</v>
      </c>
      <c r="AH1272">
        <v>7.7889112998196302</v>
      </c>
      <c r="AI1272">
        <v>97.640392595967</v>
      </c>
      <c r="AJ1272">
        <v>71.007761184863895</v>
      </c>
      <c r="AK1272">
        <v>8.3111151651804906</v>
      </c>
      <c r="AL1272">
        <v>87.288998447271695</v>
      </c>
      <c r="AM1272">
        <v>79.429676826279007</v>
      </c>
      <c r="AN1272">
        <v>1.00000000001638</v>
      </c>
    </row>
    <row r="1273" spans="1:40" x14ac:dyDescent="0.25">
      <c r="A1273" t="str">
        <f>"20190312151009435"</f>
        <v>20190312151009435</v>
      </c>
      <c r="B1273" t="str">
        <f>"1552374609421943"</f>
        <v>1552374609421943</v>
      </c>
      <c r="C1273" t="s">
        <v>40</v>
      </c>
      <c r="D1273">
        <v>5.7964019999999996</v>
      </c>
      <c r="E1273">
        <v>0.55697339999999995</v>
      </c>
      <c r="F1273" t="s">
        <v>48</v>
      </c>
      <c r="G1273">
        <v>-199.9554</v>
      </c>
      <c r="H1273" s="1">
        <v>-1.01877399999999E-5</v>
      </c>
      <c r="I1273">
        <v>360.6859</v>
      </c>
      <c r="J1273">
        <v>-207.41159999999999</v>
      </c>
      <c r="K1273">
        <v>1.1048990000000001</v>
      </c>
      <c r="L1273">
        <v>365.33659999999998</v>
      </c>
      <c r="M1273">
        <v>0.97500880000000001</v>
      </c>
      <c r="N1273">
        <v>0</v>
      </c>
      <c r="O1273">
        <v>-0.22169349999999999</v>
      </c>
      <c r="P1273">
        <v>0.91728690000000002</v>
      </c>
      <c r="Q1273">
        <v>3.5056690000000001E-2</v>
      </c>
      <c r="R1273">
        <v>-0.39668110000000001</v>
      </c>
      <c r="S1273">
        <v>2.5966339999999999</v>
      </c>
      <c r="T1273">
        <v>-0.37625730000000002</v>
      </c>
      <c r="U1273">
        <v>-1.5979920000000001</v>
      </c>
      <c r="V1273">
        <v>0.18407009999999999</v>
      </c>
      <c r="W1273">
        <v>4.684671E-2</v>
      </c>
      <c r="X1273">
        <v>0.98179609999999995</v>
      </c>
      <c r="Y1273">
        <v>0.32148910000000003</v>
      </c>
      <c r="Z1273">
        <v>7.4620969999999896E-3</v>
      </c>
      <c r="AA1273">
        <v>0.9468839</v>
      </c>
      <c r="AB1273">
        <v>28</v>
      </c>
      <c r="AC1273">
        <v>7.4561999999999902</v>
      </c>
      <c r="AD1273">
        <v>-1.1049091877399999</v>
      </c>
      <c r="AE1273">
        <v>-4.6506999999999703</v>
      </c>
      <c r="AF1273">
        <v>2.83693591525505</v>
      </c>
      <c r="AG1273">
        <v>-1.1049091877399999</v>
      </c>
      <c r="AH1273">
        <v>8.1725624968399799</v>
      </c>
      <c r="AI1273">
        <v>97.278473484003797</v>
      </c>
      <c r="AJ1273">
        <v>70.856613803100899</v>
      </c>
      <c r="AK1273">
        <v>8.7212274058856902</v>
      </c>
      <c r="AL1273">
        <v>87.314898491758896</v>
      </c>
      <c r="AM1273">
        <v>79.381284446700406</v>
      </c>
      <c r="AN1273">
        <v>0.99999999896352099</v>
      </c>
    </row>
    <row r="1274" spans="1:40" x14ac:dyDescent="0.25">
      <c r="A1274" t="str">
        <f>"20190312151009448"</f>
        <v>20190312151009448</v>
      </c>
      <c r="B1274" t="str">
        <f>"1552374609442438"</f>
        <v>1552374609442438</v>
      </c>
      <c r="C1274" t="s">
        <v>40</v>
      </c>
      <c r="D1274">
        <v>5.7542790000000004</v>
      </c>
      <c r="E1274">
        <v>0.56248330000000002</v>
      </c>
      <c r="F1274" t="s">
        <v>48</v>
      </c>
      <c r="G1274">
        <v>-199.60890000000001</v>
      </c>
      <c r="H1274" s="1">
        <v>-1.010097E-5</v>
      </c>
      <c r="I1274">
        <v>360.4128</v>
      </c>
      <c r="J1274">
        <v>-207.24610000000001</v>
      </c>
      <c r="K1274">
        <v>1.1047979999999999</v>
      </c>
      <c r="L1274">
        <v>365.29419999999999</v>
      </c>
      <c r="M1274">
        <v>0.97400520000000002</v>
      </c>
      <c r="N1274">
        <v>0</v>
      </c>
      <c r="O1274">
        <v>-0.22606109999999999</v>
      </c>
      <c r="P1274">
        <v>0.91516419999999998</v>
      </c>
      <c r="Q1274">
        <v>3.4942569999999999E-2</v>
      </c>
      <c r="R1274">
        <v>-0.40156419999999998</v>
      </c>
      <c r="S1274">
        <v>2.5803219999999998</v>
      </c>
      <c r="T1274">
        <v>-0.36538989999999999</v>
      </c>
      <c r="U1274">
        <v>-1.628296</v>
      </c>
      <c r="V1274">
        <v>0.18491170000000001</v>
      </c>
      <c r="W1274">
        <v>4.6685709999999998E-2</v>
      </c>
      <c r="X1274">
        <v>0.98164560000000001</v>
      </c>
      <c r="Y1274">
        <v>0.3279282</v>
      </c>
      <c r="Z1274">
        <v>7.3772949999999999E-3</v>
      </c>
      <c r="AA1274">
        <v>0.94467380000000001</v>
      </c>
      <c r="AB1274">
        <v>28</v>
      </c>
      <c r="AC1274">
        <v>7.6372</v>
      </c>
      <c r="AD1274">
        <v>-1.1048081009699999</v>
      </c>
      <c r="AE1274">
        <v>-4.8813999999999798</v>
      </c>
      <c r="AF1274">
        <v>2.9840190163793898</v>
      </c>
      <c r="AG1274">
        <v>-1.1048081009699999</v>
      </c>
      <c r="AH1274">
        <v>8.4179964900109194</v>
      </c>
      <c r="AI1274">
        <v>97.051753293426003</v>
      </c>
      <c r="AJ1274">
        <v>70.4815552067288</v>
      </c>
      <c r="AK1274">
        <v>8.9993130480008894</v>
      </c>
      <c r="AL1274">
        <v>87.324133187403902</v>
      </c>
      <c r="AM1274">
        <v>79.332247619541903</v>
      </c>
      <c r="AN1274">
        <v>0.99999998815722702</v>
      </c>
    </row>
    <row r="1275" spans="1:40" x14ac:dyDescent="0.25">
      <c r="A1275" t="str">
        <f>"20190312151009463"</f>
        <v>20190312151009463</v>
      </c>
      <c r="B1275" t="str">
        <f>"1552374609451730"</f>
        <v>1552374609451730</v>
      </c>
      <c r="C1275" t="s">
        <v>40</v>
      </c>
      <c r="D1275">
        <v>5.7072539999999998</v>
      </c>
      <c r="E1275">
        <v>0.564774199999999</v>
      </c>
      <c r="F1275" t="s">
        <v>48</v>
      </c>
      <c r="G1275">
        <v>-199.65639999999999</v>
      </c>
      <c r="H1275" s="1">
        <v>-1.0135349999999999E-5</v>
      </c>
      <c r="I1275">
        <v>360.29360000000003</v>
      </c>
      <c r="J1275">
        <v>-207.0624</v>
      </c>
      <c r="K1275">
        <v>1.104684</v>
      </c>
      <c r="L1275">
        <v>365.24619999999999</v>
      </c>
      <c r="M1275">
        <v>0.97284590000000004</v>
      </c>
      <c r="N1275">
        <v>0</v>
      </c>
      <c r="O1275">
        <v>-0.23099800000000001</v>
      </c>
      <c r="P1275">
        <v>0.91242690000000004</v>
      </c>
      <c r="Q1275">
        <v>3.474646E-2</v>
      </c>
      <c r="R1275">
        <v>-0.40776250000000003</v>
      </c>
      <c r="S1275">
        <v>2.5539550000000002</v>
      </c>
      <c r="T1275">
        <v>-0.37176999999999999</v>
      </c>
      <c r="U1275">
        <v>-1.682709</v>
      </c>
      <c r="V1275">
        <v>0.18660080000000001</v>
      </c>
      <c r="W1275">
        <v>4.6423739999999998E-2</v>
      </c>
      <c r="X1275">
        <v>0.98133840000000006</v>
      </c>
      <c r="Y1275">
        <v>0.34157539999999997</v>
      </c>
      <c r="Z1275">
        <v>7.23039199999999E-3</v>
      </c>
      <c r="AA1275">
        <v>0.93982650000000001</v>
      </c>
      <c r="AB1275">
        <v>28</v>
      </c>
      <c r="AC1275">
        <v>7.4059999999999997</v>
      </c>
      <c r="AD1275">
        <v>-1.1046941353499999</v>
      </c>
      <c r="AE1275">
        <v>-4.9525999999999604</v>
      </c>
      <c r="AF1275">
        <v>3.0606187704479302</v>
      </c>
      <c r="AG1275">
        <v>-1.1046941353499999</v>
      </c>
      <c r="AH1275">
        <v>8.2233904469698196</v>
      </c>
      <c r="AI1275">
        <v>97.175698916502895</v>
      </c>
      <c r="AJ1275">
        <v>69.585511597121595</v>
      </c>
      <c r="AK1275">
        <v>8.8437484605798993</v>
      </c>
      <c r="AL1275">
        <v>87.339159389864307</v>
      </c>
      <c r="AM1275">
        <v>79.233777480541804</v>
      </c>
      <c r="AN1275">
        <v>1.00000003875539</v>
      </c>
    </row>
    <row r="1276" spans="1:40" x14ac:dyDescent="0.25">
      <c r="A1276" t="str">
        <f>"20190312151009475"</f>
        <v>20190312151009475</v>
      </c>
      <c r="B1276" t="str">
        <f>"1552374609472228"</f>
        <v>1552374609472228</v>
      </c>
      <c r="C1276" t="s">
        <v>40</v>
      </c>
      <c r="D1276">
        <v>5.704815</v>
      </c>
      <c r="E1276">
        <v>0.56892010000000004</v>
      </c>
      <c r="F1276" t="s">
        <v>48</v>
      </c>
      <c r="G1276">
        <v>-199.5805</v>
      </c>
      <c r="H1276" s="1">
        <v>-1.012446E-5</v>
      </c>
      <c r="I1276">
        <v>360.1773</v>
      </c>
      <c r="J1276">
        <v>-206.91759999999999</v>
      </c>
      <c r="K1276">
        <v>1.1045910000000001</v>
      </c>
      <c r="L1276">
        <v>365.20780000000002</v>
      </c>
      <c r="M1276">
        <v>0.97189590000000003</v>
      </c>
      <c r="N1276">
        <v>0</v>
      </c>
      <c r="O1276">
        <v>-0.23496230000000001</v>
      </c>
      <c r="P1276">
        <v>0.9104835</v>
      </c>
      <c r="Q1276">
        <v>3.453664E-2</v>
      </c>
      <c r="R1276">
        <v>-0.41210089999999999</v>
      </c>
      <c r="S1276">
        <v>2.5347439999999999</v>
      </c>
      <c r="T1276">
        <v>-0.3742548</v>
      </c>
      <c r="U1276">
        <v>-1.717285</v>
      </c>
      <c r="V1276">
        <v>0.18727740000000001</v>
      </c>
      <c r="W1276">
        <v>4.6171759999999999E-2</v>
      </c>
      <c r="X1276">
        <v>0.98122140000000002</v>
      </c>
      <c r="Y1276">
        <v>0.349796</v>
      </c>
      <c r="Z1276">
        <v>7.2389539999999997E-3</v>
      </c>
      <c r="AA1276">
        <v>0.93679789999999996</v>
      </c>
      <c r="AB1276">
        <v>28</v>
      </c>
      <c r="AC1276">
        <v>7.3370999999999897</v>
      </c>
      <c r="AD1276">
        <v>-1.10460112445999</v>
      </c>
      <c r="AE1276">
        <v>-5.0305000000000097</v>
      </c>
      <c r="AF1276">
        <v>3.1174505082165198</v>
      </c>
      <c r="AG1276">
        <v>-1.10460112445999</v>
      </c>
      <c r="AH1276">
        <v>8.1875197137745204</v>
      </c>
      <c r="AI1276">
        <v>97.186080383296499</v>
      </c>
      <c r="AJ1276">
        <v>69.155348555098399</v>
      </c>
      <c r="AK1276">
        <v>8.8302955997398094</v>
      </c>
      <c r="AL1276">
        <v>87.353612296831301</v>
      </c>
      <c r="AM1276">
        <v>79.194399292671505</v>
      </c>
      <c r="AN1276">
        <v>1.0000000458950999</v>
      </c>
    </row>
    <row r="1277" spans="1:40" x14ac:dyDescent="0.25">
      <c r="A1277" t="str">
        <f>"20190312151009486"</f>
        <v>20190312151009486</v>
      </c>
      <c r="B1277" t="str">
        <f>"1552374609481986"</f>
        <v>1552374609481986</v>
      </c>
      <c r="C1277" t="s">
        <v>40</v>
      </c>
      <c r="D1277">
        <v>5.6478140000000003</v>
      </c>
      <c r="E1277">
        <v>0.57064890000000001</v>
      </c>
      <c r="F1277" t="s">
        <v>48</v>
      </c>
      <c r="G1277">
        <v>-199.62569999999999</v>
      </c>
      <c r="H1277" s="1">
        <v>-1.0151860000000001E-5</v>
      </c>
      <c r="I1277">
        <v>360.10079999999999</v>
      </c>
      <c r="J1277">
        <v>-206.7852</v>
      </c>
      <c r="K1277">
        <v>1.1045020000000001</v>
      </c>
      <c r="L1277">
        <v>365.17180000000002</v>
      </c>
      <c r="M1277">
        <v>0.97099089999999999</v>
      </c>
      <c r="N1277">
        <v>0</v>
      </c>
      <c r="O1277">
        <v>-0.238674</v>
      </c>
      <c r="P1277">
        <v>0.90855810000000004</v>
      </c>
      <c r="Q1277">
        <v>3.4237940000000001E-2</v>
      </c>
      <c r="R1277">
        <v>-0.41635359999999999</v>
      </c>
      <c r="S1277">
        <v>2.5128330000000001</v>
      </c>
      <c r="T1277">
        <v>-0.38064940000000003</v>
      </c>
      <c r="U1277">
        <v>-1.7598879999999999</v>
      </c>
      <c r="V1277">
        <v>0.18811939999999999</v>
      </c>
      <c r="W1277">
        <v>4.5831179999999999E-2</v>
      </c>
      <c r="X1277">
        <v>0.98107619999999895</v>
      </c>
      <c r="Y1277">
        <v>0.36063499999999998</v>
      </c>
      <c r="Z1277">
        <v>7.1068540000000001E-3</v>
      </c>
      <c r="AA1277">
        <v>0.93267999999999995</v>
      </c>
      <c r="AB1277">
        <v>28</v>
      </c>
      <c r="AC1277">
        <v>7.1595000000000004</v>
      </c>
      <c r="AD1277">
        <v>-1.1045121518600001</v>
      </c>
      <c r="AE1277">
        <v>-5.0710000000000202</v>
      </c>
      <c r="AF1277">
        <v>3.1652819095773501</v>
      </c>
      <c r="AG1277">
        <v>-1.1045121518600001</v>
      </c>
      <c r="AH1277">
        <v>8.0356319064969401</v>
      </c>
      <c r="AI1277">
        <v>97.287870328223093</v>
      </c>
      <c r="AJ1277">
        <v>68.500232557602203</v>
      </c>
      <c r="AK1277">
        <v>8.7069131612423707</v>
      </c>
      <c r="AL1277">
        <v>87.373146541207007</v>
      </c>
      <c r="AM1277">
        <v>79.145400462131207</v>
      </c>
      <c r="AN1277">
        <v>0.99999995796149499</v>
      </c>
    </row>
    <row r="1278" spans="1:40" x14ac:dyDescent="0.25">
      <c r="A1278" t="str">
        <f>"20190312151009509"</f>
        <v>20190312151009509</v>
      </c>
      <c r="B1278" t="str">
        <f>"1552374609501506"</f>
        <v>1552374609501506</v>
      </c>
      <c r="C1278" t="s">
        <v>40</v>
      </c>
      <c r="D1278">
        <v>5.711862</v>
      </c>
      <c r="E1278">
        <v>0.57241180000000003</v>
      </c>
      <c r="F1278" t="s">
        <v>48</v>
      </c>
      <c r="G1278">
        <v>-199.5539</v>
      </c>
      <c r="H1278" s="1">
        <v>-1.013938E-5</v>
      </c>
      <c r="I1278">
        <v>360.00909999999999</v>
      </c>
      <c r="J1278">
        <v>-206.4992</v>
      </c>
      <c r="K1278">
        <v>1.104314</v>
      </c>
      <c r="L1278">
        <v>365.09210000000002</v>
      </c>
      <c r="M1278">
        <v>0.96894029999999998</v>
      </c>
      <c r="N1278">
        <v>0</v>
      </c>
      <c r="O1278">
        <v>-0.24686530000000001</v>
      </c>
      <c r="P1278">
        <v>0.9039682</v>
      </c>
      <c r="Q1278">
        <v>3.321909E-2</v>
      </c>
      <c r="R1278">
        <v>-0.4263072</v>
      </c>
      <c r="S1278">
        <v>2.4988100000000002</v>
      </c>
      <c r="T1278">
        <v>-0.38166650000000002</v>
      </c>
      <c r="U1278">
        <v>-1.7839659999999999</v>
      </c>
      <c r="V1278">
        <v>0.19060740000000001</v>
      </c>
      <c r="W1278">
        <v>4.470938E-2</v>
      </c>
      <c r="X1278">
        <v>0.98064770000000001</v>
      </c>
      <c r="Y1278">
        <v>0.36124460000000003</v>
      </c>
      <c r="Z1278">
        <v>8.1411339999999995E-3</v>
      </c>
      <c r="AA1278">
        <v>0.93243560000000003</v>
      </c>
      <c r="AB1278">
        <v>28</v>
      </c>
      <c r="AC1278">
        <v>6.9452999999999996</v>
      </c>
      <c r="AD1278">
        <v>-1.1043241393799901</v>
      </c>
      <c r="AE1278">
        <v>-5.0830000000000197</v>
      </c>
      <c r="AF1278">
        <v>3.15890353254348</v>
      </c>
      <c r="AG1278">
        <v>-1.1043241393799901</v>
      </c>
      <c r="AH1278">
        <v>7.8559076078184402</v>
      </c>
      <c r="AI1278">
        <v>97.430762911337993</v>
      </c>
      <c r="AJ1278">
        <v>68.094670077793694</v>
      </c>
      <c r="AK1278">
        <v>8.5389394935971197</v>
      </c>
      <c r="AL1278">
        <v>87.437487050971299</v>
      </c>
      <c r="AM1278">
        <v>79.000630726653498</v>
      </c>
      <c r="AN1278">
        <v>1.00000001055501</v>
      </c>
    </row>
    <row r="1279" spans="1:40" x14ac:dyDescent="0.25">
      <c r="A1279" t="str">
        <f>"20190312151009521"</f>
        <v>20190312151009521</v>
      </c>
      <c r="B1279" t="str">
        <f>"1552374609512242"</f>
        <v>1552374609512242</v>
      </c>
      <c r="C1279" t="s">
        <v>40</v>
      </c>
      <c r="D1279">
        <v>5.7016799999999996</v>
      </c>
      <c r="E1279">
        <v>0.57421630000000001</v>
      </c>
      <c r="F1279" t="s">
        <v>48</v>
      </c>
      <c r="G1279">
        <v>-199.3775</v>
      </c>
      <c r="H1279" s="1">
        <v>-1.010419E-5</v>
      </c>
      <c r="I1279">
        <v>359.83819999999997</v>
      </c>
      <c r="J1279">
        <v>-206.3673</v>
      </c>
      <c r="K1279">
        <v>1.104223</v>
      </c>
      <c r="L1279">
        <v>365.05450000000002</v>
      </c>
      <c r="M1279">
        <v>0.96794959999999997</v>
      </c>
      <c r="N1279">
        <v>0</v>
      </c>
      <c r="O1279">
        <v>-0.25072100000000003</v>
      </c>
      <c r="P1279">
        <v>0.90187890000000004</v>
      </c>
      <c r="Q1279">
        <v>3.3050360000000001E-2</v>
      </c>
      <c r="R1279">
        <v>-0.43072339999999998</v>
      </c>
      <c r="S1279">
        <v>2.472534</v>
      </c>
      <c r="T1279">
        <v>-0.38340600000000002</v>
      </c>
      <c r="U1279">
        <v>-1.8240970000000001</v>
      </c>
      <c r="V1279">
        <v>0.19150490000000001</v>
      </c>
      <c r="W1279">
        <v>4.449645E-2</v>
      </c>
      <c r="X1279">
        <v>0.98048250000000003</v>
      </c>
      <c r="Y1279">
        <v>0.37199179999999998</v>
      </c>
      <c r="Z1279">
        <v>7.95421199999999E-3</v>
      </c>
      <c r="AA1279">
        <v>0.92820199999999997</v>
      </c>
      <c r="AB1279">
        <v>28</v>
      </c>
      <c r="AC1279">
        <v>6.9897999999999998</v>
      </c>
      <c r="AD1279">
        <v>-1.10423310419</v>
      </c>
      <c r="AE1279">
        <v>-5.2163000000000403</v>
      </c>
      <c r="AF1279">
        <v>3.2449605961068899</v>
      </c>
      <c r="AG1279">
        <v>-1.10423310419</v>
      </c>
      <c r="AH1279">
        <v>7.94707913621333</v>
      </c>
      <c r="AI1279">
        <v>97.330150112793305</v>
      </c>
      <c r="AJ1279">
        <v>67.788766969059296</v>
      </c>
      <c r="AK1279">
        <v>8.6547771095454902</v>
      </c>
      <c r="AL1279">
        <v>87.449699159674907</v>
      </c>
      <c r="AM1279">
        <v>78.948294642073193</v>
      </c>
      <c r="AN1279">
        <v>0.99999999679643103</v>
      </c>
    </row>
    <row r="1280" spans="1:40" x14ac:dyDescent="0.25">
      <c r="A1280" t="str">
        <f>"20190312151009531"</f>
        <v>20190312151009531</v>
      </c>
      <c r="B1280" t="str">
        <f>"1552374609522002"</f>
        <v>1552374609522002</v>
      </c>
      <c r="C1280" t="s">
        <v>40</v>
      </c>
      <c r="D1280">
        <v>5.6830100000000003</v>
      </c>
      <c r="E1280">
        <v>0.57578249999999997</v>
      </c>
      <c r="F1280" t="s">
        <v>48</v>
      </c>
      <c r="G1280">
        <v>-199.2578</v>
      </c>
      <c r="H1280" s="1">
        <v>-1.0083E-5</v>
      </c>
      <c r="I1280">
        <v>359.70490000000001</v>
      </c>
      <c r="J1280">
        <v>-206.22399999999999</v>
      </c>
      <c r="K1280">
        <v>1.104128</v>
      </c>
      <c r="L1280">
        <v>365.01280000000003</v>
      </c>
      <c r="M1280">
        <v>0.96683189999999997</v>
      </c>
      <c r="N1280">
        <v>0</v>
      </c>
      <c r="O1280">
        <v>-0.254996</v>
      </c>
      <c r="P1280">
        <v>0.8996402</v>
      </c>
      <c r="Q1280">
        <v>3.2460559999999999E-2</v>
      </c>
      <c r="R1280">
        <v>-0.43542409999999998</v>
      </c>
      <c r="S1280">
        <v>2.457306</v>
      </c>
      <c r="T1280">
        <v>-0.38166729999999999</v>
      </c>
      <c r="U1280">
        <v>-1.8490599999999999</v>
      </c>
      <c r="V1280">
        <v>0.1922847</v>
      </c>
      <c r="W1280">
        <v>4.3864309999999997E-2</v>
      </c>
      <c r="X1280">
        <v>0.98035839999999996</v>
      </c>
      <c r="Y1280">
        <v>0.37668200000000002</v>
      </c>
      <c r="Z1280">
        <v>8.1529949999999997E-3</v>
      </c>
      <c r="AA1280">
        <v>0.92630679999999999</v>
      </c>
      <c r="AB1280">
        <v>28</v>
      </c>
      <c r="AC1280">
        <v>6.9662000000000104</v>
      </c>
      <c r="AD1280">
        <v>-1.104138083</v>
      </c>
      <c r="AE1280">
        <v>-5.3079000000000098</v>
      </c>
      <c r="AF1280">
        <v>3.3033471148920901</v>
      </c>
      <c r="AG1280">
        <v>-1.104138083</v>
      </c>
      <c r="AH1280">
        <v>7.9629343957090999</v>
      </c>
      <c r="AI1280">
        <v>97.298506117476506</v>
      </c>
      <c r="AJ1280">
        <v>67.469349915599096</v>
      </c>
      <c r="AK1280">
        <v>8.6913489895506899</v>
      </c>
      <c r="AL1280">
        <v>87.485953617938506</v>
      </c>
      <c r="AM1280">
        <v>78.903037397265294</v>
      </c>
      <c r="AN1280">
        <v>1.0000000379982099</v>
      </c>
    </row>
    <row r="1281" spans="1:40" x14ac:dyDescent="0.25">
      <c r="A1281" t="str">
        <f>"20190312151009544"</f>
        <v>20190312151009544</v>
      </c>
      <c r="B1281" t="str">
        <f>"1552374609531763"</f>
        <v>1552374609531763</v>
      </c>
      <c r="C1281" t="s">
        <v>40</v>
      </c>
      <c r="D1281">
        <v>5.7839219999999996</v>
      </c>
      <c r="E1281">
        <v>0.57727680000000003</v>
      </c>
      <c r="F1281" t="s">
        <v>48</v>
      </c>
      <c r="G1281">
        <v>-199.1585</v>
      </c>
      <c r="H1281" s="1">
        <v>-6.7155530000000003E-6</v>
      </c>
      <c r="I1281">
        <v>359.59390000000002</v>
      </c>
      <c r="J1281">
        <v>-206.08019999999999</v>
      </c>
      <c r="K1281">
        <v>1.1040369999999999</v>
      </c>
      <c r="L1281">
        <v>364.97019999999998</v>
      </c>
      <c r="M1281">
        <v>0.96567389999999997</v>
      </c>
      <c r="N1281">
        <v>0</v>
      </c>
      <c r="O1281">
        <v>-0.25934649999999998</v>
      </c>
      <c r="P1281">
        <v>0.89731959999999999</v>
      </c>
      <c r="Q1281">
        <v>3.21088E-2</v>
      </c>
      <c r="R1281">
        <v>-0.4402122</v>
      </c>
      <c r="S1281">
        <v>2.4419559999999998</v>
      </c>
      <c r="T1281">
        <v>-0.38160959999999999</v>
      </c>
      <c r="U1281">
        <v>-1.8728640000000001</v>
      </c>
      <c r="V1281">
        <v>0.19309680000000001</v>
      </c>
      <c r="W1281">
        <v>4.3469389999999997E-2</v>
      </c>
      <c r="X1281">
        <v>0.98021630000000004</v>
      </c>
      <c r="Y1281">
        <v>0.38101020000000002</v>
      </c>
      <c r="Z1281">
        <v>8.4216629999999994E-3</v>
      </c>
      <c r="AA1281">
        <v>0.92453249999999998</v>
      </c>
      <c r="AB1281">
        <v>28</v>
      </c>
      <c r="AC1281">
        <v>6.92169999999998</v>
      </c>
      <c r="AD1281">
        <v>-1.1040437155530001</v>
      </c>
      <c r="AE1281">
        <v>-5.3762999999999499</v>
      </c>
      <c r="AF1281">
        <v>3.3439338562183099</v>
      </c>
      <c r="AG1281">
        <v>-1.1040437155530001</v>
      </c>
      <c r="AH1281">
        <v>7.9530897225733197</v>
      </c>
      <c r="AI1281">
        <v>97.292402030609594</v>
      </c>
      <c r="AJ1281">
        <v>67.195330159750895</v>
      </c>
      <c r="AK1281">
        <v>8.6978412434302701</v>
      </c>
      <c r="AL1281">
        <v>87.508602321571203</v>
      </c>
      <c r="AM1281">
        <v>78.855765742569503</v>
      </c>
      <c r="AN1281">
        <v>0.99999997841145005</v>
      </c>
    </row>
    <row r="1282" spans="1:40" x14ac:dyDescent="0.25">
      <c r="A1282" t="str">
        <f>"20190312151009557"</f>
        <v>20190312151009557</v>
      </c>
      <c r="B1282" t="str">
        <f>"1552374609551789"</f>
        <v>1552374609551789</v>
      </c>
      <c r="C1282" t="s">
        <v>40</v>
      </c>
      <c r="D1282">
        <v>5.7043179999999998</v>
      </c>
      <c r="E1282">
        <v>0.57969919999999997</v>
      </c>
      <c r="F1282" t="s">
        <v>48</v>
      </c>
      <c r="G1282">
        <v>-198.97389999999999</v>
      </c>
      <c r="H1282" s="1">
        <v>-6.62776399999999E-6</v>
      </c>
      <c r="I1282">
        <v>359.4178</v>
      </c>
      <c r="J1282">
        <v>-205.91630000000001</v>
      </c>
      <c r="K1282">
        <v>1.103934</v>
      </c>
      <c r="L1282">
        <v>364.92090000000002</v>
      </c>
      <c r="M1282">
        <v>0.96431279999999997</v>
      </c>
      <c r="N1282">
        <v>0</v>
      </c>
      <c r="O1282">
        <v>-0.26436179999999998</v>
      </c>
      <c r="P1282">
        <v>0.89462790000000003</v>
      </c>
      <c r="Q1282">
        <v>3.1494059999999997E-2</v>
      </c>
      <c r="R1282">
        <v>-0.44570110000000002</v>
      </c>
      <c r="S1282">
        <v>2.4266200000000002</v>
      </c>
      <c r="T1282">
        <v>-0.37700549999999999</v>
      </c>
      <c r="U1282">
        <v>-1.8960269999999999</v>
      </c>
      <c r="V1282">
        <v>0.19400319999999999</v>
      </c>
      <c r="W1282">
        <v>4.2806249999999997E-2</v>
      </c>
      <c r="X1282">
        <v>0.98006649999999995</v>
      </c>
      <c r="Y1282">
        <v>0.38455410000000001</v>
      </c>
      <c r="Z1282">
        <v>8.7253319999999902E-3</v>
      </c>
      <c r="AA1282">
        <v>0.92306129999999997</v>
      </c>
      <c r="AB1282">
        <v>28</v>
      </c>
      <c r="AC1282">
        <v>6.9424000000000197</v>
      </c>
      <c r="AD1282">
        <v>-1.103940627764</v>
      </c>
      <c r="AE1282">
        <v>-5.5031000000000097</v>
      </c>
      <c r="AF1282">
        <v>3.41868855443674</v>
      </c>
      <c r="AG1282">
        <v>-1.103940627764</v>
      </c>
      <c r="AH1282">
        <v>8.0256990817611502</v>
      </c>
      <c r="AI1282">
        <v>97.212331704205198</v>
      </c>
      <c r="AJ1282">
        <v>66.927561982102105</v>
      </c>
      <c r="AK1282">
        <v>8.79306329403164</v>
      </c>
      <c r="AL1282">
        <v>87.546632852974099</v>
      </c>
      <c r="AM1282">
        <v>78.803104930420901</v>
      </c>
      <c r="AN1282">
        <v>0.99999998053577599</v>
      </c>
    </row>
    <row r="1283" spans="1:40" x14ac:dyDescent="0.25">
      <c r="A1283" t="str">
        <f>"20190312151009577"</f>
        <v>20190312151009577</v>
      </c>
      <c r="B1283" t="str">
        <f>"1552374609572285"</f>
        <v>1552374609572285</v>
      </c>
      <c r="C1283" t="s">
        <v>40</v>
      </c>
      <c r="D1283">
        <v>5.702693</v>
      </c>
      <c r="E1283">
        <v>0.58172729999999995</v>
      </c>
      <c r="F1283" t="s">
        <v>48</v>
      </c>
      <c r="G1283">
        <v>-198.91550000000001</v>
      </c>
      <c r="H1283" s="1">
        <v>-6.5829250000000002E-6</v>
      </c>
      <c r="I1283">
        <v>359.31110000000001</v>
      </c>
      <c r="J1283">
        <v>-205.69059999999999</v>
      </c>
      <c r="K1283">
        <v>1.10379</v>
      </c>
      <c r="L1283">
        <v>364.851</v>
      </c>
      <c r="M1283">
        <v>0.96234419999999998</v>
      </c>
      <c r="N1283">
        <v>0</v>
      </c>
      <c r="O1283">
        <v>-0.27143889999999998</v>
      </c>
      <c r="P1283">
        <v>0.89063379999999903</v>
      </c>
      <c r="Q1283">
        <v>3.0520729999999999E-2</v>
      </c>
      <c r="R1283">
        <v>-0.45369579999999998</v>
      </c>
      <c r="S1283">
        <v>2.406174</v>
      </c>
      <c r="T1283">
        <v>-0.37942579999999998</v>
      </c>
      <c r="U1283">
        <v>-1.9281010000000001</v>
      </c>
      <c r="V1283">
        <v>0.19557079999999999</v>
      </c>
      <c r="W1283">
        <v>4.1762430000000003E-2</v>
      </c>
      <c r="X1283">
        <v>0.9798</v>
      </c>
      <c r="Y1283">
        <v>0.38910929999999999</v>
      </c>
      <c r="Z1283">
        <v>9.3825939999999993E-3</v>
      </c>
      <c r="AA1283">
        <v>0.92114379999999996</v>
      </c>
      <c r="AB1283">
        <v>28</v>
      </c>
      <c r="AC1283">
        <v>6.7750999999999797</v>
      </c>
      <c r="AD1283">
        <v>-1.103796582925</v>
      </c>
      <c r="AE1283">
        <v>-5.5398999999999798</v>
      </c>
      <c r="AF1283">
        <v>3.43795169378344</v>
      </c>
      <c r="AG1283">
        <v>-1.103796582925</v>
      </c>
      <c r="AH1283">
        <v>7.8989340709019302</v>
      </c>
      <c r="AI1283">
        <v>97.301511049183603</v>
      </c>
      <c r="AJ1283">
        <v>66.479278105747397</v>
      </c>
      <c r="AK1283">
        <v>8.6851043863456692</v>
      </c>
      <c r="AL1283">
        <v>87.606493015674104</v>
      </c>
      <c r="AM1283">
        <v>78.711953095125196</v>
      </c>
      <c r="AN1283">
        <v>1.0000000391860699</v>
      </c>
    </row>
    <row r="1284" spans="1:40" x14ac:dyDescent="0.25">
      <c r="A1284" t="str">
        <f>"20190312151009589"</f>
        <v>20190312151009589</v>
      </c>
      <c r="B1284" t="str">
        <f>"1552374609582046"</f>
        <v>1552374609582046</v>
      </c>
      <c r="C1284" t="s">
        <v>40</v>
      </c>
      <c r="D1284">
        <v>5.7861500000000001</v>
      </c>
      <c r="E1284">
        <v>0.5827717</v>
      </c>
      <c r="F1284" t="s">
        <v>48</v>
      </c>
      <c r="G1284">
        <v>-198.6114</v>
      </c>
      <c r="H1284" s="1">
        <v>-6.4362570000000004E-6</v>
      </c>
      <c r="I1284">
        <v>359.01490000000001</v>
      </c>
      <c r="J1284">
        <v>-205.5369</v>
      </c>
      <c r="K1284">
        <v>1.1036999999999999</v>
      </c>
      <c r="L1284">
        <v>364.80220000000003</v>
      </c>
      <c r="M1284">
        <v>0.96094139999999995</v>
      </c>
      <c r="N1284">
        <v>0</v>
      </c>
      <c r="O1284">
        <v>-0.27636309999999997</v>
      </c>
      <c r="P1284">
        <v>0.88792450000000001</v>
      </c>
      <c r="Q1284">
        <v>2.9746769999999999E-2</v>
      </c>
      <c r="R1284">
        <v>-0.4590264</v>
      </c>
      <c r="S1284">
        <v>2.3811040000000001</v>
      </c>
      <c r="T1284">
        <v>-0.37126409999999999</v>
      </c>
      <c r="U1284">
        <v>-1.9630129999999999</v>
      </c>
      <c r="V1284">
        <v>0.19641649999999999</v>
      </c>
      <c r="W1284">
        <v>4.0945349999999998E-2</v>
      </c>
      <c r="X1284">
        <v>0.97966529999999996</v>
      </c>
      <c r="Y1284">
        <v>0.39720339999999998</v>
      </c>
      <c r="Z1284">
        <v>9.2707220000000003E-3</v>
      </c>
      <c r="AA1284">
        <v>0.91768380000000005</v>
      </c>
      <c r="AB1284">
        <v>28</v>
      </c>
      <c r="AC1284">
        <v>6.9255000000000004</v>
      </c>
      <c r="AD1284">
        <v>-1.1037064362569999</v>
      </c>
      <c r="AE1284">
        <v>-5.7873000000000099</v>
      </c>
      <c r="AF1284">
        <v>3.59394817199298</v>
      </c>
      <c r="AG1284">
        <v>-1.1037064362569999</v>
      </c>
      <c r="AH1284">
        <v>8.1336446764875099</v>
      </c>
      <c r="AI1284">
        <v>97.0753452857669</v>
      </c>
      <c r="AJ1284">
        <v>66.161188196724893</v>
      </c>
      <c r="AK1284">
        <v>8.9605137734261895</v>
      </c>
      <c r="AL1284">
        <v>87.6533483146587</v>
      </c>
      <c r="AM1284">
        <v>78.662883554610204</v>
      </c>
      <c r="AN1284">
        <v>1.0000000315914801</v>
      </c>
    </row>
    <row r="1285" spans="1:40" x14ac:dyDescent="0.25">
      <c r="A1285" t="str">
        <f>"20190312151009603"</f>
        <v>20190312151009603</v>
      </c>
      <c r="B1285" t="str">
        <f>"1552374609591805"</f>
        <v>1552374609591805</v>
      </c>
      <c r="C1285" t="s">
        <v>40</v>
      </c>
      <c r="D1285">
        <v>5.7342620000000002</v>
      </c>
      <c r="E1285">
        <v>0.58348599999999995</v>
      </c>
      <c r="F1285" t="s">
        <v>48</v>
      </c>
      <c r="G1285">
        <v>-198.47739999999999</v>
      </c>
      <c r="H1285" s="1">
        <v>-6.3705700000000001E-6</v>
      </c>
      <c r="I1285">
        <v>358.8811</v>
      </c>
      <c r="J1285">
        <v>-205.3683</v>
      </c>
      <c r="K1285">
        <v>1.103599</v>
      </c>
      <c r="L1285">
        <v>364.74770000000001</v>
      </c>
      <c r="M1285">
        <v>0.95935429999999999</v>
      </c>
      <c r="N1285">
        <v>0</v>
      </c>
      <c r="O1285">
        <v>-0.28182259999999998</v>
      </c>
      <c r="P1285">
        <v>0.88495069999999998</v>
      </c>
      <c r="Q1285">
        <v>2.9434140000000001E-2</v>
      </c>
      <c r="R1285">
        <v>-0.46475420000000001</v>
      </c>
      <c r="S1285">
        <v>2.3654169999999999</v>
      </c>
      <c r="T1285">
        <v>-0.36981770000000003</v>
      </c>
      <c r="U1285">
        <v>-1.983948</v>
      </c>
      <c r="V1285">
        <v>0.19717789999999999</v>
      </c>
      <c r="W1285">
        <v>4.0589449999999999E-2</v>
      </c>
      <c r="X1285">
        <v>0.97952709999999998</v>
      </c>
      <c r="Y1285">
        <v>0.39977649999999998</v>
      </c>
      <c r="Z1285">
        <v>9.7541850000000003E-3</v>
      </c>
      <c r="AA1285">
        <v>0.91656070000000001</v>
      </c>
      <c r="AB1285">
        <v>28</v>
      </c>
      <c r="AC1285">
        <v>6.89090000000001</v>
      </c>
      <c r="AD1285">
        <v>-1.10360537057</v>
      </c>
      <c r="AE1285">
        <v>-5.8666</v>
      </c>
      <c r="AF1285">
        <v>3.6325149679138899</v>
      </c>
      <c r="AG1285">
        <v>-1.10360537057</v>
      </c>
      <c r="AH1285">
        <v>8.1439377262883497</v>
      </c>
      <c r="AI1285">
        <v>97.055025578423695</v>
      </c>
      <c r="AJ1285">
        <v>65.961258173202594</v>
      </c>
      <c r="AK1285">
        <v>8.9853676327533698</v>
      </c>
      <c r="AL1285">
        <v>87.673756736854301</v>
      </c>
      <c r="AM1285">
        <v>78.618516627162705</v>
      </c>
      <c r="AN1285">
        <v>0.999999983667061</v>
      </c>
    </row>
    <row r="1286" spans="1:40" x14ac:dyDescent="0.25">
      <c r="A1286" t="str">
        <f>"20190312151009622"</f>
        <v>20190312151009622</v>
      </c>
      <c r="B1286" t="str">
        <f>"1552374609612302"</f>
        <v>1552374609612302</v>
      </c>
      <c r="C1286" t="s">
        <v>40</v>
      </c>
      <c r="D1286">
        <v>5.7078160000000002</v>
      </c>
      <c r="E1286">
        <v>0.58485529999999997</v>
      </c>
      <c r="F1286" t="s">
        <v>48</v>
      </c>
      <c r="G1286">
        <v>-198.2492</v>
      </c>
      <c r="H1286" s="1">
        <v>-6.2663329999999999E-6</v>
      </c>
      <c r="I1286">
        <v>358.67619999999999</v>
      </c>
      <c r="J1286">
        <v>-205.15180000000001</v>
      </c>
      <c r="K1286">
        <v>1.1034820000000001</v>
      </c>
      <c r="L1286">
        <v>364.67610000000002</v>
      </c>
      <c r="M1286">
        <v>0.95723210000000003</v>
      </c>
      <c r="N1286">
        <v>0</v>
      </c>
      <c r="O1286">
        <v>-0.28894760000000003</v>
      </c>
      <c r="P1286">
        <v>0.88063009999999997</v>
      </c>
      <c r="Q1286">
        <v>2.8462500000000002E-2</v>
      </c>
      <c r="R1286">
        <v>-0.47294890000000001</v>
      </c>
      <c r="S1286">
        <v>2.3497309999999998</v>
      </c>
      <c r="T1286">
        <v>-0.36425829999999998</v>
      </c>
      <c r="U1286">
        <v>-2.0039669999999998</v>
      </c>
      <c r="V1286">
        <v>0.1989747</v>
      </c>
      <c r="W1286">
        <v>3.9548399999999997E-2</v>
      </c>
      <c r="X1286">
        <v>0.97920629999999997</v>
      </c>
      <c r="Y1286">
        <v>0.40057090000000001</v>
      </c>
      <c r="Z1286">
        <v>1.0444119999999999E-2</v>
      </c>
      <c r="AA1286">
        <v>0.91620619999999997</v>
      </c>
      <c r="AB1286">
        <v>28</v>
      </c>
      <c r="AC1286">
        <v>6.9025999999999996</v>
      </c>
      <c r="AD1286">
        <v>-1.1034882663329999</v>
      </c>
      <c r="AE1286">
        <v>-5.9999000000000198</v>
      </c>
      <c r="AF1286">
        <v>3.69541481851223</v>
      </c>
      <c r="AG1286">
        <v>-1.1034882663329999</v>
      </c>
      <c r="AH1286">
        <v>8.2222497072287304</v>
      </c>
      <c r="AI1286">
        <v>96.978991554520505</v>
      </c>
      <c r="AJ1286">
        <v>65.798902654804394</v>
      </c>
      <c r="AK1286">
        <v>9.0818041865500199</v>
      </c>
      <c r="AL1286">
        <v>87.733452472540606</v>
      </c>
      <c r="AM1286">
        <v>78.513882930275599</v>
      </c>
      <c r="AN1286">
        <v>0.99999999257116901</v>
      </c>
    </row>
    <row r="1287" spans="1:40" x14ac:dyDescent="0.25">
      <c r="A1287" t="str">
        <f>"20190312151009634"</f>
        <v>20190312151009634</v>
      </c>
      <c r="B1287" t="str">
        <f>"1552374609622062"</f>
        <v>1552374609622062</v>
      </c>
      <c r="C1287" t="s">
        <v>40</v>
      </c>
      <c r="D1287">
        <v>5.6970070000000002</v>
      </c>
      <c r="E1287">
        <v>0.58552550000000003</v>
      </c>
      <c r="F1287" t="s">
        <v>48</v>
      </c>
      <c r="G1287">
        <v>-197.97800000000001</v>
      </c>
      <c r="H1287" s="1">
        <v>-6.13218499999999E-6</v>
      </c>
      <c r="I1287">
        <v>358.40199999999999</v>
      </c>
      <c r="J1287">
        <v>-204.9845</v>
      </c>
      <c r="K1287">
        <v>1.1033999999999999</v>
      </c>
      <c r="L1287">
        <v>364.61939999999998</v>
      </c>
      <c r="M1287">
        <v>0.95552680000000001</v>
      </c>
      <c r="N1287">
        <v>0</v>
      </c>
      <c r="O1287">
        <v>-0.29453669999999998</v>
      </c>
      <c r="P1287">
        <v>0.87740069999999903</v>
      </c>
      <c r="Q1287">
        <v>2.796177E-2</v>
      </c>
      <c r="R1287">
        <v>-0.4789429</v>
      </c>
      <c r="S1287">
        <v>2.32579</v>
      </c>
      <c r="T1287">
        <v>-0.3577592</v>
      </c>
      <c r="U1287">
        <v>-2.0340880000000001</v>
      </c>
      <c r="V1287">
        <v>0.1999245</v>
      </c>
      <c r="W1287">
        <v>3.9005699999999997E-2</v>
      </c>
      <c r="X1287">
        <v>0.97903459999999998</v>
      </c>
      <c r="Y1287">
        <v>0.40663280000000002</v>
      </c>
      <c r="Z1287">
        <v>1.0558440000000001E-2</v>
      </c>
      <c r="AA1287">
        <v>0.91353059999999997</v>
      </c>
      <c r="AB1287">
        <v>28</v>
      </c>
      <c r="AC1287">
        <v>7.0065000000000097</v>
      </c>
      <c r="AD1287">
        <v>-1.1034061321849999</v>
      </c>
      <c r="AE1287">
        <v>-6.2173999999999898</v>
      </c>
      <c r="AF1287">
        <v>3.82457445736841</v>
      </c>
      <c r="AG1287">
        <v>-1.1034061321849999</v>
      </c>
      <c r="AH1287">
        <v>8.4103794620622701</v>
      </c>
      <c r="AI1287">
        <v>96.810421616824399</v>
      </c>
      <c r="AJ1287">
        <v>65.546590590725103</v>
      </c>
      <c r="AK1287">
        <v>9.3048029301204096</v>
      </c>
      <c r="AL1287">
        <v>87.764570919704695</v>
      </c>
      <c r="AM1287">
        <v>78.458552160643293</v>
      </c>
      <c r="AN1287">
        <v>0.99999999916494897</v>
      </c>
    </row>
    <row r="1288" spans="1:40" x14ac:dyDescent="0.25">
      <c r="A1288" t="str">
        <f>"20190312151009664"</f>
        <v>20190312151009664</v>
      </c>
      <c r="B1288" t="str">
        <f>"1552374609652318"</f>
        <v>1552374609652318</v>
      </c>
      <c r="C1288" t="s">
        <v>40</v>
      </c>
      <c r="D1288">
        <v>5.6010589999999896</v>
      </c>
      <c r="E1288">
        <v>0.58677179999999995</v>
      </c>
      <c r="F1288" t="s">
        <v>48</v>
      </c>
      <c r="G1288">
        <v>-197.78819999999999</v>
      </c>
      <c r="H1288" s="1">
        <v>-6.0406780000000003E-6</v>
      </c>
      <c r="I1288">
        <v>358.21719999999999</v>
      </c>
      <c r="J1288">
        <v>-204.65020000000001</v>
      </c>
      <c r="K1288">
        <v>1.1032550000000001</v>
      </c>
      <c r="L1288">
        <v>364.5025</v>
      </c>
      <c r="M1288">
        <v>0.95195030000000003</v>
      </c>
      <c r="N1288">
        <v>0</v>
      </c>
      <c r="O1288">
        <v>-0.30589769999999999</v>
      </c>
      <c r="P1288">
        <v>0.87058849999999999</v>
      </c>
      <c r="Q1288">
        <v>2.7334730000000002E-2</v>
      </c>
      <c r="R1288">
        <v>-0.49125249999999998</v>
      </c>
      <c r="S1288">
        <v>2.309097</v>
      </c>
      <c r="T1288">
        <v>-0.35405389999999998</v>
      </c>
      <c r="U1288">
        <v>-2.0542910000000001</v>
      </c>
      <c r="V1288">
        <v>0.20204839999999999</v>
      </c>
      <c r="W1288">
        <v>3.8295259999999998E-2</v>
      </c>
      <c r="X1288">
        <v>0.97862649999999995</v>
      </c>
      <c r="Y1288">
        <v>0.4035937</v>
      </c>
      <c r="Z1288">
        <v>1.201934E-2</v>
      </c>
      <c r="AA1288">
        <v>0.91485939999999999</v>
      </c>
      <c r="AB1288">
        <v>28</v>
      </c>
      <c r="AC1288">
        <v>6.8620000000000196</v>
      </c>
      <c r="AD1288">
        <v>-1.1032610406779999</v>
      </c>
      <c r="AE1288">
        <v>-6.2853000000000003</v>
      </c>
      <c r="AF1288">
        <v>3.8307973678613498</v>
      </c>
      <c r="AG1288">
        <v>-1.1032610406779999</v>
      </c>
      <c r="AH1288">
        <v>8.3386476504668998</v>
      </c>
      <c r="AI1288">
        <v>96.855586115067695</v>
      </c>
      <c r="AJ1288">
        <v>65.325821409834305</v>
      </c>
      <c r="AK1288">
        <v>9.2425774563229197</v>
      </c>
      <c r="AL1288">
        <v>87.805306474588804</v>
      </c>
      <c r="AM1288">
        <v>78.334552872926295</v>
      </c>
      <c r="AN1288">
        <v>0.99999995469163705</v>
      </c>
    </row>
    <row r="1289" spans="1:40" x14ac:dyDescent="0.25">
      <c r="A1289" t="str">
        <f>"20190312151009677"</f>
        <v>20190312151009677</v>
      </c>
      <c r="B1289" t="str">
        <f>"1552374609671837"</f>
        <v>1552374609671837</v>
      </c>
      <c r="C1289" t="s">
        <v>40</v>
      </c>
      <c r="D1289">
        <v>5.6754110000000004</v>
      </c>
      <c r="E1289">
        <v>0.58761269999999999</v>
      </c>
      <c r="F1289" t="s">
        <v>48</v>
      </c>
      <c r="G1289">
        <v>-197.5487</v>
      </c>
      <c r="H1289" s="1">
        <v>-5.9184449999999997E-6</v>
      </c>
      <c r="I1289">
        <v>357.96379999999999</v>
      </c>
      <c r="J1289">
        <v>-204.4812</v>
      </c>
      <c r="K1289">
        <v>1.1031899999999999</v>
      </c>
      <c r="L1289">
        <v>364.4418</v>
      </c>
      <c r="M1289">
        <v>0.95005879999999998</v>
      </c>
      <c r="N1289">
        <v>0</v>
      </c>
      <c r="O1289">
        <v>-0.31172179999999999</v>
      </c>
      <c r="P1289">
        <v>0.86635969999999995</v>
      </c>
      <c r="Q1289">
        <v>2.7007159999999999E-2</v>
      </c>
      <c r="R1289">
        <v>-0.49869000000000002</v>
      </c>
      <c r="S1289">
        <v>2.275055</v>
      </c>
      <c r="T1289">
        <v>-0.35344150000000002</v>
      </c>
      <c r="U1289">
        <v>-2.0947269999999998</v>
      </c>
      <c r="V1289">
        <v>0.2044338</v>
      </c>
      <c r="W1289">
        <v>3.7900730000000001E-2</v>
      </c>
      <c r="X1289">
        <v>0.97814639999999997</v>
      </c>
      <c r="Y1289">
        <v>0.4135723</v>
      </c>
      <c r="Z1289">
        <v>1.2081629999999999E-2</v>
      </c>
      <c r="AA1289">
        <v>0.91039110000000001</v>
      </c>
      <c r="AB1289">
        <v>28</v>
      </c>
      <c r="AC1289">
        <v>6.9325000000000001</v>
      </c>
      <c r="AD1289">
        <v>-1.103195918445</v>
      </c>
      <c r="AE1289">
        <v>-6.4779999999999998</v>
      </c>
      <c r="AF1289">
        <v>3.9406308187539798</v>
      </c>
      <c r="AG1289">
        <v>-1.103195918445</v>
      </c>
      <c r="AH1289">
        <v>8.4917531399308803</v>
      </c>
      <c r="AI1289">
        <v>96.720933364324594</v>
      </c>
      <c r="AJ1289">
        <v>65.106160691058406</v>
      </c>
      <c r="AK1289">
        <v>9.4263186808909296</v>
      </c>
      <c r="AL1289">
        <v>87.827927926825495</v>
      </c>
      <c r="AM1289">
        <v>78.195040176362994</v>
      </c>
      <c r="AN1289">
        <v>1.0000000118749599</v>
      </c>
    </row>
    <row r="1290" spans="1:40" x14ac:dyDescent="0.25">
      <c r="A1290" t="str">
        <f>"20190312151009703"</f>
        <v>20190312151009703</v>
      </c>
      <c r="B1290" t="str">
        <f>"1552374609692334"</f>
        <v>1552374609692334</v>
      </c>
      <c r="C1290" t="s">
        <v>40</v>
      </c>
      <c r="D1290">
        <v>5.7970119999999996</v>
      </c>
      <c r="E1290">
        <v>0.5879934</v>
      </c>
      <c r="F1290" t="s">
        <v>48</v>
      </c>
      <c r="G1290">
        <v>-197.5438</v>
      </c>
      <c r="H1290" s="1">
        <v>-5.9015540000000004E-6</v>
      </c>
      <c r="I1290">
        <v>357.91559999999998</v>
      </c>
      <c r="J1290">
        <v>-204.1849</v>
      </c>
      <c r="K1290">
        <v>1.103078</v>
      </c>
      <c r="L1290">
        <v>364.33179999999999</v>
      </c>
      <c r="M1290">
        <v>0.94658569999999997</v>
      </c>
      <c r="N1290">
        <v>0</v>
      </c>
      <c r="O1290">
        <v>-0.3221135</v>
      </c>
      <c r="P1290">
        <v>0.85981759999999996</v>
      </c>
      <c r="Q1290">
        <v>2.7025739999999999E-2</v>
      </c>
      <c r="R1290">
        <v>-0.50988579999999994</v>
      </c>
      <c r="S1290">
        <v>2.2536160000000001</v>
      </c>
      <c r="T1290">
        <v>-0.35837190000000002</v>
      </c>
      <c r="U1290">
        <v>-2.1200260000000002</v>
      </c>
      <c r="V1290">
        <v>0.2064144</v>
      </c>
      <c r="W1290">
        <v>3.7849269999999997E-2</v>
      </c>
      <c r="X1290">
        <v>0.97773239999999995</v>
      </c>
      <c r="Y1290">
        <v>0.41338970000000003</v>
      </c>
      <c r="Z1290">
        <v>1.3540379999999999E-2</v>
      </c>
      <c r="AA1290">
        <v>0.91045350000000003</v>
      </c>
      <c r="AB1290">
        <v>28</v>
      </c>
      <c r="AC1290">
        <v>6.64109999999999</v>
      </c>
      <c r="AD1290">
        <v>-1.1030839015539999</v>
      </c>
      <c r="AE1290">
        <v>-6.4161999999999999</v>
      </c>
      <c r="AF1290">
        <v>3.8793679195995501</v>
      </c>
      <c r="AG1290">
        <v>-1.1030839015539999</v>
      </c>
      <c r="AH1290">
        <v>8.2364958438267699</v>
      </c>
      <c r="AI1290">
        <v>96.908282293555004</v>
      </c>
      <c r="AJ1290">
        <v>64.779687516931503</v>
      </c>
      <c r="AK1290">
        <v>9.17094070065124</v>
      </c>
      <c r="AL1290">
        <v>87.830878586701104</v>
      </c>
      <c r="AM1290">
        <v>78.079024342598899</v>
      </c>
      <c r="AN1290">
        <v>1.00000005888832</v>
      </c>
    </row>
    <row r="1291" spans="1:40" x14ac:dyDescent="0.25">
      <c r="A1291" t="str">
        <f>"20190312151009721"</f>
        <v>20190312151009721</v>
      </c>
      <c r="B1291" t="str">
        <f>"1552374609711853"</f>
        <v>1552374609711853</v>
      </c>
      <c r="C1291" t="s">
        <v>40</v>
      </c>
      <c r="D1291">
        <v>5.7278000000000002</v>
      </c>
      <c r="E1291">
        <v>0.58869119999999997</v>
      </c>
      <c r="F1291" t="s">
        <v>48</v>
      </c>
      <c r="G1291">
        <v>-197.24930000000001</v>
      </c>
      <c r="H1291" s="1">
        <v>-5.7578259999999996E-6</v>
      </c>
      <c r="I1291">
        <v>357.62369999999999</v>
      </c>
      <c r="J1291">
        <v>-203.96850000000001</v>
      </c>
      <c r="K1291">
        <v>1.1030040000000001</v>
      </c>
      <c r="L1291">
        <v>364.24930000000001</v>
      </c>
      <c r="M1291">
        <v>0.94393579999999999</v>
      </c>
      <c r="N1291">
        <v>0</v>
      </c>
      <c r="O1291">
        <v>-0.32979720000000001</v>
      </c>
      <c r="P1291">
        <v>0.85463219999999995</v>
      </c>
      <c r="Q1291">
        <v>2.6541800000000001E-2</v>
      </c>
      <c r="R1291">
        <v>-0.5185554</v>
      </c>
      <c r="S1291">
        <v>2.2244109999999999</v>
      </c>
      <c r="T1291">
        <v>-0.35378500000000002</v>
      </c>
      <c r="U1291">
        <v>-2.151459</v>
      </c>
      <c r="V1291">
        <v>0.20834849999999999</v>
      </c>
      <c r="W1291">
        <v>3.730559E-2</v>
      </c>
      <c r="X1291">
        <v>0.97734290000000001</v>
      </c>
      <c r="Y1291">
        <v>0.41863280000000003</v>
      </c>
      <c r="Z1291">
        <v>1.39817E-2</v>
      </c>
      <c r="AA1291">
        <v>0.90804799999999997</v>
      </c>
      <c r="AB1291">
        <v>28</v>
      </c>
      <c r="AC1291">
        <v>6.7191999999999998</v>
      </c>
      <c r="AD1291">
        <v>-1.1030097578260001</v>
      </c>
      <c r="AE1291">
        <v>-6.6256000000000101</v>
      </c>
      <c r="AF1291">
        <v>3.9841745497185501</v>
      </c>
      <c r="AG1291">
        <v>-1.1030097578260001</v>
      </c>
      <c r="AH1291">
        <v>8.4135777794799598</v>
      </c>
      <c r="AI1291">
        <v>96.757214744271295</v>
      </c>
      <c r="AJ1291">
        <v>64.660523229487396</v>
      </c>
      <c r="AK1291">
        <v>9.3743569603383197</v>
      </c>
      <c r="AL1291">
        <v>87.8620509904149</v>
      </c>
      <c r="AM1291">
        <v>77.965909884348406</v>
      </c>
      <c r="AN1291">
        <v>0.99999997433895305</v>
      </c>
    </row>
    <row r="1292" spans="1:40" x14ac:dyDescent="0.25">
      <c r="A1292" t="str">
        <f>"20190312151009733"</f>
        <v>20190312151009733</v>
      </c>
      <c r="B1292" t="str">
        <f>"1552374609721614"</f>
        <v>1552374609721614</v>
      </c>
      <c r="C1292" t="s">
        <v>40</v>
      </c>
      <c r="D1292">
        <v>5.7487329999999996</v>
      </c>
      <c r="E1292">
        <v>0.58901669999999995</v>
      </c>
      <c r="F1292" t="s">
        <v>48</v>
      </c>
      <c r="G1292">
        <v>-197.11969999999999</v>
      </c>
      <c r="H1292" s="1">
        <v>-5.6849210000000004E-6</v>
      </c>
      <c r="I1292">
        <v>357.46640000000002</v>
      </c>
      <c r="J1292">
        <v>-203.82939999999999</v>
      </c>
      <c r="K1292">
        <v>1.1029500000000001</v>
      </c>
      <c r="L1292">
        <v>364.19499999999999</v>
      </c>
      <c r="M1292">
        <v>0.94217709999999999</v>
      </c>
      <c r="N1292">
        <v>0</v>
      </c>
      <c r="O1292">
        <v>-0.33478790000000003</v>
      </c>
      <c r="P1292">
        <v>0.85119519999999904</v>
      </c>
      <c r="Q1292">
        <v>2.639915E-2</v>
      </c>
      <c r="R1292">
        <v>-0.52418520000000002</v>
      </c>
      <c r="S1292">
        <v>2.1995239999999998</v>
      </c>
      <c r="T1292">
        <v>-0.35423539999999998</v>
      </c>
      <c r="U1292">
        <v>-2.178375</v>
      </c>
      <c r="V1292">
        <v>0.20962800000000001</v>
      </c>
      <c r="W1292">
        <v>3.7124039999999997E-2</v>
      </c>
      <c r="X1292">
        <v>0.97707619999999895</v>
      </c>
      <c r="Y1292">
        <v>0.42455929999999997</v>
      </c>
      <c r="Z1292">
        <v>1.423949E-2</v>
      </c>
      <c r="AA1292">
        <v>0.90528819999999999</v>
      </c>
      <c r="AB1292">
        <v>28</v>
      </c>
      <c r="AC1292">
        <v>6.70969999999999</v>
      </c>
      <c r="AD1292">
        <v>-1.102955684921</v>
      </c>
      <c r="AE1292">
        <v>-6.7285999999999699</v>
      </c>
      <c r="AF1292">
        <v>4.0392358499328997</v>
      </c>
      <c r="AG1292">
        <v>-1.102955684921</v>
      </c>
      <c r="AH1292">
        <v>8.4613228271025704</v>
      </c>
      <c r="AI1292">
        <v>96.709213847287401</v>
      </c>
      <c r="AJ1292">
        <v>64.4812916882032</v>
      </c>
      <c r="AK1292">
        <v>9.4406525981379996</v>
      </c>
      <c r="AL1292">
        <v>87.8724602976055</v>
      </c>
      <c r="AM1292">
        <v>77.890973389960394</v>
      </c>
      <c r="AN1292">
        <v>0.99999999666817996</v>
      </c>
    </row>
    <row r="1293" spans="1:40" x14ac:dyDescent="0.25">
      <c r="A1293" t="str">
        <f>"20190312151009744"</f>
        <v>20190312151009744</v>
      </c>
      <c r="B1293" t="str">
        <f>"1552374609732350"</f>
        <v>1552374609732350</v>
      </c>
      <c r="C1293" t="s">
        <v>40</v>
      </c>
      <c r="D1293">
        <v>5.5557089999999896</v>
      </c>
      <c r="E1293">
        <v>0.58918669999999995</v>
      </c>
      <c r="F1293" t="s">
        <v>48</v>
      </c>
      <c r="G1293">
        <v>-197.09889999999999</v>
      </c>
      <c r="H1293" s="1">
        <v>-5.6700309999999997E-6</v>
      </c>
      <c r="I1293">
        <v>357.4316</v>
      </c>
      <c r="J1293">
        <v>-203.70660000000001</v>
      </c>
      <c r="K1293">
        <v>1.1029119999999999</v>
      </c>
      <c r="L1293">
        <v>364.14640000000003</v>
      </c>
      <c r="M1293">
        <v>0.94059000000000004</v>
      </c>
      <c r="N1293">
        <v>0</v>
      </c>
      <c r="O1293">
        <v>-0.33922089999999999</v>
      </c>
      <c r="P1293">
        <v>0.8481223</v>
      </c>
      <c r="Q1293">
        <v>2.559527E-2</v>
      </c>
      <c r="R1293">
        <v>-0.52918229999999999</v>
      </c>
      <c r="S1293">
        <v>2.1840060000000001</v>
      </c>
      <c r="T1293">
        <v>-0.35790339999999998</v>
      </c>
      <c r="U1293">
        <v>-2.1947019999999999</v>
      </c>
      <c r="V1293">
        <v>0.21075430000000001</v>
      </c>
      <c r="W1293">
        <v>3.6286800000000001E-2</v>
      </c>
      <c r="X1293">
        <v>0.97686539999999999</v>
      </c>
      <c r="Y1293">
        <v>0.42687789999999998</v>
      </c>
      <c r="Z1293">
        <v>1.4788910000000001E-2</v>
      </c>
      <c r="AA1293">
        <v>0.90418829999999994</v>
      </c>
      <c r="AB1293">
        <v>28</v>
      </c>
      <c r="AC1293">
        <v>6.6077000000000199</v>
      </c>
      <c r="AD1293">
        <v>-1.1029176700309999</v>
      </c>
      <c r="AE1293">
        <v>-6.7148000000000199</v>
      </c>
      <c r="AF1293">
        <v>4.0197557759071501</v>
      </c>
      <c r="AG1293">
        <v>-1.1029176700309999</v>
      </c>
      <c r="AH1293">
        <v>8.37902536933289</v>
      </c>
      <c r="AI1293">
        <v>96.768095228678604</v>
      </c>
      <c r="AJ1293">
        <v>64.371090844738404</v>
      </c>
      <c r="AK1293">
        <v>9.3585752133927809</v>
      </c>
      <c r="AL1293">
        <v>87.920463093377805</v>
      </c>
      <c r="AM1293">
        <v>77.825300097885204</v>
      </c>
      <c r="AN1293">
        <v>1.00000005826994</v>
      </c>
    </row>
    <row r="1294" spans="1:40" x14ac:dyDescent="0.25">
      <c r="A1294" t="str">
        <f>"20190312151009754"</f>
        <v>20190312151009754</v>
      </c>
      <c r="B1294" t="str">
        <f>"1552374609751870"</f>
        <v>1552374609751870</v>
      </c>
      <c r="C1294" t="s">
        <v>40</v>
      </c>
      <c r="D1294">
        <v>5.646102</v>
      </c>
      <c r="E1294">
        <v>0.58960829999999997</v>
      </c>
      <c r="F1294" t="s">
        <v>48</v>
      </c>
      <c r="G1294">
        <v>-197.1046</v>
      </c>
      <c r="H1294" s="1">
        <v>-5.6695359999999998E-6</v>
      </c>
      <c r="I1294">
        <v>357.42739999999998</v>
      </c>
      <c r="J1294">
        <v>-203.5729</v>
      </c>
      <c r="K1294">
        <v>1.10287</v>
      </c>
      <c r="L1294">
        <v>364.09280000000001</v>
      </c>
      <c r="M1294">
        <v>0.93882849999999995</v>
      </c>
      <c r="N1294">
        <v>0</v>
      </c>
      <c r="O1294">
        <v>-0.34406579999999998</v>
      </c>
      <c r="P1294">
        <v>0.84485750000000004</v>
      </c>
      <c r="Q1294">
        <v>2.5014660000000001E-2</v>
      </c>
      <c r="R1294">
        <v>-0.53440690000000002</v>
      </c>
      <c r="S1294">
        <v>2.1701350000000001</v>
      </c>
      <c r="T1294">
        <v>-0.36254170000000002</v>
      </c>
      <c r="U1294">
        <v>-2.2085880000000002</v>
      </c>
      <c r="V1294">
        <v>0.21173429999999999</v>
      </c>
      <c r="W1294">
        <v>3.5675409999999998E-2</v>
      </c>
      <c r="X1294">
        <v>0.97667590000000004</v>
      </c>
      <c r="Y1294">
        <v>0.42795250000000001</v>
      </c>
      <c r="Z1294">
        <v>1.5521389999999999E-2</v>
      </c>
      <c r="AA1294">
        <v>0.90366789999999997</v>
      </c>
      <c r="AB1294">
        <v>28</v>
      </c>
      <c r="AC1294">
        <v>6.4682999999999904</v>
      </c>
      <c r="AD1294">
        <v>-1.102875669536</v>
      </c>
      <c r="AE1294">
        <v>-6.6654000000000302</v>
      </c>
      <c r="AF1294">
        <v>3.97652189358138</v>
      </c>
      <c r="AG1294">
        <v>-1.102875669536</v>
      </c>
      <c r="AH1294">
        <v>8.25054941984701</v>
      </c>
      <c r="AI1294">
        <v>96.866300849836406</v>
      </c>
      <c r="AJ1294">
        <v>64.267302259274899</v>
      </c>
      <c r="AK1294">
        <v>9.2250000998333004</v>
      </c>
      <c r="AL1294">
        <v>87.955515698499497</v>
      </c>
      <c r="AM1294">
        <v>77.768086880092696</v>
      </c>
      <c r="AN1294">
        <v>0.99999998115798305</v>
      </c>
    </row>
    <row r="1295" spans="1:40" x14ac:dyDescent="0.25">
      <c r="A1295" t="str">
        <f>"20190312151009766"</f>
        <v>20190312151009766</v>
      </c>
      <c r="B1295" t="str">
        <f>"1552374609761630"</f>
        <v>1552374609761630</v>
      </c>
      <c r="C1295" t="s">
        <v>40</v>
      </c>
      <c r="D1295">
        <v>5.6590579999999999</v>
      </c>
      <c r="E1295">
        <v>0.58984609999999904</v>
      </c>
      <c r="F1295" t="s">
        <v>48</v>
      </c>
      <c r="G1295">
        <v>-197.14580000000001</v>
      </c>
      <c r="H1295" s="1">
        <v>-5.6860380000000001E-6</v>
      </c>
      <c r="I1295">
        <v>357.45749999999998</v>
      </c>
      <c r="J1295">
        <v>-203.4487</v>
      </c>
      <c r="K1295">
        <v>1.102835</v>
      </c>
      <c r="L1295">
        <v>364.0419</v>
      </c>
      <c r="M1295">
        <v>0.93715150000000003</v>
      </c>
      <c r="N1295">
        <v>0</v>
      </c>
      <c r="O1295">
        <v>-0.34860659999999999</v>
      </c>
      <c r="P1295">
        <v>0.84176589999999996</v>
      </c>
      <c r="Q1295">
        <v>2.384464E-2</v>
      </c>
      <c r="R1295">
        <v>-0.53931609999999996</v>
      </c>
      <c r="S1295">
        <v>2.1547239999999999</v>
      </c>
      <c r="T1295">
        <v>-0.36974689999999999</v>
      </c>
      <c r="U1295">
        <v>-2.2245180000000002</v>
      </c>
      <c r="V1295">
        <v>0.21266189999999999</v>
      </c>
      <c r="W1295">
        <v>3.447691E-2</v>
      </c>
      <c r="X1295">
        <v>0.97651739999999998</v>
      </c>
      <c r="Y1295">
        <v>0.43003180000000002</v>
      </c>
      <c r="Z1295">
        <v>1.627431E-2</v>
      </c>
      <c r="AA1295">
        <v>0.902667</v>
      </c>
      <c r="AB1295">
        <v>28</v>
      </c>
      <c r="AC1295">
        <v>6.3028999999999904</v>
      </c>
      <c r="AD1295">
        <v>-1.102840686038</v>
      </c>
      <c r="AE1295">
        <v>-6.5844000000000102</v>
      </c>
      <c r="AF1295">
        <v>3.91645128023058</v>
      </c>
      <c r="AG1295">
        <v>-1.102840686038</v>
      </c>
      <c r="AH1295">
        <v>8.0846866412586298</v>
      </c>
      <c r="AI1295">
        <v>96.998886784342005</v>
      </c>
      <c r="AJ1295">
        <v>64.153137393100707</v>
      </c>
      <c r="AK1295">
        <v>9.0508014173633402</v>
      </c>
      <c r="AL1295">
        <v>88.024226988785401</v>
      </c>
      <c r="AM1295">
        <v>77.714189753579902</v>
      </c>
      <c r="AN1295">
        <v>0.99999998676875901</v>
      </c>
    </row>
    <row r="1296" spans="1:40" x14ac:dyDescent="0.25">
      <c r="A1296" t="str">
        <f>"20190312151009778"</f>
        <v>20190312151009778</v>
      </c>
      <c r="B1296" t="str">
        <f>"1552374609772365"</f>
        <v>1552374609772365</v>
      </c>
      <c r="C1296" t="s">
        <v>40</v>
      </c>
      <c r="D1296">
        <v>5.7361810000000002</v>
      </c>
      <c r="E1296">
        <v>0.59007109999999996</v>
      </c>
      <c r="F1296" t="s">
        <v>48</v>
      </c>
      <c r="G1296">
        <v>-197.17240000000001</v>
      </c>
      <c r="H1296" s="1">
        <v>-5.6969910000000002E-6</v>
      </c>
      <c r="I1296">
        <v>357.4778</v>
      </c>
      <c r="J1296">
        <v>-203.30779999999999</v>
      </c>
      <c r="K1296">
        <v>1.1027929999999999</v>
      </c>
      <c r="L1296">
        <v>363.98390000000001</v>
      </c>
      <c r="M1296">
        <v>0.93521540000000003</v>
      </c>
      <c r="N1296">
        <v>0</v>
      </c>
      <c r="O1296">
        <v>-0.35376760000000002</v>
      </c>
      <c r="P1296">
        <v>0.83822240000000003</v>
      </c>
      <c r="Q1296">
        <v>2.3012649999999999E-2</v>
      </c>
      <c r="R1296">
        <v>-0.54484279999999996</v>
      </c>
      <c r="S1296">
        <v>2.140396</v>
      </c>
      <c r="T1296">
        <v>-0.37609740000000003</v>
      </c>
      <c r="U1296">
        <v>-2.2385250000000001</v>
      </c>
      <c r="V1296">
        <v>0.21368400000000001</v>
      </c>
      <c r="W1296">
        <v>3.3612900000000001E-2</v>
      </c>
      <c r="X1296">
        <v>0.97632439999999998</v>
      </c>
      <c r="Y1296">
        <v>0.43090020000000001</v>
      </c>
      <c r="Z1296">
        <v>1.7170599999999901E-2</v>
      </c>
      <c r="AA1296">
        <v>0.90223620000000004</v>
      </c>
      <c r="AB1296">
        <v>28</v>
      </c>
      <c r="AC1296">
        <v>6.1353999999999704</v>
      </c>
      <c r="AD1296">
        <v>-1.102798696991</v>
      </c>
      <c r="AE1296">
        <v>-6.5061</v>
      </c>
      <c r="AF1296">
        <v>3.8558933488638898</v>
      </c>
      <c r="AG1296">
        <v>-1.102798696991</v>
      </c>
      <c r="AH1296">
        <v>7.9200130461317304</v>
      </c>
      <c r="AI1296">
        <v>97.135914975847797</v>
      </c>
      <c r="AJ1296">
        <v>64.0406604033669</v>
      </c>
      <c r="AK1296">
        <v>8.8775382361775605</v>
      </c>
      <c r="AL1296">
        <v>88.073759869387601</v>
      </c>
      <c r="AM1296">
        <v>77.654582181499805</v>
      </c>
      <c r="AN1296">
        <v>1.0000000064688801</v>
      </c>
    </row>
    <row r="1297" spans="1:40" x14ac:dyDescent="0.25">
      <c r="A1297" t="str">
        <f>"20190312151009789"</f>
        <v>20190312151009789</v>
      </c>
      <c r="B1297" t="str">
        <f>"1552374609782126"</f>
        <v>1552374609782126</v>
      </c>
      <c r="C1297" t="s">
        <v>40</v>
      </c>
      <c r="D1297">
        <v>5.6652129999999996</v>
      </c>
      <c r="E1297">
        <v>0.59030740000000004</v>
      </c>
      <c r="F1297" t="s">
        <v>48</v>
      </c>
      <c r="G1297">
        <v>-197.06710000000001</v>
      </c>
      <c r="H1297" s="1">
        <v>-5.6422479999999996E-6</v>
      </c>
      <c r="I1297">
        <v>357.36340000000001</v>
      </c>
      <c r="J1297">
        <v>-203.16640000000001</v>
      </c>
      <c r="K1297">
        <v>1.102752</v>
      </c>
      <c r="L1297">
        <v>363.92399999999998</v>
      </c>
      <c r="M1297">
        <v>0.93321449999999995</v>
      </c>
      <c r="N1297">
        <v>0</v>
      </c>
      <c r="O1297">
        <v>-0.3590122</v>
      </c>
      <c r="P1297">
        <v>0.83473999999999904</v>
      </c>
      <c r="Q1297">
        <v>2.220859E-2</v>
      </c>
      <c r="R1297">
        <v>-0.55019659999999904</v>
      </c>
      <c r="S1297">
        <v>2.1244350000000001</v>
      </c>
      <c r="T1297">
        <v>-0.37540899999999999</v>
      </c>
      <c r="U1297">
        <v>-2.2536930000000002</v>
      </c>
      <c r="V1297">
        <v>0.2144324</v>
      </c>
      <c r="W1297">
        <v>3.278271E-2</v>
      </c>
      <c r="X1297">
        <v>0.97618850000000001</v>
      </c>
      <c r="Y1297">
        <v>0.43227369999999998</v>
      </c>
      <c r="Z1297">
        <v>1.7736869999999998E-2</v>
      </c>
      <c r="AA1297">
        <v>0.90156800000000004</v>
      </c>
      <c r="AB1297">
        <v>28</v>
      </c>
      <c r="AC1297">
        <v>6.0993000000000004</v>
      </c>
      <c r="AD1297">
        <v>-1.1027576422480001</v>
      </c>
      <c r="AE1297">
        <v>-6.5606000000000204</v>
      </c>
      <c r="AF1297">
        <v>3.8744416378906199</v>
      </c>
      <c r="AG1297">
        <v>-1.1027576422480001</v>
      </c>
      <c r="AH1297">
        <v>7.9280311616504902</v>
      </c>
      <c r="AI1297">
        <v>97.123376332201303</v>
      </c>
      <c r="AJ1297">
        <v>63.955165424133597</v>
      </c>
      <c r="AK1297">
        <v>8.8927526966096497</v>
      </c>
      <c r="AL1297">
        <v>88.121352425421406</v>
      </c>
      <c r="AM1297">
        <v>77.611005345598699</v>
      </c>
      <c r="AN1297">
        <v>0.99999997388847595</v>
      </c>
    </row>
    <row r="1298" spans="1:40" x14ac:dyDescent="0.25">
      <c r="A1298" t="str">
        <f>"20190312151009803"</f>
        <v>20190312151009803</v>
      </c>
      <c r="B1298" t="str">
        <f>"1552374609791886"</f>
        <v>1552374609791886</v>
      </c>
      <c r="C1298" t="s">
        <v>40</v>
      </c>
      <c r="D1298">
        <v>5.682213</v>
      </c>
      <c r="E1298">
        <v>0.59044859999999999</v>
      </c>
      <c r="F1298" t="s">
        <v>48</v>
      </c>
      <c r="G1298">
        <v>-196.9486</v>
      </c>
      <c r="H1298" s="1">
        <v>-5.5802630000000002E-6</v>
      </c>
      <c r="I1298">
        <v>357.23360000000002</v>
      </c>
      <c r="J1298">
        <v>-203.0196</v>
      </c>
      <c r="K1298">
        <v>1.1027089999999999</v>
      </c>
      <c r="L1298">
        <v>363.86130000000003</v>
      </c>
      <c r="M1298">
        <v>0.93109609999999998</v>
      </c>
      <c r="N1298">
        <v>0</v>
      </c>
      <c r="O1298">
        <v>-0.36447069999999998</v>
      </c>
      <c r="P1298">
        <v>0.83113530000000002</v>
      </c>
      <c r="Q1298">
        <v>2.1704290000000001E-2</v>
      </c>
      <c r="R1298">
        <v>-0.55564669999999905</v>
      </c>
      <c r="S1298">
        <v>2.1084749999999999</v>
      </c>
      <c r="T1298">
        <v>-0.37395050000000002</v>
      </c>
      <c r="U1298">
        <v>-2.2687680000000001</v>
      </c>
      <c r="V1298">
        <v>0.2150929</v>
      </c>
      <c r="W1298">
        <v>3.2253700000000003E-2</v>
      </c>
      <c r="X1298">
        <v>0.97606090000000001</v>
      </c>
      <c r="Y1298">
        <v>0.43341479999999999</v>
      </c>
      <c r="Z1298">
        <v>1.8307500000000001E-2</v>
      </c>
      <c r="AA1298">
        <v>0.90100860000000005</v>
      </c>
      <c r="AB1298">
        <v>28</v>
      </c>
      <c r="AC1298">
        <v>6.07099999999999</v>
      </c>
      <c r="AD1298">
        <v>-1.1027145802629901</v>
      </c>
      <c r="AE1298">
        <v>-6.6276999999999999</v>
      </c>
      <c r="AF1298">
        <v>3.9000568310891799</v>
      </c>
      <c r="AG1298">
        <v>-1.1027145802629901</v>
      </c>
      <c r="AH1298">
        <v>7.9495203902704397</v>
      </c>
      <c r="AI1298">
        <v>97.098764923100703</v>
      </c>
      <c r="AJ1298">
        <v>63.8673024905532</v>
      </c>
      <c r="AK1298">
        <v>8.92307666483795</v>
      </c>
      <c r="AL1298">
        <v>88.151678680251607</v>
      </c>
      <c r="AM1298">
        <v>77.572454130313005</v>
      </c>
      <c r="AN1298">
        <v>1.0000000686514501</v>
      </c>
    </row>
    <row r="1299" spans="1:40" x14ac:dyDescent="0.25">
      <c r="A1299" t="str">
        <f>"20190312151009819"</f>
        <v>20190312151009819</v>
      </c>
      <c r="B1299" t="str">
        <f>"1552374609812382"</f>
        <v>1552374609812382</v>
      </c>
      <c r="C1299" t="s">
        <v>40</v>
      </c>
      <c r="D1299">
        <v>5.6574920000000004</v>
      </c>
      <c r="E1299">
        <v>0.59062959999999998</v>
      </c>
      <c r="F1299" t="s">
        <v>48</v>
      </c>
      <c r="G1299">
        <v>-196.82679999999999</v>
      </c>
      <c r="H1299" s="1">
        <v>-5.5176089999999999E-6</v>
      </c>
      <c r="I1299">
        <v>357.10320000000002</v>
      </c>
      <c r="J1299">
        <v>-202.8433</v>
      </c>
      <c r="K1299">
        <v>1.10266</v>
      </c>
      <c r="L1299">
        <v>363.78460000000001</v>
      </c>
      <c r="M1299">
        <v>0.92848609999999998</v>
      </c>
      <c r="N1299">
        <v>0</v>
      </c>
      <c r="O1299">
        <v>-0.37106869999999997</v>
      </c>
      <c r="P1299">
        <v>0.82667950000000001</v>
      </c>
      <c r="Q1299">
        <v>2.1594039999999998E-2</v>
      </c>
      <c r="R1299">
        <v>-0.5622587</v>
      </c>
      <c r="S1299">
        <v>2.092606</v>
      </c>
      <c r="T1299">
        <v>-0.37261490000000003</v>
      </c>
      <c r="U1299">
        <v>-2.2835999999999999</v>
      </c>
      <c r="V1299">
        <v>0.21595320000000001</v>
      </c>
      <c r="W1299">
        <v>3.2113099999999999E-2</v>
      </c>
      <c r="X1299">
        <v>0.97587550000000001</v>
      </c>
      <c r="Y1299">
        <v>0.43338300000000002</v>
      </c>
      <c r="Z1299">
        <v>1.910545E-2</v>
      </c>
      <c r="AA1299">
        <v>0.90100729999999996</v>
      </c>
      <c r="AB1299">
        <v>28</v>
      </c>
      <c r="AC1299">
        <v>6.0164999999999997</v>
      </c>
      <c r="AD1299">
        <v>-1.1026655176089999</v>
      </c>
      <c r="AE1299">
        <v>-6.6813999999999902</v>
      </c>
      <c r="AF1299">
        <v>3.9126437877783502</v>
      </c>
      <c r="AG1299">
        <v>-1.1026655176089999</v>
      </c>
      <c r="AH1299">
        <v>7.9468633213568198</v>
      </c>
      <c r="AI1299">
        <v>97.095940011983799</v>
      </c>
      <c r="AJ1299">
        <v>63.786638177978901</v>
      </c>
      <c r="AK1299">
        <v>8.9262136038799191</v>
      </c>
      <c r="AL1299">
        <v>88.159738540255304</v>
      </c>
      <c r="AM1299">
        <v>77.522005456955696</v>
      </c>
      <c r="AN1299">
        <v>1.0000000136410401</v>
      </c>
    </row>
    <row r="1300" spans="1:40" x14ac:dyDescent="0.25">
      <c r="A1300" t="str">
        <f>"20190312151009833"</f>
        <v>20190312151009833</v>
      </c>
      <c r="B1300" t="str">
        <f>"1552374609822142"</f>
        <v>1552374609822142</v>
      </c>
      <c r="C1300" t="s">
        <v>40</v>
      </c>
      <c r="D1300">
        <v>5.6812370000000003</v>
      </c>
      <c r="E1300">
        <v>0.59077170000000001</v>
      </c>
      <c r="F1300" t="s">
        <v>48</v>
      </c>
      <c r="G1300">
        <v>-196.6412</v>
      </c>
      <c r="H1300" s="1">
        <v>-5.4212839999999996E-6</v>
      </c>
      <c r="I1300">
        <v>356.90199999999999</v>
      </c>
      <c r="J1300">
        <v>-202.66909999999999</v>
      </c>
      <c r="K1300">
        <v>1.102609</v>
      </c>
      <c r="L1300">
        <v>363.70690000000002</v>
      </c>
      <c r="M1300">
        <v>0.92582430000000004</v>
      </c>
      <c r="N1300">
        <v>0</v>
      </c>
      <c r="O1300">
        <v>-0.37766070000000002</v>
      </c>
      <c r="P1300">
        <v>0.8219687</v>
      </c>
      <c r="Q1300">
        <v>2.0827419999999999E-2</v>
      </c>
      <c r="R1300">
        <v>-0.56915230000000006</v>
      </c>
      <c r="S1300">
        <v>2.073563</v>
      </c>
      <c r="T1300">
        <v>-0.36865409999999998</v>
      </c>
      <c r="U1300">
        <v>-2.301056</v>
      </c>
      <c r="V1300">
        <v>0.2171575</v>
      </c>
      <c r="W1300">
        <v>3.1309080000000003E-2</v>
      </c>
      <c r="X1300">
        <v>0.97563429999999995</v>
      </c>
      <c r="Y1300">
        <v>0.43453239999999999</v>
      </c>
      <c r="Z1300">
        <v>1.9682720000000001E-2</v>
      </c>
      <c r="AA1300">
        <v>0.90044109999999999</v>
      </c>
      <c r="AB1300">
        <v>27</v>
      </c>
      <c r="AC1300">
        <v>6.0278999999999803</v>
      </c>
      <c r="AD1300">
        <v>-1.1026144212839999</v>
      </c>
      <c r="AE1300">
        <v>-6.8049000000000301</v>
      </c>
      <c r="AF1300">
        <v>3.9657465563772001</v>
      </c>
      <c r="AG1300">
        <v>-1.1026144212839999</v>
      </c>
      <c r="AH1300">
        <v>8.0334426973726103</v>
      </c>
      <c r="AI1300">
        <v>97.016316271663698</v>
      </c>
      <c r="AJ1300">
        <v>63.726534596953599</v>
      </c>
      <c r="AK1300">
        <v>9.0265777503664406</v>
      </c>
      <c r="AL1300">
        <v>88.205828582090305</v>
      </c>
      <c r="AM1300">
        <v>77.451613537829502</v>
      </c>
      <c r="AN1300">
        <v>0.99999996281659198</v>
      </c>
    </row>
    <row r="1301" spans="1:40" x14ac:dyDescent="0.25">
      <c r="A1301" t="str">
        <f>"20190312151009848"</f>
        <v>20190312151009848</v>
      </c>
      <c r="B1301" t="str">
        <f>"1552374609841662"</f>
        <v>1552374609841662</v>
      </c>
      <c r="C1301" t="s">
        <v>40</v>
      </c>
      <c r="D1301">
        <v>5.6946529999999997</v>
      </c>
      <c r="E1301">
        <v>0.59107569999999998</v>
      </c>
      <c r="F1301" t="s">
        <v>48</v>
      </c>
      <c r="G1301">
        <v>-196.53229999999999</v>
      </c>
      <c r="H1301" s="1">
        <v>-5.3619469999999997E-6</v>
      </c>
      <c r="I1301">
        <v>356.7756</v>
      </c>
      <c r="J1301">
        <v>-202.50989999999999</v>
      </c>
      <c r="K1301">
        <v>1.1025700000000001</v>
      </c>
      <c r="L1301">
        <v>363.63459999999998</v>
      </c>
      <c r="M1301">
        <v>0.92332769999999997</v>
      </c>
      <c r="N1301">
        <v>0</v>
      </c>
      <c r="O1301">
        <v>-0.38372339999999999</v>
      </c>
      <c r="P1301">
        <v>0.818175599999999</v>
      </c>
      <c r="Q1301">
        <v>1.997782E-2</v>
      </c>
      <c r="R1301">
        <v>-0.57462170000000001</v>
      </c>
      <c r="S1301">
        <v>2.053299</v>
      </c>
      <c r="T1301">
        <v>-0.36892340000000001</v>
      </c>
      <c r="U1301">
        <v>-2.319153</v>
      </c>
      <c r="V1301">
        <v>0.21724599999999999</v>
      </c>
      <c r="W1301">
        <v>3.0447370000000001E-2</v>
      </c>
      <c r="X1301">
        <v>0.97564189999999995</v>
      </c>
      <c r="Y1301">
        <v>0.43654559999999998</v>
      </c>
      <c r="Z1301">
        <v>2.0354770000000001E-2</v>
      </c>
      <c r="AA1301">
        <v>0.89945189999999997</v>
      </c>
      <c r="AB1301">
        <v>27</v>
      </c>
      <c r="AC1301">
        <v>5.97759999999999</v>
      </c>
      <c r="AD1301">
        <v>-1.102575361947</v>
      </c>
      <c r="AE1301">
        <v>-6.8589999999999796</v>
      </c>
      <c r="AF1301">
        <v>3.9813387875505</v>
      </c>
      <c r="AG1301">
        <v>-1.102575361947</v>
      </c>
      <c r="AH1301">
        <v>8.0341589251328696</v>
      </c>
      <c r="AI1301">
        <v>97.010217742065905</v>
      </c>
      <c r="AJ1301">
        <v>63.639219768414598</v>
      </c>
      <c r="AK1301">
        <v>9.0340710980332002</v>
      </c>
      <c r="AL1301">
        <v>88.255224536708198</v>
      </c>
      <c r="AM1301">
        <v>77.446756340411696</v>
      </c>
      <c r="AN1301">
        <v>0.99999999194576294</v>
      </c>
    </row>
    <row r="1302" spans="1:40" x14ac:dyDescent="0.25">
      <c r="A1302" t="str">
        <f>"20190312151009861"</f>
        <v>20190312151009861</v>
      </c>
      <c r="B1302" t="str">
        <f>"1552374609852398"</f>
        <v>1552374609852398</v>
      </c>
      <c r="C1302" t="s">
        <v>40</v>
      </c>
      <c r="D1302">
        <v>5.6749080000000003</v>
      </c>
      <c r="E1302">
        <v>0.59118459999999995</v>
      </c>
      <c r="F1302" t="s">
        <v>48</v>
      </c>
      <c r="G1302">
        <v>-196.53880000000001</v>
      </c>
      <c r="H1302" s="1">
        <v>-5.3667879999999997E-6</v>
      </c>
      <c r="I1302">
        <v>356.78699999999998</v>
      </c>
      <c r="J1302">
        <v>-202.36080000000001</v>
      </c>
      <c r="K1302">
        <v>1.1025290000000001</v>
      </c>
      <c r="L1302">
        <v>363.56599999999997</v>
      </c>
      <c r="M1302">
        <v>0.92093579999999997</v>
      </c>
      <c r="N1302">
        <v>0</v>
      </c>
      <c r="O1302">
        <v>-0.38942939999999998</v>
      </c>
      <c r="P1302">
        <v>0.81455169999999999</v>
      </c>
      <c r="Q1302">
        <v>1.9645220000000001E-2</v>
      </c>
      <c r="R1302">
        <v>-0.57975909999999997</v>
      </c>
      <c r="S1302">
        <v>2.0359950000000002</v>
      </c>
      <c r="T1302">
        <v>-0.37595509999999999</v>
      </c>
      <c r="U1302">
        <v>-2.3349000000000002</v>
      </c>
      <c r="V1302">
        <v>0.21734200000000001</v>
      </c>
      <c r="W1302">
        <v>3.0103250000000002E-2</v>
      </c>
      <c r="X1302">
        <v>0.97563120000000003</v>
      </c>
      <c r="Y1302">
        <v>0.43778020000000001</v>
      </c>
      <c r="Z1302">
        <v>2.1412250000000001E-2</v>
      </c>
      <c r="AA1302">
        <v>0.89882700000000004</v>
      </c>
      <c r="AB1302">
        <v>27</v>
      </c>
      <c r="AC1302">
        <v>5.8220000000000001</v>
      </c>
      <c r="AD1302">
        <v>-1.1025343667880001</v>
      </c>
      <c r="AE1302">
        <v>-6.7789999999999901</v>
      </c>
      <c r="AF1302">
        <v>3.91658417567852</v>
      </c>
      <c r="AG1302">
        <v>-1.1025343667880001</v>
      </c>
      <c r="AH1302">
        <v>7.8825210928892897</v>
      </c>
      <c r="AI1302">
        <v>97.139722357424304</v>
      </c>
      <c r="AJ1302">
        <v>63.578620784709301</v>
      </c>
      <c r="AK1302">
        <v>8.8707019121921</v>
      </c>
      <c r="AL1302">
        <v>88.274950207341107</v>
      </c>
      <c r="AM1302">
        <v>77.441251693086301</v>
      </c>
      <c r="AN1302">
        <v>0.99999999451900101</v>
      </c>
    </row>
    <row r="1303" spans="1:40" x14ac:dyDescent="0.25">
      <c r="A1303" t="str">
        <f>"20190312151009871"</f>
        <v>20190312151009871</v>
      </c>
      <c r="B1303" t="str">
        <f>"1552374609862158"</f>
        <v>1552374609862158</v>
      </c>
      <c r="C1303" t="s">
        <v>40</v>
      </c>
      <c r="D1303">
        <v>5.7119090000000003</v>
      </c>
      <c r="E1303">
        <v>0.59129770000000004</v>
      </c>
      <c r="F1303" t="s">
        <v>48</v>
      </c>
      <c r="G1303">
        <v>-196.47389999999999</v>
      </c>
      <c r="H1303" s="1">
        <v>-5.3350090000000002E-6</v>
      </c>
      <c r="I1303">
        <v>356.72239999999999</v>
      </c>
      <c r="J1303">
        <v>-202.22970000000001</v>
      </c>
      <c r="K1303">
        <v>1.102492</v>
      </c>
      <c r="L1303">
        <v>363.50450000000001</v>
      </c>
      <c r="M1303">
        <v>0.91877880000000001</v>
      </c>
      <c r="N1303">
        <v>0</v>
      </c>
      <c r="O1303">
        <v>-0.39449079999999997</v>
      </c>
      <c r="P1303">
        <v>0.81151819999999997</v>
      </c>
      <c r="Q1303">
        <v>1.913948E-2</v>
      </c>
      <c r="R1303">
        <v>-0.58401409999999998</v>
      </c>
      <c r="S1303">
        <v>2.0204010000000001</v>
      </c>
      <c r="T1303">
        <v>-0.37839200000000001</v>
      </c>
      <c r="U1303">
        <v>-2.3487550000000001</v>
      </c>
      <c r="V1303">
        <v>0.21706810000000001</v>
      </c>
      <c r="W1303">
        <v>2.959374E-2</v>
      </c>
      <c r="X1303">
        <v>0.97570780000000001</v>
      </c>
      <c r="Y1303">
        <v>0.43890240000000003</v>
      </c>
      <c r="Z1303">
        <v>2.2150380000000001E-2</v>
      </c>
      <c r="AA1303">
        <v>0.89826170000000005</v>
      </c>
      <c r="AB1303">
        <v>27</v>
      </c>
      <c r="AC1303">
        <v>5.7558000000000202</v>
      </c>
      <c r="AD1303">
        <v>-1.1024973350089999</v>
      </c>
      <c r="AE1303">
        <v>-6.7821000000000096</v>
      </c>
      <c r="AF1303">
        <v>3.9011525179679798</v>
      </c>
      <c r="AG1303">
        <v>-1.1024973350089999</v>
      </c>
      <c r="AH1303">
        <v>7.84417061141398</v>
      </c>
      <c r="AI1303">
        <v>97.172720386042201</v>
      </c>
      <c r="AJ1303">
        <v>63.5573979868241</v>
      </c>
      <c r="AK1303">
        <v>8.8298076945718709</v>
      </c>
      <c r="AL1303">
        <v>88.304156054114003</v>
      </c>
      <c r="AM1303">
        <v>77.457530967371099</v>
      </c>
      <c r="AN1303">
        <v>1.00000003023281</v>
      </c>
    </row>
    <row r="1304" spans="1:40" x14ac:dyDescent="0.25">
      <c r="A1304" t="str">
        <f>"20190312151009883"</f>
        <v>20190312151009883</v>
      </c>
      <c r="B1304" t="str">
        <f>"1552374609871918"</f>
        <v>1552374609871918</v>
      </c>
      <c r="C1304" t="s">
        <v>40</v>
      </c>
      <c r="D1304">
        <v>5.7343539999999997</v>
      </c>
      <c r="E1304">
        <v>0.59140429999999999</v>
      </c>
      <c r="F1304" t="s">
        <v>48</v>
      </c>
      <c r="G1304">
        <v>-196.42189999999999</v>
      </c>
      <c r="H1304" s="1">
        <v>-5.3105869999999999E-6</v>
      </c>
      <c r="I1304">
        <v>356.6737</v>
      </c>
      <c r="J1304">
        <v>-202.1078</v>
      </c>
      <c r="K1304">
        <v>1.1024609999999999</v>
      </c>
      <c r="L1304">
        <v>363.44659999999999</v>
      </c>
      <c r="M1304">
        <v>0.91672949999999997</v>
      </c>
      <c r="N1304">
        <v>0</v>
      </c>
      <c r="O1304">
        <v>-0.39922960000000002</v>
      </c>
      <c r="P1304">
        <v>0.8085833</v>
      </c>
      <c r="Q1304">
        <v>1.8693149999999999E-2</v>
      </c>
      <c r="R1304">
        <v>-0.58808490000000002</v>
      </c>
      <c r="S1304">
        <v>2.0069889999999999</v>
      </c>
      <c r="T1304">
        <v>-0.38098789999999999</v>
      </c>
      <c r="U1304">
        <v>-2.360535</v>
      </c>
      <c r="V1304">
        <v>0.21692359999999999</v>
      </c>
      <c r="W1304">
        <v>2.9140940000000001E-2</v>
      </c>
      <c r="X1304">
        <v>0.97575350000000005</v>
      </c>
      <c r="Y1304">
        <v>0.43945770000000001</v>
      </c>
      <c r="Z1304">
        <v>2.2900790000000001E-2</v>
      </c>
      <c r="AA1304">
        <v>0.89797130000000003</v>
      </c>
      <c r="AB1304">
        <v>27</v>
      </c>
      <c r="AC1304">
        <v>5.6859000000000002</v>
      </c>
      <c r="AD1304">
        <v>-1.1024663105869901</v>
      </c>
      <c r="AE1304">
        <v>-6.7728999999999902</v>
      </c>
      <c r="AF1304">
        <v>3.8790865574052198</v>
      </c>
      <c r="AG1304">
        <v>-1.1024663105869901</v>
      </c>
      <c r="AH1304">
        <v>7.7960872570892104</v>
      </c>
      <c r="AI1304">
        <v>97.215618455306199</v>
      </c>
      <c r="AJ1304">
        <v>63.546514149018797</v>
      </c>
      <c r="AK1304">
        <v>8.7773413404042806</v>
      </c>
      <c r="AL1304">
        <v>88.330110672666905</v>
      </c>
      <c r="AM1304">
        <v>77.466184925403894</v>
      </c>
      <c r="AN1304">
        <v>0.99999996769164601</v>
      </c>
    </row>
    <row r="1305" spans="1:40" x14ac:dyDescent="0.25">
      <c r="A1305" t="str">
        <f>"20190312151009894"</f>
        <v>20190312151009894</v>
      </c>
      <c r="B1305" t="str">
        <f>"1552374609891438"</f>
        <v>1552374609891438</v>
      </c>
      <c r="C1305" t="s">
        <v>40</v>
      </c>
      <c r="D1305">
        <v>5.6575470000000001</v>
      </c>
      <c r="E1305">
        <v>0.59158929999999998</v>
      </c>
      <c r="F1305" t="s">
        <v>48</v>
      </c>
      <c r="G1305">
        <v>-196.3809</v>
      </c>
      <c r="H1305" s="1">
        <v>-5.2917639999999997E-6</v>
      </c>
      <c r="I1305">
        <v>356.63659999999999</v>
      </c>
      <c r="J1305">
        <v>-201.97989999999999</v>
      </c>
      <c r="K1305">
        <v>1.1024229999999999</v>
      </c>
      <c r="L1305">
        <v>363.38499999999999</v>
      </c>
      <c r="M1305">
        <v>0.91453830000000003</v>
      </c>
      <c r="N1305">
        <v>0</v>
      </c>
      <c r="O1305">
        <v>-0.40422340000000001</v>
      </c>
      <c r="P1305">
        <v>0.80543739999999997</v>
      </c>
      <c r="Q1305">
        <v>1.8560489999999999E-2</v>
      </c>
      <c r="R1305">
        <v>-0.59239069999999905</v>
      </c>
      <c r="S1305">
        <v>1.9942930000000001</v>
      </c>
      <c r="T1305">
        <v>-0.38391520000000001</v>
      </c>
      <c r="U1305">
        <v>-2.3714599999999999</v>
      </c>
      <c r="V1305">
        <v>0.21680650000000001</v>
      </c>
      <c r="W1305">
        <v>2.9000339999999999E-2</v>
      </c>
      <c r="X1305">
        <v>0.97578379999999998</v>
      </c>
      <c r="Y1305">
        <v>0.43943769999999999</v>
      </c>
      <c r="Z1305">
        <v>2.3753779999999999E-2</v>
      </c>
      <c r="AA1305">
        <v>0.89795899999999995</v>
      </c>
      <c r="AB1305">
        <v>27</v>
      </c>
      <c r="AC1305">
        <v>5.5989999999999798</v>
      </c>
      <c r="AD1305">
        <v>-1.102428291764</v>
      </c>
      <c r="AE1305">
        <v>-6.7484000000000002</v>
      </c>
      <c r="AF1305">
        <v>3.84803605094968</v>
      </c>
      <c r="AG1305">
        <v>-1.102428291764</v>
      </c>
      <c r="AH1305">
        <v>7.72709942873737</v>
      </c>
      <c r="AI1305">
        <v>97.2778857372994</v>
      </c>
      <c r="AJ1305">
        <v>63.527048693982103</v>
      </c>
      <c r="AK1305">
        <v>8.7023442341407904</v>
      </c>
      <c r="AL1305">
        <v>88.338170004576597</v>
      </c>
      <c r="AM1305">
        <v>77.473114031842002</v>
      </c>
      <c r="AN1305">
        <v>1.0000000512524001</v>
      </c>
    </row>
    <row r="1306" spans="1:40" x14ac:dyDescent="0.25">
      <c r="A1306" t="str">
        <f>"20190312151009907"</f>
        <v>20190312151009907</v>
      </c>
      <c r="B1306" t="str">
        <f>"1552374609902174"</f>
        <v>1552374609902174</v>
      </c>
      <c r="C1306" t="s">
        <v>40</v>
      </c>
      <c r="D1306">
        <v>5.7295509999999998</v>
      </c>
      <c r="E1306">
        <v>0.59167029999999998</v>
      </c>
      <c r="F1306" t="s">
        <v>48</v>
      </c>
      <c r="G1306">
        <v>-196.33619999999999</v>
      </c>
      <c r="H1306" s="1">
        <v>-5.2706610000000002E-6</v>
      </c>
      <c r="I1306">
        <v>356.59440000000001</v>
      </c>
      <c r="J1306">
        <v>-201.8544</v>
      </c>
      <c r="K1306">
        <v>1.1023769999999999</v>
      </c>
      <c r="L1306">
        <v>363.32339999999999</v>
      </c>
      <c r="M1306">
        <v>0.91233330000000001</v>
      </c>
      <c r="N1306">
        <v>0</v>
      </c>
      <c r="O1306">
        <v>-0.40917530000000002</v>
      </c>
      <c r="P1306">
        <v>0.8022745</v>
      </c>
      <c r="Q1306">
        <v>1.8662930000000001E-2</v>
      </c>
      <c r="R1306">
        <v>-0.59666390000000002</v>
      </c>
      <c r="S1306">
        <v>1.9807429999999999</v>
      </c>
      <c r="T1306">
        <v>-0.38691589999999998</v>
      </c>
      <c r="U1306">
        <v>-2.38327</v>
      </c>
      <c r="V1306">
        <v>0.21670980000000001</v>
      </c>
      <c r="W1306">
        <v>2.9093750000000002E-2</v>
      </c>
      <c r="X1306">
        <v>0.97580239999999996</v>
      </c>
      <c r="Y1306">
        <v>0.43979849999999998</v>
      </c>
      <c r="Z1306">
        <v>2.4589610000000001E-2</v>
      </c>
      <c r="AA1306">
        <v>0.8977598</v>
      </c>
      <c r="AB1306">
        <v>27</v>
      </c>
      <c r="AC1306">
        <v>5.5182000000000002</v>
      </c>
      <c r="AD1306">
        <v>-1.102382270661</v>
      </c>
      <c r="AE1306">
        <v>-6.7289999999999797</v>
      </c>
      <c r="AF1306">
        <v>3.8203085898242</v>
      </c>
      <c r="AG1306">
        <v>-1.102382270661</v>
      </c>
      <c r="AH1306">
        <v>7.6656374572964801</v>
      </c>
      <c r="AI1306">
        <v>97.334214844812806</v>
      </c>
      <c r="AJ1306">
        <v>63.509801928179101</v>
      </c>
      <c r="AK1306">
        <v>8.6355082084877406</v>
      </c>
      <c r="AL1306">
        <v>88.332815584274101</v>
      </c>
      <c r="AM1306">
        <v>77.478756175274697</v>
      </c>
      <c r="AN1306">
        <v>0.99999995377543005</v>
      </c>
    </row>
    <row r="1307" spans="1:40" x14ac:dyDescent="0.25">
      <c r="A1307" t="str">
        <f>"20190312151009919"</f>
        <v>20190312151009919</v>
      </c>
      <c r="B1307" t="str">
        <f>"1552374609911934"</f>
        <v>1552374609911934</v>
      </c>
      <c r="C1307" t="s">
        <v>40</v>
      </c>
      <c r="D1307">
        <v>5.6986189999999999</v>
      </c>
      <c r="E1307">
        <v>0.59176669999999998</v>
      </c>
      <c r="F1307" t="s">
        <v>48</v>
      </c>
      <c r="G1307">
        <v>-196.26570000000001</v>
      </c>
      <c r="H1307" s="1">
        <v>-5.2349669999999996E-6</v>
      </c>
      <c r="I1307">
        <v>356.52069999999998</v>
      </c>
      <c r="J1307">
        <v>-201.7124</v>
      </c>
      <c r="K1307">
        <v>1.1023339999999999</v>
      </c>
      <c r="L1307">
        <v>363.25310000000002</v>
      </c>
      <c r="M1307">
        <v>0.90979209999999999</v>
      </c>
      <c r="N1307">
        <v>0</v>
      </c>
      <c r="O1307">
        <v>-0.41479450000000001</v>
      </c>
      <c r="P1307">
        <v>0.79880119999999999</v>
      </c>
      <c r="Q1307">
        <v>1.8559920000000001E-2</v>
      </c>
      <c r="R1307">
        <v>-0.60130879999999998</v>
      </c>
      <c r="S1307">
        <v>1.9673769999999999</v>
      </c>
      <c r="T1307">
        <v>-0.38806780000000002</v>
      </c>
      <c r="U1307">
        <v>-2.3947449999999999</v>
      </c>
      <c r="V1307">
        <v>0.2163535</v>
      </c>
      <c r="W1307">
        <v>2.898508E-2</v>
      </c>
      <c r="X1307">
        <v>0.97588470000000005</v>
      </c>
      <c r="Y1307">
        <v>0.4393977</v>
      </c>
      <c r="Z1307">
        <v>2.5459590000000001E-2</v>
      </c>
      <c r="AA1307">
        <v>0.89793179999999995</v>
      </c>
      <c r="AB1307">
        <v>27</v>
      </c>
      <c r="AC1307">
        <v>5.4466999999999901</v>
      </c>
      <c r="AD1307">
        <v>-1.10233923496699</v>
      </c>
      <c r="AE1307">
        <v>-6.7324000000000401</v>
      </c>
      <c r="AF1307">
        <v>3.80460678957028</v>
      </c>
      <c r="AG1307">
        <v>-1.10233923496699</v>
      </c>
      <c r="AH1307">
        <v>7.6252366284487101</v>
      </c>
      <c r="AI1307">
        <v>97.370670190274495</v>
      </c>
      <c r="AJ1307">
        <v>63.483127727532597</v>
      </c>
      <c r="AK1307">
        <v>8.5926956336197495</v>
      </c>
      <c r="AL1307">
        <v>88.3390445538232</v>
      </c>
      <c r="AM1307">
        <v>77.499716240282197</v>
      </c>
      <c r="AN1307">
        <v>0.99999995975947198</v>
      </c>
    </row>
    <row r="1308" spans="1:40" x14ac:dyDescent="0.25">
      <c r="A1308" t="str">
        <f>"20190312151009933"</f>
        <v>20190312151009933</v>
      </c>
      <c r="B1308" t="str">
        <f>"1552374609921695"</f>
        <v>1552374609921695</v>
      </c>
      <c r="C1308" t="s">
        <v>40</v>
      </c>
      <c r="D1308">
        <v>5.7001220000000004</v>
      </c>
      <c r="E1308">
        <v>0.59182419999999902</v>
      </c>
      <c r="F1308" t="s">
        <v>48</v>
      </c>
      <c r="G1308">
        <v>-196.1859</v>
      </c>
      <c r="H1308" s="1">
        <v>-5.1884880000000001E-6</v>
      </c>
      <c r="I1308">
        <v>356.44380000000001</v>
      </c>
      <c r="J1308">
        <v>-201.55199999999999</v>
      </c>
      <c r="K1308">
        <v>1.1022809999999901</v>
      </c>
      <c r="L1308">
        <v>363.17189999999999</v>
      </c>
      <c r="M1308">
        <v>0.90683159999999896</v>
      </c>
      <c r="N1308">
        <v>0</v>
      </c>
      <c r="O1308">
        <v>-0.42122670000000001</v>
      </c>
      <c r="P1308">
        <v>0.79497069999999903</v>
      </c>
      <c r="Q1308">
        <v>1.8303989999999999E-2</v>
      </c>
      <c r="R1308">
        <v>-0.60637200000000002</v>
      </c>
      <c r="S1308">
        <v>1.9531559999999999</v>
      </c>
      <c r="T1308">
        <v>-0.38958680000000001</v>
      </c>
      <c r="U1308">
        <v>-2.4065249999999998</v>
      </c>
      <c r="V1308">
        <v>0.2156399</v>
      </c>
      <c r="W1308">
        <v>2.8728170000000001E-2</v>
      </c>
      <c r="X1308">
        <v>0.97605030000000004</v>
      </c>
      <c r="Y1308">
        <v>0.43843070000000001</v>
      </c>
      <c r="Z1308">
        <v>2.6511610000000001E-2</v>
      </c>
      <c r="AA1308">
        <v>0.89837389999999995</v>
      </c>
      <c r="AB1308">
        <v>27</v>
      </c>
      <c r="AC1308">
        <v>5.3661000000000101</v>
      </c>
      <c r="AD1308">
        <v>-1.10228618848799</v>
      </c>
      <c r="AE1308">
        <v>-6.72809999999998</v>
      </c>
      <c r="AF1308">
        <v>3.7793381614942798</v>
      </c>
      <c r="AG1308">
        <v>-1.10228618848799</v>
      </c>
      <c r="AH1308">
        <v>7.5767678091390698</v>
      </c>
      <c r="AI1308">
        <v>97.417363861444898</v>
      </c>
      <c r="AJ1308">
        <v>63.4896983288927</v>
      </c>
      <c r="AK1308">
        <v>8.5384917997187593</v>
      </c>
      <c r="AL1308">
        <v>88.353770663252007</v>
      </c>
      <c r="AM1308">
        <v>77.541704293588097</v>
      </c>
      <c r="AN1308">
        <v>1.00000003117682</v>
      </c>
    </row>
    <row r="1309" spans="1:40" x14ac:dyDescent="0.25">
      <c r="A1309" t="str">
        <f>"20190312151009946"</f>
        <v>20190312151009946</v>
      </c>
      <c r="B1309" t="str">
        <f>"1552374609942191"</f>
        <v>1552374609942191</v>
      </c>
      <c r="C1309" t="s">
        <v>40</v>
      </c>
      <c r="D1309">
        <v>5.8276879999999904</v>
      </c>
      <c r="E1309">
        <v>0.59238459999999904</v>
      </c>
      <c r="F1309" t="s">
        <v>48</v>
      </c>
      <c r="G1309">
        <v>-196.0958</v>
      </c>
      <c r="H1309" s="1">
        <v>-5.1284949999999998E-6</v>
      </c>
      <c r="I1309">
        <v>356.35789999999997</v>
      </c>
      <c r="J1309">
        <v>-201.42070000000001</v>
      </c>
      <c r="K1309">
        <v>1.1022320000000001</v>
      </c>
      <c r="L1309">
        <v>363.10430000000002</v>
      </c>
      <c r="M1309">
        <v>0.90434510000000001</v>
      </c>
      <c r="N1309">
        <v>0</v>
      </c>
      <c r="O1309">
        <v>-0.42653859999999899</v>
      </c>
      <c r="P1309">
        <v>0.791504599999999</v>
      </c>
      <c r="Q1309">
        <v>1.78753E-2</v>
      </c>
      <c r="R1309">
        <v>-0.61090180000000005</v>
      </c>
      <c r="S1309">
        <v>1.937317</v>
      </c>
      <c r="T1309">
        <v>-0.3913856</v>
      </c>
      <c r="U1309">
        <v>-2.4194339999999999</v>
      </c>
      <c r="V1309">
        <v>0.21547959999999999</v>
      </c>
      <c r="W1309">
        <v>2.8289189999999999E-2</v>
      </c>
      <c r="X1309">
        <v>0.97609849999999998</v>
      </c>
      <c r="Y1309">
        <v>0.43910769999999999</v>
      </c>
      <c r="Z1309">
        <v>2.732621E-2</v>
      </c>
      <c r="AA1309">
        <v>0.89801880000000001</v>
      </c>
      <c r="AB1309">
        <v>27</v>
      </c>
      <c r="AC1309">
        <v>5.3249000000000102</v>
      </c>
      <c r="AD1309">
        <v>-1.1022371284950001</v>
      </c>
      <c r="AE1309">
        <v>-6.7464000000000501</v>
      </c>
      <c r="AF1309">
        <v>3.76825181687818</v>
      </c>
      <c r="AG1309">
        <v>-1.1022371284950001</v>
      </c>
      <c r="AH1309">
        <v>7.5695149140188702</v>
      </c>
      <c r="AI1309">
        <v>97.426956964160098</v>
      </c>
      <c r="AJ1309">
        <v>63.534984626534097</v>
      </c>
      <c r="AK1309">
        <v>8.5271451539417793</v>
      </c>
      <c r="AL1309">
        <v>88.378932555183994</v>
      </c>
      <c r="AM1309">
        <v>77.551272140389102</v>
      </c>
      <c r="AN1309">
        <v>1.0000000089946299</v>
      </c>
    </row>
    <row r="1310" spans="1:40" x14ac:dyDescent="0.25">
      <c r="A1310" t="str">
        <f>"20190312151009956"</f>
        <v>20190312151009956</v>
      </c>
      <c r="B1310" t="str">
        <f>"1552374609951950"</f>
        <v>1552374609951950</v>
      </c>
      <c r="C1310" t="s">
        <v>40</v>
      </c>
      <c r="D1310">
        <v>5.6869170000000002</v>
      </c>
      <c r="E1310">
        <v>0.59238459999999904</v>
      </c>
      <c r="F1310" t="s">
        <v>48</v>
      </c>
      <c r="G1310">
        <v>-196.05420000000001</v>
      </c>
      <c r="H1310" s="1">
        <v>-5.0921220000000001E-6</v>
      </c>
      <c r="I1310">
        <v>356.29969999999997</v>
      </c>
      <c r="J1310">
        <v>-201.2886</v>
      </c>
      <c r="K1310">
        <v>1.1021799999999999</v>
      </c>
      <c r="L1310">
        <v>363.03559999999999</v>
      </c>
      <c r="M1310">
        <v>0.9017965</v>
      </c>
      <c r="N1310">
        <v>0</v>
      </c>
      <c r="O1310">
        <v>-0.43190030000000001</v>
      </c>
      <c r="P1310">
        <v>0.7881089</v>
      </c>
      <c r="Q1310">
        <v>1.762772E-2</v>
      </c>
      <c r="R1310">
        <v>-0.61528319999999903</v>
      </c>
      <c r="S1310">
        <v>1.9200740000000001</v>
      </c>
      <c r="T1310">
        <v>-0.39436450000000001</v>
      </c>
      <c r="U1310">
        <v>-2.4346009999999998</v>
      </c>
      <c r="V1310">
        <v>0.2150955</v>
      </c>
      <c r="W1310">
        <v>2.8035129999999998E-2</v>
      </c>
      <c r="X1310">
        <v>0.97619049999999996</v>
      </c>
      <c r="Y1310">
        <v>0.440438</v>
      </c>
      <c r="Z1310">
        <v>2.8185970000000001E-2</v>
      </c>
      <c r="AA1310">
        <v>0.89734049999999999</v>
      </c>
      <c r="AB1310">
        <v>27</v>
      </c>
      <c r="AC1310">
        <v>5.2343999999999902</v>
      </c>
      <c r="AD1310">
        <v>-1.102185092122</v>
      </c>
      <c r="AE1310">
        <v>-6.7359000000000098</v>
      </c>
      <c r="AF1310">
        <v>3.7514761186251002</v>
      </c>
      <c r="AG1310">
        <v>-1.102185092122</v>
      </c>
      <c r="AH1310">
        <v>7.5051720373331499</v>
      </c>
      <c r="AI1310">
        <v>97.483550254376794</v>
      </c>
      <c r="AJ1310">
        <v>63.441727758772103</v>
      </c>
      <c r="AK1310">
        <v>8.4626232549888396</v>
      </c>
      <c r="AL1310">
        <v>88.393494829990701</v>
      </c>
      <c r="AM1310">
        <v>77.573907233741906</v>
      </c>
      <c r="AN1310">
        <v>0.99999996746230702</v>
      </c>
    </row>
    <row r="1311" spans="1:40" x14ac:dyDescent="0.25">
      <c r="A1311" t="str">
        <f>"20190312151009968"</f>
        <v>20190312151009968</v>
      </c>
      <c r="B1311" t="str">
        <f>"1552374609961709"</f>
        <v>1552374609961709</v>
      </c>
      <c r="C1311" t="s">
        <v>40</v>
      </c>
      <c r="D1311">
        <v>5.684755</v>
      </c>
      <c r="E1311">
        <v>0.62813739999999996</v>
      </c>
      <c r="F1311" t="s">
        <v>48</v>
      </c>
      <c r="G1311">
        <v>-195.96559999999999</v>
      </c>
      <c r="H1311" s="1">
        <v>-5.0301109999999996E-6</v>
      </c>
      <c r="I1311">
        <v>356.20870000000002</v>
      </c>
      <c r="J1311">
        <v>-201.16929999999999</v>
      </c>
      <c r="K1311">
        <v>1.102133</v>
      </c>
      <c r="L1311">
        <v>362.97210000000001</v>
      </c>
      <c r="M1311">
        <v>0.89942230000000001</v>
      </c>
      <c r="N1311">
        <v>0</v>
      </c>
      <c r="O1311">
        <v>-0.4368225</v>
      </c>
      <c r="P1311">
        <v>0.78497980000000001</v>
      </c>
      <c r="Q1311">
        <v>1.721609E-2</v>
      </c>
      <c r="R1311">
        <v>-0.61928240000000001</v>
      </c>
      <c r="S1311">
        <v>1.906479</v>
      </c>
      <c r="T1311">
        <v>-0.39475559999999998</v>
      </c>
      <c r="U1311">
        <v>-2.4451290000000001</v>
      </c>
      <c r="V1311">
        <v>0.21471470000000001</v>
      </c>
      <c r="W1311">
        <v>2.761854E-2</v>
      </c>
      <c r="X1311">
        <v>0.97628619999999999</v>
      </c>
      <c r="Y1311">
        <v>0.44053789999999998</v>
      </c>
      <c r="Z1311">
        <v>2.8900950000000002E-2</v>
      </c>
      <c r="AA1311">
        <v>0.89726870000000003</v>
      </c>
      <c r="AB1311">
        <v>27</v>
      </c>
      <c r="AC1311">
        <v>5.2036999999999898</v>
      </c>
      <c r="AD1311">
        <v>-1.102138030111</v>
      </c>
      <c r="AE1311">
        <v>-6.7633999999999901</v>
      </c>
      <c r="AF1311">
        <v>3.7479714256513601</v>
      </c>
      <c r="AG1311">
        <v>-1.102138030111</v>
      </c>
      <c r="AH1311">
        <v>7.5103148063552299</v>
      </c>
      <c r="AI1311">
        <v>97.480559252366703</v>
      </c>
      <c r="AJ1311">
        <v>63.478822748593402</v>
      </c>
      <c r="AK1311">
        <v>8.4656261750371797</v>
      </c>
      <c r="AL1311">
        <v>88.417372922779606</v>
      </c>
      <c r="AM1311">
        <v>77.596402820461805</v>
      </c>
      <c r="AN1311">
        <v>0.99999996522913004</v>
      </c>
    </row>
    <row r="1312" spans="1:40" x14ac:dyDescent="0.25">
      <c r="A1312" t="str">
        <f>"20190312151009980"</f>
        <v>20190312151009980</v>
      </c>
      <c r="B1312" t="str">
        <f>"1552374609972447"</f>
        <v>1552374609972447</v>
      </c>
      <c r="C1312" t="s">
        <v>40</v>
      </c>
      <c r="D1312">
        <v>5.6919040000000001</v>
      </c>
      <c r="E1312">
        <v>0.6281871</v>
      </c>
      <c r="F1312" t="s">
        <v>48</v>
      </c>
      <c r="G1312">
        <v>-195.15</v>
      </c>
      <c r="H1312" s="1">
        <v>-3.595931E-6</v>
      </c>
      <c r="I1312">
        <v>353.5985</v>
      </c>
      <c r="J1312">
        <v>-201.0438</v>
      </c>
      <c r="K1312">
        <v>1.1020799999999999</v>
      </c>
      <c r="L1312">
        <v>362.9049</v>
      </c>
      <c r="M1312">
        <v>0.89688500000000004</v>
      </c>
      <c r="N1312">
        <v>0</v>
      </c>
      <c r="O1312">
        <v>-0.44200869999999998</v>
      </c>
      <c r="P1312">
        <v>0.78167969999999998</v>
      </c>
      <c r="Q1312">
        <v>1.6866019999999999E-2</v>
      </c>
      <c r="R1312">
        <v>-0.62345269999999897</v>
      </c>
      <c r="S1312">
        <v>1.718018</v>
      </c>
      <c r="T1312">
        <v>-0.3145714</v>
      </c>
      <c r="U1312">
        <v>-2.6754150000000001</v>
      </c>
      <c r="V1312">
        <v>0.21426780000000001</v>
      </c>
      <c r="W1312">
        <v>2.7262950000000001E-2</v>
      </c>
      <c r="X1312">
        <v>0.9763944</v>
      </c>
      <c r="Y1312">
        <v>0.51547619999999905</v>
      </c>
      <c r="Z1312">
        <v>1.90478E-2</v>
      </c>
      <c r="AA1312">
        <v>0.85669219999999902</v>
      </c>
      <c r="AB1312">
        <v>27</v>
      </c>
      <c r="AC1312">
        <v>5.8937999999999899</v>
      </c>
      <c r="AD1312">
        <v>-1.102083595931</v>
      </c>
      <c r="AE1312">
        <v>-9.3063999999999893</v>
      </c>
      <c r="AF1312">
        <v>5.6854005869974102</v>
      </c>
      <c r="AG1312">
        <v>-1.102083595931</v>
      </c>
      <c r="AH1312">
        <v>9.3074697892316696</v>
      </c>
      <c r="AI1312">
        <v>95.770032199787295</v>
      </c>
      <c r="AJ1312">
        <v>58.581630150382502</v>
      </c>
      <c r="AK1312">
        <v>10.962087482067901</v>
      </c>
      <c r="AL1312">
        <v>88.437754445832198</v>
      </c>
      <c r="AM1312">
        <v>77.622752047758496</v>
      </c>
      <c r="AN1312">
        <v>0.99999999145545104</v>
      </c>
    </row>
    <row r="1313" spans="1:40" x14ac:dyDescent="0.25">
      <c r="A1313" t="str">
        <f>"20190312151009992"</f>
        <v>20190312151009992</v>
      </c>
      <c r="B1313" t="str">
        <f>"1552374609982206"</f>
        <v>1552374609982206</v>
      </c>
      <c r="C1313" t="s">
        <v>40</v>
      </c>
      <c r="D1313">
        <v>5.6991930000000002</v>
      </c>
      <c r="E1313">
        <v>0.62807009999999996</v>
      </c>
      <c r="F1313" t="s">
        <v>48</v>
      </c>
      <c r="G1313">
        <v>-195.04750000000001</v>
      </c>
      <c r="H1313" s="1">
        <v>-3.4997679999999999E-6</v>
      </c>
      <c r="I1313">
        <v>353.45260000000002</v>
      </c>
      <c r="J1313">
        <v>-200.90119999999999</v>
      </c>
      <c r="K1313">
        <v>1.102017</v>
      </c>
      <c r="L1313">
        <v>362.827</v>
      </c>
      <c r="M1313">
        <v>0.89391779999999998</v>
      </c>
      <c r="N1313">
        <v>0</v>
      </c>
      <c r="O1313">
        <v>-0.44797870000000001</v>
      </c>
      <c r="P1313">
        <v>0.77786560000000005</v>
      </c>
      <c r="Q1313">
        <v>1.6693889999999999E-2</v>
      </c>
      <c r="R1313">
        <v>-0.62820889999999996</v>
      </c>
      <c r="S1313">
        <v>1.703247</v>
      </c>
      <c r="T1313">
        <v>-0.31304500000000002</v>
      </c>
      <c r="U1313">
        <v>-2.6849059999999998</v>
      </c>
      <c r="V1313">
        <v>0.21371290000000001</v>
      </c>
      <c r="W1313">
        <v>2.708611E-2</v>
      </c>
      <c r="X1313">
        <v>0.97652099999999997</v>
      </c>
      <c r="Y1313">
        <v>0.51452339999999996</v>
      </c>
      <c r="Z1313">
        <v>1.9674810000000001E-2</v>
      </c>
      <c r="AA1313">
        <v>0.85725059999999997</v>
      </c>
      <c r="AB1313">
        <v>27</v>
      </c>
      <c r="AC1313">
        <v>5.8536999999999697</v>
      </c>
      <c r="AD1313">
        <v>-1.1020204997679901</v>
      </c>
      <c r="AE1313">
        <v>-9.3743999999999801</v>
      </c>
      <c r="AF1313">
        <v>5.7015721268366999</v>
      </c>
      <c r="AG1313">
        <v>-1.1020204997679901</v>
      </c>
      <c r="AH1313">
        <v>9.3404553552054796</v>
      </c>
      <c r="AI1313">
        <v>95.750547044959603</v>
      </c>
      <c r="AJ1313">
        <v>58.599401923697002</v>
      </c>
      <c r="AK1313">
        <v>10.998476264556601</v>
      </c>
      <c r="AL1313">
        <v>88.447890484583993</v>
      </c>
      <c r="AM1313">
        <v>77.655373285152606</v>
      </c>
      <c r="AN1313">
        <v>1.00000006221116</v>
      </c>
    </row>
    <row r="1314" spans="1:40" x14ac:dyDescent="0.25">
      <c r="A1314" t="str">
        <f>"20190312151010005"</f>
        <v>20190312151010005</v>
      </c>
      <c r="B1314" t="str">
        <f>"1552374610001725"</f>
        <v>1552374610001725</v>
      </c>
      <c r="C1314" t="s">
        <v>40</v>
      </c>
      <c r="D1314">
        <v>5.6740909999999998</v>
      </c>
      <c r="E1314">
        <v>0.62733229999999995</v>
      </c>
      <c r="F1314" t="s">
        <v>48</v>
      </c>
      <c r="G1314">
        <v>-195.01240000000001</v>
      </c>
      <c r="H1314" s="1">
        <v>-3.474143E-6</v>
      </c>
      <c r="I1314">
        <v>353.4171</v>
      </c>
      <c r="J1314">
        <v>-200.7749</v>
      </c>
      <c r="K1314">
        <v>1.1019620000000001</v>
      </c>
      <c r="L1314">
        <v>362.75689999999997</v>
      </c>
      <c r="M1314">
        <v>0.89122330000000005</v>
      </c>
      <c r="N1314">
        <v>0</v>
      </c>
      <c r="O1314">
        <v>-0.45331510000000003</v>
      </c>
      <c r="P1314">
        <v>0.77433869999999905</v>
      </c>
      <c r="Q1314">
        <v>1.6833150000000002E-2</v>
      </c>
      <c r="R1314">
        <v>-0.63254769999999905</v>
      </c>
      <c r="S1314">
        <v>1.6867369999999999</v>
      </c>
      <c r="T1314">
        <v>-0.31565300000000002</v>
      </c>
      <c r="U1314">
        <v>-2.6952820000000002</v>
      </c>
      <c r="V1314">
        <v>0.2133417</v>
      </c>
      <c r="W1314">
        <v>2.7218139999999998E-2</v>
      </c>
      <c r="X1314">
        <v>0.97659839999999998</v>
      </c>
      <c r="Y1314">
        <v>0.51466699999999999</v>
      </c>
      <c r="Z1314">
        <v>2.0431890000000001E-2</v>
      </c>
      <c r="AA1314">
        <v>0.85714659999999998</v>
      </c>
      <c r="AB1314">
        <v>27</v>
      </c>
      <c r="AC1314">
        <v>5.7624999999999797</v>
      </c>
      <c r="AD1314">
        <v>-1.1019654741430001</v>
      </c>
      <c r="AE1314">
        <v>-9.3397999999999595</v>
      </c>
      <c r="AF1314">
        <v>5.6552464731898402</v>
      </c>
      <c r="AG1314">
        <v>-1.1019654741430001</v>
      </c>
      <c r="AH1314">
        <v>9.2770709183858902</v>
      </c>
      <c r="AI1314">
        <v>95.791387941802697</v>
      </c>
      <c r="AJ1314">
        <v>58.633766975498197</v>
      </c>
      <c r="AK1314">
        <v>10.920631181552199</v>
      </c>
      <c r="AL1314">
        <v>88.440322791697596</v>
      </c>
      <c r="AM1314">
        <v>77.677105895756299</v>
      </c>
      <c r="AN1314">
        <v>0.99999997149325404</v>
      </c>
    </row>
    <row r="1315" spans="1:40" x14ac:dyDescent="0.25">
      <c r="A1315" t="str">
        <f>"20190312151010019"</f>
        <v>20190312151010019</v>
      </c>
      <c r="B1315" t="str">
        <f>"1552374610011486"</f>
        <v>1552374610011486</v>
      </c>
      <c r="C1315" t="s">
        <v>40</v>
      </c>
      <c r="D1315">
        <v>5.5796599999999996</v>
      </c>
      <c r="E1315">
        <v>0.62655430000000001</v>
      </c>
      <c r="F1315" t="s">
        <v>48</v>
      </c>
      <c r="G1315">
        <v>-194.9041</v>
      </c>
      <c r="H1315" s="1">
        <v>-3.38912E-6</v>
      </c>
      <c r="I1315">
        <v>353.29590000000002</v>
      </c>
      <c r="J1315">
        <v>-200.62649999999999</v>
      </c>
      <c r="K1315">
        <v>1.101896</v>
      </c>
      <c r="L1315">
        <v>362.67360000000002</v>
      </c>
      <c r="M1315">
        <v>0.88798619999999995</v>
      </c>
      <c r="N1315">
        <v>0</v>
      </c>
      <c r="O1315">
        <v>-0.45962320000000001</v>
      </c>
      <c r="P1315">
        <v>0.77004869999999903</v>
      </c>
      <c r="Q1315">
        <v>1.644613E-2</v>
      </c>
      <c r="R1315">
        <v>-0.63777320000000004</v>
      </c>
      <c r="S1315">
        <v>1.67547599999999</v>
      </c>
      <c r="T1315">
        <v>-0.31448939999999997</v>
      </c>
      <c r="U1315">
        <v>-2.7000730000000002</v>
      </c>
      <c r="V1315">
        <v>0.21301829999999999</v>
      </c>
      <c r="W1315">
        <v>2.681965E-2</v>
      </c>
      <c r="X1315">
        <v>0.97667999999999999</v>
      </c>
      <c r="Y1315">
        <v>0.51188250000000002</v>
      </c>
      <c r="Z1315">
        <v>2.123272E-2</v>
      </c>
      <c r="AA1315">
        <v>0.85879309999999998</v>
      </c>
      <c r="AB1315">
        <v>27</v>
      </c>
      <c r="AC1315">
        <v>5.7223999999999897</v>
      </c>
      <c r="AD1315">
        <v>-1.10189938912</v>
      </c>
      <c r="AE1315">
        <v>-9.3777000000000008</v>
      </c>
      <c r="AF1315">
        <v>5.6410153071667901</v>
      </c>
      <c r="AG1315">
        <v>-1.10189938912</v>
      </c>
      <c r="AH1315">
        <v>9.29913229762575</v>
      </c>
      <c r="AI1315">
        <v>95.784984949699805</v>
      </c>
      <c r="AJ1315">
        <v>58.7582717559104</v>
      </c>
      <c r="AK1315">
        <v>10.9320216542128</v>
      </c>
      <c r="AL1315">
        <v>88.463162902393407</v>
      </c>
      <c r="AM1315">
        <v>77.696213127172896</v>
      </c>
      <c r="AN1315">
        <v>0.99999995608050496</v>
      </c>
    </row>
    <row r="1316" spans="1:40" x14ac:dyDescent="0.25">
      <c r="A1316" t="str">
        <f>"20190312151010034"</f>
        <v>20190312151010034</v>
      </c>
      <c r="B1316" t="str">
        <f>"1552374610031981"</f>
        <v>1552374610031981</v>
      </c>
      <c r="C1316" t="s">
        <v>40</v>
      </c>
      <c r="D1316">
        <v>5.6606909999999999</v>
      </c>
      <c r="E1316">
        <v>0.62608199999999903</v>
      </c>
      <c r="F1316" t="s">
        <v>48</v>
      </c>
      <c r="G1316">
        <v>-194.85</v>
      </c>
      <c r="H1316" s="1">
        <v>-3.3591300000000001E-6</v>
      </c>
      <c r="I1316">
        <v>353.26010000000002</v>
      </c>
      <c r="J1316">
        <v>-200.4528</v>
      </c>
      <c r="K1316">
        <v>1.1018129999999999</v>
      </c>
      <c r="L1316">
        <v>362.57369999999997</v>
      </c>
      <c r="M1316">
        <v>0.88406569999999995</v>
      </c>
      <c r="N1316">
        <v>0</v>
      </c>
      <c r="O1316">
        <v>-0.4671188</v>
      </c>
      <c r="P1316">
        <v>0.76502340000000002</v>
      </c>
      <c r="Q1316">
        <v>1.5567950000000001E-2</v>
      </c>
      <c r="R1316">
        <v>-0.64381429999999995</v>
      </c>
      <c r="S1316">
        <v>1.66091899999999</v>
      </c>
      <c r="T1316">
        <v>-0.31682830000000001</v>
      </c>
      <c r="U1316">
        <v>-2.7066349999999999</v>
      </c>
      <c r="V1316">
        <v>0.212422</v>
      </c>
      <c r="W1316">
        <v>2.5933520000000002E-2</v>
      </c>
      <c r="X1316">
        <v>0.97683379999999997</v>
      </c>
      <c r="Y1316">
        <v>0.50892709999999997</v>
      </c>
      <c r="Z1316">
        <v>2.2418609999999999E-2</v>
      </c>
      <c r="AA1316">
        <v>0.86051769999999905</v>
      </c>
      <c r="AB1316">
        <v>27</v>
      </c>
      <c r="AC1316">
        <v>5.6028000000000002</v>
      </c>
      <c r="AD1316">
        <v>-1.1018163591300001</v>
      </c>
      <c r="AE1316">
        <v>-9.3135999999999495</v>
      </c>
      <c r="AF1316">
        <v>5.5601625812382798</v>
      </c>
      <c r="AG1316">
        <v>-1.1018163591300001</v>
      </c>
      <c r="AH1316">
        <v>9.2102131715008806</v>
      </c>
      <c r="AI1316">
        <v>95.847525533395</v>
      </c>
      <c r="AJ1316">
        <v>58.8808162123795</v>
      </c>
      <c r="AK1316">
        <v>10.8146860279685</v>
      </c>
      <c r="AL1316">
        <v>88.513952096654606</v>
      </c>
      <c r="AM1316">
        <v>77.731483548773497</v>
      </c>
      <c r="AN1316">
        <v>0.99999996318301398</v>
      </c>
    </row>
    <row r="1317" spans="1:40" x14ac:dyDescent="0.25">
      <c r="A1317" t="str">
        <f>"20190312151010047"</f>
        <v>20190312151010047</v>
      </c>
      <c r="B1317" t="str">
        <f>"1552374610041743"</f>
        <v>1552374610041743</v>
      </c>
      <c r="C1317" t="s">
        <v>40</v>
      </c>
      <c r="D1317">
        <v>5.6787910000000004</v>
      </c>
      <c r="E1317">
        <v>0.62590769999999996</v>
      </c>
      <c r="F1317" t="s">
        <v>48</v>
      </c>
      <c r="G1317">
        <v>-194.82149999999999</v>
      </c>
      <c r="H1317" s="1">
        <v>-3.3503669999999999E-6</v>
      </c>
      <c r="I1317">
        <v>353.25529999999998</v>
      </c>
      <c r="J1317">
        <v>-200.32409999999999</v>
      </c>
      <c r="K1317">
        <v>1.1017539999999999</v>
      </c>
      <c r="L1317">
        <v>362.4982</v>
      </c>
      <c r="M1317">
        <v>0.88107250000000004</v>
      </c>
      <c r="N1317">
        <v>0</v>
      </c>
      <c r="O1317">
        <v>-0.4727403</v>
      </c>
      <c r="P1317">
        <v>0.7611464</v>
      </c>
      <c r="Q1317">
        <v>1.4993360000000001E-2</v>
      </c>
      <c r="R1317">
        <v>-0.64840719999999996</v>
      </c>
      <c r="S1317">
        <v>1.6417389999999901</v>
      </c>
      <c r="T1317">
        <v>-0.3212179</v>
      </c>
      <c r="U1317">
        <v>-2.7166440000000001</v>
      </c>
      <c r="V1317">
        <v>0.21206549999999999</v>
      </c>
      <c r="W1317">
        <v>2.5352929999999999E-2</v>
      </c>
      <c r="X1317">
        <v>0.97692650000000003</v>
      </c>
      <c r="Y1317">
        <v>0.50930569999999997</v>
      </c>
      <c r="Z1317">
        <v>2.3365940000000002E-2</v>
      </c>
      <c r="AA1317">
        <v>0.86026840000000004</v>
      </c>
      <c r="AB1317">
        <v>27</v>
      </c>
      <c r="AC1317">
        <v>5.5026000000000002</v>
      </c>
      <c r="AD1317">
        <v>-1.101757350367</v>
      </c>
      <c r="AE1317">
        <v>-9.2429000000000094</v>
      </c>
      <c r="AF1317">
        <v>5.4854499321987404</v>
      </c>
      <c r="AG1317">
        <v>-1.101757350367</v>
      </c>
      <c r="AH1317">
        <v>9.1230248835859893</v>
      </c>
      <c r="AI1317">
        <v>95.908976218982502</v>
      </c>
      <c r="AJ1317">
        <v>58.982544379482498</v>
      </c>
      <c r="AK1317">
        <v>10.7020378080193</v>
      </c>
      <c r="AL1317">
        <v>88.547228402973104</v>
      </c>
      <c r="AM1317">
        <v>77.7525784187781</v>
      </c>
      <c r="AN1317">
        <v>0.99999996687604098</v>
      </c>
    </row>
    <row r="1318" spans="1:40" x14ac:dyDescent="0.25">
      <c r="A1318" t="str">
        <f>"20190312151010061"</f>
        <v>20190312151010061</v>
      </c>
      <c r="B1318" t="str">
        <f>"1552374610051502"</f>
        <v>1552374610051502</v>
      </c>
      <c r="C1318" t="s">
        <v>40</v>
      </c>
      <c r="D1318">
        <v>5.5361779999999996</v>
      </c>
      <c r="E1318">
        <v>0.62535050000000003</v>
      </c>
      <c r="F1318" t="s">
        <v>48</v>
      </c>
      <c r="G1318">
        <v>-194.77109999999999</v>
      </c>
      <c r="H1318" s="1">
        <v>-3.306155E-6</v>
      </c>
      <c r="I1318">
        <v>353.18959999999998</v>
      </c>
      <c r="J1318">
        <v>-200.17490000000001</v>
      </c>
      <c r="K1318">
        <v>1.101685</v>
      </c>
      <c r="L1318">
        <v>362.40969999999999</v>
      </c>
      <c r="M1318">
        <v>0.87752559999999902</v>
      </c>
      <c r="N1318">
        <v>0</v>
      </c>
      <c r="O1318">
        <v>-0.47929129999999998</v>
      </c>
      <c r="P1318">
        <v>0.75634089999999998</v>
      </c>
      <c r="Q1318">
        <v>1.470547E-2</v>
      </c>
      <c r="R1318">
        <v>-0.6540125</v>
      </c>
      <c r="S1318">
        <v>1.6259459999999999</v>
      </c>
      <c r="T1318">
        <v>-0.3226</v>
      </c>
      <c r="U1318">
        <v>-2.7255859999999998</v>
      </c>
      <c r="V1318">
        <v>0.2120003</v>
      </c>
      <c r="W1318">
        <v>2.50488E-2</v>
      </c>
      <c r="X1318">
        <v>0.97694859999999994</v>
      </c>
      <c r="Y1318">
        <v>0.50783889999999998</v>
      </c>
      <c r="Z1318">
        <v>2.4312449999999999E-2</v>
      </c>
      <c r="AA1318">
        <v>0.86110889999999995</v>
      </c>
      <c r="AB1318">
        <v>27</v>
      </c>
      <c r="AC1318">
        <v>5.4038000000000102</v>
      </c>
      <c r="AD1318">
        <v>-1.101688306155</v>
      </c>
      <c r="AE1318">
        <v>-9.2201000000000004</v>
      </c>
      <c r="AF1318">
        <v>5.4436590492466301</v>
      </c>
      <c r="AG1318">
        <v>-1.101688306155</v>
      </c>
      <c r="AH1318">
        <v>9.0657924966665409</v>
      </c>
      <c r="AI1318">
        <v>95.947764621546597</v>
      </c>
      <c r="AJ1318">
        <v>59.016806226984301</v>
      </c>
      <c r="AK1318">
        <v>10.631826492234399</v>
      </c>
      <c r="AL1318">
        <v>88.564659450585594</v>
      </c>
      <c r="AM1318">
        <v>77.756498923207104</v>
      </c>
      <c r="AN1318">
        <v>1.00000006831174</v>
      </c>
    </row>
    <row r="1319" spans="1:40" x14ac:dyDescent="0.25">
      <c r="A1319" t="str">
        <f>"20190312151010072"</f>
        <v>20190312151010072</v>
      </c>
      <c r="B1319" t="str">
        <f>"1552374610062238"</f>
        <v>1552374610062238</v>
      </c>
      <c r="C1319" t="s">
        <v>40</v>
      </c>
      <c r="D1319">
        <v>5.7170680000000003</v>
      </c>
      <c r="E1319">
        <v>0.62541089999999999</v>
      </c>
      <c r="F1319" t="s">
        <v>48</v>
      </c>
      <c r="G1319">
        <v>-194.66569999999999</v>
      </c>
      <c r="H1319" s="1">
        <v>-3.2104619999999998E-6</v>
      </c>
      <c r="I1319">
        <v>353.04590000000002</v>
      </c>
      <c r="J1319">
        <v>-200.0478</v>
      </c>
      <c r="K1319">
        <v>1.101623</v>
      </c>
      <c r="L1319">
        <v>362.33269999999999</v>
      </c>
      <c r="M1319">
        <v>0.87441349999999995</v>
      </c>
      <c r="N1319">
        <v>0</v>
      </c>
      <c r="O1319">
        <v>-0.48494559999999998</v>
      </c>
      <c r="P1319">
        <v>0.75200269999999902</v>
      </c>
      <c r="Q1319">
        <v>1.4400390000000001E-2</v>
      </c>
      <c r="R1319">
        <v>-0.65900300000000001</v>
      </c>
      <c r="S1319">
        <v>1.6085659999999999</v>
      </c>
      <c r="T1319">
        <v>-0.32166790000000001</v>
      </c>
      <c r="U1319">
        <v>-2.7340089999999999</v>
      </c>
      <c r="V1319">
        <v>0.21215329999999999</v>
      </c>
      <c r="W1319">
        <v>2.4724650000000001E-2</v>
      </c>
      <c r="X1319">
        <v>0.9769236</v>
      </c>
      <c r="Y1319">
        <v>0.50752540000000002</v>
      </c>
      <c r="Z1319">
        <v>2.492919E-2</v>
      </c>
      <c r="AA1319">
        <v>0.86127609999999999</v>
      </c>
      <c r="AB1319">
        <v>27</v>
      </c>
      <c r="AC1319">
        <v>5.3821000000000003</v>
      </c>
      <c r="AD1319">
        <v>-1.101626210462</v>
      </c>
      <c r="AE1319">
        <v>-9.2867999999999693</v>
      </c>
      <c r="AF1319">
        <v>5.4536620037126102</v>
      </c>
      <c r="AG1319">
        <v>-1.101626210462</v>
      </c>
      <c r="AH1319">
        <v>9.1148166669208095</v>
      </c>
      <c r="AI1319">
        <v>95.921195953493793</v>
      </c>
      <c r="AJ1319">
        <v>59.1066800958437</v>
      </c>
      <c r="AK1319">
        <v>10.6787589367816</v>
      </c>
      <c r="AL1319">
        <v>88.583237569921806</v>
      </c>
      <c r="AM1319">
        <v>77.747625580182003</v>
      </c>
      <c r="AN1319">
        <v>1.0000000256277299</v>
      </c>
    </row>
    <row r="1320" spans="1:40" x14ac:dyDescent="0.25">
      <c r="A1320" t="str">
        <f>"20190312151010085"</f>
        <v>20190312151010085</v>
      </c>
      <c r="B1320" t="str">
        <f>"1552374610081758"</f>
        <v>1552374610081758</v>
      </c>
      <c r="C1320" t="s">
        <v>40</v>
      </c>
      <c r="D1320">
        <v>5.6662339999999896</v>
      </c>
      <c r="E1320">
        <v>0.62474600000000002</v>
      </c>
      <c r="F1320" t="s">
        <v>48</v>
      </c>
      <c r="G1320">
        <v>-194.65299999999999</v>
      </c>
      <c r="H1320" s="1">
        <v>-3.1937609999999998E-6</v>
      </c>
      <c r="I1320">
        <v>353.01830000000001</v>
      </c>
      <c r="J1320">
        <v>-199.92590000000001</v>
      </c>
      <c r="K1320">
        <v>1.1015680000000001</v>
      </c>
      <c r="L1320">
        <v>362.25779999999997</v>
      </c>
      <c r="M1320">
        <v>0.87135790000000002</v>
      </c>
      <c r="N1320">
        <v>0</v>
      </c>
      <c r="O1320">
        <v>-0.49041439999999997</v>
      </c>
      <c r="P1320">
        <v>0.74772459999999996</v>
      </c>
      <c r="Q1320">
        <v>1.429806E-2</v>
      </c>
      <c r="R1320">
        <v>-0.66385569999999905</v>
      </c>
      <c r="S1320">
        <v>1.58992</v>
      </c>
      <c r="T1320">
        <v>-0.32466509999999998</v>
      </c>
      <c r="U1320">
        <v>-2.7450869999999998</v>
      </c>
      <c r="V1320">
        <v>0.21235499999999999</v>
      </c>
      <c r="W1320">
        <v>2.4603570000000002E-2</v>
      </c>
      <c r="X1320">
        <v>0.97688280000000005</v>
      </c>
      <c r="Y1320">
        <v>0.50802899999999995</v>
      </c>
      <c r="Z1320">
        <v>2.5773330000000001E-2</v>
      </c>
      <c r="AA1320">
        <v>0.86095429999999995</v>
      </c>
      <c r="AB1320">
        <v>27</v>
      </c>
      <c r="AC1320">
        <v>5.2729000000000203</v>
      </c>
      <c r="AD1320">
        <v>-1.101571193761</v>
      </c>
      <c r="AE1320">
        <v>-9.2394999999999605</v>
      </c>
      <c r="AF1320">
        <v>5.4076491430731402</v>
      </c>
      <c r="AG1320">
        <v>-1.101571193761</v>
      </c>
      <c r="AH1320">
        <v>9.0299905692362294</v>
      </c>
      <c r="AI1320">
        <v>95.974748980754697</v>
      </c>
      <c r="AJ1320">
        <v>59.084533190871603</v>
      </c>
      <c r="AK1320">
        <v>10.5828567990878</v>
      </c>
      <c r="AL1320">
        <v>88.590177008187098</v>
      </c>
      <c r="AM1320">
        <v>77.735832587490293</v>
      </c>
      <c r="AN1320">
        <v>0.99999999330879197</v>
      </c>
    </row>
    <row r="1321" spans="1:40" x14ac:dyDescent="0.25">
      <c r="A1321" t="str">
        <f>"20190312151010097"</f>
        <v>20190312151010097</v>
      </c>
      <c r="B1321" t="str">
        <f>"1552374610092495"</f>
        <v>1552374610092495</v>
      </c>
      <c r="C1321" t="s">
        <v>40</v>
      </c>
      <c r="D1321">
        <v>5.690061</v>
      </c>
      <c r="E1321">
        <v>0.62462229999999996</v>
      </c>
      <c r="F1321" t="s">
        <v>48</v>
      </c>
      <c r="G1321">
        <v>-194.67959999999999</v>
      </c>
      <c r="H1321" s="1">
        <v>-3.2390190000000001E-6</v>
      </c>
      <c r="I1321">
        <v>353.09649999999999</v>
      </c>
      <c r="J1321">
        <v>-199.79849999999999</v>
      </c>
      <c r="K1321">
        <v>1.1015109999999999</v>
      </c>
      <c r="L1321">
        <v>362.17880000000002</v>
      </c>
      <c r="M1321">
        <v>0.86810180000000003</v>
      </c>
      <c r="N1321">
        <v>0</v>
      </c>
      <c r="O1321">
        <v>-0.4961547</v>
      </c>
      <c r="P1321">
        <v>0.74295469999999997</v>
      </c>
      <c r="Q1321">
        <v>1.4008400000000001E-2</v>
      </c>
      <c r="R1321">
        <v>-0.66919549999999905</v>
      </c>
      <c r="S1321">
        <v>1.5756680000000001</v>
      </c>
      <c r="T1321">
        <v>-0.33084550000000001</v>
      </c>
      <c r="U1321">
        <v>-2.7514949999999998</v>
      </c>
      <c r="V1321">
        <v>0.2129008</v>
      </c>
      <c r="W1321">
        <v>2.4285620000000001E-2</v>
      </c>
      <c r="X1321">
        <v>0.97677199999999997</v>
      </c>
      <c r="Y1321">
        <v>0.50658259999999999</v>
      </c>
      <c r="Z1321">
        <v>2.7043950000000001E-2</v>
      </c>
      <c r="AA1321">
        <v>0.86176719999999896</v>
      </c>
      <c r="AB1321">
        <v>27</v>
      </c>
      <c r="AC1321">
        <v>5.1188999999999902</v>
      </c>
      <c r="AD1321">
        <v>-1.101514239019</v>
      </c>
      <c r="AE1321">
        <v>-9.0823000000000302</v>
      </c>
      <c r="AF1321">
        <v>5.2861983851704597</v>
      </c>
      <c r="AG1321">
        <v>-1.101514239019</v>
      </c>
      <c r="AH1321">
        <v>8.8521628528104692</v>
      </c>
      <c r="AI1321">
        <v>96.098069398735802</v>
      </c>
      <c r="AJ1321">
        <v>59.1558457230933</v>
      </c>
      <c r="AK1321">
        <v>10.369089360152</v>
      </c>
      <c r="AL1321">
        <v>88.608399713011906</v>
      </c>
      <c r="AM1321">
        <v>77.703916291769204</v>
      </c>
      <c r="AN1321">
        <v>1.00000004098171</v>
      </c>
    </row>
    <row r="1322" spans="1:40" x14ac:dyDescent="0.25">
      <c r="A1322" t="str">
        <f>"20190312151010113"</f>
        <v>20190312151010113</v>
      </c>
      <c r="B1322" t="str">
        <f>"1552374610102254"</f>
        <v>1552374610102254</v>
      </c>
      <c r="C1322" t="s">
        <v>40</v>
      </c>
      <c r="D1322">
        <v>5.6019680000000003</v>
      </c>
      <c r="E1322">
        <v>0.62462229999999996</v>
      </c>
      <c r="F1322" t="s">
        <v>48</v>
      </c>
      <c r="G1322">
        <v>-194.63980000000001</v>
      </c>
      <c r="H1322" s="1">
        <v>-3.193868E-6</v>
      </c>
      <c r="I1322">
        <v>353.02429999999998</v>
      </c>
      <c r="J1322">
        <v>-199.6283</v>
      </c>
      <c r="K1322">
        <v>1.101437</v>
      </c>
      <c r="L1322">
        <v>362.07060000000001</v>
      </c>
      <c r="M1322">
        <v>0.863604699999999</v>
      </c>
      <c r="N1322">
        <v>0</v>
      </c>
      <c r="O1322">
        <v>-0.50394090000000002</v>
      </c>
      <c r="P1322">
        <v>0.73658140000000005</v>
      </c>
      <c r="Q1322">
        <v>1.348448E-2</v>
      </c>
      <c r="R1322">
        <v>-0.67621489999999995</v>
      </c>
      <c r="S1322">
        <v>1.5564119999999999</v>
      </c>
      <c r="T1322">
        <v>-0.33233499999999999</v>
      </c>
      <c r="U1322">
        <v>-2.7619630000000002</v>
      </c>
      <c r="V1322">
        <v>0.21337410000000001</v>
      </c>
      <c r="W1322">
        <v>2.3731220000000001E-2</v>
      </c>
      <c r="X1322">
        <v>0.9766823</v>
      </c>
      <c r="Y1322">
        <v>0.50482009999999999</v>
      </c>
      <c r="Z1322">
        <v>2.8207920000000001E-2</v>
      </c>
      <c r="AA1322">
        <v>0.86276359999999996</v>
      </c>
      <c r="AB1322">
        <v>27</v>
      </c>
      <c r="AC1322">
        <v>4.9884999999999797</v>
      </c>
      <c r="AD1322">
        <v>-1.1014401938680001</v>
      </c>
      <c r="AE1322">
        <v>-9.0463000000000306</v>
      </c>
      <c r="AF1322">
        <v>5.2395668391726797</v>
      </c>
      <c r="AG1322">
        <v>-1.1014401938680001</v>
      </c>
      <c r="AH1322">
        <v>8.7682397844817093</v>
      </c>
      <c r="AI1322">
        <v>96.154510333232494</v>
      </c>
      <c r="AJ1322">
        <v>59.139065364964203</v>
      </c>
      <c r="AK1322">
        <v>10.273668287471301</v>
      </c>
      <c r="AL1322">
        <v>88.640173590067505</v>
      </c>
      <c r="AM1322">
        <v>77.6763179993808</v>
      </c>
      <c r="AN1322">
        <v>0.99999999624339397</v>
      </c>
    </row>
    <row r="1323" spans="1:40" x14ac:dyDescent="0.25">
      <c r="A1323" t="str">
        <f>"20190312151010124"</f>
        <v>20190312151010124</v>
      </c>
      <c r="B1323" t="str">
        <f>"1552374610121774"</f>
        <v>1552374610121774</v>
      </c>
      <c r="C1323" t="s">
        <v>40</v>
      </c>
      <c r="D1323">
        <v>5.7628029999999999</v>
      </c>
      <c r="E1323">
        <v>0.61993569999999998</v>
      </c>
      <c r="F1323" t="s">
        <v>48</v>
      </c>
      <c r="G1323">
        <v>-194.5727</v>
      </c>
      <c r="H1323" s="1">
        <v>-3.1132600000000001E-6</v>
      </c>
      <c r="I1323">
        <v>352.89370000000002</v>
      </c>
      <c r="J1323">
        <v>-199.51390000000001</v>
      </c>
      <c r="K1323">
        <v>1.1013839999999999</v>
      </c>
      <c r="L1323">
        <v>361.9966</v>
      </c>
      <c r="M1323">
        <v>0.86049759999999997</v>
      </c>
      <c r="N1323">
        <v>0</v>
      </c>
      <c r="O1323">
        <v>-0.50922780000000001</v>
      </c>
      <c r="P1323">
        <v>0.73245459999999996</v>
      </c>
      <c r="Q1323">
        <v>1.3054970000000001E-2</v>
      </c>
      <c r="R1323">
        <v>-0.68069109999999999</v>
      </c>
      <c r="S1323">
        <v>1.529755</v>
      </c>
      <c r="T1323">
        <v>-0.33327699999999999</v>
      </c>
      <c r="U1323">
        <v>-2.776764</v>
      </c>
      <c r="V1323">
        <v>0.21332609999999999</v>
      </c>
      <c r="W1323">
        <v>2.329026E-2</v>
      </c>
      <c r="X1323">
        <v>0.9767034</v>
      </c>
      <c r="Y1323">
        <v>0.50782700000000003</v>
      </c>
      <c r="Z1323">
        <v>2.8760620000000001E-2</v>
      </c>
      <c r="AA1323">
        <v>0.86097880000000004</v>
      </c>
      <c r="AB1323">
        <v>27</v>
      </c>
      <c r="AC1323">
        <v>4.9412000000000003</v>
      </c>
      <c r="AD1323">
        <v>-1.1013871132599999</v>
      </c>
      <c r="AE1323">
        <v>-9.1028999999999698</v>
      </c>
      <c r="AF1323">
        <v>5.25798629078042</v>
      </c>
      <c r="AG1323">
        <v>-1.1013871132599999</v>
      </c>
      <c r="AH1323">
        <v>8.7889849861732294</v>
      </c>
      <c r="AI1323">
        <v>96.137962150035804</v>
      </c>
      <c r="AJ1323">
        <v>59.110141689222097</v>
      </c>
      <c r="AK1323">
        <v>10.300763587932099</v>
      </c>
      <c r="AL1323">
        <v>88.665445723072807</v>
      </c>
      <c r="AM1323">
        <v>77.679263653597005</v>
      </c>
      <c r="AN1323">
        <v>0.99999999636181802</v>
      </c>
    </row>
    <row r="1324" spans="1:40" x14ac:dyDescent="0.25">
      <c r="A1324" t="str">
        <f>"20190312151010137"</f>
        <v>20190312151010137</v>
      </c>
      <c r="B1324" t="str">
        <f>"1552374610131534"</f>
        <v>1552374610131534</v>
      </c>
      <c r="C1324" t="s">
        <v>40</v>
      </c>
      <c r="D1324">
        <v>5.6865889999999997</v>
      </c>
      <c r="E1324">
        <v>0.62081629999999999</v>
      </c>
      <c r="F1324" t="s">
        <v>42</v>
      </c>
      <c r="G1324">
        <v>-190.68260000000001</v>
      </c>
      <c r="H1324" s="1">
        <v>-3.0275100000000001E-6</v>
      </c>
      <c r="I1324">
        <v>346.22300000000001</v>
      </c>
      <c r="J1324">
        <v>-199.3819</v>
      </c>
      <c r="K1324">
        <v>1.101321</v>
      </c>
      <c r="L1324">
        <v>361.91039999999998</v>
      </c>
      <c r="M1324">
        <v>0.85684380000000004</v>
      </c>
      <c r="N1324">
        <v>0</v>
      </c>
      <c r="O1324">
        <v>-0.51535149999999996</v>
      </c>
      <c r="P1324">
        <v>0.72735050000000001</v>
      </c>
      <c r="Q1324">
        <v>1.2498199999999999E-2</v>
      </c>
      <c r="R1324">
        <v>-0.6861526</v>
      </c>
      <c r="S1324">
        <v>1.541153</v>
      </c>
      <c r="T1324">
        <v>-0.1922015</v>
      </c>
      <c r="U1324">
        <v>-2.7526250000000001</v>
      </c>
      <c r="V1324">
        <v>0.2136555</v>
      </c>
      <c r="W1324">
        <v>2.2710109999999999E-2</v>
      </c>
      <c r="X1324">
        <v>0.97664510000000004</v>
      </c>
      <c r="Y1324">
        <v>0.49588949999999998</v>
      </c>
      <c r="Z1324">
        <v>1.7524560000000002E-2</v>
      </c>
      <c r="AA1324">
        <v>0.8682088</v>
      </c>
      <c r="AB1324">
        <v>27</v>
      </c>
      <c r="AC1324">
        <v>8.6992999999999903</v>
      </c>
      <c r="AD1324">
        <v>-1.10132402751</v>
      </c>
      <c r="AE1324">
        <v>-15.687399999999901</v>
      </c>
      <c r="AF1324">
        <v>8.9258455945305002</v>
      </c>
      <c r="AG1324">
        <v>-1.10132402751</v>
      </c>
      <c r="AH1324">
        <v>15.481906794909101</v>
      </c>
      <c r="AI1324">
        <v>93.526537226207907</v>
      </c>
      <c r="AJ1324">
        <v>60.035089142515702</v>
      </c>
      <c r="AK1324">
        <v>17.9045545098788</v>
      </c>
      <c r="AL1324">
        <v>88.698694718121601</v>
      </c>
      <c r="AM1324">
        <v>77.660107388196494</v>
      </c>
      <c r="AN1324">
        <v>1.00000003656523</v>
      </c>
    </row>
    <row r="1325" spans="1:40" x14ac:dyDescent="0.25">
      <c r="A1325" t="str">
        <f>"20190312151010150"</f>
        <v>20190312151010150</v>
      </c>
      <c r="B1325" t="str">
        <f>"1552374610142271"</f>
        <v>1552374610142271</v>
      </c>
      <c r="C1325" t="s">
        <v>40</v>
      </c>
      <c r="D1325">
        <v>5.7308469999999998</v>
      </c>
      <c r="E1325">
        <v>0.62021740000000003</v>
      </c>
      <c r="F1325" t="s">
        <v>42</v>
      </c>
      <c r="G1325">
        <v>-190.4974</v>
      </c>
      <c r="H1325" s="1">
        <v>-2.7418359999999999E-6</v>
      </c>
      <c r="I1325">
        <v>345.67189999999999</v>
      </c>
      <c r="J1325">
        <v>-199.26140000000001</v>
      </c>
      <c r="K1325">
        <v>1.1012630000000001</v>
      </c>
      <c r="L1325">
        <v>361.8297</v>
      </c>
      <c r="M1325">
        <v>0.85340130000000003</v>
      </c>
      <c r="N1325">
        <v>0</v>
      </c>
      <c r="O1325">
        <v>-0.52103199999999905</v>
      </c>
      <c r="P1325">
        <v>0.72253540000000005</v>
      </c>
      <c r="Q1325">
        <v>1.2798779999999999E-2</v>
      </c>
      <c r="R1325">
        <v>-0.69121560000000004</v>
      </c>
      <c r="S1325">
        <v>1.515228</v>
      </c>
      <c r="T1325">
        <v>-0.18782869999999999</v>
      </c>
      <c r="U1325">
        <v>-2.7694399999999999</v>
      </c>
      <c r="V1325">
        <v>0.21400150000000001</v>
      </c>
      <c r="W1325">
        <v>2.2988979999999999E-2</v>
      </c>
      <c r="X1325">
        <v>0.97656279999999995</v>
      </c>
      <c r="Y1325">
        <v>0.4986042</v>
      </c>
      <c r="Z1325">
        <v>1.742192E-2</v>
      </c>
      <c r="AA1325">
        <v>0.86665460000000005</v>
      </c>
      <c r="AB1325">
        <v>27</v>
      </c>
      <c r="AC1325">
        <v>8.76400000000001</v>
      </c>
      <c r="AD1325">
        <v>-1.1012657418359999</v>
      </c>
      <c r="AE1325">
        <v>-16.157800000000002</v>
      </c>
      <c r="AF1325">
        <v>9.1908431410456792</v>
      </c>
      <c r="AG1325">
        <v>-1.1012657418359999</v>
      </c>
      <c r="AH1325">
        <v>15.8429171538759</v>
      </c>
      <c r="AI1325">
        <v>93.440849110653105</v>
      </c>
      <c r="AJ1325">
        <v>59.880986923917398</v>
      </c>
      <c r="AK1325">
        <v>18.348907537562699</v>
      </c>
      <c r="AL1325">
        <v>88.682712448457096</v>
      </c>
      <c r="AM1325">
        <v>77.639727923847104</v>
      </c>
      <c r="AN1325">
        <v>1.0000000187737601</v>
      </c>
    </row>
    <row r="1326" spans="1:40" x14ac:dyDescent="0.25">
      <c r="A1326" t="str">
        <f>"20190312151010160"</f>
        <v>20190312151010160</v>
      </c>
      <c r="B1326" t="str">
        <f>"1552374610152030"</f>
        <v>1552374610152030</v>
      </c>
      <c r="C1326" t="s">
        <v>40</v>
      </c>
      <c r="D1326">
        <v>5.6724129999999997</v>
      </c>
      <c r="E1326">
        <v>0.6196045</v>
      </c>
      <c r="F1326" t="s">
        <v>42</v>
      </c>
      <c r="G1326">
        <v>-190.626</v>
      </c>
      <c r="H1326" s="1">
        <v>-2.8469420000000001E-6</v>
      </c>
      <c r="I1326">
        <v>345.83710000000002</v>
      </c>
      <c r="J1326">
        <v>-199.1448</v>
      </c>
      <c r="K1326">
        <v>1.101208</v>
      </c>
      <c r="L1326">
        <v>361.75099999999998</v>
      </c>
      <c r="M1326">
        <v>0.85001130000000003</v>
      </c>
      <c r="N1326">
        <v>0</v>
      </c>
      <c r="O1326">
        <v>-0.52654380000000001</v>
      </c>
      <c r="P1326">
        <v>0.71765669999999904</v>
      </c>
      <c r="Q1326">
        <v>1.2920549999999999E-2</v>
      </c>
      <c r="R1326">
        <v>-0.69627759999999905</v>
      </c>
      <c r="S1326">
        <v>1.4992369999999999</v>
      </c>
      <c r="T1326">
        <v>-0.19119659999999999</v>
      </c>
      <c r="U1326">
        <v>-2.7765499999999999</v>
      </c>
      <c r="V1326">
        <v>0.2145533</v>
      </c>
      <c r="W1326">
        <v>2.308385E-2</v>
      </c>
      <c r="X1326">
        <v>0.97643950000000002</v>
      </c>
      <c r="Y1326">
        <v>0.49779129999999999</v>
      </c>
      <c r="Z1326">
        <v>1.815553E-2</v>
      </c>
      <c r="AA1326">
        <v>0.86710679999999996</v>
      </c>
      <c r="AB1326">
        <v>27</v>
      </c>
      <c r="AC1326">
        <v>8.5188000000000201</v>
      </c>
      <c r="AD1326">
        <v>-1.1012108469420001</v>
      </c>
      <c r="AE1326">
        <v>-15.9138999999999</v>
      </c>
      <c r="AF1326">
        <v>9.0089941426982403</v>
      </c>
      <c r="AG1326">
        <v>-1.1012108469420001</v>
      </c>
      <c r="AH1326">
        <v>15.5643288890879</v>
      </c>
      <c r="AI1326">
        <v>93.504081915614407</v>
      </c>
      <c r="AJ1326">
        <v>59.936747238171698</v>
      </c>
      <c r="AK1326">
        <v>18.0172965386123</v>
      </c>
      <c r="AL1326">
        <v>88.677275383064995</v>
      </c>
      <c r="AM1326">
        <v>77.607324074449906</v>
      </c>
      <c r="AN1326">
        <v>1.0000000399159801</v>
      </c>
    </row>
    <row r="1327" spans="1:40" x14ac:dyDescent="0.25">
      <c r="A1327" t="str">
        <f>"20190312151010172"</f>
        <v>20190312151010172</v>
      </c>
      <c r="B1327" t="str">
        <f>"1552374610161790"</f>
        <v>1552374610161790</v>
      </c>
      <c r="C1327" t="s">
        <v>40</v>
      </c>
      <c r="D1327">
        <v>5.7294289999999997</v>
      </c>
      <c r="E1327">
        <v>0.6196045</v>
      </c>
      <c r="F1327" t="s">
        <v>42</v>
      </c>
      <c r="G1327">
        <v>-190.47810000000001</v>
      </c>
      <c r="H1327" s="1">
        <v>-2.6584580000000002E-6</v>
      </c>
      <c r="I1327">
        <v>345.48950000000002</v>
      </c>
      <c r="J1327">
        <v>-199.0275</v>
      </c>
      <c r="K1327">
        <v>1.101151</v>
      </c>
      <c r="L1327">
        <v>361.6705</v>
      </c>
      <c r="M1327">
        <v>0.84651290000000001</v>
      </c>
      <c r="N1327">
        <v>0</v>
      </c>
      <c r="O1327">
        <v>-0.53214939999999999</v>
      </c>
      <c r="P1327">
        <v>0.71308000000000005</v>
      </c>
      <c r="Q1327">
        <v>1.2896400000000001E-2</v>
      </c>
      <c r="R1327">
        <v>-0.70096449999999999</v>
      </c>
      <c r="S1327">
        <v>1.4833369999999999</v>
      </c>
      <c r="T1327">
        <v>-0.18847739999999999</v>
      </c>
      <c r="U1327">
        <v>-2.7832340000000002</v>
      </c>
      <c r="V1327">
        <v>0.21450060000000001</v>
      </c>
      <c r="W1327">
        <v>2.304809E-2</v>
      </c>
      <c r="X1327">
        <v>0.97645190000000004</v>
      </c>
      <c r="Y1327">
        <v>0.49678800000000001</v>
      </c>
      <c r="Z1327">
        <v>1.8328609999999999E-2</v>
      </c>
      <c r="AA1327">
        <v>0.86767830000000001</v>
      </c>
      <c r="AB1327">
        <v>27</v>
      </c>
      <c r="AC1327">
        <v>8.5493999999999897</v>
      </c>
      <c r="AD1327">
        <v>-1.101153658458</v>
      </c>
      <c r="AE1327">
        <v>-16.180999999999901</v>
      </c>
      <c r="AF1327">
        <v>9.1159292597168609</v>
      </c>
      <c r="AG1327">
        <v>-1.101153658458</v>
      </c>
      <c r="AH1327">
        <v>15.792557194533</v>
      </c>
      <c r="AI1327">
        <v>93.455766344144195</v>
      </c>
      <c r="AJ1327">
        <v>60.005191668723803</v>
      </c>
      <c r="AK1327">
        <v>18.267938263260401</v>
      </c>
      <c r="AL1327">
        <v>88.679324795625206</v>
      </c>
      <c r="AM1327">
        <v>77.610426505014004</v>
      </c>
      <c r="AN1327">
        <v>1.0000000174332999</v>
      </c>
    </row>
    <row r="1328" spans="1:40" x14ac:dyDescent="0.25">
      <c r="A1328" t="str">
        <f>"20190312151010184"</f>
        <v>20190312151010184</v>
      </c>
      <c r="B1328" t="str">
        <f>"1552374610182288"</f>
        <v>1552374610182288</v>
      </c>
      <c r="C1328" t="s">
        <v>40</v>
      </c>
      <c r="D1328">
        <v>5.7597870000000002</v>
      </c>
      <c r="E1328">
        <v>0.61843780000000004</v>
      </c>
      <c r="F1328" t="s">
        <v>42</v>
      </c>
      <c r="G1328">
        <v>-190.48089999999999</v>
      </c>
      <c r="H1328" s="1">
        <v>-2.6119130000000001E-6</v>
      </c>
      <c r="I1328">
        <v>345.3793</v>
      </c>
      <c r="J1328">
        <v>-198.90889999999999</v>
      </c>
      <c r="K1328">
        <v>1.1010960000000001</v>
      </c>
      <c r="L1328">
        <v>361.58780000000002</v>
      </c>
      <c r="M1328">
        <v>0.84289669999999906</v>
      </c>
      <c r="N1328">
        <v>0</v>
      </c>
      <c r="O1328">
        <v>-0.53785819999999995</v>
      </c>
      <c r="P1328">
        <v>0.70799290000000004</v>
      </c>
      <c r="Q1328">
        <v>1.271626E-2</v>
      </c>
      <c r="R1328">
        <v>-0.70610550000000005</v>
      </c>
      <c r="S1328">
        <v>1.465149</v>
      </c>
      <c r="T1328">
        <v>-0.1887721</v>
      </c>
      <c r="U1328">
        <v>-2.7928160000000002</v>
      </c>
      <c r="V1328">
        <v>0.21496380000000001</v>
      </c>
      <c r="W1328">
        <v>2.284311E-2</v>
      </c>
      <c r="X1328">
        <v>0.97635479999999997</v>
      </c>
      <c r="Y1328">
        <v>0.49658540000000001</v>
      </c>
      <c r="Z1328">
        <v>1.8762419999999998E-2</v>
      </c>
      <c r="AA1328">
        <v>0.86778509999999998</v>
      </c>
      <c r="AB1328">
        <v>27</v>
      </c>
      <c r="AC1328">
        <v>8.4279999999999902</v>
      </c>
      <c r="AD1328">
        <v>-1.101098611913</v>
      </c>
      <c r="AE1328">
        <v>-16.208500000000001</v>
      </c>
      <c r="AF1328">
        <v>9.0970419317136102</v>
      </c>
      <c r="AG1328">
        <v>-1.101098611913</v>
      </c>
      <c r="AH1328">
        <v>15.766381879213199</v>
      </c>
      <c r="AI1328">
        <v>93.461675276067297</v>
      </c>
      <c r="AJ1328">
        <v>60.015491337379203</v>
      </c>
      <c r="AK1328">
        <v>18.2358818712366</v>
      </c>
      <c r="AL1328">
        <v>88.6910723141864</v>
      </c>
      <c r="AM1328">
        <v>77.583304414083898</v>
      </c>
      <c r="AN1328">
        <v>0.99999996923397505</v>
      </c>
    </row>
    <row r="1329" spans="1:40" x14ac:dyDescent="0.25">
      <c r="A1329" t="str">
        <f>"20190312151010195"</f>
        <v>20190312151010195</v>
      </c>
      <c r="B1329" t="str">
        <f>"1552374610192046"</f>
        <v>1552374610192046</v>
      </c>
      <c r="C1329" t="s">
        <v>40</v>
      </c>
      <c r="D1329">
        <v>5.6258660000000003</v>
      </c>
      <c r="E1329">
        <v>0.65515109999999999</v>
      </c>
      <c r="F1329" t="s">
        <v>48</v>
      </c>
      <c r="G1329">
        <v>-194.4042</v>
      </c>
      <c r="H1329" s="1">
        <v>-3.060163E-6</v>
      </c>
      <c r="I1329">
        <v>352.86250000000001</v>
      </c>
      <c r="J1329">
        <v>-198.7938</v>
      </c>
      <c r="K1329">
        <v>1.101043</v>
      </c>
      <c r="L1329">
        <v>361.50670000000002</v>
      </c>
      <c r="M1329">
        <v>0.8393195</v>
      </c>
      <c r="N1329">
        <v>0</v>
      </c>
      <c r="O1329">
        <v>-0.5434232</v>
      </c>
      <c r="P1329">
        <v>0.7030904</v>
      </c>
      <c r="Q1329">
        <v>1.241751E-2</v>
      </c>
      <c r="R1329">
        <v>-0.71099250000000003</v>
      </c>
      <c r="S1329">
        <v>1.447479</v>
      </c>
      <c r="T1329">
        <v>-0.35381079999999998</v>
      </c>
      <c r="U1329">
        <v>-2.8036799999999999</v>
      </c>
      <c r="V1329">
        <v>0.21526039999999999</v>
      </c>
      <c r="W1329">
        <v>2.2524659999999998E-2</v>
      </c>
      <c r="X1329">
        <v>0.97629690000000002</v>
      </c>
      <c r="Y1329">
        <v>0.49650420000000001</v>
      </c>
      <c r="Z1329">
        <v>3.5781350000000003E-2</v>
      </c>
      <c r="AA1329">
        <v>0.86729659999999997</v>
      </c>
      <c r="AB1329">
        <v>27</v>
      </c>
      <c r="AC1329">
        <v>4.3895999999999997</v>
      </c>
      <c r="AD1329">
        <v>-1.1010460601630001</v>
      </c>
      <c r="AE1329">
        <v>-8.6442000000000103</v>
      </c>
      <c r="AF1329">
        <v>4.8083859809652099</v>
      </c>
      <c r="AG1329">
        <v>-1.1010460601630001</v>
      </c>
      <c r="AH1329">
        <v>8.27597223802778</v>
      </c>
      <c r="AI1329">
        <v>96.562154833701996</v>
      </c>
      <c r="AJ1329">
        <v>59.843173563863601</v>
      </c>
      <c r="AK1329">
        <v>9.6345521251976098</v>
      </c>
      <c r="AL1329">
        <v>88.709322915541193</v>
      </c>
      <c r="AM1329">
        <v>77.565990274236199</v>
      </c>
      <c r="AN1329">
        <v>1.0000000185329401</v>
      </c>
    </row>
    <row r="1330" spans="1:40" x14ac:dyDescent="0.25">
      <c r="A1330" t="str">
        <f>"20190312151010208"</f>
        <v>20190312151010208</v>
      </c>
      <c r="B1330" t="str">
        <f>"1552374610201806"</f>
        <v>1552374610201806</v>
      </c>
      <c r="C1330" t="s">
        <v>40</v>
      </c>
      <c r="D1330">
        <v>5.6422299999999996</v>
      </c>
      <c r="E1330">
        <v>0.66201109999999996</v>
      </c>
      <c r="F1330" t="s">
        <v>48</v>
      </c>
      <c r="G1330">
        <v>-194.50239999999999</v>
      </c>
      <c r="H1330" s="1">
        <v>-1.961646E-6</v>
      </c>
      <c r="I1330">
        <v>350.89280000000002</v>
      </c>
      <c r="J1330">
        <v>-198.67670000000001</v>
      </c>
      <c r="K1330">
        <v>1.100992</v>
      </c>
      <c r="L1330">
        <v>361.42230000000001</v>
      </c>
      <c r="M1330">
        <v>0.83557590000000004</v>
      </c>
      <c r="N1330">
        <v>0</v>
      </c>
      <c r="O1330">
        <v>-0.54916149999999997</v>
      </c>
      <c r="P1330">
        <v>0.69803939999999998</v>
      </c>
      <c r="Q1330">
        <v>1.2478400000000001E-2</v>
      </c>
      <c r="R1330">
        <v>-0.7159508</v>
      </c>
      <c r="S1330">
        <v>1.220291</v>
      </c>
      <c r="T1330">
        <v>-0.31309009999999998</v>
      </c>
      <c r="U1330">
        <v>-3.0181269999999998</v>
      </c>
      <c r="V1330">
        <v>0.21548580000000001</v>
      </c>
      <c r="W1330">
        <v>2.2568999999999999E-2</v>
      </c>
      <c r="X1330">
        <v>0.97624610000000001</v>
      </c>
      <c r="Y1330">
        <v>0.56857179999999996</v>
      </c>
      <c r="Z1330">
        <v>2.7669079999999999E-2</v>
      </c>
      <c r="AA1330">
        <v>0.82216819999999902</v>
      </c>
      <c r="AB1330">
        <v>27</v>
      </c>
      <c r="AC1330">
        <v>4.1743000000000103</v>
      </c>
      <c r="AD1330">
        <v>-1.1009939616460001</v>
      </c>
      <c r="AE1330">
        <v>-10.529499999999899</v>
      </c>
      <c r="AF1330">
        <v>6.4456930578560101</v>
      </c>
      <c r="AG1330">
        <v>-1.1009939616460001</v>
      </c>
      <c r="AH1330">
        <v>9.1846474260428792</v>
      </c>
      <c r="AI1330">
        <v>95.604006068046502</v>
      </c>
      <c r="AJ1330">
        <v>54.939208582279399</v>
      </c>
      <c r="AK1330">
        <v>11.274612855454899</v>
      </c>
      <c r="AL1330">
        <v>88.706781710362606</v>
      </c>
      <c r="AM1330">
        <v>77.552748644244701</v>
      </c>
      <c r="AN1330">
        <v>0.99999996876392405</v>
      </c>
    </row>
    <row r="1331" spans="1:40" x14ac:dyDescent="0.25">
      <c r="A1331" t="str">
        <f>"20190312151010226"</f>
        <v>20190312151010226</v>
      </c>
      <c r="B1331" t="str">
        <f>"1552374610222302"</f>
        <v>1552374610222302</v>
      </c>
      <c r="C1331" t="s">
        <v>40</v>
      </c>
      <c r="D1331">
        <v>5.6194389999999999</v>
      </c>
      <c r="E1331">
        <v>0.66431090000000004</v>
      </c>
      <c r="F1331" t="s">
        <v>48</v>
      </c>
      <c r="G1331">
        <v>-195.13489999999999</v>
      </c>
      <c r="H1331" s="1">
        <v>-2.8134360000000002E-6</v>
      </c>
      <c r="I1331">
        <v>352.05020000000002</v>
      </c>
      <c r="J1331">
        <v>-198.50040000000001</v>
      </c>
      <c r="K1331">
        <v>1.1009100000000001</v>
      </c>
      <c r="L1331">
        <v>361.29340000000002</v>
      </c>
      <c r="M1331">
        <v>0.82979139999999996</v>
      </c>
      <c r="N1331">
        <v>0</v>
      </c>
      <c r="O1331">
        <v>-0.55786289999999905</v>
      </c>
      <c r="P1331">
        <v>0.68995399999999996</v>
      </c>
      <c r="Q1331">
        <v>1.1820199999999999E-2</v>
      </c>
      <c r="R1331">
        <v>-0.72375710000000004</v>
      </c>
      <c r="S1331">
        <v>1.1589050000000001</v>
      </c>
      <c r="T1331">
        <v>-0.36025550000000001</v>
      </c>
      <c r="U1331">
        <v>-3.0666500000000001</v>
      </c>
      <c r="V1331">
        <v>0.21624840000000001</v>
      </c>
      <c r="W1331">
        <v>2.1873460000000001E-2</v>
      </c>
      <c r="X1331">
        <v>0.97609330000000005</v>
      </c>
      <c r="Y1331">
        <v>0.57866099999999998</v>
      </c>
      <c r="Z1331">
        <v>3.2121829999999997E-2</v>
      </c>
      <c r="AA1331">
        <v>0.81493539999999998</v>
      </c>
      <c r="AB1331">
        <v>27</v>
      </c>
      <c r="AC1331">
        <v>3.3655000000000199</v>
      </c>
      <c r="AD1331">
        <v>-1.100912813436</v>
      </c>
      <c r="AE1331">
        <v>-9.2431999999999999</v>
      </c>
      <c r="AF1331">
        <v>5.7214575322402599</v>
      </c>
      <c r="AG1331">
        <v>-1.100912813436</v>
      </c>
      <c r="AH1331">
        <v>7.8516900305365001</v>
      </c>
      <c r="AI1331">
        <v>96.465132262864799</v>
      </c>
      <c r="AJ1331">
        <v>53.919505378426699</v>
      </c>
      <c r="AK1331">
        <v>9.7773269174986002</v>
      </c>
      <c r="AL1331">
        <v>88.746643068768705</v>
      </c>
      <c r="AM1331">
        <v>77.508184228433294</v>
      </c>
      <c r="AN1331">
        <v>0.99999997452990996</v>
      </c>
    </row>
    <row r="1332" spans="1:40" x14ac:dyDescent="0.25">
      <c r="A1332" t="str">
        <f>"20190312151010240"</f>
        <v>20190312151010240</v>
      </c>
      <c r="B1332" t="str">
        <f>"1552374610232062"</f>
        <v>1552374610232062</v>
      </c>
      <c r="C1332" t="s">
        <v>40</v>
      </c>
      <c r="D1332">
        <v>5.5897629999999996</v>
      </c>
      <c r="E1332">
        <v>0.66435239999999995</v>
      </c>
      <c r="F1332" t="s">
        <v>48</v>
      </c>
      <c r="G1332">
        <v>-194.87379999999999</v>
      </c>
      <c r="H1332" s="1">
        <v>-2.246829E-6</v>
      </c>
      <c r="I1332">
        <v>351.20769999999999</v>
      </c>
      <c r="J1332">
        <v>-198.36160000000001</v>
      </c>
      <c r="K1332">
        <v>1.1008469999999999</v>
      </c>
      <c r="L1332">
        <v>361.19</v>
      </c>
      <c r="M1332">
        <v>0.82510499999999998</v>
      </c>
      <c r="N1332">
        <v>0</v>
      </c>
      <c r="O1332">
        <v>-0.56477060000000001</v>
      </c>
      <c r="P1332">
        <v>0.68401029999999996</v>
      </c>
      <c r="Q1332">
        <v>1.152069E-2</v>
      </c>
      <c r="R1332">
        <v>-0.72938190000000003</v>
      </c>
      <c r="S1332">
        <v>1.11145</v>
      </c>
      <c r="T1332">
        <v>-0.33740140000000002</v>
      </c>
      <c r="U1332">
        <v>-3.0910030000000002</v>
      </c>
      <c r="V1332">
        <v>0.21608530000000001</v>
      </c>
      <c r="W1332">
        <v>2.1564070000000001E-2</v>
      </c>
      <c r="X1332">
        <v>0.97613629999999996</v>
      </c>
      <c r="Y1332">
        <v>0.58503539999999998</v>
      </c>
      <c r="Z1332">
        <v>3.0533890000000001E-2</v>
      </c>
      <c r="AA1332">
        <v>0.81043269999999901</v>
      </c>
      <c r="AB1332">
        <v>27</v>
      </c>
      <c r="AC1332">
        <v>3.48780000000002</v>
      </c>
      <c r="AD1332">
        <v>-1.1008492468290001</v>
      </c>
      <c r="AE1332">
        <v>-9.9823000000000093</v>
      </c>
      <c r="AF1332">
        <v>6.2001771597822302</v>
      </c>
      <c r="AG1332">
        <v>-1.1008492468290001</v>
      </c>
      <c r="AH1332">
        <v>8.4251985162994103</v>
      </c>
      <c r="AI1332">
        <v>96.007507126295494</v>
      </c>
      <c r="AJ1332">
        <v>53.6503237385364</v>
      </c>
      <c r="AK1332">
        <v>10.5184616706048</v>
      </c>
      <c r="AL1332">
        <v>88.764373988630595</v>
      </c>
      <c r="AM1332">
        <v>77.517843095479293</v>
      </c>
      <c r="AN1332">
        <v>0.999999971084372</v>
      </c>
    </row>
    <row r="1333" spans="1:40" x14ac:dyDescent="0.25">
      <c r="A1333" t="str">
        <f>"20190312151010253"</f>
        <v>20190312151010253</v>
      </c>
      <c r="B1333" t="str">
        <f>"1552374610241823"</f>
        <v>1552374610241823</v>
      </c>
      <c r="C1333" t="s">
        <v>40</v>
      </c>
      <c r="D1333">
        <v>5.7033379999999996</v>
      </c>
      <c r="E1333">
        <v>0.66478590000000004</v>
      </c>
      <c r="F1333" t="s">
        <v>48</v>
      </c>
      <c r="G1333">
        <v>-194.77979999999999</v>
      </c>
      <c r="H1333" s="1">
        <v>-2.076005E-6</v>
      </c>
      <c r="I1333">
        <v>350.96129999999999</v>
      </c>
      <c r="J1333">
        <v>-198.22890000000001</v>
      </c>
      <c r="K1333">
        <v>1.100786</v>
      </c>
      <c r="L1333">
        <v>361.089</v>
      </c>
      <c r="M1333">
        <v>0.82048709999999903</v>
      </c>
      <c r="N1333">
        <v>0</v>
      </c>
      <c r="O1333">
        <v>-0.57145800000000002</v>
      </c>
      <c r="P1333">
        <v>0.67796809999999996</v>
      </c>
      <c r="Q1333">
        <v>1.1420080000000001E-2</v>
      </c>
      <c r="R1333">
        <v>-0.73500269999999901</v>
      </c>
      <c r="S1333">
        <v>1.0856479999999999</v>
      </c>
      <c r="T1333">
        <v>-0.33366669999999998</v>
      </c>
      <c r="U1333">
        <v>-3.100311</v>
      </c>
      <c r="V1333">
        <v>0.21620900000000001</v>
      </c>
      <c r="W1333">
        <v>2.1448700000000001E-2</v>
      </c>
      <c r="X1333">
        <v>0.97611150000000002</v>
      </c>
      <c r="Y1333">
        <v>0.58523959999999997</v>
      </c>
      <c r="Z1333">
        <v>3.1012560000000002E-2</v>
      </c>
      <c r="AA1333">
        <v>0.81026719999999997</v>
      </c>
      <c r="AB1333">
        <v>27</v>
      </c>
      <c r="AC1333">
        <v>3.4491000000000098</v>
      </c>
      <c r="AD1333">
        <v>-1.1007880760049999</v>
      </c>
      <c r="AE1333">
        <v>-10.127700000000001</v>
      </c>
      <c r="AF1333">
        <v>6.2729764054421597</v>
      </c>
      <c r="AG1333">
        <v>-1.1007880760049999</v>
      </c>
      <c r="AH1333">
        <v>8.5282379337918996</v>
      </c>
      <c r="AI1333">
        <v>95.936116322055994</v>
      </c>
      <c r="AJ1333">
        <v>53.663524036976099</v>
      </c>
      <c r="AK1333">
        <v>10.6439095085817</v>
      </c>
      <c r="AL1333">
        <v>88.770985791549094</v>
      </c>
      <c r="AM1333">
        <v>77.510614354419204</v>
      </c>
      <c r="AN1333">
        <v>1.0000000194224601</v>
      </c>
    </row>
    <row r="1334" spans="1:40" x14ac:dyDescent="0.25">
      <c r="A1334" t="str">
        <f>"20190312151010270"</f>
        <v>20190312151010270</v>
      </c>
      <c r="B1334" t="str">
        <f>"1552374610262318"</f>
        <v>1552374610262318</v>
      </c>
      <c r="C1334" t="s">
        <v>40</v>
      </c>
      <c r="D1334">
        <v>5.6511089999999999</v>
      </c>
      <c r="E1334">
        <v>0.66463119999999998</v>
      </c>
      <c r="F1334" t="s">
        <v>48</v>
      </c>
      <c r="G1334">
        <v>-194.96170000000001</v>
      </c>
      <c r="H1334" s="1">
        <v>-2.4235679999999999E-6</v>
      </c>
      <c r="I1334">
        <v>351.46679999999998</v>
      </c>
      <c r="J1334">
        <v>-198.07570000000001</v>
      </c>
      <c r="K1334">
        <v>1.1007199999999999</v>
      </c>
      <c r="L1334">
        <v>360.97019999999998</v>
      </c>
      <c r="M1334">
        <v>0.81500709999999998</v>
      </c>
      <c r="N1334">
        <v>0</v>
      </c>
      <c r="O1334">
        <v>-0.57924609999999999</v>
      </c>
      <c r="P1334">
        <v>0.67081199999999996</v>
      </c>
      <c r="Q1334">
        <v>1.124402E-2</v>
      </c>
      <c r="R1334">
        <v>-0.74154229999999999</v>
      </c>
      <c r="S1334">
        <v>1.0567930000000001</v>
      </c>
      <c r="T1334">
        <v>-0.35605979999999998</v>
      </c>
      <c r="U1334">
        <v>-3.1123959999999999</v>
      </c>
      <c r="V1334">
        <v>0.21637609999999999</v>
      </c>
      <c r="W1334">
        <v>2.125467E-2</v>
      </c>
      <c r="X1334">
        <v>0.97607869999999997</v>
      </c>
      <c r="Y1334">
        <v>0.58519409999999905</v>
      </c>
      <c r="Z1334">
        <v>3.4091719999999999E-2</v>
      </c>
      <c r="AA1334">
        <v>0.81017629999999996</v>
      </c>
      <c r="AB1334">
        <v>27</v>
      </c>
      <c r="AC1334">
        <v>3.1139999999999999</v>
      </c>
      <c r="AD1334">
        <v>-1.100722423568</v>
      </c>
      <c r="AE1334">
        <v>-9.5033999999999992</v>
      </c>
      <c r="AF1334">
        <v>5.8711455091780902</v>
      </c>
      <c r="AG1334">
        <v>-1.100722423568</v>
      </c>
      <c r="AH1334">
        <v>7.9474153666854104</v>
      </c>
      <c r="AI1334">
        <v>96.356498843718896</v>
      </c>
      <c r="AJ1334">
        <v>53.544899889669601</v>
      </c>
      <c r="AK1334">
        <v>9.9419993187645606</v>
      </c>
      <c r="AL1334">
        <v>88.782105406571702</v>
      </c>
      <c r="AM1334">
        <v>77.500858171520306</v>
      </c>
      <c r="AN1334">
        <v>1.00000000312085</v>
      </c>
    </row>
    <row r="1335" spans="1:40" x14ac:dyDescent="0.25">
      <c r="A1335" t="str">
        <f>"20190312151010281"</f>
        <v>20190312151010281</v>
      </c>
      <c r="B1335" t="str">
        <f>"1552374610272078"</f>
        <v>1552374610272078</v>
      </c>
      <c r="C1335" t="s">
        <v>40</v>
      </c>
      <c r="D1335">
        <v>5.6269879999999999</v>
      </c>
      <c r="E1335">
        <v>0.66435859999999902</v>
      </c>
      <c r="F1335" t="s">
        <v>48</v>
      </c>
      <c r="G1335">
        <v>-194.97980000000001</v>
      </c>
      <c r="H1335" s="1">
        <v>-2.4859330000000001E-6</v>
      </c>
      <c r="I1335">
        <v>351.56400000000002</v>
      </c>
      <c r="J1335">
        <v>-197.96209999999999</v>
      </c>
      <c r="K1335">
        <v>1.10067</v>
      </c>
      <c r="L1335">
        <v>360.88060000000002</v>
      </c>
      <c r="M1335">
        <v>0.81084009999999995</v>
      </c>
      <c r="N1335">
        <v>0</v>
      </c>
      <c r="O1335">
        <v>-0.58506469999999999</v>
      </c>
      <c r="P1335">
        <v>0.66524019999999995</v>
      </c>
      <c r="Q1335">
        <v>1.1236299999999999E-2</v>
      </c>
      <c r="R1335">
        <v>-0.74654509999999996</v>
      </c>
      <c r="S1335">
        <v>1.0274810000000001</v>
      </c>
      <c r="T1335">
        <v>-0.36530319999999999</v>
      </c>
      <c r="U1335">
        <v>-3.1216740000000001</v>
      </c>
      <c r="V1335">
        <v>0.21670200000000001</v>
      </c>
      <c r="W1335">
        <v>2.1227969999999999E-2</v>
      </c>
      <c r="X1335">
        <v>0.97600699999999996</v>
      </c>
      <c r="Y1335">
        <v>0.58695989999999998</v>
      </c>
      <c r="Z1335">
        <v>3.5659280000000002E-2</v>
      </c>
      <c r="AA1335">
        <v>0.80883039999999995</v>
      </c>
      <c r="AB1335">
        <v>27</v>
      </c>
      <c r="AC1335">
        <v>2.98229999999998</v>
      </c>
      <c r="AD1335">
        <v>-1.1006724859329999</v>
      </c>
      <c r="AE1335">
        <v>-9.3165999999999904</v>
      </c>
      <c r="AF1335">
        <v>5.7374879128819698</v>
      </c>
      <c r="AG1335">
        <v>-1.1006724859329999</v>
      </c>
      <c r="AH1335">
        <v>7.771529390005</v>
      </c>
      <c r="AI1335">
        <v>96.500324809065106</v>
      </c>
      <c r="AJ1335">
        <v>53.5626561908987</v>
      </c>
      <c r="AK1335">
        <v>9.7224953860348098</v>
      </c>
      <c r="AL1335">
        <v>88.783635574249104</v>
      </c>
      <c r="AM1335">
        <v>77.481734627583407</v>
      </c>
      <c r="AN1335">
        <v>1.00000002378166</v>
      </c>
    </row>
    <row r="1336" spans="1:40" x14ac:dyDescent="0.25">
      <c r="A1336" t="str">
        <f>"20190312151010293"</f>
        <v>20190312151010293</v>
      </c>
      <c r="B1336" t="str">
        <f>"1552374610281838"</f>
        <v>1552374610281838</v>
      </c>
      <c r="C1336" t="s">
        <v>40</v>
      </c>
      <c r="D1336">
        <v>5.6346949999999998</v>
      </c>
      <c r="E1336">
        <v>0.66388049999999998</v>
      </c>
      <c r="F1336" t="s">
        <v>48</v>
      </c>
      <c r="G1336">
        <v>-194.8964</v>
      </c>
      <c r="H1336" s="1">
        <v>-2.3362740000000001E-6</v>
      </c>
      <c r="I1336">
        <v>351.34859999999998</v>
      </c>
      <c r="J1336">
        <v>-197.84950000000001</v>
      </c>
      <c r="K1336">
        <v>1.1006129999999901</v>
      </c>
      <c r="L1336">
        <v>360.79039999999998</v>
      </c>
      <c r="M1336">
        <v>0.80661119999999897</v>
      </c>
      <c r="N1336">
        <v>0</v>
      </c>
      <c r="O1336">
        <v>-0.59088090000000004</v>
      </c>
      <c r="P1336">
        <v>0.65988089999999999</v>
      </c>
      <c r="Q1336">
        <v>1.107287E-2</v>
      </c>
      <c r="R1336">
        <v>-0.75128899999999998</v>
      </c>
      <c r="S1336">
        <v>1.00589</v>
      </c>
      <c r="T1336">
        <v>-0.36115069999999999</v>
      </c>
      <c r="U1336">
        <v>-3.1276250000000001</v>
      </c>
      <c r="V1336">
        <v>0.2166681</v>
      </c>
      <c r="W1336">
        <v>2.1055399999999998E-2</v>
      </c>
      <c r="X1336">
        <v>0.97601819999999895</v>
      </c>
      <c r="Y1336">
        <v>0.58667429999999998</v>
      </c>
      <c r="Z1336">
        <v>3.6071239999999997E-2</v>
      </c>
      <c r="AA1336">
        <v>0.8090193</v>
      </c>
      <c r="AB1336">
        <v>27</v>
      </c>
      <c r="AC1336">
        <v>2.9531000000000001</v>
      </c>
      <c r="AD1336">
        <v>-1.1006153362740001</v>
      </c>
      <c r="AE1336">
        <v>-9.4418000000000006</v>
      </c>
      <c r="AF1336">
        <v>5.7998435397911097</v>
      </c>
      <c r="AG1336">
        <v>-1.1006153362740001</v>
      </c>
      <c r="AH1336">
        <v>7.8645878910171998</v>
      </c>
      <c r="AI1336">
        <v>96.426181506339105</v>
      </c>
      <c r="AJ1336">
        <v>53.592594030733302</v>
      </c>
      <c r="AK1336">
        <v>9.8336809944207904</v>
      </c>
      <c r="AL1336">
        <v>88.793525241496695</v>
      </c>
      <c r="AM1336">
        <v>77.483770322633902</v>
      </c>
      <c r="AN1336">
        <v>0.99999996107900402</v>
      </c>
    </row>
    <row r="1337" spans="1:40" x14ac:dyDescent="0.25">
      <c r="A1337" t="str">
        <f>"20190312151010306"</f>
        <v>20190312151010306</v>
      </c>
      <c r="B1337" t="str">
        <f>"1552374610301359"</f>
        <v>1552374610301359</v>
      </c>
      <c r="C1337" t="s">
        <v>40</v>
      </c>
      <c r="D1337">
        <v>5.5742440000000002</v>
      </c>
      <c r="E1337">
        <v>0.66289319999999996</v>
      </c>
      <c r="F1337" t="s">
        <v>48</v>
      </c>
      <c r="G1337">
        <v>-194.81530000000001</v>
      </c>
      <c r="H1337" s="1">
        <v>-2.2023110000000002E-6</v>
      </c>
      <c r="I1337">
        <v>351.15879999999999</v>
      </c>
      <c r="J1337">
        <v>-197.73519999999999</v>
      </c>
      <c r="K1337">
        <v>1.10056</v>
      </c>
      <c r="L1337">
        <v>360.69720000000001</v>
      </c>
      <c r="M1337">
        <v>0.8022106</v>
      </c>
      <c r="N1337">
        <v>0</v>
      </c>
      <c r="O1337">
        <v>-0.59684099999999995</v>
      </c>
      <c r="P1337">
        <v>0.65434499999999995</v>
      </c>
      <c r="Q1337">
        <v>1.085936E-2</v>
      </c>
      <c r="R1337">
        <v>-0.75611839999999997</v>
      </c>
      <c r="S1337">
        <v>0.98657229999999996</v>
      </c>
      <c r="T1337">
        <v>-0.35786889999999999</v>
      </c>
      <c r="U1337">
        <v>-3.1317750000000002</v>
      </c>
      <c r="V1337">
        <v>0.2166054</v>
      </c>
      <c r="W1337">
        <v>2.083372E-2</v>
      </c>
      <c r="X1337">
        <v>0.97603689999999999</v>
      </c>
      <c r="Y1337">
        <v>0.58554819999999996</v>
      </c>
      <c r="Z1337">
        <v>3.663429E-2</v>
      </c>
      <c r="AA1337">
        <v>0.80980929999999995</v>
      </c>
      <c r="AB1337">
        <v>27</v>
      </c>
      <c r="AC1337">
        <v>2.9198999999999802</v>
      </c>
      <c r="AD1337">
        <v>-1.100562202311</v>
      </c>
      <c r="AE1337">
        <v>-9.5384000000000206</v>
      </c>
      <c r="AF1337">
        <v>5.8387244773070197</v>
      </c>
      <c r="AG1337">
        <v>-1.100562202311</v>
      </c>
      <c r="AH1337">
        <v>7.9395992719755704</v>
      </c>
      <c r="AI1337">
        <v>96.371908397214298</v>
      </c>
      <c r="AJ1337">
        <v>53.669502723240299</v>
      </c>
      <c r="AK1337">
        <v>9.9166111793603609</v>
      </c>
      <c r="AL1337">
        <v>88.806229387777904</v>
      </c>
      <c r="AM1337">
        <v>77.487510400559799</v>
      </c>
      <c r="AN1337">
        <v>0.99999998667990397</v>
      </c>
    </row>
    <row r="1338" spans="1:40" x14ac:dyDescent="0.25">
      <c r="A1338" t="str">
        <f>"20190312151010316"</f>
        <v>20190312151010316</v>
      </c>
      <c r="B1338" t="str">
        <f>"1552374610312094"</f>
        <v>1552374610312094</v>
      </c>
      <c r="C1338" t="s">
        <v>40</v>
      </c>
      <c r="D1338">
        <v>5.6893029999999998</v>
      </c>
      <c r="E1338">
        <v>0.66267600000000004</v>
      </c>
      <c r="F1338" t="s">
        <v>48</v>
      </c>
      <c r="G1338">
        <v>-194.697</v>
      </c>
      <c r="H1338" s="1">
        <v>-2.0025579999999998E-6</v>
      </c>
      <c r="I1338">
        <v>350.87450000000001</v>
      </c>
      <c r="J1338">
        <v>-197.625</v>
      </c>
      <c r="K1338">
        <v>1.100506</v>
      </c>
      <c r="L1338">
        <v>360.60660000000001</v>
      </c>
      <c r="M1338">
        <v>0.79789259999999995</v>
      </c>
      <c r="N1338">
        <v>0</v>
      </c>
      <c r="O1338">
        <v>-0.60260130000000001</v>
      </c>
      <c r="P1338">
        <v>0.64872989999999997</v>
      </c>
      <c r="Q1338">
        <v>1.0553359999999999E-2</v>
      </c>
      <c r="R1338">
        <v>-0.76094600000000001</v>
      </c>
      <c r="S1338">
        <v>0.96932980000000002</v>
      </c>
      <c r="T1338">
        <v>-0.35112640000000001</v>
      </c>
      <c r="U1338">
        <v>-3.1338810000000001</v>
      </c>
      <c r="V1338">
        <v>0.21680240000000001</v>
      </c>
      <c r="W1338">
        <v>2.0511919999999999E-2</v>
      </c>
      <c r="X1338">
        <v>0.97599999999999998</v>
      </c>
      <c r="Y1338">
        <v>0.58396320000000002</v>
      </c>
      <c r="Z1338">
        <v>3.683724E-2</v>
      </c>
      <c r="AA1338">
        <v>0.81094390000000005</v>
      </c>
      <c r="AB1338">
        <v>27</v>
      </c>
      <c r="AC1338">
        <v>2.9279999999999902</v>
      </c>
      <c r="AD1338">
        <v>-1.1005080025579901</v>
      </c>
      <c r="AE1338">
        <v>-9.7321000000000009</v>
      </c>
      <c r="AF1338">
        <v>5.9319151972370099</v>
      </c>
      <c r="AG1338">
        <v>-1.1005080025579901</v>
      </c>
      <c r="AH1338">
        <v>8.1067285723622309</v>
      </c>
      <c r="AI1338">
        <v>96.252120797497696</v>
      </c>
      <c r="AJ1338">
        <v>53.806044303483098</v>
      </c>
      <c r="AK1338">
        <v>10.105334428749</v>
      </c>
      <c r="AL1338">
        <v>88.824671138173102</v>
      </c>
      <c r="AM1338">
        <v>77.476030753294495</v>
      </c>
      <c r="AN1338">
        <v>1.0000000097539199</v>
      </c>
    </row>
    <row r="1339" spans="1:40" x14ac:dyDescent="0.25">
      <c r="A1339" t="str">
        <f>"20190312151010329"</f>
        <v>20190312151010329</v>
      </c>
      <c r="B1339" t="str">
        <f>"1552374610321854"</f>
        <v>1552374610321854</v>
      </c>
      <c r="C1339" t="s">
        <v>40</v>
      </c>
      <c r="D1339">
        <v>5.7105779999999999</v>
      </c>
      <c r="E1339">
        <v>0.66262730000000003</v>
      </c>
      <c r="F1339" t="s">
        <v>48</v>
      </c>
      <c r="G1339">
        <v>-194.72</v>
      </c>
      <c r="H1339" s="1">
        <v>-2.0675850000000001E-6</v>
      </c>
      <c r="I1339">
        <v>350.97399999999999</v>
      </c>
      <c r="J1339">
        <v>-197.51660000000001</v>
      </c>
      <c r="K1339">
        <v>1.100452</v>
      </c>
      <c r="L1339">
        <v>360.51510000000002</v>
      </c>
      <c r="M1339">
        <v>0.7935103</v>
      </c>
      <c r="N1339">
        <v>0</v>
      </c>
      <c r="O1339">
        <v>-0.60835969999999995</v>
      </c>
      <c r="P1339">
        <v>0.64320699999999997</v>
      </c>
      <c r="Q1339">
        <v>1.0011839999999999E-2</v>
      </c>
      <c r="R1339">
        <v>-0.7656271</v>
      </c>
      <c r="S1339">
        <v>0.94697569999999998</v>
      </c>
      <c r="T1339">
        <v>-0.35875230000000002</v>
      </c>
      <c r="U1339">
        <v>-3.1401059999999998</v>
      </c>
      <c r="V1339">
        <v>0.21679670000000001</v>
      </c>
      <c r="W1339">
        <v>1.9960809999999999E-2</v>
      </c>
      <c r="X1339">
        <v>0.97601260000000001</v>
      </c>
      <c r="Y1339">
        <v>0.5838293</v>
      </c>
      <c r="Z1339">
        <v>3.8425550000000003E-2</v>
      </c>
      <c r="AA1339">
        <v>0.81096659999999998</v>
      </c>
      <c r="AB1339">
        <v>27</v>
      </c>
      <c r="AC1339">
        <v>2.79660000000001</v>
      </c>
      <c r="AD1339">
        <v>-1.1004540675849901</v>
      </c>
      <c r="AE1339">
        <v>-9.5411000000000197</v>
      </c>
      <c r="AF1339">
        <v>5.7992827745034798</v>
      </c>
      <c r="AG1339">
        <v>-1.1004540675849901</v>
      </c>
      <c r="AH1339">
        <v>7.9274000516435699</v>
      </c>
      <c r="AI1339">
        <v>96.392622010155407</v>
      </c>
      <c r="AJ1339">
        <v>53.812695376858699</v>
      </c>
      <c r="AK1339">
        <v>9.8836405960716593</v>
      </c>
      <c r="AL1339">
        <v>88.856253779137205</v>
      </c>
      <c r="AM1339">
        <v>77.4765062114176</v>
      </c>
      <c r="AN1339">
        <v>0.999999919212749</v>
      </c>
    </row>
    <row r="1340" spans="1:40" x14ac:dyDescent="0.25">
      <c r="A1340" t="str">
        <f>"20190312151010341"</f>
        <v>20190312151010341</v>
      </c>
      <c r="B1340" t="str">
        <f>"1552374610331615"</f>
        <v>1552374610331615</v>
      </c>
      <c r="C1340" t="s">
        <v>40</v>
      </c>
      <c r="D1340">
        <v>5.606598</v>
      </c>
      <c r="E1340">
        <v>0.66224369999999999</v>
      </c>
      <c r="F1340" t="s">
        <v>48</v>
      </c>
      <c r="G1340">
        <v>-194.75450000000001</v>
      </c>
      <c r="H1340" s="1">
        <v>-2.1596119999999999E-6</v>
      </c>
      <c r="I1340">
        <v>351.11399999999998</v>
      </c>
      <c r="J1340">
        <v>-197.40989999999999</v>
      </c>
      <c r="K1340">
        <v>1.1003969999999901</v>
      </c>
      <c r="L1340">
        <v>360.42439999999999</v>
      </c>
      <c r="M1340">
        <v>0.78912559999999998</v>
      </c>
      <c r="N1340">
        <v>0</v>
      </c>
      <c r="O1340">
        <v>-0.61403609999999997</v>
      </c>
      <c r="P1340">
        <v>0.63760139999999998</v>
      </c>
      <c r="Q1340">
        <v>9.6753689999999996E-3</v>
      </c>
      <c r="R1340">
        <v>-0.77030580000000004</v>
      </c>
      <c r="S1340">
        <v>0.92445370000000004</v>
      </c>
      <c r="T1340">
        <v>-0.36830970000000002</v>
      </c>
      <c r="U1340">
        <v>-3.1464539999999999</v>
      </c>
      <c r="V1340">
        <v>0.21691759999999999</v>
      </c>
      <c r="W1340">
        <v>1.9610880000000001E-2</v>
      </c>
      <c r="X1340">
        <v>0.97599290000000005</v>
      </c>
      <c r="Y1340">
        <v>0.58379349999999997</v>
      </c>
      <c r="Z1340">
        <v>4.0238549999999998E-2</v>
      </c>
      <c r="AA1340">
        <v>0.81090439999999997</v>
      </c>
      <c r="AB1340">
        <v>26</v>
      </c>
      <c r="AC1340">
        <v>2.6553999999999802</v>
      </c>
      <c r="AD1340">
        <v>-1.10039915961199</v>
      </c>
      <c r="AE1340">
        <v>-9.3103999999999605</v>
      </c>
      <c r="AF1340">
        <v>5.6443365869565296</v>
      </c>
      <c r="AG1340">
        <v>-1.10039915961199</v>
      </c>
      <c r="AH1340">
        <v>7.7136590971860199</v>
      </c>
      <c r="AI1340">
        <v>96.5673362428698</v>
      </c>
      <c r="AJ1340">
        <v>53.805845554499399</v>
      </c>
      <c r="AK1340">
        <v>9.6213278961342805</v>
      </c>
      <c r="AL1340">
        <v>88.876307294051998</v>
      </c>
      <c r="AM1340">
        <v>77.469497865050499</v>
      </c>
      <c r="AN1340">
        <v>0.99999998632727205</v>
      </c>
    </row>
    <row r="1341" spans="1:40" x14ac:dyDescent="0.25">
      <c r="A1341" t="str">
        <f>"20190312151010353"</f>
        <v>20190312151010353</v>
      </c>
      <c r="B1341" t="str">
        <f>"1552374610341375"</f>
        <v>1552374610341375</v>
      </c>
      <c r="C1341" t="s">
        <v>40</v>
      </c>
      <c r="D1341">
        <v>5.7299189999999998</v>
      </c>
      <c r="E1341">
        <v>0.66208029999999995</v>
      </c>
      <c r="F1341" t="s">
        <v>48</v>
      </c>
      <c r="G1341">
        <v>-194.70050000000001</v>
      </c>
      <c r="H1341" s="1">
        <v>-2.0638090000000001E-6</v>
      </c>
      <c r="I1341">
        <v>350.97640000000001</v>
      </c>
      <c r="J1341">
        <v>-197.29660000000001</v>
      </c>
      <c r="K1341">
        <v>1.100341</v>
      </c>
      <c r="L1341">
        <v>360.32619999999997</v>
      </c>
      <c r="M1341">
        <v>0.78434680000000001</v>
      </c>
      <c r="N1341">
        <v>0</v>
      </c>
      <c r="O1341">
        <v>-0.62012800000000001</v>
      </c>
      <c r="P1341">
        <v>0.6316349</v>
      </c>
      <c r="Q1341">
        <v>9.0065509999999998E-3</v>
      </c>
      <c r="R1341">
        <v>-0.77521379999999995</v>
      </c>
      <c r="S1341">
        <v>0.90368649999999995</v>
      </c>
      <c r="T1341">
        <v>-0.3670233</v>
      </c>
      <c r="U1341">
        <v>-3.1512449999999999</v>
      </c>
      <c r="V1341">
        <v>0.21688879999999999</v>
      </c>
      <c r="W1341">
        <v>1.8931989999999999E-2</v>
      </c>
      <c r="X1341">
        <v>0.97601269999999996</v>
      </c>
      <c r="Y1341">
        <v>0.58279499999999995</v>
      </c>
      <c r="Z1341">
        <v>4.1022389999999999E-2</v>
      </c>
      <c r="AA1341">
        <v>0.8115831</v>
      </c>
      <c r="AB1341">
        <v>26</v>
      </c>
      <c r="AC1341">
        <v>2.5960999999999999</v>
      </c>
      <c r="AD1341">
        <v>-1.1003430638089999</v>
      </c>
      <c r="AE1341">
        <v>-9.3497999999999593</v>
      </c>
      <c r="AF1341">
        <v>5.6515902142266397</v>
      </c>
      <c r="AG1341">
        <v>-1.1003430638089999</v>
      </c>
      <c r="AH1341">
        <v>7.7357890126904101</v>
      </c>
      <c r="AI1341">
        <v>96.551956550462904</v>
      </c>
      <c r="AJ1341">
        <v>53.848991729872402</v>
      </c>
      <c r="AK1341">
        <v>9.64332196167258</v>
      </c>
      <c r="AL1341">
        <v>88.915212046562999</v>
      </c>
      <c r="AM1341">
        <v>77.4713551425546</v>
      </c>
      <c r="AN1341">
        <v>0.99999998118604405</v>
      </c>
    </row>
    <row r="1342" spans="1:40" x14ac:dyDescent="0.25">
      <c r="A1342" t="str">
        <f>"20190312151010365"</f>
        <v>20190312151010365</v>
      </c>
      <c r="B1342" t="str">
        <f>"1552374610361871"</f>
        <v>1552374610361871</v>
      </c>
      <c r="C1342" t="s">
        <v>40</v>
      </c>
      <c r="D1342">
        <v>5.958488</v>
      </c>
      <c r="E1342">
        <v>0.6614236</v>
      </c>
      <c r="F1342" t="s">
        <v>48</v>
      </c>
      <c r="G1342">
        <v>-194.5813</v>
      </c>
      <c r="H1342" s="1">
        <v>-1.8040950000000001E-6</v>
      </c>
      <c r="I1342">
        <v>350.59120000000001</v>
      </c>
      <c r="J1342">
        <v>-197.18430000000001</v>
      </c>
      <c r="K1342">
        <v>1.1002860000000001</v>
      </c>
      <c r="L1342">
        <v>360.22719999999998</v>
      </c>
      <c r="M1342">
        <v>0.77949550000000001</v>
      </c>
      <c r="N1342">
        <v>0</v>
      </c>
      <c r="O1342">
        <v>-0.62621479999999996</v>
      </c>
      <c r="P1342">
        <v>0.62560459999999996</v>
      </c>
      <c r="Q1342">
        <v>8.4767090000000007E-3</v>
      </c>
      <c r="R1342">
        <v>-0.78009459999999997</v>
      </c>
      <c r="S1342">
        <v>0.88043209999999905</v>
      </c>
      <c r="T1342">
        <v>-0.35679460000000002</v>
      </c>
      <c r="U1342">
        <v>-3.156647</v>
      </c>
      <c r="V1342">
        <v>0.2168543</v>
      </c>
      <c r="W1342">
        <v>1.8392780000000001E-2</v>
      </c>
      <c r="X1342">
        <v>0.97603070000000003</v>
      </c>
      <c r="Y1342">
        <v>0.58241019999999999</v>
      </c>
      <c r="Z1342">
        <v>4.0752110000000001E-2</v>
      </c>
      <c r="AA1342">
        <v>0.81187299999999996</v>
      </c>
      <c r="AB1342">
        <v>26</v>
      </c>
      <c r="AC1342">
        <v>2.6030000000000002</v>
      </c>
      <c r="AD1342">
        <v>-1.1002878040949999</v>
      </c>
      <c r="AE1342">
        <v>-9.6359999999999602</v>
      </c>
      <c r="AF1342">
        <v>5.8112767812923396</v>
      </c>
      <c r="AG1342">
        <v>-1.1002878040949999</v>
      </c>
      <c r="AH1342">
        <v>7.9673916334864501</v>
      </c>
      <c r="AI1342">
        <v>96.366357944235503</v>
      </c>
      <c r="AJ1342">
        <v>53.893639638868798</v>
      </c>
      <c r="AK1342">
        <v>9.9227466218773106</v>
      </c>
      <c r="AL1342">
        <v>88.946111910868495</v>
      </c>
      <c r="AM1342">
        <v>77.473508864074006</v>
      </c>
      <c r="AN1342">
        <v>1.00000000456355</v>
      </c>
    </row>
    <row r="1343" spans="1:40" x14ac:dyDescent="0.25">
      <c r="A1343" t="str">
        <f>"20190312151010381"</f>
        <v>20190312151010381</v>
      </c>
      <c r="B1343" t="str">
        <f>"1552374610371630"</f>
        <v>1552374610371630</v>
      </c>
      <c r="C1343" t="s">
        <v>40</v>
      </c>
      <c r="D1343">
        <v>5.6748190000000003</v>
      </c>
      <c r="E1343">
        <v>0.66107389999999999</v>
      </c>
      <c r="F1343" t="s">
        <v>48</v>
      </c>
      <c r="G1343">
        <v>-194.55699999999999</v>
      </c>
      <c r="H1343" s="1">
        <v>-1.7828779999999999E-6</v>
      </c>
      <c r="I1343">
        <v>350.56630000000001</v>
      </c>
      <c r="J1343">
        <v>-197.0436</v>
      </c>
      <c r="K1343">
        <v>1.1002209999999999</v>
      </c>
      <c r="L1343">
        <v>360.10120000000001</v>
      </c>
      <c r="M1343">
        <v>0.77326539999999999</v>
      </c>
      <c r="N1343">
        <v>0</v>
      </c>
      <c r="O1343">
        <v>-0.63389130000000005</v>
      </c>
      <c r="P1343">
        <v>0.61796530000000005</v>
      </c>
      <c r="Q1343">
        <v>7.797549E-3</v>
      </c>
      <c r="R1343">
        <v>-0.78616680000000005</v>
      </c>
      <c r="S1343">
        <v>0.85948179999999996</v>
      </c>
      <c r="T1343">
        <v>-0.35993839999999999</v>
      </c>
      <c r="U1343">
        <v>-3.1604000000000001</v>
      </c>
      <c r="V1343">
        <v>0.21671679999999999</v>
      </c>
      <c r="W1343">
        <v>1.7705769999999999E-2</v>
      </c>
      <c r="X1343">
        <v>0.97607390000000005</v>
      </c>
      <c r="Y1343">
        <v>0.57965029999999995</v>
      </c>
      <c r="Z1343">
        <v>4.2348080000000003E-2</v>
      </c>
      <c r="AA1343">
        <v>0.81376419999999905</v>
      </c>
      <c r="AB1343">
        <v>26</v>
      </c>
      <c r="AC1343">
        <v>2.4865999999999802</v>
      </c>
      <c r="AD1343">
        <v>-1.10022278287799</v>
      </c>
      <c r="AE1343">
        <v>-9.5348999999999897</v>
      </c>
      <c r="AF1343">
        <v>5.7260912268763704</v>
      </c>
      <c r="AG1343">
        <v>-1.10022278287799</v>
      </c>
      <c r="AH1343">
        <v>7.8697476540198501</v>
      </c>
      <c r="AI1343">
        <v>96.449709536822496</v>
      </c>
      <c r="AJ1343">
        <v>53.960065019437401</v>
      </c>
      <c r="AK1343">
        <v>9.79446471474707</v>
      </c>
      <c r="AL1343">
        <v>88.985481055035194</v>
      </c>
      <c r="AM1343">
        <v>77.481737634480396</v>
      </c>
      <c r="AN1343">
        <v>0.99999996197736996</v>
      </c>
    </row>
    <row r="1344" spans="1:40" x14ac:dyDescent="0.25">
      <c r="A1344" t="str">
        <f>"20190312151010392"</f>
        <v>20190312151010392</v>
      </c>
      <c r="B1344" t="str">
        <f>"1552374610382369"</f>
        <v>1552374610382369</v>
      </c>
      <c r="C1344" t="s">
        <v>40</v>
      </c>
      <c r="D1344">
        <v>5.7896599999999996</v>
      </c>
      <c r="E1344">
        <v>0.66077669999999999</v>
      </c>
      <c r="F1344" t="s">
        <v>48</v>
      </c>
      <c r="G1344">
        <v>-194.54599999999999</v>
      </c>
      <c r="H1344" s="1">
        <v>-1.7865350000000001E-6</v>
      </c>
      <c r="I1344">
        <v>350.57740000000001</v>
      </c>
      <c r="J1344">
        <v>-196.94120000000001</v>
      </c>
      <c r="K1344">
        <v>1.100174</v>
      </c>
      <c r="L1344">
        <v>360.00760000000002</v>
      </c>
      <c r="M1344">
        <v>0.76860079999999997</v>
      </c>
      <c r="N1344">
        <v>0</v>
      </c>
      <c r="O1344">
        <v>-0.63953890000000002</v>
      </c>
      <c r="P1344">
        <v>0.61221359999999903</v>
      </c>
      <c r="Q1344">
        <v>7.5615730000000003E-3</v>
      </c>
      <c r="R1344">
        <v>-0.79065659999999904</v>
      </c>
      <c r="S1344">
        <v>0.83049010000000001</v>
      </c>
      <c r="T1344">
        <v>-0.36583949999999998</v>
      </c>
      <c r="U1344">
        <v>-3.1668090000000002</v>
      </c>
      <c r="V1344">
        <v>0.21668570000000001</v>
      </c>
      <c r="W1344">
        <v>1.7463099999999999E-2</v>
      </c>
      <c r="X1344">
        <v>0.97608519999999999</v>
      </c>
      <c r="Y1344">
        <v>0.58105589999999996</v>
      </c>
      <c r="Z1344">
        <v>4.3764730000000002E-2</v>
      </c>
      <c r="AA1344">
        <v>0.81268609999999997</v>
      </c>
      <c r="AB1344">
        <v>26</v>
      </c>
      <c r="AC1344">
        <v>2.3952000000000102</v>
      </c>
      <c r="AD1344">
        <v>-1.1001757865349999</v>
      </c>
      <c r="AE1344">
        <v>-9.4302000000000099</v>
      </c>
      <c r="AF1344">
        <v>5.6447564239247496</v>
      </c>
      <c r="AG1344">
        <v>-1.1001757865349999</v>
      </c>
      <c r="AH1344">
        <v>7.7734969694232801</v>
      </c>
      <c r="AI1344">
        <v>96.533084315221302</v>
      </c>
      <c r="AJ1344">
        <v>54.014570275562797</v>
      </c>
      <c r="AK1344">
        <v>9.6695872187157192</v>
      </c>
      <c r="AL1344">
        <v>88.9993871956422</v>
      </c>
      <c r="AM1344">
        <v>77.483617792456698</v>
      </c>
      <c r="AN1344">
        <v>0.99999998505256904</v>
      </c>
    </row>
    <row r="1345" spans="1:40" x14ac:dyDescent="0.25">
      <c r="A1345" t="str">
        <f>"20190312151010404"</f>
        <v>20190312151010404</v>
      </c>
      <c r="B1345" t="str">
        <f>"1552374610401886"</f>
        <v>1552374610401886</v>
      </c>
      <c r="C1345" t="s">
        <v>40</v>
      </c>
      <c r="D1345">
        <v>5.6464080000000001</v>
      </c>
      <c r="E1345">
        <v>0.65972299999999995</v>
      </c>
      <c r="F1345" t="s">
        <v>48</v>
      </c>
      <c r="G1345">
        <v>-194.5187</v>
      </c>
      <c r="H1345" s="1">
        <v>-1.740525E-6</v>
      </c>
      <c r="I1345">
        <v>350.51199999999898</v>
      </c>
      <c r="J1345">
        <v>-196.84219999999999</v>
      </c>
      <c r="K1345">
        <v>1.1001240000000001</v>
      </c>
      <c r="L1345">
        <v>359.91570000000002</v>
      </c>
      <c r="M1345">
        <v>0.76399600000000001</v>
      </c>
      <c r="N1345">
        <v>0</v>
      </c>
      <c r="O1345">
        <v>-0.6450323</v>
      </c>
      <c r="P1345">
        <v>0.60679159999999999</v>
      </c>
      <c r="Q1345">
        <v>7.4257749999999999E-3</v>
      </c>
      <c r="R1345">
        <v>-0.7948267</v>
      </c>
      <c r="S1345">
        <v>0.80906679999999997</v>
      </c>
      <c r="T1345">
        <v>-0.3674366</v>
      </c>
      <c r="U1345">
        <v>-3.1713559999999998</v>
      </c>
      <c r="V1345">
        <v>0.21636420000000001</v>
      </c>
      <c r="W1345">
        <v>1.7329130000000002E-2</v>
      </c>
      <c r="X1345">
        <v>0.97615890000000005</v>
      </c>
      <c r="Y1345">
        <v>0.58066949999999995</v>
      </c>
      <c r="Z1345">
        <v>4.4766819999999999E-2</v>
      </c>
      <c r="AA1345">
        <v>0.81290769999999901</v>
      </c>
      <c r="AB1345">
        <v>26</v>
      </c>
      <c r="AC1345">
        <v>2.3234999999999899</v>
      </c>
      <c r="AD1345">
        <v>-1.10012574052499</v>
      </c>
      <c r="AE1345">
        <v>-9.4037000000000699</v>
      </c>
      <c r="AF1345">
        <v>5.6139354941206498</v>
      </c>
      <c r="AG1345">
        <v>-1.10012574052499</v>
      </c>
      <c r="AH1345">
        <v>7.7419275241261101</v>
      </c>
      <c r="AI1345">
        <v>96.562350174154403</v>
      </c>
      <c r="AJ1345">
        <v>54.052852985876903</v>
      </c>
      <c r="AK1345">
        <v>9.6262136983309698</v>
      </c>
      <c r="AL1345">
        <v>89.007064269957098</v>
      </c>
      <c r="AM1345">
        <v>77.502518580147097</v>
      </c>
      <c r="AN1345">
        <v>0.99999998191870298</v>
      </c>
    </row>
    <row r="1346" spans="1:40" x14ac:dyDescent="0.25">
      <c r="A1346" t="str">
        <f>"20190312151010418"</f>
        <v>20190312151010418</v>
      </c>
      <c r="B1346" t="str">
        <f>"1552374610411647"</f>
        <v>1552374610411647</v>
      </c>
      <c r="C1346" t="s">
        <v>40</v>
      </c>
      <c r="D1346">
        <v>5.6196640000000002</v>
      </c>
      <c r="E1346">
        <v>0.65916200000000003</v>
      </c>
      <c r="F1346" t="s">
        <v>48</v>
      </c>
      <c r="G1346">
        <v>-194.44159999999999</v>
      </c>
      <c r="H1346" s="1">
        <v>-1.613834E-6</v>
      </c>
      <c r="I1346">
        <v>350.33260000000001</v>
      </c>
      <c r="J1346">
        <v>-196.72020000000001</v>
      </c>
      <c r="K1346">
        <v>1.100071</v>
      </c>
      <c r="L1346">
        <v>359.80110000000002</v>
      </c>
      <c r="M1346">
        <v>0.75820650000000001</v>
      </c>
      <c r="N1346">
        <v>0</v>
      </c>
      <c r="O1346">
        <v>-0.6518275</v>
      </c>
      <c r="P1346">
        <v>0.59974719999999904</v>
      </c>
      <c r="Q1346">
        <v>7.5612539999999999E-3</v>
      </c>
      <c r="R1346">
        <v>-0.80015429999999999</v>
      </c>
      <c r="S1346">
        <v>0.79441830000000002</v>
      </c>
      <c r="T1346">
        <v>-0.36405999999999999</v>
      </c>
      <c r="U1346">
        <v>-3.1713260000000001</v>
      </c>
      <c r="V1346">
        <v>0.21627669999999999</v>
      </c>
      <c r="W1346">
        <v>1.7458810000000002E-2</v>
      </c>
      <c r="X1346">
        <v>0.97617600000000004</v>
      </c>
      <c r="Y1346">
        <v>0.57695959999999902</v>
      </c>
      <c r="Z1346">
        <v>4.5575459999999998E-2</v>
      </c>
      <c r="AA1346">
        <v>0.81550009999999995</v>
      </c>
      <c r="AB1346">
        <v>26</v>
      </c>
      <c r="AC1346">
        <v>2.2786000000000102</v>
      </c>
      <c r="AD1346">
        <v>-1.100072613834</v>
      </c>
      <c r="AE1346">
        <v>-9.4685000000000006</v>
      </c>
      <c r="AF1346">
        <v>5.6227750681595499</v>
      </c>
      <c r="AG1346">
        <v>-1.100072613834</v>
      </c>
      <c r="AH1346">
        <v>7.8009062491050898</v>
      </c>
      <c r="AI1346">
        <v>96.526198527703698</v>
      </c>
      <c r="AJ1346">
        <v>54.216507858036103</v>
      </c>
      <c r="AK1346">
        <v>9.6788376125519893</v>
      </c>
      <c r="AL1346">
        <v>88.999633048966899</v>
      </c>
      <c r="AM1346">
        <v>77.507625966213794</v>
      </c>
      <c r="AN1346">
        <v>1.00000000199275</v>
      </c>
    </row>
    <row r="1347" spans="1:40" x14ac:dyDescent="0.25">
      <c r="A1347" t="str">
        <f>"20190312151010439"</f>
        <v>20190312151010439</v>
      </c>
      <c r="B1347" t="str">
        <f>"1552374610432144"</f>
        <v>1552374610432144</v>
      </c>
      <c r="C1347" t="s">
        <v>40</v>
      </c>
      <c r="D1347">
        <v>5.611326</v>
      </c>
      <c r="E1347">
        <v>0.65833769999999903</v>
      </c>
      <c r="F1347" t="s">
        <v>48</v>
      </c>
      <c r="G1347">
        <v>-194.3717</v>
      </c>
      <c r="H1347" s="1">
        <v>-1.4640760000000001E-6</v>
      </c>
      <c r="I1347">
        <v>350.11099999999999</v>
      </c>
      <c r="J1347">
        <v>-196.53729999999999</v>
      </c>
      <c r="K1347">
        <v>1.0999909999999999</v>
      </c>
      <c r="L1347">
        <v>359.62450000000001</v>
      </c>
      <c r="M1347">
        <v>0.74919440000000004</v>
      </c>
      <c r="N1347">
        <v>0</v>
      </c>
      <c r="O1347">
        <v>-0.662165</v>
      </c>
      <c r="P1347">
        <v>0.58867659999999999</v>
      </c>
      <c r="Q1347">
        <v>7.418142E-3</v>
      </c>
      <c r="R1347">
        <v>-0.80833469999999996</v>
      </c>
      <c r="S1347">
        <v>0.76969909999999997</v>
      </c>
      <c r="T1347">
        <v>-0.36053289999999999</v>
      </c>
      <c r="U1347">
        <v>-3.1758120000000001</v>
      </c>
      <c r="V1347">
        <v>0.21632580000000001</v>
      </c>
      <c r="W1347">
        <v>1.730338E-2</v>
      </c>
      <c r="X1347">
        <v>0.97616789999999998</v>
      </c>
      <c r="Y1347">
        <v>0.57205269999999897</v>
      </c>
      <c r="Z1347">
        <v>4.6877759999999997E-2</v>
      </c>
      <c r="AA1347">
        <v>0.81887619999999905</v>
      </c>
      <c r="AB1347">
        <v>26</v>
      </c>
      <c r="AC1347">
        <v>2.16559999999998</v>
      </c>
      <c r="AD1347">
        <v>-1.0999924640759999</v>
      </c>
      <c r="AE1347">
        <v>-9.5135000000000201</v>
      </c>
      <c r="AF1347">
        <v>5.6227079954685104</v>
      </c>
      <c r="AG1347">
        <v>-1.0999924640759999</v>
      </c>
      <c r="AH1347">
        <v>7.8234942274600998</v>
      </c>
      <c r="AI1347">
        <v>96.513442545527397</v>
      </c>
      <c r="AJ1347">
        <v>54.295377752945498</v>
      </c>
      <c r="AK1347">
        <v>9.6970042049300496</v>
      </c>
      <c r="AL1347">
        <v>89.008539889211804</v>
      </c>
      <c r="AM1347">
        <v>77.504778532357804</v>
      </c>
      <c r="AN1347">
        <v>1.0000000138477301</v>
      </c>
    </row>
    <row r="1348" spans="1:40" x14ac:dyDescent="0.25">
      <c r="A1348" t="str">
        <f>"20190312151010453"</f>
        <v>20190312151010453</v>
      </c>
      <c r="B1348" t="str">
        <f>"1552374610441903"</f>
        <v>1552374610441903</v>
      </c>
      <c r="C1348" t="s">
        <v>40</v>
      </c>
      <c r="D1348">
        <v>5.5860130000000003</v>
      </c>
      <c r="E1348">
        <v>0.6579893</v>
      </c>
      <c r="F1348" t="s">
        <v>48</v>
      </c>
      <c r="G1348">
        <v>-194.2647</v>
      </c>
      <c r="H1348" s="1">
        <v>-1.2131460000000001E-6</v>
      </c>
      <c r="I1348">
        <v>349.73509999999999</v>
      </c>
      <c r="J1348">
        <v>-196.416</v>
      </c>
      <c r="K1348">
        <v>1.0999429999999999</v>
      </c>
      <c r="L1348">
        <v>359.5043</v>
      </c>
      <c r="M1348">
        <v>0.7430139</v>
      </c>
      <c r="N1348">
        <v>0</v>
      </c>
      <c r="O1348">
        <v>-0.66909229999999997</v>
      </c>
      <c r="P1348">
        <v>0.58128550000000001</v>
      </c>
      <c r="Q1348">
        <v>7.3424079999999999E-3</v>
      </c>
      <c r="R1348">
        <v>-0.81366660000000002</v>
      </c>
      <c r="S1348">
        <v>0.73124690000000003</v>
      </c>
      <c r="T1348">
        <v>-0.35393989999999997</v>
      </c>
      <c r="U1348">
        <v>-3.1820369999999998</v>
      </c>
      <c r="V1348">
        <v>0.21615970000000001</v>
      </c>
      <c r="W1348">
        <v>1.7226620000000002E-2</v>
      </c>
      <c r="X1348">
        <v>0.97620600000000002</v>
      </c>
      <c r="Y1348">
        <v>0.57419399999999998</v>
      </c>
      <c r="Z1348">
        <v>4.6907339999999999E-2</v>
      </c>
      <c r="AA1348">
        <v>0.81737439999999995</v>
      </c>
      <c r="AB1348">
        <v>26</v>
      </c>
      <c r="AC1348">
        <v>2.1512999999999902</v>
      </c>
      <c r="AD1348">
        <v>-1.099944213146</v>
      </c>
      <c r="AE1348">
        <v>-9.7692000000000103</v>
      </c>
      <c r="AF1348">
        <v>5.7504209617393798</v>
      </c>
      <c r="AG1348">
        <v>-1.099944213146</v>
      </c>
      <c r="AH1348">
        <v>8.0387469801855804</v>
      </c>
      <c r="AI1348">
        <v>96.3502021720535</v>
      </c>
      <c r="AJ1348">
        <v>54.422420367756203</v>
      </c>
      <c r="AK1348">
        <v>9.9447811197978506</v>
      </c>
      <c r="AL1348">
        <v>89.012938519004507</v>
      </c>
      <c r="AM1348">
        <v>77.514543698960495</v>
      </c>
      <c r="AN1348">
        <v>0.99999996338835595</v>
      </c>
    </row>
    <row r="1349" spans="1:40" x14ac:dyDescent="0.25">
      <c r="A1349" t="str">
        <f>"20190312151010472"</f>
        <v>20190312151010472</v>
      </c>
      <c r="B1349" t="str">
        <f>"1552374610461422"</f>
        <v>1552374610461422</v>
      </c>
      <c r="C1349" t="s">
        <v>40</v>
      </c>
      <c r="D1349">
        <v>5.5910149999999996</v>
      </c>
      <c r="E1349">
        <v>0.65729280000000001</v>
      </c>
      <c r="F1349" t="s">
        <v>42</v>
      </c>
      <c r="G1349">
        <v>-194.2132</v>
      </c>
      <c r="H1349" s="1">
        <v>-5.0198800000000003E-6</v>
      </c>
      <c r="I1349">
        <v>349.54180000000002</v>
      </c>
      <c r="J1349">
        <v>-196.26519999999999</v>
      </c>
      <c r="K1349">
        <v>1.0998870000000001</v>
      </c>
      <c r="L1349">
        <v>359.35180000000003</v>
      </c>
      <c r="M1349">
        <v>0.73510600000000004</v>
      </c>
      <c r="N1349">
        <v>0</v>
      </c>
      <c r="O1349">
        <v>-0.67777030000000005</v>
      </c>
      <c r="P1349">
        <v>0.57177029999999995</v>
      </c>
      <c r="Q1349">
        <v>7.2668639999999996E-3</v>
      </c>
      <c r="R1349">
        <v>-0.8203819</v>
      </c>
      <c r="S1349">
        <v>0.70463560000000003</v>
      </c>
      <c r="T1349">
        <v>-0.35185719999999998</v>
      </c>
      <c r="U1349">
        <v>-3.1868590000000001</v>
      </c>
      <c r="V1349">
        <v>0.2160677</v>
      </c>
      <c r="W1349">
        <v>1.714891E-2</v>
      </c>
      <c r="X1349">
        <v>0.97622779999999998</v>
      </c>
      <c r="Y1349">
        <v>0.57137579999999999</v>
      </c>
      <c r="Z1349">
        <v>4.7996469999999999E-2</v>
      </c>
      <c r="AA1349">
        <v>0.81928380000000001</v>
      </c>
      <c r="AB1349">
        <v>26</v>
      </c>
      <c r="AC1349">
        <v>2.0519999999999898</v>
      </c>
      <c r="AD1349">
        <v>-1.09989201988</v>
      </c>
      <c r="AE1349">
        <v>-9.81</v>
      </c>
      <c r="AF1349">
        <v>5.7520464188294804</v>
      </c>
      <c r="AG1349">
        <v>-1.09989201988</v>
      </c>
      <c r="AH1349">
        <v>8.0612815381098208</v>
      </c>
      <c r="AI1349">
        <v>96.337641071656094</v>
      </c>
      <c r="AJ1349">
        <v>54.490625844978602</v>
      </c>
      <c r="AK1349">
        <v>9.9639380014347196</v>
      </c>
      <c r="AL1349">
        <v>89.017391694321105</v>
      </c>
      <c r="AM1349">
        <v>77.519961081772394</v>
      </c>
      <c r="AN1349">
        <v>1.0000000267951501</v>
      </c>
    </row>
    <row r="1350" spans="1:40" x14ac:dyDescent="0.25">
      <c r="A1350" t="str">
        <f>"20190312151010484"</f>
        <v>20190312151010484</v>
      </c>
      <c r="B1350" t="str">
        <f>"1552374610481918"</f>
        <v>1552374610481918</v>
      </c>
      <c r="C1350" t="s">
        <v>40</v>
      </c>
      <c r="D1350">
        <v>5.6445179999999997</v>
      </c>
      <c r="E1350">
        <v>0.65674440000000001</v>
      </c>
      <c r="F1350" t="s">
        <v>42</v>
      </c>
      <c r="G1350">
        <v>-194.13910000000001</v>
      </c>
      <c r="H1350" s="1">
        <v>-4.9116240000000004E-6</v>
      </c>
      <c r="I1350">
        <v>349.26229999999998</v>
      </c>
      <c r="J1350">
        <v>-196.1574</v>
      </c>
      <c r="K1350">
        <v>1.0998479999999999</v>
      </c>
      <c r="L1350">
        <v>359.2405</v>
      </c>
      <c r="M1350">
        <v>0.72928899999999997</v>
      </c>
      <c r="N1350">
        <v>0</v>
      </c>
      <c r="O1350">
        <v>-0.6840252</v>
      </c>
      <c r="P1350">
        <v>0.56464449999999999</v>
      </c>
      <c r="Q1350">
        <v>6.9585369999999999E-3</v>
      </c>
      <c r="R1350">
        <v>-0.82530530000000002</v>
      </c>
      <c r="S1350">
        <v>0.67248540000000001</v>
      </c>
      <c r="T1350">
        <v>-0.34788750000000002</v>
      </c>
      <c r="U1350">
        <v>-3.1912229999999999</v>
      </c>
      <c r="V1350">
        <v>0.21617819999999999</v>
      </c>
      <c r="W1350">
        <v>1.6834720000000001E-2</v>
      </c>
      <c r="X1350">
        <v>0.97620879999999999</v>
      </c>
      <c r="Y1350">
        <v>0.57250269999999903</v>
      </c>
      <c r="Z1350">
        <v>4.829427E-2</v>
      </c>
      <c r="AA1350">
        <v>0.81847930000000002</v>
      </c>
      <c r="AB1350">
        <v>26</v>
      </c>
      <c r="AC1350">
        <v>2.01829999999998</v>
      </c>
      <c r="AD1350">
        <v>-1.0998529116239999</v>
      </c>
      <c r="AE1350">
        <v>-9.97820000000001</v>
      </c>
      <c r="AF1350">
        <v>5.8291138383942602</v>
      </c>
      <c r="AG1350">
        <v>-1.0998529116239999</v>
      </c>
      <c r="AH1350">
        <v>8.2025482568643096</v>
      </c>
      <c r="AI1350">
        <v>96.237592412192896</v>
      </c>
      <c r="AJ1350">
        <v>54.6006209456881</v>
      </c>
      <c r="AK1350">
        <v>10.1227487608038</v>
      </c>
      <c r="AL1350">
        <v>89.035396049155196</v>
      </c>
      <c r="AM1350">
        <v>77.513543335916694</v>
      </c>
      <c r="AN1350">
        <v>1.00000002157507</v>
      </c>
    </row>
    <row r="1351" spans="1:40" x14ac:dyDescent="0.25">
      <c r="A1351" t="str">
        <f>"20190312151010505"</f>
        <v>20190312151010505</v>
      </c>
      <c r="B1351" t="str">
        <f>"1552374610501438"</f>
        <v>1552374610501438</v>
      </c>
      <c r="C1351" t="s">
        <v>40</v>
      </c>
      <c r="D1351">
        <v>5.6047979999999997</v>
      </c>
      <c r="E1351">
        <v>0.65603829999999996</v>
      </c>
      <c r="F1351" t="s">
        <v>42</v>
      </c>
      <c r="G1351">
        <v>-194.11099999999999</v>
      </c>
      <c r="H1351" s="1">
        <v>-4.8730200000000003E-6</v>
      </c>
      <c r="I1351">
        <v>349.1635</v>
      </c>
      <c r="J1351">
        <v>-195.9879</v>
      </c>
      <c r="K1351">
        <v>1.099785</v>
      </c>
      <c r="L1351">
        <v>359.06150000000002</v>
      </c>
      <c r="M1351">
        <v>0.71985909999999997</v>
      </c>
      <c r="N1351">
        <v>0</v>
      </c>
      <c r="O1351">
        <v>-0.69394160000000005</v>
      </c>
      <c r="P1351">
        <v>0.55328920000000004</v>
      </c>
      <c r="Q1351">
        <v>7.0163600000000001E-3</v>
      </c>
      <c r="R1351">
        <v>-0.83295980000000003</v>
      </c>
      <c r="S1351">
        <v>0.64866639999999998</v>
      </c>
      <c r="T1351">
        <v>-0.34863250000000001</v>
      </c>
      <c r="U1351">
        <v>-3.1942140000000001</v>
      </c>
      <c r="V1351">
        <v>0.2161913</v>
      </c>
      <c r="W1351">
        <v>1.6886689999999999E-2</v>
      </c>
      <c r="X1351">
        <v>0.97620499999999999</v>
      </c>
      <c r="Y1351">
        <v>0.56731560000000003</v>
      </c>
      <c r="Z1351">
        <v>5.0060019999999997E-2</v>
      </c>
      <c r="AA1351">
        <v>0.82197739999999997</v>
      </c>
      <c r="AB1351">
        <v>26</v>
      </c>
      <c r="AC1351">
        <v>1.8769</v>
      </c>
      <c r="AD1351">
        <v>-1.09978987302</v>
      </c>
      <c r="AE1351">
        <v>-9.8980000000000192</v>
      </c>
      <c r="AF1351">
        <v>5.7548453584528998</v>
      </c>
      <c r="AG1351">
        <v>-1.09978987302</v>
      </c>
      <c r="AH1351">
        <v>8.1239401575843093</v>
      </c>
      <c r="AI1351">
        <v>96.303789840254794</v>
      </c>
      <c r="AJ1351">
        <v>54.686965598830902</v>
      </c>
      <c r="AK1351">
        <v>10.016296049364501</v>
      </c>
      <c r="AL1351">
        <v>89.032417962945104</v>
      </c>
      <c r="AM1351">
        <v>77.512763329393195</v>
      </c>
      <c r="AN1351">
        <v>1.00000002025992</v>
      </c>
    </row>
    <row r="1352" spans="1:40" x14ac:dyDescent="0.25">
      <c r="A1352" t="str">
        <f>"20190312151010517"</f>
        <v>20190312151010517</v>
      </c>
      <c r="B1352" t="str">
        <f>"1552374610512174"</f>
        <v>1552374610512174</v>
      </c>
      <c r="C1352" t="s">
        <v>40</v>
      </c>
      <c r="D1352">
        <v>5.6277039999999996</v>
      </c>
      <c r="E1352">
        <v>0.65571650000000004</v>
      </c>
      <c r="F1352" t="s">
        <v>42</v>
      </c>
      <c r="G1352">
        <v>-194.04230000000001</v>
      </c>
      <c r="H1352" s="1">
        <v>-4.7548459999999998E-6</v>
      </c>
      <c r="I1352">
        <v>348.85210000000001</v>
      </c>
      <c r="J1352">
        <v>-195.8852</v>
      </c>
      <c r="K1352">
        <v>1.0997509999999999</v>
      </c>
      <c r="L1352">
        <v>358.95100000000002</v>
      </c>
      <c r="M1352">
        <v>0.71399119999999905</v>
      </c>
      <c r="N1352">
        <v>0</v>
      </c>
      <c r="O1352">
        <v>-0.69997719999999997</v>
      </c>
      <c r="P1352">
        <v>0.54613650000000002</v>
      </c>
      <c r="Q1352">
        <v>6.6228659999999998E-3</v>
      </c>
      <c r="R1352">
        <v>-0.83767019999999903</v>
      </c>
      <c r="S1352">
        <v>0.60972599999999999</v>
      </c>
      <c r="T1352">
        <v>-0.34466669999999999</v>
      </c>
      <c r="U1352">
        <v>-3.199554</v>
      </c>
      <c r="V1352">
        <v>0.21632599999999999</v>
      </c>
      <c r="W1352">
        <v>1.6486199999999999E-2</v>
      </c>
      <c r="X1352">
        <v>0.97618199999999999</v>
      </c>
      <c r="Y1352">
        <v>0.57028659999999998</v>
      </c>
      <c r="Z1352">
        <v>5.0207540000000002E-2</v>
      </c>
      <c r="AA1352">
        <v>0.81991000000000003</v>
      </c>
      <c r="AB1352">
        <v>26</v>
      </c>
      <c r="AC1352">
        <v>1.84289999999998</v>
      </c>
      <c r="AD1352">
        <v>-1.099755754846</v>
      </c>
      <c r="AE1352">
        <v>-10.098899999999899</v>
      </c>
      <c r="AF1352">
        <v>5.8540877793641499</v>
      </c>
      <c r="AG1352">
        <v>-1.099755754846</v>
      </c>
      <c r="AH1352">
        <v>8.2907060147751608</v>
      </c>
      <c r="AI1352">
        <v>96.184379135702201</v>
      </c>
      <c r="AJ1352">
        <v>54.773991338341702</v>
      </c>
      <c r="AK1352">
        <v>10.2086048347581</v>
      </c>
      <c r="AL1352">
        <v>89.055367539725495</v>
      </c>
      <c r="AM1352">
        <v>77.504942156254401</v>
      </c>
      <c r="AN1352">
        <v>1.00000001509521</v>
      </c>
    </row>
    <row r="1353" spans="1:40" x14ac:dyDescent="0.25">
      <c r="A1353" t="str">
        <f>"20190312151010529"</f>
        <v>20190312151010529</v>
      </c>
      <c r="B1353" t="str">
        <f>"1552374610521934"</f>
        <v>1552374610521934</v>
      </c>
      <c r="C1353" t="s">
        <v>40</v>
      </c>
      <c r="D1353">
        <v>5.6394000000000002</v>
      </c>
      <c r="E1353">
        <v>0.65535159999999903</v>
      </c>
      <c r="F1353" t="s">
        <v>42</v>
      </c>
      <c r="G1353">
        <v>-194.02090000000001</v>
      </c>
      <c r="H1353" s="1">
        <v>-4.7105540000000003E-6</v>
      </c>
      <c r="I1353">
        <v>348.73309999999998</v>
      </c>
      <c r="J1353">
        <v>-195.79150000000001</v>
      </c>
      <c r="K1353">
        <v>1.0997140000000001</v>
      </c>
      <c r="L1353">
        <v>358.84739999999999</v>
      </c>
      <c r="M1353">
        <v>0.70846980000000004</v>
      </c>
      <c r="N1353">
        <v>0</v>
      </c>
      <c r="O1353">
        <v>-0.70556459999999999</v>
      </c>
      <c r="P1353">
        <v>0.53931809999999902</v>
      </c>
      <c r="Q1353">
        <v>6.6762000000000002E-3</v>
      </c>
      <c r="R1353">
        <v>-0.84207579999999904</v>
      </c>
      <c r="S1353">
        <v>0.58439640000000004</v>
      </c>
      <c r="T1353">
        <v>-0.34474739999999998</v>
      </c>
      <c r="U1353">
        <v>-3.2030940000000001</v>
      </c>
      <c r="V1353">
        <v>0.21658450000000001</v>
      </c>
      <c r="W1353">
        <v>1.653102E-2</v>
      </c>
      <c r="X1353">
        <v>0.97612390000000004</v>
      </c>
      <c r="Y1353">
        <v>0.57027830000000002</v>
      </c>
      <c r="Z1353">
        <v>5.100739E-2</v>
      </c>
      <c r="AA1353">
        <v>0.8198664</v>
      </c>
      <c r="AB1353">
        <v>26</v>
      </c>
      <c r="AC1353">
        <v>1.7706</v>
      </c>
      <c r="AD1353">
        <v>-1.0997187105539901</v>
      </c>
      <c r="AE1353">
        <v>-10.1143</v>
      </c>
      <c r="AF1353">
        <v>5.8500377233172598</v>
      </c>
      <c r="AG1353">
        <v>-1.0997187105539901</v>
      </c>
      <c r="AH1353">
        <v>8.2965881014606193</v>
      </c>
      <c r="AI1353">
        <v>96.182678751928293</v>
      </c>
      <c r="AJ1353">
        <v>54.811812930838002</v>
      </c>
      <c r="AK1353">
        <v>10.211057571665901</v>
      </c>
      <c r="AL1353">
        <v>89.052799173133906</v>
      </c>
      <c r="AM1353">
        <v>77.4897597025588</v>
      </c>
      <c r="AN1353">
        <v>0.99999999420685004</v>
      </c>
    </row>
    <row r="1354" spans="1:40" x14ac:dyDescent="0.25">
      <c r="A1354" t="str">
        <f>"20190312151010542"</f>
        <v>20190312151010542</v>
      </c>
      <c r="B1354" t="str">
        <f>"1552374610531695"</f>
        <v>1552374610531695</v>
      </c>
      <c r="C1354" t="s">
        <v>40</v>
      </c>
      <c r="D1354">
        <v>5.6819129999999998</v>
      </c>
      <c r="E1354">
        <v>0.65498020000000001</v>
      </c>
      <c r="F1354" t="s">
        <v>42</v>
      </c>
      <c r="G1354">
        <v>-193.99639999999999</v>
      </c>
      <c r="H1354" s="1">
        <v>-4.6578539999999999E-6</v>
      </c>
      <c r="I1354">
        <v>348.59100000000001</v>
      </c>
      <c r="J1354">
        <v>-195.6883</v>
      </c>
      <c r="K1354">
        <v>1.0996790000000001</v>
      </c>
      <c r="L1354">
        <v>358.73230000000001</v>
      </c>
      <c r="M1354">
        <v>0.70228840000000003</v>
      </c>
      <c r="N1354">
        <v>0</v>
      </c>
      <c r="O1354">
        <v>-0.71171739999999994</v>
      </c>
      <c r="P1354">
        <v>0.53173269999999995</v>
      </c>
      <c r="Q1354">
        <v>6.8728460000000002E-3</v>
      </c>
      <c r="R1354">
        <v>-0.846885</v>
      </c>
      <c r="S1354">
        <v>0.56111149999999999</v>
      </c>
      <c r="T1354">
        <v>-0.34375099999999997</v>
      </c>
      <c r="U1354">
        <v>-3.2059630000000001</v>
      </c>
      <c r="V1354">
        <v>0.2168437</v>
      </c>
      <c r="W1354">
        <v>1.671839E-2</v>
      </c>
      <c r="X1354">
        <v>0.97606320000000002</v>
      </c>
      <c r="Y1354">
        <v>0.56902969999999997</v>
      </c>
      <c r="Z1354">
        <v>5.1791549999999999E-2</v>
      </c>
      <c r="AA1354">
        <v>0.82068439999999998</v>
      </c>
      <c r="AB1354">
        <v>26</v>
      </c>
      <c r="AC1354">
        <v>1.6919</v>
      </c>
      <c r="AD1354">
        <v>-1.0996836578539999</v>
      </c>
      <c r="AE1354">
        <v>-10.141299999999999</v>
      </c>
      <c r="AF1354">
        <v>5.8517565889245002</v>
      </c>
      <c r="AG1354">
        <v>-1.0996836578539999</v>
      </c>
      <c r="AH1354">
        <v>8.3119015261715496</v>
      </c>
      <c r="AI1354">
        <v>96.174330907817804</v>
      </c>
      <c r="AJ1354">
        <v>54.853634509250703</v>
      </c>
      <c r="AK1354">
        <v>10.224483669317699</v>
      </c>
      <c r="AL1354">
        <v>89.042062215772503</v>
      </c>
      <c r="AM1354">
        <v>77.474505757014001</v>
      </c>
      <c r="AN1354">
        <v>1.0000000325940599</v>
      </c>
    </row>
    <row r="1355" spans="1:40" x14ac:dyDescent="0.25">
      <c r="A1355" t="str">
        <f>"20190312151010554"</f>
        <v>20190312151010554</v>
      </c>
      <c r="B1355" t="str">
        <f>"1552374610552190"</f>
        <v>1552374610552190</v>
      </c>
      <c r="C1355" t="s">
        <v>40</v>
      </c>
      <c r="D1355">
        <v>5.6620200000000001</v>
      </c>
      <c r="E1355">
        <v>0.65416879999999999</v>
      </c>
      <c r="F1355" t="s">
        <v>42</v>
      </c>
      <c r="G1355">
        <v>-193.98650000000001</v>
      </c>
      <c r="H1355" s="1">
        <v>-4.6336830000000004E-6</v>
      </c>
      <c r="I1355">
        <v>348.52510000000001</v>
      </c>
      <c r="J1355">
        <v>-195.59139999999999</v>
      </c>
      <c r="K1355">
        <v>1.0996459999999999</v>
      </c>
      <c r="L1355">
        <v>358.62220000000002</v>
      </c>
      <c r="M1355">
        <v>0.696349</v>
      </c>
      <c r="N1355">
        <v>0</v>
      </c>
      <c r="O1355">
        <v>-0.71752919999999998</v>
      </c>
      <c r="P1355">
        <v>0.52438980000000002</v>
      </c>
      <c r="Q1355">
        <v>6.7372259999999998E-3</v>
      </c>
      <c r="R1355">
        <v>-0.85145210000000005</v>
      </c>
      <c r="S1355">
        <v>0.53508</v>
      </c>
      <c r="T1355">
        <v>-0.34576180000000001</v>
      </c>
      <c r="U1355">
        <v>-3.20932</v>
      </c>
      <c r="V1355">
        <v>0.2171708</v>
      </c>
      <c r="W1355">
        <v>1.657202E-2</v>
      </c>
      <c r="X1355">
        <v>0.97599290000000005</v>
      </c>
      <c r="Y1355">
        <v>0.56882100000000002</v>
      </c>
      <c r="Z1355">
        <v>5.2928889999999999E-2</v>
      </c>
      <c r="AA1355">
        <v>0.82075659999999895</v>
      </c>
      <c r="AB1355">
        <v>26</v>
      </c>
      <c r="AC1355">
        <v>1.60489999999998</v>
      </c>
      <c r="AD1355">
        <v>-1.0996506336830001</v>
      </c>
      <c r="AE1355">
        <v>-10.097099999999999</v>
      </c>
      <c r="AF1355">
        <v>5.81302916265658</v>
      </c>
      <c r="AG1355">
        <v>-1.0996506336830001</v>
      </c>
      <c r="AH1355">
        <v>8.2679314551965302</v>
      </c>
      <c r="AI1355">
        <v>96.209451064202995</v>
      </c>
      <c r="AJ1355">
        <v>54.889658928126103</v>
      </c>
      <c r="AK1355">
        <v>10.166574157988601</v>
      </c>
      <c r="AL1355">
        <v>89.050449696141499</v>
      </c>
      <c r="AM1355">
        <v>77.455334182330304</v>
      </c>
      <c r="AN1355">
        <v>0.99999996453496398</v>
      </c>
    </row>
    <row r="1356" spans="1:40" x14ac:dyDescent="0.25">
      <c r="A1356" t="str">
        <f>"20190312151010571"</f>
        <v>20190312151010571</v>
      </c>
      <c r="B1356" t="str">
        <f>"1552374610561950"</f>
        <v>1552374610561950</v>
      </c>
      <c r="C1356" t="s">
        <v>40</v>
      </c>
      <c r="D1356">
        <v>5.648981</v>
      </c>
      <c r="E1356">
        <v>0.65374390000000004</v>
      </c>
      <c r="F1356" t="s">
        <v>42</v>
      </c>
      <c r="G1356">
        <v>-193.95580000000001</v>
      </c>
      <c r="H1356" s="1">
        <v>-4.579953E-6</v>
      </c>
      <c r="I1356">
        <v>348.38319999999999</v>
      </c>
      <c r="J1356">
        <v>-195.4579</v>
      </c>
      <c r="K1356">
        <v>1.0996060000000001</v>
      </c>
      <c r="L1356">
        <v>358.46679999999998</v>
      </c>
      <c r="M1356">
        <v>0.68792089999999995</v>
      </c>
      <c r="N1356">
        <v>0</v>
      </c>
      <c r="O1356">
        <v>-0.72561290000000001</v>
      </c>
      <c r="P1356">
        <v>0.51426679999999902</v>
      </c>
      <c r="Q1356">
        <v>6.5148430000000002E-3</v>
      </c>
      <c r="R1356">
        <v>-0.85760590000000003</v>
      </c>
      <c r="S1356">
        <v>0.51283259999999997</v>
      </c>
      <c r="T1356">
        <v>-0.3447847</v>
      </c>
      <c r="U1356">
        <v>-3.2103269999999999</v>
      </c>
      <c r="V1356">
        <v>0.21733079999999999</v>
      </c>
      <c r="W1356">
        <v>1.6343650000000001E-2</v>
      </c>
      <c r="X1356">
        <v>0.97596110000000003</v>
      </c>
      <c r="Y1356">
        <v>0.56481729999999997</v>
      </c>
      <c r="Z1356">
        <v>5.4145020000000002E-2</v>
      </c>
      <c r="AA1356">
        <v>0.8234378</v>
      </c>
      <c r="AB1356">
        <v>26</v>
      </c>
      <c r="AC1356">
        <v>1.50209999999998</v>
      </c>
      <c r="AD1356">
        <v>-1.0996105799529901</v>
      </c>
      <c r="AE1356">
        <v>-10.083599999999899</v>
      </c>
      <c r="AF1356">
        <v>5.7802638636081598</v>
      </c>
      <c r="AG1356">
        <v>-1.0996105799529901</v>
      </c>
      <c r="AH1356">
        <v>8.2551263538859097</v>
      </c>
      <c r="AI1356">
        <v>96.2271388269601</v>
      </c>
      <c r="AJ1356">
        <v>55.000176221947797</v>
      </c>
      <c r="AK1356">
        <v>10.1374407460216</v>
      </c>
      <c r="AL1356">
        <v>89.063536073983698</v>
      </c>
      <c r="AM1356">
        <v>77.445988719571901</v>
      </c>
      <c r="AN1356">
        <v>0.99999993011858301</v>
      </c>
    </row>
    <row r="1357" spans="1:40" x14ac:dyDescent="0.25">
      <c r="A1357" t="str">
        <f>"20190312151010583"</f>
        <v>20190312151010583</v>
      </c>
      <c r="B1357" t="str">
        <f>"1552374610571710"</f>
        <v>1552374610571710</v>
      </c>
      <c r="C1357" t="s">
        <v>40</v>
      </c>
      <c r="D1357">
        <v>5.6797230000000001</v>
      </c>
      <c r="E1357">
        <v>0.6533736</v>
      </c>
      <c r="F1357" t="s">
        <v>42</v>
      </c>
      <c r="G1357">
        <v>-193.93360000000001</v>
      </c>
      <c r="H1357" s="1">
        <v>-4.5161660000000004E-6</v>
      </c>
      <c r="I1357">
        <v>348.20740000000001</v>
      </c>
      <c r="J1357">
        <v>-195.36760000000001</v>
      </c>
      <c r="K1357">
        <v>1.0995790000000001</v>
      </c>
      <c r="L1357">
        <v>358.3596</v>
      </c>
      <c r="M1357">
        <v>0.68206940000000005</v>
      </c>
      <c r="N1357">
        <v>0</v>
      </c>
      <c r="O1357">
        <v>-0.73111559999999998</v>
      </c>
      <c r="P1357">
        <v>0.50712950000000001</v>
      </c>
      <c r="Q1357">
        <v>6.3280109999999997E-3</v>
      </c>
      <c r="R1357">
        <v>-0.86184689999999997</v>
      </c>
      <c r="S1357">
        <v>0.47758479999999998</v>
      </c>
      <c r="T1357">
        <v>-0.3445182</v>
      </c>
      <c r="U1357">
        <v>-3.2143860000000002</v>
      </c>
      <c r="V1357">
        <v>0.21759010000000001</v>
      </c>
      <c r="W1357">
        <v>1.6148650000000001E-2</v>
      </c>
      <c r="X1357">
        <v>0.97590659999999896</v>
      </c>
      <c r="Y1357">
        <v>0.56717340000000005</v>
      </c>
      <c r="Z1357">
        <v>5.4783640000000002E-2</v>
      </c>
      <c r="AA1357">
        <v>0.82177440000000002</v>
      </c>
      <c r="AB1357">
        <v>26</v>
      </c>
      <c r="AC1357">
        <v>1.4339999999999899</v>
      </c>
      <c r="AD1357">
        <v>-1.0995835161659999</v>
      </c>
      <c r="AE1357">
        <v>-10.152199999999899</v>
      </c>
      <c r="AF1357">
        <v>5.8099996717017204</v>
      </c>
      <c r="AG1357">
        <v>-1.0995835161659999</v>
      </c>
      <c r="AH1357">
        <v>8.3060426898033697</v>
      </c>
      <c r="AI1357">
        <v>96.191167330320098</v>
      </c>
      <c r="AJ1357">
        <v>55.027568616180602</v>
      </c>
      <c r="AK1357">
        <v>10.195858240434401</v>
      </c>
      <c r="AL1357">
        <v>89.074710255302605</v>
      </c>
      <c r="AM1357">
        <v>77.430806414319605</v>
      </c>
      <c r="AN1357">
        <v>0.99999996121919499</v>
      </c>
    </row>
    <row r="1358" spans="1:40" x14ac:dyDescent="0.25">
      <c r="A1358" t="str">
        <f>"20190312151010597"</f>
        <v>20190312151010597</v>
      </c>
      <c r="B1358" t="str">
        <f>"1552374610592206"</f>
        <v>1552374610592206</v>
      </c>
      <c r="C1358" t="s">
        <v>40</v>
      </c>
      <c r="D1358">
        <v>5.6596330000000004</v>
      </c>
      <c r="E1358">
        <v>0.65238130000000005</v>
      </c>
      <c r="F1358" t="s">
        <v>42</v>
      </c>
      <c r="G1358">
        <v>-193.93440000000001</v>
      </c>
      <c r="H1358" s="1">
        <v>-4.5107230000000003E-6</v>
      </c>
      <c r="I1358">
        <v>348.1909</v>
      </c>
      <c r="J1358">
        <v>-195.267</v>
      </c>
      <c r="K1358">
        <v>1.099548</v>
      </c>
      <c r="L1358">
        <v>358.23860000000002</v>
      </c>
      <c r="M1358">
        <v>0.67543319999999996</v>
      </c>
      <c r="N1358">
        <v>0</v>
      </c>
      <c r="O1358">
        <v>-0.73725039999999997</v>
      </c>
      <c r="P1358">
        <v>0.49905149999999998</v>
      </c>
      <c r="Q1358">
        <v>5.9807790000000003E-3</v>
      </c>
      <c r="R1358">
        <v>-0.86655190000000004</v>
      </c>
      <c r="S1358">
        <v>0.45333859999999898</v>
      </c>
      <c r="T1358">
        <v>-0.34783599999999998</v>
      </c>
      <c r="U1358">
        <v>-3.2167050000000001</v>
      </c>
      <c r="V1358">
        <v>0.21788540000000001</v>
      </c>
      <c r="W1358">
        <v>1.5792489999999999E-2</v>
      </c>
      <c r="X1358">
        <v>0.97584660000000001</v>
      </c>
      <c r="Y1358">
        <v>0.56589469999999997</v>
      </c>
      <c r="Z1358">
        <v>5.625981E-2</v>
      </c>
      <c r="AA1358">
        <v>0.82255579999999995</v>
      </c>
      <c r="AB1358">
        <v>26</v>
      </c>
      <c r="AC1358">
        <v>1.33259999999998</v>
      </c>
      <c r="AD1358">
        <v>-1.099552510723</v>
      </c>
      <c r="AE1358">
        <v>-10.047700000000001</v>
      </c>
      <c r="AF1358">
        <v>5.7373011140943397</v>
      </c>
      <c r="AG1358">
        <v>-1.099552510723</v>
      </c>
      <c r="AH1358">
        <v>8.2121536646373503</v>
      </c>
      <c r="AI1358">
        <v>96.263711631320305</v>
      </c>
      <c r="AJ1358">
        <v>55.060487839477197</v>
      </c>
      <c r="AK1358">
        <v>10.077951558190801</v>
      </c>
      <c r="AL1358">
        <v>89.095119375797907</v>
      </c>
      <c r="AM1358">
        <v>77.413542193334607</v>
      </c>
      <c r="AN1358">
        <v>1.0000000185025599</v>
      </c>
    </row>
    <row r="1359" spans="1:40" x14ac:dyDescent="0.25">
      <c r="A1359" t="str">
        <f>"20190312151010610"</f>
        <v>20190312151010610</v>
      </c>
      <c r="B1359" t="str">
        <f>"1552374610601966"</f>
        <v>1552374610601966</v>
      </c>
      <c r="C1359" t="s">
        <v>40</v>
      </c>
      <c r="D1359">
        <v>5.639113</v>
      </c>
      <c r="E1359">
        <v>0.65186639999999996</v>
      </c>
      <c r="F1359" t="s">
        <v>42</v>
      </c>
      <c r="G1359">
        <v>-193.9145</v>
      </c>
      <c r="H1359" s="1">
        <v>-4.4867590000000003E-6</v>
      </c>
      <c r="I1359">
        <v>348.1309</v>
      </c>
      <c r="J1359">
        <v>-195.16630000000001</v>
      </c>
      <c r="K1359">
        <v>1.099513</v>
      </c>
      <c r="L1359">
        <v>358.11419999999998</v>
      </c>
      <c r="M1359">
        <v>0.66857880000000003</v>
      </c>
      <c r="N1359">
        <v>0</v>
      </c>
      <c r="O1359">
        <v>-0.74347189999999996</v>
      </c>
      <c r="P1359">
        <v>0.49061589999999999</v>
      </c>
      <c r="Q1359">
        <v>5.5379790000000002E-3</v>
      </c>
      <c r="R1359">
        <v>-0.87135879999999999</v>
      </c>
      <c r="S1359">
        <v>0.43041990000000002</v>
      </c>
      <c r="T1359">
        <v>-0.34990880000000002</v>
      </c>
      <c r="U1359">
        <v>-3.2165530000000002</v>
      </c>
      <c r="V1359">
        <v>0.21831610000000001</v>
      </c>
      <c r="W1359">
        <v>1.5337170000000001E-2</v>
      </c>
      <c r="X1359">
        <v>0.9757576</v>
      </c>
      <c r="Y1359">
        <v>0.56402229999999998</v>
      </c>
      <c r="Z1359">
        <v>5.7631769999999999E-2</v>
      </c>
      <c r="AA1359">
        <v>0.82374599999999898</v>
      </c>
      <c r="AB1359">
        <v>26</v>
      </c>
      <c r="AC1359">
        <v>1.2518</v>
      </c>
      <c r="AD1359">
        <v>-1.0995174867590001</v>
      </c>
      <c r="AE1359">
        <v>-9.9832999999999803</v>
      </c>
      <c r="AF1359">
        <v>5.6768744170068501</v>
      </c>
      <c r="AG1359">
        <v>-1.0995174867590001</v>
      </c>
      <c r="AH1359">
        <v>8.1627895909504193</v>
      </c>
      <c r="AI1359">
        <v>96.310412641654295</v>
      </c>
      <c r="AJ1359">
        <v>55.183022482757302</v>
      </c>
      <c r="AK1359">
        <v>10.003348227282901</v>
      </c>
      <c r="AL1359">
        <v>89.121210452832599</v>
      </c>
      <c r="AM1359">
        <v>77.3883437674872</v>
      </c>
      <c r="AN1359">
        <v>1.00000002113028</v>
      </c>
    </row>
    <row r="1360" spans="1:40" x14ac:dyDescent="0.25">
      <c r="A1360" t="str">
        <f>"20190312151010630"</f>
        <v>20190312151010630</v>
      </c>
      <c r="B1360" t="str">
        <f>"1552374610621487"</f>
        <v>1552374610621487</v>
      </c>
      <c r="C1360" t="s">
        <v>40</v>
      </c>
      <c r="D1360">
        <v>5.6884889999999997</v>
      </c>
      <c r="E1360">
        <v>0.65138600000000002</v>
      </c>
      <c r="F1360" t="s">
        <v>42</v>
      </c>
      <c r="G1360">
        <v>-193.90799999999999</v>
      </c>
      <c r="H1360" s="1">
        <v>-4.4623480000000001E-6</v>
      </c>
      <c r="I1360">
        <v>348.06259999999997</v>
      </c>
      <c r="J1360">
        <v>-195.02449999999999</v>
      </c>
      <c r="K1360">
        <v>1.0994740000000001</v>
      </c>
      <c r="L1360">
        <v>357.93540000000002</v>
      </c>
      <c r="M1360">
        <v>0.6586651</v>
      </c>
      <c r="N1360">
        <v>0</v>
      </c>
      <c r="O1360">
        <v>-0.7522681</v>
      </c>
      <c r="P1360">
        <v>0.4792168</v>
      </c>
      <c r="Q1360">
        <v>5.0057549999999998E-3</v>
      </c>
      <c r="R1360">
        <v>-0.87768269999999904</v>
      </c>
      <c r="S1360">
        <v>0.40287780000000001</v>
      </c>
      <c r="T1360">
        <v>-0.35203590000000001</v>
      </c>
      <c r="U1360">
        <v>-3.2182620000000002</v>
      </c>
      <c r="V1360">
        <v>0.2180908</v>
      </c>
      <c r="W1360">
        <v>1.4812229999999999E-2</v>
      </c>
      <c r="X1360">
        <v>0.97581609999999996</v>
      </c>
      <c r="Y1360">
        <v>0.56008539999999996</v>
      </c>
      <c r="Z1360">
        <v>5.9475210000000001E-2</v>
      </c>
      <c r="AA1360">
        <v>0.82629719999999995</v>
      </c>
      <c r="AB1360">
        <v>26</v>
      </c>
      <c r="AC1360">
        <v>1.1165</v>
      </c>
      <c r="AD1360">
        <v>-1.0994784623480001</v>
      </c>
      <c r="AE1360">
        <v>-9.87280000000003</v>
      </c>
      <c r="AF1360">
        <v>5.5951628068937502</v>
      </c>
      <c r="AG1360">
        <v>-1.0994784623480001</v>
      </c>
      <c r="AH1360">
        <v>8.0646694964678591</v>
      </c>
      <c r="AI1360">
        <v>96.391293554724697</v>
      </c>
      <c r="AJ1360">
        <v>55.247589895836299</v>
      </c>
      <c r="AK1360">
        <v>9.8769222843998001</v>
      </c>
      <c r="AL1360">
        <v>89.151290724675206</v>
      </c>
      <c r="AM1360">
        <v>77.401674350060503</v>
      </c>
      <c r="AN1360">
        <v>1.0000000301107099</v>
      </c>
    </row>
    <row r="1361" spans="1:40" x14ac:dyDescent="0.25">
      <c r="A1361" t="str">
        <f>"20190312151010652"</f>
        <v>20190312151010652</v>
      </c>
      <c r="B1361" t="str">
        <f>"1552374610641982"</f>
        <v>1552374610641982</v>
      </c>
      <c r="C1361" t="s">
        <v>40</v>
      </c>
      <c r="D1361">
        <v>5.7044300000000003</v>
      </c>
      <c r="E1361">
        <v>0.6258203</v>
      </c>
      <c r="F1361" t="s">
        <v>42</v>
      </c>
      <c r="G1361">
        <v>-193.89490000000001</v>
      </c>
      <c r="H1361" s="1">
        <v>-4.416663E-6</v>
      </c>
      <c r="I1361">
        <v>347.93520000000001</v>
      </c>
      <c r="J1361">
        <v>-194.8605</v>
      </c>
      <c r="K1361">
        <v>1.0994330000000001</v>
      </c>
      <c r="L1361">
        <v>357.72239999999999</v>
      </c>
      <c r="M1361">
        <v>0.64676429999999996</v>
      </c>
      <c r="N1361">
        <v>0</v>
      </c>
      <c r="O1361">
        <v>-0.76252359999999997</v>
      </c>
      <c r="P1361">
        <v>0.46555920000000001</v>
      </c>
      <c r="Q1361">
        <v>5.1759919999999999E-3</v>
      </c>
      <c r="R1361">
        <v>-0.8850017</v>
      </c>
      <c r="S1361">
        <v>0.36389159999999998</v>
      </c>
      <c r="T1361">
        <v>-0.35417999999999999</v>
      </c>
      <c r="U1361">
        <v>-3.2214049999999999</v>
      </c>
      <c r="V1361">
        <v>0.21788579999999999</v>
      </c>
      <c r="W1361">
        <v>1.499055E-2</v>
      </c>
      <c r="X1361">
        <v>0.97585920000000004</v>
      </c>
      <c r="Y1361">
        <v>0.55704869999999995</v>
      </c>
      <c r="Z1361">
        <v>6.1509939999999999E-2</v>
      </c>
      <c r="AA1361">
        <v>0.82819880000000001</v>
      </c>
      <c r="AB1361">
        <v>26</v>
      </c>
      <c r="AC1361">
        <v>0.96559999999999402</v>
      </c>
      <c r="AD1361">
        <v>-1.0994374166630001</v>
      </c>
      <c r="AE1361">
        <v>-9.7871999999999808</v>
      </c>
      <c r="AF1361">
        <v>5.5253760164576997</v>
      </c>
      <c r="AG1361">
        <v>-1.0994374166630001</v>
      </c>
      <c r="AH1361">
        <v>7.9886755596213401</v>
      </c>
      <c r="AI1361">
        <v>96.457741934634697</v>
      </c>
      <c r="AJ1361">
        <v>55.330286459025999</v>
      </c>
      <c r="AK1361">
        <v>9.7753506307086404</v>
      </c>
      <c r="AL1361">
        <v>89.141072631268102</v>
      </c>
      <c r="AM1361">
        <v>77.413677157876606</v>
      </c>
      <c r="AN1361">
        <v>1.0000000583277799</v>
      </c>
    </row>
    <row r="1362" spans="1:40" x14ac:dyDescent="0.25">
      <c r="A1362" t="str">
        <f>"20190312151010675"</f>
        <v>20190312151010675</v>
      </c>
      <c r="B1362" t="str">
        <f>"1552374610672238"</f>
        <v>1552374610672238</v>
      </c>
      <c r="C1362" t="s">
        <v>40</v>
      </c>
      <c r="D1362">
        <v>5.7548949999999897</v>
      </c>
      <c r="E1362">
        <v>0.62433909999999904</v>
      </c>
      <c r="F1362" t="s">
        <v>42</v>
      </c>
      <c r="G1362">
        <v>-193.3802</v>
      </c>
      <c r="H1362" s="1">
        <v>-4.4634700000000001E-6</v>
      </c>
      <c r="I1362">
        <v>348.34100000000001</v>
      </c>
      <c r="J1362">
        <v>-194.70650000000001</v>
      </c>
      <c r="K1362">
        <v>1.099405</v>
      </c>
      <c r="L1362">
        <v>357.51560000000001</v>
      </c>
      <c r="M1362">
        <v>0.63512650000000004</v>
      </c>
      <c r="N1362">
        <v>0</v>
      </c>
      <c r="O1362">
        <v>-0.77224349999999997</v>
      </c>
      <c r="P1362">
        <v>0.45254309999999998</v>
      </c>
      <c r="Q1362">
        <v>5.3502910000000001E-3</v>
      </c>
      <c r="R1362">
        <v>-0.89172689999999999</v>
      </c>
      <c r="S1362">
        <v>0.49421690000000001</v>
      </c>
      <c r="T1362">
        <v>-0.36705389999999999</v>
      </c>
      <c r="U1362">
        <v>-3.1320190000000001</v>
      </c>
      <c r="V1362">
        <v>0.21739069999999999</v>
      </c>
      <c r="W1362">
        <v>1.518269E-2</v>
      </c>
      <c r="X1362">
        <v>0.97596660000000002</v>
      </c>
      <c r="Y1362">
        <v>0.507193</v>
      </c>
      <c r="Z1362">
        <v>6.8992940000000003E-2</v>
      </c>
      <c r="AA1362">
        <v>0.85906649999999996</v>
      </c>
      <c r="AB1362">
        <v>26</v>
      </c>
      <c r="AC1362">
        <v>1.3263</v>
      </c>
      <c r="AD1362">
        <v>-1.09940946347</v>
      </c>
      <c r="AE1362">
        <v>-9.1745999999999892</v>
      </c>
      <c r="AF1362">
        <v>4.7367894471754202</v>
      </c>
      <c r="AG1362">
        <v>-1.09940946347</v>
      </c>
      <c r="AH1362">
        <v>7.8184297675866796</v>
      </c>
      <c r="AI1362">
        <v>96.857865269358101</v>
      </c>
      <c r="AJ1362">
        <v>58.7904566861882</v>
      </c>
      <c r="AK1362">
        <v>9.2072644941874806</v>
      </c>
      <c r="AL1362">
        <v>89.130062532176694</v>
      </c>
      <c r="AM1362">
        <v>77.442706874308797</v>
      </c>
      <c r="AN1362">
        <v>1.0000000174188399</v>
      </c>
    </row>
    <row r="1363" spans="1:40" x14ac:dyDescent="0.25">
      <c r="A1363" t="str">
        <f>"20190312151010689"</f>
        <v>20190312151010689</v>
      </c>
      <c r="B1363" t="str">
        <f>"1552374610681999"</f>
        <v>1552374610681999</v>
      </c>
      <c r="C1363" t="s">
        <v>40</v>
      </c>
      <c r="D1363">
        <v>5.691338</v>
      </c>
      <c r="E1363">
        <v>0.6234286</v>
      </c>
      <c r="F1363" t="s">
        <v>42</v>
      </c>
      <c r="G1363">
        <v>-193.29179999999999</v>
      </c>
      <c r="H1363" s="1">
        <v>-4.286049E-6</v>
      </c>
      <c r="I1363">
        <v>347.8657</v>
      </c>
      <c r="J1363">
        <v>-194.60149999999999</v>
      </c>
      <c r="K1363">
        <v>1.0993820000000001</v>
      </c>
      <c r="L1363">
        <v>357.37029999999999</v>
      </c>
      <c r="M1363">
        <v>0.62689609999999996</v>
      </c>
      <c r="N1363">
        <v>0</v>
      </c>
      <c r="O1363">
        <v>-0.77893919999999905</v>
      </c>
      <c r="P1363">
        <v>0.44336510000000001</v>
      </c>
      <c r="Q1363">
        <v>5.1344950000000002E-3</v>
      </c>
      <c r="R1363">
        <v>-0.89632659999999997</v>
      </c>
      <c r="S1363">
        <v>0.4593506</v>
      </c>
      <c r="T1363">
        <v>-0.35697590000000001</v>
      </c>
      <c r="U1363">
        <v>-3.1333009999999999</v>
      </c>
      <c r="V1363">
        <v>0.21704979999999999</v>
      </c>
      <c r="W1363">
        <v>1.497911E-2</v>
      </c>
      <c r="X1363">
        <v>0.97604559999999996</v>
      </c>
      <c r="Y1363">
        <v>0.50745229999999997</v>
      </c>
      <c r="Z1363">
        <v>6.8190500000000001E-2</v>
      </c>
      <c r="AA1363">
        <v>0.858977399999999</v>
      </c>
      <c r="AB1363">
        <v>26</v>
      </c>
      <c r="AC1363">
        <v>1.3096999999999901</v>
      </c>
      <c r="AD1363">
        <v>-1.099386286049</v>
      </c>
      <c r="AE1363">
        <v>-9.5045999999999804</v>
      </c>
      <c r="AF1363">
        <v>4.8748431775086596</v>
      </c>
      <c r="AG1363">
        <v>-1.099386286049</v>
      </c>
      <c r="AH1363">
        <v>8.1189979355375801</v>
      </c>
      <c r="AI1363">
        <v>96.621861065604804</v>
      </c>
      <c r="AJ1363">
        <v>59.018373835342302</v>
      </c>
      <c r="AK1363">
        <v>9.5336705254859204</v>
      </c>
      <c r="AL1363">
        <v>89.141728119642593</v>
      </c>
      <c r="AM1363">
        <v>77.462758132591006</v>
      </c>
      <c r="AN1363">
        <v>1.00000000134789</v>
      </c>
    </row>
    <row r="1364" spans="1:40" x14ac:dyDescent="0.25">
      <c r="A1364" t="str">
        <f>"20190312151010707"</f>
        <v>20190312151010707</v>
      </c>
      <c r="B1364" t="str">
        <f>"1552374610702494"</f>
        <v>1552374610702494</v>
      </c>
      <c r="C1364" t="s">
        <v>40</v>
      </c>
      <c r="D1364">
        <v>5.6920989999999998</v>
      </c>
      <c r="E1364">
        <v>0.62156869999999997</v>
      </c>
      <c r="F1364" t="s">
        <v>42</v>
      </c>
      <c r="G1364">
        <v>-193.2817</v>
      </c>
      <c r="H1364" s="1">
        <v>-4.2697900000000003E-6</v>
      </c>
      <c r="I1364">
        <v>347.82319999999999</v>
      </c>
      <c r="J1364">
        <v>-194.48429999999999</v>
      </c>
      <c r="K1364">
        <v>1.0993569999999999</v>
      </c>
      <c r="L1364">
        <v>357.2045</v>
      </c>
      <c r="M1364">
        <v>0.61744769999999904</v>
      </c>
      <c r="N1364">
        <v>0</v>
      </c>
      <c r="O1364">
        <v>-0.78644959999999997</v>
      </c>
      <c r="P1364">
        <v>0.43347869999999999</v>
      </c>
      <c r="Q1364">
        <v>5.0774770000000004E-3</v>
      </c>
      <c r="R1364">
        <v>-0.9011498</v>
      </c>
      <c r="S1364">
        <v>0.4333496</v>
      </c>
      <c r="T1364">
        <v>-0.36097410000000002</v>
      </c>
      <c r="U1364">
        <v>-3.1347049999999999</v>
      </c>
      <c r="V1364">
        <v>0.21600449999999999</v>
      </c>
      <c r="W1364">
        <v>1.495527E-2</v>
      </c>
      <c r="X1364">
        <v>0.97627779999999997</v>
      </c>
      <c r="Y1364">
        <v>0.50410900000000003</v>
      </c>
      <c r="Z1364">
        <v>7.0282280000000003E-2</v>
      </c>
      <c r="AA1364">
        <v>0.86077549999999903</v>
      </c>
      <c r="AB1364">
        <v>26</v>
      </c>
      <c r="AC1364">
        <v>1.2025999999999799</v>
      </c>
      <c r="AD1364">
        <v>-1.0993612697899999</v>
      </c>
      <c r="AE1364">
        <v>-9.3813000000000102</v>
      </c>
      <c r="AF1364">
        <v>4.7826796868525996</v>
      </c>
      <c r="AG1364">
        <v>-1.0993612697899999</v>
      </c>
      <c r="AH1364">
        <v>8.0132352997985503</v>
      </c>
      <c r="AI1364">
        <v>96.718802705150793</v>
      </c>
      <c r="AJ1364">
        <v>59.169239443355004</v>
      </c>
      <c r="AK1364">
        <v>9.3965185126452297</v>
      </c>
      <c r="AL1364">
        <v>89.143094180135606</v>
      </c>
      <c r="AM1364">
        <v>77.524116157689804</v>
      </c>
      <c r="AN1364">
        <v>0.99999997344693103</v>
      </c>
    </row>
    <row r="1365" spans="1:40" x14ac:dyDescent="0.25">
      <c r="A1365" t="str">
        <f>"20190312151010721"</f>
        <v>20190312151010721</v>
      </c>
      <c r="B1365" t="str">
        <f>"1552374610712254"</f>
        <v>1552374610712254</v>
      </c>
      <c r="C1365" t="s">
        <v>40</v>
      </c>
      <c r="D1365">
        <v>5.7448269999999999</v>
      </c>
      <c r="E1365">
        <v>0.62079700000000004</v>
      </c>
      <c r="F1365" t="s">
        <v>42</v>
      </c>
      <c r="G1365">
        <v>-193.25810000000001</v>
      </c>
      <c r="H1365" s="1">
        <v>-4.2837210000000001E-6</v>
      </c>
      <c r="I1365">
        <v>347.87639999999999</v>
      </c>
      <c r="J1365">
        <v>-194.3904</v>
      </c>
      <c r="K1365">
        <v>1.099334</v>
      </c>
      <c r="L1365">
        <v>357.0686</v>
      </c>
      <c r="M1365">
        <v>0.60966409999999904</v>
      </c>
      <c r="N1365">
        <v>0</v>
      </c>
      <c r="O1365">
        <v>-0.79249849999999999</v>
      </c>
      <c r="P1365">
        <v>0.42519839999999998</v>
      </c>
      <c r="Q1365">
        <v>4.9824480000000004E-3</v>
      </c>
      <c r="R1365">
        <v>-0.90508670000000002</v>
      </c>
      <c r="S1365">
        <v>0.4118347</v>
      </c>
      <c r="T1365">
        <v>-0.36925039999999998</v>
      </c>
      <c r="U1365">
        <v>-3.1330870000000002</v>
      </c>
      <c r="V1365">
        <v>0.21532950000000001</v>
      </c>
      <c r="W1365">
        <v>1.4882319999999999E-2</v>
      </c>
      <c r="X1365">
        <v>0.97642799999999996</v>
      </c>
      <c r="Y1365">
        <v>0.5013592</v>
      </c>
      <c r="Z1365">
        <v>7.3042010000000004E-2</v>
      </c>
      <c r="AA1365">
        <v>0.86215069999999905</v>
      </c>
      <c r="AB1365">
        <v>26</v>
      </c>
      <c r="AC1365">
        <v>1.1322999999999801</v>
      </c>
      <c r="AD1365">
        <v>-1.099338283721</v>
      </c>
      <c r="AE1365">
        <v>-9.1922000000000104</v>
      </c>
      <c r="AF1365">
        <v>4.6420086687508801</v>
      </c>
      <c r="AG1365">
        <v>-1.099338283721</v>
      </c>
      <c r="AH1365">
        <v>7.8653321161405803</v>
      </c>
      <c r="AI1365">
        <v>96.863665074328196</v>
      </c>
      <c r="AJ1365">
        <v>59.451491833775002</v>
      </c>
      <c r="AK1365">
        <v>9.1989259394782295</v>
      </c>
      <c r="AL1365">
        <v>89.147274359495995</v>
      </c>
      <c r="AM1365">
        <v>77.563741083471697</v>
      </c>
      <c r="AN1365">
        <v>0.99999995810141495</v>
      </c>
    </row>
    <row r="1366" spans="1:40" x14ac:dyDescent="0.25">
      <c r="A1366" t="str">
        <f>"20190312151010741"</f>
        <v>20190312151010741</v>
      </c>
      <c r="B1366" t="str">
        <f>"1552374610731776"</f>
        <v>1552374610731776</v>
      </c>
      <c r="C1366" t="s">
        <v>40</v>
      </c>
      <c r="D1366">
        <v>5.7131069999999999</v>
      </c>
      <c r="E1366">
        <v>0.62024799999999902</v>
      </c>
      <c r="F1366" t="s">
        <v>42</v>
      </c>
      <c r="G1366">
        <v>-193.2261</v>
      </c>
      <c r="H1366" s="1">
        <v>-4.2110379999999998E-6</v>
      </c>
      <c r="I1366">
        <v>347.67950000000002</v>
      </c>
      <c r="J1366">
        <v>-194.25839999999999</v>
      </c>
      <c r="K1366">
        <v>1.0993040000000001</v>
      </c>
      <c r="L1366">
        <v>356.87220000000002</v>
      </c>
      <c r="M1366">
        <v>0.59835360000000004</v>
      </c>
      <c r="N1366">
        <v>0</v>
      </c>
      <c r="O1366">
        <v>-0.80107220000000001</v>
      </c>
      <c r="P1366">
        <v>0.41314279999999998</v>
      </c>
      <c r="Q1366">
        <v>4.6809119999999997E-3</v>
      </c>
      <c r="R1366">
        <v>-0.91065450000000003</v>
      </c>
      <c r="S1366">
        <v>0.38861079999999998</v>
      </c>
      <c r="T1366">
        <v>-0.366948</v>
      </c>
      <c r="U1366">
        <v>-3.133972</v>
      </c>
      <c r="V1366">
        <v>0.2144298</v>
      </c>
      <c r="W1366">
        <v>1.461055E-2</v>
      </c>
      <c r="X1366">
        <v>0.9766302</v>
      </c>
      <c r="Y1366">
        <v>0.49541030000000003</v>
      </c>
      <c r="Z1366">
        <v>7.4231050000000007E-2</v>
      </c>
      <c r="AA1366">
        <v>0.86548159999999896</v>
      </c>
      <c r="AB1366">
        <v>26</v>
      </c>
      <c r="AC1366">
        <v>1.03229999999999</v>
      </c>
      <c r="AD1366">
        <v>-1.0993082110379999</v>
      </c>
      <c r="AE1366">
        <v>-9.1927000000000003</v>
      </c>
      <c r="AF1366">
        <v>4.6090462530531102</v>
      </c>
      <c r="AG1366">
        <v>-1.0993082110379999</v>
      </c>
      <c r="AH1366">
        <v>7.8715541572309196</v>
      </c>
      <c r="AI1366">
        <v>96.871930766576199</v>
      </c>
      <c r="AJ1366">
        <v>59.649664804074703</v>
      </c>
      <c r="AK1366">
        <v>9.1876629648598893</v>
      </c>
      <c r="AL1366">
        <v>89.162847427414803</v>
      </c>
      <c r="AM1366">
        <v>77.616581116758397</v>
      </c>
      <c r="AN1366">
        <v>1.0000000774256801</v>
      </c>
    </row>
    <row r="1367" spans="1:40" x14ac:dyDescent="0.25">
      <c r="A1367" t="str">
        <f>"20190312151010753"</f>
        <v>20190312151010753</v>
      </c>
      <c r="B1367" t="str">
        <f>"1552374610742511"</f>
        <v>1552374610742511</v>
      </c>
      <c r="C1367" t="s">
        <v>40</v>
      </c>
      <c r="D1367">
        <v>5.74655</v>
      </c>
      <c r="E1367">
        <v>0.61924129999999999</v>
      </c>
      <c r="F1367" t="s">
        <v>42</v>
      </c>
      <c r="G1367">
        <v>-193.2063</v>
      </c>
      <c r="H1367" s="1">
        <v>-4.1345379999999997E-6</v>
      </c>
      <c r="I1367">
        <v>347.46510000000001</v>
      </c>
      <c r="J1367">
        <v>-194.17410000000001</v>
      </c>
      <c r="K1367">
        <v>1.099286</v>
      </c>
      <c r="L1367">
        <v>356.7432</v>
      </c>
      <c r="M1367">
        <v>0.5908909</v>
      </c>
      <c r="N1367">
        <v>0</v>
      </c>
      <c r="O1367">
        <v>-0.80659230000000004</v>
      </c>
      <c r="P1367">
        <v>0.40494639999999998</v>
      </c>
      <c r="Q1367">
        <v>4.6744170000000002E-3</v>
      </c>
      <c r="R1367">
        <v>-0.91432880000000005</v>
      </c>
      <c r="S1367">
        <v>0.35086060000000002</v>
      </c>
      <c r="T1367">
        <v>-0.36659249999999999</v>
      </c>
      <c r="U1367">
        <v>-3.137054</v>
      </c>
      <c r="V1367">
        <v>0.21413650000000001</v>
      </c>
      <c r="W1367">
        <v>1.4615319999999999E-2</v>
      </c>
      <c r="X1367">
        <v>0.97669439999999996</v>
      </c>
      <c r="Y1367">
        <v>0.49772559999999899</v>
      </c>
      <c r="Z1367">
        <v>7.4957490000000002E-2</v>
      </c>
      <c r="AA1367">
        <v>0.86408949999999995</v>
      </c>
      <c r="AB1367">
        <v>26</v>
      </c>
      <c r="AC1367">
        <v>0.96780000000001098</v>
      </c>
      <c r="AD1367">
        <v>-1.099290134538</v>
      </c>
      <c r="AE1367">
        <v>-9.2780999999999896</v>
      </c>
      <c r="AF1367">
        <v>4.6379220965135399</v>
      </c>
      <c r="AG1367">
        <v>-1.099290134538</v>
      </c>
      <c r="AH1367">
        <v>7.9461944214819198</v>
      </c>
      <c r="AI1367">
        <v>96.813364465967098</v>
      </c>
      <c r="AJ1367">
        <v>59.729351286803201</v>
      </c>
      <c r="AK1367">
        <v>9.2661084580967206</v>
      </c>
      <c r="AL1367">
        <v>89.162574032205995</v>
      </c>
      <c r="AM1367">
        <v>77.633785671840897</v>
      </c>
      <c r="AN1367">
        <v>0.99999999960115604</v>
      </c>
    </row>
    <row r="1368" spans="1:40" x14ac:dyDescent="0.25">
      <c r="A1368" t="str">
        <f>"20190312151010773"</f>
        <v>20190312151010773</v>
      </c>
      <c r="B1368" t="str">
        <f>"1552374610762031"</f>
        <v>1552374610762031</v>
      </c>
      <c r="C1368" t="s">
        <v>40</v>
      </c>
      <c r="D1368">
        <v>5.7329210000000002</v>
      </c>
      <c r="E1368">
        <v>0.61296030000000001</v>
      </c>
      <c r="F1368" t="s">
        <v>42</v>
      </c>
      <c r="G1368">
        <v>-193.1919</v>
      </c>
      <c r="H1368" s="1">
        <v>-4.1116580000000001E-6</v>
      </c>
      <c r="I1368">
        <v>347.40530000000001</v>
      </c>
      <c r="J1368">
        <v>-194.04929999999999</v>
      </c>
      <c r="K1368">
        <v>1.099262</v>
      </c>
      <c r="L1368">
        <v>356.54750000000001</v>
      </c>
      <c r="M1368">
        <v>0.57950170000000001</v>
      </c>
      <c r="N1368">
        <v>0</v>
      </c>
      <c r="O1368">
        <v>-0.8148128</v>
      </c>
      <c r="P1368">
        <v>0.39220690000000002</v>
      </c>
      <c r="Q1368">
        <v>4.6131480000000001E-3</v>
      </c>
      <c r="R1368">
        <v>-0.91986540000000006</v>
      </c>
      <c r="S1368">
        <v>0.32992549999999998</v>
      </c>
      <c r="T1368">
        <v>-0.36927840000000001</v>
      </c>
      <c r="U1368">
        <v>-3.136841</v>
      </c>
      <c r="V1368">
        <v>0.21398300000000001</v>
      </c>
      <c r="W1368">
        <v>1.456287E-2</v>
      </c>
      <c r="X1368">
        <v>0.97672890000000001</v>
      </c>
      <c r="Y1368">
        <v>0.49124830000000003</v>
      </c>
      <c r="Z1368">
        <v>7.7134300000000003E-2</v>
      </c>
      <c r="AA1368">
        <v>0.86759750000000002</v>
      </c>
      <c r="AB1368">
        <v>26</v>
      </c>
      <c r="AC1368">
        <v>0.85739999999998395</v>
      </c>
      <c r="AD1368">
        <v>-1.099266111658</v>
      </c>
      <c r="AE1368">
        <v>-9.1422000000000008</v>
      </c>
      <c r="AF1368">
        <v>4.5348997718325998</v>
      </c>
      <c r="AG1368">
        <v>-1.099266111658</v>
      </c>
      <c r="AH1368">
        <v>7.8347844539549802</v>
      </c>
      <c r="AI1368">
        <v>96.923601923021707</v>
      </c>
      <c r="AJ1368">
        <v>59.9370484061143</v>
      </c>
      <c r="AK1368">
        <v>9.1190761245173206</v>
      </c>
      <c r="AL1368">
        <v>89.165579576775201</v>
      </c>
      <c r="AM1368">
        <v>77.642800806272007</v>
      </c>
      <c r="AN1368">
        <v>1.00000007278342</v>
      </c>
    </row>
    <row r="1369" spans="1:40" x14ac:dyDescent="0.25">
      <c r="A1369" t="str">
        <f>"20190312151010796"</f>
        <v>20190312151010796</v>
      </c>
      <c r="B1369" t="str">
        <f>"1552374610792287"</f>
        <v>1552374610792287</v>
      </c>
      <c r="C1369" t="s">
        <v>40</v>
      </c>
      <c r="D1369">
        <v>5.6753039999999997</v>
      </c>
      <c r="E1369">
        <v>0.60509099999999905</v>
      </c>
      <c r="F1369" t="s">
        <v>42</v>
      </c>
      <c r="G1369">
        <v>-191.66050000000001</v>
      </c>
      <c r="H1369" s="1">
        <v>-2.6261289999999999E-6</v>
      </c>
      <c r="I1369">
        <v>334.68079999999998</v>
      </c>
      <c r="J1369">
        <v>-193.91329999999999</v>
      </c>
      <c r="K1369">
        <v>1.0992299999999999</v>
      </c>
      <c r="L1369">
        <v>356.32679999999999</v>
      </c>
      <c r="M1369">
        <v>0.5665829</v>
      </c>
      <c r="N1369">
        <v>0</v>
      </c>
      <c r="O1369">
        <v>-0.82384829999999998</v>
      </c>
      <c r="P1369">
        <v>0.37789</v>
      </c>
      <c r="Q1369">
        <v>4.2746540000000001E-3</v>
      </c>
      <c r="R1369">
        <v>-0.92584100000000003</v>
      </c>
      <c r="S1369">
        <v>0.34051510000000001</v>
      </c>
      <c r="T1369">
        <v>-0.15669140000000001</v>
      </c>
      <c r="U1369">
        <v>-3.1169129999999998</v>
      </c>
      <c r="V1369">
        <v>0.21372859999999999</v>
      </c>
      <c r="W1369">
        <v>1.423579E-2</v>
      </c>
      <c r="X1369">
        <v>0.97678940000000003</v>
      </c>
      <c r="Y1369">
        <v>0.4738501</v>
      </c>
      <c r="Z1369">
        <v>3.4003890000000002E-2</v>
      </c>
      <c r="AA1369">
        <v>0.87994869999999903</v>
      </c>
      <c r="AB1369">
        <v>26</v>
      </c>
      <c r="AC1369">
        <v>2.2527999999999802</v>
      </c>
      <c r="AD1369">
        <v>-1.099232626129</v>
      </c>
      <c r="AE1369">
        <v>-21.646000000000001</v>
      </c>
      <c r="AF1369">
        <v>10.3831403644341</v>
      </c>
      <c r="AG1369">
        <v>-1.099232626129</v>
      </c>
      <c r="AH1369">
        <v>19.063247673854299</v>
      </c>
      <c r="AI1369">
        <v>92.898884824217802</v>
      </c>
      <c r="AJ1369">
        <v>61.424285444543102</v>
      </c>
      <c r="AK1369">
        <v>21.735347433813899</v>
      </c>
      <c r="AL1369">
        <v>89.184321805271793</v>
      </c>
      <c r="AM1369">
        <v>77.657782506494996</v>
      </c>
      <c r="AN1369">
        <v>1.0000000520636201</v>
      </c>
    </row>
    <row r="1370" spans="1:40" x14ac:dyDescent="0.25">
      <c r="A1370" t="str">
        <f>"20190312151010808"</f>
        <v>20190312151010808</v>
      </c>
      <c r="B1370" t="str">
        <f>"1552374610802046"</f>
        <v>1552374610802046</v>
      </c>
      <c r="C1370" t="s">
        <v>40</v>
      </c>
      <c r="D1370">
        <v>5.7894050000000004</v>
      </c>
      <c r="E1370">
        <v>0.6050529</v>
      </c>
      <c r="F1370" t="s">
        <v>42</v>
      </c>
      <c r="G1370">
        <v>-193.05459999999999</v>
      </c>
      <c r="H1370" s="1">
        <v>-4.4480009999999998E-6</v>
      </c>
      <c r="I1370">
        <v>348.46530000000001</v>
      </c>
      <c r="J1370">
        <v>-193.83629999999999</v>
      </c>
      <c r="K1370">
        <v>1.099216</v>
      </c>
      <c r="L1370">
        <v>356.19779999999997</v>
      </c>
      <c r="M1370">
        <v>0.55898859999999995</v>
      </c>
      <c r="N1370">
        <v>0</v>
      </c>
      <c r="O1370">
        <v>-0.82901939999999996</v>
      </c>
      <c r="P1370">
        <v>0.36939129999999998</v>
      </c>
      <c r="Q1370">
        <v>4.2768060000000002E-3</v>
      </c>
      <c r="R1370">
        <v>-0.92926430000000004</v>
      </c>
      <c r="S1370">
        <v>0.33903499999999998</v>
      </c>
      <c r="T1370">
        <v>-0.43400450000000002</v>
      </c>
      <c r="U1370">
        <v>-3.1039430000000001</v>
      </c>
      <c r="V1370">
        <v>0.21370349999999999</v>
      </c>
      <c r="W1370">
        <v>1.4241520000000001E-2</v>
      </c>
      <c r="X1370">
        <v>0.97679479999999996</v>
      </c>
      <c r="Y1370">
        <v>0.46597499999999997</v>
      </c>
      <c r="Z1370">
        <v>9.522796E-2</v>
      </c>
      <c r="AA1370">
        <v>0.87965849999999901</v>
      </c>
      <c r="AB1370">
        <v>26</v>
      </c>
      <c r="AC1370">
        <v>0.78169999999999995</v>
      </c>
      <c r="AD1370">
        <v>-1.0992204480009999</v>
      </c>
      <c r="AE1370">
        <v>-7.7324999999999502</v>
      </c>
      <c r="AF1370">
        <v>3.6027412853001302</v>
      </c>
      <c r="AG1370">
        <v>-1.0992204480009999</v>
      </c>
      <c r="AH1370">
        <v>6.7139347290722498</v>
      </c>
      <c r="AI1370">
        <v>98.209096299956897</v>
      </c>
      <c r="AJ1370">
        <v>61.781702177172399</v>
      </c>
      <c r="AK1370">
        <v>7.69837319882273</v>
      </c>
      <c r="AL1370">
        <v>89.183993460652005</v>
      </c>
      <c r="AM1370">
        <v>77.659253675993398</v>
      </c>
      <c r="AN1370">
        <v>1.0000000440555901</v>
      </c>
    </row>
    <row r="1371" spans="1:40" x14ac:dyDescent="0.25">
      <c r="A1371" t="str">
        <f>"20190312151010823"</f>
        <v>20190312151010823</v>
      </c>
      <c r="B1371" t="str">
        <f>"1552374610811807"</f>
        <v>1552374610811807</v>
      </c>
      <c r="C1371" t="s">
        <v>40</v>
      </c>
      <c r="D1371">
        <v>5.8074909999999997</v>
      </c>
      <c r="E1371">
        <v>0.60498509999999905</v>
      </c>
      <c r="F1371" t="s">
        <v>42</v>
      </c>
      <c r="G1371">
        <v>-193.03030000000001</v>
      </c>
      <c r="H1371" s="1">
        <v>-4.335835E-6</v>
      </c>
      <c r="I1371">
        <v>348.14830000000001</v>
      </c>
      <c r="J1371">
        <v>-193.75370000000001</v>
      </c>
      <c r="K1371">
        <v>1.0992059999999999</v>
      </c>
      <c r="L1371">
        <v>356.05689999999998</v>
      </c>
      <c r="M1371">
        <v>0.55066250000000005</v>
      </c>
      <c r="N1371">
        <v>0</v>
      </c>
      <c r="O1371">
        <v>-0.83457289999999995</v>
      </c>
      <c r="P1371">
        <v>0.36007070000000002</v>
      </c>
      <c r="Q1371">
        <v>4.0727860000000001E-3</v>
      </c>
      <c r="R1371">
        <v>-0.93291619999999997</v>
      </c>
      <c r="S1371">
        <v>0.3110657</v>
      </c>
      <c r="T1371">
        <v>-0.4242399</v>
      </c>
      <c r="U1371">
        <v>-3.1066590000000001</v>
      </c>
      <c r="V1371">
        <v>0.2137</v>
      </c>
      <c r="W1371">
        <v>1.404126E-2</v>
      </c>
      <c r="X1371">
        <v>0.97679839999999996</v>
      </c>
      <c r="Y1371">
        <v>0.46504030000000002</v>
      </c>
      <c r="Z1371">
        <v>9.4189729999999999E-2</v>
      </c>
      <c r="AA1371">
        <v>0.88026459999999995</v>
      </c>
      <c r="AB1371">
        <v>25</v>
      </c>
      <c r="AC1371">
        <v>0.72339999999999705</v>
      </c>
      <c r="AD1371">
        <v>-1.0992103358349901</v>
      </c>
      <c r="AE1371">
        <v>-7.9085999999999697</v>
      </c>
      <c r="AF1371">
        <v>3.68120164033644</v>
      </c>
      <c r="AG1371">
        <v>-1.0992103358349901</v>
      </c>
      <c r="AH1371">
        <v>6.8679836707643602</v>
      </c>
      <c r="AI1371">
        <v>98.029340174648198</v>
      </c>
      <c r="AJ1371">
        <v>61.808935343794502</v>
      </c>
      <c r="AK1371">
        <v>7.8694795622778004</v>
      </c>
      <c r="AL1371">
        <v>89.195468609381905</v>
      </c>
      <c r="AM1371">
        <v>77.6594936852659</v>
      </c>
      <c r="AN1371">
        <v>0.99999998061247297</v>
      </c>
    </row>
    <row r="1372" spans="1:40" x14ac:dyDescent="0.25">
      <c r="A1372" t="str">
        <f>"20190312151010843"</f>
        <v>20190312151010843</v>
      </c>
      <c r="B1372" t="str">
        <f>"1552374610832303"</f>
        <v>1552374610832303</v>
      </c>
      <c r="C1372" t="s">
        <v>40</v>
      </c>
      <c r="D1372">
        <v>5.6181369999999999</v>
      </c>
      <c r="E1372">
        <v>0.60396669999999997</v>
      </c>
      <c r="F1372" t="s">
        <v>42</v>
      </c>
      <c r="G1372">
        <v>-192.9324</v>
      </c>
      <c r="H1372" s="1">
        <v>-3.9325809999999999E-6</v>
      </c>
      <c r="I1372">
        <v>347.01429999999999</v>
      </c>
      <c r="J1372">
        <v>-193.6412</v>
      </c>
      <c r="K1372">
        <v>1.099191</v>
      </c>
      <c r="L1372">
        <v>355.85899999999998</v>
      </c>
      <c r="M1372">
        <v>0.53892559999999901</v>
      </c>
      <c r="N1372">
        <v>0</v>
      </c>
      <c r="O1372">
        <v>-0.84219949999999999</v>
      </c>
      <c r="P1372">
        <v>0.34691490000000003</v>
      </c>
      <c r="Q1372">
        <v>4.2582139999999997E-3</v>
      </c>
      <c r="R1372">
        <v>-0.93788720000000003</v>
      </c>
      <c r="S1372">
        <v>0.28231810000000002</v>
      </c>
      <c r="T1372">
        <v>-0.3778572</v>
      </c>
      <c r="U1372">
        <v>-3.1083980000000002</v>
      </c>
      <c r="V1372">
        <v>0.21376909999999999</v>
      </c>
      <c r="W1372">
        <v>1.423103E-2</v>
      </c>
      <c r="X1372">
        <v>0.97678050000000005</v>
      </c>
      <c r="Y1372">
        <v>0.46074490000000001</v>
      </c>
      <c r="Z1372">
        <v>8.5486430000000002E-2</v>
      </c>
      <c r="AA1372">
        <v>0.88340599999999903</v>
      </c>
      <c r="AB1372">
        <v>25</v>
      </c>
      <c r="AC1372">
        <v>0.70879999999999599</v>
      </c>
      <c r="AD1372">
        <v>-1.099194932581</v>
      </c>
      <c r="AE1372">
        <v>-8.8447000000000404</v>
      </c>
      <c r="AF1372">
        <v>4.1071945989797696</v>
      </c>
      <c r="AG1372">
        <v>-1.099194932581</v>
      </c>
      <c r="AH1372">
        <v>7.7136319445999302</v>
      </c>
      <c r="AI1372">
        <v>97.169082338856001</v>
      </c>
      <c r="AJ1372">
        <v>61.966518303966602</v>
      </c>
      <c r="AK1372">
        <v>8.8078030603807704</v>
      </c>
      <c r="AL1372">
        <v>89.184594475738606</v>
      </c>
      <c r="AM1372">
        <v>77.655406418617503</v>
      </c>
      <c r="AN1372">
        <v>0.99999994775495904</v>
      </c>
    </row>
    <row r="1373" spans="1:40" x14ac:dyDescent="0.25">
      <c r="A1373" t="str">
        <f>"20190312151010864"</f>
        <v>20190312151010864</v>
      </c>
      <c r="B1373" t="str">
        <f>"1552374610862558"</f>
        <v>1552374610862558</v>
      </c>
      <c r="C1373" t="s">
        <v>40</v>
      </c>
      <c r="D1373">
        <v>5.7360110000000004</v>
      </c>
      <c r="E1373">
        <v>0.60139659999999995</v>
      </c>
      <c r="F1373" t="s">
        <v>42</v>
      </c>
      <c r="G1373">
        <v>-192.79159999999999</v>
      </c>
      <c r="H1373" s="1">
        <v>-3.165992E-6</v>
      </c>
      <c r="I1373">
        <v>345.23770000000002</v>
      </c>
      <c r="J1373">
        <v>-193.5171</v>
      </c>
      <c r="K1373">
        <v>1.0991770000000001</v>
      </c>
      <c r="L1373">
        <v>355.63279999999997</v>
      </c>
      <c r="M1373">
        <v>0.52543459999999997</v>
      </c>
      <c r="N1373">
        <v>0</v>
      </c>
      <c r="O1373">
        <v>-0.85068140000000003</v>
      </c>
      <c r="P1373">
        <v>0.332067</v>
      </c>
      <c r="Q1373">
        <v>3.8632390000000001E-3</v>
      </c>
      <c r="R1373">
        <v>-0.94324830000000004</v>
      </c>
      <c r="S1373">
        <v>0.24859619999999999</v>
      </c>
      <c r="T1373">
        <v>-0.3216598</v>
      </c>
      <c r="U1373">
        <v>-3.1081539999999999</v>
      </c>
      <c r="V1373">
        <v>0.21361140000000001</v>
      </c>
      <c r="W1373">
        <v>1.3849119999999999E-2</v>
      </c>
      <c r="X1373">
        <v>0.97682049999999998</v>
      </c>
      <c r="Y1373">
        <v>0.45608870000000001</v>
      </c>
      <c r="Z1373">
        <v>7.4330010000000002E-2</v>
      </c>
      <c r="AA1373">
        <v>0.88682479999999997</v>
      </c>
      <c r="AB1373">
        <v>25</v>
      </c>
      <c r="AC1373">
        <v>0.72550000000001003</v>
      </c>
      <c r="AD1373">
        <v>-1.099180165992</v>
      </c>
      <c r="AE1373">
        <v>-10.3950999999999</v>
      </c>
      <c r="AF1373">
        <v>4.7920843745994599</v>
      </c>
      <c r="AG1373">
        <v>-1.099180165992</v>
      </c>
      <c r="AH1373">
        <v>9.1238000582445995</v>
      </c>
      <c r="AI1373">
        <v>96.087998786738297</v>
      </c>
      <c r="AJ1373">
        <v>62.290242462496103</v>
      </c>
      <c r="AK1373">
        <v>10.364168909923</v>
      </c>
      <c r="AL1373">
        <v>89.206478473949005</v>
      </c>
      <c r="AM1373">
        <v>77.664723922864496</v>
      </c>
      <c r="AN1373">
        <v>0.99999995877749104</v>
      </c>
    </row>
    <row r="1374" spans="1:40" x14ac:dyDescent="0.25">
      <c r="A1374" t="str">
        <f>"20190312151010885"</f>
        <v>20190312151010885</v>
      </c>
      <c r="B1374" t="str">
        <f>"1552374610882078"</f>
        <v>1552374610882078</v>
      </c>
      <c r="C1374" t="s">
        <v>40</v>
      </c>
      <c r="D1374">
        <v>6.157362</v>
      </c>
      <c r="E1374">
        <v>0.60166819999999999</v>
      </c>
      <c r="F1374" t="s">
        <v>42</v>
      </c>
      <c r="G1374">
        <v>-192.7817</v>
      </c>
      <c r="H1374" s="1">
        <v>-3.146872E-6</v>
      </c>
      <c r="I1374">
        <v>345.19920000000002</v>
      </c>
      <c r="J1374">
        <v>-193.4024</v>
      </c>
      <c r="K1374">
        <v>1.0991740000000001</v>
      </c>
      <c r="L1374">
        <v>355.41570000000002</v>
      </c>
      <c r="M1374">
        <v>0.51242909999999997</v>
      </c>
      <c r="N1374">
        <v>0</v>
      </c>
      <c r="O1374">
        <v>-0.8585779</v>
      </c>
      <c r="P1374">
        <v>0.31775019999999998</v>
      </c>
      <c r="Q1374">
        <v>3.33731E-3</v>
      </c>
      <c r="R1374">
        <v>-0.94816869999999998</v>
      </c>
      <c r="S1374">
        <v>0.21881100000000001</v>
      </c>
      <c r="T1374">
        <v>-0.32708809999999999</v>
      </c>
      <c r="U1374">
        <v>-3.1047669999999998</v>
      </c>
      <c r="V1374">
        <v>0.21352180000000001</v>
      </c>
      <c r="W1374">
        <v>1.3335609999999999E-2</v>
      </c>
      <c r="X1374">
        <v>0.97684729999999997</v>
      </c>
      <c r="Y1374">
        <v>0.45093800000000001</v>
      </c>
      <c r="Z1374">
        <v>7.702225E-2</v>
      </c>
      <c r="AA1374">
        <v>0.88922579999999996</v>
      </c>
      <c r="AB1374">
        <v>25</v>
      </c>
      <c r="AC1374">
        <v>0.62069999999999903</v>
      </c>
      <c r="AD1374">
        <v>-1.099177146872</v>
      </c>
      <c r="AE1374">
        <v>-10.2164999999999</v>
      </c>
      <c r="AF1374">
        <v>4.6493059219723101</v>
      </c>
      <c r="AG1374">
        <v>-1.099177146872</v>
      </c>
      <c r="AH1374">
        <v>8.9872621996232596</v>
      </c>
      <c r="AI1374">
        <v>96.199668673264696</v>
      </c>
      <c r="AJ1374">
        <v>62.646492834233896</v>
      </c>
      <c r="AK1374">
        <v>10.1781686860195</v>
      </c>
      <c r="AL1374">
        <v>89.235903198214601</v>
      </c>
      <c r="AM1374">
        <v>77.670067621837006</v>
      </c>
      <c r="AN1374">
        <v>1.0000000225432999</v>
      </c>
    </row>
    <row r="1375" spans="1:40" x14ac:dyDescent="0.25">
      <c r="A1375" t="str">
        <f>"20190312151010899"</f>
        <v>20190312151010899</v>
      </c>
      <c r="B1375" t="str">
        <f>"1552374610891839"</f>
        <v>1552374610891839</v>
      </c>
      <c r="C1375" t="s">
        <v>40</v>
      </c>
      <c r="D1375">
        <v>5.8262939999999999</v>
      </c>
      <c r="E1375">
        <v>0.60224369999999905</v>
      </c>
      <c r="F1375" t="s">
        <v>42</v>
      </c>
      <c r="G1375">
        <v>-192.87260000000001</v>
      </c>
      <c r="H1375" s="1">
        <v>-3.373886E-6</v>
      </c>
      <c r="I1375">
        <v>345.6721</v>
      </c>
      <c r="J1375">
        <v>-193.3305</v>
      </c>
      <c r="K1375">
        <v>1.099172</v>
      </c>
      <c r="L1375">
        <v>355.27609999999999</v>
      </c>
      <c r="M1375">
        <v>0.50402930000000001</v>
      </c>
      <c r="N1375">
        <v>0</v>
      </c>
      <c r="O1375">
        <v>-0.86353579999999996</v>
      </c>
      <c r="P1375">
        <v>0.30841499999999999</v>
      </c>
      <c r="Q1375">
        <v>3.1495009999999999E-3</v>
      </c>
      <c r="R1375">
        <v>-0.95124690000000001</v>
      </c>
      <c r="S1375">
        <v>0.1690063</v>
      </c>
      <c r="T1375">
        <v>-0.35067959999999998</v>
      </c>
      <c r="U1375">
        <v>-3.1086119999999999</v>
      </c>
      <c r="V1375">
        <v>0.21358969999999999</v>
      </c>
      <c r="W1375">
        <v>1.3153E-2</v>
      </c>
      <c r="X1375">
        <v>0.97683489999999995</v>
      </c>
      <c r="Y1375">
        <v>0.45649329999999999</v>
      </c>
      <c r="Z1375">
        <v>8.3088140000000005E-2</v>
      </c>
      <c r="AA1375">
        <v>0.88583869999999898</v>
      </c>
      <c r="AB1375">
        <v>25</v>
      </c>
      <c r="AC1375">
        <v>0.45789999999999498</v>
      </c>
      <c r="AD1375">
        <v>-1.099175373886</v>
      </c>
      <c r="AE1375">
        <v>-9.6039999999999797</v>
      </c>
      <c r="AF1375">
        <v>4.3885096231651799</v>
      </c>
      <c r="AG1375">
        <v>-1.099175373886</v>
      </c>
      <c r="AH1375">
        <v>8.4153226935299195</v>
      </c>
      <c r="AI1375">
        <v>96.606218542057306</v>
      </c>
      <c r="AJ1375">
        <v>62.458393482393603</v>
      </c>
      <c r="AK1375">
        <v>9.5543110296562208</v>
      </c>
      <c r="AL1375">
        <v>89.246366874741298</v>
      </c>
      <c r="AM1375">
        <v>77.666114917623204</v>
      </c>
      <c r="AN1375">
        <v>0.99999999160654995</v>
      </c>
    </row>
    <row r="1376" spans="1:40" x14ac:dyDescent="0.25">
      <c r="A1376" t="str">
        <f>"20190312151010920"</f>
        <v>20190312151010920</v>
      </c>
      <c r="B1376" t="str">
        <f>"1552374610912335"</f>
        <v>1552374610912335</v>
      </c>
      <c r="C1376" t="s">
        <v>40</v>
      </c>
      <c r="D1376">
        <v>5.7755989999999997</v>
      </c>
      <c r="E1376">
        <v>0.6040124</v>
      </c>
      <c r="F1376" t="s">
        <v>42</v>
      </c>
      <c r="G1376">
        <v>-192.88720000000001</v>
      </c>
      <c r="H1376" s="1">
        <v>-3.1123050000000002E-6</v>
      </c>
      <c r="I1376">
        <v>345.05329999999998</v>
      </c>
      <c r="J1376">
        <v>-193.2244</v>
      </c>
      <c r="K1376">
        <v>1.0991770000000001</v>
      </c>
      <c r="L1376">
        <v>355.0625</v>
      </c>
      <c r="M1376">
        <v>0.49115930000000002</v>
      </c>
      <c r="N1376">
        <v>0</v>
      </c>
      <c r="O1376">
        <v>-0.87092039999999904</v>
      </c>
      <c r="P1376">
        <v>0.2944657</v>
      </c>
      <c r="Q1376">
        <v>2.9258370000000001E-3</v>
      </c>
      <c r="R1376">
        <v>-0.95565800000000001</v>
      </c>
      <c r="S1376">
        <v>0.134903</v>
      </c>
      <c r="T1376">
        <v>-0.33451649999999999</v>
      </c>
      <c r="U1376">
        <v>-3.111145</v>
      </c>
      <c r="V1376">
        <v>0.21337900000000001</v>
      </c>
      <c r="W1376">
        <v>1.294798E-2</v>
      </c>
      <c r="X1376">
        <v>0.97688370000000002</v>
      </c>
      <c r="Y1376">
        <v>0.4530246</v>
      </c>
      <c r="Z1376">
        <v>8.0504249999999999E-2</v>
      </c>
      <c r="AA1376">
        <v>0.88785569999999903</v>
      </c>
      <c r="AB1376">
        <v>25</v>
      </c>
      <c r="AC1376">
        <v>0.337199999999995</v>
      </c>
      <c r="AD1376">
        <v>-1.099180112305</v>
      </c>
      <c r="AE1376">
        <v>-10.0092</v>
      </c>
      <c r="AF1376">
        <v>4.5680120825586901</v>
      </c>
      <c r="AG1376">
        <v>-1.099180112305</v>
      </c>
      <c r="AH1376">
        <v>8.7782476359838792</v>
      </c>
      <c r="AI1376">
        <v>96.338251541839995</v>
      </c>
      <c r="AJ1376">
        <v>62.508496621141703</v>
      </c>
      <c r="AK1376">
        <v>9.9565336771561999</v>
      </c>
      <c r="AL1376">
        <v>89.258114666396907</v>
      </c>
      <c r="AM1376">
        <v>77.678506799026295</v>
      </c>
      <c r="AN1376">
        <v>1.00000000557638</v>
      </c>
    </row>
    <row r="1377" spans="1:40" x14ac:dyDescent="0.25">
      <c r="A1377" t="str">
        <f>"20190312151010932"</f>
        <v>20190312151010932</v>
      </c>
      <c r="B1377" t="str">
        <f>"1552374610922094"</f>
        <v>1552374610922094</v>
      </c>
      <c r="C1377" t="s">
        <v>40</v>
      </c>
      <c r="D1377">
        <v>5.5801080000000001</v>
      </c>
      <c r="E1377">
        <v>0.60454030000000003</v>
      </c>
      <c r="F1377" t="s">
        <v>42</v>
      </c>
      <c r="G1377">
        <v>-192.9504</v>
      </c>
      <c r="H1377" s="1">
        <v>-2.6811130000000002E-6</v>
      </c>
      <c r="I1377">
        <v>344.00889999999998</v>
      </c>
      <c r="J1377">
        <v>-193.15649999999999</v>
      </c>
      <c r="K1377">
        <v>1.0991869999999999</v>
      </c>
      <c r="L1377">
        <v>354.92099999999999</v>
      </c>
      <c r="M1377">
        <v>0.48261520000000002</v>
      </c>
      <c r="N1377">
        <v>0</v>
      </c>
      <c r="O1377">
        <v>-0.87568380000000001</v>
      </c>
      <c r="P1377">
        <v>0.28537380000000001</v>
      </c>
      <c r="Q1377">
        <v>2.7370290000000002E-3</v>
      </c>
      <c r="R1377">
        <v>-0.95841290000000001</v>
      </c>
      <c r="S1377">
        <v>7.7255249999999998E-2</v>
      </c>
      <c r="T1377">
        <v>-0.30988900000000003</v>
      </c>
      <c r="U1377">
        <v>-3.1163020000000001</v>
      </c>
      <c r="V1377">
        <v>0.21309700000000001</v>
      </c>
      <c r="W1377">
        <v>1.277681E-2</v>
      </c>
      <c r="X1377">
        <v>0.97694749999999997</v>
      </c>
      <c r="Y1377">
        <v>0.46076129999999998</v>
      </c>
      <c r="Z1377">
        <v>7.5009480000000003E-2</v>
      </c>
      <c r="AA1377">
        <v>0.88434880000000005</v>
      </c>
      <c r="AB1377">
        <v>25</v>
      </c>
      <c r="AC1377">
        <v>0.20609999999999201</v>
      </c>
      <c r="AD1377">
        <v>-1.099189681113</v>
      </c>
      <c r="AE1377">
        <v>-10.912100000000001</v>
      </c>
      <c r="AF1377">
        <v>5.0354538664918103</v>
      </c>
      <c r="AG1377">
        <v>-1.099189681113</v>
      </c>
      <c r="AH1377">
        <v>9.5593120334627901</v>
      </c>
      <c r="AI1377">
        <v>95.808992087356003</v>
      </c>
      <c r="AJ1377">
        <v>62.221576391122198</v>
      </c>
      <c r="AK1377">
        <v>10.8602237614949</v>
      </c>
      <c r="AL1377">
        <v>89.267922790768793</v>
      </c>
      <c r="AM1377">
        <v>77.695073451105301</v>
      </c>
      <c r="AN1377">
        <v>0.999999998019512</v>
      </c>
    </row>
    <row r="1378" spans="1:40" x14ac:dyDescent="0.25">
      <c r="A1378" t="str">
        <f>"20190312151010953"</f>
        <v>20190312151010953</v>
      </c>
      <c r="B1378" t="str">
        <f>"1552374610941615"</f>
        <v>1552374610941615</v>
      </c>
      <c r="C1378" t="s">
        <v>40</v>
      </c>
      <c r="D1378">
        <v>5.7431460000000003</v>
      </c>
      <c r="E1378">
        <v>0.60556189999999999</v>
      </c>
      <c r="F1378" t="s">
        <v>42</v>
      </c>
      <c r="G1378">
        <v>-192.9956</v>
      </c>
      <c r="H1378" s="1">
        <v>-2.4832339999999999E-6</v>
      </c>
      <c r="I1378">
        <v>343.5197</v>
      </c>
      <c r="J1378">
        <v>-193.05779999999999</v>
      </c>
      <c r="K1378">
        <v>1.0992010000000001</v>
      </c>
      <c r="L1378">
        <v>354.70940000000002</v>
      </c>
      <c r="M1378">
        <v>0.4698136</v>
      </c>
      <c r="N1378">
        <v>0</v>
      </c>
      <c r="O1378">
        <v>-0.88261769999999995</v>
      </c>
      <c r="P1378">
        <v>0.27224209999999999</v>
      </c>
      <c r="Q1378">
        <v>2.4679799999999998E-3</v>
      </c>
      <c r="R1378">
        <v>-0.96222549999999996</v>
      </c>
      <c r="S1378">
        <v>4.3991089999999997E-2</v>
      </c>
      <c r="T1378">
        <v>-0.3005948</v>
      </c>
      <c r="U1378">
        <v>-3.1179199999999998</v>
      </c>
      <c r="V1378">
        <v>0.21222340000000001</v>
      </c>
      <c r="W1378">
        <v>1.2548419999999999E-2</v>
      </c>
      <c r="X1378">
        <v>0.97714060000000003</v>
      </c>
      <c r="Y1378">
        <v>0.45729019999999998</v>
      </c>
      <c r="Z1378">
        <v>7.3813779999999996E-2</v>
      </c>
      <c r="AA1378">
        <v>0.88624890000000001</v>
      </c>
      <c r="AB1378">
        <v>25</v>
      </c>
      <c r="AC1378">
        <v>6.2199999999989999E-2</v>
      </c>
      <c r="AD1378">
        <v>-1.0992034832340001</v>
      </c>
      <c r="AE1378">
        <v>-11.1897</v>
      </c>
      <c r="AF1378">
        <v>5.15312865777413</v>
      </c>
      <c r="AG1378">
        <v>-1.0992034832340001</v>
      </c>
      <c r="AH1378">
        <v>9.8120617498939193</v>
      </c>
      <c r="AI1378">
        <v>95.664065321927694</v>
      </c>
      <c r="AJ1378">
        <v>62.292305319099498</v>
      </c>
      <c r="AK1378">
        <v>11.137303939682001</v>
      </c>
      <c r="AL1378">
        <v>89.281009619709494</v>
      </c>
      <c r="AM1378">
        <v>77.746339077404798</v>
      </c>
      <c r="AN1378">
        <v>0.99999999326020805</v>
      </c>
    </row>
    <row r="1379" spans="1:40" x14ac:dyDescent="0.25">
      <c r="A1379" t="str">
        <f>"20190312151010974"</f>
        <v>20190312151010974</v>
      </c>
      <c r="B1379" t="str">
        <f>"1552374610971871"</f>
        <v>1552374610971871</v>
      </c>
      <c r="C1379" t="s">
        <v>40</v>
      </c>
      <c r="D1379">
        <v>5.6822780000000002</v>
      </c>
      <c r="E1379">
        <v>0.60581439999999998</v>
      </c>
      <c r="F1379" t="s">
        <v>42</v>
      </c>
      <c r="G1379">
        <v>-193.0804</v>
      </c>
      <c r="H1379" s="1">
        <v>-2.2374559999999998E-6</v>
      </c>
      <c r="I1379">
        <v>342.89409999999998</v>
      </c>
      <c r="J1379">
        <v>-192.95650000000001</v>
      </c>
      <c r="K1379">
        <v>1.099224</v>
      </c>
      <c r="L1379">
        <v>354.48349999999999</v>
      </c>
      <c r="M1379">
        <v>0.45610620000000002</v>
      </c>
      <c r="N1379">
        <v>0</v>
      </c>
      <c r="O1379">
        <v>-0.88977890000000004</v>
      </c>
      <c r="P1379">
        <v>0.25861329999999999</v>
      </c>
      <c r="Q1379">
        <v>1.8081390000000001E-3</v>
      </c>
      <c r="R1379">
        <v>-0.96597949999999999</v>
      </c>
      <c r="S1379">
        <v>-5.9661870000000004E-3</v>
      </c>
      <c r="T1379">
        <v>-0.29028189999999998</v>
      </c>
      <c r="U1379">
        <v>-3.1202390000000002</v>
      </c>
      <c r="V1379">
        <v>0.21090500000000001</v>
      </c>
      <c r="W1379">
        <v>1.194336E-2</v>
      </c>
      <c r="X1379">
        <v>0.97743360000000001</v>
      </c>
      <c r="Y1379">
        <v>0.45774550000000003</v>
      </c>
      <c r="Z1379">
        <v>7.2213910000000006E-2</v>
      </c>
      <c r="AA1379">
        <v>0.88614570000000004</v>
      </c>
      <c r="AB1379">
        <v>25</v>
      </c>
      <c r="AC1379">
        <v>-0.123899999999991</v>
      </c>
      <c r="AD1379">
        <v>-1.099226237456</v>
      </c>
      <c r="AE1379">
        <v>-11.589399999999999</v>
      </c>
      <c r="AF1379">
        <v>5.3488312851265096</v>
      </c>
      <c r="AG1379">
        <v>-1.099226237456</v>
      </c>
      <c r="AH1379">
        <v>10.1653908013806</v>
      </c>
      <c r="AI1379">
        <v>95.466288033279099</v>
      </c>
      <c r="AJ1379">
        <v>62.247525953611202</v>
      </c>
      <c r="AK1379">
        <v>11.539214209930099</v>
      </c>
      <c r="AL1379">
        <v>89.315679610928797</v>
      </c>
      <c r="AM1379">
        <v>77.823725433412903</v>
      </c>
      <c r="AN1379">
        <v>1.0000000026410201</v>
      </c>
    </row>
    <row r="1380" spans="1:40" x14ac:dyDescent="0.25">
      <c r="A1380" t="str">
        <f>"20190312151010998"</f>
        <v>20190312151010998</v>
      </c>
      <c r="B1380" t="str">
        <f>"1552374610992367"</f>
        <v>1552374610992367</v>
      </c>
      <c r="C1380" t="s">
        <v>40</v>
      </c>
      <c r="D1380">
        <v>5.8461280000000002</v>
      </c>
      <c r="E1380">
        <v>0.60536429999999997</v>
      </c>
      <c r="F1380" t="s">
        <v>42</v>
      </c>
      <c r="G1380">
        <v>-193.15170000000001</v>
      </c>
      <c r="H1380" s="1">
        <v>-2.1924899999999999E-6</v>
      </c>
      <c r="I1380">
        <v>342.74509999999998</v>
      </c>
      <c r="J1380">
        <v>-192.85239999999999</v>
      </c>
      <c r="K1380">
        <v>1.0992489999999999</v>
      </c>
      <c r="L1380">
        <v>354.24099999999999</v>
      </c>
      <c r="M1380">
        <v>0.4413705</v>
      </c>
      <c r="N1380">
        <v>0</v>
      </c>
      <c r="O1380">
        <v>-0.89717959999999997</v>
      </c>
      <c r="P1380">
        <v>0.24432950000000001</v>
      </c>
      <c r="Q1380">
        <v>1.5008679999999901E-3</v>
      </c>
      <c r="R1380">
        <v>-0.96969119999999998</v>
      </c>
      <c r="S1380">
        <v>-5.186462E-2</v>
      </c>
      <c r="T1380">
        <v>-0.29218280000000002</v>
      </c>
      <c r="U1380">
        <v>-3.1201479999999999</v>
      </c>
      <c r="V1380">
        <v>0.20920150000000001</v>
      </c>
      <c r="W1380">
        <v>1.170448E-2</v>
      </c>
      <c r="X1380">
        <v>0.97780250000000002</v>
      </c>
      <c r="Y1380">
        <v>0.45611859999999999</v>
      </c>
      <c r="Z1380">
        <v>7.3736289999999996E-2</v>
      </c>
      <c r="AA1380">
        <v>0.88685890000000001</v>
      </c>
      <c r="AB1380">
        <v>25</v>
      </c>
      <c r="AC1380">
        <v>-0.299300000000016</v>
      </c>
      <c r="AD1380">
        <v>-1.0992511924899999</v>
      </c>
      <c r="AE1380">
        <v>-11.495900000000001</v>
      </c>
      <c r="AF1380">
        <v>5.2947942540580097</v>
      </c>
      <c r="AG1380">
        <v>-1.0992511924899999</v>
      </c>
      <c r="AH1380">
        <v>10.090910201602201</v>
      </c>
      <c r="AI1380">
        <v>95.509828116133804</v>
      </c>
      <c r="AJ1380">
        <v>62.313586566803103</v>
      </c>
      <c r="AK1380">
        <v>11.448566201660199</v>
      </c>
      <c r="AL1380">
        <v>89.329367378943999</v>
      </c>
      <c r="AM1380">
        <v>77.923598027391094</v>
      </c>
      <c r="AN1380">
        <v>0.99999999573028497</v>
      </c>
    </row>
    <row r="1381" spans="1:40" x14ac:dyDescent="0.25">
      <c r="A1381" t="str">
        <f>"20190312151011020"</f>
        <v>20190312151011020</v>
      </c>
      <c r="B1381" t="str">
        <f>"1552374611011886"</f>
        <v>1552374611011886</v>
      </c>
      <c r="C1381" t="s">
        <v>40</v>
      </c>
      <c r="D1381">
        <v>6.039034</v>
      </c>
      <c r="E1381">
        <v>0.60520940000000001</v>
      </c>
      <c r="F1381" t="s">
        <v>42</v>
      </c>
      <c r="G1381">
        <v>-193.20150000000001</v>
      </c>
      <c r="H1381" s="1">
        <v>-2.2062000000000002E-6</v>
      </c>
      <c r="I1381">
        <v>342.74619999999999</v>
      </c>
      <c r="J1381">
        <v>-192.75309999999999</v>
      </c>
      <c r="K1381">
        <v>1.0992839999999999</v>
      </c>
      <c r="L1381">
        <v>353.99799999999999</v>
      </c>
      <c r="M1381">
        <v>0.42658659999999998</v>
      </c>
      <c r="N1381">
        <v>0</v>
      </c>
      <c r="O1381">
        <v>-0.90430239999999995</v>
      </c>
      <c r="P1381">
        <v>0.23069200000000001</v>
      </c>
      <c r="Q1381">
        <v>1.2788439999999999E-3</v>
      </c>
      <c r="R1381">
        <v>-0.97302599999999995</v>
      </c>
      <c r="S1381">
        <v>-9.4696039999999995E-2</v>
      </c>
      <c r="T1381">
        <v>-0.29818139999999999</v>
      </c>
      <c r="U1381">
        <v>-3.1180729999999999</v>
      </c>
      <c r="V1381">
        <v>0.20687430000000001</v>
      </c>
      <c r="W1381">
        <v>1.156811E-2</v>
      </c>
      <c r="X1381">
        <v>0.97829909999999998</v>
      </c>
      <c r="Y1381">
        <v>0.45369229999999999</v>
      </c>
      <c r="Z1381">
        <v>7.633703E-2</v>
      </c>
      <c r="AA1381">
        <v>0.88788289999999903</v>
      </c>
      <c r="AB1381">
        <v>25</v>
      </c>
      <c r="AC1381">
        <v>-0.44840000000002</v>
      </c>
      <c r="AD1381">
        <v>-1.0992862061999999</v>
      </c>
      <c r="AE1381">
        <v>-11.251799999999999</v>
      </c>
      <c r="AF1381">
        <v>5.1568911823348698</v>
      </c>
      <c r="AG1381">
        <v>-1.0992862061999999</v>
      </c>
      <c r="AH1381">
        <v>9.8907933778066397</v>
      </c>
      <c r="AI1381">
        <v>95.628411945537493</v>
      </c>
      <c r="AJ1381">
        <v>62.463231137423897</v>
      </c>
      <c r="AK1381">
        <v>11.2084678021596</v>
      </c>
      <c r="AL1381">
        <v>89.337181311852504</v>
      </c>
      <c r="AM1381">
        <v>78.059948003880194</v>
      </c>
      <c r="AN1381">
        <v>0.99999996311513495</v>
      </c>
    </row>
    <row r="1382" spans="1:40" x14ac:dyDescent="0.25">
      <c r="A1382" t="str">
        <f>"20190312151011045"</f>
        <v>20190312151011045</v>
      </c>
      <c r="B1382" t="str">
        <f>"1552374611042144"</f>
        <v>1552374611042144</v>
      </c>
      <c r="C1382" t="s">
        <v>40</v>
      </c>
      <c r="D1382">
        <v>4.7142140000000001</v>
      </c>
      <c r="E1382">
        <v>0.60485580000000005</v>
      </c>
      <c r="F1382" t="s">
        <v>42</v>
      </c>
      <c r="G1382">
        <v>-193.28129999999999</v>
      </c>
      <c r="H1382" s="1">
        <v>-1.8973020000000001E-6</v>
      </c>
      <c r="I1382">
        <v>341.97669999999999</v>
      </c>
      <c r="J1382">
        <v>-192.6523</v>
      </c>
      <c r="K1382">
        <v>1.099313</v>
      </c>
      <c r="L1382">
        <v>353.73880000000003</v>
      </c>
      <c r="M1382">
        <v>0.41078730000000002</v>
      </c>
      <c r="N1382">
        <v>0</v>
      </c>
      <c r="O1382">
        <v>-0.91158830000000002</v>
      </c>
      <c r="P1382">
        <v>0.216444</v>
      </c>
      <c r="Q1382">
        <v>1.0455600000000001E-3</v>
      </c>
      <c r="R1382">
        <v>-0.97629480000000002</v>
      </c>
      <c r="S1382">
        <v>-0.13690189999999999</v>
      </c>
      <c r="T1382">
        <v>-0.28494239999999998</v>
      </c>
      <c r="U1382">
        <v>-3.116028</v>
      </c>
      <c r="V1382">
        <v>0.20414499999999999</v>
      </c>
      <c r="W1382">
        <v>1.1431749999999999E-2</v>
      </c>
      <c r="X1382">
        <v>0.97887389999999996</v>
      </c>
      <c r="Y1382">
        <v>0.45023489999999999</v>
      </c>
      <c r="Z1382">
        <v>7.4068729999999999E-2</v>
      </c>
      <c r="AA1382">
        <v>0.88983269999999903</v>
      </c>
      <c r="AB1382">
        <v>25</v>
      </c>
      <c r="AC1382">
        <v>-0.62899999999999001</v>
      </c>
      <c r="AD1382">
        <v>-1.0993148973019999</v>
      </c>
      <c r="AE1382">
        <v>-11.7621</v>
      </c>
      <c r="AF1382">
        <v>5.3591348742278102</v>
      </c>
      <c r="AG1382">
        <v>-1.0993148973019999</v>
      </c>
      <c r="AH1382">
        <v>10.374803160714199</v>
      </c>
      <c r="AI1382">
        <v>95.378090777582003</v>
      </c>
      <c r="AJ1382">
        <v>62.681252939080203</v>
      </c>
      <c r="AK1382">
        <v>11.728826048124301</v>
      </c>
      <c r="AL1382">
        <v>89.344994698277702</v>
      </c>
      <c r="AM1382">
        <v>78.219766314894997</v>
      </c>
      <c r="AN1382">
        <v>0.99999998901713605</v>
      </c>
    </row>
    <row r="1383" spans="1:40" x14ac:dyDescent="0.25">
      <c r="A1383" t="str">
        <f>"20190312151011067"</f>
        <v>20190312151011067</v>
      </c>
      <c r="B1383" t="str">
        <f>"1552374611061664"</f>
        <v>1552374611061664</v>
      </c>
      <c r="C1383" t="s">
        <v>40</v>
      </c>
      <c r="D1383">
        <v>4.1919839999999997</v>
      </c>
      <c r="E1383">
        <v>0.60431360000000001</v>
      </c>
      <c r="F1383" t="s">
        <v>42</v>
      </c>
      <c r="G1383">
        <v>-193.33709999999999</v>
      </c>
      <c r="H1383" s="1">
        <v>-1.8813479999999999E-6</v>
      </c>
      <c r="I1383">
        <v>341.90480000000002</v>
      </c>
      <c r="J1383">
        <v>-192.5642</v>
      </c>
      <c r="K1383">
        <v>1.0993470000000001</v>
      </c>
      <c r="L1383">
        <v>353.50099999999998</v>
      </c>
      <c r="M1383">
        <v>0.3962736</v>
      </c>
      <c r="N1383">
        <v>0</v>
      </c>
      <c r="O1383">
        <v>-0.91799059999999999</v>
      </c>
      <c r="P1383">
        <v>0.20399970000000001</v>
      </c>
      <c r="Q1383">
        <v>6.7439490000000002E-4</v>
      </c>
      <c r="R1383">
        <v>-0.97897109999999998</v>
      </c>
      <c r="S1383">
        <v>-0.18014530000000001</v>
      </c>
      <c r="T1383">
        <v>-0.28919210000000001</v>
      </c>
      <c r="U1383">
        <v>-3.1130979999999999</v>
      </c>
      <c r="V1383">
        <v>0.20106389999999999</v>
      </c>
      <c r="W1383">
        <v>1.1165690000000001E-2</v>
      </c>
      <c r="X1383">
        <v>0.97951449999999995</v>
      </c>
      <c r="Y1383">
        <v>0.44842739999999998</v>
      </c>
      <c r="Z1383">
        <v>7.612961E-2</v>
      </c>
      <c r="AA1383">
        <v>0.89057120000000001</v>
      </c>
      <c r="AB1383">
        <v>25</v>
      </c>
      <c r="AC1383">
        <v>-0.77289999999999204</v>
      </c>
      <c r="AD1383">
        <v>-1.0993488813479999</v>
      </c>
      <c r="AE1383">
        <v>-11.5961999999999</v>
      </c>
      <c r="AF1383">
        <v>5.2584227767054799</v>
      </c>
      <c r="AG1383">
        <v>-1.0993488813479999</v>
      </c>
      <c r="AH1383">
        <v>10.2485678032315</v>
      </c>
      <c r="AI1383">
        <v>95.451740985234196</v>
      </c>
      <c r="AJ1383">
        <v>62.838160094498797</v>
      </c>
      <c r="AK1383">
        <v>11.5712021881449</v>
      </c>
      <c r="AL1383">
        <v>89.360239800217698</v>
      </c>
      <c r="AM1383">
        <v>78.400087058594494</v>
      </c>
      <c r="AN1383">
        <v>1.00000001011331</v>
      </c>
    </row>
    <row r="1384" spans="1:40" x14ac:dyDescent="0.25">
      <c r="A1384" t="str">
        <f>"20190312151011088"</f>
        <v>20190312151011088</v>
      </c>
      <c r="B1384" t="str">
        <f>"1552374611082159"</f>
        <v>1552374611082159</v>
      </c>
      <c r="C1384" t="s">
        <v>40</v>
      </c>
      <c r="D1384">
        <v>5.7652650000000003</v>
      </c>
      <c r="E1384">
        <v>0.60352790000000001</v>
      </c>
      <c r="F1384" t="s">
        <v>42</v>
      </c>
      <c r="G1384">
        <v>-193.4109</v>
      </c>
      <c r="H1384" s="1">
        <v>-1.6228970000000001E-6</v>
      </c>
      <c r="I1384">
        <v>341.25659999999999</v>
      </c>
      <c r="J1384">
        <v>-192.48320000000001</v>
      </c>
      <c r="K1384">
        <v>1.0993790000000001</v>
      </c>
      <c r="L1384">
        <v>353.2715</v>
      </c>
      <c r="M1384">
        <v>0.3822546</v>
      </c>
      <c r="N1384">
        <v>0</v>
      </c>
      <c r="O1384">
        <v>-0.92391599999999996</v>
      </c>
      <c r="P1384">
        <v>0.192054</v>
      </c>
      <c r="Q1384">
        <v>2.1320399999999999E-4</v>
      </c>
      <c r="R1384">
        <v>-0.98138449999999999</v>
      </c>
      <c r="S1384">
        <v>-0.21502689999999999</v>
      </c>
      <c r="T1384">
        <v>-0.27917160000000002</v>
      </c>
      <c r="U1384">
        <v>-3.109375</v>
      </c>
      <c r="V1384">
        <v>0.19807810000000001</v>
      </c>
      <c r="W1384">
        <v>1.080475E-2</v>
      </c>
      <c r="X1384">
        <v>0.98012670000000002</v>
      </c>
      <c r="Y1384">
        <v>0.44485360000000002</v>
      </c>
      <c r="Z1384">
        <v>7.4442939999999999E-2</v>
      </c>
      <c r="AA1384">
        <v>0.89250409999999902</v>
      </c>
      <c r="AB1384">
        <v>25</v>
      </c>
      <c r="AC1384">
        <v>-0.92769999999998698</v>
      </c>
      <c r="AD1384">
        <v>-1.099380622897</v>
      </c>
      <c r="AE1384">
        <v>-12.014900000000001</v>
      </c>
      <c r="AF1384">
        <v>5.4055879129895699</v>
      </c>
      <c r="AG1384">
        <v>-1.099380622897</v>
      </c>
      <c r="AH1384">
        <v>10.658829192555</v>
      </c>
      <c r="AI1384">
        <v>95.255800938076007</v>
      </c>
      <c r="AJ1384">
        <v>63.108314683505</v>
      </c>
      <c r="AK1384">
        <v>12.001652311041299</v>
      </c>
      <c r="AL1384">
        <v>89.380921387975903</v>
      </c>
      <c r="AM1384">
        <v>78.574730226370406</v>
      </c>
      <c r="AN1384">
        <v>1.0000000121875301</v>
      </c>
    </row>
    <row r="1385" spans="1:40" x14ac:dyDescent="0.25">
      <c r="A1385" t="str">
        <f>"20190312151011110"</f>
        <v>20190312151011110</v>
      </c>
      <c r="B1385" t="str">
        <f>"1552374611101679"</f>
        <v>1552374611101679</v>
      </c>
      <c r="C1385" t="s">
        <v>40</v>
      </c>
      <c r="D1385">
        <v>5.539053</v>
      </c>
      <c r="E1385">
        <v>0.60274659999999902</v>
      </c>
      <c r="F1385" t="s">
        <v>42</v>
      </c>
      <c r="G1385">
        <v>-193.4332</v>
      </c>
      <c r="H1385" s="1">
        <v>-1.6629209999999999E-6</v>
      </c>
      <c r="I1385">
        <v>341.33609999999999</v>
      </c>
      <c r="J1385">
        <v>-192.4042</v>
      </c>
      <c r="K1385">
        <v>1.0994170000000001</v>
      </c>
      <c r="L1385">
        <v>353.03609999999998</v>
      </c>
      <c r="M1385">
        <v>0.36786069999999998</v>
      </c>
      <c r="N1385">
        <v>0</v>
      </c>
      <c r="O1385">
        <v>-0.92974080000000003</v>
      </c>
      <c r="P1385">
        <v>0.18018690000000001</v>
      </c>
      <c r="Q1385">
        <v>-1.2488150000000001E-4</v>
      </c>
      <c r="R1385">
        <v>-0.98363250000000002</v>
      </c>
      <c r="S1385">
        <v>-0.24714659999999999</v>
      </c>
      <c r="T1385">
        <v>-0.28603579999999901</v>
      </c>
      <c r="U1385">
        <v>-3.1053470000000001</v>
      </c>
      <c r="V1385">
        <v>0.19468469999999999</v>
      </c>
      <c r="W1385">
        <v>1.057922E-2</v>
      </c>
      <c r="X1385">
        <v>0.98080880000000004</v>
      </c>
      <c r="Y1385">
        <v>0.44018580000000002</v>
      </c>
      <c r="Z1385">
        <v>7.7231079999999994E-2</v>
      </c>
      <c r="AA1385">
        <v>0.89457919999999902</v>
      </c>
      <c r="AB1385">
        <v>25</v>
      </c>
      <c r="AC1385">
        <v>-1.0289999999999899</v>
      </c>
      <c r="AD1385">
        <v>-1.0994186629209901</v>
      </c>
      <c r="AE1385">
        <v>-11.6999999999999</v>
      </c>
      <c r="AF1385">
        <v>5.21565882318865</v>
      </c>
      <c r="AG1385">
        <v>-1.0994186629209901</v>
      </c>
      <c r="AH1385">
        <v>10.4095968646592</v>
      </c>
      <c r="AI1385">
        <v>95.394232440411699</v>
      </c>
      <c r="AJ1385">
        <v>63.387147175921498</v>
      </c>
      <c r="AK1385">
        <v>11.694935880158001</v>
      </c>
      <c r="AL1385">
        <v>89.393844022481801</v>
      </c>
      <c r="AM1385">
        <v>78.773058061348493</v>
      </c>
      <c r="AN1385">
        <v>0.99999997723366896</v>
      </c>
    </row>
    <row r="1386" spans="1:40" x14ac:dyDescent="0.25">
      <c r="A1386" t="str">
        <f>"20190312151011132"</f>
        <v>20190312151011132</v>
      </c>
      <c r="B1386" t="str">
        <f>"1552374611122175"</f>
        <v>1552374611122175</v>
      </c>
      <c r="C1386" t="s">
        <v>40</v>
      </c>
      <c r="D1386">
        <v>5.692259</v>
      </c>
      <c r="E1386">
        <v>0.6017479</v>
      </c>
      <c r="F1386" t="s">
        <v>42</v>
      </c>
      <c r="G1386">
        <v>-193.4726</v>
      </c>
      <c r="H1386" s="1">
        <v>-1.591763E-6</v>
      </c>
      <c r="I1386">
        <v>341.14580000000001</v>
      </c>
      <c r="J1386">
        <v>-192.3254</v>
      </c>
      <c r="K1386">
        <v>1.099453</v>
      </c>
      <c r="L1386">
        <v>352.78840000000002</v>
      </c>
      <c r="M1386">
        <v>0.35270319999999999</v>
      </c>
      <c r="N1386">
        <v>0</v>
      </c>
      <c r="O1386">
        <v>-0.93559619999999999</v>
      </c>
      <c r="P1386">
        <v>0.17057429999999901</v>
      </c>
      <c r="Q1386">
        <v>2.5921620000000001E-4</v>
      </c>
      <c r="R1386">
        <v>-0.98534500000000003</v>
      </c>
      <c r="S1386">
        <v>-0.27862550000000003</v>
      </c>
      <c r="T1386">
        <v>-0.28672300000000001</v>
      </c>
      <c r="U1386">
        <v>-3.1009519999999999</v>
      </c>
      <c r="V1386">
        <v>0.18832850000000001</v>
      </c>
      <c r="W1386">
        <v>1.116283E-2</v>
      </c>
      <c r="X1386">
        <v>0.98204270000000005</v>
      </c>
      <c r="Y1386">
        <v>0.43470239999999999</v>
      </c>
      <c r="Z1386">
        <v>7.8419630000000004E-2</v>
      </c>
      <c r="AA1386">
        <v>0.89715339999999999</v>
      </c>
      <c r="AB1386">
        <v>25</v>
      </c>
      <c r="AC1386">
        <v>-1.14719999999999</v>
      </c>
      <c r="AD1386">
        <v>-1.0994545917630001</v>
      </c>
      <c r="AE1386">
        <v>-11.6426</v>
      </c>
      <c r="AF1386">
        <v>5.1350198318763303</v>
      </c>
      <c r="AG1386">
        <v>-1.0994545917630001</v>
      </c>
      <c r="AH1386">
        <v>10.397683800144</v>
      </c>
      <c r="AI1386">
        <v>95.415947677659602</v>
      </c>
      <c r="AJ1386">
        <v>63.716989006171197</v>
      </c>
      <c r="AK1386">
        <v>11.648564610323801</v>
      </c>
      <c r="AL1386">
        <v>89.360403701010497</v>
      </c>
      <c r="AM1386">
        <v>79.144062512602702</v>
      </c>
      <c r="AN1386">
        <v>1.0000000486545699</v>
      </c>
    </row>
    <row r="1387" spans="1:40" x14ac:dyDescent="0.25">
      <c r="A1387" t="str">
        <f>"20190312151011154"</f>
        <v>20190312151011154</v>
      </c>
      <c r="B1387" t="str">
        <f>"1552374611141695"</f>
        <v>1552374611141695</v>
      </c>
      <c r="C1387" t="s">
        <v>40</v>
      </c>
      <c r="D1387">
        <v>5.6207949999999904</v>
      </c>
      <c r="E1387">
        <v>0.60102239999999996</v>
      </c>
      <c r="F1387" t="s">
        <v>42</v>
      </c>
      <c r="G1387">
        <v>-193.49680000000001</v>
      </c>
      <c r="H1387" s="1">
        <v>-1.425104E-6</v>
      </c>
      <c r="I1387">
        <v>340.74220000000003</v>
      </c>
      <c r="J1387">
        <v>-192.25530000000001</v>
      </c>
      <c r="K1387">
        <v>1.0994949999999999</v>
      </c>
      <c r="L1387">
        <v>352.55540000000002</v>
      </c>
      <c r="M1387">
        <v>0.33844760000000002</v>
      </c>
      <c r="N1387">
        <v>0</v>
      </c>
      <c r="O1387">
        <v>-0.94084699999999999</v>
      </c>
      <c r="P1387">
        <v>0.1589999</v>
      </c>
      <c r="Q1387">
        <v>1.0882970000000001E-4</v>
      </c>
      <c r="R1387">
        <v>-0.98727860000000001</v>
      </c>
      <c r="S1387">
        <v>-0.30114750000000001</v>
      </c>
      <c r="T1387">
        <v>-0.28264879999999998</v>
      </c>
      <c r="U1387">
        <v>-3.096832</v>
      </c>
      <c r="V1387">
        <v>0.1849259</v>
      </c>
      <c r="W1387">
        <v>1.1124210000000001E-2</v>
      </c>
      <c r="X1387">
        <v>0.98268949999999999</v>
      </c>
      <c r="Y1387">
        <v>0.42759320000000001</v>
      </c>
      <c r="Z1387">
        <v>7.8259540000000002E-2</v>
      </c>
      <c r="AA1387">
        <v>0.90057730000000003</v>
      </c>
      <c r="AB1387">
        <v>25</v>
      </c>
      <c r="AC1387">
        <v>-1.2415</v>
      </c>
      <c r="AD1387">
        <v>-1.099496425104</v>
      </c>
      <c r="AE1387">
        <v>-11.813199999999901</v>
      </c>
      <c r="AF1387">
        <v>5.12298881329209</v>
      </c>
      <c r="AG1387">
        <v>-1.099496425104</v>
      </c>
      <c r="AH1387">
        <v>10.6047602362673</v>
      </c>
      <c r="AI1387">
        <v>95.333495627279902</v>
      </c>
      <c r="AJ1387">
        <v>64.215560239251602</v>
      </c>
      <c r="AK1387">
        <v>11.828560624127</v>
      </c>
      <c r="AL1387">
        <v>89.362616567092701</v>
      </c>
      <c r="AM1387">
        <v>79.342520554686004</v>
      </c>
      <c r="AN1387">
        <v>0.99999999497459202</v>
      </c>
    </row>
    <row r="1388" spans="1:40" x14ac:dyDescent="0.25">
      <c r="A1388" t="str">
        <f>"20190312151011176"</f>
        <v>20190312151011176</v>
      </c>
      <c r="B1388" t="str">
        <f>"1552374611171951"</f>
        <v>1552374611171951</v>
      </c>
      <c r="C1388" t="s">
        <v>40</v>
      </c>
      <c r="D1388">
        <v>5.5991569999999999</v>
      </c>
      <c r="E1388">
        <v>0.59976379999999996</v>
      </c>
      <c r="F1388" t="s">
        <v>42</v>
      </c>
      <c r="G1388">
        <v>-193.55080000000001</v>
      </c>
      <c r="H1388" s="1">
        <v>-1.323442E-6</v>
      </c>
      <c r="I1388">
        <v>340.47179999999997</v>
      </c>
      <c r="J1388">
        <v>-192.1842</v>
      </c>
      <c r="K1388">
        <v>1.099545</v>
      </c>
      <c r="L1388">
        <v>352.30520000000001</v>
      </c>
      <c r="M1388">
        <v>0.32315700000000003</v>
      </c>
      <c r="N1388">
        <v>0</v>
      </c>
      <c r="O1388">
        <v>-0.94620839999999995</v>
      </c>
      <c r="P1388">
        <v>0.14673069999999999</v>
      </c>
      <c r="Q1388">
        <v>-7.3903659999999998E-4</v>
      </c>
      <c r="R1388">
        <v>-0.98917650000000001</v>
      </c>
      <c r="S1388">
        <v>-0.33149719999999999</v>
      </c>
      <c r="T1388">
        <v>-0.2813544</v>
      </c>
      <c r="U1388">
        <v>-3.0921020000000001</v>
      </c>
      <c r="V1388">
        <v>0.1811769</v>
      </c>
      <c r="W1388">
        <v>1.0399459999999999E-2</v>
      </c>
      <c r="X1388">
        <v>0.98339549999999998</v>
      </c>
      <c r="Y1388">
        <v>0.4218208</v>
      </c>
      <c r="Z1388">
        <v>7.8833159999999999E-2</v>
      </c>
      <c r="AA1388">
        <v>0.90324559999999998</v>
      </c>
      <c r="AB1388">
        <v>25</v>
      </c>
      <c r="AC1388">
        <v>-1.3666</v>
      </c>
      <c r="AD1388">
        <v>-1.099546323442</v>
      </c>
      <c r="AE1388">
        <v>-11.833399999999999</v>
      </c>
      <c r="AF1388">
        <v>5.0745611021958403</v>
      </c>
      <c r="AG1388">
        <v>-1.099546323442</v>
      </c>
      <c r="AH1388">
        <v>10.665755118806601</v>
      </c>
      <c r="AI1388">
        <v>95.318441774625995</v>
      </c>
      <c r="AJ1388">
        <v>64.555793688504096</v>
      </c>
      <c r="AK1388">
        <v>11.8624830769811</v>
      </c>
      <c r="AL1388">
        <v>89.404144070609803</v>
      </c>
      <c r="AM1388">
        <v>79.561110392938502</v>
      </c>
      <c r="AN1388">
        <v>0.99999996364107502</v>
      </c>
    </row>
    <row r="1389" spans="1:40" x14ac:dyDescent="0.25">
      <c r="A1389" t="str">
        <f>"20190312151011200"</f>
        <v>20190312151011200</v>
      </c>
      <c r="B1389" t="str">
        <f>"1552374611192447"</f>
        <v>1552374611192447</v>
      </c>
      <c r="C1389" t="s">
        <v>40</v>
      </c>
      <c r="D1389">
        <v>5.6142770000000004</v>
      </c>
      <c r="E1389">
        <v>0.59883900000000001</v>
      </c>
      <c r="F1389" t="s">
        <v>42</v>
      </c>
      <c r="G1389">
        <v>-193.6086</v>
      </c>
      <c r="H1389" s="1">
        <v>-1.174189E-6</v>
      </c>
      <c r="I1389">
        <v>340.08800000000002</v>
      </c>
      <c r="J1389">
        <v>-192.11850000000001</v>
      </c>
      <c r="K1389">
        <v>1.099621</v>
      </c>
      <c r="L1389">
        <v>352.05869999999999</v>
      </c>
      <c r="M1389">
        <v>0.30813740000000001</v>
      </c>
      <c r="N1389">
        <v>0</v>
      </c>
      <c r="O1389">
        <v>-0.95120579999999999</v>
      </c>
      <c r="P1389">
        <v>0.13450699999999999</v>
      </c>
      <c r="Q1389">
        <v>-1.8088119999999999E-3</v>
      </c>
      <c r="R1389">
        <v>-0.99091110000000004</v>
      </c>
      <c r="S1389">
        <v>-0.35981750000000001</v>
      </c>
      <c r="T1389">
        <v>-0.27773999999999999</v>
      </c>
      <c r="U1389">
        <v>-3.0859990000000002</v>
      </c>
      <c r="V1389">
        <v>0.1777194</v>
      </c>
      <c r="W1389">
        <v>9.4458289999999993E-3</v>
      </c>
      <c r="X1389">
        <v>0.98403580000000002</v>
      </c>
      <c r="Y1389">
        <v>0.41584539999999998</v>
      </c>
      <c r="Z1389">
        <v>7.8735360000000004E-2</v>
      </c>
      <c r="AA1389">
        <v>0.90602059999999995</v>
      </c>
      <c r="AB1389">
        <v>25</v>
      </c>
      <c r="AC1389">
        <v>-1.49009999999998</v>
      </c>
      <c r="AD1389">
        <v>-1.099622174189</v>
      </c>
      <c r="AE1389">
        <v>-11.9706999999999</v>
      </c>
      <c r="AF1389">
        <v>5.0645894180036501</v>
      </c>
      <c r="AG1389">
        <v>-1.099622174189</v>
      </c>
      <c r="AH1389">
        <v>10.8387944251003</v>
      </c>
      <c r="AI1389">
        <v>95.251495140676596</v>
      </c>
      <c r="AJ1389">
        <v>64.954961109207105</v>
      </c>
      <c r="AK1389">
        <v>12.014104190013899</v>
      </c>
      <c r="AL1389">
        <v>89.458785779239406</v>
      </c>
      <c r="AM1389">
        <v>79.762588259896702</v>
      </c>
      <c r="AN1389">
        <v>0.99999993225174599</v>
      </c>
    </row>
    <row r="1390" spans="1:40" x14ac:dyDescent="0.25">
      <c r="A1390" t="str">
        <f>"20190312151011222"</f>
        <v>20190312151011222</v>
      </c>
      <c r="B1390" t="str">
        <f>"1552374611211967"</f>
        <v>1552374611211967</v>
      </c>
      <c r="C1390" t="s">
        <v>40</v>
      </c>
      <c r="D1390">
        <v>5.6548489999999996</v>
      </c>
      <c r="E1390">
        <v>0.59780169999999999</v>
      </c>
      <c r="F1390" t="s">
        <v>42</v>
      </c>
      <c r="G1390">
        <v>-193.65979999999999</v>
      </c>
      <c r="H1390" s="1">
        <v>-1.1127590000000001E-6</v>
      </c>
      <c r="I1390">
        <v>339.91309999999999</v>
      </c>
      <c r="J1390">
        <v>-192.05600000000001</v>
      </c>
      <c r="K1390">
        <v>1.099709</v>
      </c>
      <c r="L1390">
        <v>351.8075</v>
      </c>
      <c r="M1390">
        <v>0.29288989999999998</v>
      </c>
      <c r="N1390">
        <v>0</v>
      </c>
      <c r="O1390">
        <v>-0.9560111</v>
      </c>
      <c r="P1390">
        <v>0.1220744</v>
      </c>
      <c r="Q1390">
        <v>-1.575014E-3</v>
      </c>
      <c r="R1390">
        <v>-0.99251999999999996</v>
      </c>
      <c r="S1390">
        <v>-0.39085389999999998</v>
      </c>
      <c r="T1390">
        <v>-0.27885929999999998</v>
      </c>
      <c r="U1390">
        <v>-3.0800779999999999</v>
      </c>
      <c r="V1390">
        <v>0.17432539999999999</v>
      </c>
      <c r="W1390">
        <v>9.7943809999999996E-3</v>
      </c>
      <c r="X1390">
        <v>0.98463940000000005</v>
      </c>
      <c r="Y1390">
        <v>0.41049020000000003</v>
      </c>
      <c r="Z1390">
        <v>7.9910579999999995E-2</v>
      </c>
      <c r="AA1390">
        <v>0.90835679999999996</v>
      </c>
      <c r="AB1390">
        <v>25</v>
      </c>
      <c r="AC1390">
        <v>-1.6037999999999999</v>
      </c>
      <c r="AD1390">
        <v>-1.0997101127590001</v>
      </c>
      <c r="AE1390">
        <v>-11.894399999999999</v>
      </c>
      <c r="AF1390">
        <v>4.9758733277359504</v>
      </c>
      <c r="AG1390">
        <v>-1.0997101127590001</v>
      </c>
      <c r="AH1390">
        <v>10.812076948197401</v>
      </c>
      <c r="AI1390">
        <v>95.278924119240997</v>
      </c>
      <c r="AJ1390">
        <v>65.287432537618102</v>
      </c>
      <c r="AK1390">
        <v>11.9528107840591</v>
      </c>
      <c r="AL1390">
        <v>89.438814339557396</v>
      </c>
      <c r="AM1390">
        <v>79.960110595786205</v>
      </c>
      <c r="AN1390">
        <v>1.0000000115083401</v>
      </c>
    </row>
    <row r="1391" spans="1:40" x14ac:dyDescent="0.25">
      <c r="A1391" t="str">
        <f>"20190312151011246"</f>
        <v>20190312151011246</v>
      </c>
      <c r="B1391" t="str">
        <f>"1552374611242223"</f>
        <v>1552374611242223</v>
      </c>
      <c r="C1391" t="s">
        <v>40</v>
      </c>
      <c r="D1391">
        <v>5.6717409999999999</v>
      </c>
      <c r="E1391">
        <v>0.59626559999999995</v>
      </c>
      <c r="F1391" t="s">
        <v>42</v>
      </c>
      <c r="G1391">
        <v>-193.7397</v>
      </c>
      <c r="H1391" s="1">
        <v>-4.9279900000000002E-6</v>
      </c>
      <c r="I1391">
        <v>339.51859999999999</v>
      </c>
      <c r="J1391">
        <v>-191.9965</v>
      </c>
      <c r="K1391">
        <v>1.0998129999999999</v>
      </c>
      <c r="L1391">
        <v>351.55180000000001</v>
      </c>
      <c r="M1391">
        <v>0.27743430000000002</v>
      </c>
      <c r="N1391">
        <v>0</v>
      </c>
      <c r="O1391">
        <v>-0.96061039999999998</v>
      </c>
      <c r="P1391">
        <v>0.1092426</v>
      </c>
      <c r="Q1391">
        <v>-1.4362589999999901E-3</v>
      </c>
      <c r="R1391">
        <v>-0.99401379999999995</v>
      </c>
      <c r="S1391">
        <v>-0.42115780000000003</v>
      </c>
      <c r="T1391">
        <v>-0.27508579999999999</v>
      </c>
      <c r="U1391">
        <v>-3.0739749999999999</v>
      </c>
      <c r="V1391">
        <v>0.17116609999999999</v>
      </c>
      <c r="W1391">
        <v>1.004042E-2</v>
      </c>
      <c r="X1391">
        <v>0.98519100000000004</v>
      </c>
      <c r="Y1391">
        <v>0.40481610000000001</v>
      </c>
      <c r="Z1391">
        <v>7.9668249999999996E-2</v>
      </c>
      <c r="AA1391">
        <v>0.91092090000000003</v>
      </c>
      <c r="AB1391">
        <v>25</v>
      </c>
      <c r="AC1391">
        <v>-1.7432000000000001</v>
      </c>
      <c r="AD1391">
        <v>-1.09981792799</v>
      </c>
      <c r="AE1391">
        <v>-12.033200000000001</v>
      </c>
      <c r="AF1391">
        <v>4.9729165317199202</v>
      </c>
      <c r="AG1391">
        <v>-1.09981792799</v>
      </c>
      <c r="AH1391">
        <v>10.9871252337268</v>
      </c>
      <c r="AI1391">
        <v>95.210647586434803</v>
      </c>
      <c r="AJ1391">
        <v>65.647870779339598</v>
      </c>
      <c r="AK1391">
        <v>12.1101783309651</v>
      </c>
      <c r="AL1391">
        <v>89.424716629167605</v>
      </c>
      <c r="AM1391">
        <v>80.143872495225907</v>
      </c>
      <c r="AN1391">
        <v>0.99999997515199301</v>
      </c>
    </row>
    <row r="1392" spans="1:40" x14ac:dyDescent="0.25">
      <c r="A1392" t="str">
        <f>"20190312151011268"</f>
        <v>20190312151011268</v>
      </c>
      <c r="B1392" t="str">
        <f>"1552374611262460"</f>
        <v>1552374611262460</v>
      </c>
      <c r="C1392" t="s">
        <v>40</v>
      </c>
      <c r="D1392">
        <v>5.6455919999999997</v>
      </c>
      <c r="E1392">
        <v>0.59517430000000004</v>
      </c>
      <c r="F1392" t="s">
        <v>42</v>
      </c>
      <c r="G1392">
        <v>-193.78710000000001</v>
      </c>
      <c r="H1392" s="1">
        <v>-4.8657080000000001E-6</v>
      </c>
      <c r="I1392">
        <v>339.3109</v>
      </c>
      <c r="J1392">
        <v>-191.9425</v>
      </c>
      <c r="K1392">
        <v>1.0999219999999901</v>
      </c>
      <c r="L1392">
        <v>351.3023</v>
      </c>
      <c r="M1392">
        <v>0.26243499999999997</v>
      </c>
      <c r="N1392">
        <v>0</v>
      </c>
      <c r="O1392">
        <v>-0.96481660000000002</v>
      </c>
      <c r="P1392">
        <v>9.7508499999999998E-2</v>
      </c>
      <c r="Q1392">
        <v>-1.3965469999999999E-3</v>
      </c>
      <c r="R1392">
        <v>-0.99523399999999995</v>
      </c>
      <c r="S1392">
        <v>-0.44863890000000001</v>
      </c>
      <c r="T1392">
        <v>-0.27555790000000002</v>
      </c>
      <c r="U1392">
        <v>-3.0669559999999998</v>
      </c>
      <c r="V1392">
        <v>0.16743710000000001</v>
      </c>
      <c r="W1392">
        <v>1.020301E-2</v>
      </c>
      <c r="X1392">
        <v>0.98582990000000004</v>
      </c>
      <c r="Y1392">
        <v>0.39884049999999999</v>
      </c>
      <c r="Z1392">
        <v>8.0614749999999999E-2</v>
      </c>
      <c r="AA1392">
        <v>0.91347</v>
      </c>
      <c r="AB1392">
        <v>25</v>
      </c>
      <c r="AC1392">
        <v>-1.84460000000001</v>
      </c>
      <c r="AD1392">
        <v>-1.0999268657079999</v>
      </c>
      <c r="AE1392">
        <v>-11.991400000000001</v>
      </c>
      <c r="AF1392">
        <v>4.8871280499476999</v>
      </c>
      <c r="AG1392">
        <v>-1.0999268657079999</v>
      </c>
      <c r="AH1392">
        <v>10.9964554538684</v>
      </c>
      <c r="AI1392">
        <v>95.222614208711306</v>
      </c>
      <c r="AJ1392">
        <v>66.038318065228594</v>
      </c>
      <c r="AK1392">
        <v>12.083703581079901</v>
      </c>
      <c r="AL1392">
        <v>89.415400409068695</v>
      </c>
      <c r="AM1392">
        <v>80.360652925386503</v>
      </c>
      <c r="AN1392">
        <v>0.99999993780173801</v>
      </c>
    </row>
    <row r="1393" spans="1:40" x14ac:dyDescent="0.25">
      <c r="A1393" t="str">
        <f>"20190312151011289"</f>
        <v>20190312151011289</v>
      </c>
      <c r="B1393" t="str">
        <f>"1552374611281980"</f>
        <v>1552374611281980</v>
      </c>
      <c r="C1393" t="s">
        <v>40</v>
      </c>
      <c r="D1393">
        <v>5.6537579999999998</v>
      </c>
      <c r="E1393">
        <v>0.59411119999999995</v>
      </c>
      <c r="F1393" t="s">
        <v>42</v>
      </c>
      <c r="G1393">
        <v>-193.81880000000001</v>
      </c>
      <c r="H1393" s="1">
        <v>-4.84936999999999E-6</v>
      </c>
      <c r="I1393">
        <v>339.24630000000002</v>
      </c>
      <c r="J1393">
        <v>-191.89510000000001</v>
      </c>
      <c r="K1393">
        <v>1.1000319999999999</v>
      </c>
      <c r="L1393">
        <v>351.0668</v>
      </c>
      <c r="M1393">
        <v>0.24838279999999999</v>
      </c>
      <c r="N1393">
        <v>0</v>
      </c>
      <c r="O1393">
        <v>-0.96853</v>
      </c>
      <c r="P1393">
        <v>8.6822869999999996E-2</v>
      </c>
      <c r="Q1393">
        <v>-1.608291E-3</v>
      </c>
      <c r="R1393">
        <v>-0.99622259999999996</v>
      </c>
      <c r="S1393">
        <v>-0.47634890000000002</v>
      </c>
      <c r="T1393">
        <v>-0.27923969999999998</v>
      </c>
      <c r="U1393">
        <v>-3.0606689999999999</v>
      </c>
      <c r="V1393">
        <v>0.16367679999999901</v>
      </c>
      <c r="W1393">
        <v>1.011337E-2</v>
      </c>
      <c r="X1393">
        <v>0.98646219999999996</v>
      </c>
      <c r="Y1393">
        <v>0.393843</v>
      </c>
      <c r="Z1393">
        <v>8.2396250000000004E-2</v>
      </c>
      <c r="AA1393">
        <v>0.91547719999999999</v>
      </c>
      <c r="AB1393">
        <v>25</v>
      </c>
      <c r="AC1393">
        <v>-1.92369999999999</v>
      </c>
      <c r="AD1393">
        <v>-1.1000368493699999</v>
      </c>
      <c r="AE1393">
        <v>-11.8204999999999</v>
      </c>
      <c r="AF1393">
        <v>4.7596264005928202</v>
      </c>
      <c r="AG1393">
        <v>-1.1000368493699999</v>
      </c>
      <c r="AH1393">
        <v>10.880299806437099</v>
      </c>
      <c r="AI1393">
        <v>95.292111373295498</v>
      </c>
      <c r="AJ1393">
        <v>66.372853365509897</v>
      </c>
      <c r="AK1393">
        <v>11.926652859086101</v>
      </c>
      <c r="AL1393">
        <v>89.420536717775803</v>
      </c>
      <c r="AM1393">
        <v>80.579138321848404</v>
      </c>
      <c r="AN1393">
        <v>1.00000002356991</v>
      </c>
    </row>
    <row r="1394" spans="1:40" x14ac:dyDescent="0.25">
      <c r="A1394" t="str">
        <f>"20190312151011311"</f>
        <v>20190312151011311</v>
      </c>
      <c r="B1394" t="str">
        <f>"1552374611302475"</f>
        <v>1552374611302475</v>
      </c>
      <c r="C1394" t="s">
        <v>40</v>
      </c>
      <c r="D1394">
        <v>5.5709790000000003</v>
      </c>
      <c r="E1394">
        <v>0.59311689999999995</v>
      </c>
      <c r="F1394" t="s">
        <v>42</v>
      </c>
      <c r="G1394">
        <v>-193.8563</v>
      </c>
      <c r="H1394" s="1">
        <v>-4.808324E-6</v>
      </c>
      <c r="I1394">
        <v>339.1062</v>
      </c>
      <c r="J1394">
        <v>-191.8501</v>
      </c>
      <c r="K1394">
        <v>1.10016</v>
      </c>
      <c r="L1394">
        <v>350.8263</v>
      </c>
      <c r="M1394">
        <v>0.2341664</v>
      </c>
      <c r="N1394">
        <v>0</v>
      </c>
      <c r="O1394">
        <v>-0.97206539999999997</v>
      </c>
      <c r="P1394">
        <v>7.5914289999999995E-2</v>
      </c>
      <c r="Q1394">
        <v>-2.1589449999999998E-3</v>
      </c>
      <c r="R1394">
        <v>-0.99711209999999995</v>
      </c>
      <c r="S1394">
        <v>-0.50086980000000003</v>
      </c>
      <c r="T1394">
        <v>-0.28093639999999998</v>
      </c>
      <c r="U1394">
        <v>-3.0545960000000001</v>
      </c>
      <c r="V1394">
        <v>0.16000239999999999</v>
      </c>
      <c r="W1394">
        <v>9.6818530000000007E-3</v>
      </c>
      <c r="X1394">
        <v>0.98706910000000003</v>
      </c>
      <c r="Y1394">
        <v>0.38780150000000002</v>
      </c>
      <c r="Z1394">
        <v>8.3604369999999997E-2</v>
      </c>
      <c r="AA1394">
        <v>0.91794350000000002</v>
      </c>
      <c r="AB1394">
        <v>25</v>
      </c>
      <c r="AC1394">
        <v>-2.0062000000000002</v>
      </c>
      <c r="AD1394">
        <v>-1.1001648083239901</v>
      </c>
      <c r="AE1394">
        <v>-11.7201</v>
      </c>
      <c r="AF1394">
        <v>4.65535659084453</v>
      </c>
      <c r="AG1394">
        <v>-1.1001648083239901</v>
      </c>
      <c r="AH1394">
        <v>10.831585568640699</v>
      </c>
      <c r="AI1394">
        <v>95.331188026348698</v>
      </c>
      <c r="AJ1394">
        <v>66.742229804922204</v>
      </c>
      <c r="AK1394">
        <v>11.840859492628899</v>
      </c>
      <c r="AL1394">
        <v>89.445261994579099</v>
      </c>
      <c r="AM1394">
        <v>80.792528767029495</v>
      </c>
      <c r="AN1394">
        <v>0.99999995722904</v>
      </c>
    </row>
    <row r="1395" spans="1:40" x14ac:dyDescent="0.25">
      <c r="A1395" t="str">
        <f>"20190312151011334"</f>
        <v>20190312151011334</v>
      </c>
      <c r="B1395" t="str">
        <f>"1552374611321995"</f>
        <v>1552374611321995</v>
      </c>
      <c r="C1395" t="s">
        <v>40</v>
      </c>
      <c r="D1395">
        <v>5.6457800000000002</v>
      </c>
      <c r="E1395">
        <v>0.59213470000000001</v>
      </c>
      <c r="F1395" t="s">
        <v>42</v>
      </c>
      <c r="G1395">
        <v>-193.9033</v>
      </c>
      <c r="H1395" s="1">
        <v>-4.7617800000000002E-6</v>
      </c>
      <c r="I1395">
        <v>338.94490000000002</v>
      </c>
      <c r="J1395">
        <v>-191.80629999999999</v>
      </c>
      <c r="K1395">
        <v>1.1003229999999999</v>
      </c>
      <c r="L1395">
        <v>350.57170000000002</v>
      </c>
      <c r="M1395">
        <v>0.21929499999999999</v>
      </c>
      <c r="N1395">
        <v>0</v>
      </c>
      <c r="O1395">
        <v>-0.97552870000000003</v>
      </c>
      <c r="P1395">
        <v>6.3846730000000004E-2</v>
      </c>
      <c r="Q1395">
        <v>-1.8398010000000001E-3</v>
      </c>
      <c r="R1395">
        <v>-0.99795829999999996</v>
      </c>
      <c r="S1395">
        <v>-0.52673340000000002</v>
      </c>
      <c r="T1395">
        <v>-0.28224949999999999</v>
      </c>
      <c r="U1395">
        <v>-3.048187</v>
      </c>
      <c r="V1395">
        <v>0.15687219999999999</v>
      </c>
      <c r="W1395">
        <v>1.010669E-2</v>
      </c>
      <c r="X1395">
        <v>0.98756719999999998</v>
      </c>
      <c r="Y1395">
        <v>0.38159120000000002</v>
      </c>
      <c r="Z1395">
        <v>8.4702949999999999E-2</v>
      </c>
      <c r="AA1395">
        <v>0.92044199999999998</v>
      </c>
      <c r="AB1395">
        <v>25</v>
      </c>
      <c r="AC1395">
        <v>-2.097</v>
      </c>
      <c r="AD1395">
        <v>-1.10032776177999</v>
      </c>
      <c r="AE1395">
        <v>-11.626799999999999</v>
      </c>
      <c r="AF1395">
        <v>4.5564425164422202</v>
      </c>
      <c r="AG1395">
        <v>-1.10032776177999</v>
      </c>
      <c r="AH1395">
        <v>10.7902002542709</v>
      </c>
      <c r="AI1395">
        <v>95.366750550728298</v>
      </c>
      <c r="AJ1395">
        <v>67.106833731828701</v>
      </c>
      <c r="AK1395">
        <v>11.7643661587122</v>
      </c>
      <c r="AL1395">
        <v>89.420919461464294</v>
      </c>
      <c r="AM1395">
        <v>80.974141306339106</v>
      </c>
      <c r="AN1395">
        <v>1.0000000034157099</v>
      </c>
    </row>
    <row r="1396" spans="1:40" x14ac:dyDescent="0.25">
      <c r="A1396" t="str">
        <f>"20190312151011356"</f>
        <v>20190312151011356</v>
      </c>
      <c r="B1396" t="str">
        <f>"1552374611352252"</f>
        <v>1552374611352252</v>
      </c>
      <c r="C1396" t="s">
        <v>40</v>
      </c>
      <c r="D1396">
        <v>5.6863910000000004</v>
      </c>
      <c r="E1396">
        <v>0.59117109999999995</v>
      </c>
      <c r="F1396" t="s">
        <v>42</v>
      </c>
      <c r="G1396">
        <v>-193.98439999999999</v>
      </c>
      <c r="H1396" s="1">
        <v>-4.6770430000000004E-6</v>
      </c>
      <c r="I1396">
        <v>338.65359999999998</v>
      </c>
      <c r="J1396">
        <v>-191.76759999999999</v>
      </c>
      <c r="K1396">
        <v>1.100498</v>
      </c>
      <c r="L1396">
        <v>350.32600000000002</v>
      </c>
      <c r="M1396">
        <v>0.20513770000000001</v>
      </c>
      <c r="N1396">
        <v>0</v>
      </c>
      <c r="O1396">
        <v>-0.97860460000000005</v>
      </c>
      <c r="P1396">
        <v>5.278911E-2</v>
      </c>
      <c r="Q1396">
        <v>-1.65535799999999E-3</v>
      </c>
      <c r="R1396">
        <v>-0.99860450000000001</v>
      </c>
      <c r="S1396">
        <v>-0.55578609999999995</v>
      </c>
      <c r="T1396">
        <v>-0.28076990000000002</v>
      </c>
      <c r="U1396">
        <v>-3.0411380000000001</v>
      </c>
      <c r="V1396">
        <v>0.15350039999999901</v>
      </c>
      <c r="W1396">
        <v>1.0400889999999999E-2</v>
      </c>
      <c r="X1396">
        <v>0.98809389999999997</v>
      </c>
      <c r="Y1396">
        <v>0.3770811</v>
      </c>
      <c r="Z1396">
        <v>8.4891289999999994E-2</v>
      </c>
      <c r="AA1396">
        <v>0.92228160000000003</v>
      </c>
      <c r="AB1396">
        <v>24</v>
      </c>
      <c r="AC1396">
        <v>-2.2168000000000001</v>
      </c>
      <c r="AD1396">
        <v>-1.100502677043</v>
      </c>
      <c r="AE1396">
        <v>-11.6723999999999</v>
      </c>
      <c r="AF1396">
        <v>4.5255660129053803</v>
      </c>
      <c r="AG1396">
        <v>-1.100502677043</v>
      </c>
      <c r="AH1396">
        <v>10.8759819796902</v>
      </c>
      <c r="AI1396">
        <v>95.337167067687801</v>
      </c>
      <c r="AJ1396">
        <v>67.407491381861107</v>
      </c>
      <c r="AK1396">
        <v>11.831265270540101</v>
      </c>
      <c r="AL1396">
        <v>89.404062186622994</v>
      </c>
      <c r="AM1396">
        <v>81.169684296500606</v>
      </c>
      <c r="AN1396">
        <v>1.0000000532650699</v>
      </c>
    </row>
    <row r="1397" spans="1:40" x14ac:dyDescent="0.25">
      <c r="A1397" t="str">
        <f>"20190312151011378"</f>
        <v>20190312151011378</v>
      </c>
      <c r="B1397" t="str">
        <f>"1552374611372278"</f>
        <v>1552374611372278</v>
      </c>
      <c r="C1397" t="s">
        <v>40</v>
      </c>
      <c r="D1397">
        <v>5.7014699999999996</v>
      </c>
      <c r="E1397">
        <v>0.56045849999999997</v>
      </c>
      <c r="F1397" t="s">
        <v>42</v>
      </c>
      <c r="G1397">
        <v>-194.04750000000001</v>
      </c>
      <c r="H1397" s="1">
        <v>-4.608422E-6</v>
      </c>
      <c r="I1397">
        <v>338.41910000000001</v>
      </c>
      <c r="J1397">
        <v>-191.73259999999999</v>
      </c>
      <c r="K1397">
        <v>1.100695</v>
      </c>
      <c r="L1397">
        <v>350.08280000000002</v>
      </c>
      <c r="M1397">
        <v>0.1913426</v>
      </c>
      <c r="N1397">
        <v>0</v>
      </c>
      <c r="O1397">
        <v>-0.98139580000000004</v>
      </c>
      <c r="P1397">
        <v>4.342149E-2</v>
      </c>
      <c r="Q1397">
        <v>-2.917897E-3</v>
      </c>
      <c r="R1397">
        <v>-0.99905279999999996</v>
      </c>
      <c r="S1397">
        <v>-0.58102419999999899</v>
      </c>
      <c r="T1397">
        <v>-0.28045789999999998</v>
      </c>
      <c r="U1397">
        <v>-3.034424</v>
      </c>
      <c r="V1397">
        <v>0.1488217</v>
      </c>
      <c r="W1397">
        <v>9.2803750000000004E-3</v>
      </c>
      <c r="X1397">
        <v>0.98882049999999999</v>
      </c>
      <c r="Y1397">
        <v>0.37180990000000003</v>
      </c>
      <c r="Z1397">
        <v>8.539803E-2</v>
      </c>
      <c r="AA1397">
        <v>0.92437259999999999</v>
      </c>
      <c r="AB1397">
        <v>24</v>
      </c>
      <c r="AC1397">
        <v>-2.3149000000000202</v>
      </c>
      <c r="AD1397">
        <v>-1.100699608422</v>
      </c>
      <c r="AE1397">
        <v>-11.6637</v>
      </c>
      <c r="AF1397">
        <v>4.4658951538196403</v>
      </c>
      <c r="AG1397">
        <v>-1.100699608422</v>
      </c>
      <c r="AH1397">
        <v>10.9116520663632</v>
      </c>
      <c r="AI1397">
        <v>95.333520856896698</v>
      </c>
      <c r="AJ1397">
        <v>67.7418121088578</v>
      </c>
      <c r="AK1397">
        <v>11.841448812128499</v>
      </c>
      <c r="AL1397">
        <v>89.468266048706994</v>
      </c>
      <c r="AM1397">
        <v>81.440980142717905</v>
      </c>
      <c r="AN1397">
        <v>1.0000000024856399</v>
      </c>
    </row>
    <row r="1398" spans="1:40" x14ac:dyDescent="0.25">
      <c r="A1398" t="str">
        <f>"20190312151011401"</f>
        <v>20190312151011401</v>
      </c>
      <c r="B1398" t="str">
        <f>"1552374611391798"</f>
        <v>1552374611391798</v>
      </c>
      <c r="C1398" t="s">
        <v>40</v>
      </c>
      <c r="D1398">
        <v>5.762931</v>
      </c>
      <c r="E1398">
        <v>0.55843609999999999</v>
      </c>
      <c r="F1398" t="s">
        <v>42</v>
      </c>
      <c r="G1398">
        <v>-193.09620000000001</v>
      </c>
      <c r="H1398" s="1">
        <v>-4.57268899999999E-6</v>
      </c>
      <c r="I1398">
        <v>338.81</v>
      </c>
      <c r="J1398">
        <v>-191.70009999999999</v>
      </c>
      <c r="K1398">
        <v>1.1009089999999999</v>
      </c>
      <c r="L1398">
        <v>349.83179999999999</v>
      </c>
      <c r="M1398">
        <v>0.1773853</v>
      </c>
      <c r="N1398">
        <v>0</v>
      </c>
      <c r="O1398">
        <v>-0.98401550000000004</v>
      </c>
      <c r="P1398">
        <v>3.492489E-2</v>
      </c>
      <c r="Q1398">
        <v>-3.5852309999999999E-3</v>
      </c>
      <c r="R1398">
        <v>-0.99938360000000004</v>
      </c>
      <c r="S1398">
        <v>-0.36505130000000002</v>
      </c>
      <c r="T1398">
        <v>-0.294666599999999</v>
      </c>
      <c r="U1398">
        <v>-3.0178219999999998</v>
      </c>
      <c r="V1398">
        <v>0.14316280000000001</v>
      </c>
      <c r="W1398">
        <v>8.7758999999999997E-3</v>
      </c>
      <c r="X1398">
        <v>0.98966030000000005</v>
      </c>
      <c r="Y1398">
        <v>0.29376809999999998</v>
      </c>
      <c r="Z1398">
        <v>9.2383119999999999E-2</v>
      </c>
      <c r="AA1398">
        <v>0.95140190000000002</v>
      </c>
      <c r="AB1398">
        <v>24</v>
      </c>
      <c r="AC1398">
        <v>-1.3961000000000101</v>
      </c>
      <c r="AD1398">
        <v>-1.10091357268899</v>
      </c>
      <c r="AE1398">
        <v>-11.021799999999899</v>
      </c>
      <c r="AF1398">
        <v>3.2969279869938601</v>
      </c>
      <c r="AG1398">
        <v>-1.10091357268899</v>
      </c>
      <c r="AH1398">
        <v>10.4962210856109</v>
      </c>
      <c r="AI1398">
        <v>95.714357149983002</v>
      </c>
      <c r="AJ1398">
        <v>72.562173509722598</v>
      </c>
      <c r="AK1398">
        <v>11.0567808119714</v>
      </c>
      <c r="AL1398">
        <v>89.497171542529401</v>
      </c>
      <c r="AM1398">
        <v>81.768775848335906</v>
      </c>
      <c r="AN1398">
        <v>1.00000005656036</v>
      </c>
    </row>
    <row r="1399" spans="1:40" x14ac:dyDescent="0.25">
      <c r="A1399" t="str">
        <f>"20190312151011424"</f>
        <v>20190312151011424</v>
      </c>
      <c r="B1399" t="str">
        <f>"1552374611412297"</f>
        <v>1552374611412297</v>
      </c>
      <c r="C1399" t="s">
        <v>40</v>
      </c>
      <c r="D1399">
        <v>5.8801350000000001</v>
      </c>
      <c r="E1399">
        <v>0.55705289999999996</v>
      </c>
      <c r="F1399" t="s">
        <v>42</v>
      </c>
      <c r="G1399">
        <v>-193.1644</v>
      </c>
      <c r="H1399" s="1">
        <v>-4.3198219999999999E-6</v>
      </c>
      <c r="I1399">
        <v>338.03140000000002</v>
      </c>
      <c r="J1399">
        <v>-191.67099999999999</v>
      </c>
      <c r="K1399">
        <v>1.1011139999999999</v>
      </c>
      <c r="L1399">
        <v>349.58199999999999</v>
      </c>
      <c r="M1399">
        <v>0.16372539999999999</v>
      </c>
      <c r="N1399">
        <v>0</v>
      </c>
      <c r="O1399">
        <v>-0.98638119999999996</v>
      </c>
      <c r="P1399">
        <v>2.5552950000000001E-2</v>
      </c>
      <c r="Q1399">
        <v>-3.4301520000000001E-3</v>
      </c>
      <c r="R1399">
        <v>-0.9996678</v>
      </c>
      <c r="S1399">
        <v>-0.37399290000000002</v>
      </c>
      <c r="T1399">
        <v>-0.2811825</v>
      </c>
      <c r="U1399">
        <v>-3.013916</v>
      </c>
      <c r="V1399">
        <v>0.1387178</v>
      </c>
      <c r="W1399">
        <v>9.0524560000000004E-3</v>
      </c>
      <c r="X1399">
        <v>0.99029060000000002</v>
      </c>
      <c r="Y1399">
        <v>0.28347440000000002</v>
      </c>
      <c r="Z1399">
        <v>8.8762309999999997E-2</v>
      </c>
      <c r="AA1399">
        <v>0.95486309999999996</v>
      </c>
      <c r="AB1399">
        <v>24</v>
      </c>
      <c r="AC1399">
        <v>-1.4934000000000001</v>
      </c>
      <c r="AD1399">
        <v>-1.101118319822</v>
      </c>
      <c r="AE1399">
        <v>-11.5505999999999</v>
      </c>
      <c r="AF1399">
        <v>3.33479468716757</v>
      </c>
      <c r="AG1399">
        <v>-1.101118319822</v>
      </c>
      <c r="AH1399">
        <v>11.051377939253801</v>
      </c>
      <c r="AI1399">
        <v>95.448848950407694</v>
      </c>
      <c r="AJ1399">
        <v>73.208614796440898</v>
      </c>
      <c r="AK1399">
        <v>11.5959592753698</v>
      </c>
      <c r="AL1399">
        <v>89.481325405144304</v>
      </c>
      <c r="AM1399">
        <v>82.026013679377201</v>
      </c>
      <c r="AN1399">
        <v>1.00000002372241</v>
      </c>
    </row>
    <row r="1400" spans="1:40" x14ac:dyDescent="0.25">
      <c r="A1400" t="str">
        <f>"20190312151011447"</f>
        <v>20190312151011447</v>
      </c>
      <c r="B1400" t="str">
        <f>"1552374611442550"</f>
        <v>1552374611442550</v>
      </c>
      <c r="C1400" t="s">
        <v>40</v>
      </c>
      <c r="D1400">
        <v>5.7256919999999996</v>
      </c>
      <c r="E1400">
        <v>0.55546870000000004</v>
      </c>
      <c r="F1400" t="s">
        <v>42</v>
      </c>
      <c r="G1400">
        <v>-193.20820000000001</v>
      </c>
      <c r="H1400" s="1">
        <v>-4.2298170000000004E-6</v>
      </c>
      <c r="I1400">
        <v>337.74400000000003</v>
      </c>
      <c r="J1400">
        <v>-191.6438</v>
      </c>
      <c r="K1400">
        <v>1.101326</v>
      </c>
      <c r="L1400">
        <v>349.31889999999999</v>
      </c>
      <c r="M1400">
        <v>0.14960670000000001</v>
      </c>
      <c r="N1400">
        <v>0</v>
      </c>
      <c r="O1400">
        <v>-0.98862190000000005</v>
      </c>
      <c r="P1400">
        <v>1.6205420000000002E-2</v>
      </c>
      <c r="Q1400">
        <v>-3.615414E-3</v>
      </c>
      <c r="R1400">
        <v>-0.99986240000000004</v>
      </c>
      <c r="S1400">
        <v>-0.39088440000000002</v>
      </c>
      <c r="T1400">
        <v>-0.2799816</v>
      </c>
      <c r="U1400">
        <v>-3.01004</v>
      </c>
      <c r="V1400">
        <v>0.13380739999999999</v>
      </c>
      <c r="W1400">
        <v>8.9938069999999995E-3</v>
      </c>
      <c r="X1400">
        <v>0.99096660000000003</v>
      </c>
      <c r="Y1400">
        <v>0.275180599999999</v>
      </c>
      <c r="Z1400">
        <v>8.8889640000000006E-2</v>
      </c>
      <c r="AA1400">
        <v>0.95727439999999997</v>
      </c>
      <c r="AB1400">
        <v>24</v>
      </c>
      <c r="AC1400">
        <v>-1.5644</v>
      </c>
      <c r="AD1400">
        <v>-1.101330229817</v>
      </c>
      <c r="AE1400">
        <v>-11.5748999999999</v>
      </c>
      <c r="AF1400">
        <v>3.2497905377765401</v>
      </c>
      <c r="AG1400">
        <v>-1.101330229817</v>
      </c>
      <c r="AH1400">
        <v>11.1117340935757</v>
      </c>
      <c r="AI1400">
        <v>95.434146749981494</v>
      </c>
      <c r="AJ1400">
        <v>73.697662493601399</v>
      </c>
      <c r="AK1400">
        <v>11.6294755419522</v>
      </c>
      <c r="AL1400">
        <v>89.484685898461194</v>
      </c>
      <c r="AM1400">
        <v>82.310024256483501</v>
      </c>
      <c r="AN1400">
        <v>1.0000000555873301</v>
      </c>
    </row>
    <row r="1401" spans="1:40" x14ac:dyDescent="0.25">
      <c r="A1401" t="str">
        <f>"20190312151011469"</f>
        <v>20190312151011469</v>
      </c>
      <c r="B1401" t="str">
        <f>"1552374611462070"</f>
        <v>1552374611462070</v>
      </c>
      <c r="C1401" t="s">
        <v>40</v>
      </c>
      <c r="D1401">
        <v>5.7027530000000004</v>
      </c>
      <c r="E1401">
        <v>0.55366749999999998</v>
      </c>
      <c r="F1401" t="s">
        <v>42</v>
      </c>
      <c r="G1401">
        <v>-193.1319</v>
      </c>
      <c r="H1401" s="1">
        <v>-4.4160349999999996E-6</v>
      </c>
      <c r="I1401">
        <v>338.33100000000002</v>
      </c>
      <c r="J1401">
        <v>-191.62139999999999</v>
      </c>
      <c r="K1401">
        <v>1.101526</v>
      </c>
      <c r="L1401">
        <v>349.07170000000002</v>
      </c>
      <c r="M1401">
        <v>0.13661129999999999</v>
      </c>
      <c r="N1401">
        <v>0</v>
      </c>
      <c r="O1401">
        <v>-0.99050229999999995</v>
      </c>
      <c r="P1401">
        <v>8.3040300000000004E-3</v>
      </c>
      <c r="Q1401">
        <v>-4.8370269999999998E-3</v>
      </c>
      <c r="R1401">
        <v>-0.99995389999999995</v>
      </c>
      <c r="S1401">
        <v>-0.40708919999999998</v>
      </c>
      <c r="T1401">
        <v>-0.301284</v>
      </c>
      <c r="U1401">
        <v>-3.00589</v>
      </c>
      <c r="V1401">
        <v>0.12859119999999999</v>
      </c>
      <c r="W1401">
        <v>7.8995039999999999E-3</v>
      </c>
      <c r="X1401">
        <v>0.99166620000000005</v>
      </c>
      <c r="Y1401">
        <v>0.26769989999999999</v>
      </c>
      <c r="Z1401">
        <v>9.6070210000000003E-2</v>
      </c>
      <c r="AA1401">
        <v>0.95870080000000002</v>
      </c>
      <c r="AB1401">
        <v>24</v>
      </c>
      <c r="AC1401">
        <v>-1.5105</v>
      </c>
      <c r="AD1401">
        <v>-1.1015304160349999</v>
      </c>
      <c r="AE1401">
        <v>-10.7407</v>
      </c>
      <c r="AF1401">
        <v>2.9335577887817399</v>
      </c>
      <c r="AG1401">
        <v>-1.1015304160349999</v>
      </c>
      <c r="AH1401">
        <v>10.327089660644701</v>
      </c>
      <c r="AI1401">
        <v>95.858318287413098</v>
      </c>
      <c r="AJ1401">
        <v>74.142042969307099</v>
      </c>
      <c r="AK1401">
        <v>10.7920299951662</v>
      </c>
      <c r="AL1401">
        <v>89.547387042066305</v>
      </c>
      <c r="AM1401">
        <v>82.611577263675798</v>
      </c>
      <c r="AN1401">
        <v>0.99999997555166198</v>
      </c>
    </row>
    <row r="1402" spans="1:40" x14ac:dyDescent="0.25">
      <c r="A1402" t="str">
        <f>"20190312151011491"</f>
        <v>20190312151011491</v>
      </c>
      <c r="B1402" t="str">
        <f>"1552374611482567"</f>
        <v>1552374611482567</v>
      </c>
      <c r="C1402" t="s">
        <v>40</v>
      </c>
      <c r="D1402">
        <v>5.0163140000000004</v>
      </c>
      <c r="E1402">
        <v>0.52080349999999997</v>
      </c>
      <c r="F1402" t="s">
        <v>42</v>
      </c>
      <c r="G1402">
        <v>-193.096</v>
      </c>
      <c r="H1402" s="1">
        <v>-4.4491719999999998E-6</v>
      </c>
      <c r="I1402">
        <v>338.44709999999998</v>
      </c>
      <c r="J1402">
        <v>-191.60290000000001</v>
      </c>
      <c r="K1402">
        <v>1.1017269999999999</v>
      </c>
      <c r="L1402">
        <v>348.83800000000002</v>
      </c>
      <c r="M1402">
        <v>0.1246028</v>
      </c>
      <c r="N1402">
        <v>0</v>
      </c>
      <c r="O1402">
        <v>-0.99208549999999995</v>
      </c>
      <c r="P1402">
        <v>1.554878E-3</v>
      </c>
      <c r="Q1402">
        <v>-4.5662589999999996E-3</v>
      </c>
      <c r="R1402">
        <v>-0.99998860000000001</v>
      </c>
      <c r="S1402">
        <v>-0.41668699999999997</v>
      </c>
      <c r="T1402">
        <v>-0.31124970000000002</v>
      </c>
      <c r="U1402">
        <v>-3.0021059999999999</v>
      </c>
      <c r="V1402">
        <v>0.12327100000000001</v>
      </c>
      <c r="W1402">
        <v>8.2947909999999993E-3</v>
      </c>
      <c r="X1402">
        <v>0.99233839999999995</v>
      </c>
      <c r="Y1402">
        <v>0.25914179999999998</v>
      </c>
      <c r="Z1402">
        <v>9.9680749999999999E-2</v>
      </c>
      <c r="AA1402">
        <v>0.96068169999999997</v>
      </c>
      <c r="AB1402">
        <v>24</v>
      </c>
      <c r="AC1402">
        <v>-1.4930999999999699</v>
      </c>
      <c r="AD1402">
        <v>-1.1017314491720001</v>
      </c>
      <c r="AE1402">
        <v>-10.3909</v>
      </c>
      <c r="AF1402">
        <v>2.7461046902043802</v>
      </c>
      <c r="AG1402">
        <v>-1.1017314491720001</v>
      </c>
      <c r="AH1402">
        <v>10.0135389875739</v>
      </c>
      <c r="AI1402">
        <v>96.056793506847001</v>
      </c>
      <c r="AJ1402">
        <v>74.664283718313897</v>
      </c>
      <c r="AK1402">
        <v>10.441545202283001</v>
      </c>
      <c r="AL1402">
        <v>89.524738043943501</v>
      </c>
      <c r="AM1402">
        <v>82.918836139917104</v>
      </c>
      <c r="AN1402">
        <v>1.00000002155664</v>
      </c>
    </row>
    <row r="1403" spans="1:40" x14ac:dyDescent="0.25">
      <c r="A1403" t="str">
        <f>"20190312151011513"</f>
        <v>20190312151011513</v>
      </c>
      <c r="B1403" t="str">
        <f>"1552374611502086"</f>
        <v>1552374611502086</v>
      </c>
      <c r="C1403" t="s">
        <v>40</v>
      </c>
      <c r="D1403">
        <v>5.608835</v>
      </c>
      <c r="E1403">
        <v>0.52032520000000004</v>
      </c>
      <c r="F1403" t="s">
        <v>42</v>
      </c>
      <c r="G1403">
        <v>-192.4623</v>
      </c>
      <c r="H1403" s="1">
        <v>-2.4094679999999999E-6</v>
      </c>
      <c r="I1403">
        <v>333.67840000000001</v>
      </c>
      <c r="J1403">
        <v>-191.58580000000001</v>
      </c>
      <c r="K1403">
        <v>1.10197099999999</v>
      </c>
      <c r="L1403">
        <v>348.58600000000001</v>
      </c>
      <c r="M1403">
        <v>0.1119671</v>
      </c>
      <c r="N1403">
        <v>0</v>
      </c>
      <c r="O1403">
        <v>-0.99359180000000002</v>
      </c>
      <c r="P1403">
        <v>-6.0787080000000004E-3</v>
      </c>
      <c r="Q1403">
        <v>-4.88114E-3</v>
      </c>
      <c r="R1403">
        <v>-0.99996949999999996</v>
      </c>
      <c r="S1403">
        <v>-0.1700439</v>
      </c>
      <c r="T1403">
        <v>-0.21797739999999999</v>
      </c>
      <c r="U1403">
        <v>-2.9993289999999999</v>
      </c>
      <c r="V1403">
        <v>0.1182034</v>
      </c>
      <c r="W1403">
        <v>8.0950029999999999E-3</v>
      </c>
      <c r="X1403">
        <v>0.99295639999999996</v>
      </c>
      <c r="Y1403">
        <v>0.1679013</v>
      </c>
      <c r="Z1403">
        <v>7.1228570000000005E-2</v>
      </c>
      <c r="AA1403">
        <v>0.98322710000000002</v>
      </c>
      <c r="AB1403">
        <v>24</v>
      </c>
      <c r="AC1403">
        <v>-0.87649999999999195</v>
      </c>
      <c r="AD1403">
        <v>-1.1019734094679901</v>
      </c>
      <c r="AE1403">
        <v>-14.9076</v>
      </c>
      <c r="AF1403">
        <v>2.5265889336276999</v>
      </c>
      <c r="AG1403">
        <v>-1.1019734094679901</v>
      </c>
      <c r="AH1403">
        <v>14.6359879144442</v>
      </c>
      <c r="AI1403">
        <v>94.243264663145993</v>
      </c>
      <c r="AJ1403">
        <v>80.205645614201202</v>
      </c>
      <c r="AK1403">
        <v>14.8932917538891</v>
      </c>
      <c r="AL1403">
        <v>89.536185423858797</v>
      </c>
      <c r="AM1403">
        <v>83.211349461268796</v>
      </c>
      <c r="AN1403">
        <v>0.99999999257304495</v>
      </c>
    </row>
    <row r="1404" spans="1:40" x14ac:dyDescent="0.25">
      <c r="A1404" t="str">
        <f>"20190312151011535"</f>
        <v>20190312151011535</v>
      </c>
      <c r="B1404" t="str">
        <f>"1552374611532343"</f>
        <v>1552374611532343</v>
      </c>
      <c r="C1404" t="s">
        <v>40</v>
      </c>
      <c r="D1404">
        <v>5.5755660000000002</v>
      </c>
      <c r="E1404">
        <v>0.51979679999999995</v>
      </c>
      <c r="F1404" t="s">
        <v>42</v>
      </c>
      <c r="G1404">
        <v>-192.55959999999999</v>
      </c>
      <c r="H1404" s="1">
        <v>-2.1884929999999999E-6</v>
      </c>
      <c r="I1404">
        <v>333.10300000000001</v>
      </c>
      <c r="J1404">
        <v>-191.57230000000001</v>
      </c>
      <c r="K1404">
        <v>1.102231</v>
      </c>
      <c r="L1404">
        <v>348.34870000000001</v>
      </c>
      <c r="M1404">
        <v>0.1003882</v>
      </c>
      <c r="N1404">
        <v>0</v>
      </c>
      <c r="O1404">
        <v>-0.99482939999999997</v>
      </c>
      <c r="P1404">
        <v>-1.1152759999999999E-2</v>
      </c>
      <c r="Q1404">
        <v>-5.4406659999999898E-3</v>
      </c>
      <c r="R1404">
        <v>-0.99992320000000001</v>
      </c>
      <c r="S1404">
        <v>-0.1885529</v>
      </c>
      <c r="T1404">
        <v>-0.2133671</v>
      </c>
      <c r="U1404">
        <v>-2.9978639999999999</v>
      </c>
      <c r="V1404">
        <v>0.1116588</v>
      </c>
      <c r="W1404">
        <v>7.6773060000000001E-3</v>
      </c>
      <c r="X1404">
        <v>0.99371699999999996</v>
      </c>
      <c r="Y1404">
        <v>0.16250049999999999</v>
      </c>
      <c r="Z1404">
        <v>6.9914450000000003E-2</v>
      </c>
      <c r="AA1404">
        <v>0.9842284</v>
      </c>
      <c r="AB1404">
        <v>24</v>
      </c>
      <c r="AC1404">
        <v>-0.98729999999997597</v>
      </c>
      <c r="AD1404">
        <v>-1.1022331884929999</v>
      </c>
      <c r="AE1404">
        <v>-15.245699999999999</v>
      </c>
      <c r="AF1404">
        <v>2.4999680911509299</v>
      </c>
      <c r="AG1404">
        <v>-1.1022331884929999</v>
      </c>
      <c r="AH1404">
        <v>14.991507397831599</v>
      </c>
      <c r="AI1404">
        <v>94.147964582447798</v>
      </c>
      <c r="AJ1404">
        <v>80.532533109591895</v>
      </c>
      <c r="AK1404">
        <v>15.238439963389499</v>
      </c>
      <c r="AL1404">
        <v>89.560118469954602</v>
      </c>
      <c r="AM1404">
        <v>83.5888636401599</v>
      </c>
      <c r="AN1404">
        <v>1.0000000523669199</v>
      </c>
    </row>
    <row r="1405" spans="1:40" x14ac:dyDescent="0.25">
      <c r="A1405" t="str">
        <f>"20190312151011559"</f>
        <v>20190312151011559</v>
      </c>
      <c r="B1405" t="str">
        <f>"1552374611551862"</f>
        <v>1552374611551862</v>
      </c>
      <c r="C1405" t="s">
        <v>40</v>
      </c>
      <c r="D1405">
        <v>5.738022</v>
      </c>
      <c r="E1405">
        <v>0.51945920000000001</v>
      </c>
      <c r="F1405" t="s">
        <v>42</v>
      </c>
      <c r="G1405">
        <v>-192.68090000000001</v>
      </c>
      <c r="H1405" s="1">
        <v>-1.5890599999999999E-6</v>
      </c>
      <c r="I1405">
        <v>331.63049999999998</v>
      </c>
      <c r="J1405">
        <v>-191.56030000000001</v>
      </c>
      <c r="K1405">
        <v>1.102527</v>
      </c>
      <c r="L1405">
        <v>348.08859999999999</v>
      </c>
      <c r="M1405">
        <v>8.8065909999999997E-2</v>
      </c>
      <c r="N1405">
        <v>0</v>
      </c>
      <c r="O1405">
        <v>-0.99599720000000003</v>
      </c>
      <c r="P1405">
        <v>-1.702799E-2</v>
      </c>
      <c r="Q1405">
        <v>-5.6754689999999998E-3</v>
      </c>
      <c r="R1405">
        <v>-0.99983929999999999</v>
      </c>
      <c r="S1405">
        <v>-0.1987305</v>
      </c>
      <c r="T1405">
        <v>-0.1975895</v>
      </c>
      <c r="U1405">
        <v>-2.9969480000000002</v>
      </c>
      <c r="V1405">
        <v>0.10518379999999999</v>
      </c>
      <c r="W1405">
        <v>7.5766969999999899E-3</v>
      </c>
      <c r="X1405">
        <v>0.99442390000000003</v>
      </c>
      <c r="Y1405">
        <v>0.15365029999999999</v>
      </c>
      <c r="Z1405">
        <v>6.4942009999999994E-2</v>
      </c>
      <c r="AA1405">
        <v>0.98598889999999995</v>
      </c>
      <c r="AB1405">
        <v>24</v>
      </c>
      <c r="AC1405">
        <v>-1.12059999999999</v>
      </c>
      <c r="AD1405">
        <v>-1.1025285890600001</v>
      </c>
      <c r="AE1405">
        <v>-16.458100000000002</v>
      </c>
      <c r="AF1405">
        <v>2.5544018003529101</v>
      </c>
      <c r="AG1405">
        <v>-1.1025285890600001</v>
      </c>
      <c r="AH1405">
        <v>16.222974019337901</v>
      </c>
      <c r="AI1405">
        <v>93.8407223028575</v>
      </c>
      <c r="AJ1405">
        <v>81.051910990351999</v>
      </c>
      <c r="AK1405">
        <v>16.459812388950599</v>
      </c>
      <c r="AL1405">
        <v>89.565883070697694</v>
      </c>
      <c r="AM1405">
        <v>83.962069672133396</v>
      </c>
      <c r="AN1405">
        <v>0.99999996550553905</v>
      </c>
    </row>
    <row r="1406" spans="1:40" x14ac:dyDescent="0.25">
      <c r="A1406" t="str">
        <f>"20190312151011591"</f>
        <v>20190312151011591</v>
      </c>
      <c r="B1406" t="str">
        <f>"1552374611581650"</f>
        <v>1552374611581650</v>
      </c>
      <c r="C1406" t="s">
        <v>40</v>
      </c>
      <c r="D1406">
        <v>5.5776899999999996</v>
      </c>
      <c r="E1406">
        <v>0.51894669999999998</v>
      </c>
      <c r="F1406" t="s">
        <v>42</v>
      </c>
      <c r="G1406">
        <v>-192.77770000000001</v>
      </c>
      <c r="H1406" s="1">
        <v>-1.3545830000000001E-6</v>
      </c>
      <c r="I1406">
        <v>331.02390000000003</v>
      </c>
      <c r="J1406">
        <v>-191.54839999999999</v>
      </c>
      <c r="K1406">
        <v>1.102932</v>
      </c>
      <c r="L1406">
        <v>347.72890000000001</v>
      </c>
      <c r="M1406">
        <v>7.1689550000000005E-2</v>
      </c>
      <c r="N1406">
        <v>0</v>
      </c>
      <c r="O1406">
        <v>-0.99731119999999995</v>
      </c>
      <c r="P1406">
        <v>-2.521847E-2</v>
      </c>
      <c r="Q1406">
        <v>-4.2226219999999997E-3</v>
      </c>
      <c r="R1406">
        <v>-0.99967300000000003</v>
      </c>
      <c r="S1406">
        <v>-0.2137299</v>
      </c>
      <c r="T1406">
        <v>-0.19355140000000001</v>
      </c>
      <c r="U1406">
        <v>-2.9957579999999999</v>
      </c>
      <c r="V1406">
        <v>9.7005939999999999E-2</v>
      </c>
      <c r="W1406">
        <v>9.1807209999999993E-3</v>
      </c>
      <c r="X1406">
        <v>0.9952415</v>
      </c>
      <c r="Y1406">
        <v>0.14235</v>
      </c>
      <c r="Z1406">
        <v>6.3815910000000003E-2</v>
      </c>
      <c r="AA1406">
        <v>0.98775710000000005</v>
      </c>
      <c r="AB1406">
        <v>24</v>
      </c>
      <c r="AC1406">
        <v>-1.22930000000002</v>
      </c>
      <c r="AD1406">
        <v>-1.102933354583</v>
      </c>
      <c r="AE1406">
        <v>-16.704999999999899</v>
      </c>
      <c r="AF1406">
        <v>2.41338480251384</v>
      </c>
      <c r="AG1406">
        <v>-1.102933354583</v>
      </c>
      <c r="AH1406">
        <v>16.5023205947852</v>
      </c>
      <c r="AI1406">
        <v>93.783551637831195</v>
      </c>
      <c r="AJ1406">
        <v>81.679750858346907</v>
      </c>
      <c r="AK1406">
        <v>16.714289491412</v>
      </c>
      <c r="AL1406">
        <v>89.473976065656998</v>
      </c>
      <c r="AM1406">
        <v>84.432979814413102</v>
      </c>
      <c r="AN1406">
        <v>1.0000000406778</v>
      </c>
    </row>
    <row r="1407" spans="1:40" x14ac:dyDescent="0.25">
      <c r="A1407" t="str">
        <f>"20190312151011626"</f>
        <v>20190312151011626</v>
      </c>
      <c r="B1407" t="str">
        <f>"1552374611621667"</f>
        <v>1552374611621667</v>
      </c>
      <c r="C1407" t="s">
        <v>40</v>
      </c>
      <c r="D1407">
        <v>5.5519869999999996</v>
      </c>
      <c r="E1407">
        <v>0.51818969999999998</v>
      </c>
      <c r="F1407" t="s">
        <v>42</v>
      </c>
      <c r="G1407">
        <v>-193.05250000000001</v>
      </c>
      <c r="H1407" s="1">
        <v>-4.43838E-6</v>
      </c>
      <c r="I1407">
        <v>328.43799999999999</v>
      </c>
      <c r="J1407">
        <v>-191.54140000000001</v>
      </c>
      <c r="K1407">
        <v>1.103316</v>
      </c>
      <c r="L1407">
        <v>347.34899999999999</v>
      </c>
      <c r="M1407">
        <v>5.5096350000000002E-2</v>
      </c>
      <c r="N1407">
        <v>0</v>
      </c>
      <c r="O1407">
        <v>-0.99836709999999995</v>
      </c>
      <c r="P1407">
        <v>-3.3191190000000002E-2</v>
      </c>
      <c r="Q1407">
        <v>-3.24501E-3</v>
      </c>
      <c r="R1407">
        <v>-0.999444</v>
      </c>
      <c r="S1407">
        <v>-0.23347470000000001</v>
      </c>
      <c r="T1407">
        <v>-0.1711992</v>
      </c>
      <c r="U1407">
        <v>-2.994354</v>
      </c>
      <c r="V1407">
        <v>8.8398710000000005E-2</v>
      </c>
      <c r="W1407">
        <v>1.0294080000000001E-2</v>
      </c>
      <c r="X1407">
        <v>0.99603200000000003</v>
      </c>
      <c r="Y1407">
        <v>0.1324282</v>
      </c>
      <c r="Z1407">
        <v>5.6613570000000002E-2</v>
      </c>
      <c r="AA1407">
        <v>0.98957450000000002</v>
      </c>
      <c r="AB1407">
        <v>24</v>
      </c>
      <c r="AC1407">
        <v>-1.5110999999999899</v>
      </c>
      <c r="AD1407">
        <v>-1.1033204383799999</v>
      </c>
      <c r="AE1407">
        <v>-18.910999999999898</v>
      </c>
      <c r="AF1407">
        <v>2.54225119014751</v>
      </c>
      <c r="AG1407">
        <v>-1.1033204383799999</v>
      </c>
      <c r="AH1407">
        <v>18.735633631574</v>
      </c>
      <c r="AI1407">
        <v>93.339657547171996</v>
      </c>
      <c r="AJ1407">
        <v>82.272690087305307</v>
      </c>
      <c r="AK1407">
        <v>18.939491141002701</v>
      </c>
      <c r="AL1407">
        <v>89.410182258023198</v>
      </c>
      <c r="AM1407">
        <v>84.928237945880099</v>
      </c>
      <c r="AN1407">
        <v>1.0000000225183501</v>
      </c>
    </row>
    <row r="1408" spans="1:40" x14ac:dyDescent="0.25">
      <c r="A1408" t="str">
        <f>"20190312151011650"</f>
        <v>20190312151011650</v>
      </c>
      <c r="B1408" t="str">
        <f>"1552374611642162"</f>
        <v>1552374611642162</v>
      </c>
      <c r="C1408" t="s">
        <v>40</v>
      </c>
      <c r="D1408">
        <v>5.5634560000000004</v>
      </c>
      <c r="E1408">
        <v>0.51783639999999997</v>
      </c>
      <c r="F1408" t="s">
        <v>42</v>
      </c>
      <c r="G1408">
        <v>-193.3398</v>
      </c>
      <c r="H1408" s="1">
        <v>-3.5797900000000002E-6</v>
      </c>
      <c r="I1408">
        <v>325.8623</v>
      </c>
      <c r="J1408">
        <v>-191.53970000000001</v>
      </c>
      <c r="K1408">
        <v>1.1035539999999999</v>
      </c>
      <c r="L1408">
        <v>347.0915</v>
      </c>
      <c r="M1408">
        <v>4.4291619999999997E-2</v>
      </c>
      <c r="N1408">
        <v>0</v>
      </c>
      <c r="O1408">
        <v>-0.99890590000000001</v>
      </c>
      <c r="P1408">
        <v>-3.8765630000000002E-2</v>
      </c>
      <c r="Q1408">
        <v>-2.5840049999999999E-3</v>
      </c>
      <c r="R1408">
        <v>-0.99924519999999994</v>
      </c>
      <c r="S1408">
        <v>-0.25050349999999999</v>
      </c>
      <c r="T1408">
        <v>-0.15368019999999999</v>
      </c>
      <c r="U1408">
        <v>-2.9928590000000002</v>
      </c>
      <c r="V1408">
        <v>8.3181359999999996E-2</v>
      </c>
      <c r="W1408">
        <v>1.1025989999999999E-2</v>
      </c>
      <c r="X1408">
        <v>0.99647339999999995</v>
      </c>
      <c r="Y1408">
        <v>0.12736069999999999</v>
      </c>
      <c r="Z1408">
        <v>5.0908250000000002E-2</v>
      </c>
      <c r="AA1408">
        <v>0.99054909999999996</v>
      </c>
      <c r="AB1408">
        <v>24</v>
      </c>
      <c r="AC1408">
        <v>-1.80009999999998</v>
      </c>
      <c r="AD1408">
        <v>-1.1035575797899999</v>
      </c>
      <c r="AE1408">
        <v>-21.229199999999899</v>
      </c>
      <c r="AF1408">
        <v>2.7313864896023401</v>
      </c>
      <c r="AG1408">
        <v>-1.1035575797899999</v>
      </c>
      <c r="AH1408">
        <v>21.072088388704302</v>
      </c>
      <c r="AI1408">
        <v>92.973047921727996</v>
      </c>
      <c r="AJ1408">
        <v>82.614439588071903</v>
      </c>
      <c r="AK1408">
        <v>21.277011551175601</v>
      </c>
      <c r="AL1408">
        <v>89.3682444905061</v>
      </c>
      <c r="AM1408">
        <v>85.228255058285498</v>
      </c>
      <c r="AN1408">
        <v>0.99999997400724405</v>
      </c>
    </row>
    <row r="1409" spans="1:40" x14ac:dyDescent="0.25">
      <c r="A1409" t="str">
        <f>"20190312151011671"</f>
        <v>20190312151011671</v>
      </c>
      <c r="B1409" t="str">
        <f>"1552374611661682"</f>
        <v>1552374611661682</v>
      </c>
      <c r="C1409" t="s">
        <v>40</v>
      </c>
      <c r="D1409">
        <v>5.6301779999999999</v>
      </c>
      <c r="E1409">
        <v>0.51735070000000005</v>
      </c>
      <c r="F1409" t="s">
        <v>42</v>
      </c>
      <c r="G1409">
        <v>-193.48079999999999</v>
      </c>
      <c r="H1409" s="1">
        <v>-3.296027E-6</v>
      </c>
      <c r="I1409">
        <v>325.11329999999998</v>
      </c>
      <c r="J1409">
        <v>-191.5402</v>
      </c>
      <c r="K1409">
        <v>1.103772</v>
      </c>
      <c r="L1409">
        <v>346.85890000000001</v>
      </c>
      <c r="M1409">
        <v>3.4819699999999898E-2</v>
      </c>
      <c r="N1409">
        <v>0</v>
      </c>
      <c r="O1409">
        <v>-0.99928189999999995</v>
      </c>
      <c r="P1409">
        <v>-4.2485929999999998E-2</v>
      </c>
      <c r="Q1409">
        <v>-1.3032439999999901E-3</v>
      </c>
      <c r="R1409">
        <v>-0.9990966</v>
      </c>
      <c r="S1409">
        <v>-0.26422119999999999</v>
      </c>
      <c r="T1409">
        <v>-0.1502116</v>
      </c>
      <c r="U1409">
        <v>-2.9915769999999999</v>
      </c>
      <c r="V1409">
        <v>7.7457360000000003E-2</v>
      </c>
      <c r="W1409">
        <v>1.2382489999999999E-2</v>
      </c>
      <c r="X1409">
        <v>0.99691879999999999</v>
      </c>
      <c r="Y1409">
        <v>0.122505</v>
      </c>
      <c r="Z1409">
        <v>4.9817069999999998E-2</v>
      </c>
      <c r="AA1409">
        <v>0.99121680000000001</v>
      </c>
      <c r="AB1409">
        <v>24</v>
      </c>
      <c r="AC1409">
        <v>-1.9405999999999799</v>
      </c>
      <c r="AD1409">
        <v>-1.103775296027</v>
      </c>
      <c r="AE1409">
        <v>-21.7456</v>
      </c>
      <c r="AF1409">
        <v>2.6898074394828302</v>
      </c>
      <c r="AG1409">
        <v>-1.103775296027</v>
      </c>
      <c r="AH1409">
        <v>21.609596351207401</v>
      </c>
      <c r="AI1409">
        <v>92.901660292276404</v>
      </c>
      <c r="AJ1409">
        <v>82.904725960861697</v>
      </c>
      <c r="AK1409">
        <v>21.8043123814472</v>
      </c>
      <c r="AL1409">
        <v>89.290517474150803</v>
      </c>
      <c r="AM1409">
        <v>85.557229285741201</v>
      </c>
      <c r="AN1409">
        <v>1.0000000312351001</v>
      </c>
    </row>
    <row r="1410" spans="1:40" x14ac:dyDescent="0.25">
      <c r="A1410" t="str">
        <f>"20190312151011692"</f>
        <v>20190312151011692</v>
      </c>
      <c r="B1410" t="str">
        <f>"1552374611682178"</f>
        <v>1552374611682178</v>
      </c>
      <c r="C1410" t="s">
        <v>40</v>
      </c>
      <c r="D1410">
        <v>5.7107320000000001</v>
      </c>
      <c r="E1410">
        <v>0.51685199999999998</v>
      </c>
      <c r="F1410" t="s">
        <v>42</v>
      </c>
      <c r="G1410">
        <v>-193.59899999999999</v>
      </c>
      <c r="H1410" s="1">
        <v>-2.9201600000000002E-6</v>
      </c>
      <c r="I1410">
        <v>324.16390000000001</v>
      </c>
      <c r="J1410">
        <v>-191.5428</v>
      </c>
      <c r="K1410">
        <v>1.104001</v>
      </c>
      <c r="L1410">
        <v>346.6191</v>
      </c>
      <c r="M1410">
        <v>2.5369659999999999E-2</v>
      </c>
      <c r="N1410">
        <v>0</v>
      </c>
      <c r="O1410">
        <v>-0.99956739999999999</v>
      </c>
      <c r="P1410">
        <v>-4.5664719999999999E-2</v>
      </c>
      <c r="Q1410">
        <v>-2.9222779999999999E-4</v>
      </c>
      <c r="R1410">
        <v>-0.99895719999999999</v>
      </c>
      <c r="S1410">
        <v>-0.27133180000000001</v>
      </c>
      <c r="T1410">
        <v>-0.14546729999999899</v>
      </c>
      <c r="U1410">
        <v>-2.9909970000000001</v>
      </c>
      <c r="V1410">
        <v>7.1209300000000003E-2</v>
      </c>
      <c r="W1410">
        <v>1.3472929999999999E-2</v>
      </c>
      <c r="X1410">
        <v>0.99737039999999999</v>
      </c>
      <c r="Y1410">
        <v>0.11547929999999999</v>
      </c>
      <c r="Z1410">
        <v>4.8292719999999997E-2</v>
      </c>
      <c r="AA1410">
        <v>0.99213519999999999</v>
      </c>
      <c r="AB1410">
        <v>24</v>
      </c>
      <c r="AC1410">
        <v>-2.0562000000000098</v>
      </c>
      <c r="AD1410">
        <v>-1.10400392016</v>
      </c>
      <c r="AE1410">
        <v>-22.455199999999898</v>
      </c>
      <c r="AF1410">
        <v>2.6190039623312802</v>
      </c>
      <c r="AG1410">
        <v>-1.10400392016</v>
      </c>
      <c r="AH1410">
        <v>22.342244097563</v>
      </c>
      <c r="AI1410">
        <v>92.809665593640105</v>
      </c>
      <c r="AJ1410">
        <v>83.314182369382195</v>
      </c>
      <c r="AK1410">
        <v>22.522297345642301</v>
      </c>
      <c r="AL1410">
        <v>89.228034617249193</v>
      </c>
      <c r="AM1410">
        <v>85.916180347889394</v>
      </c>
      <c r="AN1410">
        <v>0.99999999952271701</v>
      </c>
    </row>
    <row r="1411" spans="1:40" x14ac:dyDescent="0.25">
      <c r="A1411" t="str">
        <f>"20190312151011714"</f>
        <v>20190312151011714</v>
      </c>
      <c r="B1411" t="str">
        <f>"1552374611701698"</f>
        <v>1552374611701698</v>
      </c>
      <c r="C1411" t="s">
        <v>40</v>
      </c>
      <c r="D1411">
        <v>5.4687010000000003</v>
      </c>
      <c r="E1411">
        <v>0.51658110000000002</v>
      </c>
      <c r="F1411" t="s">
        <v>42</v>
      </c>
      <c r="G1411">
        <v>-193.69579999999999</v>
      </c>
      <c r="H1411" s="1">
        <v>-2.6052870000000001E-6</v>
      </c>
      <c r="I1411">
        <v>323.36989999999997</v>
      </c>
      <c r="J1411">
        <v>-191.5471</v>
      </c>
      <c r="K1411">
        <v>1.104252</v>
      </c>
      <c r="L1411">
        <v>346.3861</v>
      </c>
      <c r="M1411">
        <v>1.6505829999999999E-2</v>
      </c>
      <c r="N1411">
        <v>0</v>
      </c>
      <c r="O1411">
        <v>-0.99975400000000003</v>
      </c>
      <c r="P1411">
        <v>-5.1243379999999998E-2</v>
      </c>
      <c r="Q1411">
        <v>-5.6541969999999997E-4</v>
      </c>
      <c r="R1411">
        <v>-0.99868630000000003</v>
      </c>
      <c r="S1411">
        <v>-0.27693179999999901</v>
      </c>
      <c r="T1411">
        <v>-0.1420015</v>
      </c>
      <c r="U1411">
        <v>-2.9904169999999999</v>
      </c>
      <c r="V1411">
        <v>6.7922919999999998E-2</v>
      </c>
      <c r="W1411">
        <v>1.3230240000000001E-2</v>
      </c>
      <c r="X1411">
        <v>0.99760280000000001</v>
      </c>
      <c r="Y1411">
        <v>0.1085338</v>
      </c>
      <c r="Z1411">
        <v>4.7181540000000001E-2</v>
      </c>
      <c r="AA1411">
        <v>0.99297250000000004</v>
      </c>
      <c r="AB1411">
        <v>24</v>
      </c>
      <c r="AC1411">
        <v>-2.1486999999999901</v>
      </c>
      <c r="AD1411">
        <v>-1.1042546052869999</v>
      </c>
      <c r="AE1411">
        <v>-23.016200000000001</v>
      </c>
      <c r="AF1411">
        <v>2.52259401594273</v>
      </c>
      <c r="AG1411">
        <v>-1.1042546052869999</v>
      </c>
      <c r="AH1411">
        <v>22.925279919343598</v>
      </c>
      <c r="AI1411">
        <v>92.741146795781802</v>
      </c>
      <c r="AJ1411">
        <v>83.720693372615898</v>
      </c>
      <c r="AK1411">
        <v>23.0900696876997</v>
      </c>
      <c r="AL1411">
        <v>89.2419409354045</v>
      </c>
      <c r="AM1411">
        <v>86.104963105919197</v>
      </c>
      <c r="AN1411">
        <v>0.99999995443981005</v>
      </c>
    </row>
    <row r="1412" spans="1:40" x14ac:dyDescent="0.25">
      <c r="A1412" t="str">
        <f>"20190312151011736"</f>
        <v>20190312151011736</v>
      </c>
      <c r="B1412" t="str">
        <f>"1552374611731955"</f>
        <v>1552374611731955</v>
      </c>
      <c r="C1412" t="s">
        <v>40</v>
      </c>
      <c r="D1412">
        <v>5.5884419999999997</v>
      </c>
      <c r="E1412">
        <v>0.51571359999999999</v>
      </c>
      <c r="F1412" t="s">
        <v>42</v>
      </c>
      <c r="G1412">
        <v>-193.7208</v>
      </c>
      <c r="H1412" s="1">
        <v>-2.9307129999999999E-6</v>
      </c>
      <c r="I1412">
        <v>324.11290000000002</v>
      </c>
      <c r="J1412">
        <v>-191.55330000000001</v>
      </c>
      <c r="K1412">
        <v>1.1045290000000001</v>
      </c>
      <c r="L1412">
        <v>346.1438</v>
      </c>
      <c r="M1412">
        <v>7.6313290000000001E-3</v>
      </c>
      <c r="N1412">
        <v>0</v>
      </c>
      <c r="O1412">
        <v>-0.99986220000000003</v>
      </c>
      <c r="P1412">
        <v>-5.3828540000000001E-2</v>
      </c>
      <c r="Q1412" s="1">
        <v>-5.5476210000000003E-5</v>
      </c>
      <c r="R1412">
        <v>-0.99855070000000001</v>
      </c>
      <c r="S1412">
        <v>-0.29170230000000003</v>
      </c>
      <c r="T1412">
        <v>-0.14818419999999999</v>
      </c>
      <c r="U1412">
        <v>-2.9889220000000001</v>
      </c>
      <c r="V1412">
        <v>6.1646609999999998E-2</v>
      </c>
      <c r="W1412">
        <v>1.3812410000000001E-2</v>
      </c>
      <c r="X1412">
        <v>0.99800250000000001</v>
      </c>
      <c r="Y1412">
        <v>0.1046083</v>
      </c>
      <c r="Z1412">
        <v>4.9262239999999999E-2</v>
      </c>
      <c r="AA1412">
        <v>0.99329270000000003</v>
      </c>
      <c r="AB1412">
        <v>24</v>
      </c>
      <c r="AC1412">
        <v>-2.16749999999998</v>
      </c>
      <c r="AD1412">
        <v>-1.1045319307129999</v>
      </c>
      <c r="AE1412">
        <v>-22.0308999999999</v>
      </c>
      <c r="AF1412">
        <v>2.32978025053671</v>
      </c>
      <c r="AG1412">
        <v>-1.1045319307129999</v>
      </c>
      <c r="AH1412">
        <v>21.9590490401579</v>
      </c>
      <c r="AI1412">
        <v>92.863485085037595</v>
      </c>
      <c r="AJ1412">
        <v>83.943769248256302</v>
      </c>
      <c r="AK1412">
        <v>22.1099005323365</v>
      </c>
      <c r="AL1412">
        <v>89.208582066480801</v>
      </c>
      <c r="AM1412">
        <v>86.465330936583698</v>
      </c>
      <c r="AN1412">
        <v>1.00000003860037</v>
      </c>
    </row>
    <row r="1413" spans="1:40" x14ac:dyDescent="0.25">
      <c r="A1413" t="str">
        <f>"20190312151011759"</f>
        <v>20190312151011759</v>
      </c>
      <c r="B1413" t="str">
        <f>"1552374611752450"</f>
        <v>1552374611752450</v>
      </c>
      <c r="C1413" t="s">
        <v>40</v>
      </c>
      <c r="D1413">
        <v>5.4292069999999999</v>
      </c>
      <c r="E1413">
        <v>0.5153877</v>
      </c>
      <c r="F1413" t="s">
        <v>42</v>
      </c>
      <c r="G1413">
        <v>-193.7347</v>
      </c>
      <c r="H1413" s="1">
        <v>-2.8145319999999999E-6</v>
      </c>
      <c r="I1413">
        <v>323.83350000000002</v>
      </c>
      <c r="J1413">
        <v>-191.56120000000001</v>
      </c>
      <c r="K1413">
        <v>1.104814</v>
      </c>
      <c r="L1413">
        <v>345.90359999999998</v>
      </c>
      <c r="M1413">
        <v>-7.7361929999999904E-4</v>
      </c>
      <c r="N1413">
        <v>0</v>
      </c>
      <c r="O1413">
        <v>-0.99989189999999994</v>
      </c>
      <c r="P1413">
        <v>-5.688874E-2</v>
      </c>
      <c r="Q1413">
        <v>2.5033919999999999E-4</v>
      </c>
      <c r="R1413">
        <v>-0.9983805</v>
      </c>
      <c r="S1413">
        <v>-0.29220580000000002</v>
      </c>
      <c r="T1413">
        <v>-0.14795829999999999</v>
      </c>
      <c r="U1413">
        <v>-2.9885860000000002</v>
      </c>
      <c r="V1413">
        <v>5.6308900000000002E-2</v>
      </c>
      <c r="W1413">
        <v>1.417095E-2</v>
      </c>
      <c r="X1413">
        <v>0.9983128</v>
      </c>
      <c r="Y1413">
        <v>9.6421930000000003E-2</v>
      </c>
      <c r="Z1413">
        <v>4.921495E-2</v>
      </c>
      <c r="AA1413">
        <v>0.99412310000000004</v>
      </c>
      <c r="AB1413">
        <v>24</v>
      </c>
      <c r="AC1413">
        <v>-2.17349999999999</v>
      </c>
      <c r="AD1413">
        <v>-1.1048168145320001</v>
      </c>
      <c r="AE1413">
        <v>-22.070099999999901</v>
      </c>
      <c r="AF1413">
        <v>2.1510849260947702</v>
      </c>
      <c r="AG1413">
        <v>-1.1048168145320001</v>
      </c>
      <c r="AH1413">
        <v>22.017131234965699</v>
      </c>
      <c r="AI1413">
        <v>92.859094877011998</v>
      </c>
      <c r="AJ1413">
        <v>84.419883011404593</v>
      </c>
      <c r="AK1413">
        <v>22.1495339538025</v>
      </c>
      <c r="AL1413">
        <v>89.188037177535193</v>
      </c>
      <c r="AM1413">
        <v>86.7717057504358</v>
      </c>
      <c r="AN1413">
        <v>0.99999997734347601</v>
      </c>
    </row>
    <row r="1414" spans="1:40" x14ac:dyDescent="0.25">
      <c r="A1414" t="str">
        <f>"20190312151011781"</f>
        <v>20190312151011781</v>
      </c>
      <c r="B1414" t="str">
        <f>"1552374611771970"</f>
        <v>1552374611771970</v>
      </c>
      <c r="C1414" t="s">
        <v>40</v>
      </c>
      <c r="D1414">
        <v>5.4856449999999999</v>
      </c>
      <c r="E1414">
        <v>0.50276759999999998</v>
      </c>
      <c r="F1414" t="s">
        <v>42</v>
      </c>
      <c r="G1414">
        <v>-193.80789999999999</v>
      </c>
      <c r="H1414" s="1">
        <v>-2.654232E-6</v>
      </c>
      <c r="I1414">
        <v>323.4144</v>
      </c>
      <c r="J1414">
        <v>-191.5712</v>
      </c>
      <c r="K1414">
        <v>1.1051059999999999</v>
      </c>
      <c r="L1414">
        <v>345.65480000000002</v>
      </c>
      <c r="M1414">
        <v>-9.0457320000000008E-3</v>
      </c>
      <c r="N1414">
        <v>0</v>
      </c>
      <c r="O1414">
        <v>-0.99985219999999997</v>
      </c>
      <c r="P1414">
        <v>-5.9016079999999999E-2</v>
      </c>
      <c r="Q1414">
        <v>-9.2835010000000002E-4</v>
      </c>
      <c r="R1414">
        <v>-0.99825660000000005</v>
      </c>
      <c r="S1414">
        <v>-0.29849239999999999</v>
      </c>
      <c r="T1414">
        <v>-0.14678479999999999</v>
      </c>
      <c r="U1414">
        <v>-2.9878849999999999</v>
      </c>
      <c r="V1414">
        <v>5.0150010000000002E-2</v>
      </c>
      <c r="W1414">
        <v>1.30481E-2</v>
      </c>
      <c r="X1414">
        <v>0.99865649999999995</v>
      </c>
      <c r="Y1414">
        <v>9.0281550000000002E-2</v>
      </c>
      <c r="Z1414">
        <v>4.8843030000000003E-2</v>
      </c>
      <c r="AA1414">
        <v>0.99471779999999999</v>
      </c>
      <c r="AB1414">
        <v>24</v>
      </c>
      <c r="AC1414">
        <v>-2.2366999999999799</v>
      </c>
      <c r="AD1414">
        <v>-1.1051086542320001</v>
      </c>
      <c r="AE1414">
        <v>-22.240400000000001</v>
      </c>
      <c r="AF1414">
        <v>2.0304432562061301</v>
      </c>
      <c r="AG1414">
        <v>-1.1051086542320001</v>
      </c>
      <c r="AH1414">
        <v>22.205447873701399</v>
      </c>
      <c r="AI1414">
        <v>92.837297231116096</v>
      </c>
      <c r="AJ1414">
        <v>84.775461615000296</v>
      </c>
      <c r="AK1414">
        <v>22.3254536398703</v>
      </c>
      <c r="AL1414">
        <v>89.252377754600005</v>
      </c>
      <c r="AM1414">
        <v>87.125165457939801</v>
      </c>
      <c r="AN1414">
        <v>1.0000000407044201</v>
      </c>
    </row>
    <row r="1415" spans="1:40" x14ac:dyDescent="0.25">
      <c r="A1415" t="str">
        <f>"20190312151011804"</f>
        <v>20190312151011804</v>
      </c>
      <c r="B1415" t="str">
        <f>"1552374611792466"</f>
        <v>1552374611792466</v>
      </c>
      <c r="C1415" t="s">
        <v>40</v>
      </c>
      <c r="D1415">
        <v>5.4974470000000002</v>
      </c>
      <c r="E1415">
        <v>0.50187090000000001</v>
      </c>
      <c r="F1415" t="s">
        <v>41</v>
      </c>
      <c r="G1415">
        <v>-191.6335</v>
      </c>
      <c r="H1415">
        <v>1.0374289999999999</v>
      </c>
      <c r="I1415">
        <v>344.75560000000002</v>
      </c>
      <c r="J1415">
        <v>-191.5822</v>
      </c>
      <c r="K1415">
        <v>1.105364</v>
      </c>
      <c r="L1415">
        <v>345.41660000000002</v>
      </c>
      <c r="M1415">
        <v>-1.662922E-2</v>
      </c>
      <c r="N1415">
        <v>0</v>
      </c>
      <c r="O1415">
        <v>-0.99975579999999997</v>
      </c>
      <c r="P1415">
        <v>-5.965177E-2</v>
      </c>
      <c r="Q1415">
        <v>-2.4897399999999998E-3</v>
      </c>
      <c r="R1415">
        <v>-0.9982162</v>
      </c>
      <c r="S1415">
        <v>-0.20698549999999999</v>
      </c>
      <c r="T1415">
        <v>-0.22522339999999999</v>
      </c>
      <c r="U1415">
        <v>-2.9927980000000001</v>
      </c>
      <c r="V1415">
        <v>4.3182600000000002E-2</v>
      </c>
      <c r="W1415">
        <v>1.1544749999999999E-2</v>
      </c>
      <c r="X1415">
        <v>0.99900049999999996</v>
      </c>
      <c r="Y1415">
        <v>5.2201770000000002E-2</v>
      </c>
      <c r="Z1415">
        <v>7.4887380000000003E-2</v>
      </c>
      <c r="AA1415">
        <v>0.99582470000000001</v>
      </c>
      <c r="AB1415">
        <v>24</v>
      </c>
      <c r="AC1415">
        <v>-5.1299999999997598E-2</v>
      </c>
      <c r="AD1415">
        <v>-6.7934999999999801E-2</v>
      </c>
      <c r="AE1415">
        <v>-0.66100000000000103</v>
      </c>
      <c r="AF1415">
        <v>3.9881087482076499E-2</v>
      </c>
      <c r="AG1415">
        <v>-6.7934999999999801E-2</v>
      </c>
      <c r="AH1415">
        <v>0.65488565789669495</v>
      </c>
      <c r="AI1415">
        <v>95.9115588247451</v>
      </c>
      <c r="AJ1415">
        <v>86.515117498196005</v>
      </c>
      <c r="AK1415">
        <v>0.65960661782803498</v>
      </c>
      <c r="AL1415">
        <v>89.338519860781801</v>
      </c>
      <c r="AM1415">
        <v>87.5248846461526</v>
      </c>
      <c r="AN1415">
        <v>1.00000000859778</v>
      </c>
    </row>
    <row r="1416" spans="1:40" x14ac:dyDescent="0.25">
      <c r="A1416" t="str">
        <f>"20190312151011826"</f>
        <v>20190312151011826</v>
      </c>
      <c r="B1416" t="str">
        <f>"1552374611821746"</f>
        <v>1552374611821746</v>
      </c>
      <c r="C1416" t="s">
        <v>40</v>
      </c>
      <c r="D1416">
        <v>5.5459550000000002</v>
      </c>
      <c r="E1416">
        <v>0.50077380000000005</v>
      </c>
      <c r="F1416" t="s">
        <v>41</v>
      </c>
      <c r="G1416">
        <v>-191.6414</v>
      </c>
      <c r="H1416">
        <v>1.04271</v>
      </c>
      <c r="I1416">
        <v>344.53660000000002</v>
      </c>
      <c r="J1416">
        <v>-191.59450000000001</v>
      </c>
      <c r="K1416">
        <v>1.1055999999999999</v>
      </c>
      <c r="L1416">
        <v>345.17930000000001</v>
      </c>
      <c r="M1416">
        <v>-2.383538E-2</v>
      </c>
      <c r="N1416">
        <v>0</v>
      </c>
      <c r="O1416">
        <v>-0.99961080000000002</v>
      </c>
      <c r="P1416">
        <v>-5.9698330000000001E-2</v>
      </c>
      <c r="Q1416">
        <v>-2.0171630000000002E-3</v>
      </c>
      <c r="R1416">
        <v>-0.99821470000000001</v>
      </c>
      <c r="S1416">
        <v>-0.2012939</v>
      </c>
      <c r="T1416">
        <v>-0.21304310000000001</v>
      </c>
      <c r="U1416">
        <v>-2.9928279999999998</v>
      </c>
      <c r="V1416">
        <v>3.6025000000000001E-2</v>
      </c>
      <c r="W1416">
        <v>1.2069710000000001E-2</v>
      </c>
      <c r="X1416">
        <v>0.999278</v>
      </c>
      <c r="Y1416">
        <v>4.3135220000000002E-2</v>
      </c>
      <c r="Z1416">
        <v>7.0862030000000006E-2</v>
      </c>
      <c r="AA1416">
        <v>0.99655300000000002</v>
      </c>
      <c r="AB1416">
        <v>24</v>
      </c>
      <c r="AC1416">
        <v>-4.6899999999993697E-2</v>
      </c>
      <c r="AD1416">
        <v>-6.2889999999999793E-2</v>
      </c>
      <c r="AE1416">
        <v>-0.64269999999998995</v>
      </c>
      <c r="AF1416">
        <v>3.1268251349312701E-2</v>
      </c>
      <c r="AG1416">
        <v>-6.2889999999999793E-2</v>
      </c>
      <c r="AH1416">
        <v>0.63756292706331996</v>
      </c>
      <c r="AI1416">
        <v>95.626783225072202</v>
      </c>
      <c r="AJ1416">
        <v>87.1922700343071</v>
      </c>
      <c r="AK1416">
        <v>0.64141978579397796</v>
      </c>
      <c r="AL1416">
        <v>89.3084397654534</v>
      </c>
      <c r="AM1416">
        <v>87.935322361532997</v>
      </c>
      <c r="AN1416">
        <v>0.99999999990424104</v>
      </c>
    </row>
    <row r="1417" spans="1:40" x14ac:dyDescent="0.25">
      <c r="A1417" t="str">
        <f>"20190312151011850"</f>
        <v>20190312151011850</v>
      </c>
      <c r="B1417" t="str">
        <f>"1552374611842243"</f>
        <v>1552374611842243</v>
      </c>
      <c r="C1417" t="s">
        <v>40</v>
      </c>
      <c r="D1417">
        <v>5.4021879999999998</v>
      </c>
      <c r="E1417">
        <v>0.47785270000000002</v>
      </c>
      <c r="F1417" t="s">
        <v>41</v>
      </c>
      <c r="G1417">
        <v>-191.6499</v>
      </c>
      <c r="H1417">
        <v>1.045329</v>
      </c>
      <c r="I1417">
        <v>344.31900000000002</v>
      </c>
      <c r="J1417">
        <v>-191.60919999999999</v>
      </c>
      <c r="K1417">
        <v>1.105853</v>
      </c>
      <c r="L1417">
        <v>344.92489999999998</v>
      </c>
      <c r="M1417">
        <v>-3.1131740000000001E-2</v>
      </c>
      <c r="N1417">
        <v>0</v>
      </c>
      <c r="O1417">
        <v>-0.99941089999999999</v>
      </c>
      <c r="P1417">
        <v>-6.0072970000000003E-2</v>
      </c>
      <c r="Q1417">
        <v>-1.0811530000000001E-3</v>
      </c>
      <c r="R1417">
        <v>-0.99819360000000001</v>
      </c>
      <c r="S1417">
        <v>-0.19239809999999999</v>
      </c>
      <c r="T1417">
        <v>-0.20973710000000001</v>
      </c>
      <c r="U1417">
        <v>-2.993439</v>
      </c>
      <c r="V1417">
        <v>2.9106130000000001E-2</v>
      </c>
      <c r="W1417">
        <v>1.304524E-2</v>
      </c>
      <c r="X1417">
        <v>0.99949120000000002</v>
      </c>
      <c r="Y1417">
        <v>3.2882649999999999E-2</v>
      </c>
      <c r="Z1417">
        <v>6.9753060000000006E-2</v>
      </c>
      <c r="AA1417">
        <v>0.99702219999999997</v>
      </c>
      <c r="AB1417">
        <v>24</v>
      </c>
      <c r="AC1417">
        <v>-4.0700000000015203E-2</v>
      </c>
      <c r="AD1417">
        <v>-6.05239999999998E-2</v>
      </c>
      <c r="AE1417">
        <v>-0.60589999999996202</v>
      </c>
      <c r="AF1417">
        <v>2.1601007040821799E-2</v>
      </c>
      <c r="AG1417">
        <v>-6.05239999999998E-2</v>
      </c>
      <c r="AH1417">
        <v>0.60090442007326805</v>
      </c>
      <c r="AI1417">
        <v>95.747832673014997</v>
      </c>
      <c r="AJ1417">
        <v>87.941246887992307</v>
      </c>
      <c r="AK1417">
        <v>0.60433093594881304</v>
      </c>
      <c r="AL1417">
        <v>89.252541605527199</v>
      </c>
      <c r="AM1417">
        <v>88.331964064504703</v>
      </c>
      <c r="AN1417">
        <v>1.00000000198383</v>
      </c>
    </row>
    <row r="1418" spans="1:40" x14ac:dyDescent="0.25">
      <c r="A1418" t="str">
        <f>"20190312151011872"</f>
        <v>20190312151011872</v>
      </c>
      <c r="B1418" t="str">
        <f>"1552374611861764"</f>
        <v>1552374611861764</v>
      </c>
      <c r="C1418" t="s">
        <v>40</v>
      </c>
      <c r="D1418">
        <v>5.560816</v>
      </c>
      <c r="E1418">
        <v>0.47670469999999998</v>
      </c>
      <c r="F1418" t="s">
        <v>42</v>
      </c>
      <c r="G1418">
        <v>-191.6721</v>
      </c>
      <c r="H1418" s="1">
        <v>-2.8616810000000002E-6</v>
      </c>
      <c r="I1418">
        <v>325.22269999999997</v>
      </c>
      <c r="J1418">
        <v>-191.6242</v>
      </c>
      <c r="K1418">
        <v>1.1061299999999901</v>
      </c>
      <c r="L1418">
        <v>344.68720000000002</v>
      </c>
      <c r="M1418">
        <v>-3.7516750000000001E-2</v>
      </c>
      <c r="N1418">
        <v>0</v>
      </c>
      <c r="O1418">
        <v>-0.99919239999999998</v>
      </c>
      <c r="P1418">
        <v>-5.9616219999999998E-2</v>
      </c>
      <c r="Q1418">
        <v>-1.376246E-3</v>
      </c>
      <c r="R1418">
        <v>-0.99822029999999995</v>
      </c>
      <c r="S1418">
        <v>-9.5977779999999995E-3</v>
      </c>
      <c r="T1418">
        <v>-0.16864760000000001</v>
      </c>
      <c r="U1418">
        <v>-3.0046689999999998</v>
      </c>
      <c r="V1418">
        <v>2.2249479999999999E-2</v>
      </c>
      <c r="W1418">
        <v>1.278396E-2</v>
      </c>
      <c r="X1418">
        <v>0.99967070000000002</v>
      </c>
      <c r="Y1418">
        <v>-3.4333420000000003E-2</v>
      </c>
      <c r="Z1418">
        <v>5.59645E-2</v>
      </c>
      <c r="AA1418">
        <v>0.99784229999999996</v>
      </c>
      <c r="AB1418">
        <v>24</v>
      </c>
      <c r="AC1418">
        <v>-4.7899999999998499E-2</v>
      </c>
      <c r="AD1418">
        <v>-1.10613286168099</v>
      </c>
      <c r="AE1418">
        <v>-19.464500000000001</v>
      </c>
      <c r="AF1418">
        <v>-0.68025727502264899</v>
      </c>
      <c r="AG1418">
        <v>-1.10613286168099</v>
      </c>
      <c r="AH1418">
        <v>19.389972871280801</v>
      </c>
      <c r="AI1418">
        <v>93.262990069468501</v>
      </c>
      <c r="AJ1418">
        <v>92.009280375622694</v>
      </c>
      <c r="AK1418">
        <v>19.433407519447499</v>
      </c>
      <c r="AL1418">
        <v>89.267513085668398</v>
      </c>
      <c r="AM1418">
        <v>88.724989273616103</v>
      </c>
      <c r="AN1418">
        <v>0.99999998871602103</v>
      </c>
    </row>
    <row r="1419" spans="1:40" x14ac:dyDescent="0.25">
      <c r="A1419" t="str">
        <f>"20190312151011893"</f>
        <v>20190312151011893</v>
      </c>
      <c r="B1419" t="str">
        <f>"1552374611882258"</f>
        <v>1552374611882258</v>
      </c>
      <c r="C1419" t="s">
        <v>40</v>
      </c>
      <c r="D1419">
        <v>5.5320819999999999</v>
      </c>
      <c r="E1419">
        <v>0.47554109999999999</v>
      </c>
      <c r="F1419" t="s">
        <v>42</v>
      </c>
      <c r="G1419">
        <v>-191.61709999999999</v>
      </c>
      <c r="H1419" s="1">
        <v>-2.5821140000000002E-6</v>
      </c>
      <c r="I1419">
        <v>324.60520000000002</v>
      </c>
      <c r="J1419">
        <v>-191.6397</v>
      </c>
      <c r="K1419">
        <v>1.106439</v>
      </c>
      <c r="L1419">
        <v>344.45620000000002</v>
      </c>
      <c r="M1419">
        <v>-4.3292299999999999E-2</v>
      </c>
      <c r="N1419">
        <v>0</v>
      </c>
      <c r="O1419">
        <v>-0.99895979999999995</v>
      </c>
      <c r="P1419">
        <v>-5.8630839999999997E-2</v>
      </c>
      <c r="Q1419">
        <v>-1.91902E-3</v>
      </c>
      <c r="R1419">
        <v>-0.99827829999999995</v>
      </c>
      <c r="S1419">
        <v>1.0681149999999999E-3</v>
      </c>
      <c r="T1419">
        <v>-0.1655276</v>
      </c>
      <c r="U1419">
        <v>-3.005188</v>
      </c>
      <c r="V1419">
        <v>1.546792E-2</v>
      </c>
      <c r="W1419">
        <v>1.226616E-2</v>
      </c>
      <c r="X1419">
        <v>0.99980519999999995</v>
      </c>
      <c r="Y1419">
        <v>-4.3651259999999997E-2</v>
      </c>
      <c r="Z1419">
        <v>5.4893709999999998E-2</v>
      </c>
      <c r="AA1419">
        <v>0.99753760000000002</v>
      </c>
      <c r="AB1419">
        <v>24</v>
      </c>
      <c r="AC1419">
        <v>2.2600000000011201E-2</v>
      </c>
      <c r="AD1419">
        <v>-1.1064415821139999</v>
      </c>
      <c r="AE1419">
        <v>-19.850999999999999</v>
      </c>
      <c r="AF1419">
        <v>-0.87933062845125998</v>
      </c>
      <c r="AG1419">
        <v>-1.1064415821139999</v>
      </c>
      <c r="AH1419">
        <v>19.769988011232801</v>
      </c>
      <c r="AI1419">
        <v>93.200100651359193</v>
      </c>
      <c r="AJ1419">
        <v>92.546726364961899</v>
      </c>
      <c r="AK1419">
        <v>19.820440491902598</v>
      </c>
      <c r="AL1419">
        <v>89.297183230098099</v>
      </c>
      <c r="AM1419">
        <v>89.113651502954994</v>
      </c>
      <c r="AN1419">
        <v>1.0000000765886501</v>
      </c>
    </row>
    <row r="1420" spans="1:40" x14ac:dyDescent="0.25">
      <c r="A1420" t="str">
        <f>"20190312151011916"</f>
        <v>20190312151011916</v>
      </c>
      <c r="B1420" t="str">
        <f>"1552374611912514"</f>
        <v>1552374611912514</v>
      </c>
      <c r="C1420" t="s">
        <v>40</v>
      </c>
      <c r="D1420">
        <v>5.5185839999999997</v>
      </c>
      <c r="E1420">
        <v>0.47572759999999997</v>
      </c>
      <c r="F1420" t="s">
        <v>42</v>
      </c>
      <c r="G1420">
        <v>-191.55199999999999</v>
      </c>
      <c r="H1420" s="1">
        <v>-2.6331269999999999E-6</v>
      </c>
      <c r="I1420">
        <v>324.76440000000002</v>
      </c>
      <c r="J1420">
        <v>-191.65649999999999</v>
      </c>
      <c r="K1420">
        <v>1.1067979999999999</v>
      </c>
      <c r="L1420">
        <v>344.2201</v>
      </c>
      <c r="M1420">
        <v>-4.8728599999999997E-2</v>
      </c>
      <c r="N1420">
        <v>0</v>
      </c>
      <c r="O1420">
        <v>-0.99871010000000005</v>
      </c>
      <c r="P1420">
        <v>-5.7762580000000001E-2</v>
      </c>
      <c r="Q1420">
        <v>-1.6291350000000001E-3</v>
      </c>
      <c r="R1420">
        <v>-0.99832940000000003</v>
      </c>
      <c r="S1420">
        <v>1.339722E-2</v>
      </c>
      <c r="T1420">
        <v>-0.16887759999999999</v>
      </c>
      <c r="U1420">
        <v>-3.005585</v>
      </c>
      <c r="V1420">
        <v>9.1476479999999995E-3</v>
      </c>
      <c r="W1420">
        <v>1.256702E-2</v>
      </c>
      <c r="X1420">
        <v>0.99987919999999997</v>
      </c>
      <c r="Y1420">
        <v>-5.3178139999999999E-2</v>
      </c>
      <c r="Z1420">
        <v>5.5959549999999997E-2</v>
      </c>
      <c r="AA1420">
        <v>0.99701580000000001</v>
      </c>
      <c r="AB1420">
        <v>24</v>
      </c>
      <c r="AC1420">
        <v>0.104499999999973</v>
      </c>
      <c r="AD1420">
        <v>-1.1068006331269999</v>
      </c>
      <c r="AE1420">
        <v>-19.455699999999901</v>
      </c>
      <c r="AF1420">
        <v>-1.04912625159161</v>
      </c>
      <c r="AG1420">
        <v>-1.1068006331269999</v>
      </c>
      <c r="AH1420">
        <v>19.364822320048301</v>
      </c>
      <c r="AI1420">
        <v>93.266414038690996</v>
      </c>
      <c r="AJ1420">
        <v>93.101076678308502</v>
      </c>
      <c r="AK1420">
        <v>19.424778429117602</v>
      </c>
      <c r="AL1420">
        <v>89.279943847676506</v>
      </c>
      <c r="AM1420">
        <v>89.475829679557805</v>
      </c>
      <c r="AN1420">
        <v>1.0000000120241199</v>
      </c>
    </row>
    <row r="1421" spans="1:40" x14ac:dyDescent="0.25">
      <c r="A1421" t="str">
        <f>"20190312151011938"</f>
        <v>20190312151011938</v>
      </c>
      <c r="B1421" t="str">
        <f>"1552374611932036"</f>
        <v>1552374611932036</v>
      </c>
      <c r="C1421" t="s">
        <v>40</v>
      </c>
      <c r="D1421">
        <v>5.4618699999999896</v>
      </c>
      <c r="E1421">
        <v>0.47555570000000003</v>
      </c>
      <c r="F1421" t="s">
        <v>42</v>
      </c>
      <c r="G1421">
        <v>-191.5729</v>
      </c>
      <c r="H1421" s="1">
        <v>-3.3700669999999999E-6</v>
      </c>
      <c r="I1421">
        <v>326.4692</v>
      </c>
      <c r="J1421">
        <v>-191.6738</v>
      </c>
      <c r="K1421">
        <v>1.107183</v>
      </c>
      <c r="L1421">
        <v>343.98489999999998</v>
      </c>
      <c r="M1421">
        <v>-5.3618199999999998E-2</v>
      </c>
      <c r="N1421">
        <v>0</v>
      </c>
      <c r="O1421">
        <v>-0.99846020000000002</v>
      </c>
      <c r="P1421">
        <v>-5.7390480000000001E-2</v>
      </c>
      <c r="Q1421">
        <v>-1.37651299999999E-3</v>
      </c>
      <c r="R1421">
        <v>-0.99835099999999999</v>
      </c>
      <c r="S1421">
        <v>1.41448999999999E-2</v>
      </c>
      <c r="T1421">
        <v>-0.18740280000000001</v>
      </c>
      <c r="U1421">
        <v>-3.0055540000000001</v>
      </c>
      <c r="V1421">
        <v>3.8685299999999998E-3</v>
      </c>
      <c r="W1421">
        <v>1.281447E-2</v>
      </c>
      <c r="X1421">
        <v>0.99991039999999998</v>
      </c>
      <c r="Y1421">
        <v>-5.8313289999999997E-2</v>
      </c>
      <c r="Z1421">
        <v>6.2043800000000003E-2</v>
      </c>
      <c r="AA1421">
        <v>0.99636849999999999</v>
      </c>
      <c r="AB1421">
        <v>24</v>
      </c>
      <c r="AC1421">
        <v>0.10089999999999499</v>
      </c>
      <c r="AD1421">
        <v>-1.1071863700669999</v>
      </c>
      <c r="AE1421">
        <v>-17.515699999999899</v>
      </c>
      <c r="AF1421">
        <v>-1.0358713188330999</v>
      </c>
      <c r="AG1421">
        <v>-1.1071863700669999</v>
      </c>
      <c r="AH1421">
        <v>17.4155043144487</v>
      </c>
      <c r="AI1421">
        <v>93.631268847656898</v>
      </c>
      <c r="AJ1421">
        <v>93.403933075429194</v>
      </c>
      <c r="AK1421">
        <v>17.481380997330401</v>
      </c>
      <c r="AL1421">
        <v>89.265764850694296</v>
      </c>
      <c r="AM1421">
        <v>89.778330802413393</v>
      </c>
      <c r="AN1421">
        <v>0.99999999209695001</v>
      </c>
    </row>
    <row r="1422" spans="1:40" x14ac:dyDescent="0.25">
      <c r="A1422" t="str">
        <f>"20190312151011961"</f>
        <v>20190312151011961</v>
      </c>
      <c r="B1422" t="str">
        <f>"1552374611952531"</f>
        <v>1552374611952531</v>
      </c>
      <c r="C1422" t="s">
        <v>40</v>
      </c>
      <c r="D1422">
        <v>5.5086079999999997</v>
      </c>
      <c r="E1422">
        <v>0.47563509999999998</v>
      </c>
      <c r="F1422" t="s">
        <v>42</v>
      </c>
      <c r="G1422">
        <v>-191.57589999999999</v>
      </c>
      <c r="H1422" s="1">
        <v>-3.388598E-6</v>
      </c>
      <c r="I1422">
        <v>326.51060000000001</v>
      </c>
      <c r="J1422">
        <v>-191.69229999999999</v>
      </c>
      <c r="K1422">
        <v>1.107583</v>
      </c>
      <c r="L1422">
        <v>343.74259999999998</v>
      </c>
      <c r="M1422">
        <v>-5.8036699999999997E-2</v>
      </c>
      <c r="N1422">
        <v>0</v>
      </c>
      <c r="O1422">
        <v>-0.99821400000000005</v>
      </c>
      <c r="P1422">
        <v>-5.6430889999999997E-2</v>
      </c>
      <c r="Q1422">
        <v>-1.773997E-3</v>
      </c>
      <c r="R1422">
        <v>-0.99840519999999999</v>
      </c>
      <c r="S1422">
        <v>1.6845699999999901E-2</v>
      </c>
      <c r="T1422">
        <v>-0.19044050000000001</v>
      </c>
      <c r="U1422">
        <v>-3.005646</v>
      </c>
      <c r="V1422">
        <v>-1.5336919999999999E-3</v>
      </c>
      <c r="W1422">
        <v>1.2403000000000001E-2</v>
      </c>
      <c r="X1422">
        <v>0.99992190000000003</v>
      </c>
      <c r="Y1422">
        <v>-6.3625500000000001E-2</v>
      </c>
      <c r="Z1422">
        <v>6.3009780000000001E-2</v>
      </c>
      <c r="AA1422">
        <v>0.9959827</v>
      </c>
      <c r="AB1422">
        <v>24</v>
      </c>
      <c r="AC1422">
        <v>0.11639999999999801</v>
      </c>
      <c r="AD1422">
        <v>-1.107586388598</v>
      </c>
      <c r="AE1422">
        <v>-17.2319999999999</v>
      </c>
      <c r="AF1422">
        <v>-1.1117995394370199</v>
      </c>
      <c r="AG1422">
        <v>-1.107586388598</v>
      </c>
      <c r="AH1422">
        <v>17.125445968163099</v>
      </c>
      <c r="AI1422">
        <v>93.692692621261898</v>
      </c>
      <c r="AJ1422">
        <v>93.714481502088802</v>
      </c>
      <c r="AK1422">
        <v>17.197201674475199</v>
      </c>
      <c r="AL1422">
        <v>89.289342222714794</v>
      </c>
      <c r="AM1422">
        <v>90.087880873258996</v>
      </c>
      <c r="AN1422">
        <v>0.99999999635988002</v>
      </c>
    </row>
    <row r="1423" spans="1:40" x14ac:dyDescent="0.25">
      <c r="A1423" t="str">
        <f>"20190312151011984"</f>
        <v>20190312151011984</v>
      </c>
      <c r="B1423" t="str">
        <f>"1552374611972050"</f>
        <v>1552374611972050</v>
      </c>
      <c r="C1423" t="s">
        <v>40</v>
      </c>
      <c r="D1423">
        <v>5.4660679999999999</v>
      </c>
      <c r="E1423">
        <v>0.47555120000000001</v>
      </c>
      <c r="F1423" t="s">
        <v>42</v>
      </c>
      <c r="G1423">
        <v>-191.584</v>
      </c>
      <c r="H1423" s="1">
        <v>-3.5462940000000001E-6</v>
      </c>
      <c r="I1423">
        <v>326.8732</v>
      </c>
      <c r="J1423">
        <v>-191.71129999999999</v>
      </c>
      <c r="K1423">
        <v>1.1079319999999999</v>
      </c>
      <c r="L1423">
        <v>343.49930000000001</v>
      </c>
      <c r="M1423">
        <v>-6.1981029999999999E-2</v>
      </c>
      <c r="N1423">
        <v>0</v>
      </c>
      <c r="O1423">
        <v>-0.99797740000000001</v>
      </c>
      <c r="P1423">
        <v>-5.5371429999999999E-2</v>
      </c>
      <c r="Q1423">
        <v>-2.9994430000000001E-3</v>
      </c>
      <c r="R1423">
        <v>-0.99846159999999995</v>
      </c>
      <c r="S1423">
        <v>1.928711E-2</v>
      </c>
      <c r="T1423">
        <v>-0.1973317</v>
      </c>
      <c r="U1423">
        <v>-3.0055239999999999</v>
      </c>
      <c r="V1423">
        <v>-6.5644630000000004E-3</v>
      </c>
      <c r="W1423">
        <v>1.1155200000000001E-2</v>
      </c>
      <c r="X1423">
        <v>0.99991629999999998</v>
      </c>
      <c r="Y1423">
        <v>-6.8376850000000003E-2</v>
      </c>
      <c r="Z1423">
        <v>6.5249089999999996E-2</v>
      </c>
      <c r="AA1423">
        <v>0.99552359999999895</v>
      </c>
      <c r="AB1423">
        <v>24</v>
      </c>
      <c r="AC1423">
        <v>0.127299999999991</v>
      </c>
      <c r="AD1423">
        <v>-1.1079355462939999</v>
      </c>
      <c r="AE1423">
        <v>-16.626100000000001</v>
      </c>
      <c r="AF1423">
        <v>-1.1525430258960701</v>
      </c>
      <c r="AG1423">
        <v>-1.1079355462939999</v>
      </c>
      <c r="AH1423">
        <v>16.512912054671698</v>
      </c>
      <c r="AI1423">
        <v>93.829225173717305</v>
      </c>
      <c r="AJ1423">
        <v>93.992568418737207</v>
      </c>
      <c r="AK1423">
        <v>16.5901217936037</v>
      </c>
      <c r="AL1423">
        <v>89.360840907906393</v>
      </c>
      <c r="AM1423">
        <v>90.3761421044467</v>
      </c>
      <c r="AN1423">
        <v>1.0000000688335999</v>
      </c>
    </row>
    <row r="1424" spans="1:40" x14ac:dyDescent="0.25">
      <c r="A1424" t="str">
        <f>"20190312151012004"</f>
        <v>20190312151012004</v>
      </c>
      <c r="B1424" t="str">
        <f>"1552374611991570"</f>
        <v>1552374611991570</v>
      </c>
      <c r="C1424" t="s">
        <v>40</v>
      </c>
      <c r="D1424">
        <v>5.7211069999999999</v>
      </c>
      <c r="E1424">
        <v>0.4757072</v>
      </c>
      <c r="F1424" t="s">
        <v>42</v>
      </c>
      <c r="G1424">
        <v>-191.58760000000001</v>
      </c>
      <c r="H1424" s="1">
        <v>-3.7121360000000001E-6</v>
      </c>
      <c r="I1424">
        <v>327.25749999999999</v>
      </c>
      <c r="J1424">
        <v>-191.72829999999999</v>
      </c>
      <c r="K1424">
        <v>1.108198</v>
      </c>
      <c r="L1424">
        <v>343.28530000000001</v>
      </c>
      <c r="M1424">
        <v>-6.5045270000000002E-2</v>
      </c>
      <c r="N1424">
        <v>0</v>
      </c>
      <c r="O1424">
        <v>-0.99778310000000003</v>
      </c>
      <c r="P1424">
        <v>-5.352001E-2</v>
      </c>
      <c r="Q1424">
        <v>-2.9891649999999998E-3</v>
      </c>
      <c r="R1424">
        <v>-0.99856250000000002</v>
      </c>
      <c r="S1424">
        <v>2.2888180000000001E-2</v>
      </c>
      <c r="T1424">
        <v>-0.2050062</v>
      </c>
      <c r="U1424">
        <v>-3.00528</v>
      </c>
      <c r="V1424">
        <v>-1.149588E-2</v>
      </c>
      <c r="W1424">
        <v>1.1145189999999999E-2</v>
      </c>
      <c r="X1424">
        <v>0.99987179999999998</v>
      </c>
      <c r="Y1424">
        <v>-7.2631719999999997E-2</v>
      </c>
      <c r="Z1424">
        <v>6.7750260000000007E-2</v>
      </c>
      <c r="AA1424">
        <v>0.99505500000000002</v>
      </c>
      <c r="AB1424">
        <v>24</v>
      </c>
      <c r="AC1424">
        <v>0.14069999999998101</v>
      </c>
      <c r="AD1424">
        <v>-1.1082017121359999</v>
      </c>
      <c r="AE1424">
        <v>-16.027799999999999</v>
      </c>
      <c r="AF1424">
        <v>-1.1774094006315301</v>
      </c>
      <c r="AG1424">
        <v>-1.1082017121359999</v>
      </c>
      <c r="AH1424">
        <v>15.9086503211339</v>
      </c>
      <c r="AI1424">
        <v>93.973971263949196</v>
      </c>
      <c r="AJ1424">
        <v>94.2327801426582</v>
      </c>
      <c r="AK1424">
        <v>15.9906084615811</v>
      </c>
      <c r="AL1424">
        <v>89.361414426151597</v>
      </c>
      <c r="AM1424">
        <v>90.658720833295007</v>
      </c>
      <c r="AN1424">
        <v>0.99999999347617496</v>
      </c>
    </row>
    <row r="1425" spans="1:40" x14ac:dyDescent="0.25">
      <c r="A1425" t="str">
        <f>"20190312151012027"</f>
        <v>20190312151012027</v>
      </c>
      <c r="B1425" t="str">
        <f>"1552374612021826"</f>
        <v>1552374612021826</v>
      </c>
      <c r="C1425" t="s">
        <v>40</v>
      </c>
      <c r="D1425">
        <v>5.5244169999999997</v>
      </c>
      <c r="E1425">
        <v>0.47557909999999998</v>
      </c>
      <c r="F1425" t="s">
        <v>42</v>
      </c>
      <c r="G1425">
        <v>-191.58150000000001</v>
      </c>
      <c r="H1425" s="1">
        <v>-3.6767689999999999E-6</v>
      </c>
      <c r="I1425">
        <v>327.1789</v>
      </c>
      <c r="J1425">
        <v>-191.7482</v>
      </c>
      <c r="K1425">
        <v>1.1084909999999999</v>
      </c>
      <c r="L1425">
        <v>343.03980000000001</v>
      </c>
      <c r="M1425">
        <v>-6.805108E-2</v>
      </c>
      <c r="N1425">
        <v>0</v>
      </c>
      <c r="O1425">
        <v>-0.9975832</v>
      </c>
      <c r="P1425">
        <v>-5.2779569999999998E-2</v>
      </c>
      <c r="Q1425">
        <v>-3.3294050000000001E-3</v>
      </c>
      <c r="R1425">
        <v>-0.99860079999999996</v>
      </c>
      <c r="S1425">
        <v>2.7389529999999999E-2</v>
      </c>
      <c r="T1425">
        <v>-0.20676720000000001</v>
      </c>
      <c r="U1425">
        <v>-3.0051269999999999</v>
      </c>
      <c r="V1425">
        <v>-1.525952E-2</v>
      </c>
      <c r="W1425">
        <v>1.076851E-2</v>
      </c>
      <c r="X1425">
        <v>0.99982559999999998</v>
      </c>
      <c r="Y1425">
        <v>-7.7126139999999996E-2</v>
      </c>
      <c r="Z1425">
        <v>6.8300280000000005E-2</v>
      </c>
      <c r="AA1425">
        <v>0.99467919999999999</v>
      </c>
      <c r="AB1425">
        <v>24</v>
      </c>
      <c r="AC1425">
        <v>0.16669999999999099</v>
      </c>
      <c r="AD1425">
        <v>-1.1084946767689901</v>
      </c>
      <c r="AE1425">
        <v>-15.860900000000001</v>
      </c>
      <c r="AF1425">
        <v>-1.2397164828702101</v>
      </c>
      <c r="AG1425">
        <v>-1.1084946767689901</v>
      </c>
      <c r="AH1425">
        <v>15.7359272564681</v>
      </c>
      <c r="AI1425">
        <v>94.017056048101907</v>
      </c>
      <c r="AJ1425">
        <v>94.504603455295694</v>
      </c>
      <c r="AK1425">
        <v>15.823560409313099</v>
      </c>
      <c r="AL1425">
        <v>89.382997913914906</v>
      </c>
      <c r="AM1425">
        <v>90.874390711360704</v>
      </c>
      <c r="AN1425">
        <v>1.0000000220867999</v>
      </c>
    </row>
    <row r="1426" spans="1:40" x14ac:dyDescent="0.25">
      <c r="A1426" t="str">
        <f>"20190312151012051"</f>
        <v>20190312151012051</v>
      </c>
      <c r="B1426" t="str">
        <f>"1552374612042323"</f>
        <v>1552374612042323</v>
      </c>
      <c r="C1426" t="s">
        <v>40</v>
      </c>
      <c r="D1426">
        <v>5.6883179999999998</v>
      </c>
      <c r="E1426">
        <v>0.4757112</v>
      </c>
      <c r="F1426" t="s">
        <v>42</v>
      </c>
      <c r="G1426">
        <v>-191.5865</v>
      </c>
      <c r="H1426" s="1">
        <v>-3.7204239999999998E-6</v>
      </c>
      <c r="I1426">
        <v>327.27749999999997</v>
      </c>
      <c r="J1426">
        <v>-191.768</v>
      </c>
      <c r="K1426">
        <v>1.1087990000000001</v>
      </c>
      <c r="L1426">
        <v>342.79739999999998</v>
      </c>
      <c r="M1426">
        <v>-7.0497740000000003E-2</v>
      </c>
      <c r="N1426">
        <v>0</v>
      </c>
      <c r="O1426">
        <v>-0.99741380000000002</v>
      </c>
      <c r="P1426">
        <v>-5.1654020000000002E-2</v>
      </c>
      <c r="Q1426">
        <v>-3.1611529999999999E-3</v>
      </c>
      <c r="R1426">
        <v>-0.99865999999999999</v>
      </c>
      <c r="S1426">
        <v>3.0822749999999999E-2</v>
      </c>
      <c r="T1426">
        <v>-0.21133830000000001</v>
      </c>
      <c r="U1426">
        <v>-3.0051269999999999</v>
      </c>
      <c r="V1426">
        <v>-1.884649E-2</v>
      </c>
      <c r="W1426">
        <v>1.089772E-2</v>
      </c>
      <c r="X1426">
        <v>0.99976299999999996</v>
      </c>
      <c r="Y1426">
        <v>-8.0706260000000002E-2</v>
      </c>
      <c r="Z1426">
        <v>6.9774699999999995E-2</v>
      </c>
      <c r="AA1426">
        <v>0.99429270000000003</v>
      </c>
      <c r="AB1426">
        <v>24</v>
      </c>
      <c r="AC1426">
        <v>0.181499999999999</v>
      </c>
      <c r="AD1426">
        <v>-1.1088027204240001</v>
      </c>
      <c r="AE1426">
        <v>-15.5199</v>
      </c>
      <c r="AF1426">
        <v>-1.26879796411061</v>
      </c>
      <c r="AG1426">
        <v>-1.1088027204240001</v>
      </c>
      <c r="AH1426">
        <v>15.389938248663899</v>
      </c>
      <c r="AI1426">
        <v>94.106997052982194</v>
      </c>
      <c r="AJ1426">
        <v>94.712996980921702</v>
      </c>
      <c r="AK1426">
        <v>15.4819085078112</v>
      </c>
      <c r="AL1426">
        <v>89.375594280244798</v>
      </c>
      <c r="AM1426">
        <v>91.079952403330196</v>
      </c>
      <c r="AN1426">
        <v>1.0000000033277501</v>
      </c>
    </row>
    <row r="1427" spans="1:40" x14ac:dyDescent="0.25">
      <c r="A1427" t="str">
        <f>"20190312151012074"</f>
        <v>20190312151012074</v>
      </c>
      <c r="B1427" t="str">
        <f>"1552374612061842"</f>
        <v>1552374612061842</v>
      </c>
      <c r="C1427" t="s">
        <v>40</v>
      </c>
      <c r="D1427">
        <v>5.5519420000000004</v>
      </c>
      <c r="E1427">
        <v>0.47580050000000002</v>
      </c>
      <c r="F1427" t="s">
        <v>42</v>
      </c>
      <c r="G1427">
        <v>-191.59379999999999</v>
      </c>
      <c r="H1427" s="1">
        <v>-3.6559859999999998E-6</v>
      </c>
      <c r="I1427">
        <v>327.12279999999998</v>
      </c>
      <c r="J1427">
        <v>-191.78809999999999</v>
      </c>
      <c r="K1427">
        <v>1.1091409999999999</v>
      </c>
      <c r="L1427">
        <v>342.55110000000002</v>
      </c>
      <c r="M1427">
        <v>-7.2481950000000003E-2</v>
      </c>
      <c r="N1427">
        <v>0</v>
      </c>
      <c r="O1427">
        <v>-0.99727200000000005</v>
      </c>
      <c r="P1427">
        <v>-5.0417200000000002E-2</v>
      </c>
      <c r="Q1427">
        <v>-2.7365169999999999E-3</v>
      </c>
      <c r="R1427">
        <v>-0.99872450000000002</v>
      </c>
      <c r="S1427">
        <v>3.3386230000000003E-2</v>
      </c>
      <c r="T1427">
        <v>-0.21257229999999999</v>
      </c>
      <c r="U1427">
        <v>-3.0050349999999999</v>
      </c>
      <c r="V1427">
        <v>-2.2081819999999999E-2</v>
      </c>
      <c r="W1427">
        <v>1.127774E-2</v>
      </c>
      <c r="X1427">
        <v>0.99969260000000004</v>
      </c>
      <c r="Y1427">
        <v>-8.3536959999999993E-2</v>
      </c>
      <c r="Z1427">
        <v>7.0158620000000005E-2</v>
      </c>
      <c r="AA1427">
        <v>0.99403180000000002</v>
      </c>
      <c r="AB1427">
        <v>23</v>
      </c>
      <c r="AC1427">
        <v>0.194299999999998</v>
      </c>
      <c r="AD1427">
        <v>-1.1091446559860001</v>
      </c>
      <c r="AE1427">
        <v>-15.4283</v>
      </c>
      <c r="AF1427">
        <v>-1.3054254681289601</v>
      </c>
      <c r="AG1427">
        <v>-1.1091446559860001</v>
      </c>
      <c r="AH1427">
        <v>15.294593627925799</v>
      </c>
      <c r="AI1427">
        <v>94.1327829707501</v>
      </c>
      <c r="AJ1427">
        <v>94.878490650797104</v>
      </c>
      <c r="AK1427">
        <v>15.390221953049601</v>
      </c>
      <c r="AL1427">
        <v>89.353819426042193</v>
      </c>
      <c r="AM1427">
        <v>91.265378361773998</v>
      </c>
      <c r="AN1427">
        <v>1.0000000443443799</v>
      </c>
    </row>
    <row r="1428" spans="1:40" x14ac:dyDescent="0.25">
      <c r="A1428" t="str">
        <f>"20190312151012096"</f>
        <v>20190312151012096</v>
      </c>
      <c r="B1428" t="str">
        <f>"1552374612092099"</f>
        <v>1552374612092099</v>
      </c>
      <c r="C1428" t="s">
        <v>40</v>
      </c>
      <c r="D1428">
        <v>5.6859140000000004</v>
      </c>
      <c r="E1428">
        <v>0.47594340000000002</v>
      </c>
      <c r="F1428" t="s">
        <v>42</v>
      </c>
      <c r="G1428">
        <v>-191.5942</v>
      </c>
      <c r="H1428" s="1">
        <v>-3.5013510000000002E-6</v>
      </c>
      <c r="I1428">
        <v>326.76209999999998</v>
      </c>
      <c r="J1428">
        <v>-191.80629999999999</v>
      </c>
      <c r="K1428">
        <v>1.1094660000000001</v>
      </c>
      <c r="L1428">
        <v>342.32749999999999</v>
      </c>
      <c r="M1428">
        <v>-7.3845629999999995E-2</v>
      </c>
      <c r="N1428">
        <v>0</v>
      </c>
      <c r="O1428">
        <v>-0.99717239999999996</v>
      </c>
      <c r="P1428">
        <v>-4.7946620000000002E-2</v>
      </c>
      <c r="Q1428">
        <v>-2.3374170000000001E-3</v>
      </c>
      <c r="R1428">
        <v>-0.99884740000000005</v>
      </c>
      <c r="S1428">
        <v>3.6911010000000001E-2</v>
      </c>
      <c r="T1428">
        <v>-0.2111055</v>
      </c>
      <c r="U1428">
        <v>-3.0051570000000001</v>
      </c>
      <c r="V1428">
        <v>-2.5929859999999999E-2</v>
      </c>
      <c r="W1428">
        <v>1.1636769999999999E-2</v>
      </c>
      <c r="X1428">
        <v>0.99959609999999999</v>
      </c>
      <c r="Y1428">
        <v>-8.6065069999999994E-2</v>
      </c>
      <c r="Z1428">
        <v>6.9655519999999999E-2</v>
      </c>
      <c r="AA1428">
        <v>0.9938515</v>
      </c>
      <c r="AB1428">
        <v>23</v>
      </c>
      <c r="AC1428">
        <v>0.21209999999999199</v>
      </c>
      <c r="AD1428">
        <v>-1.1094695013510001</v>
      </c>
      <c r="AE1428">
        <v>-15.5654</v>
      </c>
      <c r="AF1428">
        <v>-1.3541903385904801</v>
      </c>
      <c r="AG1428">
        <v>-1.1094695013510001</v>
      </c>
      <c r="AH1428">
        <v>15.428856681258299</v>
      </c>
      <c r="AI1428">
        <v>94.097289655013995</v>
      </c>
      <c r="AJ1428">
        <v>95.015995037053401</v>
      </c>
      <c r="AK1428">
        <v>15.5278579507403</v>
      </c>
      <c r="AL1428">
        <v>89.333247188338106</v>
      </c>
      <c r="AM1428">
        <v>91.485938609775005</v>
      </c>
      <c r="AN1428">
        <v>1.0000000675954199</v>
      </c>
    </row>
    <row r="1429" spans="1:40" x14ac:dyDescent="0.25">
      <c r="A1429" t="str">
        <f>"20190312151012116"</f>
        <v>20190312151012116</v>
      </c>
      <c r="B1429" t="str">
        <f>"1552374612111618"</f>
        <v>1552374612111618</v>
      </c>
      <c r="C1429" t="s">
        <v>40</v>
      </c>
      <c r="D1429">
        <v>5.5835860000000004</v>
      </c>
      <c r="E1429">
        <v>0.47590460000000001</v>
      </c>
      <c r="F1429" t="s">
        <v>42</v>
      </c>
      <c r="G1429">
        <v>-191.5778</v>
      </c>
      <c r="H1429" s="1">
        <v>-3.3537970000000001E-6</v>
      </c>
      <c r="I1429">
        <v>326.42829999999998</v>
      </c>
      <c r="J1429">
        <v>-191.82400000000001</v>
      </c>
      <c r="K1429">
        <v>1.109783</v>
      </c>
      <c r="L1429">
        <v>342.10739999999998</v>
      </c>
      <c r="M1429">
        <v>-7.477752E-2</v>
      </c>
      <c r="N1429">
        <v>0</v>
      </c>
      <c r="O1429">
        <v>-0.99710330000000003</v>
      </c>
      <c r="P1429">
        <v>-4.5482969999999998E-2</v>
      </c>
      <c r="Q1429">
        <v>-2.6255480000000001E-3</v>
      </c>
      <c r="R1429">
        <v>-0.99896169999999995</v>
      </c>
      <c r="S1429">
        <v>4.3182369999999998E-2</v>
      </c>
      <c r="T1429">
        <v>-0.20970059999999999</v>
      </c>
      <c r="U1429">
        <v>-3.005096</v>
      </c>
      <c r="V1429">
        <v>-2.933877E-2</v>
      </c>
      <c r="W1429">
        <v>1.130635E-2</v>
      </c>
      <c r="X1429">
        <v>0.99950559999999999</v>
      </c>
      <c r="Y1429">
        <v>-8.9070159999999995E-2</v>
      </c>
      <c r="Z1429">
        <v>6.9178199999999995E-2</v>
      </c>
      <c r="AA1429">
        <v>0.99362010000000001</v>
      </c>
      <c r="AB1429">
        <v>23</v>
      </c>
      <c r="AC1429">
        <v>0.24620000000001599</v>
      </c>
      <c r="AD1429">
        <v>-1.1097863537970001</v>
      </c>
      <c r="AE1429">
        <v>-15.6791</v>
      </c>
      <c r="AF1429">
        <v>-1.41100078023695</v>
      </c>
      <c r="AG1429">
        <v>-1.1097863537970001</v>
      </c>
      <c r="AH1429">
        <v>15.5389510727342</v>
      </c>
      <c r="AI1429">
        <v>94.068425982689106</v>
      </c>
      <c r="AJ1429">
        <v>95.188463768125004</v>
      </c>
      <c r="AK1429">
        <v>15.6423000033157</v>
      </c>
      <c r="AL1429">
        <v>89.3521800740278</v>
      </c>
      <c r="AM1429">
        <v>91.6813364110875</v>
      </c>
      <c r="AN1429">
        <v>1.0000000207033899</v>
      </c>
    </row>
    <row r="1430" spans="1:40" x14ac:dyDescent="0.25">
      <c r="A1430" t="str">
        <f>"20190312151012138"</f>
        <v>20190312151012138</v>
      </c>
      <c r="B1430" t="str">
        <f>"1552374612132115"</f>
        <v>1552374612132115</v>
      </c>
      <c r="C1430" t="s">
        <v>40</v>
      </c>
      <c r="D1430">
        <v>5.5194839999999896</v>
      </c>
      <c r="E1430">
        <v>0.47581669999999998</v>
      </c>
      <c r="F1430" t="s">
        <v>42</v>
      </c>
      <c r="G1430">
        <v>-191.55789999999999</v>
      </c>
      <c r="H1430" s="1">
        <v>-3.3324110000000002E-6</v>
      </c>
      <c r="I1430">
        <v>326.39080000000001</v>
      </c>
      <c r="J1430">
        <v>-191.84200000000001</v>
      </c>
      <c r="K1430">
        <v>1.110077</v>
      </c>
      <c r="L1430">
        <v>341.87869999999998</v>
      </c>
      <c r="M1430">
        <v>-7.5317490000000001E-2</v>
      </c>
      <c r="N1430">
        <v>0</v>
      </c>
      <c r="O1430">
        <v>-0.99706329999999999</v>
      </c>
      <c r="P1430">
        <v>-4.3081950000000001E-2</v>
      </c>
      <c r="Q1430">
        <v>-3.2436940000000001E-3</v>
      </c>
      <c r="R1430">
        <v>-0.99906660000000003</v>
      </c>
      <c r="S1430">
        <v>5.0872800000000003E-2</v>
      </c>
      <c r="T1430">
        <v>-0.2121845</v>
      </c>
      <c r="U1430">
        <v>-3.0049130000000002</v>
      </c>
      <c r="V1430">
        <v>-3.2290470000000002E-2</v>
      </c>
      <c r="W1430">
        <v>1.0644539999999999E-2</v>
      </c>
      <c r="X1430">
        <v>0.99942180000000003</v>
      </c>
      <c r="Y1430">
        <v>-9.2151280000000002E-2</v>
      </c>
      <c r="Z1430">
        <v>6.9982279999999994E-2</v>
      </c>
      <c r="AA1430">
        <v>0.99328269999999996</v>
      </c>
      <c r="AB1430">
        <v>23</v>
      </c>
      <c r="AC1430">
        <v>0.284100000000023</v>
      </c>
      <c r="AD1430">
        <v>-1.110080332411</v>
      </c>
      <c r="AE1430">
        <v>-15.4878999999999</v>
      </c>
      <c r="AF1430">
        <v>-1.4425067661373501</v>
      </c>
      <c r="AG1430">
        <v>-1.110080332411</v>
      </c>
      <c r="AH1430">
        <v>15.3437033492421</v>
      </c>
      <c r="AI1430">
        <v>94.119899617854799</v>
      </c>
      <c r="AJ1430">
        <v>95.370759157326702</v>
      </c>
      <c r="AK1430">
        <v>15.451289156064</v>
      </c>
      <c r="AL1430">
        <v>89.390101239295703</v>
      </c>
      <c r="AM1430">
        <v>91.850534267087198</v>
      </c>
      <c r="AN1430">
        <v>0.99999995749993498</v>
      </c>
    </row>
    <row r="1431" spans="1:40" x14ac:dyDescent="0.25">
      <c r="A1431" t="str">
        <f>"20190312151012163"</f>
        <v>20190312151012163</v>
      </c>
      <c r="B1431" t="str">
        <f>"1552374612151635"</f>
        <v>1552374612151635</v>
      </c>
      <c r="C1431" t="s">
        <v>40</v>
      </c>
      <c r="D1431">
        <v>5.5299969999999998</v>
      </c>
      <c r="E1431">
        <v>0.47569210000000001</v>
      </c>
      <c r="F1431" t="s">
        <v>42</v>
      </c>
      <c r="G1431">
        <v>-191.53809999999999</v>
      </c>
      <c r="H1431" s="1">
        <v>-3.3309939999999998E-6</v>
      </c>
      <c r="I1431">
        <v>326.39980000000003</v>
      </c>
      <c r="J1431">
        <v>-191.86099999999999</v>
      </c>
      <c r="K1431">
        <v>1.110344</v>
      </c>
      <c r="L1431">
        <v>341.63260000000002</v>
      </c>
      <c r="M1431">
        <v>-7.5448260000000003E-2</v>
      </c>
      <c r="N1431">
        <v>0</v>
      </c>
      <c r="O1431">
        <v>-0.99705359999999998</v>
      </c>
      <c r="P1431">
        <v>-4.0072249999999997E-2</v>
      </c>
      <c r="Q1431">
        <v>-3.3581610000000001E-3</v>
      </c>
      <c r="R1431">
        <v>-0.9991913</v>
      </c>
      <c r="S1431">
        <v>5.9005740000000001E-2</v>
      </c>
      <c r="T1431">
        <v>-0.2154819</v>
      </c>
      <c r="U1431">
        <v>-3.0046689999999998</v>
      </c>
      <c r="V1431">
        <v>-3.543901E-2</v>
      </c>
      <c r="W1431">
        <v>1.0486240000000001E-2</v>
      </c>
      <c r="X1431">
        <v>0.99931680000000001</v>
      </c>
      <c r="Y1431">
        <v>-9.4968990000000003E-2</v>
      </c>
      <c r="Z1431">
        <v>7.1057720000000005E-2</v>
      </c>
      <c r="AA1431">
        <v>0.99294090000000002</v>
      </c>
      <c r="AB1431">
        <v>23</v>
      </c>
      <c r="AC1431">
        <v>0.32290000000000402</v>
      </c>
      <c r="AD1431">
        <v>-1.110347330994</v>
      </c>
      <c r="AE1431">
        <v>-15.2327999999999</v>
      </c>
      <c r="AF1431">
        <v>-1.4636049152549</v>
      </c>
      <c r="AG1431">
        <v>-1.110347330994</v>
      </c>
      <c r="AH1431">
        <v>15.084895858997699</v>
      </c>
      <c r="AI1431">
        <v>94.190147872432902</v>
      </c>
      <c r="AJ1431">
        <v>95.541749892442397</v>
      </c>
      <c r="AK1431">
        <v>15.196351325900901</v>
      </c>
      <c r="AL1431">
        <v>89.399171678798197</v>
      </c>
      <c r="AM1431">
        <v>92.031042737325095</v>
      </c>
      <c r="AN1431">
        <v>0.999999975710678</v>
      </c>
    </row>
    <row r="1432" spans="1:40" x14ac:dyDescent="0.25">
      <c r="A1432" t="str">
        <f>"20190312151012184"</f>
        <v>20190312151012184</v>
      </c>
      <c r="B1432" t="str">
        <f>"1552374612172130"</f>
        <v>1552374612172130</v>
      </c>
      <c r="C1432" t="s">
        <v>40</v>
      </c>
      <c r="D1432">
        <v>5.7672270000000001</v>
      </c>
      <c r="E1432">
        <v>0.47578019999999999</v>
      </c>
      <c r="F1432" t="s">
        <v>42</v>
      </c>
      <c r="G1432">
        <v>-191.5061</v>
      </c>
      <c r="H1432" s="1">
        <v>-3.2397040000000002E-6</v>
      </c>
      <c r="I1432">
        <v>326.20679999999999</v>
      </c>
      <c r="J1432">
        <v>-191.87819999999999</v>
      </c>
      <c r="K1432">
        <v>1.1105259999999999</v>
      </c>
      <c r="L1432">
        <v>341.40660000000003</v>
      </c>
      <c r="M1432">
        <v>-7.5282699999999994E-2</v>
      </c>
      <c r="N1432">
        <v>0</v>
      </c>
      <c r="O1432">
        <v>-0.99706609999999996</v>
      </c>
      <c r="P1432">
        <v>-3.7791430000000001E-2</v>
      </c>
      <c r="Q1432">
        <v>-2.4790179999999999E-3</v>
      </c>
      <c r="R1432">
        <v>-0.99928269999999997</v>
      </c>
      <c r="S1432">
        <v>6.9137569999999995E-2</v>
      </c>
      <c r="T1432">
        <v>-0.2162607</v>
      </c>
      <c r="U1432">
        <v>-3.0044559999999998</v>
      </c>
      <c r="V1432">
        <v>-3.7559059999999998E-2</v>
      </c>
      <c r="W1432">
        <v>1.133019E-2</v>
      </c>
      <c r="X1432">
        <v>0.99923010000000001</v>
      </c>
      <c r="Y1432">
        <v>-9.8151089999999996E-2</v>
      </c>
      <c r="Z1432">
        <v>7.1305950000000007E-2</v>
      </c>
      <c r="AA1432">
        <v>0.99261359999999998</v>
      </c>
      <c r="AB1432">
        <v>23</v>
      </c>
      <c r="AC1432">
        <v>0.372099999999989</v>
      </c>
      <c r="AD1432">
        <v>-1.1105292397040001</v>
      </c>
      <c r="AE1432">
        <v>-15.1998</v>
      </c>
      <c r="AF1432">
        <v>-1.5073937923994001</v>
      </c>
      <c r="AG1432">
        <v>-1.1105292397040001</v>
      </c>
      <c r="AH1432">
        <v>15.0483617263915</v>
      </c>
      <c r="AI1432">
        <v>94.199684453877296</v>
      </c>
      <c r="AJ1432">
        <v>95.720234550860894</v>
      </c>
      <c r="AK1432">
        <v>15.1643892684778</v>
      </c>
      <c r="AL1432">
        <v>89.350813992697695</v>
      </c>
      <c r="AM1432">
        <v>92.152620302704506</v>
      </c>
      <c r="AN1432">
        <v>0.99999992446976205</v>
      </c>
    </row>
    <row r="1433" spans="1:40" x14ac:dyDescent="0.25">
      <c r="A1433" t="str">
        <f>"20190312151012206"</f>
        <v>20190312151012206</v>
      </c>
      <c r="B1433" t="str">
        <f>"1552374612202387"</f>
        <v>1552374612202387</v>
      </c>
      <c r="C1433" t="s">
        <v>40</v>
      </c>
      <c r="D1433">
        <v>5.6560410000000001</v>
      </c>
      <c r="E1433">
        <v>0.47598980000000002</v>
      </c>
      <c r="F1433" t="s">
        <v>42</v>
      </c>
      <c r="G1433">
        <v>-191.4846</v>
      </c>
      <c r="H1433" s="1">
        <v>-3.038071E-6</v>
      </c>
      <c r="I1433">
        <v>325.75020000000001</v>
      </c>
      <c r="J1433">
        <v>-191.8947</v>
      </c>
      <c r="K1433">
        <v>1.110665</v>
      </c>
      <c r="L1433">
        <v>341.18450000000001</v>
      </c>
      <c r="M1433">
        <v>-7.4872439999999998E-2</v>
      </c>
      <c r="N1433">
        <v>0</v>
      </c>
      <c r="O1433">
        <v>-0.99709760000000003</v>
      </c>
      <c r="P1433">
        <v>-3.5454020000000003E-2</v>
      </c>
      <c r="Q1433">
        <v>-1.927362E-3</v>
      </c>
      <c r="R1433">
        <v>-0.99936990000000003</v>
      </c>
      <c r="S1433">
        <v>7.5531009999999996E-2</v>
      </c>
      <c r="T1433">
        <v>-0.2131102</v>
      </c>
      <c r="U1433">
        <v>-3.0044559999999998</v>
      </c>
      <c r="V1433">
        <v>-3.9489879999999998E-2</v>
      </c>
      <c r="W1433">
        <v>1.185086E-2</v>
      </c>
      <c r="X1433">
        <v>0.99914970000000003</v>
      </c>
      <c r="Y1433">
        <v>-9.985434E-2</v>
      </c>
      <c r="Z1433">
        <v>7.026789E-2</v>
      </c>
      <c r="AA1433">
        <v>0.99251780000000001</v>
      </c>
      <c r="AB1433">
        <v>23</v>
      </c>
      <c r="AC1433">
        <v>0.41009999999999902</v>
      </c>
      <c r="AD1433">
        <v>-1.1106680380709999</v>
      </c>
      <c r="AE1433">
        <v>-15.4343</v>
      </c>
      <c r="AF1433">
        <v>-1.5566074308303299</v>
      </c>
      <c r="AG1433">
        <v>-1.1106680380709999</v>
      </c>
      <c r="AH1433">
        <v>15.281185292655399</v>
      </c>
      <c r="AI1433">
        <v>94.135738758885907</v>
      </c>
      <c r="AJ1433">
        <v>95.816333129056005</v>
      </c>
      <c r="AK1433">
        <v>15.4003647402578</v>
      </c>
      <c r="AL1433">
        <v>89.320979849449699</v>
      </c>
      <c r="AM1433">
        <v>92.263350945632894</v>
      </c>
      <c r="AN1433">
        <v>1.0000000082576199</v>
      </c>
    </row>
    <row r="1434" spans="1:40" x14ac:dyDescent="0.25">
      <c r="A1434" t="str">
        <f>"20190312151012228"</f>
        <v>20190312151012228</v>
      </c>
      <c r="B1434" t="str">
        <f>"1552374612221906"</f>
        <v>1552374612221906</v>
      </c>
      <c r="C1434" t="s">
        <v>40</v>
      </c>
      <c r="D1434">
        <v>5.5343150000000003</v>
      </c>
      <c r="E1434">
        <v>0.47601009999999999</v>
      </c>
      <c r="F1434" t="s">
        <v>42</v>
      </c>
      <c r="G1434">
        <v>-191.47149999999999</v>
      </c>
      <c r="H1434" s="1">
        <v>-2.8989650000000002E-6</v>
      </c>
      <c r="I1434">
        <v>325.4341</v>
      </c>
      <c r="J1434">
        <v>-191.9118</v>
      </c>
      <c r="K1434">
        <v>1.110808</v>
      </c>
      <c r="L1434">
        <v>340.94990000000001</v>
      </c>
      <c r="M1434">
        <v>-7.4181090000000005E-2</v>
      </c>
      <c r="N1434">
        <v>0</v>
      </c>
      <c r="O1434">
        <v>-0.99714910000000001</v>
      </c>
      <c r="P1434">
        <v>-3.2971510000000002E-2</v>
      </c>
      <c r="Q1434">
        <v>-2.1416740000000001E-3</v>
      </c>
      <c r="R1434">
        <v>-0.99945410000000001</v>
      </c>
      <c r="S1434">
        <v>8.0734249999999994E-2</v>
      </c>
      <c r="T1434">
        <v>-0.2118572</v>
      </c>
      <c r="U1434">
        <v>-3.0043639999999998</v>
      </c>
      <c r="V1434">
        <v>-4.1282270000000003E-2</v>
      </c>
      <c r="W1434">
        <v>1.160626E-2</v>
      </c>
      <c r="X1434">
        <v>0.99908010000000003</v>
      </c>
      <c r="Y1434">
        <v>-0.10088370000000001</v>
      </c>
      <c r="Z1434">
        <v>6.9859130000000005E-2</v>
      </c>
      <c r="AA1434">
        <v>0.99244250000000001</v>
      </c>
      <c r="AB1434">
        <v>23</v>
      </c>
      <c r="AC1434">
        <v>0.44030000000000702</v>
      </c>
      <c r="AD1434">
        <v>-1.1108108989650001</v>
      </c>
      <c r="AE1434">
        <v>-15.5158</v>
      </c>
      <c r="AF1434">
        <v>-1.5820731347963699</v>
      </c>
      <c r="AG1434">
        <v>-1.1108108989650001</v>
      </c>
      <c r="AH1434">
        <v>15.361705166222199</v>
      </c>
      <c r="AI1434">
        <v>94.114195806944807</v>
      </c>
      <c r="AJ1434">
        <v>95.880054055821304</v>
      </c>
      <c r="AK1434">
        <v>15.482856386049701</v>
      </c>
      <c r="AL1434">
        <v>89.334995348013095</v>
      </c>
      <c r="AM1434">
        <v>92.366131677739702</v>
      </c>
      <c r="AN1434">
        <v>0.99999998865177497</v>
      </c>
    </row>
    <row r="1435" spans="1:40" x14ac:dyDescent="0.25">
      <c r="A1435" t="str">
        <f>"20190312151012252"</f>
        <v>20190312151012252</v>
      </c>
      <c r="B1435" t="str">
        <f>"1552374612242403"</f>
        <v>1552374612242403</v>
      </c>
      <c r="C1435" t="s">
        <v>40</v>
      </c>
      <c r="D1435">
        <v>5.5199439999999997</v>
      </c>
      <c r="E1435">
        <v>0.47597539999999999</v>
      </c>
      <c r="F1435" t="s">
        <v>42</v>
      </c>
      <c r="G1435">
        <v>-191.4556</v>
      </c>
      <c r="H1435" s="1">
        <v>-2.848426E-6</v>
      </c>
      <c r="I1435">
        <v>325.32600000000002</v>
      </c>
      <c r="J1435">
        <v>-191.92869999999999</v>
      </c>
      <c r="K1435">
        <v>1.1109719999999901</v>
      </c>
      <c r="L1435">
        <v>340.71100000000001</v>
      </c>
      <c r="M1435">
        <v>-7.3233699999999999E-2</v>
      </c>
      <c r="N1435">
        <v>0</v>
      </c>
      <c r="O1435">
        <v>-0.99721930000000003</v>
      </c>
      <c r="P1435">
        <v>-3.0014280000000001E-2</v>
      </c>
      <c r="Q1435">
        <v>-2.1540579999999999E-3</v>
      </c>
      <c r="R1435">
        <v>-0.99954719999999997</v>
      </c>
      <c r="S1435">
        <v>8.7707519999999997E-2</v>
      </c>
      <c r="T1435">
        <v>-0.21358260000000001</v>
      </c>
      <c r="U1435">
        <v>-3.004089</v>
      </c>
      <c r="V1435">
        <v>-4.329355E-2</v>
      </c>
      <c r="W1435">
        <v>1.1562390000000001E-2</v>
      </c>
      <c r="X1435">
        <v>0.99899550000000004</v>
      </c>
      <c r="Y1435">
        <v>-0.1022416</v>
      </c>
      <c r="Z1435">
        <v>7.0431899999999895E-2</v>
      </c>
      <c r="AA1435">
        <v>0.99226309999999995</v>
      </c>
      <c r="AB1435">
        <v>23</v>
      </c>
      <c r="AC1435">
        <v>0.47309999999998797</v>
      </c>
      <c r="AD1435">
        <v>-1.11097484842599</v>
      </c>
      <c r="AE1435">
        <v>-15.385</v>
      </c>
      <c r="AF1435">
        <v>-1.59035212544774</v>
      </c>
      <c r="AG1435">
        <v>-1.11097484842599</v>
      </c>
      <c r="AH1435">
        <v>15.229689931057701</v>
      </c>
      <c r="AI1435">
        <v>94.149735633783493</v>
      </c>
      <c r="AJ1435">
        <v>95.961474505725207</v>
      </c>
      <c r="AK1435">
        <v>15.352750255016501</v>
      </c>
      <c r="AL1435">
        <v>89.337509099804393</v>
      </c>
      <c r="AM1435">
        <v>92.481479187041302</v>
      </c>
      <c r="AN1435">
        <v>1.0000000146771799</v>
      </c>
    </row>
    <row r="1436" spans="1:40" x14ac:dyDescent="0.25">
      <c r="A1436" t="str">
        <f>"20190312151012286"</f>
        <v>20190312151012286</v>
      </c>
      <c r="B1436" t="str">
        <f>"1552374612282419"</f>
        <v>1552374612282419</v>
      </c>
      <c r="C1436" t="s">
        <v>40</v>
      </c>
      <c r="D1436">
        <v>5.525188</v>
      </c>
      <c r="E1436">
        <v>0.47609509999999999</v>
      </c>
      <c r="F1436" t="s">
        <v>42</v>
      </c>
      <c r="G1436">
        <v>-191.42779999999999</v>
      </c>
      <c r="H1436" s="1">
        <v>-2.7744769999999999E-6</v>
      </c>
      <c r="I1436">
        <v>325.17090000000002</v>
      </c>
      <c r="J1436">
        <v>-191.95249999999999</v>
      </c>
      <c r="K1436">
        <v>1.111235</v>
      </c>
      <c r="L1436">
        <v>340.35989999999998</v>
      </c>
      <c r="M1436">
        <v>-7.1385420000000005E-2</v>
      </c>
      <c r="N1436">
        <v>0</v>
      </c>
      <c r="O1436">
        <v>-0.99735339999999995</v>
      </c>
      <c r="P1436">
        <v>-2.7291260000000001E-2</v>
      </c>
      <c r="Q1436">
        <v>-2.0534020000000002E-3</v>
      </c>
      <c r="R1436">
        <v>-0.9996254</v>
      </c>
      <c r="S1436">
        <v>9.6817020000000004E-2</v>
      </c>
      <c r="T1436">
        <v>-0.21474550000000001</v>
      </c>
      <c r="U1436">
        <v>-3.0038149999999999</v>
      </c>
      <c r="V1436">
        <v>-4.4170969999999997E-2</v>
      </c>
      <c r="W1436">
        <v>1.162152E-2</v>
      </c>
      <c r="X1436">
        <v>0.99895639999999997</v>
      </c>
      <c r="Y1436">
        <v>-0.103406</v>
      </c>
      <c r="Z1436">
        <v>7.0826600000000003E-2</v>
      </c>
      <c r="AA1436">
        <v>0.9921143</v>
      </c>
      <c r="AB1436">
        <v>23</v>
      </c>
      <c r="AC1436">
        <v>0.52469999999999495</v>
      </c>
      <c r="AD1436">
        <v>-1.1112377744769999</v>
      </c>
      <c r="AE1436">
        <v>-15.188999999999901</v>
      </c>
      <c r="AF1436">
        <v>-1.5991880398257801</v>
      </c>
      <c r="AG1436">
        <v>-1.1112377744769999</v>
      </c>
      <c r="AH1436">
        <v>15.0324181221067</v>
      </c>
      <c r="AI1436">
        <v>94.204135174835002</v>
      </c>
      <c r="AJ1436">
        <v>96.072436140636597</v>
      </c>
      <c r="AK1436">
        <v>15.158029105922299</v>
      </c>
      <c r="AL1436">
        <v>89.334120970789996</v>
      </c>
      <c r="AM1436">
        <v>92.531804907862096</v>
      </c>
      <c r="AN1436">
        <v>1.0000000117093999</v>
      </c>
    </row>
    <row r="1437" spans="1:40" x14ac:dyDescent="0.25">
      <c r="A1437" t="str">
        <f>"20190312151012306"</f>
        <v>20190312151012306</v>
      </c>
      <c r="B1437" t="str">
        <f>"1552374612301939"</f>
        <v>1552374612301939</v>
      </c>
      <c r="C1437" t="s">
        <v>40</v>
      </c>
      <c r="D1437">
        <v>5.6117280000000003</v>
      </c>
      <c r="E1437">
        <v>0.47618100000000002</v>
      </c>
      <c r="F1437" t="s">
        <v>42</v>
      </c>
      <c r="G1437">
        <v>-191.4153</v>
      </c>
      <c r="H1437" s="1">
        <v>-2.6275350000000002E-6</v>
      </c>
      <c r="I1437">
        <v>324.83609999999999</v>
      </c>
      <c r="J1437">
        <v>-191.96639999999999</v>
      </c>
      <c r="K1437">
        <v>1.1113959999999901</v>
      </c>
      <c r="L1437">
        <v>340.14400000000001</v>
      </c>
      <c r="M1437">
        <v>-6.9970260000000006E-2</v>
      </c>
      <c r="N1437">
        <v>0</v>
      </c>
      <c r="O1437">
        <v>-0.9974539</v>
      </c>
      <c r="P1437">
        <v>-2.5611430000000001E-2</v>
      </c>
      <c r="Q1437">
        <v>-2.2627979999999999E-3</v>
      </c>
      <c r="R1437">
        <v>-0.99966960000000005</v>
      </c>
      <c r="S1437">
        <v>0.10392759999999999</v>
      </c>
      <c r="T1437">
        <v>-0.21500059999999999</v>
      </c>
      <c r="U1437">
        <v>-3.0035099999999999</v>
      </c>
      <c r="V1437">
        <v>-4.4435929999999998E-2</v>
      </c>
      <c r="W1437">
        <v>1.138979E-2</v>
      </c>
      <c r="X1437">
        <v>0.99894729999999998</v>
      </c>
      <c r="Y1437">
        <v>-0.1043439</v>
      </c>
      <c r="Z1437">
        <v>7.0921929999999994E-2</v>
      </c>
      <c r="AA1437">
        <v>0.99200929999999998</v>
      </c>
      <c r="AB1437">
        <v>23</v>
      </c>
      <c r="AC1437">
        <v>0.55109999999999004</v>
      </c>
      <c r="AD1437">
        <v>-1.1113986275350001</v>
      </c>
      <c r="AE1437">
        <v>-15.3079</v>
      </c>
      <c r="AF1437">
        <v>-1.6124599105802699</v>
      </c>
      <c r="AG1437">
        <v>-1.1113986275350001</v>
      </c>
      <c r="AH1437">
        <v>15.152044236492999</v>
      </c>
      <c r="AI1437">
        <v>94.171646818886998</v>
      </c>
      <c r="AJ1437">
        <v>96.074476661752499</v>
      </c>
      <c r="AK1437">
        <v>15.278078361402599</v>
      </c>
      <c r="AL1437">
        <v>89.347398988789607</v>
      </c>
      <c r="AM1437">
        <v>92.546995196180802</v>
      </c>
      <c r="AN1437">
        <v>0.99999999368424897</v>
      </c>
    </row>
    <row r="1438" spans="1:40" x14ac:dyDescent="0.25">
      <c r="A1438" t="str">
        <f>"20190312151012330"</f>
        <v>20190312151012330</v>
      </c>
      <c r="B1438" t="str">
        <f>"1552374612322435"</f>
        <v>1552374612322435</v>
      </c>
      <c r="C1438" t="s">
        <v>40</v>
      </c>
      <c r="D1438">
        <v>5.475854</v>
      </c>
      <c r="E1438">
        <v>0.47626819999999997</v>
      </c>
      <c r="F1438" t="s">
        <v>42</v>
      </c>
      <c r="G1438">
        <v>-191.4085</v>
      </c>
      <c r="H1438" s="1">
        <v>-2.5574650000000002E-6</v>
      </c>
      <c r="I1438">
        <v>324.67700000000002</v>
      </c>
      <c r="J1438">
        <v>-191.98079999999999</v>
      </c>
      <c r="K1438">
        <v>1.1115360000000001</v>
      </c>
      <c r="L1438">
        <v>339.91109999999998</v>
      </c>
      <c r="M1438">
        <v>-6.8213990000000002E-2</v>
      </c>
      <c r="N1438">
        <v>0</v>
      </c>
      <c r="O1438">
        <v>-0.99757560000000001</v>
      </c>
      <c r="P1438">
        <v>-2.3790149999999999E-2</v>
      </c>
      <c r="Q1438">
        <v>-2.1833400000000002E-3</v>
      </c>
      <c r="R1438">
        <v>-0.99971480000000001</v>
      </c>
      <c r="S1438">
        <v>0.1083221</v>
      </c>
      <c r="T1438">
        <v>-0.215804</v>
      </c>
      <c r="U1438">
        <v>-3.0032649999999999</v>
      </c>
      <c r="V1438">
        <v>-4.450163E-2</v>
      </c>
      <c r="W1438">
        <v>1.1449869999999999E-2</v>
      </c>
      <c r="X1438">
        <v>0.99894369999999999</v>
      </c>
      <c r="Y1438">
        <v>-0.1040447</v>
      </c>
      <c r="Z1438">
        <v>7.1203660000000002E-2</v>
      </c>
      <c r="AA1438">
        <v>0.99202049999999997</v>
      </c>
      <c r="AB1438">
        <v>23</v>
      </c>
      <c r="AC1438">
        <v>0.57229999999998404</v>
      </c>
      <c r="AD1438">
        <v>-1.1115385574650001</v>
      </c>
      <c r="AE1438">
        <v>-15.2340999999999</v>
      </c>
      <c r="AF1438">
        <v>-1.60172891530975</v>
      </c>
      <c r="AG1438">
        <v>-1.1115385574650001</v>
      </c>
      <c r="AH1438">
        <v>15.079400676366699</v>
      </c>
      <c r="AI1438">
        <v>94.192285115504504</v>
      </c>
      <c r="AJ1438">
        <v>96.063203876309998</v>
      </c>
      <c r="AK1438">
        <v>15.2049129639495</v>
      </c>
      <c r="AL1438">
        <v>89.343956441394596</v>
      </c>
      <c r="AM1438">
        <v>92.550765223419404</v>
      </c>
      <c r="AN1438">
        <v>1.0000000051826801</v>
      </c>
    </row>
    <row r="1439" spans="1:40" x14ac:dyDescent="0.25">
      <c r="A1439" t="str">
        <f>"20190312151012352"</f>
        <v>20190312151012352</v>
      </c>
      <c r="B1439" t="str">
        <f>"1552374612341955"</f>
        <v>1552374612341955</v>
      </c>
      <c r="C1439" t="s">
        <v>40</v>
      </c>
      <c r="D1439">
        <v>5.4410249999999998</v>
      </c>
      <c r="E1439">
        <v>0.4762653</v>
      </c>
      <c r="F1439" t="s">
        <v>42</v>
      </c>
      <c r="G1439">
        <v>-191.39949999999999</v>
      </c>
      <c r="H1439" s="1">
        <v>-2.4527639999999999E-6</v>
      </c>
      <c r="I1439">
        <v>324.43860000000001</v>
      </c>
      <c r="J1439">
        <v>-191.99459999999999</v>
      </c>
      <c r="K1439">
        <v>1.1116539999999999</v>
      </c>
      <c r="L1439">
        <v>339.67540000000002</v>
      </c>
      <c r="M1439">
        <v>-6.6185939999999999E-2</v>
      </c>
      <c r="N1439">
        <v>0</v>
      </c>
      <c r="O1439">
        <v>-0.9977123</v>
      </c>
      <c r="P1439">
        <v>-2.0739380000000002E-2</v>
      </c>
      <c r="Q1439">
        <v>-2.096695E-3</v>
      </c>
      <c r="R1439">
        <v>-0.99978290000000003</v>
      </c>
      <c r="S1439">
        <v>0.11282349999999999</v>
      </c>
      <c r="T1439">
        <v>-0.21573999999999999</v>
      </c>
      <c r="U1439">
        <v>-3.003082</v>
      </c>
      <c r="V1439">
        <v>-4.552283E-2</v>
      </c>
      <c r="W1439">
        <v>1.1516139999999999E-2</v>
      </c>
      <c r="X1439">
        <v>0.99889689999999998</v>
      </c>
      <c r="Y1439">
        <v>-0.10351</v>
      </c>
      <c r="Z1439">
        <v>7.1201680000000003E-2</v>
      </c>
      <c r="AA1439">
        <v>0.99207659999999998</v>
      </c>
      <c r="AB1439">
        <v>23</v>
      </c>
      <c r="AC1439">
        <v>0.59510000000000196</v>
      </c>
      <c r="AD1439">
        <v>-1.111656452764</v>
      </c>
      <c r="AE1439">
        <v>-15.236800000000001</v>
      </c>
      <c r="AF1439">
        <v>-1.5938811685477501</v>
      </c>
      <c r="AG1439">
        <v>-1.111656452764</v>
      </c>
      <c r="AH1439">
        <v>15.083824654560701</v>
      </c>
      <c r="AI1439">
        <v>94.1917441664352</v>
      </c>
      <c r="AJ1439">
        <v>96.031960000468104</v>
      </c>
      <c r="AK1439">
        <v>15.2084845878199</v>
      </c>
      <c r="AL1439">
        <v>89.340159185227506</v>
      </c>
      <c r="AM1439">
        <v>92.6093409321373</v>
      </c>
      <c r="AN1439">
        <v>0.99999998318065897</v>
      </c>
    </row>
    <row r="1440" spans="1:40" x14ac:dyDescent="0.25">
      <c r="A1440" t="str">
        <f>"20190312151012375"</f>
        <v>20190312151012375</v>
      </c>
      <c r="B1440" t="str">
        <f>"1552374612372210"</f>
        <v>1552374612372210</v>
      </c>
      <c r="C1440" t="s">
        <v>40</v>
      </c>
      <c r="D1440">
        <v>5.63375</v>
      </c>
      <c r="E1440">
        <v>0.47642469999999998</v>
      </c>
      <c r="F1440" t="s">
        <v>42</v>
      </c>
      <c r="G1440">
        <v>-191.36869999999999</v>
      </c>
      <c r="H1440" s="1">
        <v>-2.3539090000000001E-6</v>
      </c>
      <c r="I1440">
        <v>324.22730000000001</v>
      </c>
      <c r="J1440">
        <v>-192.00710000000001</v>
      </c>
      <c r="K1440">
        <v>1.1117539999999999</v>
      </c>
      <c r="L1440">
        <v>339.45030000000003</v>
      </c>
      <c r="M1440">
        <v>-6.403114E-2</v>
      </c>
      <c r="N1440">
        <v>0</v>
      </c>
      <c r="O1440">
        <v>-0.99785299999999999</v>
      </c>
      <c r="P1440">
        <v>-1.729472E-2</v>
      </c>
      <c r="Q1440">
        <v>-1.2996450000000001E-3</v>
      </c>
      <c r="R1440">
        <v>-0.99984989999999996</v>
      </c>
      <c r="S1440">
        <v>0.1216583</v>
      </c>
      <c r="T1440">
        <v>-0.21607409999999999</v>
      </c>
      <c r="U1440">
        <v>-3.0026860000000002</v>
      </c>
      <c r="V1440">
        <v>-4.6813159999999999E-2</v>
      </c>
      <c r="W1440">
        <v>1.2295240000000001E-2</v>
      </c>
      <c r="X1440">
        <v>0.99882800000000005</v>
      </c>
      <c r="Y1440">
        <v>-0.1042811</v>
      </c>
      <c r="Z1440">
        <v>7.1328920000000004E-2</v>
      </c>
      <c r="AA1440">
        <v>0.9919867</v>
      </c>
      <c r="AB1440">
        <v>23</v>
      </c>
      <c r="AC1440">
        <v>0.63840000000001795</v>
      </c>
      <c r="AD1440">
        <v>-1.1117563539090001</v>
      </c>
      <c r="AE1440">
        <v>-15.223000000000001</v>
      </c>
      <c r="AF1440">
        <v>-1.60339125829509</v>
      </c>
      <c r="AG1440">
        <v>-1.1117563539090001</v>
      </c>
      <c r="AH1440">
        <v>15.0706343149854</v>
      </c>
      <c r="AI1440">
        <v>94.1954583622652</v>
      </c>
      <c r="AJ1440">
        <v>96.072953715520399</v>
      </c>
      <c r="AK1440">
        <v>15.1964102462934</v>
      </c>
      <c r="AL1440">
        <v>89.295516895846205</v>
      </c>
      <c r="AM1440">
        <v>92.683380079267806</v>
      </c>
      <c r="AN1440">
        <v>1.0000000092299199</v>
      </c>
    </row>
    <row r="1441" spans="1:40" x14ac:dyDescent="0.25">
      <c r="A1441" t="str">
        <f>"20190312151012396"</f>
        <v>20190312151012396</v>
      </c>
      <c r="B1441" t="str">
        <f>"1552374612391731"</f>
        <v>1552374612391731</v>
      </c>
      <c r="C1441" t="s">
        <v>40</v>
      </c>
      <c r="D1441">
        <v>5.580012</v>
      </c>
      <c r="E1441">
        <v>0.47658590000000001</v>
      </c>
      <c r="F1441" t="s">
        <v>42</v>
      </c>
      <c r="G1441">
        <v>-191.327</v>
      </c>
      <c r="H1441" s="1">
        <v>-2.1720609999999999E-6</v>
      </c>
      <c r="I1441">
        <v>323.82920000000001</v>
      </c>
      <c r="J1441">
        <v>-192.0188</v>
      </c>
      <c r="K1441">
        <v>1.111842</v>
      </c>
      <c r="L1441">
        <v>339.22800000000001</v>
      </c>
      <c r="M1441">
        <v>-6.1732740000000001E-2</v>
      </c>
      <c r="N1441">
        <v>0</v>
      </c>
      <c r="O1441">
        <v>-0.99799789999999999</v>
      </c>
      <c r="P1441">
        <v>-1.32531E-2</v>
      </c>
      <c r="Q1441">
        <v>-7.4560179999999998E-4</v>
      </c>
      <c r="R1441">
        <v>-0.99991240000000003</v>
      </c>
      <c r="S1441">
        <v>0.130722</v>
      </c>
      <c r="T1441">
        <v>-0.21368619999999999</v>
      </c>
      <c r="U1441">
        <v>-3.002472</v>
      </c>
      <c r="V1441">
        <v>-4.8554510000000002E-2</v>
      </c>
      <c r="W1441">
        <v>1.2830680000000001E-2</v>
      </c>
      <c r="X1441">
        <v>0.99873809999999996</v>
      </c>
      <c r="Y1441">
        <v>-0.1049851</v>
      </c>
      <c r="Z1441">
        <v>7.0557949999999994E-2</v>
      </c>
      <c r="AA1441">
        <v>0.99196759999999995</v>
      </c>
      <c r="AB1441">
        <v>23</v>
      </c>
      <c r="AC1441">
        <v>0.69179999999999997</v>
      </c>
      <c r="AD1441">
        <v>-1.1118441720609999</v>
      </c>
      <c r="AE1441">
        <v>-15.3987999999999</v>
      </c>
      <c r="AF1441">
        <v>-1.6326858132770199</v>
      </c>
      <c r="AG1441">
        <v>-1.1118441720609999</v>
      </c>
      <c r="AH1441">
        <v>15.2473844617613</v>
      </c>
      <c r="AI1441">
        <v>94.147020973834302</v>
      </c>
      <c r="AJ1441">
        <v>96.111927680119393</v>
      </c>
      <c r="AK1441">
        <v>15.3748038476133</v>
      </c>
      <c r="AL1441">
        <v>89.264836000544193</v>
      </c>
      <c r="AM1441">
        <v>92.783292109417303</v>
      </c>
      <c r="AN1441">
        <v>0.99999997959110598</v>
      </c>
    </row>
    <row r="1442" spans="1:40" x14ac:dyDescent="0.25">
      <c r="A1442" t="str">
        <f>"20190312151012441"</f>
        <v>20190312151012441</v>
      </c>
      <c r="B1442" t="str">
        <f>"1552374612431747"</f>
        <v>1552374612431747</v>
      </c>
      <c r="C1442" t="s">
        <v>40</v>
      </c>
      <c r="D1442">
        <v>6.101667</v>
      </c>
      <c r="E1442">
        <v>0.49663550000000001</v>
      </c>
      <c r="F1442" t="s">
        <v>42</v>
      </c>
      <c r="G1442">
        <v>-191.27260000000001</v>
      </c>
      <c r="H1442" s="1">
        <v>-1.984975E-6</v>
      </c>
      <c r="I1442">
        <v>323.42689999999999</v>
      </c>
      <c r="J1442">
        <v>-192.04060000000001</v>
      </c>
      <c r="K1442">
        <v>1.1119779999999999</v>
      </c>
      <c r="L1442">
        <v>338.77260000000001</v>
      </c>
      <c r="M1442">
        <v>-5.66286999999999E-2</v>
      </c>
      <c r="N1442">
        <v>0</v>
      </c>
      <c r="O1442">
        <v>-0.99830030000000003</v>
      </c>
      <c r="P1442">
        <v>-5.1543889999999997E-3</v>
      </c>
      <c r="Q1442">
        <v>-6.1380150000000004E-4</v>
      </c>
      <c r="R1442">
        <v>-0.99998640000000005</v>
      </c>
      <c r="S1442">
        <v>0.14178470000000001</v>
      </c>
      <c r="T1442">
        <v>-0.21123420000000001</v>
      </c>
      <c r="U1442">
        <v>-3.0019840000000002</v>
      </c>
      <c r="V1442">
        <v>-5.1541169999999997E-2</v>
      </c>
      <c r="W1442">
        <v>1.293129E-2</v>
      </c>
      <c r="X1442">
        <v>0.99858709999999995</v>
      </c>
      <c r="Y1442">
        <v>-0.10355739999999899</v>
      </c>
      <c r="Z1442">
        <v>6.9794889999999998E-2</v>
      </c>
      <c r="AA1442">
        <v>0.99217160000000004</v>
      </c>
      <c r="AB1442">
        <v>23</v>
      </c>
      <c r="AC1442">
        <v>0.76800000000000002</v>
      </c>
      <c r="AD1442">
        <v>-1.1119799849750001</v>
      </c>
      <c r="AE1442">
        <v>-15.345700000000001</v>
      </c>
      <c r="AF1442">
        <v>-1.6273334842094</v>
      </c>
      <c r="AG1442">
        <v>-1.1119799849750001</v>
      </c>
      <c r="AH1442">
        <v>15.1979739899054</v>
      </c>
      <c r="AI1442">
        <v>94.160964373785802</v>
      </c>
      <c r="AJ1442">
        <v>96.111698570941201</v>
      </c>
      <c r="AK1442">
        <v>15.325244766517001</v>
      </c>
      <c r="AL1442">
        <v>89.259070974338698</v>
      </c>
      <c r="AM1442">
        <v>92.954647958019507</v>
      </c>
      <c r="AN1442">
        <v>0.99999995337622005</v>
      </c>
    </row>
    <row r="1443" spans="1:40" x14ac:dyDescent="0.25">
      <c r="A1443" t="str">
        <f>"20190312151012464"</f>
        <v>20190312151012464</v>
      </c>
      <c r="B1443" t="str">
        <f>"1552374612452243"</f>
        <v>1552374612452243</v>
      </c>
      <c r="C1443" t="s">
        <v>40</v>
      </c>
      <c r="D1443">
        <v>5.694318</v>
      </c>
      <c r="E1443">
        <v>0.49696059999999997</v>
      </c>
      <c r="F1443" t="s">
        <v>42</v>
      </c>
      <c r="G1443">
        <v>-191.9692</v>
      </c>
      <c r="H1443" s="1">
        <v>-1.8846239999999999E-6</v>
      </c>
      <c r="I1443">
        <v>312.4701</v>
      </c>
      <c r="J1443">
        <v>-192.05099999999999</v>
      </c>
      <c r="K1443">
        <v>1.112017</v>
      </c>
      <c r="L1443">
        <v>338.5326</v>
      </c>
      <c r="M1443">
        <v>-5.379515E-2</v>
      </c>
      <c r="N1443">
        <v>0</v>
      </c>
      <c r="O1443">
        <v>-0.99845709999999999</v>
      </c>
      <c r="P1443">
        <v>-1.758627E-3</v>
      </c>
      <c r="Q1443">
        <v>-1.476696E-3</v>
      </c>
      <c r="R1443">
        <v>-0.99999729999999998</v>
      </c>
      <c r="S1443">
        <v>8.1481929999999998E-3</v>
      </c>
      <c r="T1443">
        <v>-0.12683</v>
      </c>
      <c r="U1443">
        <v>-3</v>
      </c>
      <c r="V1443">
        <v>-5.209598E-2</v>
      </c>
      <c r="W1443">
        <v>1.20597E-2</v>
      </c>
      <c r="X1443">
        <v>0.99856929999999999</v>
      </c>
      <c r="Y1443">
        <v>-5.6509719999999999E-2</v>
      </c>
      <c r="Z1443">
        <v>4.2113369999999997E-2</v>
      </c>
      <c r="AA1443">
        <v>0.99751350000000005</v>
      </c>
      <c r="AB1443">
        <v>23</v>
      </c>
      <c r="AC1443">
        <v>8.1799999999986994E-2</v>
      </c>
      <c r="AD1443">
        <v>-1.112018884624</v>
      </c>
      <c r="AE1443">
        <v>-26.0625</v>
      </c>
      <c r="AF1443">
        <v>-1.48115406639947</v>
      </c>
      <c r="AG1443">
        <v>-1.112018884624</v>
      </c>
      <c r="AH1443">
        <v>25.9730696171519</v>
      </c>
      <c r="AI1443">
        <v>92.447609887708794</v>
      </c>
      <c r="AJ1443">
        <v>93.263844589345794</v>
      </c>
      <c r="AK1443">
        <v>26.039023574350701</v>
      </c>
      <c r="AL1443">
        <v>89.309013363723395</v>
      </c>
      <c r="AM1443">
        <v>92.986448854114101</v>
      </c>
      <c r="AN1443">
        <v>1.00000003719936</v>
      </c>
    </row>
    <row r="1444" spans="1:40" x14ac:dyDescent="0.25">
      <c r="A1444" t="str">
        <f>"20190312151012486"</f>
        <v>20190312151012486</v>
      </c>
      <c r="B1444" t="str">
        <f>"1552374612481956"</f>
        <v>1552374612481956</v>
      </c>
      <c r="C1444" t="s">
        <v>40</v>
      </c>
      <c r="D1444">
        <v>5.4594579999999997</v>
      </c>
      <c r="E1444">
        <v>0.49703019999999998</v>
      </c>
      <c r="F1444" t="s">
        <v>42</v>
      </c>
      <c r="G1444">
        <v>-191.92009999999999</v>
      </c>
      <c r="H1444" s="1">
        <v>-2.3844220000000002E-6</v>
      </c>
      <c r="I1444">
        <v>313.55500000000001</v>
      </c>
      <c r="J1444">
        <v>-192.06</v>
      </c>
      <c r="K1444">
        <v>1.112045</v>
      </c>
      <c r="L1444">
        <v>338.30619999999999</v>
      </c>
      <c r="M1444">
        <v>-5.1061960000000003E-2</v>
      </c>
      <c r="N1444">
        <v>0</v>
      </c>
      <c r="O1444">
        <v>-0.99860059999999995</v>
      </c>
      <c r="P1444">
        <v>1.039552E-3</v>
      </c>
      <c r="Q1444">
        <v>-1.5258909999999999E-3</v>
      </c>
      <c r="R1444">
        <v>-0.99999859999999896</v>
      </c>
      <c r="S1444">
        <v>1.5716549999999999E-2</v>
      </c>
      <c r="T1444">
        <v>-0.13355529999999999</v>
      </c>
      <c r="U1444">
        <v>-2.9998469999999999</v>
      </c>
      <c r="V1444">
        <v>-5.2157450000000001E-2</v>
      </c>
      <c r="W1444">
        <v>1.2006299999999999E-2</v>
      </c>
      <c r="X1444">
        <v>0.99856670000000003</v>
      </c>
      <c r="Y1444">
        <v>-5.629311E-2</v>
      </c>
      <c r="Z1444">
        <v>4.4354049999999999E-2</v>
      </c>
      <c r="AA1444">
        <v>0.9974286</v>
      </c>
      <c r="AB1444">
        <v>23</v>
      </c>
      <c r="AC1444">
        <v>0.13990000000001099</v>
      </c>
      <c r="AD1444">
        <v>-1.112047384422</v>
      </c>
      <c r="AE1444">
        <v>-24.751199999999901</v>
      </c>
      <c r="AF1444">
        <v>-1.4008543271084</v>
      </c>
      <c r="AG1444">
        <v>-1.112047384422</v>
      </c>
      <c r="AH1444">
        <v>24.661979856794801</v>
      </c>
      <c r="AI1444">
        <v>92.577658339584701</v>
      </c>
      <c r="AJ1444">
        <v>93.251031963589895</v>
      </c>
      <c r="AK1444">
        <v>24.7267525706051</v>
      </c>
      <c r="AL1444">
        <v>89.312073155953897</v>
      </c>
      <c r="AM1444">
        <v>92.989974057773097</v>
      </c>
      <c r="AN1444">
        <v>1.0000000025895399</v>
      </c>
    </row>
    <row r="1445" spans="1:40" x14ac:dyDescent="0.25">
      <c r="A1445" t="str">
        <f>"20190312151012509"</f>
        <v>20190312151012509</v>
      </c>
      <c r="B1445" t="str">
        <f>"1552374612502452"</f>
        <v>1552374612502452</v>
      </c>
      <c r="C1445" t="s">
        <v>40</v>
      </c>
      <c r="D1445">
        <v>5.496848</v>
      </c>
      <c r="E1445">
        <v>0.49703560000000002</v>
      </c>
      <c r="F1445" t="s">
        <v>42</v>
      </c>
      <c r="G1445">
        <v>-191.88069999999999</v>
      </c>
      <c r="H1445" s="1">
        <v>-3.1791199999999999E-6</v>
      </c>
      <c r="I1445">
        <v>315.25839999999999</v>
      </c>
      <c r="J1445">
        <v>-192.06829999999999</v>
      </c>
      <c r="K1445">
        <v>1.112052</v>
      </c>
      <c r="L1445">
        <v>338.08330000000001</v>
      </c>
      <c r="M1445">
        <v>-4.8324609999999997E-2</v>
      </c>
      <c r="N1445">
        <v>0</v>
      </c>
      <c r="O1445">
        <v>-0.99873679999999998</v>
      </c>
      <c r="P1445">
        <v>3.5400259999999999E-3</v>
      </c>
      <c r="Q1445">
        <v>-1.278202E-3</v>
      </c>
      <c r="R1445">
        <v>-0.99999289999999996</v>
      </c>
      <c r="S1445">
        <v>2.3345950000000001E-2</v>
      </c>
      <c r="T1445">
        <v>-0.1447369</v>
      </c>
      <c r="U1445">
        <v>-2.9997560000000001</v>
      </c>
      <c r="V1445">
        <v>-5.1918249999999999E-2</v>
      </c>
      <c r="W1445">
        <v>1.2252330000000001E-2</v>
      </c>
      <c r="X1445">
        <v>0.99857620000000002</v>
      </c>
      <c r="Y1445">
        <v>-5.6091960000000003E-2</v>
      </c>
      <c r="Z1445">
        <v>4.8070370000000001E-2</v>
      </c>
      <c r="AA1445">
        <v>0.99726769999999998</v>
      </c>
      <c r="AB1445">
        <v>23</v>
      </c>
      <c r="AC1445">
        <v>0.18760000000000299</v>
      </c>
      <c r="AD1445">
        <v>-1.11205517912</v>
      </c>
      <c r="AE1445">
        <v>-22.8249</v>
      </c>
      <c r="AF1445">
        <v>-1.2874338784089501</v>
      </c>
      <c r="AG1445">
        <v>-1.11205517912</v>
      </c>
      <c r="AH1445">
        <v>22.7351976583839</v>
      </c>
      <c r="AI1445">
        <v>92.795826027453799</v>
      </c>
      <c r="AJ1445">
        <v>93.241046515986497</v>
      </c>
      <c r="AK1445">
        <v>22.7987579766633</v>
      </c>
      <c r="AL1445">
        <v>89.297975654520599</v>
      </c>
      <c r="AM1445">
        <v>92.976258143249794</v>
      </c>
      <c r="AN1445">
        <v>1.0000000257399599</v>
      </c>
    </row>
    <row r="1446" spans="1:40" x14ac:dyDescent="0.25">
      <c r="A1446" t="str">
        <f>"20190312151012530"</f>
        <v>20190312151012530</v>
      </c>
      <c r="B1446" t="str">
        <f>"1552374612521972"</f>
        <v>1552374612521972</v>
      </c>
      <c r="C1446" t="s">
        <v>40</v>
      </c>
      <c r="D1446">
        <v>5.629982</v>
      </c>
      <c r="E1446">
        <v>0.49709370000000003</v>
      </c>
      <c r="F1446" t="s">
        <v>42</v>
      </c>
      <c r="G1446">
        <v>-191.83930000000001</v>
      </c>
      <c r="H1446" s="1">
        <v>-3.411166E-6</v>
      </c>
      <c r="I1446">
        <v>315.77260000000001</v>
      </c>
      <c r="J1446">
        <v>-192.07560000000001</v>
      </c>
      <c r="K1446">
        <v>1.112063</v>
      </c>
      <c r="L1446">
        <v>337.86919999999998</v>
      </c>
      <c r="M1446">
        <v>-4.566274E-2</v>
      </c>
      <c r="N1446">
        <v>0</v>
      </c>
      <c r="O1446">
        <v>-0.99886209999999997</v>
      </c>
      <c r="P1446">
        <v>5.3349599999999997E-3</v>
      </c>
      <c r="Q1446">
        <v>-2.0108140000000001E-3</v>
      </c>
      <c r="R1446">
        <v>-0.99998410000000004</v>
      </c>
      <c r="S1446">
        <v>3.0792239999999999E-2</v>
      </c>
      <c r="T1446">
        <v>-0.14951809999999999</v>
      </c>
      <c r="U1446">
        <v>-2.9997250000000002</v>
      </c>
      <c r="V1446">
        <v>-5.1046359999999999E-2</v>
      </c>
      <c r="W1446">
        <v>1.1522340000000001E-2</v>
      </c>
      <c r="X1446">
        <v>0.99862980000000001</v>
      </c>
      <c r="Y1446">
        <v>-5.5905719999999999E-2</v>
      </c>
      <c r="Z1446">
        <v>4.9664020000000003E-2</v>
      </c>
      <c r="AA1446">
        <v>0.99720010000000003</v>
      </c>
      <c r="AB1446">
        <v>23</v>
      </c>
      <c r="AC1446">
        <v>0.23629999999999901</v>
      </c>
      <c r="AD1446">
        <v>-1.1120664111659999</v>
      </c>
      <c r="AE1446">
        <v>-22.096599999999899</v>
      </c>
      <c r="AF1446">
        <v>-1.24199491250472</v>
      </c>
      <c r="AG1446">
        <v>-1.1120664111659999</v>
      </c>
      <c r="AH1446">
        <v>22.007021580987299</v>
      </c>
      <c r="AI1446">
        <v>92.888241337173596</v>
      </c>
      <c r="AJ1446">
        <v>93.230135426965802</v>
      </c>
      <c r="AK1446">
        <v>22.0700757119583</v>
      </c>
      <c r="AL1446">
        <v>89.339803929889101</v>
      </c>
      <c r="AM1446">
        <v>92.926207124042804</v>
      </c>
      <c r="AN1446">
        <v>0.99999998631818199</v>
      </c>
    </row>
    <row r="1447" spans="1:40" x14ac:dyDescent="0.25">
      <c r="A1447" t="str">
        <f>"20190312151012552"</f>
        <v>20190312151012552</v>
      </c>
      <c r="B1447" t="str">
        <f>"1552374612542468"</f>
        <v>1552374612542468</v>
      </c>
      <c r="C1447" t="s">
        <v>40</v>
      </c>
      <c r="D1447">
        <v>5.59687</v>
      </c>
      <c r="E1447">
        <v>0.49689939999999999</v>
      </c>
      <c r="F1447" t="s">
        <v>42</v>
      </c>
      <c r="G1447">
        <v>-191.8227</v>
      </c>
      <c r="H1447" s="1">
        <v>-3.7456089999999998E-6</v>
      </c>
      <c r="I1447">
        <v>316.48939999999999</v>
      </c>
      <c r="J1447">
        <v>-192.08260000000001</v>
      </c>
      <c r="K1447">
        <v>1.1120699999999999</v>
      </c>
      <c r="L1447">
        <v>337.64429999999999</v>
      </c>
      <c r="M1447">
        <v>-4.2840879999999998E-2</v>
      </c>
      <c r="N1447">
        <v>0</v>
      </c>
      <c r="O1447">
        <v>-0.99898719999999996</v>
      </c>
      <c r="P1447">
        <v>7.2737490000000004E-3</v>
      </c>
      <c r="Q1447">
        <v>-2.5908649999999999E-3</v>
      </c>
      <c r="R1447">
        <v>-0.99997040000000004</v>
      </c>
      <c r="S1447">
        <v>3.5476679999999997E-2</v>
      </c>
      <c r="T1447">
        <v>-0.1560221</v>
      </c>
      <c r="U1447">
        <v>-2.9995729999999998</v>
      </c>
      <c r="V1447">
        <v>-5.0159059999999998E-2</v>
      </c>
      <c r="W1447">
        <v>1.094493E-2</v>
      </c>
      <c r="X1447">
        <v>0.99868120000000005</v>
      </c>
      <c r="Y1447">
        <v>-5.4641540000000002E-2</v>
      </c>
      <c r="Z1447">
        <v>5.1832410000000002E-2</v>
      </c>
      <c r="AA1447">
        <v>0.99715980000000004</v>
      </c>
      <c r="AB1447">
        <v>23</v>
      </c>
      <c r="AC1447">
        <v>0.25990000000001601</v>
      </c>
      <c r="AD1447">
        <v>-1.112073745609</v>
      </c>
      <c r="AE1447">
        <v>-21.154900000000001</v>
      </c>
      <c r="AF1447">
        <v>-1.1628287508278801</v>
      </c>
      <c r="AG1447">
        <v>-1.112073745609</v>
      </c>
      <c r="AH1447">
        <v>21.066133216477599</v>
      </c>
      <c r="AI1447">
        <v>93.017234426549095</v>
      </c>
      <c r="AJ1447">
        <v>93.159461451597295</v>
      </c>
      <c r="AK1447">
        <v>21.1274903245465</v>
      </c>
      <c r="AL1447">
        <v>89.372889139821197</v>
      </c>
      <c r="AM1447">
        <v>92.875281464467704</v>
      </c>
      <c r="AN1447">
        <v>0.99999993101311202</v>
      </c>
    </row>
    <row r="1448" spans="1:40" x14ac:dyDescent="0.25">
      <c r="A1448" t="str">
        <f>"20190312151012574"</f>
        <v>20190312151012574</v>
      </c>
      <c r="B1448" t="str">
        <f>"1552374612561988"</f>
        <v>1552374612561988</v>
      </c>
      <c r="C1448" t="s">
        <v>40</v>
      </c>
      <c r="D1448">
        <v>5.5115309999999997</v>
      </c>
      <c r="E1448">
        <v>0.49659550000000002</v>
      </c>
      <c r="F1448" t="s">
        <v>42</v>
      </c>
      <c r="G1448">
        <v>-191.79069999999999</v>
      </c>
      <c r="H1448" s="1">
        <v>-4.0651360000000004E-6</v>
      </c>
      <c r="I1448">
        <v>317.18340000000001</v>
      </c>
      <c r="J1448">
        <v>-192.0889</v>
      </c>
      <c r="K1448">
        <v>1.1120680000000001</v>
      </c>
      <c r="L1448">
        <v>337.42090000000002</v>
      </c>
      <c r="M1448">
        <v>-4.0014210000000001E-2</v>
      </c>
      <c r="N1448">
        <v>0</v>
      </c>
      <c r="O1448">
        <v>-0.99910429999999995</v>
      </c>
      <c r="P1448">
        <v>9.7257469999999999E-3</v>
      </c>
      <c r="Q1448">
        <v>-3.0055569999999998E-3</v>
      </c>
      <c r="R1448">
        <v>-0.99994850000000002</v>
      </c>
      <c r="S1448">
        <v>4.278564E-2</v>
      </c>
      <c r="T1448">
        <v>-0.1630182</v>
      </c>
      <c r="U1448">
        <v>-2.9993590000000001</v>
      </c>
      <c r="V1448">
        <v>-4.9780690000000002E-2</v>
      </c>
      <c r="W1448">
        <v>1.0530100000000001E-2</v>
      </c>
      <c r="X1448">
        <v>0.9987047</v>
      </c>
      <c r="Y1448">
        <v>-5.4245000000000002E-2</v>
      </c>
      <c r="Z1448">
        <v>5.4163040000000003E-2</v>
      </c>
      <c r="AA1448">
        <v>0.99705759999999999</v>
      </c>
      <c r="AB1448">
        <v>23</v>
      </c>
      <c r="AC1448">
        <v>0.29820000000000801</v>
      </c>
      <c r="AD1448">
        <v>-1.1120720651360001</v>
      </c>
      <c r="AE1448">
        <v>-20.237500000000001</v>
      </c>
      <c r="AF1448">
        <v>-1.1044910088186699</v>
      </c>
      <c r="AG1448">
        <v>-1.1120720651360001</v>
      </c>
      <c r="AH1448">
        <v>20.148527894710199</v>
      </c>
      <c r="AI1448">
        <v>93.154435119431497</v>
      </c>
      <c r="AJ1448">
        <v>93.137668445402696</v>
      </c>
      <c r="AK1448">
        <v>20.209398333214502</v>
      </c>
      <c r="AL1448">
        <v>89.396658585249398</v>
      </c>
      <c r="AM1448">
        <v>92.853561007585995</v>
      </c>
      <c r="AN1448">
        <v>1.0000000389524799</v>
      </c>
    </row>
    <row r="1449" spans="1:40" x14ac:dyDescent="0.25">
      <c r="A1449" t="str">
        <f>"20190312151012597"</f>
        <v>20190312151012597</v>
      </c>
      <c r="B1449" t="str">
        <f>"1552374612592244"</f>
        <v>1552374612592244</v>
      </c>
      <c r="C1449" t="s">
        <v>40</v>
      </c>
      <c r="D1449">
        <v>5.4870400000000004</v>
      </c>
      <c r="E1449">
        <v>0.49667129999999998</v>
      </c>
      <c r="F1449" t="s">
        <v>42</v>
      </c>
      <c r="G1449">
        <v>-191.74709999999999</v>
      </c>
      <c r="H1449" s="1">
        <v>-4.3783150000000003E-6</v>
      </c>
      <c r="I1449">
        <v>317.88049999999998</v>
      </c>
      <c r="J1449">
        <v>-192.09460000000001</v>
      </c>
      <c r="K1449">
        <v>1.112066</v>
      </c>
      <c r="L1449">
        <v>337.19690000000003</v>
      </c>
      <c r="M1449">
        <v>-3.7155519999999997E-2</v>
      </c>
      <c r="N1449">
        <v>0</v>
      </c>
      <c r="O1449">
        <v>-0.99921490000000002</v>
      </c>
      <c r="P1449">
        <v>1.1946109999999999E-2</v>
      </c>
      <c r="Q1449">
        <v>-3.362196E-3</v>
      </c>
      <c r="R1449">
        <v>-0.99992309999999995</v>
      </c>
      <c r="S1449">
        <v>5.2459720000000001E-2</v>
      </c>
      <c r="T1449">
        <v>-0.17068410000000001</v>
      </c>
      <c r="U1449">
        <v>-2.9991150000000002</v>
      </c>
      <c r="V1449">
        <v>-4.9138910000000001E-2</v>
      </c>
      <c r="W1449">
        <v>1.0174880000000001E-2</v>
      </c>
      <c r="X1449">
        <v>0.99874010000000002</v>
      </c>
      <c r="Y1449">
        <v>-5.4602119999999997E-2</v>
      </c>
      <c r="Z1449">
        <v>5.6714000000000001E-2</v>
      </c>
      <c r="AA1449">
        <v>0.99689629999999996</v>
      </c>
      <c r="AB1449">
        <v>23</v>
      </c>
      <c r="AC1449">
        <v>0.34750000000002501</v>
      </c>
      <c r="AD1449">
        <v>-1.1120703783149899</v>
      </c>
      <c r="AE1449">
        <v>-19.316400000000002</v>
      </c>
      <c r="AF1449">
        <v>-1.0615215150287201</v>
      </c>
      <c r="AG1449">
        <v>-1.1120703783149899</v>
      </c>
      <c r="AH1449">
        <v>19.2264420820228</v>
      </c>
      <c r="AI1449">
        <v>93.305315393805998</v>
      </c>
      <c r="AJ1449">
        <v>93.160179870682299</v>
      </c>
      <c r="AK1449">
        <v>19.287809714598801</v>
      </c>
      <c r="AL1449">
        <v>89.417012244219706</v>
      </c>
      <c r="AM1449">
        <v>92.816732433058206</v>
      </c>
      <c r="AN1449">
        <v>0.99999997400350504</v>
      </c>
    </row>
    <row r="1450" spans="1:40" x14ac:dyDescent="0.25">
      <c r="A1450" t="str">
        <f>"20190312151012620"</f>
        <v>20190312151012620</v>
      </c>
      <c r="B1450" t="str">
        <f>"1552374612611765"</f>
        <v>1552374612611765</v>
      </c>
      <c r="C1450" t="s">
        <v>40</v>
      </c>
      <c r="D1450">
        <v>5.4854310000000002</v>
      </c>
      <c r="E1450">
        <v>0.49724109999999999</v>
      </c>
      <c r="F1450" t="s">
        <v>42</v>
      </c>
      <c r="G1450">
        <v>-191.73390000000001</v>
      </c>
      <c r="H1450" s="1">
        <v>-4.6588869999999998E-6</v>
      </c>
      <c r="I1450">
        <v>318.61720000000003</v>
      </c>
      <c r="J1450">
        <v>-192.09970000000001</v>
      </c>
      <c r="K1450">
        <v>1.11207099999999</v>
      </c>
      <c r="L1450">
        <v>336.96289999999999</v>
      </c>
      <c r="M1450">
        <v>-3.4137279999999999E-2</v>
      </c>
      <c r="N1450">
        <v>0</v>
      </c>
      <c r="O1450">
        <v>-0.9993225</v>
      </c>
      <c r="P1450">
        <v>1.4753779999999999E-2</v>
      </c>
      <c r="Q1450">
        <v>-4.0456729999999996E-3</v>
      </c>
      <c r="R1450">
        <v>-0.99988319999999997</v>
      </c>
      <c r="S1450">
        <v>5.8227540000000001E-2</v>
      </c>
      <c r="T1450">
        <v>-0.17950250000000001</v>
      </c>
      <c r="U1450">
        <v>-2.998993</v>
      </c>
      <c r="V1450">
        <v>-4.8923990000000001E-2</v>
      </c>
      <c r="W1450">
        <v>9.4896970000000001E-3</v>
      </c>
      <c r="X1450">
        <v>0.99875740000000002</v>
      </c>
      <c r="Y1450">
        <v>-5.350017E-2</v>
      </c>
      <c r="Z1450">
        <v>5.9646709999999999E-2</v>
      </c>
      <c r="AA1450">
        <v>0.99678480000000003</v>
      </c>
      <c r="AB1450">
        <v>23</v>
      </c>
      <c r="AC1450">
        <v>0.36580000000000701</v>
      </c>
      <c r="AD1450">
        <v>-1.11207565888699</v>
      </c>
      <c r="AE1450">
        <v>-18.345699999999901</v>
      </c>
      <c r="AF1450">
        <v>-0.98828826428054695</v>
      </c>
      <c r="AG1450">
        <v>-1.11207565888699</v>
      </c>
      <c r="AH1450">
        <v>18.255463319171302</v>
      </c>
      <c r="AI1450">
        <v>93.4809184148247</v>
      </c>
      <c r="AJ1450">
        <v>93.098772381442004</v>
      </c>
      <c r="AK1450">
        <v>18.315986649973599</v>
      </c>
      <c r="AL1450">
        <v>89.456272239812904</v>
      </c>
      <c r="AM1450">
        <v>92.804384035312296</v>
      </c>
      <c r="AN1450">
        <v>0.99999997760071502</v>
      </c>
    </row>
    <row r="1451" spans="1:40" x14ac:dyDescent="0.25">
      <c r="A1451" t="str">
        <f>"20190312151012642"</f>
        <v>20190312151012642</v>
      </c>
      <c r="B1451" t="str">
        <f>"1552374612632261"</f>
        <v>1552374612632261</v>
      </c>
      <c r="C1451" t="s">
        <v>40</v>
      </c>
      <c r="D1451">
        <v>5.5314639999999997</v>
      </c>
      <c r="E1451">
        <v>0.49739270000000002</v>
      </c>
      <c r="F1451" t="s">
        <v>42</v>
      </c>
      <c r="G1451">
        <v>-191.72319999999999</v>
      </c>
      <c r="H1451" s="1">
        <v>-4.7178839999999997E-6</v>
      </c>
      <c r="I1451">
        <v>318.7758</v>
      </c>
      <c r="J1451">
        <v>-192.10400000000001</v>
      </c>
      <c r="K1451">
        <v>1.1120779999999999</v>
      </c>
      <c r="L1451">
        <v>336.73540000000003</v>
      </c>
      <c r="M1451">
        <v>-3.1169550000000001E-2</v>
      </c>
      <c r="N1451">
        <v>0</v>
      </c>
      <c r="O1451">
        <v>-0.99941930000000001</v>
      </c>
      <c r="P1451">
        <v>1.703851E-2</v>
      </c>
      <c r="Q1451">
        <v>-3.812382E-3</v>
      </c>
      <c r="R1451">
        <v>-0.99984779999999995</v>
      </c>
      <c r="S1451">
        <v>6.2088009999999999E-2</v>
      </c>
      <c r="T1451">
        <v>-0.18335899999999999</v>
      </c>
      <c r="U1451">
        <v>-2.998688</v>
      </c>
      <c r="V1451">
        <v>-4.8241409999999998E-2</v>
      </c>
      <c r="W1451">
        <v>9.7247659999999993E-3</v>
      </c>
      <c r="X1451">
        <v>0.99878840000000002</v>
      </c>
      <c r="Y1451">
        <v>-5.1817849999999999E-2</v>
      </c>
      <c r="Z1451">
        <v>6.0940439999999998E-2</v>
      </c>
      <c r="AA1451">
        <v>0.99679549999999995</v>
      </c>
      <c r="AB1451">
        <v>23</v>
      </c>
      <c r="AC1451">
        <v>0.38080000000002201</v>
      </c>
      <c r="AD1451">
        <v>-1.112082717884</v>
      </c>
      <c r="AE1451">
        <v>-17.959599999999998</v>
      </c>
      <c r="AF1451">
        <v>-0.93687005939062395</v>
      </c>
      <c r="AG1451">
        <v>-1.112082717884</v>
      </c>
      <c r="AH1451">
        <v>17.870512203855501</v>
      </c>
      <c r="AI1451">
        <v>93.556055948453604</v>
      </c>
      <c r="AJ1451">
        <v>93.0010110114995</v>
      </c>
      <c r="AK1451">
        <v>17.9295750063337</v>
      </c>
      <c r="AL1451">
        <v>89.442803189013006</v>
      </c>
      <c r="AM1451">
        <v>92.765233165011495</v>
      </c>
      <c r="AN1451">
        <v>1.0000000363435499</v>
      </c>
    </row>
    <row r="1452" spans="1:40" x14ac:dyDescent="0.25">
      <c r="A1452" t="str">
        <f>"20190312151012666"</f>
        <v>20190312151012666</v>
      </c>
      <c r="B1452" t="str">
        <f>"1552374612662516"</f>
        <v>1552374612662516</v>
      </c>
      <c r="C1452" t="s">
        <v>40</v>
      </c>
      <c r="D1452">
        <v>5.4887839999999999</v>
      </c>
      <c r="E1452">
        <v>0.49766919999999998</v>
      </c>
      <c r="F1452" t="s">
        <v>42</v>
      </c>
      <c r="G1452">
        <v>-191.69200000000001</v>
      </c>
      <c r="H1452" s="1">
        <v>-4.6128600000000001E-6</v>
      </c>
      <c r="I1452">
        <v>318.51670000000001</v>
      </c>
      <c r="J1452">
        <v>-192.10769999999999</v>
      </c>
      <c r="K1452">
        <v>1.112082</v>
      </c>
      <c r="L1452">
        <v>336.49970000000002</v>
      </c>
      <c r="M1452">
        <v>-2.8065280000000001E-2</v>
      </c>
      <c r="N1452">
        <v>0</v>
      </c>
      <c r="O1452">
        <v>-0.9995115</v>
      </c>
      <c r="P1452">
        <v>1.9659010000000001E-2</v>
      </c>
      <c r="Q1452">
        <v>-3.3779579999999999E-3</v>
      </c>
      <c r="R1452">
        <v>-0.9998013</v>
      </c>
      <c r="S1452">
        <v>6.7810060000000005E-2</v>
      </c>
      <c r="T1452">
        <v>-0.18303800000000001</v>
      </c>
      <c r="U1452">
        <v>-2.9986269999999999</v>
      </c>
      <c r="V1452">
        <v>-4.775923E-2</v>
      </c>
      <c r="W1452">
        <v>1.0159140000000001E-2</v>
      </c>
      <c r="X1452">
        <v>0.99880720000000001</v>
      </c>
      <c r="Y1452">
        <v>-5.0617839999999997E-2</v>
      </c>
      <c r="Z1452">
        <v>6.0844410000000002E-2</v>
      </c>
      <c r="AA1452">
        <v>0.9968629</v>
      </c>
      <c r="AB1452">
        <v>23</v>
      </c>
      <c r="AC1452">
        <v>0.41569999999998603</v>
      </c>
      <c r="AD1452">
        <v>-1.11208661286</v>
      </c>
      <c r="AE1452">
        <v>-17.983000000000001</v>
      </c>
      <c r="AF1452">
        <v>-0.91677770977139394</v>
      </c>
      <c r="AG1452">
        <v>-1.11208661286</v>
      </c>
      <c r="AH1452">
        <v>17.895844498987898</v>
      </c>
      <c r="AI1452">
        <v>93.551266642618998</v>
      </c>
      <c r="AJ1452">
        <v>92.932614628059099</v>
      </c>
      <c r="AK1452">
        <v>17.9537870193336</v>
      </c>
      <c r="AL1452">
        <v>89.417914134268003</v>
      </c>
      <c r="AM1452">
        <v>92.737585060499001</v>
      </c>
      <c r="AN1452">
        <v>0.99999998747378605</v>
      </c>
    </row>
    <row r="1453" spans="1:40" x14ac:dyDescent="0.25">
      <c r="A1453" t="str">
        <f>"20190312151012687"</f>
        <v>20190312151012687</v>
      </c>
      <c r="B1453" t="str">
        <f>"1552374612682035"</f>
        <v>1552374612682035</v>
      </c>
      <c r="C1453" t="s">
        <v>40</v>
      </c>
      <c r="D1453">
        <v>5.4943920000000004</v>
      </c>
      <c r="E1453">
        <v>0.49810710000000002</v>
      </c>
      <c r="F1453" t="s">
        <v>42</v>
      </c>
      <c r="G1453">
        <v>-191.65479999999999</v>
      </c>
      <c r="H1453" s="1">
        <v>-4.4128149999999997E-6</v>
      </c>
      <c r="I1453">
        <v>318.01299999999998</v>
      </c>
      <c r="J1453">
        <v>-192.1104</v>
      </c>
      <c r="K1453">
        <v>1.1120920000000001</v>
      </c>
      <c r="L1453">
        <v>336.28829999999999</v>
      </c>
      <c r="M1453">
        <v>-2.5259150000000001E-2</v>
      </c>
      <c r="N1453">
        <v>0</v>
      </c>
      <c r="O1453">
        <v>-0.99958630000000004</v>
      </c>
      <c r="P1453">
        <v>2.151952E-2</v>
      </c>
      <c r="Q1453">
        <v>-3.2252909999999999E-3</v>
      </c>
      <c r="R1453">
        <v>-0.99976350000000003</v>
      </c>
      <c r="S1453">
        <v>7.3471069999999999E-2</v>
      </c>
      <c r="T1453">
        <v>-0.18038170000000001</v>
      </c>
      <c r="U1453">
        <v>-2.9985659999999998</v>
      </c>
      <c r="V1453">
        <v>-4.6814689999999999E-2</v>
      </c>
      <c r="W1453">
        <v>1.031458E-2</v>
      </c>
      <c r="X1453">
        <v>0.99885029999999997</v>
      </c>
      <c r="Y1453">
        <v>-4.9696730000000001E-2</v>
      </c>
      <c r="Z1453">
        <v>5.9972619999999997E-2</v>
      </c>
      <c r="AA1453">
        <v>0.99696209999999996</v>
      </c>
      <c r="AB1453">
        <v>23</v>
      </c>
      <c r="AC1453">
        <v>0.455600000000003</v>
      </c>
      <c r="AD1453">
        <v>-1.1120964128149999</v>
      </c>
      <c r="AE1453">
        <v>-18.275300000000001</v>
      </c>
      <c r="AF1453">
        <v>-0.91373535046955601</v>
      </c>
      <c r="AG1453">
        <v>-1.1120964128149999</v>
      </c>
      <c r="AH1453">
        <v>18.190640327949701</v>
      </c>
      <c r="AI1453">
        <v>93.494065496852798</v>
      </c>
      <c r="AJ1453">
        <v>92.875611465322393</v>
      </c>
      <c r="AK1453">
        <v>18.247494794160701</v>
      </c>
      <c r="AL1453">
        <v>89.409007597495503</v>
      </c>
      <c r="AM1453">
        <v>92.683407829662599</v>
      </c>
      <c r="AN1453">
        <v>0.99999996378523004</v>
      </c>
    </row>
    <row r="1454" spans="1:40" x14ac:dyDescent="0.25">
      <c r="A1454" t="str">
        <f>"20190312151012709"</f>
        <v>20190312151012709</v>
      </c>
      <c r="B1454" t="str">
        <f>"1552374612701556"</f>
        <v>1552374612701556</v>
      </c>
      <c r="C1454" t="s">
        <v>40</v>
      </c>
      <c r="D1454">
        <v>5.5078500000000004</v>
      </c>
      <c r="E1454">
        <v>0.49830799999999997</v>
      </c>
      <c r="F1454" t="s">
        <v>42</v>
      </c>
      <c r="G1454">
        <v>-191.6343</v>
      </c>
      <c r="H1454" s="1">
        <v>-4.1382999999999998E-6</v>
      </c>
      <c r="I1454">
        <v>317.42619999999999</v>
      </c>
      <c r="J1454">
        <v>-192.11259999999999</v>
      </c>
      <c r="K1454">
        <v>1.1121000000000001</v>
      </c>
      <c r="L1454">
        <v>336.0668</v>
      </c>
      <c r="M1454">
        <v>-2.2297049999999999E-2</v>
      </c>
      <c r="N1454">
        <v>0</v>
      </c>
      <c r="O1454">
        <v>-0.99965660000000001</v>
      </c>
      <c r="P1454">
        <v>2.321666E-2</v>
      </c>
      <c r="Q1454">
        <v>-3.5293910000000002E-3</v>
      </c>
      <c r="R1454">
        <v>-0.99972439999999996</v>
      </c>
      <c r="S1454">
        <v>7.5683589999999995E-2</v>
      </c>
      <c r="T1454">
        <v>-0.17678769999999999</v>
      </c>
      <c r="U1454">
        <v>-2.9984739999999999</v>
      </c>
      <c r="V1454">
        <v>-4.5549289999999999E-2</v>
      </c>
      <c r="W1454">
        <v>1.001515E-2</v>
      </c>
      <c r="X1454">
        <v>0.99891189999999996</v>
      </c>
      <c r="Y1454">
        <v>-4.7474780000000001E-2</v>
      </c>
      <c r="Z1454">
        <v>5.8792560000000001E-2</v>
      </c>
      <c r="AA1454">
        <v>0.99714069999999999</v>
      </c>
      <c r="AB1454">
        <v>23</v>
      </c>
      <c r="AC1454">
        <v>0.47829999999999001</v>
      </c>
      <c r="AD1454">
        <v>-1.1121041382999901</v>
      </c>
      <c r="AE1454">
        <v>-18.640599999999999</v>
      </c>
      <c r="AF1454">
        <v>-0.89068268019839503</v>
      </c>
      <c r="AG1454">
        <v>-1.1121041382999901</v>
      </c>
      <c r="AH1454">
        <v>18.559283600000601</v>
      </c>
      <c r="AI1454">
        <v>93.425228391646897</v>
      </c>
      <c r="AJ1454">
        <v>92.747586334436704</v>
      </c>
      <c r="AK1454">
        <v>18.613895320337399</v>
      </c>
      <c r="AL1454">
        <v>89.426164587788804</v>
      </c>
      <c r="AM1454">
        <v>92.610816353959905</v>
      </c>
      <c r="AN1454">
        <v>1.0000000125053099</v>
      </c>
    </row>
    <row r="1455" spans="1:40" x14ac:dyDescent="0.25">
      <c r="A1455" t="str">
        <f>"20190312151012730"</f>
        <v>20190312151012730</v>
      </c>
      <c r="B1455" t="str">
        <f>"1552374612722051"</f>
        <v>1552374612722051</v>
      </c>
      <c r="C1455" t="s">
        <v>40</v>
      </c>
      <c r="D1455">
        <v>5.5026609999999998</v>
      </c>
      <c r="E1455">
        <v>0.49847360000000002</v>
      </c>
      <c r="F1455" t="s">
        <v>42</v>
      </c>
      <c r="G1455">
        <v>-191.6086</v>
      </c>
      <c r="H1455" s="1">
        <v>-3.9507339999999998E-6</v>
      </c>
      <c r="I1455">
        <v>317.04390000000001</v>
      </c>
      <c r="J1455">
        <v>-192.114</v>
      </c>
      <c r="K1455">
        <v>1.1121000000000001</v>
      </c>
      <c r="L1455">
        <v>335.85379999999998</v>
      </c>
      <c r="M1455">
        <v>-1.9432660000000001E-2</v>
      </c>
      <c r="N1455">
        <v>0</v>
      </c>
      <c r="O1455">
        <v>-0.99971659999999996</v>
      </c>
      <c r="P1455">
        <v>2.5331119999999999E-2</v>
      </c>
      <c r="Q1455">
        <v>-3.7106109999999999E-3</v>
      </c>
      <c r="R1455">
        <v>-0.99967240000000002</v>
      </c>
      <c r="S1455">
        <v>7.9437259999999996E-2</v>
      </c>
      <c r="T1455">
        <v>-0.17529120000000001</v>
      </c>
      <c r="U1455">
        <v>-2.9984130000000002</v>
      </c>
      <c r="V1455">
        <v>-4.4799150000000003E-2</v>
      </c>
      <c r="W1455">
        <v>9.8358630000000002E-3</v>
      </c>
      <c r="X1455">
        <v>0.99894760000000005</v>
      </c>
      <c r="Y1455">
        <v>-4.5861409999999998E-2</v>
      </c>
      <c r="Z1455">
        <v>5.830424E-2</v>
      </c>
      <c r="AA1455">
        <v>0.99724489999999999</v>
      </c>
      <c r="AB1455">
        <v>23</v>
      </c>
      <c r="AC1455">
        <v>0.50540000000000795</v>
      </c>
      <c r="AD1455">
        <v>-1.112103950734</v>
      </c>
      <c r="AE1455">
        <v>-18.809899999999899</v>
      </c>
      <c r="AF1455">
        <v>-0.86783411648138797</v>
      </c>
      <c r="AG1455">
        <v>-1.112103950734</v>
      </c>
      <c r="AH1455">
        <v>18.7310966300128</v>
      </c>
      <c r="AI1455">
        <v>93.394147821700599</v>
      </c>
      <c r="AJ1455">
        <v>92.652685031291497</v>
      </c>
      <c r="AK1455">
        <v>18.7841393791103</v>
      </c>
      <c r="AL1455">
        <v>89.436437479473298</v>
      </c>
      <c r="AM1455">
        <v>92.567785852380894</v>
      </c>
      <c r="AN1455">
        <v>1.0000000077937099</v>
      </c>
    </row>
    <row r="1456" spans="1:40" x14ac:dyDescent="0.25">
      <c r="A1456" t="str">
        <f>"20190312151012753"</f>
        <v>20190312151012753</v>
      </c>
      <c r="B1456" t="str">
        <f>"1552374612741572"</f>
        <v>1552374612741572</v>
      </c>
      <c r="C1456" t="s">
        <v>40</v>
      </c>
      <c r="D1456">
        <v>5.6272390000000003</v>
      </c>
      <c r="E1456">
        <v>0.49866460000000001</v>
      </c>
      <c r="F1456" t="s">
        <v>42</v>
      </c>
      <c r="G1456">
        <v>-191.58009999999999</v>
      </c>
      <c r="H1456" s="1">
        <v>-3.8908309999999999E-6</v>
      </c>
      <c r="I1456">
        <v>316.9332</v>
      </c>
      <c r="J1456">
        <v>-192.11490000000001</v>
      </c>
      <c r="K1456">
        <v>1.1121030000000001</v>
      </c>
      <c r="L1456">
        <v>335.6275</v>
      </c>
      <c r="M1456">
        <v>-1.6377010000000001E-2</v>
      </c>
      <c r="N1456">
        <v>0</v>
      </c>
      <c r="O1456">
        <v>-0.99977139999999998</v>
      </c>
      <c r="P1456">
        <v>2.7806879999999999E-2</v>
      </c>
      <c r="Q1456">
        <v>-2.914107E-3</v>
      </c>
      <c r="R1456">
        <v>-0.99960919999999998</v>
      </c>
      <c r="S1456">
        <v>8.4609989999999996E-2</v>
      </c>
      <c r="T1456">
        <v>-0.1762261</v>
      </c>
      <c r="U1456">
        <v>-2.9981990000000001</v>
      </c>
      <c r="V1456">
        <v>-4.4222900000000002E-2</v>
      </c>
      <c r="W1456">
        <v>1.063309E-2</v>
      </c>
      <c r="X1456">
        <v>0.99896510000000005</v>
      </c>
      <c r="Y1456">
        <v>-4.4528760000000001E-2</v>
      </c>
      <c r="Z1456">
        <v>5.8623519999999998E-2</v>
      </c>
      <c r="AA1456">
        <v>0.99728660000000002</v>
      </c>
      <c r="AB1456">
        <v>22</v>
      </c>
      <c r="AC1456">
        <v>0.53480000000001804</v>
      </c>
      <c r="AD1456">
        <v>-1.1121068908309999</v>
      </c>
      <c r="AE1456">
        <v>-18.694299999999998</v>
      </c>
      <c r="AF1456">
        <v>-0.83795088534736195</v>
      </c>
      <c r="AG1456">
        <v>-1.1121068908309999</v>
      </c>
      <c r="AH1456">
        <v>18.6172016366802</v>
      </c>
      <c r="AI1456">
        <v>93.415077535228704</v>
      </c>
      <c r="AJ1456">
        <v>92.577114881095795</v>
      </c>
      <c r="AK1456">
        <v>18.6692029879075</v>
      </c>
      <c r="AL1456">
        <v>89.390757338567198</v>
      </c>
      <c r="AM1456">
        <v>92.534755520573398</v>
      </c>
      <c r="AN1456">
        <v>0.99999999925268401</v>
      </c>
    </row>
    <row r="1457" spans="1:40" x14ac:dyDescent="0.25">
      <c r="A1457" t="str">
        <f>"20190312151012775"</f>
        <v>20190312151012775</v>
      </c>
      <c r="B1457" t="str">
        <f>"1552374612771828"</f>
        <v>1552374612771828</v>
      </c>
      <c r="C1457" t="s">
        <v>40</v>
      </c>
      <c r="D1457">
        <v>5.5312169999999998</v>
      </c>
      <c r="E1457">
        <v>0.49923899999999999</v>
      </c>
      <c r="F1457" t="s">
        <v>42</v>
      </c>
      <c r="G1457">
        <v>-191.53630000000001</v>
      </c>
      <c r="H1457" s="1">
        <v>-3.6517690000000001E-6</v>
      </c>
      <c r="I1457">
        <v>316.45209999999997</v>
      </c>
      <c r="J1457">
        <v>-192.11510000000001</v>
      </c>
      <c r="K1457">
        <v>1.1121000000000001</v>
      </c>
      <c r="L1457">
        <v>335.40679999999998</v>
      </c>
      <c r="M1457">
        <v>-1.3390549999999999E-2</v>
      </c>
      <c r="N1457">
        <v>0</v>
      </c>
      <c r="O1457">
        <v>-0.99981580000000003</v>
      </c>
      <c r="P1457">
        <v>2.9717690000000001E-2</v>
      </c>
      <c r="Q1457">
        <v>-2.5122009999999999E-3</v>
      </c>
      <c r="R1457">
        <v>-0.99955510000000003</v>
      </c>
      <c r="S1457">
        <v>9.0469359999999999E-2</v>
      </c>
      <c r="T1457">
        <v>-0.17388190000000001</v>
      </c>
      <c r="U1457">
        <v>-2.998138</v>
      </c>
      <c r="V1457">
        <v>-4.3150429999999997E-2</v>
      </c>
      <c r="W1457">
        <v>1.103934E-2</v>
      </c>
      <c r="X1457">
        <v>0.9990076</v>
      </c>
      <c r="Y1457">
        <v>-4.3493940000000002E-2</v>
      </c>
      <c r="Z1457">
        <v>5.7851020000000003E-2</v>
      </c>
      <c r="AA1457">
        <v>0.99737730000000002</v>
      </c>
      <c r="AB1457">
        <v>22</v>
      </c>
      <c r="AC1457">
        <v>0.57880000000000098</v>
      </c>
      <c r="AD1457">
        <v>-1.1121036517689999</v>
      </c>
      <c r="AE1457">
        <v>-18.954699999999999</v>
      </c>
      <c r="AF1457">
        <v>-0.82973237141833101</v>
      </c>
      <c r="AG1457">
        <v>-1.1121036517689999</v>
      </c>
      <c r="AH1457">
        <v>18.880316702267901</v>
      </c>
      <c r="AI1457">
        <v>93.367744194260993</v>
      </c>
      <c r="AJ1457">
        <v>92.5163557292543</v>
      </c>
      <c r="AK1457">
        <v>18.9312331642288</v>
      </c>
      <c r="AL1457">
        <v>89.367479565350806</v>
      </c>
      <c r="AM1457">
        <v>92.473256187065502</v>
      </c>
      <c r="AN1457">
        <v>1.00000000574729</v>
      </c>
    </row>
    <row r="1458" spans="1:40" x14ac:dyDescent="0.25">
      <c r="A1458" t="str">
        <f>"20190312151012808"</f>
        <v>20190312151012808</v>
      </c>
      <c r="B1458" t="str">
        <f>"1552374612802085"</f>
        <v>1552374612802085</v>
      </c>
      <c r="C1458" t="s">
        <v>40</v>
      </c>
      <c r="D1458">
        <v>5.3439959999999997</v>
      </c>
      <c r="E1458">
        <v>0.49975550000000002</v>
      </c>
      <c r="F1458" t="s">
        <v>42</v>
      </c>
      <c r="G1458">
        <v>-191.51060000000001</v>
      </c>
      <c r="H1458" s="1">
        <v>-3.2993770000000001E-6</v>
      </c>
      <c r="I1458">
        <v>315.72109999999998</v>
      </c>
      <c r="J1458">
        <v>-192.114</v>
      </c>
      <c r="K1458">
        <v>1.1120969999999999</v>
      </c>
      <c r="L1458">
        <v>335.08210000000003</v>
      </c>
      <c r="M1458">
        <v>-8.9905860000000001E-3</v>
      </c>
      <c r="N1458">
        <v>0</v>
      </c>
      <c r="O1458">
        <v>-0.99986520000000001</v>
      </c>
      <c r="P1458">
        <v>3.2630149999999997E-2</v>
      </c>
      <c r="Q1458">
        <v>-2.9514459999999999E-3</v>
      </c>
      <c r="R1458">
        <v>-0.99946330000000005</v>
      </c>
      <c r="S1458">
        <v>9.2056269999999996E-2</v>
      </c>
      <c r="T1458">
        <v>-0.1693751</v>
      </c>
      <c r="U1458">
        <v>-2.9981689999999999</v>
      </c>
      <c r="V1458">
        <v>-4.1662890000000001E-2</v>
      </c>
      <c r="W1458">
        <v>1.060496E-2</v>
      </c>
      <c r="X1458">
        <v>0.99907539999999995</v>
      </c>
      <c r="Y1458">
        <v>-3.9626870000000002E-2</v>
      </c>
      <c r="Z1458">
        <v>5.6364089999999999E-2</v>
      </c>
      <c r="AA1458">
        <v>0.99762360000000005</v>
      </c>
      <c r="AB1458">
        <v>22</v>
      </c>
      <c r="AC1458">
        <v>0.60339999999999305</v>
      </c>
      <c r="AD1458">
        <v>-1.1121002993769999</v>
      </c>
      <c r="AE1458">
        <v>-19.361000000000001</v>
      </c>
      <c r="AF1458">
        <v>-0.77490455012964099</v>
      </c>
      <c r="AG1458">
        <v>-1.1121002993769999</v>
      </c>
      <c r="AH1458">
        <v>19.291204670345898</v>
      </c>
      <c r="AI1458">
        <v>93.296685494594797</v>
      </c>
      <c r="AJ1458">
        <v>92.300266078936602</v>
      </c>
      <c r="AK1458">
        <v>19.338764742631898</v>
      </c>
      <c r="AL1458">
        <v>89.392369134800106</v>
      </c>
      <c r="AM1458">
        <v>92.387933349191798</v>
      </c>
      <c r="AN1458">
        <v>0.99999995823245502</v>
      </c>
    </row>
    <row r="1459" spans="1:40" x14ac:dyDescent="0.25">
      <c r="A1459" t="str">
        <f>"20190312151012830"</f>
        <v>20190312151012830</v>
      </c>
      <c r="B1459" t="str">
        <f>"1552374612821604"</f>
        <v>1552374612821604</v>
      </c>
      <c r="C1459" t="s">
        <v>40</v>
      </c>
      <c r="D1459">
        <v>5.5301879999999999</v>
      </c>
      <c r="E1459">
        <v>0.50001070000000003</v>
      </c>
      <c r="F1459" t="s">
        <v>42</v>
      </c>
      <c r="G1459">
        <v>-191.46680000000001</v>
      </c>
      <c r="H1459" s="1">
        <v>-2.962385E-6</v>
      </c>
      <c r="I1459">
        <v>315.03289999999998</v>
      </c>
      <c r="J1459">
        <v>-192.11250000000001</v>
      </c>
      <c r="K1459">
        <v>1.1120859999999999</v>
      </c>
      <c r="L1459">
        <v>334.85579999999999</v>
      </c>
      <c r="M1459">
        <v>-5.9234930000000002E-3</v>
      </c>
      <c r="N1459">
        <v>0</v>
      </c>
      <c r="O1459">
        <v>-0.99988809999999995</v>
      </c>
      <c r="P1459">
        <v>3.476837E-2</v>
      </c>
      <c r="Q1459">
        <v>-3.094159E-3</v>
      </c>
      <c r="R1459">
        <v>-0.99939100000000003</v>
      </c>
      <c r="S1459">
        <v>9.6786499999999998E-2</v>
      </c>
      <c r="T1459">
        <v>-0.16629179999999999</v>
      </c>
      <c r="U1459">
        <v>-2.9979550000000001</v>
      </c>
      <c r="V1459">
        <v>-4.0734920000000001E-2</v>
      </c>
      <c r="W1459">
        <v>1.0465739999999999E-2</v>
      </c>
      <c r="X1459">
        <v>0.99911519999999998</v>
      </c>
      <c r="Y1459">
        <v>-3.81383E-2</v>
      </c>
      <c r="Z1459">
        <v>5.5347300000000002E-2</v>
      </c>
      <c r="AA1459">
        <v>0.99773849999999997</v>
      </c>
      <c r="AB1459">
        <v>22</v>
      </c>
      <c r="AC1459">
        <v>0.64570000000000405</v>
      </c>
      <c r="AD1459">
        <v>-1.1120889623849901</v>
      </c>
      <c r="AE1459">
        <v>-19.822900000000001</v>
      </c>
      <c r="AF1459">
        <v>-0.76072881911530998</v>
      </c>
      <c r="AG1459">
        <v>-1.1120889623849901</v>
      </c>
      <c r="AH1459">
        <v>19.756611985023401</v>
      </c>
      <c r="AI1459">
        <v>93.219367816495406</v>
      </c>
      <c r="AJ1459">
        <v>92.205086016541003</v>
      </c>
      <c r="AK1459">
        <v>19.802504066992601</v>
      </c>
      <c r="AL1459">
        <v>89.400346335809601</v>
      </c>
      <c r="AM1459">
        <v>92.334712821641901</v>
      </c>
      <c r="AN1459">
        <v>1.00000002414609</v>
      </c>
    </row>
    <row r="1460" spans="1:40" x14ac:dyDescent="0.25">
      <c r="A1460" t="str">
        <f>"20190312151012853"</f>
        <v>20190312151012853</v>
      </c>
      <c r="B1460" t="str">
        <f>"1552374612842100"</f>
        <v>1552374612842100</v>
      </c>
      <c r="C1460" t="s">
        <v>40</v>
      </c>
      <c r="D1460">
        <v>5.5662320000000003</v>
      </c>
      <c r="E1460">
        <v>0.50029539999999995</v>
      </c>
      <c r="F1460" t="s">
        <v>42</v>
      </c>
      <c r="G1460">
        <v>-191.4348</v>
      </c>
      <c r="H1460" s="1">
        <v>-2.8552619999999998E-6</v>
      </c>
      <c r="I1460">
        <v>314.82420000000002</v>
      </c>
      <c r="J1460">
        <v>-192.1103</v>
      </c>
      <c r="K1460">
        <v>1.112069</v>
      </c>
      <c r="L1460">
        <v>334.63459999999998</v>
      </c>
      <c r="M1460">
        <v>-2.9269790000000001E-3</v>
      </c>
      <c r="N1460">
        <v>0</v>
      </c>
      <c r="O1460">
        <v>-0.99990129999999999</v>
      </c>
      <c r="P1460">
        <v>3.6552590000000003E-2</v>
      </c>
      <c r="Q1460">
        <v>-2.946036E-3</v>
      </c>
      <c r="R1460">
        <v>-0.99932739999999998</v>
      </c>
      <c r="S1460">
        <v>0.1014099</v>
      </c>
      <c r="T1460">
        <v>-0.16642689999999999</v>
      </c>
      <c r="U1460">
        <v>-2.9977719999999999</v>
      </c>
      <c r="V1460">
        <v>-3.9524740000000003E-2</v>
      </c>
      <c r="W1460">
        <v>1.060878E-2</v>
      </c>
      <c r="X1460">
        <v>0.99916229999999995</v>
      </c>
      <c r="Y1460">
        <v>-3.6682609999999997E-2</v>
      </c>
      <c r="Z1460">
        <v>5.53967E-2</v>
      </c>
      <c r="AA1460">
        <v>0.99779030000000002</v>
      </c>
      <c r="AB1460">
        <v>22</v>
      </c>
      <c r="AC1460">
        <v>0.67549999999999899</v>
      </c>
      <c r="AD1460">
        <v>-1.1120718552619999</v>
      </c>
      <c r="AE1460">
        <v>-19.810399999999898</v>
      </c>
      <c r="AF1460">
        <v>-0.73118575198409397</v>
      </c>
      <c r="AG1460">
        <v>-1.1120718552619999</v>
      </c>
      <c r="AH1460">
        <v>19.746185382992799</v>
      </c>
      <c r="AI1460">
        <v>93.221193621238996</v>
      </c>
      <c r="AJ1460">
        <v>92.120648863956205</v>
      </c>
      <c r="AK1460">
        <v>19.790987180903599</v>
      </c>
      <c r="AL1460">
        <v>89.392150294106202</v>
      </c>
      <c r="AM1460">
        <v>92.265318318166806</v>
      </c>
      <c r="AN1460">
        <v>1.0000000265132201</v>
      </c>
    </row>
    <row r="1461" spans="1:40" x14ac:dyDescent="0.25">
      <c r="A1461" t="str">
        <f>"20190312151012877"</f>
        <v>20190312151012877</v>
      </c>
      <c r="B1461" t="str">
        <f>"1552374612872361"</f>
        <v>1552374612872361</v>
      </c>
      <c r="C1461" t="s">
        <v>40</v>
      </c>
      <c r="D1461">
        <v>5.691154</v>
      </c>
      <c r="E1461">
        <v>0.50068059999999903</v>
      </c>
      <c r="F1461" t="s">
        <v>42</v>
      </c>
      <c r="G1461">
        <v>-191.40690000000001</v>
      </c>
      <c r="H1461" s="1">
        <v>-2.6832399999999998E-6</v>
      </c>
      <c r="I1461">
        <v>314.476</v>
      </c>
      <c r="J1461">
        <v>-192.10740000000001</v>
      </c>
      <c r="K1461">
        <v>1.112053</v>
      </c>
      <c r="L1461">
        <v>334.40120000000002</v>
      </c>
      <c r="M1461">
        <v>2.352772E-4</v>
      </c>
      <c r="N1461">
        <v>0</v>
      </c>
      <c r="O1461">
        <v>-0.99990639999999997</v>
      </c>
      <c r="P1461">
        <v>3.9094320000000002E-2</v>
      </c>
      <c r="Q1461">
        <v>-2.9693720000000001E-3</v>
      </c>
      <c r="R1461">
        <v>-0.9992316</v>
      </c>
      <c r="S1461">
        <v>0.104599</v>
      </c>
      <c r="T1461">
        <v>-0.1653723</v>
      </c>
      <c r="U1461">
        <v>-2.9977109999999998</v>
      </c>
      <c r="V1461">
        <v>-3.890586E-2</v>
      </c>
      <c r="W1461">
        <v>1.0558710000000001E-2</v>
      </c>
      <c r="X1461">
        <v>0.99918709999999999</v>
      </c>
      <c r="Y1461">
        <v>-3.4583700000000002E-2</v>
      </c>
      <c r="Z1461">
        <v>5.5049239999999999E-2</v>
      </c>
      <c r="AA1461">
        <v>0.99788449999999995</v>
      </c>
      <c r="AB1461">
        <v>22</v>
      </c>
      <c r="AC1461">
        <v>0.70050000000000501</v>
      </c>
      <c r="AD1461">
        <v>-1.1120556832399999</v>
      </c>
      <c r="AE1461">
        <v>-19.9252</v>
      </c>
      <c r="AF1461">
        <v>-0.69365358453252102</v>
      </c>
      <c r="AG1461">
        <v>-1.1120556832399999</v>
      </c>
      <c r="AH1461">
        <v>19.863567120142601</v>
      </c>
      <c r="AI1461">
        <v>93.202393628353306</v>
      </c>
      <c r="AJ1461">
        <v>92.000007305652403</v>
      </c>
      <c r="AK1461">
        <v>19.9067607077187</v>
      </c>
      <c r="AL1461">
        <v>89.395019242323201</v>
      </c>
      <c r="AM1461">
        <v>92.229828671710095</v>
      </c>
      <c r="AN1461">
        <v>1.0000000065528001</v>
      </c>
    </row>
    <row r="1462" spans="1:40" x14ac:dyDescent="0.25">
      <c r="A1462" t="str">
        <f>"20190312151012899"</f>
        <v>20190312151012899</v>
      </c>
      <c r="B1462" t="str">
        <f>"1552374612891881"</f>
        <v>1552374612891881</v>
      </c>
      <c r="C1462" t="s">
        <v>40</v>
      </c>
      <c r="D1462">
        <v>5.5676649999999999</v>
      </c>
      <c r="E1462">
        <v>0.50091350000000001</v>
      </c>
      <c r="F1462" t="s">
        <v>42</v>
      </c>
      <c r="G1462">
        <v>-191.36850000000001</v>
      </c>
      <c r="H1462" s="1">
        <v>-2.5186139999999999E-6</v>
      </c>
      <c r="I1462">
        <v>314.14940000000001</v>
      </c>
      <c r="J1462">
        <v>-192.10390000000001</v>
      </c>
      <c r="K1462">
        <v>1.112039</v>
      </c>
      <c r="L1462">
        <v>334.18239999999997</v>
      </c>
      <c r="M1462">
        <v>3.1975079999999999E-3</v>
      </c>
      <c r="N1462">
        <v>0</v>
      </c>
      <c r="O1462">
        <v>-0.9999017</v>
      </c>
      <c r="P1462">
        <v>4.12533E-2</v>
      </c>
      <c r="Q1462">
        <v>-3.0866050000000001E-3</v>
      </c>
      <c r="R1462">
        <v>-0.99914400000000003</v>
      </c>
      <c r="S1462">
        <v>0.1093597</v>
      </c>
      <c r="T1462">
        <v>-0.16459869999999999</v>
      </c>
      <c r="U1462">
        <v>-2.997528</v>
      </c>
      <c r="V1462">
        <v>-3.810405E-2</v>
      </c>
      <c r="W1462">
        <v>1.039612E-2</v>
      </c>
      <c r="X1462">
        <v>0.99921970000000004</v>
      </c>
      <c r="Y1462">
        <v>-3.3208410000000001E-2</v>
      </c>
      <c r="Z1462">
        <v>5.4795169999999997E-2</v>
      </c>
      <c r="AA1462">
        <v>0.99794519999999998</v>
      </c>
      <c r="AB1462">
        <v>22</v>
      </c>
      <c r="AC1462">
        <v>0.73539999999999806</v>
      </c>
      <c r="AD1462">
        <v>-1.112041518614</v>
      </c>
      <c r="AE1462">
        <v>-20.032999999999902</v>
      </c>
      <c r="AF1462">
        <v>-0.66927505440880597</v>
      </c>
      <c r="AG1462">
        <v>-1.112041518614</v>
      </c>
      <c r="AH1462">
        <v>19.973784571318902</v>
      </c>
      <c r="AI1462">
        <v>93.184871972768093</v>
      </c>
      <c r="AJ1462">
        <v>91.919130251176995</v>
      </c>
      <c r="AK1462">
        <v>20.015909560622799</v>
      </c>
      <c r="AL1462">
        <v>89.404335472551494</v>
      </c>
      <c r="AM1462">
        <v>92.183847965247196</v>
      </c>
      <c r="AN1462">
        <v>1.0000000034027701</v>
      </c>
    </row>
    <row r="1463" spans="1:40" x14ac:dyDescent="0.25">
      <c r="A1463" t="str">
        <f>"20190312151012920"</f>
        <v>20190312151012920</v>
      </c>
      <c r="B1463" t="str">
        <f>"1552374612912377"</f>
        <v>1552374612912377</v>
      </c>
      <c r="C1463" t="s">
        <v>40</v>
      </c>
      <c r="D1463">
        <v>5.6128470000000004</v>
      </c>
      <c r="E1463">
        <v>0.50103580000000003</v>
      </c>
      <c r="F1463" t="s">
        <v>42</v>
      </c>
      <c r="G1463">
        <v>-191.33709999999999</v>
      </c>
      <c r="H1463" s="1">
        <v>-2.4594589999999998E-6</v>
      </c>
      <c r="I1463">
        <v>314.0419</v>
      </c>
      <c r="J1463">
        <v>-192.1</v>
      </c>
      <c r="K1463">
        <v>1.1120239999999999</v>
      </c>
      <c r="L1463">
        <v>333.97620000000001</v>
      </c>
      <c r="M1463">
        <v>5.9879750000000004E-3</v>
      </c>
      <c r="N1463">
        <v>0</v>
      </c>
      <c r="O1463">
        <v>-0.99988969999999999</v>
      </c>
      <c r="P1463">
        <v>4.3635199999999999E-2</v>
      </c>
      <c r="Q1463">
        <v>-3.2931319999999998E-3</v>
      </c>
      <c r="R1463">
        <v>-0.99904219999999999</v>
      </c>
      <c r="S1463">
        <v>0.1141052</v>
      </c>
      <c r="T1463">
        <v>-0.16549469999999999</v>
      </c>
      <c r="U1463">
        <v>-2.9973139999999998</v>
      </c>
      <c r="V1463">
        <v>-3.769629E-2</v>
      </c>
      <c r="W1463">
        <v>1.012863E-2</v>
      </c>
      <c r="X1463">
        <v>0.99923790000000001</v>
      </c>
      <c r="Y1463">
        <v>-3.1998939999999997E-2</v>
      </c>
      <c r="Z1463">
        <v>5.5094860000000002E-2</v>
      </c>
      <c r="AA1463">
        <v>0.99796830000000003</v>
      </c>
      <c r="AB1463">
        <v>22</v>
      </c>
      <c r="AC1463">
        <v>0.76290000000000102</v>
      </c>
      <c r="AD1463">
        <v>-1.1120264594589999</v>
      </c>
      <c r="AE1463">
        <v>-19.9343</v>
      </c>
      <c r="AF1463">
        <v>-0.64151577783052605</v>
      </c>
      <c r="AG1463">
        <v>-1.1120264594589999</v>
      </c>
      <c r="AH1463">
        <v>19.8767468383618</v>
      </c>
      <c r="AI1463">
        <v>93.200474319227695</v>
      </c>
      <c r="AJ1463">
        <v>91.848561659366197</v>
      </c>
      <c r="AK1463">
        <v>19.9181628223104</v>
      </c>
      <c r="AL1463">
        <v>89.419662319998395</v>
      </c>
      <c r="AM1463">
        <v>92.160461069780496</v>
      </c>
      <c r="AN1463">
        <v>0.999999990110925</v>
      </c>
    </row>
    <row r="1464" spans="1:40" x14ac:dyDescent="0.25">
      <c r="A1464" t="str">
        <f>"20190312151012942"</f>
        <v>20190312151012942</v>
      </c>
      <c r="B1464" t="str">
        <f>"1552374612931897"</f>
        <v>1552374612931897</v>
      </c>
      <c r="C1464" t="s">
        <v>40</v>
      </c>
      <c r="D1464">
        <v>5.5593659999999998</v>
      </c>
      <c r="E1464">
        <v>0.50128950000000005</v>
      </c>
      <c r="F1464" t="s">
        <v>42</v>
      </c>
      <c r="G1464">
        <v>-191.29050000000001</v>
      </c>
      <c r="H1464" s="1">
        <v>-2.3591259999999999E-6</v>
      </c>
      <c r="I1464">
        <v>313.85590000000002</v>
      </c>
      <c r="J1464">
        <v>-192.0949</v>
      </c>
      <c r="K1464">
        <v>1.1120080000000001</v>
      </c>
      <c r="L1464">
        <v>333.7473</v>
      </c>
      <c r="M1464">
        <v>9.0876240000000007E-3</v>
      </c>
      <c r="N1464">
        <v>0</v>
      </c>
      <c r="O1464">
        <v>-0.99986759999999997</v>
      </c>
      <c r="P1464">
        <v>4.6880079999999998E-2</v>
      </c>
      <c r="Q1464">
        <v>-3.198326E-3</v>
      </c>
      <c r="R1464">
        <v>-0.9988958</v>
      </c>
      <c r="S1464">
        <v>0.120575</v>
      </c>
      <c r="T1464">
        <v>-0.16564319999999999</v>
      </c>
      <c r="U1464">
        <v>-2.9970400000000001</v>
      </c>
      <c r="V1464">
        <v>-3.7844460000000003E-2</v>
      </c>
      <c r="W1464">
        <v>1.014579E-2</v>
      </c>
      <c r="X1464">
        <v>0.99923209999999996</v>
      </c>
      <c r="Y1464">
        <v>-3.10549E-2</v>
      </c>
      <c r="Z1464">
        <v>5.5145769999999997E-2</v>
      </c>
      <c r="AA1464">
        <v>0.99799530000000003</v>
      </c>
      <c r="AB1464">
        <v>22</v>
      </c>
      <c r="AC1464">
        <v>0.80439999999998602</v>
      </c>
      <c r="AD1464">
        <v>-1.112010359126</v>
      </c>
      <c r="AE1464">
        <v>-19.891399999999901</v>
      </c>
      <c r="AF1464">
        <v>-0.62164510958126495</v>
      </c>
      <c r="AG1464">
        <v>-1.112010359126</v>
      </c>
      <c r="AH1464">
        <v>19.8359976685398</v>
      </c>
      <c r="AI1464">
        <v>93.207084146618698</v>
      </c>
      <c r="AJ1464">
        <v>91.795018732961793</v>
      </c>
      <c r="AK1464">
        <v>19.876866281871099</v>
      </c>
      <c r="AL1464">
        <v>89.418679059256704</v>
      </c>
      <c r="AM1464">
        <v>92.168957516167595</v>
      </c>
      <c r="AN1464">
        <v>0.99999996493891197</v>
      </c>
    </row>
    <row r="1465" spans="1:40" x14ac:dyDescent="0.25">
      <c r="A1465" t="str">
        <f>"20190312151012964"</f>
        <v>20190312151012964</v>
      </c>
      <c r="B1465" t="str">
        <f>"1552374612952397"</f>
        <v>1552374612952397</v>
      </c>
      <c r="C1465" t="s">
        <v>40</v>
      </c>
      <c r="D1465">
        <v>5.6242570000000001</v>
      </c>
      <c r="E1465">
        <v>0.50149920000000003</v>
      </c>
      <c r="F1465" t="s">
        <v>42</v>
      </c>
      <c r="G1465">
        <v>-191.23929999999999</v>
      </c>
      <c r="H1465" s="1">
        <v>-2.289911E-6</v>
      </c>
      <c r="I1465">
        <v>313.73829999999998</v>
      </c>
      <c r="J1465">
        <v>-192.0898</v>
      </c>
      <c r="K1465">
        <v>1.1119840000000001</v>
      </c>
      <c r="L1465">
        <v>333.53910000000002</v>
      </c>
      <c r="M1465">
        <v>1.190897E-2</v>
      </c>
      <c r="N1465">
        <v>0</v>
      </c>
      <c r="O1465">
        <v>-0.99983889999999997</v>
      </c>
      <c r="P1465">
        <v>4.8988480000000001E-2</v>
      </c>
      <c r="Q1465">
        <v>-2.7490840000000002E-3</v>
      </c>
      <c r="R1465">
        <v>-0.99879580000000001</v>
      </c>
      <c r="S1465">
        <v>0.12814329999999999</v>
      </c>
      <c r="T1465">
        <v>-0.166545</v>
      </c>
      <c r="U1465">
        <v>-2.9967350000000001</v>
      </c>
      <c r="V1465">
        <v>-3.7135309999999998E-2</v>
      </c>
      <c r="W1465">
        <v>1.052581E-2</v>
      </c>
      <c r="X1465">
        <v>0.9992548</v>
      </c>
      <c r="Y1465">
        <v>-3.075402E-2</v>
      </c>
      <c r="Z1465">
        <v>5.5445609999999999E-2</v>
      </c>
      <c r="AA1465">
        <v>0.99798799999999999</v>
      </c>
      <c r="AB1465">
        <v>22</v>
      </c>
      <c r="AC1465">
        <v>0.85050000000001003</v>
      </c>
      <c r="AD1465">
        <v>-1.111986289911</v>
      </c>
      <c r="AE1465">
        <v>-19.800799999999999</v>
      </c>
      <c r="AF1465">
        <v>-0.61268255998005905</v>
      </c>
      <c r="AG1465">
        <v>-1.111986289911</v>
      </c>
      <c r="AH1465">
        <v>19.747360651855502</v>
      </c>
      <c r="AI1465">
        <v>93.221410836619597</v>
      </c>
      <c r="AJ1465">
        <v>91.777091534474494</v>
      </c>
      <c r="AK1465">
        <v>19.788131446468199</v>
      </c>
      <c r="AL1465">
        <v>89.396904368006105</v>
      </c>
      <c r="AM1465">
        <v>92.128303844153393</v>
      </c>
      <c r="AN1465">
        <v>0.99999998962399606</v>
      </c>
    </row>
    <row r="1466" spans="1:40" x14ac:dyDescent="0.25">
      <c r="A1466" t="str">
        <f>"20190312151012989"</f>
        <v>20190312151012989</v>
      </c>
      <c r="B1466" t="str">
        <f>"1552374612982217"</f>
        <v>1552374612982217</v>
      </c>
      <c r="C1466" t="s">
        <v>40</v>
      </c>
      <c r="D1466">
        <v>5.3285729999999996</v>
      </c>
      <c r="E1466">
        <v>0.50171929999999998</v>
      </c>
      <c r="F1466" t="s">
        <v>42</v>
      </c>
      <c r="G1466">
        <v>-191.1968</v>
      </c>
      <c r="H1466" s="1">
        <v>-2.127449E-6</v>
      </c>
      <c r="I1466">
        <v>313.41860000000003</v>
      </c>
      <c r="J1466">
        <v>-192.083</v>
      </c>
      <c r="K1466">
        <v>1.1119650000000001</v>
      </c>
      <c r="L1466">
        <v>333.29820000000001</v>
      </c>
      <c r="M1466">
        <v>1.5176429999999999E-2</v>
      </c>
      <c r="N1466">
        <v>0</v>
      </c>
      <c r="O1466">
        <v>-0.99979560000000001</v>
      </c>
      <c r="P1466">
        <v>5.1391239999999998E-2</v>
      </c>
      <c r="Q1466">
        <v>-2.4966350000000001E-3</v>
      </c>
      <c r="R1466">
        <v>-0.99867550000000005</v>
      </c>
      <c r="S1466">
        <v>0.13299559999999999</v>
      </c>
      <c r="T1466">
        <v>-0.1656135</v>
      </c>
      <c r="U1466">
        <v>-2.9966430000000002</v>
      </c>
      <c r="V1466">
        <v>-3.6274720000000003E-2</v>
      </c>
      <c r="W1466">
        <v>1.069174E-2</v>
      </c>
      <c r="X1466">
        <v>0.99928470000000003</v>
      </c>
      <c r="Y1466">
        <v>-2.910248E-2</v>
      </c>
      <c r="Z1466">
        <v>5.5133889999999998E-2</v>
      </c>
      <c r="AA1466">
        <v>0.99805469999999996</v>
      </c>
      <c r="AB1466">
        <v>22</v>
      </c>
      <c r="AC1466">
        <v>0.88620000000000199</v>
      </c>
      <c r="AD1466">
        <v>-1.1119671274489999</v>
      </c>
      <c r="AE1466">
        <v>-19.8795999999999</v>
      </c>
      <c r="AF1466">
        <v>-0.58255061003043496</v>
      </c>
      <c r="AG1466">
        <v>-1.1119671274489999</v>
      </c>
      <c r="AH1466">
        <v>19.828844502723101</v>
      </c>
      <c r="AI1466">
        <v>93.208304559759696</v>
      </c>
      <c r="AJ1466">
        <v>91.682805735822498</v>
      </c>
      <c r="AK1466">
        <v>19.868540721928898</v>
      </c>
      <c r="AL1466">
        <v>89.387396775108002</v>
      </c>
      <c r="AM1466">
        <v>92.0789632375254</v>
      </c>
      <c r="AN1466">
        <v>1.00000004013469</v>
      </c>
    </row>
    <row r="1467" spans="1:40" x14ac:dyDescent="0.25">
      <c r="A1467" t="str">
        <f>"20190312151013010"</f>
        <v>20190312151013010</v>
      </c>
      <c r="B1467" t="str">
        <f>"1552374613002715"</f>
        <v>1552374613002715</v>
      </c>
      <c r="C1467" t="s">
        <v>40</v>
      </c>
      <c r="D1467">
        <v>5.52813</v>
      </c>
      <c r="E1467">
        <v>0.50198799999999999</v>
      </c>
      <c r="F1467" t="s">
        <v>42</v>
      </c>
      <c r="G1467">
        <v>-191.12790000000001</v>
      </c>
      <c r="H1467" s="1">
        <v>-1.7527350000000001E-6</v>
      </c>
      <c r="I1467">
        <v>312.66460000000001</v>
      </c>
      <c r="J1467">
        <v>-192.0763</v>
      </c>
      <c r="K1467">
        <v>1.1119520000000001</v>
      </c>
      <c r="L1467">
        <v>333.08150000000001</v>
      </c>
      <c r="M1467">
        <v>1.8119119999999999E-2</v>
      </c>
      <c r="N1467">
        <v>0</v>
      </c>
      <c r="O1467">
        <v>-0.99974799999999997</v>
      </c>
      <c r="P1467">
        <v>5.3853819999999997E-2</v>
      </c>
      <c r="Q1467">
        <v>-2.6678549999999998E-3</v>
      </c>
      <c r="R1467">
        <v>-0.99854529999999997</v>
      </c>
      <c r="S1467">
        <v>0.138702399999999</v>
      </c>
      <c r="T1467">
        <v>-0.16147899999999901</v>
      </c>
      <c r="U1467">
        <v>-2.9963989999999998</v>
      </c>
      <c r="V1467">
        <v>-3.5795929999999997E-2</v>
      </c>
      <c r="W1467">
        <v>1.043379E-2</v>
      </c>
      <c r="X1467">
        <v>0.99930469999999905</v>
      </c>
      <c r="Y1467">
        <v>-2.8064390000000002E-2</v>
      </c>
      <c r="Z1467">
        <v>5.3760410000000002E-2</v>
      </c>
      <c r="AA1467">
        <v>0.99815940000000003</v>
      </c>
      <c r="AB1467">
        <v>22</v>
      </c>
      <c r="AC1467">
        <v>0.94839999999999203</v>
      </c>
      <c r="AD1467">
        <v>-1.1119537527349901</v>
      </c>
      <c r="AE1467">
        <v>-20.416899999999998</v>
      </c>
      <c r="AF1467">
        <v>-0.57656901587641796</v>
      </c>
      <c r="AG1467">
        <v>-1.1119537527349901</v>
      </c>
      <c r="AH1467">
        <v>20.370441566546202</v>
      </c>
      <c r="AI1467">
        <v>93.123234300777398</v>
      </c>
      <c r="AJ1467">
        <v>91.621278242546495</v>
      </c>
      <c r="AK1467">
        <v>20.408913802413998</v>
      </c>
      <c r="AL1467">
        <v>89.402177050144701</v>
      </c>
      <c r="AM1467">
        <v>92.051505583464106</v>
      </c>
      <c r="AN1467">
        <v>1.0000000480102</v>
      </c>
    </row>
    <row r="1468" spans="1:40" x14ac:dyDescent="0.25">
      <c r="A1468" t="str">
        <f>"20190312151013032"</f>
        <v>20190312151013032</v>
      </c>
      <c r="B1468" t="str">
        <f>"1552374613022237"</f>
        <v>1552374613022237</v>
      </c>
      <c r="C1468" t="s">
        <v>40</v>
      </c>
      <c r="D1468">
        <v>5.6501489999999999</v>
      </c>
      <c r="E1468">
        <v>0.50226999999999999</v>
      </c>
      <c r="F1468" t="s">
        <v>42</v>
      </c>
      <c r="G1468">
        <v>-191.08860000000001</v>
      </c>
      <c r="H1468" s="1">
        <v>-1.6639249999999999E-6</v>
      </c>
      <c r="I1468">
        <v>312.49889999999999</v>
      </c>
      <c r="J1468">
        <v>-192.06890000000001</v>
      </c>
      <c r="K1468">
        <v>1.1119380000000001</v>
      </c>
      <c r="L1468">
        <v>332.86219999999997</v>
      </c>
      <c r="M1468">
        <v>2.1094330000000001E-2</v>
      </c>
      <c r="N1468">
        <v>0</v>
      </c>
      <c r="O1468">
        <v>-0.99969090000000005</v>
      </c>
      <c r="P1468">
        <v>5.6239450000000003E-2</v>
      </c>
      <c r="Q1468">
        <v>-3.096732E-3</v>
      </c>
      <c r="R1468">
        <v>-0.99841270000000004</v>
      </c>
      <c r="S1468">
        <v>0.14378360000000001</v>
      </c>
      <c r="T1468">
        <v>-0.16186239999999999</v>
      </c>
      <c r="U1468">
        <v>-2.996124</v>
      </c>
      <c r="V1468">
        <v>-3.5207629999999997E-2</v>
      </c>
      <c r="W1468">
        <v>9.9111990000000007E-3</v>
      </c>
      <c r="X1468">
        <v>0.99933090000000002</v>
      </c>
      <c r="Y1468">
        <v>-2.6782449999999999E-2</v>
      </c>
      <c r="Z1468">
        <v>5.3886690000000001E-2</v>
      </c>
      <c r="AA1468">
        <v>0.99818779999999996</v>
      </c>
      <c r="AB1468">
        <v>22</v>
      </c>
      <c r="AC1468">
        <v>0.98029999999999895</v>
      </c>
      <c r="AD1468">
        <v>-1.1119396639250001</v>
      </c>
      <c r="AE1468">
        <v>-20.363299999999899</v>
      </c>
      <c r="AF1468">
        <v>-0.54886171058905497</v>
      </c>
      <c r="AG1468">
        <v>-1.1119396639250001</v>
      </c>
      <c r="AH1468">
        <v>20.319003343140299</v>
      </c>
      <c r="AI1468">
        <v>93.1311971431155</v>
      </c>
      <c r="AJ1468">
        <v>91.547310845347795</v>
      </c>
      <c r="AK1468">
        <v>20.356806130926</v>
      </c>
      <c r="AL1468">
        <v>89.432120845941796</v>
      </c>
      <c r="AM1468">
        <v>92.0177646847158</v>
      </c>
      <c r="AN1468">
        <v>1.0000000283853201</v>
      </c>
    </row>
    <row r="1469" spans="1:40" x14ac:dyDescent="0.25">
      <c r="A1469" t="str">
        <f>"20190312151013054"</f>
        <v>20190312151013054</v>
      </c>
      <c r="B1469" t="str">
        <f>"1552374613042730"</f>
        <v>1552374613042730</v>
      </c>
      <c r="C1469" t="s">
        <v>40</v>
      </c>
      <c r="D1469">
        <v>5.5258859999999999</v>
      </c>
      <c r="E1469">
        <v>0.50243289999999996</v>
      </c>
      <c r="F1469" t="s">
        <v>42</v>
      </c>
      <c r="G1469">
        <v>-191.04949999999999</v>
      </c>
      <c r="H1469" s="1">
        <v>-1.563304E-6</v>
      </c>
      <c r="I1469">
        <v>312.30799999999999</v>
      </c>
      <c r="J1469">
        <v>-192.06110000000001</v>
      </c>
      <c r="K1469">
        <v>1.1119159999999999</v>
      </c>
      <c r="L1469">
        <v>332.65170000000001</v>
      </c>
      <c r="M1469">
        <v>2.394315E-2</v>
      </c>
      <c r="N1469">
        <v>0</v>
      </c>
      <c r="O1469">
        <v>-0.99962810000000002</v>
      </c>
      <c r="P1469">
        <v>5.851895E-2</v>
      </c>
      <c r="Q1469">
        <v>-3.3865789999999998E-3</v>
      </c>
      <c r="R1469">
        <v>-0.99828090000000003</v>
      </c>
      <c r="S1469">
        <v>0.1485901</v>
      </c>
      <c r="T1469">
        <v>-0.16207269999999999</v>
      </c>
      <c r="U1469">
        <v>-2.995911</v>
      </c>
      <c r="V1469">
        <v>-3.463927E-2</v>
      </c>
      <c r="W1469">
        <v>9.5283179999999992E-3</v>
      </c>
      <c r="X1469">
        <v>0.99935450000000003</v>
      </c>
      <c r="Y1469">
        <v>-2.5534580000000001E-2</v>
      </c>
      <c r="Z1469">
        <v>5.3953910000000001E-2</v>
      </c>
      <c r="AA1469">
        <v>0.99821689999999996</v>
      </c>
      <c r="AB1469">
        <v>22</v>
      </c>
      <c r="AC1469">
        <v>1.01160000000001</v>
      </c>
      <c r="AD1469">
        <v>-1.1119175633039999</v>
      </c>
      <c r="AE1469">
        <v>-20.343699999999998</v>
      </c>
      <c r="AF1469">
        <v>-0.52261879219391905</v>
      </c>
      <c r="AG1469">
        <v>-1.1119175633039999</v>
      </c>
      <c r="AH1469">
        <v>20.301591605946101</v>
      </c>
      <c r="AI1469">
        <v>93.133919769865798</v>
      </c>
      <c r="AJ1469">
        <v>91.474625231766495</v>
      </c>
      <c r="AK1469">
        <v>20.338734297004802</v>
      </c>
      <c r="AL1469">
        <v>89.454059354719604</v>
      </c>
      <c r="AM1469">
        <v>91.9851711575172</v>
      </c>
      <c r="AN1469">
        <v>1.0000000422701401</v>
      </c>
    </row>
    <row r="1470" spans="1:40" x14ac:dyDescent="0.25">
      <c r="A1470" t="str">
        <f>"20190312151013077"</f>
        <v>20190312151013077</v>
      </c>
      <c r="B1470" t="str">
        <f>"1552374613072009"</f>
        <v>1552374613072009</v>
      </c>
      <c r="C1470" t="s">
        <v>40</v>
      </c>
      <c r="D1470">
        <v>5.5448550000000001</v>
      </c>
      <c r="E1470">
        <v>0.50279969999999996</v>
      </c>
      <c r="F1470" t="s">
        <v>42</v>
      </c>
      <c r="G1470">
        <v>-191.00280000000001</v>
      </c>
      <c r="H1470" s="1">
        <v>-1.437118E-6</v>
      </c>
      <c r="I1470">
        <v>312.06740000000002</v>
      </c>
      <c r="J1470">
        <v>-192.05199999999999</v>
      </c>
      <c r="K1470">
        <v>1.1118889999999999</v>
      </c>
      <c r="L1470">
        <v>332.42020000000002</v>
      </c>
      <c r="M1470">
        <v>2.7061439999999999E-2</v>
      </c>
      <c r="N1470">
        <v>0</v>
      </c>
      <c r="O1470">
        <v>-0.99954969999999999</v>
      </c>
      <c r="P1470">
        <v>6.1480060000000003E-2</v>
      </c>
      <c r="Q1470">
        <v>-3.6821480000000001E-3</v>
      </c>
      <c r="R1470">
        <v>-0.99810149999999997</v>
      </c>
      <c r="S1470">
        <v>0.1540222</v>
      </c>
      <c r="T1470">
        <v>-0.16181409999999999</v>
      </c>
      <c r="U1470">
        <v>-2.9955750000000001</v>
      </c>
      <c r="V1470">
        <v>-3.4484519999999998E-2</v>
      </c>
      <c r="W1470">
        <v>9.1244540000000006E-3</v>
      </c>
      <c r="X1470">
        <v>0.99936360000000002</v>
      </c>
      <c r="Y1470">
        <v>-2.422736E-2</v>
      </c>
      <c r="Z1470">
        <v>5.3866099999999903E-2</v>
      </c>
      <c r="AA1470">
        <v>0.99825419999999998</v>
      </c>
      <c r="AB1470">
        <v>22</v>
      </c>
      <c r="AC1470">
        <v>1.0492000000000099</v>
      </c>
      <c r="AD1470">
        <v>-1.1118904371179901</v>
      </c>
      <c r="AE1470">
        <v>-20.352799999999998</v>
      </c>
      <c r="AF1470">
        <v>-0.496515384747236</v>
      </c>
      <c r="AG1470">
        <v>-1.1118904371179901</v>
      </c>
      <c r="AH1470">
        <v>20.3132753782286</v>
      </c>
      <c r="AI1470">
        <v>93.132146427504907</v>
      </c>
      <c r="AJ1470">
        <v>91.400196275203299</v>
      </c>
      <c r="AK1470">
        <v>20.3497416313621</v>
      </c>
      <c r="AL1470">
        <v>89.477200052109296</v>
      </c>
      <c r="AM1470">
        <v>91.976291526157397</v>
      </c>
      <c r="AN1470">
        <v>1.0000000213926901</v>
      </c>
    </row>
    <row r="1471" spans="1:40" x14ac:dyDescent="0.25">
      <c r="A1471" t="str">
        <f>"20190312151013100"</f>
        <v>20190312151013100</v>
      </c>
      <c r="B1471" t="str">
        <f>"1552374613092506"</f>
        <v>1552374613092506</v>
      </c>
      <c r="C1471" t="s">
        <v>40</v>
      </c>
      <c r="D1471">
        <v>5.6119890000000003</v>
      </c>
      <c r="E1471">
        <v>0.50311359999999905</v>
      </c>
      <c r="F1471" t="s">
        <v>42</v>
      </c>
      <c r="G1471">
        <v>-190.952</v>
      </c>
      <c r="H1471" s="1">
        <v>-1.310624E-6</v>
      </c>
      <c r="I1471">
        <v>311.82839999999999</v>
      </c>
      <c r="J1471">
        <v>-192.0428</v>
      </c>
      <c r="K1471">
        <v>1.111858</v>
      </c>
      <c r="L1471">
        <v>332.20429999999999</v>
      </c>
      <c r="M1471">
        <v>2.994902E-2</v>
      </c>
      <c r="N1471">
        <v>0</v>
      </c>
      <c r="O1471">
        <v>-0.99946889999999999</v>
      </c>
      <c r="P1471">
        <v>6.403992E-2</v>
      </c>
      <c r="Q1471">
        <v>-3.672402E-3</v>
      </c>
      <c r="R1471">
        <v>-0.99794079999999996</v>
      </c>
      <c r="S1471">
        <v>0.1600037</v>
      </c>
      <c r="T1471">
        <v>-0.16173299999999999</v>
      </c>
      <c r="U1471">
        <v>-2.9952390000000002</v>
      </c>
      <c r="V1471">
        <v>-3.4160030000000001E-2</v>
      </c>
      <c r="W1471">
        <v>9.0314750000000006E-3</v>
      </c>
      <c r="X1471">
        <v>0.99937560000000003</v>
      </c>
      <c r="Y1471">
        <v>-2.3333099999999999E-2</v>
      </c>
      <c r="Z1471">
        <v>5.383632E-2</v>
      </c>
      <c r="AA1471">
        <v>0.99827710000000003</v>
      </c>
      <c r="AB1471">
        <v>22</v>
      </c>
      <c r="AC1471">
        <v>1.0908</v>
      </c>
      <c r="AD1471">
        <v>-1.111859310624</v>
      </c>
      <c r="AE1471">
        <v>-20.375900000000001</v>
      </c>
      <c r="AF1471">
        <v>-0.47860102768102603</v>
      </c>
      <c r="AG1471">
        <v>-1.111859310624</v>
      </c>
      <c r="AH1471">
        <v>20.339041085144402</v>
      </c>
      <c r="AI1471">
        <v>93.128167317977997</v>
      </c>
      <c r="AJ1471">
        <v>91.347986821589998</v>
      </c>
      <c r="AK1471">
        <v>20.375030854786701</v>
      </c>
      <c r="AL1471">
        <v>89.482527581569101</v>
      </c>
      <c r="AM1471">
        <v>91.957686208126006</v>
      </c>
      <c r="AN1471">
        <v>1.00000003253281</v>
      </c>
    </row>
    <row r="1472" spans="1:40" x14ac:dyDescent="0.25">
      <c r="A1472" t="str">
        <f>"20190312151013121"</f>
        <v>20190312151013121</v>
      </c>
      <c r="B1472" t="str">
        <f>"1552374613112025"</f>
        <v>1552374613112025</v>
      </c>
      <c r="C1472" t="s">
        <v>40</v>
      </c>
      <c r="D1472">
        <v>5.6199240000000001</v>
      </c>
      <c r="E1472">
        <v>0.50325470000000005</v>
      </c>
      <c r="F1472" t="s">
        <v>42</v>
      </c>
      <c r="G1472">
        <v>-190.8982</v>
      </c>
      <c r="H1472" s="1">
        <v>-1.1116300000000001E-6</v>
      </c>
      <c r="I1472">
        <v>311.43770000000001</v>
      </c>
      <c r="J1472">
        <v>-192.03309999999999</v>
      </c>
      <c r="K1472">
        <v>1.1118250000000001</v>
      </c>
      <c r="L1472">
        <v>331.99209999999999</v>
      </c>
      <c r="M1472">
        <v>3.2766860000000002E-2</v>
      </c>
      <c r="N1472">
        <v>0</v>
      </c>
      <c r="O1472">
        <v>-0.99938170000000004</v>
      </c>
      <c r="P1472">
        <v>6.6517450000000006E-2</v>
      </c>
      <c r="Q1472">
        <v>-3.708112E-3</v>
      </c>
      <c r="R1472">
        <v>-0.99777870000000002</v>
      </c>
      <c r="S1472">
        <v>0.16506960000000001</v>
      </c>
      <c r="T1472">
        <v>-0.16035379999999999</v>
      </c>
      <c r="U1472">
        <v>-2.9949949999999999</v>
      </c>
      <c r="V1472">
        <v>-3.3823150000000003E-2</v>
      </c>
      <c r="W1472">
        <v>8.8927209999999993E-3</v>
      </c>
      <c r="X1472">
        <v>0.99938830000000001</v>
      </c>
      <c r="Y1472">
        <v>-2.220372E-2</v>
      </c>
      <c r="Z1472">
        <v>5.3374030000000003E-2</v>
      </c>
      <c r="AA1472">
        <v>0.99832770000000004</v>
      </c>
      <c r="AB1472">
        <v>22</v>
      </c>
      <c r="AC1472">
        <v>1.13489999999998</v>
      </c>
      <c r="AD1472">
        <v>-1.1118261116299999</v>
      </c>
      <c r="AE1472">
        <v>-20.554399999999902</v>
      </c>
      <c r="AF1472">
        <v>-0.45939252622709997</v>
      </c>
      <c r="AG1472">
        <v>-1.1118261116299999</v>
      </c>
      <c r="AH1472">
        <v>20.52069143828</v>
      </c>
      <c r="AI1472">
        <v>93.100519726799007</v>
      </c>
      <c r="AJ1472">
        <v>91.282454695296195</v>
      </c>
      <c r="AK1472">
        <v>20.555923134239301</v>
      </c>
      <c r="AL1472">
        <v>89.490477917941206</v>
      </c>
      <c r="AM1472">
        <v>91.938370050496502</v>
      </c>
      <c r="AN1472">
        <v>1.00000003006979</v>
      </c>
    </row>
    <row r="1473" spans="1:40" x14ac:dyDescent="0.25">
      <c r="A1473" t="str">
        <f>"20190312151013144"</f>
        <v>20190312151013144</v>
      </c>
      <c r="B1473" t="str">
        <f>"1552374613132525"</f>
        <v>1552374613132525</v>
      </c>
      <c r="C1473" t="s">
        <v>40</v>
      </c>
      <c r="D1473">
        <v>5.5339109999999998</v>
      </c>
      <c r="E1473">
        <v>0.50337299999999996</v>
      </c>
      <c r="F1473" t="s">
        <v>42</v>
      </c>
      <c r="G1473">
        <v>-190.84289999999999</v>
      </c>
      <c r="H1473" s="1">
        <v>-9.8727089999999995E-7</v>
      </c>
      <c r="I1473">
        <v>311.20569999999998</v>
      </c>
      <c r="J1473">
        <v>-192.02180000000001</v>
      </c>
      <c r="K1473">
        <v>1.1117840000000001</v>
      </c>
      <c r="L1473">
        <v>331.75909999999999</v>
      </c>
      <c r="M1473">
        <v>3.5833709999999998E-2</v>
      </c>
      <c r="N1473">
        <v>0</v>
      </c>
      <c r="O1473">
        <v>-0.99927809999999995</v>
      </c>
      <c r="P1473">
        <v>6.959999E-2</v>
      </c>
      <c r="Q1473">
        <v>-4.5693870000000003E-3</v>
      </c>
      <c r="R1473">
        <v>-0.99756469999999997</v>
      </c>
      <c r="S1473">
        <v>0.171463</v>
      </c>
      <c r="T1473">
        <v>-0.1601775</v>
      </c>
      <c r="U1473">
        <v>-2.9946290000000002</v>
      </c>
      <c r="V1473">
        <v>-3.383916E-2</v>
      </c>
      <c r="W1473">
        <v>7.9190549999999995E-3</v>
      </c>
      <c r="X1473">
        <v>0.9993959</v>
      </c>
      <c r="Y1473">
        <v>-2.1267210000000002E-2</v>
      </c>
      <c r="Z1473">
        <v>5.3310950000000003E-2</v>
      </c>
      <c r="AA1473">
        <v>0.99835149999999995</v>
      </c>
      <c r="AB1473">
        <v>22</v>
      </c>
      <c r="AC1473">
        <v>1.17890000000002</v>
      </c>
      <c r="AD1473">
        <v>-1.11178498727089</v>
      </c>
      <c r="AE1473">
        <v>-20.5534</v>
      </c>
      <c r="AF1473">
        <v>-0.44029545363669198</v>
      </c>
      <c r="AG1473">
        <v>-1.11178498727089</v>
      </c>
      <c r="AH1473">
        <v>20.5225933466687</v>
      </c>
      <c r="AI1473">
        <v>93.100181725458199</v>
      </c>
      <c r="AJ1473">
        <v>91.229045537911404</v>
      </c>
      <c r="AK1473">
        <v>20.557401674753098</v>
      </c>
      <c r="AL1473">
        <v>89.546266820393896</v>
      </c>
      <c r="AM1473">
        <v>91.9392721305328</v>
      </c>
      <c r="AN1473">
        <v>0.99999998255920397</v>
      </c>
    </row>
    <row r="1474" spans="1:40" x14ac:dyDescent="0.25">
      <c r="A1474" t="str">
        <f>"20190312151013165"</f>
        <v>20190312151013165</v>
      </c>
      <c r="B1474" t="str">
        <f>"1552374613161802"</f>
        <v>1552374613161802</v>
      </c>
      <c r="C1474" t="s">
        <v>40</v>
      </c>
      <c r="D1474">
        <v>5.6303000000000001</v>
      </c>
      <c r="E1474">
        <v>0.51558210000000004</v>
      </c>
      <c r="F1474" t="s">
        <v>42</v>
      </c>
      <c r="G1474">
        <v>-190.8048</v>
      </c>
      <c r="H1474" s="1">
        <v>-1.11336E-6</v>
      </c>
      <c r="I1474">
        <v>311.4939</v>
      </c>
      <c r="J1474">
        <v>-192.01140000000001</v>
      </c>
      <c r="K1474">
        <v>1.111753</v>
      </c>
      <c r="L1474">
        <v>331.55309999999997</v>
      </c>
      <c r="M1474">
        <v>3.8523479999999999E-2</v>
      </c>
      <c r="N1474">
        <v>0</v>
      </c>
      <c r="O1474">
        <v>-0.99917909999999999</v>
      </c>
      <c r="P1474">
        <v>7.2593420000000006E-2</v>
      </c>
      <c r="Q1474">
        <v>-5.3084839999999996E-3</v>
      </c>
      <c r="R1474">
        <v>-0.99734780000000001</v>
      </c>
      <c r="S1474">
        <v>0.17980960000000001</v>
      </c>
      <c r="T1474">
        <v>-0.1642556</v>
      </c>
      <c r="U1474">
        <v>-2.9939879999999999</v>
      </c>
      <c r="V1474">
        <v>-3.4144840000000003E-2</v>
      </c>
      <c r="W1474">
        <v>7.0755530000000001E-3</v>
      </c>
      <c r="X1474">
        <v>0.9993919</v>
      </c>
      <c r="Y1474">
        <v>-2.135745E-2</v>
      </c>
      <c r="Z1474">
        <v>5.4663200000000002E-2</v>
      </c>
      <c r="AA1474">
        <v>0.99827639999999995</v>
      </c>
      <c r="AB1474">
        <v>22</v>
      </c>
      <c r="AC1474">
        <v>1.2065999999999999</v>
      </c>
      <c r="AD1474">
        <v>-1.11175411336</v>
      </c>
      <c r="AE1474">
        <v>-20.059199999999901</v>
      </c>
      <c r="AF1474">
        <v>-0.43157239360467597</v>
      </c>
      <c r="AG1474">
        <v>-1.11175411336</v>
      </c>
      <c r="AH1474">
        <v>20.0294893092289</v>
      </c>
      <c r="AI1474">
        <v>93.176256047332402</v>
      </c>
      <c r="AJ1474">
        <v>91.234352544284604</v>
      </c>
      <c r="AK1474">
        <v>20.0649618471606</v>
      </c>
      <c r="AL1474">
        <v>89.594597313634196</v>
      </c>
      <c r="AM1474">
        <v>91.956784466615602</v>
      </c>
      <c r="AN1474">
        <v>1.00000005166724</v>
      </c>
    </row>
    <row r="1475" spans="1:40" x14ac:dyDescent="0.25">
      <c r="A1475" t="str">
        <f>"20190312151013187"</f>
        <v>20190312151013187</v>
      </c>
      <c r="B1475" t="str">
        <f>"1552374613182805"</f>
        <v>1552374613182805</v>
      </c>
      <c r="C1475" t="s">
        <v>40</v>
      </c>
      <c r="D1475">
        <v>5.5790199999999999</v>
      </c>
      <c r="E1475">
        <v>0.51520310000000002</v>
      </c>
      <c r="F1475" t="s">
        <v>42</v>
      </c>
      <c r="G1475">
        <v>-191.46709999999999</v>
      </c>
      <c r="H1475" s="1">
        <v>-2.2996930000000002E-6</v>
      </c>
      <c r="I1475">
        <v>313.63080000000002</v>
      </c>
      <c r="J1475">
        <v>-191.9999</v>
      </c>
      <c r="K1475">
        <v>1.1117170000000001</v>
      </c>
      <c r="L1475">
        <v>331.33929999999998</v>
      </c>
      <c r="M1475">
        <v>4.1286169999999997E-2</v>
      </c>
      <c r="N1475">
        <v>0</v>
      </c>
      <c r="O1475">
        <v>-0.99907049999999997</v>
      </c>
      <c r="P1475">
        <v>7.5711269999999997E-2</v>
      </c>
      <c r="Q1475">
        <v>-5.7892389999999998E-3</v>
      </c>
      <c r="R1475">
        <v>-0.99711349999999999</v>
      </c>
      <c r="S1475">
        <v>9.111023E-2</v>
      </c>
      <c r="T1475">
        <v>-0.18612029999999999</v>
      </c>
      <c r="U1475">
        <v>-3.000397</v>
      </c>
      <c r="V1475">
        <v>-3.450334E-2</v>
      </c>
      <c r="W1475">
        <v>6.4790430000000003E-3</v>
      </c>
      <c r="X1475">
        <v>0.99938360000000004</v>
      </c>
      <c r="Y1475">
        <v>1.100223E-2</v>
      </c>
      <c r="Z1475">
        <v>6.1817730000000001E-2</v>
      </c>
      <c r="AA1475">
        <v>0.99802679999999999</v>
      </c>
      <c r="AB1475">
        <v>22</v>
      </c>
      <c r="AC1475">
        <v>0.53280000000000804</v>
      </c>
      <c r="AD1475">
        <v>-1.1117192996930001</v>
      </c>
      <c r="AE1475">
        <v>-17.708499999999901</v>
      </c>
      <c r="AF1475">
        <v>0.19804681529287199</v>
      </c>
      <c r="AG1475">
        <v>-1.1117192996930001</v>
      </c>
      <c r="AH1475">
        <v>17.6459148081785</v>
      </c>
      <c r="AI1475">
        <v>93.604729719933701</v>
      </c>
      <c r="AJ1475">
        <v>89.356974666803495</v>
      </c>
      <c r="AK1475">
        <v>17.682009268175701</v>
      </c>
      <c r="AL1475">
        <v>89.628775590706695</v>
      </c>
      <c r="AM1475">
        <v>91.977329695109404</v>
      </c>
      <c r="AN1475">
        <v>1.00000001920915</v>
      </c>
    </row>
    <row r="1476" spans="1:40" x14ac:dyDescent="0.25">
      <c r="A1476" t="str">
        <f>"20190312151013211"</f>
        <v>20190312151013211</v>
      </c>
      <c r="B1476" t="str">
        <f>"1552374613202324"</f>
        <v>1552374613202324</v>
      </c>
      <c r="C1476" t="s">
        <v>40</v>
      </c>
      <c r="D1476">
        <v>5.5648</v>
      </c>
      <c r="E1476">
        <v>0.51538399999999995</v>
      </c>
      <c r="F1476" t="s">
        <v>42</v>
      </c>
      <c r="G1476">
        <v>-191.3467</v>
      </c>
      <c r="H1476" s="1">
        <v>-1.6947850000000001E-6</v>
      </c>
      <c r="I1476">
        <v>312.41890000000001</v>
      </c>
      <c r="J1476">
        <v>-191.98699999999999</v>
      </c>
      <c r="K1476">
        <v>1.111675</v>
      </c>
      <c r="L1476">
        <v>331.11079999999998</v>
      </c>
      <c r="M1476">
        <v>4.4199540000000002E-2</v>
      </c>
      <c r="N1476">
        <v>0</v>
      </c>
      <c r="O1476">
        <v>-0.99894720000000004</v>
      </c>
      <c r="P1476">
        <v>7.8703490000000001E-2</v>
      </c>
      <c r="Q1476">
        <v>-5.9300589999999997E-3</v>
      </c>
      <c r="R1476">
        <v>-0.9968804</v>
      </c>
      <c r="S1476">
        <v>0.1035614</v>
      </c>
      <c r="T1476">
        <v>-0.17625859999999999</v>
      </c>
      <c r="U1476">
        <v>-2.9997560000000001</v>
      </c>
      <c r="V1476">
        <v>-3.4586800000000001E-2</v>
      </c>
      <c r="W1476">
        <v>6.2072519999999999E-3</v>
      </c>
      <c r="X1476">
        <v>0.9993824</v>
      </c>
      <c r="Y1476">
        <v>9.7668129999999992E-3</v>
      </c>
      <c r="Z1476">
        <v>5.8551810000000003E-2</v>
      </c>
      <c r="AA1476">
        <v>0.99823660000000003</v>
      </c>
      <c r="AB1476">
        <v>22</v>
      </c>
      <c r="AC1476">
        <v>0.64029999999999598</v>
      </c>
      <c r="AD1476">
        <v>-1.1116766947850001</v>
      </c>
      <c r="AE1476">
        <v>-18.691899999999901</v>
      </c>
      <c r="AF1476">
        <v>0.18590476821326801</v>
      </c>
      <c r="AG1476">
        <v>-1.1116766947850001</v>
      </c>
      <c r="AH1476">
        <v>18.636092293264699</v>
      </c>
      <c r="AI1476">
        <v>93.4135824331603</v>
      </c>
      <c r="AJ1476">
        <v>89.428463588423</v>
      </c>
      <c r="AK1476">
        <v>18.670145195462499</v>
      </c>
      <c r="AL1476">
        <v>89.644348366682394</v>
      </c>
      <c r="AM1476">
        <v>91.982111218064901</v>
      </c>
      <c r="AN1476">
        <v>0.99999997907069504</v>
      </c>
    </row>
    <row r="1477" spans="1:40" x14ac:dyDescent="0.25">
      <c r="A1477" t="str">
        <f>"20190312151013233"</f>
        <v>20190312151013233</v>
      </c>
      <c r="B1477" t="str">
        <f>"1552374613221844"</f>
        <v>1552374613221844</v>
      </c>
      <c r="C1477" t="s">
        <v>40</v>
      </c>
      <c r="D1477">
        <v>5.5674359999999998</v>
      </c>
      <c r="E1477">
        <v>0.51555419999999996</v>
      </c>
      <c r="F1477" t="s">
        <v>42</v>
      </c>
      <c r="G1477">
        <v>-191.2741</v>
      </c>
      <c r="H1477" s="1">
        <v>-1.4234950000000001E-6</v>
      </c>
      <c r="I1477">
        <v>311.88580000000002</v>
      </c>
      <c r="J1477">
        <v>-191.97389999999999</v>
      </c>
      <c r="K1477">
        <v>1.1116269999999999</v>
      </c>
      <c r="L1477">
        <v>330.88729999999998</v>
      </c>
      <c r="M1477">
        <v>4.7002009999999997E-2</v>
      </c>
      <c r="N1477">
        <v>0</v>
      </c>
      <c r="O1477">
        <v>-0.99882079999999995</v>
      </c>
      <c r="P1477">
        <v>8.1600770000000003E-2</v>
      </c>
      <c r="Q1477">
        <v>-6.1153290000000001E-3</v>
      </c>
      <c r="R1477">
        <v>-0.99664660000000005</v>
      </c>
      <c r="S1477">
        <v>0.1112366</v>
      </c>
      <c r="T1477">
        <v>-0.17345089999999999</v>
      </c>
      <c r="U1477">
        <v>-2.999603</v>
      </c>
      <c r="V1477">
        <v>-3.4686460000000002E-2</v>
      </c>
      <c r="W1477">
        <v>5.8915909999999998E-3</v>
      </c>
      <c r="X1477">
        <v>0.99938090000000002</v>
      </c>
      <c r="Y1477">
        <v>1.001748E-2</v>
      </c>
      <c r="Z1477">
        <v>5.7611429999999998E-2</v>
      </c>
      <c r="AA1477">
        <v>0.99828879999999998</v>
      </c>
      <c r="AB1477">
        <v>22</v>
      </c>
      <c r="AC1477">
        <v>0.69979999999998199</v>
      </c>
      <c r="AD1477">
        <v>-1.111628423495</v>
      </c>
      <c r="AE1477">
        <v>-19.001499999999901</v>
      </c>
      <c r="AF1477">
        <v>0.19348693510440401</v>
      </c>
      <c r="AG1477">
        <v>-1.111628423495</v>
      </c>
      <c r="AH1477">
        <v>18.948626932950202</v>
      </c>
      <c r="AI1477">
        <v>93.357255983162005</v>
      </c>
      <c r="AJ1477">
        <v>89.4149655521677</v>
      </c>
      <c r="AK1477">
        <v>18.982192117616499</v>
      </c>
      <c r="AL1477">
        <v>89.662434755735006</v>
      </c>
      <c r="AM1477">
        <v>91.987820970506604</v>
      </c>
      <c r="AN1477">
        <v>1.0000000223183201</v>
      </c>
    </row>
    <row r="1478" spans="1:40" x14ac:dyDescent="0.25">
      <c r="A1478" t="str">
        <f>"20190312151013255"</f>
        <v>20190312151013255</v>
      </c>
      <c r="B1478" t="str">
        <f>"1552374613252100"</f>
        <v>1552374613252100</v>
      </c>
      <c r="C1478" t="s">
        <v>40</v>
      </c>
      <c r="D1478">
        <v>5.642468</v>
      </c>
      <c r="E1478">
        <v>0.51604220000000001</v>
      </c>
      <c r="F1478" t="s">
        <v>42</v>
      </c>
      <c r="G1478">
        <v>-191.21379999999999</v>
      </c>
      <c r="H1478" s="1">
        <v>-1.314006E-6</v>
      </c>
      <c r="I1478">
        <v>311.68819999999999</v>
      </c>
      <c r="J1478">
        <v>-191.96080000000001</v>
      </c>
      <c r="K1478">
        <v>1.1115759999999999</v>
      </c>
      <c r="L1478">
        <v>330.67399999999998</v>
      </c>
      <c r="M1478">
        <v>4.9624199999999903E-2</v>
      </c>
      <c r="N1478">
        <v>0</v>
      </c>
      <c r="O1478">
        <v>-0.99869560000000002</v>
      </c>
      <c r="P1478">
        <v>8.4221790000000005E-2</v>
      </c>
      <c r="Q1478">
        <v>-6.3750940000000004E-3</v>
      </c>
      <c r="R1478">
        <v>-0.99642649999999999</v>
      </c>
      <c r="S1478">
        <v>0.1187439</v>
      </c>
      <c r="T1478">
        <v>-0.17365729999999999</v>
      </c>
      <c r="U1478">
        <v>-2.9992679999999998</v>
      </c>
      <c r="V1478">
        <v>-3.4689390000000001E-2</v>
      </c>
      <c r="W1478">
        <v>5.5077429999999998E-3</v>
      </c>
      <c r="X1478">
        <v>0.99938300000000002</v>
      </c>
      <c r="Y1478">
        <v>1.0143640000000001E-2</v>
      </c>
      <c r="Z1478">
        <v>5.7672399999999999E-2</v>
      </c>
      <c r="AA1478">
        <v>0.99828399999999995</v>
      </c>
      <c r="AB1478">
        <v>22</v>
      </c>
      <c r="AC1478">
        <v>0.74700000000001399</v>
      </c>
      <c r="AD1478">
        <v>-1.1115773140059999</v>
      </c>
      <c r="AE1478">
        <v>-18.985800000000001</v>
      </c>
      <c r="AF1478">
        <v>0.195474676923932</v>
      </c>
      <c r="AG1478">
        <v>-1.1115773140059999</v>
      </c>
      <c r="AH1478">
        <v>18.934672459329001</v>
      </c>
      <c r="AI1478">
        <v>93.359566559649807</v>
      </c>
      <c r="AJ1478">
        <v>89.408520207879405</v>
      </c>
      <c r="AK1478">
        <v>18.968279722115099</v>
      </c>
      <c r="AL1478">
        <v>89.684427986949601</v>
      </c>
      <c r="AM1478">
        <v>91.987984575005399</v>
      </c>
      <c r="AN1478">
        <v>1.00000003485026</v>
      </c>
    </row>
    <row r="1479" spans="1:40" x14ac:dyDescent="0.25">
      <c r="A1479" t="str">
        <f>"20190312151013279"</f>
        <v>20190312151013279</v>
      </c>
      <c r="B1479" t="str">
        <f>"1552374613272595"</f>
        <v>1552374613272595</v>
      </c>
      <c r="C1479" t="s">
        <v>40</v>
      </c>
      <c r="D1479">
        <v>5.5607980000000001</v>
      </c>
      <c r="E1479">
        <v>0.51643790000000001</v>
      </c>
      <c r="F1479" t="s">
        <v>42</v>
      </c>
      <c r="G1479">
        <v>-191.18819999999999</v>
      </c>
      <c r="H1479" s="1">
        <v>-1.356476E-6</v>
      </c>
      <c r="I1479">
        <v>311.79239999999999</v>
      </c>
      <c r="J1479">
        <v>-191.94589999999999</v>
      </c>
      <c r="K1479">
        <v>1.1115200000000001</v>
      </c>
      <c r="L1479">
        <v>330.44009999999997</v>
      </c>
      <c r="M1479">
        <v>5.2431150000000003E-2</v>
      </c>
      <c r="N1479">
        <v>0</v>
      </c>
      <c r="O1479">
        <v>-0.9985541</v>
      </c>
      <c r="P1479">
        <v>8.6355730000000006E-2</v>
      </c>
      <c r="Q1479">
        <v>-6.5164269999999896E-3</v>
      </c>
      <c r="R1479">
        <v>-0.99624330000000005</v>
      </c>
      <c r="S1479">
        <v>0.1227264</v>
      </c>
      <c r="T1479">
        <v>-0.17656959999999999</v>
      </c>
      <c r="U1479">
        <v>-2.9992679999999998</v>
      </c>
      <c r="V1479">
        <v>-3.4018939999999998E-2</v>
      </c>
      <c r="W1479">
        <v>5.2354740000000004E-3</v>
      </c>
      <c r="X1479">
        <v>0.9994075</v>
      </c>
      <c r="Y1479">
        <v>1.1633060000000001E-2</v>
      </c>
      <c r="Z1479">
        <v>5.8621609999999998E-2</v>
      </c>
      <c r="AA1479">
        <v>0.99821249999999995</v>
      </c>
      <c r="AB1479">
        <v>22</v>
      </c>
      <c r="AC1479">
        <v>0.75769999999999904</v>
      </c>
      <c r="AD1479">
        <v>-1.111521356476</v>
      </c>
      <c r="AE1479">
        <v>-18.647699999999901</v>
      </c>
      <c r="AF1479">
        <v>0.22034987521031199</v>
      </c>
      <c r="AG1479">
        <v>-1.111521356476</v>
      </c>
      <c r="AH1479">
        <v>18.595816629646599</v>
      </c>
      <c r="AI1479">
        <v>93.420411528144896</v>
      </c>
      <c r="AJ1479">
        <v>89.321109297140396</v>
      </c>
      <c r="AK1479">
        <v>18.630309442326698</v>
      </c>
      <c r="AL1479">
        <v>89.700028073085505</v>
      </c>
      <c r="AM1479">
        <v>91.949544515467196</v>
      </c>
      <c r="AN1479">
        <v>1.00000002476148</v>
      </c>
    </row>
    <row r="1480" spans="1:40" x14ac:dyDescent="0.25">
      <c r="A1480" t="str">
        <f>"20190312151013301"</f>
        <v>20190312151013301</v>
      </c>
      <c r="B1480" t="str">
        <f>"1552374613292116"</f>
        <v>1552374613292116</v>
      </c>
      <c r="C1480" t="s">
        <v>40</v>
      </c>
      <c r="D1480">
        <v>5.571923</v>
      </c>
      <c r="E1480">
        <v>0.51685420000000004</v>
      </c>
      <c r="F1480" t="s">
        <v>42</v>
      </c>
      <c r="G1480">
        <v>-191.15520000000001</v>
      </c>
      <c r="H1480" s="1">
        <v>-1.260374E-6</v>
      </c>
      <c r="I1480">
        <v>311.60770000000002</v>
      </c>
      <c r="J1480">
        <v>-191.9308</v>
      </c>
      <c r="K1480">
        <v>1.1114539999999999</v>
      </c>
      <c r="L1480">
        <v>330.21280000000002</v>
      </c>
      <c r="M1480">
        <v>5.5065360000000001E-2</v>
      </c>
      <c r="N1480">
        <v>0</v>
      </c>
      <c r="O1480">
        <v>-0.99841369999999896</v>
      </c>
      <c r="P1480">
        <v>8.8290980000000005E-2</v>
      </c>
      <c r="Q1480">
        <v>-5.9474319999999999E-3</v>
      </c>
      <c r="R1480">
        <v>-0.99607710000000005</v>
      </c>
      <c r="S1480">
        <v>0.12593080000000001</v>
      </c>
      <c r="T1480">
        <v>-0.17702019999999999</v>
      </c>
      <c r="U1480">
        <v>-2.9992369999999999</v>
      </c>
      <c r="V1480">
        <v>-3.3324989999999999E-2</v>
      </c>
      <c r="W1480">
        <v>5.6760639999999998E-3</v>
      </c>
      <c r="X1480">
        <v>0.99942850000000005</v>
      </c>
      <c r="Y1480">
        <v>1.3206280000000001E-2</v>
      </c>
      <c r="Z1480">
        <v>5.8756919999999997E-2</v>
      </c>
      <c r="AA1480">
        <v>0.99818499999999999</v>
      </c>
      <c r="AB1480">
        <v>22</v>
      </c>
      <c r="AC1480">
        <v>0.77559999999999696</v>
      </c>
      <c r="AD1480">
        <v>-1.111455260374</v>
      </c>
      <c r="AE1480">
        <v>-18.6051</v>
      </c>
      <c r="AF1480">
        <v>0.249256112977851</v>
      </c>
      <c r="AG1480">
        <v>-1.111455260374</v>
      </c>
      <c r="AH1480">
        <v>18.553480743100899</v>
      </c>
      <c r="AI1480">
        <v>93.4279258477535</v>
      </c>
      <c r="AJ1480">
        <v>89.230308081024802</v>
      </c>
      <c r="AK1480">
        <v>18.588413302115999</v>
      </c>
      <c r="AL1480">
        <v>89.6747837583939</v>
      </c>
      <c r="AM1480">
        <v>91.909765549135201</v>
      </c>
      <c r="AN1480">
        <v>1.0000000496366399</v>
      </c>
    </row>
    <row r="1481" spans="1:40" x14ac:dyDescent="0.25">
      <c r="A1481" t="str">
        <f>"20190312151013322"</f>
        <v>20190312151013322</v>
      </c>
      <c r="B1481" t="str">
        <f>"1552374613312612"</f>
        <v>1552374613312612</v>
      </c>
      <c r="C1481" t="s">
        <v>40</v>
      </c>
      <c r="D1481">
        <v>5.4909629999999998</v>
      </c>
      <c r="E1481">
        <v>0.51719899999999996</v>
      </c>
      <c r="F1481" t="s">
        <v>42</v>
      </c>
      <c r="G1481">
        <v>-191.08840000000001</v>
      </c>
      <c r="H1481" s="1">
        <v>-7.5062880000000003E-7</v>
      </c>
      <c r="I1481">
        <v>310.56689999999998</v>
      </c>
      <c r="J1481">
        <v>-191.91659999999999</v>
      </c>
      <c r="K1481">
        <v>1.1113959999999901</v>
      </c>
      <c r="L1481">
        <v>330.00470000000001</v>
      </c>
      <c r="M1481">
        <v>5.7409170000000002E-2</v>
      </c>
      <c r="N1481">
        <v>0</v>
      </c>
      <c r="O1481">
        <v>-0.99828309999999998</v>
      </c>
      <c r="P1481">
        <v>9.0175489999999997E-2</v>
      </c>
      <c r="Q1481">
        <v>-5.589765E-3</v>
      </c>
      <c r="R1481">
        <v>-0.99591050000000003</v>
      </c>
      <c r="S1481">
        <v>0.12861629999999999</v>
      </c>
      <c r="T1481">
        <v>-0.16968720000000001</v>
      </c>
      <c r="U1481">
        <v>-2.9993590000000001</v>
      </c>
      <c r="V1481">
        <v>-3.2869830000000003E-2</v>
      </c>
      <c r="W1481">
        <v>5.921155E-3</v>
      </c>
      <c r="X1481">
        <v>0.9994421</v>
      </c>
      <c r="Y1481">
        <v>1.46572E-2</v>
      </c>
      <c r="Z1481">
        <v>5.6315759999999999E-2</v>
      </c>
      <c r="AA1481">
        <v>0.99830540000000001</v>
      </c>
      <c r="AB1481">
        <v>22</v>
      </c>
      <c r="AC1481">
        <v>0.82819999999998095</v>
      </c>
      <c r="AD1481">
        <v>-1.1113967506287901</v>
      </c>
      <c r="AE1481">
        <v>-19.437799999999999</v>
      </c>
      <c r="AF1481">
        <v>0.28820891448725799</v>
      </c>
      <c r="AG1481">
        <v>-1.1113967506287901</v>
      </c>
      <c r="AH1481">
        <v>19.390011715257899</v>
      </c>
      <c r="AI1481">
        <v>93.280128752007698</v>
      </c>
      <c r="AJ1481">
        <v>89.148430711289194</v>
      </c>
      <c r="AK1481">
        <v>19.423975428154201</v>
      </c>
      <c r="AL1481">
        <v>89.660740825728894</v>
      </c>
      <c r="AM1481">
        <v>91.883674861243705</v>
      </c>
      <c r="AN1481">
        <v>0.99999999852658605</v>
      </c>
    </row>
    <row r="1482" spans="1:40" x14ac:dyDescent="0.25">
      <c r="A1482" t="str">
        <f>"20190312151013344"</f>
        <v>20190312151013344</v>
      </c>
      <c r="B1482" t="str">
        <f>"1552374613332132"</f>
        <v>1552374613332132</v>
      </c>
      <c r="C1482" t="s">
        <v>40</v>
      </c>
      <c r="D1482">
        <v>5.5908199999999999</v>
      </c>
      <c r="E1482">
        <v>0.5175862</v>
      </c>
      <c r="F1482" t="s">
        <v>42</v>
      </c>
      <c r="G1482">
        <v>-191.02029999999999</v>
      </c>
      <c r="H1482" s="1">
        <v>-4.4746689999999999E-6</v>
      </c>
      <c r="I1482">
        <v>309.60399999999998</v>
      </c>
      <c r="J1482">
        <v>-191.90129999999999</v>
      </c>
      <c r="K1482">
        <v>1.1113360000000001</v>
      </c>
      <c r="L1482">
        <v>329.78699999999998</v>
      </c>
      <c r="M1482">
        <v>5.977876E-2</v>
      </c>
      <c r="N1482">
        <v>0</v>
      </c>
      <c r="O1482">
        <v>-0.99814550000000002</v>
      </c>
      <c r="P1482">
        <v>9.2169089999999995E-2</v>
      </c>
      <c r="Q1482">
        <v>-5.2559030000000001E-3</v>
      </c>
      <c r="R1482">
        <v>-0.99572969999999905</v>
      </c>
      <c r="S1482">
        <v>0.1317902</v>
      </c>
      <c r="T1482">
        <v>-0.16340759999999999</v>
      </c>
      <c r="U1482">
        <v>-2.9994809999999998</v>
      </c>
      <c r="V1482">
        <v>-3.2498050000000001E-2</v>
      </c>
      <c r="W1482">
        <v>6.1414499999999997E-3</v>
      </c>
      <c r="X1482">
        <v>0.99945289999999998</v>
      </c>
      <c r="Y1482">
        <v>1.5972980000000001E-2</v>
      </c>
      <c r="Z1482">
        <v>5.4222640000000003E-2</v>
      </c>
      <c r="AA1482">
        <v>0.99840110000000004</v>
      </c>
      <c r="AB1482">
        <v>22</v>
      </c>
      <c r="AC1482">
        <v>0.88100000000000001</v>
      </c>
      <c r="AD1482">
        <v>-1.1113404746690001</v>
      </c>
      <c r="AE1482">
        <v>-20.1829999999999</v>
      </c>
      <c r="AF1482">
        <v>0.32618303976735302</v>
      </c>
      <c r="AG1482">
        <v>-1.1113404746690001</v>
      </c>
      <c r="AH1482">
        <v>20.138626243819999</v>
      </c>
      <c r="AI1482">
        <v>93.158223076010003</v>
      </c>
      <c r="AJ1482">
        <v>89.072067911644595</v>
      </c>
      <c r="AK1482">
        <v>20.171904719543601</v>
      </c>
      <c r="AL1482">
        <v>89.648118612316694</v>
      </c>
      <c r="AM1482">
        <v>91.862364204103599</v>
      </c>
      <c r="AN1482">
        <v>0.99999996999015694</v>
      </c>
    </row>
    <row r="1483" spans="1:40" x14ac:dyDescent="0.25">
      <c r="A1483" t="str">
        <f>"20190312151013367"</f>
        <v>20190312151013367</v>
      </c>
      <c r="B1483" t="str">
        <f>"1552374613362388"</f>
        <v>1552374613362388</v>
      </c>
      <c r="C1483" t="s">
        <v>40</v>
      </c>
      <c r="D1483">
        <v>5.5654000000000003</v>
      </c>
      <c r="E1483">
        <v>0.51771579999999995</v>
      </c>
      <c r="F1483" t="s">
        <v>42</v>
      </c>
      <c r="G1483">
        <v>-190.95529999999999</v>
      </c>
      <c r="H1483" s="1">
        <v>-4.1606499999999997E-6</v>
      </c>
      <c r="I1483">
        <v>308.71510000000001</v>
      </c>
      <c r="J1483">
        <v>-191.88470000000001</v>
      </c>
      <c r="K1483">
        <v>1.1112649999999999</v>
      </c>
      <c r="L1483">
        <v>329.55680000000001</v>
      </c>
      <c r="M1483">
        <v>6.2174460000000001E-2</v>
      </c>
      <c r="N1483">
        <v>0</v>
      </c>
      <c r="O1483">
        <v>-0.99800029999999995</v>
      </c>
      <c r="P1483">
        <v>9.4259880000000004E-2</v>
      </c>
      <c r="Q1483">
        <v>-5.153889E-3</v>
      </c>
      <c r="R1483">
        <v>-0.99553420000000004</v>
      </c>
      <c r="S1483">
        <v>0.13467409999999999</v>
      </c>
      <c r="T1483">
        <v>-0.15819920000000001</v>
      </c>
      <c r="U1483">
        <v>-2.9995729999999998</v>
      </c>
      <c r="V1483">
        <v>-3.2196849999999999E-2</v>
      </c>
      <c r="W1483">
        <v>6.1233299999999997E-3</v>
      </c>
      <c r="X1483">
        <v>0.99946279999999998</v>
      </c>
      <c r="Y1483">
        <v>1.7412070000000002E-2</v>
      </c>
      <c r="Z1483">
        <v>5.2484349999999999E-2</v>
      </c>
      <c r="AA1483">
        <v>0.99846990000000002</v>
      </c>
      <c r="AB1483">
        <v>22</v>
      </c>
      <c r="AC1483">
        <v>0.92940000000001499</v>
      </c>
      <c r="AD1483">
        <v>-1.11126916065</v>
      </c>
      <c r="AE1483">
        <v>-20.841699999999999</v>
      </c>
      <c r="AF1483">
        <v>0.36726181431296601</v>
      </c>
      <c r="AG1483">
        <v>-1.11126916065</v>
      </c>
      <c r="AH1483">
        <v>20.800144126891301</v>
      </c>
      <c r="AI1483">
        <v>93.057702961092005</v>
      </c>
      <c r="AJ1483">
        <v>88.988450970207097</v>
      </c>
      <c r="AK1483">
        <v>20.833045770772799</v>
      </c>
      <c r="AL1483">
        <v>89.649156845590596</v>
      </c>
      <c r="AM1483">
        <v>91.845097073123696</v>
      </c>
      <c r="AN1483">
        <v>1.0000000104520199</v>
      </c>
    </row>
    <row r="1484" spans="1:40" x14ac:dyDescent="0.25">
      <c r="A1484" t="str">
        <f>"20190312151013388"</f>
        <v>20190312151013388</v>
      </c>
      <c r="B1484" t="str">
        <f>"1552374613381908"</f>
        <v>1552374613381908</v>
      </c>
      <c r="C1484" t="s">
        <v>40</v>
      </c>
      <c r="D1484">
        <v>5.6114800000000002</v>
      </c>
      <c r="E1484">
        <v>0.51833890000000005</v>
      </c>
      <c r="F1484" t="s">
        <v>42</v>
      </c>
      <c r="G1484">
        <v>-190.91290000000001</v>
      </c>
      <c r="H1484" s="1">
        <v>-4.1477670000000001E-6</v>
      </c>
      <c r="I1484">
        <v>308.69929999999999</v>
      </c>
      <c r="J1484">
        <v>-191.8691</v>
      </c>
      <c r="K1484">
        <v>1.1111850000000001</v>
      </c>
      <c r="L1484">
        <v>329.3451</v>
      </c>
      <c r="M1484">
        <v>6.426403E-2</v>
      </c>
      <c r="N1484">
        <v>0</v>
      </c>
      <c r="O1484">
        <v>-0.99786940000000002</v>
      </c>
      <c r="P1484">
        <v>9.5547750000000001E-2</v>
      </c>
      <c r="Q1484">
        <v>-5.358214E-3</v>
      </c>
      <c r="R1484">
        <v>-0.99541080000000004</v>
      </c>
      <c r="S1484">
        <v>0.13974</v>
      </c>
      <c r="T1484">
        <v>-0.15980359999999999</v>
      </c>
      <c r="U1484">
        <v>-2.9993590000000001</v>
      </c>
      <c r="V1484">
        <v>-3.1395289999999999E-2</v>
      </c>
      <c r="W1484">
        <v>5.811961E-3</v>
      </c>
      <c r="X1484">
        <v>0.99949010000000005</v>
      </c>
      <c r="Y1484">
        <v>1.782077E-2</v>
      </c>
      <c r="Z1484">
        <v>5.3006129999999999E-2</v>
      </c>
      <c r="AA1484">
        <v>0.99843510000000002</v>
      </c>
      <c r="AB1484">
        <v>22</v>
      </c>
      <c r="AC1484">
        <v>0.95619999999999505</v>
      </c>
      <c r="AD1484">
        <v>-1.111189147767</v>
      </c>
      <c r="AE1484">
        <v>-20.645800000000001</v>
      </c>
      <c r="AF1484">
        <v>0.37156917274193002</v>
      </c>
      <c r="AG1484">
        <v>-1.111189147767</v>
      </c>
      <c r="AH1484">
        <v>20.605011428017601</v>
      </c>
      <c r="AI1484">
        <v>93.086361672971805</v>
      </c>
      <c r="AJ1484">
        <v>88.966899958071494</v>
      </c>
      <c r="AK1484">
        <v>20.638296948173402</v>
      </c>
      <c r="AL1484">
        <v>89.666997273113296</v>
      </c>
      <c r="AM1484">
        <v>91.799143733733501</v>
      </c>
      <c r="AN1484">
        <v>0.99999995156142796</v>
      </c>
    </row>
    <row r="1485" spans="1:40" x14ac:dyDescent="0.25">
      <c r="A1485" t="str">
        <f>"20190312151013433"</f>
        <v>20190312151013433</v>
      </c>
      <c r="B1485" t="str">
        <f>"1552374613421924"</f>
        <v>1552374613421924</v>
      </c>
      <c r="C1485" t="s">
        <v>40</v>
      </c>
      <c r="D1485">
        <v>5.0491929999999998</v>
      </c>
      <c r="E1485">
        <v>0.55289659999999996</v>
      </c>
      <c r="F1485" t="s">
        <v>42</v>
      </c>
      <c r="G1485">
        <v>-190.90309999999999</v>
      </c>
      <c r="H1485" s="1">
        <v>-4.0549839999999997E-6</v>
      </c>
      <c r="I1485">
        <v>308.48129999999998</v>
      </c>
      <c r="J1485">
        <v>-191.83519999999999</v>
      </c>
      <c r="K1485">
        <v>1.1109830000000001</v>
      </c>
      <c r="L1485">
        <v>328.89949999999999</v>
      </c>
      <c r="M1485">
        <v>6.8245109999999998E-2</v>
      </c>
      <c r="N1485">
        <v>0</v>
      </c>
      <c r="O1485">
        <v>-0.99760749999999998</v>
      </c>
      <c r="P1485">
        <v>9.7832139999999998E-2</v>
      </c>
      <c r="Q1485">
        <v>-4.9715469999999998E-3</v>
      </c>
      <c r="R1485">
        <v>-0.99519100000000005</v>
      </c>
      <c r="S1485">
        <v>0.1388855</v>
      </c>
      <c r="T1485">
        <v>-0.1597596</v>
      </c>
      <c r="U1485">
        <v>-2.9996640000000001</v>
      </c>
      <c r="V1485">
        <v>-2.969902E-2</v>
      </c>
      <c r="W1485">
        <v>5.9936329999999999E-3</v>
      </c>
      <c r="X1485">
        <v>0.99954089999999995</v>
      </c>
      <c r="Y1485">
        <v>2.2098340000000001E-2</v>
      </c>
      <c r="Z1485">
        <v>5.2963250000000003E-2</v>
      </c>
      <c r="AA1485">
        <v>0.99835189999999996</v>
      </c>
      <c r="AB1485">
        <v>22</v>
      </c>
      <c r="AC1485">
        <v>0.93209999999999105</v>
      </c>
      <c r="AD1485">
        <v>-1.110987054984</v>
      </c>
      <c r="AE1485">
        <v>-20.418199999999999</v>
      </c>
      <c r="AF1485">
        <v>0.46223494975805102</v>
      </c>
      <c r="AG1485">
        <v>-1.110987054984</v>
      </c>
      <c r="AH1485">
        <v>20.374011708893001</v>
      </c>
      <c r="AI1485">
        <v>93.120424343618794</v>
      </c>
      <c r="AJ1485">
        <v>88.700326201652302</v>
      </c>
      <c r="AK1485">
        <v>20.409515097111701</v>
      </c>
      <c r="AL1485">
        <v>89.656588063223793</v>
      </c>
      <c r="AM1485">
        <v>91.701909356846997</v>
      </c>
      <c r="AN1485">
        <v>0.99999998309915406</v>
      </c>
    </row>
    <row r="1486" spans="1:40" x14ac:dyDescent="0.25">
      <c r="A1486" t="str">
        <f>"20190312151013533"</f>
        <v>20190312151013533</v>
      </c>
      <c r="B1486" t="str">
        <f>"1552374613522455"</f>
        <v>1552374613522455</v>
      </c>
      <c r="C1486" t="s">
        <v>40</v>
      </c>
      <c r="D1486">
        <v>5.7206449999999904</v>
      </c>
      <c r="E1486">
        <v>0.53528219999999904</v>
      </c>
      <c r="F1486" t="s">
        <v>50</v>
      </c>
      <c r="G1486">
        <v>-192.34780000000001</v>
      </c>
      <c r="H1486" s="1">
        <v>3.5164930000000001E-6</v>
      </c>
      <c r="I1486">
        <v>284.97829999999999</v>
      </c>
      <c r="J1486">
        <v>-191.75579999999999</v>
      </c>
      <c r="K1486">
        <v>1.110403</v>
      </c>
      <c r="L1486">
        <v>327.89400000000001</v>
      </c>
      <c r="M1486">
        <v>7.4549500000000005E-2</v>
      </c>
      <c r="N1486">
        <v>0</v>
      </c>
      <c r="O1486">
        <v>-0.99716070000000001</v>
      </c>
      <c r="P1486">
        <v>0.1007566</v>
      </c>
      <c r="Q1486">
        <v>-3.3261549999999999E-3</v>
      </c>
      <c r="R1486">
        <v>-0.9949055</v>
      </c>
      <c r="S1486">
        <v>-4.0283199999999998E-2</v>
      </c>
      <c r="T1486">
        <v>-7.7750799999999995E-2</v>
      </c>
      <c r="U1486">
        <v>-3.0192570000000001</v>
      </c>
      <c r="V1486">
        <v>-2.6312260000000001E-2</v>
      </c>
      <c r="W1486">
        <v>7.2758199999999997E-3</v>
      </c>
      <c r="X1486">
        <v>0.9996273</v>
      </c>
      <c r="Y1486">
        <v>8.7846419999999995E-2</v>
      </c>
      <c r="Z1486">
        <v>2.558473E-2</v>
      </c>
      <c r="AA1486">
        <v>0.99580539999999995</v>
      </c>
      <c r="AB1486">
        <v>23</v>
      </c>
      <c r="AC1486">
        <v>-0.59200000000001296</v>
      </c>
      <c r="AD1486">
        <v>-1.1103994835069999</v>
      </c>
      <c r="AE1486">
        <v>-42.915700000000001</v>
      </c>
      <c r="AF1486">
        <v>3.78734207569171</v>
      </c>
      <c r="AG1486">
        <v>-1.1103994835069999</v>
      </c>
      <c r="AH1486">
        <v>42.723533445885998</v>
      </c>
      <c r="AI1486">
        <v>91.482989102579396</v>
      </c>
      <c r="AJ1486">
        <v>84.934104402508297</v>
      </c>
      <c r="AK1486">
        <v>42.905445541481299</v>
      </c>
      <c r="AL1486">
        <v>89.583122545763601</v>
      </c>
      <c r="AM1486">
        <v>91.507795370825207</v>
      </c>
      <c r="AN1486">
        <v>1.0000000057441301</v>
      </c>
    </row>
    <row r="1487" spans="1:40" x14ac:dyDescent="0.25">
      <c r="A1487" t="str">
        <f>"20190312151013556"</f>
        <v>20190312151013556</v>
      </c>
      <c r="B1487" t="str">
        <f>"1552374613552708"</f>
        <v>1552374613552708</v>
      </c>
      <c r="C1487" t="s">
        <v>40</v>
      </c>
      <c r="D1487">
        <v>5.7085299999999997</v>
      </c>
      <c r="E1487">
        <v>0.53129510000000002</v>
      </c>
      <c r="F1487" t="s">
        <v>51</v>
      </c>
      <c r="G1487">
        <v>-188.7037</v>
      </c>
      <c r="H1487">
        <v>0.865344</v>
      </c>
      <c r="I1487">
        <v>-81.815439999999995</v>
      </c>
      <c r="J1487">
        <v>-191.73779999999999</v>
      </c>
      <c r="K1487">
        <v>1.110285</v>
      </c>
      <c r="L1487">
        <v>327.66750000000002</v>
      </c>
      <c r="M1487">
        <v>7.5443220000000005E-2</v>
      </c>
      <c r="N1487">
        <v>0</v>
      </c>
      <c r="O1487">
        <v>-0.99709429999999999</v>
      </c>
      <c r="P1487">
        <v>0.1001157</v>
      </c>
      <c r="Q1487">
        <v>-3.5544639999999998E-3</v>
      </c>
      <c r="R1487">
        <v>-0.99496960000000001</v>
      </c>
      <c r="S1487">
        <v>2.2445679999999999E-2</v>
      </c>
      <c r="T1487">
        <v>-1.802206E-3</v>
      </c>
      <c r="U1487">
        <v>-3.0130919999999999</v>
      </c>
      <c r="V1487">
        <v>-2.477029E-2</v>
      </c>
      <c r="W1487">
        <v>6.9792350000000003E-3</v>
      </c>
      <c r="X1487">
        <v>0.99966880000000002</v>
      </c>
      <c r="Y1487">
        <v>6.8017380000000002E-2</v>
      </c>
      <c r="Z1487">
        <v>5.9486719999999997E-4</v>
      </c>
      <c r="AA1487">
        <v>0.99768389999999996</v>
      </c>
      <c r="AB1487">
        <v>23</v>
      </c>
      <c r="AC1487">
        <v>3.0340999999999898</v>
      </c>
      <c r="AD1487">
        <v>-0.24494099999999999</v>
      </c>
      <c r="AE1487">
        <v>-409.48293999999999</v>
      </c>
      <c r="AF1487">
        <v>27.868968379564599</v>
      </c>
      <c r="AG1487">
        <v>-0.24494099999999999</v>
      </c>
      <c r="AH1487">
        <v>408.54459306566503</v>
      </c>
      <c r="AI1487">
        <v>90.034271766348297</v>
      </c>
      <c r="AJ1487">
        <v>86.097600066237504</v>
      </c>
      <c r="AK1487">
        <v>409.49410730537301</v>
      </c>
      <c r="AL1487">
        <v>89.600116041189494</v>
      </c>
      <c r="AM1487">
        <v>91.419412833445406</v>
      </c>
      <c r="AN1487">
        <v>0.99999999334065404</v>
      </c>
    </row>
    <row r="1488" spans="1:40" x14ac:dyDescent="0.25">
      <c r="A1488" t="str">
        <f>"20190312151013578"</f>
        <v>20190312151013578</v>
      </c>
      <c r="B1488" t="str">
        <f>"1552374613572227"</f>
        <v>1552374613572227</v>
      </c>
      <c r="C1488" t="s">
        <v>40</v>
      </c>
      <c r="D1488">
        <v>5.682499</v>
      </c>
      <c r="E1488">
        <v>0.53083919999999996</v>
      </c>
      <c r="F1488" t="s">
        <v>51</v>
      </c>
      <c r="G1488">
        <v>-184.4726</v>
      </c>
      <c r="H1488">
        <v>13.15212</v>
      </c>
      <c r="I1488">
        <v>-81.81953</v>
      </c>
      <c r="J1488">
        <v>-191.72020000000001</v>
      </c>
      <c r="K1488">
        <v>1.110169</v>
      </c>
      <c r="L1488">
        <v>327.4479</v>
      </c>
      <c r="M1488">
        <v>7.6126460000000007E-2</v>
      </c>
      <c r="N1488">
        <v>0</v>
      </c>
      <c r="O1488">
        <v>-0.99704309999999996</v>
      </c>
      <c r="P1488">
        <v>9.9733920000000004E-2</v>
      </c>
      <c r="Q1488">
        <v>-3.7644409999999999E-3</v>
      </c>
      <c r="R1488">
        <v>-0.99500719999999998</v>
      </c>
      <c r="S1488">
        <v>5.3405759999999997E-2</v>
      </c>
      <c r="T1488">
        <v>8.8518379999999994E-2</v>
      </c>
      <c r="U1488">
        <v>-3.0101010000000001</v>
      </c>
      <c r="V1488">
        <v>-2.369922E-2</v>
      </c>
      <c r="W1488">
        <v>6.7031520000000004E-3</v>
      </c>
      <c r="X1488">
        <v>0.99969669999999999</v>
      </c>
      <c r="Y1488">
        <v>5.8438329999999997E-2</v>
      </c>
      <c r="Z1488">
        <v>-2.9239080000000001E-2</v>
      </c>
      <c r="AA1488">
        <v>0.99786280000000005</v>
      </c>
      <c r="AB1488">
        <v>23</v>
      </c>
      <c r="AC1488">
        <v>7.2476000000000003</v>
      </c>
      <c r="AD1488">
        <v>12.041950999999999</v>
      </c>
      <c r="AE1488">
        <v>-409.26742999999999</v>
      </c>
      <c r="AF1488">
        <v>23.9105317270201</v>
      </c>
      <c r="AG1488">
        <v>12.041950999999999</v>
      </c>
      <c r="AH1488">
        <v>408.27809435409199</v>
      </c>
      <c r="AI1488">
        <v>88.313468492134504</v>
      </c>
      <c r="AJ1488">
        <v>86.648339567969003</v>
      </c>
      <c r="AK1488">
        <v>409.15489052529199</v>
      </c>
      <c r="AL1488">
        <v>89.615934819614495</v>
      </c>
      <c r="AM1488">
        <v>91.358022887171202</v>
      </c>
      <c r="AN1488">
        <v>1.00000003863311</v>
      </c>
    </row>
    <row r="1489" spans="1:40" x14ac:dyDescent="0.25">
      <c r="A1489" t="str">
        <f>"20190312151013601"</f>
        <v>20190312151013601</v>
      </c>
      <c r="B1489" t="str">
        <f>"1552374613592724"</f>
        <v>1552374613592724</v>
      </c>
      <c r="C1489" t="s">
        <v>40</v>
      </c>
      <c r="D1489">
        <v>5.7241879999999998</v>
      </c>
      <c r="E1489">
        <v>0.52802469999999901</v>
      </c>
      <c r="F1489" t="s">
        <v>51</v>
      </c>
      <c r="G1489">
        <v>-184.1036</v>
      </c>
      <c r="H1489">
        <v>15.919180000000001</v>
      </c>
      <c r="I1489">
        <v>-81.820440000000005</v>
      </c>
      <c r="J1489">
        <v>-191.70140000000001</v>
      </c>
      <c r="K1489">
        <v>1.1100479999999999</v>
      </c>
      <c r="L1489">
        <v>327.2115</v>
      </c>
      <c r="M1489">
        <v>7.6662149999999998E-2</v>
      </c>
      <c r="N1489">
        <v>0</v>
      </c>
      <c r="O1489">
        <v>-0.99700270000000002</v>
      </c>
      <c r="P1489">
        <v>9.8249409999999995E-2</v>
      </c>
      <c r="Q1489">
        <v>-3.311914E-3</v>
      </c>
      <c r="R1489">
        <v>-0.99515620000000005</v>
      </c>
      <c r="S1489">
        <v>5.6015009999999997E-2</v>
      </c>
      <c r="T1489">
        <v>0.1089101</v>
      </c>
      <c r="U1489">
        <v>-3.0098880000000001</v>
      </c>
      <c r="V1489">
        <v>-2.1668880000000001E-2</v>
      </c>
      <c r="W1489">
        <v>7.0827049999999999E-3</v>
      </c>
      <c r="X1489">
        <v>0.99974010000000002</v>
      </c>
      <c r="Y1489">
        <v>5.811272E-2</v>
      </c>
      <c r="Z1489">
        <v>-3.5967220000000001E-2</v>
      </c>
      <c r="AA1489">
        <v>0.99766189999999999</v>
      </c>
      <c r="AB1489">
        <v>23</v>
      </c>
      <c r="AC1489">
        <v>7.5978000000000003</v>
      </c>
      <c r="AD1489">
        <v>14.8091319999999</v>
      </c>
      <c r="AE1489">
        <v>-409.031939999999</v>
      </c>
      <c r="AF1489">
        <v>23.752406971302999</v>
      </c>
      <c r="AG1489">
        <v>14.8091319999999</v>
      </c>
      <c r="AH1489">
        <v>407.87610559864498</v>
      </c>
      <c r="AI1489">
        <v>87.924136778497299</v>
      </c>
      <c r="AJ1489">
        <v>86.667180591799195</v>
      </c>
      <c r="AK1489">
        <v>408.83542501334301</v>
      </c>
      <c r="AL1489">
        <v>89.594187497448502</v>
      </c>
      <c r="AM1489">
        <v>91.241663715923707</v>
      </c>
      <c r="AN1489">
        <v>0.99999998630928999</v>
      </c>
    </row>
    <row r="1490" spans="1:40" x14ac:dyDescent="0.25">
      <c r="A1490" t="str">
        <f>"20190312151013624"</f>
        <v>20190312151013624</v>
      </c>
      <c r="B1490" t="str">
        <f>"1552374613612245"</f>
        <v>1552374613612245</v>
      </c>
      <c r="C1490" t="s">
        <v>40</v>
      </c>
      <c r="D1490">
        <v>5.7136009999999997</v>
      </c>
      <c r="E1490">
        <v>0.52766369999999996</v>
      </c>
      <c r="F1490" t="s">
        <v>41</v>
      </c>
      <c r="G1490">
        <v>-191.68049999999999</v>
      </c>
      <c r="H1490">
        <v>1.0440750000000001</v>
      </c>
      <c r="I1490">
        <v>326.30959999999999</v>
      </c>
      <c r="J1490">
        <v>-191.68279999999999</v>
      </c>
      <c r="K1490">
        <v>1.1099349999999999</v>
      </c>
      <c r="L1490">
        <v>326.97629999999998</v>
      </c>
      <c r="M1490">
        <v>7.7032950000000003E-2</v>
      </c>
      <c r="N1490">
        <v>0</v>
      </c>
      <c r="O1490">
        <v>-0.99697519999999995</v>
      </c>
      <c r="P1490">
        <v>9.6887559999999998E-2</v>
      </c>
      <c r="Q1490">
        <v>-2.7899270000000002E-3</v>
      </c>
      <c r="R1490">
        <v>-0.9952915</v>
      </c>
      <c r="S1490">
        <v>6.9549559999999996E-2</v>
      </c>
      <c r="T1490">
        <v>-0.21993019999999999</v>
      </c>
      <c r="U1490">
        <v>-3.006958</v>
      </c>
      <c r="V1490">
        <v>-1.9927830000000001E-2</v>
      </c>
      <c r="W1490">
        <v>7.5342580000000003E-3</v>
      </c>
      <c r="X1490">
        <v>0.99977300000000002</v>
      </c>
      <c r="Y1490">
        <v>5.4022790000000001E-2</v>
      </c>
      <c r="Z1490">
        <v>7.2557960000000005E-2</v>
      </c>
      <c r="AA1490">
        <v>0.99590000000000001</v>
      </c>
      <c r="AB1490">
        <v>23</v>
      </c>
      <c r="AC1490">
        <v>2.29999999999108E-3</v>
      </c>
      <c r="AD1490">
        <v>-6.5860000000000002E-2</v>
      </c>
      <c r="AE1490">
        <v>-0.66669999999999097</v>
      </c>
      <c r="AF1490">
        <v>4.8593243700426697E-2</v>
      </c>
      <c r="AG1490">
        <v>-6.5860000000000002E-2</v>
      </c>
      <c r="AH1490">
        <v>0.658470308502622</v>
      </c>
      <c r="AI1490">
        <v>95.696322647862402</v>
      </c>
      <c r="AJ1490">
        <v>85.779384517244296</v>
      </c>
      <c r="AK1490">
        <v>0.66353748207080798</v>
      </c>
      <c r="AL1490">
        <v>89.568314716632003</v>
      </c>
      <c r="AM1490">
        <v>91.141888589265506</v>
      </c>
      <c r="AN1490">
        <v>0.99999996749055897</v>
      </c>
    </row>
    <row r="1491" spans="1:40" x14ac:dyDescent="0.25">
      <c r="A1491" t="str">
        <f>"20190312151013647"</f>
        <v>20190312151013647</v>
      </c>
      <c r="B1491" t="str">
        <f>"1552374613642501"</f>
        <v>1552374613642501</v>
      </c>
      <c r="C1491" t="s">
        <v>40</v>
      </c>
      <c r="D1491">
        <v>6.0544690000000001</v>
      </c>
      <c r="E1491">
        <v>0.52718509999999996</v>
      </c>
      <c r="F1491" t="s">
        <v>41</v>
      </c>
      <c r="G1491">
        <v>-191.66300000000001</v>
      </c>
      <c r="H1491">
        <v>1.047161</v>
      </c>
      <c r="I1491">
        <v>326.10399999999998</v>
      </c>
      <c r="J1491">
        <v>-191.66460000000001</v>
      </c>
      <c r="K1491">
        <v>1.109842</v>
      </c>
      <c r="L1491">
        <v>326.74540000000002</v>
      </c>
      <c r="M1491">
        <v>7.7274560000000006E-2</v>
      </c>
      <c r="N1491">
        <v>0</v>
      </c>
      <c r="O1491">
        <v>-0.99695739999999999</v>
      </c>
      <c r="P1491">
        <v>9.6236989999999994E-2</v>
      </c>
      <c r="Q1491">
        <v>-2.271323E-3</v>
      </c>
      <c r="R1491">
        <v>-0.99535640000000003</v>
      </c>
      <c r="S1491">
        <v>6.871033E-2</v>
      </c>
      <c r="T1491">
        <v>-0.21656120000000001</v>
      </c>
      <c r="U1491">
        <v>-3.0068969999999999</v>
      </c>
      <c r="V1491">
        <v>-1.903007E-2</v>
      </c>
      <c r="W1491">
        <v>7.9867629999999992E-3</v>
      </c>
      <c r="X1491">
        <v>0.99978699999999998</v>
      </c>
      <c r="Y1491">
        <v>5.4540230000000002E-2</v>
      </c>
      <c r="Z1491">
        <v>7.1450910000000006E-2</v>
      </c>
      <c r="AA1491">
        <v>0.9959519</v>
      </c>
      <c r="AB1491">
        <v>23</v>
      </c>
      <c r="AC1491">
        <v>1.60000000002469E-3</v>
      </c>
      <c r="AD1491">
        <v>-6.2680999999999903E-2</v>
      </c>
      <c r="AE1491">
        <v>-0.64139999999997599</v>
      </c>
      <c r="AF1491">
        <v>4.7517479418220702E-2</v>
      </c>
      <c r="AG1491">
        <v>-6.2680999999999903E-2</v>
      </c>
      <c r="AH1491">
        <v>0.63355500347604599</v>
      </c>
      <c r="AI1491">
        <v>95.634469021107293</v>
      </c>
      <c r="AJ1491">
        <v>85.710769857218395</v>
      </c>
      <c r="AK1491">
        <v>0.63841895416786698</v>
      </c>
      <c r="AL1491">
        <v>89.542387317788396</v>
      </c>
      <c r="AM1491">
        <v>91.090443311595394</v>
      </c>
      <c r="AN1491">
        <v>0.99999998865821105</v>
      </c>
    </row>
    <row r="1492" spans="1:40" x14ac:dyDescent="0.25">
      <c r="A1492" t="str">
        <f>"20190312151013668"</f>
        <v>20190312151013668</v>
      </c>
      <c r="B1492" t="str">
        <f>"1552374613662020"</f>
        <v>1552374613662020</v>
      </c>
      <c r="C1492" t="s">
        <v>40</v>
      </c>
      <c r="D1492">
        <v>5.6192659999999997</v>
      </c>
      <c r="E1492">
        <v>0.52713529999999997</v>
      </c>
      <c r="F1492" t="s">
        <v>41</v>
      </c>
      <c r="G1492">
        <v>-191.6446</v>
      </c>
      <c r="H1492">
        <v>1.0537099999999999</v>
      </c>
      <c r="I1492">
        <v>325.89460000000003</v>
      </c>
      <c r="J1492">
        <v>-191.6474</v>
      </c>
      <c r="K1492">
        <v>1.1097709999999901</v>
      </c>
      <c r="L1492">
        <v>326.52690000000001</v>
      </c>
      <c r="M1492">
        <v>7.7396969999999995E-2</v>
      </c>
      <c r="N1492">
        <v>0</v>
      </c>
      <c r="O1492">
        <v>-0.99694839999999996</v>
      </c>
      <c r="P1492">
        <v>9.6004999999999993E-2</v>
      </c>
      <c r="Q1492">
        <v>-1.84128E-3</v>
      </c>
      <c r="R1492">
        <v>-0.99537929999999997</v>
      </c>
      <c r="S1492">
        <v>7.0602419999999999E-2</v>
      </c>
      <c r="T1492">
        <v>-0.1984185</v>
      </c>
      <c r="U1492">
        <v>-3.0067140000000001</v>
      </c>
      <c r="V1492">
        <v>-1.8672939999999999E-2</v>
      </c>
      <c r="W1492">
        <v>8.3539159999999994E-3</v>
      </c>
      <c r="X1492">
        <v>0.99979070000000003</v>
      </c>
      <c r="Y1492">
        <v>5.4025400000000001E-2</v>
      </c>
      <c r="Z1492">
        <v>6.5495570000000003E-2</v>
      </c>
      <c r="AA1492">
        <v>0.99638930000000003</v>
      </c>
      <c r="AB1492">
        <v>23</v>
      </c>
      <c r="AC1492">
        <v>2.80000000000768E-3</v>
      </c>
      <c r="AD1492">
        <v>-5.6060999999999597E-2</v>
      </c>
      <c r="AE1492">
        <v>-0.63229999999998598</v>
      </c>
      <c r="AF1492">
        <v>4.5789100115763502E-2</v>
      </c>
      <c r="AG1492">
        <v>-5.6060999999999597E-2</v>
      </c>
      <c r="AH1492">
        <v>0.62570133709114495</v>
      </c>
      <c r="AI1492">
        <v>95.106280157957499</v>
      </c>
      <c r="AJ1492">
        <v>85.8145305059885</v>
      </c>
      <c r="AK1492">
        <v>0.62987430543566203</v>
      </c>
      <c r="AL1492">
        <v>89.521350281913598</v>
      </c>
      <c r="AM1492">
        <v>91.069980225729296</v>
      </c>
      <c r="AN1492">
        <v>0.99999995520363305</v>
      </c>
    </row>
    <row r="1493" spans="1:40" x14ac:dyDescent="0.25">
      <c r="A1493" t="str">
        <f>"20190312151013692"</f>
        <v>20190312151013692</v>
      </c>
      <c r="B1493" t="str">
        <f>"1552374613682516"</f>
        <v>1552374613682516</v>
      </c>
      <c r="C1493" t="s">
        <v>40</v>
      </c>
      <c r="D1493">
        <v>5.6065160000000001</v>
      </c>
      <c r="E1493">
        <v>0.52639599999999998</v>
      </c>
      <c r="F1493" t="s">
        <v>41</v>
      </c>
      <c r="G1493">
        <v>-191.62790000000001</v>
      </c>
      <c r="H1493">
        <v>1.0536810000000001</v>
      </c>
      <c r="I1493">
        <v>325.69060000000002</v>
      </c>
      <c r="J1493">
        <v>-191.6292</v>
      </c>
      <c r="K1493">
        <v>1.1097049999999999</v>
      </c>
      <c r="L1493">
        <v>326.29410000000001</v>
      </c>
      <c r="M1493">
        <v>7.7428419999999998E-2</v>
      </c>
      <c r="N1493">
        <v>0</v>
      </c>
      <c r="O1493">
        <v>-0.99694680000000002</v>
      </c>
      <c r="P1493">
        <v>9.5604170000000002E-2</v>
      </c>
      <c r="Q1493">
        <v>-1.7228650000000001E-3</v>
      </c>
      <c r="R1493">
        <v>-0.99541829999999998</v>
      </c>
      <c r="S1493">
        <v>7.0358279999999995E-2</v>
      </c>
      <c r="T1493">
        <v>-0.20175560000000001</v>
      </c>
      <c r="U1493">
        <v>-3.0067439999999999</v>
      </c>
      <c r="V1493">
        <v>-1.8237670000000001E-2</v>
      </c>
      <c r="W1493">
        <v>8.3982610000000006E-3</v>
      </c>
      <c r="X1493">
        <v>0.99979839999999998</v>
      </c>
      <c r="Y1493">
        <v>5.4139619999999999E-2</v>
      </c>
      <c r="Z1493">
        <v>6.659118E-2</v>
      </c>
      <c r="AA1493">
        <v>0.99631049999999999</v>
      </c>
      <c r="AB1493">
        <v>23</v>
      </c>
      <c r="AC1493">
        <v>1.2999999999863099E-3</v>
      </c>
      <c r="AD1493">
        <v>-5.6023999999999997E-2</v>
      </c>
      <c r="AE1493">
        <v>-0.60349999999999604</v>
      </c>
      <c r="AF1493">
        <v>4.5046141576919399E-2</v>
      </c>
      <c r="AG1493">
        <v>-5.6023999999999997E-2</v>
      </c>
      <c r="AH1493">
        <v>0.59664698978956998</v>
      </c>
      <c r="AI1493">
        <v>95.349099937176604</v>
      </c>
      <c r="AJ1493">
        <v>85.682427516232295</v>
      </c>
      <c r="AK1493">
        <v>0.60096212349192502</v>
      </c>
      <c r="AL1493">
        <v>89.518809429038697</v>
      </c>
      <c r="AM1493">
        <v>91.045036321307904</v>
      </c>
      <c r="AN1493">
        <v>0.99999999201870604</v>
      </c>
    </row>
    <row r="1494" spans="1:40" x14ac:dyDescent="0.25">
      <c r="A1494" t="str">
        <f>"20190312151013716"</f>
        <v>20190312151013716</v>
      </c>
      <c r="B1494" t="str">
        <f>"1552374613711798"</f>
        <v>1552374613711798</v>
      </c>
      <c r="C1494" t="s">
        <v>40</v>
      </c>
      <c r="D1494">
        <v>5.6591829999999996</v>
      </c>
      <c r="E1494">
        <v>0.52632259999999997</v>
      </c>
      <c r="F1494" t="s">
        <v>42</v>
      </c>
      <c r="G1494">
        <v>-191.2148</v>
      </c>
      <c r="H1494" s="1">
        <v>-3.6048509999999998E-7</v>
      </c>
      <c r="I1494">
        <v>309.6705</v>
      </c>
      <c r="J1494">
        <v>-191.6096</v>
      </c>
      <c r="K1494">
        <v>1.1096490000000001</v>
      </c>
      <c r="L1494">
        <v>326.04059999999998</v>
      </c>
      <c r="M1494">
        <v>7.7378240000000001E-2</v>
      </c>
      <c r="N1494">
        <v>0</v>
      </c>
      <c r="O1494">
        <v>-0.99695160000000005</v>
      </c>
      <c r="P1494">
        <v>9.5191620000000005E-2</v>
      </c>
      <c r="Q1494">
        <v>-1.7418430000000001E-3</v>
      </c>
      <c r="R1494">
        <v>-0.9954577</v>
      </c>
      <c r="S1494">
        <v>7.4951169999999998E-2</v>
      </c>
      <c r="T1494">
        <v>-0.2006793</v>
      </c>
      <c r="U1494">
        <v>-3.0062259999999998</v>
      </c>
      <c r="V1494">
        <v>-1.787298E-2</v>
      </c>
      <c r="W1494">
        <v>8.2924060000000004E-3</v>
      </c>
      <c r="X1494">
        <v>0.99980590000000003</v>
      </c>
      <c r="Y1494">
        <v>5.2563369999999998E-2</v>
      </c>
      <c r="Z1494">
        <v>6.625085E-2</v>
      </c>
      <c r="AA1494">
        <v>0.99641749999999996</v>
      </c>
      <c r="AB1494">
        <v>23</v>
      </c>
      <c r="AC1494">
        <v>0.39480000000000298</v>
      </c>
      <c r="AD1494">
        <v>-1.1096493604851001</v>
      </c>
      <c r="AE1494">
        <v>-16.370099999999901</v>
      </c>
      <c r="AF1494">
        <v>0.86914549416490805</v>
      </c>
      <c r="AG1494">
        <v>-1.1096493604851001</v>
      </c>
      <c r="AH1494">
        <v>16.276819214309199</v>
      </c>
      <c r="AI1494">
        <v>93.894493885928398</v>
      </c>
      <c r="AJ1494">
        <v>86.943437265116202</v>
      </c>
      <c r="AK1494">
        <v>16.3377348285666</v>
      </c>
      <c r="AL1494">
        <v>89.524874699543304</v>
      </c>
      <c r="AM1494">
        <v>91.024136043078698</v>
      </c>
      <c r="AN1494">
        <v>1.0000000225430701</v>
      </c>
    </row>
    <row r="1495" spans="1:40" x14ac:dyDescent="0.25">
      <c r="A1495" t="str">
        <f>"20190312151013737"</f>
        <v>20190312151013737</v>
      </c>
      <c r="B1495" t="str">
        <f>"1552374613732292"</f>
        <v>1552374613732292</v>
      </c>
      <c r="C1495" t="s">
        <v>40</v>
      </c>
      <c r="D1495">
        <v>5.802289</v>
      </c>
      <c r="E1495">
        <v>0.5263061</v>
      </c>
      <c r="F1495" t="s">
        <v>42</v>
      </c>
      <c r="G1495">
        <v>-191.20249999999999</v>
      </c>
      <c r="H1495" s="1">
        <v>-4.5009200000000001E-6</v>
      </c>
      <c r="I1495">
        <v>309.58620000000002</v>
      </c>
      <c r="J1495">
        <v>-191.59289999999999</v>
      </c>
      <c r="K1495">
        <v>1.1096090000000001</v>
      </c>
      <c r="L1495">
        <v>325.8252</v>
      </c>
      <c r="M1495">
        <v>7.7276540000000005E-2</v>
      </c>
      <c r="N1495">
        <v>0</v>
      </c>
      <c r="O1495">
        <v>-0.99696019999999996</v>
      </c>
      <c r="P1495">
        <v>9.4758179999999997E-2</v>
      </c>
      <c r="Q1495">
        <v>-2.03703E-3</v>
      </c>
      <c r="R1495">
        <v>-0.99549849999999995</v>
      </c>
      <c r="S1495">
        <v>7.4371339999999994E-2</v>
      </c>
      <c r="T1495">
        <v>-0.2027378</v>
      </c>
      <c r="U1495">
        <v>-3.0062869999999999</v>
      </c>
      <c r="V1495">
        <v>-1.7539780000000001E-2</v>
      </c>
      <c r="W1495">
        <v>7.9200079999999992E-3</v>
      </c>
      <c r="X1495">
        <v>0.9998148</v>
      </c>
      <c r="Y1495">
        <v>5.2655130000000001E-2</v>
      </c>
      <c r="Z1495">
        <v>6.6926819999999998E-2</v>
      </c>
      <c r="AA1495">
        <v>0.99636749999999996</v>
      </c>
      <c r="AB1495">
        <v>23</v>
      </c>
      <c r="AC1495">
        <v>0.39039999999999903</v>
      </c>
      <c r="AD1495">
        <v>-1.1096135009200001</v>
      </c>
      <c r="AE1495">
        <v>-16.238999999999901</v>
      </c>
      <c r="AF1495">
        <v>0.86170222053212597</v>
      </c>
      <c r="AG1495">
        <v>-1.1096135009200001</v>
      </c>
      <c r="AH1495">
        <v>16.145267036223899</v>
      </c>
      <c r="AI1495">
        <v>93.926006433903694</v>
      </c>
      <c r="AJ1495">
        <v>86.9449188527594</v>
      </c>
      <c r="AK1495">
        <v>16.206277194632701</v>
      </c>
      <c r="AL1495">
        <v>89.546212224785606</v>
      </c>
      <c r="AM1495">
        <v>91.005038425430698</v>
      </c>
      <c r="AN1495">
        <v>1.0000000023541</v>
      </c>
    </row>
    <row r="1496" spans="1:40" x14ac:dyDescent="0.25">
      <c r="A1496" t="str">
        <f>"20190312151013757"</f>
        <v>20190312151013757</v>
      </c>
      <c r="B1496" t="str">
        <f>"1552374613751813"</f>
        <v>1552374613751813</v>
      </c>
      <c r="C1496" t="s">
        <v>40</v>
      </c>
      <c r="D1496">
        <v>5.6344190000000003</v>
      </c>
      <c r="E1496">
        <v>0.52628199999999903</v>
      </c>
      <c r="F1496" t="s">
        <v>42</v>
      </c>
      <c r="G1496">
        <v>-191.19730000000001</v>
      </c>
      <c r="H1496" s="1">
        <v>-4.5078850000000003E-6</v>
      </c>
      <c r="I1496">
        <v>309.60930000000002</v>
      </c>
      <c r="J1496">
        <v>-191.577</v>
      </c>
      <c r="K1496">
        <v>1.1095660000000001</v>
      </c>
      <c r="L1496">
        <v>325.61869999999999</v>
      </c>
      <c r="M1496">
        <v>7.7133030000000005E-2</v>
      </c>
      <c r="N1496">
        <v>0</v>
      </c>
      <c r="O1496">
        <v>-0.99697210000000003</v>
      </c>
      <c r="P1496">
        <v>9.4056020000000004E-2</v>
      </c>
      <c r="Q1496">
        <v>-2.714447E-3</v>
      </c>
      <c r="R1496">
        <v>-0.99556369999999905</v>
      </c>
      <c r="S1496">
        <v>7.3333739999999994E-2</v>
      </c>
      <c r="T1496">
        <v>-0.2057022</v>
      </c>
      <c r="U1496">
        <v>-3.0061339999999999</v>
      </c>
      <c r="V1496">
        <v>-1.697827E-2</v>
      </c>
      <c r="W1496">
        <v>7.1699650000000004E-3</v>
      </c>
      <c r="X1496">
        <v>0.99983010000000005</v>
      </c>
      <c r="Y1496">
        <v>5.285538E-2</v>
      </c>
      <c r="Z1496">
        <v>6.7905389999999996E-2</v>
      </c>
      <c r="AA1496">
        <v>0.99629069999999997</v>
      </c>
      <c r="AB1496">
        <v>23</v>
      </c>
      <c r="AC1496">
        <v>0.37969999999998499</v>
      </c>
      <c r="AD1496">
        <v>-1.109570507885</v>
      </c>
      <c r="AE1496">
        <v>-16.0093999999999</v>
      </c>
      <c r="AF1496">
        <v>0.85225329730962096</v>
      </c>
      <c r="AG1496">
        <v>-1.109570507885</v>
      </c>
      <c r="AH1496">
        <v>15.9145860788924</v>
      </c>
      <c r="AI1496">
        <v>93.9825399360722</v>
      </c>
      <c r="AJ1496">
        <v>86.934641062029996</v>
      </c>
      <c r="AK1496">
        <v>15.9759673402652</v>
      </c>
      <c r="AL1496">
        <v>89.589187725561999</v>
      </c>
      <c r="AM1496">
        <v>90.972855014872806</v>
      </c>
      <c r="AN1496">
        <v>0.99999994945814996</v>
      </c>
    </row>
    <row r="1497" spans="1:40" x14ac:dyDescent="0.25">
      <c r="A1497" t="str">
        <f>"20190312151013781"</f>
        <v>20190312151013781</v>
      </c>
      <c r="B1497" t="str">
        <f>"1552374613772308"</f>
        <v>1552374613772308</v>
      </c>
      <c r="C1497" t="s">
        <v>40</v>
      </c>
      <c r="D1497">
        <v>5.7577420000000004</v>
      </c>
      <c r="E1497">
        <v>0.52640929999999997</v>
      </c>
      <c r="F1497" t="s">
        <v>42</v>
      </c>
      <c r="G1497">
        <v>-191.19550000000001</v>
      </c>
      <c r="H1497" s="1">
        <v>-4.5011960000000001E-6</v>
      </c>
      <c r="I1497">
        <v>309.59059999999999</v>
      </c>
      <c r="J1497">
        <v>-191.55840000000001</v>
      </c>
      <c r="K1497">
        <v>1.1095250000000001</v>
      </c>
      <c r="L1497">
        <v>325.37549999999999</v>
      </c>
      <c r="M1497">
        <v>7.6910339999999994E-2</v>
      </c>
      <c r="N1497">
        <v>0</v>
      </c>
      <c r="O1497">
        <v>-0.99699009999999999</v>
      </c>
      <c r="P1497">
        <v>9.3490859999999995E-2</v>
      </c>
      <c r="Q1497">
        <v>-3.067312E-3</v>
      </c>
      <c r="R1497">
        <v>-0.99561569999999999</v>
      </c>
      <c r="S1497">
        <v>7.1548459999999994E-2</v>
      </c>
      <c r="T1497">
        <v>-0.20809830000000001</v>
      </c>
      <c r="U1497">
        <v>-3.0060419999999999</v>
      </c>
      <c r="V1497">
        <v>-1.6634099999999999E-2</v>
      </c>
      <c r="W1497">
        <v>6.7331919999999998E-3</v>
      </c>
      <c r="X1497">
        <v>0.99983889999999997</v>
      </c>
      <c r="Y1497">
        <v>5.3224170000000001E-2</v>
      </c>
      <c r="Z1497">
        <v>6.8696309999999997E-2</v>
      </c>
      <c r="AA1497">
        <v>0.99621680000000001</v>
      </c>
      <c r="AB1497">
        <v>23</v>
      </c>
      <c r="AC1497">
        <v>0.362899999999996</v>
      </c>
      <c r="AD1497">
        <v>-1.109529501196</v>
      </c>
      <c r="AE1497">
        <v>-15.784899999999899</v>
      </c>
      <c r="AF1497">
        <v>0.84806714640623504</v>
      </c>
      <c r="AG1497">
        <v>-1.109529501196</v>
      </c>
      <c r="AH1497">
        <v>15.6885803433525</v>
      </c>
      <c r="AI1497">
        <v>94.039464997863107</v>
      </c>
      <c r="AJ1497">
        <v>86.905811663516204</v>
      </c>
      <c r="AK1497">
        <v>15.750613536896401</v>
      </c>
      <c r="AL1497">
        <v>89.614213572768705</v>
      </c>
      <c r="AM1497">
        <v>90.9531293592987</v>
      </c>
      <c r="AN1497">
        <v>0.99999992755526101</v>
      </c>
    </row>
    <row r="1498" spans="1:40" x14ac:dyDescent="0.25">
      <c r="A1498" t="str">
        <f>"20190312151013802"</f>
        <v>20190312151013802</v>
      </c>
      <c r="B1498" t="str">
        <f>"1552374613791828"</f>
        <v>1552374613791828</v>
      </c>
      <c r="C1498" t="s">
        <v>40</v>
      </c>
      <c r="D1498">
        <v>5.7258820000000004</v>
      </c>
      <c r="E1498">
        <v>0.52648680000000003</v>
      </c>
      <c r="F1498" t="s">
        <v>41</v>
      </c>
      <c r="G1498">
        <v>-191.5377</v>
      </c>
      <c r="H1498">
        <v>1.0466470000000001</v>
      </c>
      <c r="I1498">
        <v>324.46390000000002</v>
      </c>
      <c r="J1498">
        <v>-191.54140000000001</v>
      </c>
      <c r="K1498">
        <v>1.109491</v>
      </c>
      <c r="L1498">
        <v>325.15129999999999</v>
      </c>
      <c r="M1498">
        <v>7.666125E-2</v>
      </c>
      <c r="N1498">
        <v>0</v>
      </c>
      <c r="O1498">
        <v>-0.99700979999999995</v>
      </c>
      <c r="P1498">
        <v>9.2651239999999996E-2</v>
      </c>
      <c r="Q1498">
        <v>-2.010281E-3</v>
      </c>
      <c r="R1498">
        <v>-0.99569680000000005</v>
      </c>
      <c r="S1498">
        <v>6.8969730000000007E-2</v>
      </c>
      <c r="T1498">
        <v>-0.20761060000000001</v>
      </c>
      <c r="U1498">
        <v>-3.0061040000000001</v>
      </c>
      <c r="V1498">
        <v>-1.6038989999999999E-2</v>
      </c>
      <c r="W1498">
        <v>7.7164039999999996E-3</v>
      </c>
      <c r="X1498">
        <v>0.9998416</v>
      </c>
      <c r="Y1498">
        <v>5.3828979999999998E-2</v>
      </c>
      <c r="Z1498">
        <v>6.8536239999999998E-2</v>
      </c>
      <c r="AA1498">
        <v>0.99619539999999995</v>
      </c>
      <c r="AB1498">
        <v>23</v>
      </c>
      <c r="AC1498">
        <v>3.70000000000914E-3</v>
      </c>
      <c r="AD1498">
        <v>-6.2844000000000094E-2</v>
      </c>
      <c r="AE1498">
        <v>-0.68739999999996804</v>
      </c>
      <c r="AF1498">
        <v>4.8604095982477002E-2</v>
      </c>
      <c r="AG1498">
        <v>-6.2844000000000094E-2</v>
      </c>
      <c r="AH1498">
        <v>0.67997741733666195</v>
      </c>
      <c r="AI1498">
        <v>95.266954901422196</v>
      </c>
      <c r="AJ1498">
        <v>85.911509376931903</v>
      </c>
      <c r="AK1498">
        <v>0.68460281519294897</v>
      </c>
      <c r="AL1498">
        <v>89.557878233971607</v>
      </c>
      <c r="AM1498">
        <v>90.919033195582102</v>
      </c>
      <c r="AN1498">
        <v>1.0000000085907299</v>
      </c>
    </row>
    <row r="1499" spans="1:40" x14ac:dyDescent="0.25">
      <c r="A1499" t="str">
        <f>"20190312151013825"</f>
        <v>20190312151013825</v>
      </c>
      <c r="B1499" t="str">
        <f>"1552374613822085"</f>
        <v>1552374613822085</v>
      </c>
      <c r="C1499" t="s">
        <v>40</v>
      </c>
      <c r="D1499">
        <v>5.6700280000000003</v>
      </c>
      <c r="E1499">
        <v>0.52684030000000004</v>
      </c>
      <c r="F1499" t="s">
        <v>41</v>
      </c>
      <c r="G1499">
        <v>-191.52170000000001</v>
      </c>
      <c r="H1499">
        <v>1.0488949999999999</v>
      </c>
      <c r="I1499">
        <v>324.25490000000002</v>
      </c>
      <c r="J1499">
        <v>-191.52379999999999</v>
      </c>
      <c r="K1499">
        <v>1.109464</v>
      </c>
      <c r="L1499">
        <v>324.91759999999999</v>
      </c>
      <c r="M1499">
        <v>7.636569E-2</v>
      </c>
      <c r="N1499">
        <v>0</v>
      </c>
      <c r="O1499">
        <v>-0.99703350000000002</v>
      </c>
      <c r="P1499">
        <v>9.1220960000000004E-2</v>
      </c>
      <c r="Q1499">
        <v>-1.493294E-3</v>
      </c>
      <c r="R1499">
        <v>-0.99583010000000005</v>
      </c>
      <c r="S1499">
        <v>6.6177369999999999E-2</v>
      </c>
      <c r="T1499">
        <v>-0.20331949999999999</v>
      </c>
      <c r="U1499">
        <v>-3.0064389999999999</v>
      </c>
      <c r="V1499">
        <v>-1.4898990000000001E-2</v>
      </c>
      <c r="W1499">
        <v>8.1622350000000003E-3</v>
      </c>
      <c r="X1499">
        <v>0.99985570000000001</v>
      </c>
      <c r="Y1499">
        <v>5.4458100000000002E-2</v>
      </c>
      <c r="Z1499">
        <v>6.7120540000000006E-2</v>
      </c>
      <c r="AA1499">
        <v>0.99625750000000002</v>
      </c>
      <c r="AB1499">
        <v>23</v>
      </c>
      <c r="AC1499">
        <v>2.0999999999844398E-3</v>
      </c>
      <c r="AD1499">
        <v>-6.0568999999999797E-2</v>
      </c>
      <c r="AE1499">
        <v>-0.66269999999997198</v>
      </c>
      <c r="AF1499">
        <v>4.81141002666126E-2</v>
      </c>
      <c r="AG1499">
        <v>-6.0568999999999797E-2</v>
      </c>
      <c r="AH1499">
        <v>0.65544980603627701</v>
      </c>
      <c r="AI1499">
        <v>95.265523842071303</v>
      </c>
      <c r="AJ1499">
        <v>85.801662812027402</v>
      </c>
      <c r="AK1499">
        <v>0.65999849896682306</v>
      </c>
      <c r="AL1499">
        <v>89.532333195518206</v>
      </c>
      <c r="AM1499">
        <v>90.853709262111593</v>
      </c>
      <c r="AN1499">
        <v>1.00000001140285</v>
      </c>
    </row>
    <row r="1500" spans="1:40" x14ac:dyDescent="0.25">
      <c r="A1500" t="str">
        <f>"20190312151013846"</f>
        <v>20190312151013846</v>
      </c>
      <c r="B1500" t="str">
        <f>"1552374613842580"</f>
        <v>1552374613842580</v>
      </c>
      <c r="C1500" t="s">
        <v>40</v>
      </c>
      <c r="D1500">
        <v>5.6531919999999998</v>
      </c>
      <c r="E1500">
        <v>0.52689280000000005</v>
      </c>
      <c r="F1500" t="s">
        <v>41</v>
      </c>
      <c r="G1500">
        <v>-191.5068</v>
      </c>
      <c r="H1500">
        <v>1.0509809999999999</v>
      </c>
      <c r="I1500">
        <v>324.04559999999998</v>
      </c>
      <c r="J1500">
        <v>-191.50749999999999</v>
      </c>
      <c r="K1500">
        <v>1.109442</v>
      </c>
      <c r="L1500">
        <v>324.7004</v>
      </c>
      <c r="M1500">
        <v>7.6056990000000005E-2</v>
      </c>
      <c r="N1500">
        <v>0</v>
      </c>
      <c r="O1500">
        <v>-0.99705739999999998</v>
      </c>
      <c r="P1500">
        <v>8.9897069999999996E-2</v>
      </c>
      <c r="Q1500">
        <v>-8.1158640000000002E-4</v>
      </c>
      <c r="R1500">
        <v>-0.99595049999999996</v>
      </c>
      <c r="S1500">
        <v>5.9066769999999998E-2</v>
      </c>
      <c r="T1500">
        <v>-0.2018249</v>
      </c>
      <c r="U1500">
        <v>-3.0068969999999999</v>
      </c>
      <c r="V1500">
        <v>-1.3878619999999999E-2</v>
      </c>
      <c r="W1500">
        <v>8.7825769999999997E-3</v>
      </c>
      <c r="X1500">
        <v>0.99986509999999995</v>
      </c>
      <c r="Y1500">
        <v>5.6506359999999999E-2</v>
      </c>
      <c r="Z1500">
        <v>6.6619429999999993E-2</v>
      </c>
      <c r="AA1500">
        <v>0.99617710000000004</v>
      </c>
      <c r="AB1500">
        <v>23</v>
      </c>
      <c r="AC1500">
        <v>6.9999999999481501E-4</v>
      </c>
      <c r="AD1500">
        <v>-5.8461000000000103E-2</v>
      </c>
      <c r="AE1500">
        <v>-0.65480000000002203</v>
      </c>
      <c r="AF1500">
        <v>4.8718099152648103E-2</v>
      </c>
      <c r="AG1500">
        <v>-5.8461000000000103E-2</v>
      </c>
      <c r="AH1500">
        <v>0.64779284286892203</v>
      </c>
      <c r="AI1500">
        <v>95.142327175412404</v>
      </c>
      <c r="AJ1500">
        <v>85.699093176846205</v>
      </c>
      <c r="AK1500">
        <v>0.65224742926150903</v>
      </c>
      <c r="AL1500">
        <v>89.496788927360598</v>
      </c>
      <c r="AM1500">
        <v>90.795242566583894</v>
      </c>
      <c r="AN1500">
        <v>0.99999998397493695</v>
      </c>
    </row>
    <row r="1501" spans="1:40" x14ac:dyDescent="0.25">
      <c r="A1501" t="str">
        <f>"20190312151013867"</f>
        <v>20190312151013867</v>
      </c>
      <c r="B1501" t="str">
        <f>"1552374613862101"</f>
        <v>1552374613862101</v>
      </c>
      <c r="C1501" t="s">
        <v>40</v>
      </c>
      <c r="D1501">
        <v>5.617013</v>
      </c>
      <c r="E1501">
        <v>0.52690039999999905</v>
      </c>
      <c r="F1501" t="s">
        <v>41</v>
      </c>
      <c r="G1501">
        <v>-191.49189999999999</v>
      </c>
      <c r="H1501">
        <v>1.051939</v>
      </c>
      <c r="I1501">
        <v>323.83679999999998</v>
      </c>
      <c r="J1501">
        <v>-191.49039999999999</v>
      </c>
      <c r="K1501">
        <v>1.109415</v>
      </c>
      <c r="L1501">
        <v>324.47160000000002</v>
      </c>
      <c r="M1501">
        <v>7.5692709999999996E-2</v>
      </c>
      <c r="N1501">
        <v>0</v>
      </c>
      <c r="O1501">
        <v>-0.99708580000000002</v>
      </c>
      <c r="P1501">
        <v>8.8606530000000003E-2</v>
      </c>
      <c r="Q1501">
        <v>-3.1092110000000001E-4</v>
      </c>
      <c r="R1501">
        <v>-0.99606660000000002</v>
      </c>
      <c r="S1501">
        <v>5.4626460000000002E-2</v>
      </c>
      <c r="T1501">
        <v>-0.2004175</v>
      </c>
      <c r="U1501">
        <v>-3.00705</v>
      </c>
      <c r="V1501">
        <v>-1.2947429999999999E-2</v>
      </c>
      <c r="W1501">
        <v>9.2198169999999999E-3</v>
      </c>
      <c r="X1501">
        <v>0.99987369999999998</v>
      </c>
      <c r="Y1501">
        <v>5.7612400000000001E-2</v>
      </c>
      <c r="Z1501">
        <v>6.6155149999999996E-2</v>
      </c>
      <c r="AA1501">
        <v>0.99614469999999999</v>
      </c>
      <c r="AB1501">
        <v>23</v>
      </c>
      <c r="AC1501">
        <v>-1.4999999999929499E-3</v>
      </c>
      <c r="AD1501">
        <v>-5.7475999999999999E-2</v>
      </c>
      <c r="AE1501">
        <v>-0.634800000000041</v>
      </c>
      <c r="AF1501">
        <v>4.9144725450860197E-2</v>
      </c>
      <c r="AG1501">
        <v>-5.7475999999999999E-2</v>
      </c>
      <c r="AH1501">
        <v>0.62771926030806502</v>
      </c>
      <c r="AI1501">
        <v>95.215726667909607</v>
      </c>
      <c r="AJ1501">
        <v>85.523391575416696</v>
      </c>
      <c r="AK1501">
        <v>0.63225798878095996</v>
      </c>
      <c r="AL1501">
        <v>89.471735928688105</v>
      </c>
      <c r="AM1501">
        <v>90.741885335726707</v>
      </c>
      <c r="AN1501">
        <v>1.0000000284604</v>
      </c>
    </row>
    <row r="1502" spans="1:40" x14ac:dyDescent="0.25">
      <c r="A1502" t="str">
        <f>"20190312151013892"</f>
        <v>20190312151013892</v>
      </c>
      <c r="B1502" t="str">
        <f>"1552374613882596"</f>
        <v>1552374613882596</v>
      </c>
      <c r="C1502" t="s">
        <v>40</v>
      </c>
      <c r="D1502">
        <v>5.6141990000000002</v>
      </c>
      <c r="E1502">
        <v>0.52688659999999998</v>
      </c>
      <c r="F1502" t="s">
        <v>41</v>
      </c>
      <c r="G1502">
        <v>-191.47630000000001</v>
      </c>
      <c r="H1502">
        <v>1.0527759999999999</v>
      </c>
      <c r="I1502">
        <v>323.6277</v>
      </c>
      <c r="J1502">
        <v>-191.4717</v>
      </c>
      <c r="K1502">
        <v>1.109389</v>
      </c>
      <c r="L1502">
        <v>324.21839999999997</v>
      </c>
      <c r="M1502">
        <v>7.524277E-2</v>
      </c>
      <c r="N1502">
        <v>0</v>
      </c>
      <c r="O1502">
        <v>-0.99712060000000002</v>
      </c>
      <c r="P1502">
        <v>8.7224280000000001E-2</v>
      </c>
      <c r="Q1502">
        <v>-3.174664E-4</v>
      </c>
      <c r="R1502">
        <v>-0.99618859999999998</v>
      </c>
      <c r="S1502">
        <v>5.0750730000000001E-2</v>
      </c>
      <c r="T1502">
        <v>-0.2019542</v>
      </c>
      <c r="U1502">
        <v>-3.007263</v>
      </c>
      <c r="V1502">
        <v>-1.201056E-2</v>
      </c>
      <c r="W1502">
        <v>9.1478189999999997E-3</v>
      </c>
      <c r="X1502">
        <v>0.99988600000000005</v>
      </c>
      <c r="Y1502">
        <v>5.8447069999999997E-2</v>
      </c>
      <c r="Z1502">
        <v>6.6657949999999994E-2</v>
      </c>
      <c r="AA1502">
        <v>0.99606260000000002</v>
      </c>
      <c r="AB1502">
        <v>23</v>
      </c>
      <c r="AC1502">
        <v>-4.6000000000105904E-3</v>
      </c>
      <c r="AD1502">
        <v>-5.6612999999999997E-2</v>
      </c>
      <c r="AE1502">
        <v>-0.59069999999996903</v>
      </c>
      <c r="AF1502">
        <v>4.8588563288828497E-2</v>
      </c>
      <c r="AG1502">
        <v>-5.6612999999999997E-2</v>
      </c>
      <c r="AH1502">
        <v>0.58332150821228401</v>
      </c>
      <c r="AI1502">
        <v>95.524343341306206</v>
      </c>
      <c r="AJ1502">
        <v>85.238461639528595</v>
      </c>
      <c r="AK1502">
        <v>0.58807300753777703</v>
      </c>
      <c r="AL1502">
        <v>89.475861255833195</v>
      </c>
      <c r="AM1502">
        <v>90.688199758108397</v>
      </c>
      <c r="AN1502">
        <v>0.99999997456998402</v>
      </c>
    </row>
    <row r="1503" spans="1:40" x14ac:dyDescent="0.25">
      <c r="A1503" t="str">
        <f>"20190312151013914"</f>
        <v>20190312151013914</v>
      </c>
      <c r="B1503" t="str">
        <f>"1552374613902116"</f>
        <v>1552374613902116</v>
      </c>
      <c r="C1503" t="s">
        <v>40</v>
      </c>
      <c r="D1503">
        <v>5.5300140000000004</v>
      </c>
      <c r="E1503">
        <v>0.52687469999999903</v>
      </c>
      <c r="F1503" t="s">
        <v>41</v>
      </c>
      <c r="G1503">
        <v>-191.45930000000001</v>
      </c>
      <c r="H1503">
        <v>1.05497</v>
      </c>
      <c r="I1503">
        <v>323.41390000000001</v>
      </c>
      <c r="J1503">
        <v>-191.4546</v>
      </c>
      <c r="K1503">
        <v>1.1093599999999999</v>
      </c>
      <c r="L1503">
        <v>323.98439999999999</v>
      </c>
      <c r="M1503">
        <v>7.4782860000000007E-2</v>
      </c>
      <c r="N1503">
        <v>0</v>
      </c>
      <c r="O1503">
        <v>-0.99715560000000003</v>
      </c>
      <c r="P1503">
        <v>8.5746089999999997E-2</v>
      </c>
      <c r="Q1503" s="1">
        <v>-2.7692380000000001E-5</v>
      </c>
      <c r="R1503">
        <v>-0.99631709999999996</v>
      </c>
      <c r="S1503">
        <v>4.6630860000000003E-2</v>
      </c>
      <c r="T1503">
        <v>-0.20356050000000001</v>
      </c>
      <c r="U1503">
        <v>-3.007263</v>
      </c>
      <c r="V1503">
        <v>-1.098736E-2</v>
      </c>
      <c r="W1503">
        <v>9.3838440000000006E-3</v>
      </c>
      <c r="X1503">
        <v>0.9998956</v>
      </c>
      <c r="Y1503">
        <v>5.9351359999999999E-2</v>
      </c>
      <c r="Z1503">
        <v>6.7188159999999997E-2</v>
      </c>
      <c r="AA1503">
        <v>0.99597349999999996</v>
      </c>
      <c r="AB1503">
        <v>23</v>
      </c>
      <c r="AC1503">
        <v>-4.7000000000139101E-3</v>
      </c>
      <c r="AD1503">
        <v>-5.4390000000000098E-2</v>
      </c>
      <c r="AE1503">
        <v>-0.57049999999998102</v>
      </c>
      <c r="AF1503">
        <v>4.6925851379798697E-2</v>
      </c>
      <c r="AG1503">
        <v>-5.4390000000000098E-2</v>
      </c>
      <c r="AH1503">
        <v>0.56343007865418804</v>
      </c>
      <c r="AI1503">
        <v>95.494981253695201</v>
      </c>
      <c r="AJ1503">
        <v>85.239050217984598</v>
      </c>
      <c r="AK1503">
        <v>0.56799098686509397</v>
      </c>
      <c r="AL1503">
        <v>89.462337449390205</v>
      </c>
      <c r="AM1503">
        <v>90.629569746919898</v>
      </c>
      <c r="AN1503">
        <v>0.99999999475367196</v>
      </c>
    </row>
    <row r="1504" spans="1:40" x14ac:dyDescent="0.25">
      <c r="A1504" t="str">
        <f>"20190312151013938"</f>
        <v>20190312151013938</v>
      </c>
      <c r="B1504" t="str">
        <f>"1552374613932373"</f>
        <v>1552374613932373</v>
      </c>
      <c r="C1504" t="s">
        <v>40</v>
      </c>
      <c r="D1504">
        <v>5.7171250000000002</v>
      </c>
      <c r="E1504">
        <v>0.52696009999999904</v>
      </c>
      <c r="F1504" t="s">
        <v>42</v>
      </c>
      <c r="G1504">
        <v>-191.22380000000001</v>
      </c>
      <c r="H1504" s="1">
        <v>-3.744766E-6</v>
      </c>
      <c r="I1504">
        <v>307.55919999999998</v>
      </c>
      <c r="J1504">
        <v>-191.43690000000001</v>
      </c>
      <c r="K1504">
        <v>1.1093189999999999</v>
      </c>
      <c r="L1504">
        <v>323.74169999999998</v>
      </c>
      <c r="M1504">
        <v>7.4256569999999994E-2</v>
      </c>
      <c r="N1504">
        <v>0</v>
      </c>
      <c r="O1504">
        <v>-0.99719530000000001</v>
      </c>
      <c r="P1504">
        <v>8.4376899999999894E-2</v>
      </c>
      <c r="Q1504">
        <v>-3.6112939999999999E-4</v>
      </c>
      <c r="R1504">
        <v>-0.99643389999999998</v>
      </c>
      <c r="S1504">
        <v>4.2251589999999999E-2</v>
      </c>
      <c r="T1504">
        <v>-0.2031239</v>
      </c>
      <c r="U1504">
        <v>-3.0074459999999998</v>
      </c>
      <c r="V1504">
        <v>-1.014061E-2</v>
      </c>
      <c r="W1504">
        <v>9.0023900000000007E-3</v>
      </c>
      <c r="X1504">
        <v>0.99990800000000002</v>
      </c>
      <c r="Y1504">
        <v>6.0275219999999997E-2</v>
      </c>
      <c r="Z1504">
        <v>6.7043469999999994E-2</v>
      </c>
      <c r="AA1504">
        <v>0.99592780000000003</v>
      </c>
      <c r="AB1504">
        <v>23</v>
      </c>
      <c r="AC1504">
        <v>0.21309999999999699</v>
      </c>
      <c r="AD1504">
        <v>-1.1093227447659999</v>
      </c>
      <c r="AE1504">
        <v>-16.182500000000001</v>
      </c>
      <c r="AF1504">
        <v>0.98457199598074496</v>
      </c>
      <c r="AG1504">
        <v>-1.1093227447659999</v>
      </c>
      <c r="AH1504">
        <v>16.078102481221801</v>
      </c>
      <c r="AI1504">
        <v>93.939560985669104</v>
      </c>
      <c r="AJ1504">
        <v>86.495764069511495</v>
      </c>
      <c r="AK1504">
        <v>16.146372916664401</v>
      </c>
      <c r="AL1504">
        <v>89.484194050173897</v>
      </c>
      <c r="AM1504">
        <v>90.581047693029802</v>
      </c>
      <c r="AN1504">
        <v>0.99999994173044005</v>
      </c>
    </row>
    <row r="1505" spans="1:40" x14ac:dyDescent="0.25">
      <c r="A1505" t="str">
        <f>"20190312151013958"</f>
        <v>20190312151013958</v>
      </c>
      <c r="B1505" t="str">
        <f>"1552374613951894"</f>
        <v>1552374613951894</v>
      </c>
      <c r="C1505" t="s">
        <v>40</v>
      </c>
      <c r="D1505">
        <v>5.7566569999999997</v>
      </c>
      <c r="E1505">
        <v>0.52689370000000002</v>
      </c>
      <c r="F1505" t="s">
        <v>42</v>
      </c>
      <c r="G1505">
        <v>-191.23849999999999</v>
      </c>
      <c r="H1505" s="1">
        <v>-3.8260460000000003E-6</v>
      </c>
      <c r="I1505">
        <v>307.7396</v>
      </c>
      <c r="J1505">
        <v>-191.42150000000001</v>
      </c>
      <c r="K1505">
        <v>1.109272</v>
      </c>
      <c r="L1505">
        <v>323.52690000000001</v>
      </c>
      <c r="M1505">
        <v>7.3740890000000003E-2</v>
      </c>
      <c r="N1505">
        <v>0</v>
      </c>
      <c r="O1505">
        <v>-0.99723419999999896</v>
      </c>
      <c r="P1505">
        <v>8.2500030000000002E-2</v>
      </c>
      <c r="Q1505">
        <v>-9.468438E-4</v>
      </c>
      <c r="R1505">
        <v>-0.9965908</v>
      </c>
      <c r="S1505">
        <v>3.7292480000000003E-2</v>
      </c>
      <c r="T1505">
        <v>-0.20849039999999999</v>
      </c>
      <c r="U1505">
        <v>-3.0075069999999999</v>
      </c>
      <c r="V1505">
        <v>-8.7746400000000002E-3</v>
      </c>
      <c r="W1505">
        <v>8.3744189999999993E-3</v>
      </c>
      <c r="X1505">
        <v>0.99992639999999999</v>
      </c>
      <c r="Y1505">
        <v>6.1402619999999998E-2</v>
      </c>
      <c r="Z1505">
        <v>6.8807320000000005E-2</v>
      </c>
      <c r="AA1505">
        <v>0.99573860000000003</v>
      </c>
      <c r="AB1505">
        <v>23</v>
      </c>
      <c r="AC1505">
        <v>0.18300000000002101</v>
      </c>
      <c r="AD1505">
        <v>-1.1092758260460001</v>
      </c>
      <c r="AE1505">
        <v>-15.7873</v>
      </c>
      <c r="AF1505">
        <v>0.97689573348671799</v>
      </c>
      <c r="AG1505">
        <v>-1.1092758260460001</v>
      </c>
      <c r="AH1505">
        <v>15.6804056864237</v>
      </c>
      <c r="AI1505">
        <v>94.038718360399898</v>
      </c>
      <c r="AJ1505">
        <v>86.435056824154699</v>
      </c>
      <c r="AK1505">
        <v>15.7499187497327</v>
      </c>
      <c r="AL1505">
        <v>89.520175510248393</v>
      </c>
      <c r="AM1505">
        <v>90.502773938646698</v>
      </c>
      <c r="AN1505">
        <v>0.99999996530883795</v>
      </c>
    </row>
    <row r="1506" spans="1:40" x14ac:dyDescent="0.25">
      <c r="A1506" t="str">
        <f>"20190312151013981"</f>
        <v>20190312151013981</v>
      </c>
      <c r="B1506" t="str">
        <f>"1552374613972388"</f>
        <v>1552374613972388</v>
      </c>
      <c r="C1506" t="s">
        <v>40</v>
      </c>
      <c r="D1506">
        <v>5.7098139999999997</v>
      </c>
      <c r="E1506">
        <v>0.53351559999999998</v>
      </c>
      <c r="F1506" t="s">
        <v>41</v>
      </c>
      <c r="G1506">
        <v>-191.41130000000001</v>
      </c>
      <c r="H1506">
        <v>1.043247</v>
      </c>
      <c r="I1506">
        <v>322.58589999999998</v>
      </c>
      <c r="J1506">
        <v>-191.4042</v>
      </c>
      <c r="K1506">
        <v>1.109226</v>
      </c>
      <c r="L1506">
        <v>323.28359999999998</v>
      </c>
      <c r="M1506">
        <v>7.3095140000000003E-2</v>
      </c>
      <c r="N1506">
        <v>0</v>
      </c>
      <c r="O1506">
        <v>-0.997282</v>
      </c>
      <c r="P1506">
        <v>8.1535179999999999E-2</v>
      </c>
      <c r="Q1506">
        <v>-1.4286380000000001E-3</v>
      </c>
      <c r="R1506">
        <v>-0.99666960000000004</v>
      </c>
      <c r="S1506">
        <v>3.2363889999999999E-2</v>
      </c>
      <c r="T1506">
        <v>-0.21091650000000001</v>
      </c>
      <c r="U1506">
        <v>-3.0074160000000001</v>
      </c>
      <c r="V1506">
        <v>-8.4542630000000001E-3</v>
      </c>
      <c r="W1506">
        <v>7.8465789999999994E-3</v>
      </c>
      <c r="X1506">
        <v>0.99993350000000003</v>
      </c>
      <c r="Y1506">
        <v>6.2388079999999999E-2</v>
      </c>
      <c r="Z1506">
        <v>6.960972E-2</v>
      </c>
      <c r="AA1506">
        <v>0.99562150000000005</v>
      </c>
      <c r="AB1506">
        <v>24</v>
      </c>
      <c r="AC1506">
        <v>-7.1000000000083201E-3</v>
      </c>
      <c r="AD1506">
        <v>-6.5978999999999996E-2</v>
      </c>
      <c r="AE1506">
        <v>-0.69769999999999699</v>
      </c>
      <c r="AF1506">
        <v>5.7566913931402501E-2</v>
      </c>
      <c r="AG1506">
        <v>-6.5978999999999996E-2</v>
      </c>
      <c r="AH1506">
        <v>0.689152156522292</v>
      </c>
      <c r="AI1506">
        <v>95.449927798506494</v>
      </c>
      <c r="AJ1506">
        <v>85.225000074541597</v>
      </c>
      <c r="AK1506">
        <v>0.69469264632635297</v>
      </c>
      <c r="AL1506">
        <v>89.550419536990603</v>
      </c>
      <c r="AM1506">
        <v>90.484414260695203</v>
      </c>
      <c r="AN1506">
        <v>1.00000002389356</v>
      </c>
    </row>
    <row r="1507" spans="1:40" x14ac:dyDescent="0.25">
      <c r="A1507" t="str">
        <f>"20190312151014003"</f>
        <v>20190312151014003</v>
      </c>
      <c r="B1507" t="str">
        <f>"1552374613992087"</f>
        <v>1552374613992087</v>
      </c>
      <c r="C1507" t="s">
        <v>40</v>
      </c>
      <c r="D1507">
        <v>5.8674759999999999</v>
      </c>
      <c r="E1507">
        <v>0.53090780000000004</v>
      </c>
      <c r="F1507" t="s">
        <v>41</v>
      </c>
      <c r="G1507">
        <v>-191.41149999999999</v>
      </c>
      <c r="H1507">
        <v>1.017935</v>
      </c>
      <c r="I1507">
        <v>322.3861</v>
      </c>
      <c r="J1507">
        <v>-191.38759999999999</v>
      </c>
      <c r="K1507">
        <v>1.1091869999999999</v>
      </c>
      <c r="L1507">
        <v>323.04629999999997</v>
      </c>
      <c r="M1507">
        <v>7.241541E-2</v>
      </c>
      <c r="N1507">
        <v>0</v>
      </c>
      <c r="O1507">
        <v>-0.99733210000000005</v>
      </c>
      <c r="P1507">
        <v>7.9978179999999996E-2</v>
      </c>
      <c r="Q1507">
        <v>-1.6871480000000001E-3</v>
      </c>
      <c r="R1507">
        <v>-0.99679549999999995</v>
      </c>
      <c r="S1507">
        <v>-2.3712159999999999E-2</v>
      </c>
      <c r="T1507">
        <v>-0.30647059999999998</v>
      </c>
      <c r="U1507">
        <v>-3.0115660000000002</v>
      </c>
      <c r="V1507">
        <v>-7.5731430000000001E-3</v>
      </c>
      <c r="W1507">
        <v>7.5466559999999997E-3</v>
      </c>
      <c r="X1507">
        <v>0.99994280000000002</v>
      </c>
      <c r="Y1507">
        <v>8.0228309999999997E-2</v>
      </c>
      <c r="Z1507">
        <v>0.1006788</v>
      </c>
      <c r="AA1507">
        <v>0.99167899999999998</v>
      </c>
      <c r="AB1507">
        <v>24</v>
      </c>
      <c r="AC1507">
        <v>-2.38999999999975E-2</v>
      </c>
      <c r="AD1507">
        <v>-9.1252000000000097E-2</v>
      </c>
      <c r="AE1507">
        <v>-0.66019999999997403</v>
      </c>
      <c r="AF1507">
        <v>7.0306517941954097E-2</v>
      </c>
      <c r="AG1507">
        <v>-9.1252000000000097E-2</v>
      </c>
      <c r="AH1507">
        <v>0.64444019507721595</v>
      </c>
      <c r="AI1507">
        <v>98.012518525086406</v>
      </c>
      <c r="AJ1507">
        <v>83.773823774138904</v>
      </c>
      <c r="AK1507">
        <v>0.65465494651784495</v>
      </c>
      <c r="AL1507">
        <v>89.567604337458604</v>
      </c>
      <c r="AM1507">
        <v>90.433925656175902</v>
      </c>
      <c r="AN1507">
        <v>0.999999953891759</v>
      </c>
    </row>
    <row r="1508" spans="1:40" x14ac:dyDescent="0.25">
      <c r="A1508" t="str">
        <f>"20190312151014025"</f>
        <v>20190312151014025</v>
      </c>
      <c r="B1508" t="str">
        <f>"1552374614022344"</f>
        <v>1552374614022344</v>
      </c>
      <c r="C1508" t="s">
        <v>40</v>
      </c>
      <c r="D1508">
        <v>5.7077640000000001</v>
      </c>
      <c r="E1508">
        <v>0.52866150000000001</v>
      </c>
      <c r="F1508" t="s">
        <v>41</v>
      </c>
      <c r="G1508">
        <v>-191.38980000000001</v>
      </c>
      <c r="H1508">
        <v>1.0265919999999999</v>
      </c>
      <c r="I1508">
        <v>322.17070000000001</v>
      </c>
      <c r="J1508">
        <v>-191.3717</v>
      </c>
      <c r="K1508">
        <v>1.1091500000000001</v>
      </c>
      <c r="L1508">
        <v>322.81779999999998</v>
      </c>
      <c r="M1508">
        <v>7.1713319999999997E-2</v>
      </c>
      <c r="N1508">
        <v>0</v>
      </c>
      <c r="O1508">
        <v>-0.99738320000000003</v>
      </c>
      <c r="P1508">
        <v>7.8564999999999996E-2</v>
      </c>
      <c r="Q1508">
        <v>-1.9819909999999998E-3</v>
      </c>
      <c r="R1508">
        <v>-0.9969074</v>
      </c>
      <c r="S1508">
        <v>-7.4615480000000001E-3</v>
      </c>
      <c r="T1508">
        <v>-0.2839257</v>
      </c>
      <c r="U1508">
        <v>-3.0097659999999999</v>
      </c>
      <c r="V1508">
        <v>-6.8593719999999999E-3</v>
      </c>
      <c r="W1508">
        <v>7.2171700000000002E-3</v>
      </c>
      <c r="X1508">
        <v>0.99995040000000002</v>
      </c>
      <c r="Y1508">
        <v>7.4177530000000005E-2</v>
      </c>
      <c r="Z1508">
        <v>9.3426090000000003E-2</v>
      </c>
      <c r="AA1508">
        <v>0.99285909999999999</v>
      </c>
      <c r="AB1508">
        <v>24</v>
      </c>
      <c r="AC1508">
        <v>-1.8100000000003998E-2</v>
      </c>
      <c r="AD1508">
        <v>-8.2558000000000104E-2</v>
      </c>
      <c r="AE1508">
        <v>-0.64709999999996604</v>
      </c>
      <c r="AF1508">
        <v>6.3429395259725296E-2</v>
      </c>
      <c r="AG1508">
        <v>-8.2558000000000104E-2</v>
      </c>
      <c r="AH1508">
        <v>0.63382693313574101</v>
      </c>
      <c r="AI1508">
        <v>97.384703406090097</v>
      </c>
      <c r="AJ1508">
        <v>84.285226996313199</v>
      </c>
      <c r="AK1508">
        <v>0.64232055292920098</v>
      </c>
      <c r="AL1508">
        <v>89.586483016869806</v>
      </c>
      <c r="AM1508">
        <v>90.393026395498097</v>
      </c>
      <c r="AN1508">
        <v>0.99999997049360101</v>
      </c>
    </row>
    <row r="1509" spans="1:40" x14ac:dyDescent="0.25">
      <c r="A1509" t="str">
        <f>"20190312151014048"</f>
        <v>20190312151014048</v>
      </c>
      <c r="B1509" t="str">
        <f>"1552374614041864"</f>
        <v>1552374614041864</v>
      </c>
      <c r="C1509" t="s">
        <v>40</v>
      </c>
      <c r="D1509">
        <v>5.549391</v>
      </c>
      <c r="E1509">
        <v>0.52788199999999996</v>
      </c>
      <c r="F1509" t="s">
        <v>41</v>
      </c>
      <c r="G1509">
        <v>-191.37010000000001</v>
      </c>
      <c r="H1509">
        <v>1.0342709999999999</v>
      </c>
      <c r="I1509">
        <v>321.95519999999999</v>
      </c>
      <c r="J1509">
        <v>-191.35480000000001</v>
      </c>
      <c r="K1509">
        <v>1.109116</v>
      </c>
      <c r="L1509">
        <v>322.56990000000002</v>
      </c>
      <c r="M1509">
        <v>7.0895100000000003E-2</v>
      </c>
      <c r="N1509">
        <v>0</v>
      </c>
      <c r="O1509">
        <v>-0.99744200000000005</v>
      </c>
      <c r="P1509">
        <v>7.7283859999999996E-2</v>
      </c>
      <c r="Q1509">
        <v>-2.2550140000000001E-3</v>
      </c>
      <c r="R1509">
        <v>-0.99700679999999997</v>
      </c>
      <c r="S1509">
        <v>6.2103269999999999E-3</v>
      </c>
      <c r="T1509">
        <v>-0.26130530000000002</v>
      </c>
      <c r="U1509">
        <v>-3.0083009999999999</v>
      </c>
      <c r="V1509">
        <v>-6.3944919999999999E-3</v>
      </c>
      <c r="W1509">
        <v>6.9120020000000004E-3</v>
      </c>
      <c r="X1509">
        <v>0.9999557</v>
      </c>
      <c r="Y1509">
        <v>6.8846080000000004E-2</v>
      </c>
      <c r="Z1509">
        <v>8.6106639999999998E-2</v>
      </c>
      <c r="AA1509">
        <v>0.99390440000000002</v>
      </c>
      <c r="AB1509">
        <v>24</v>
      </c>
      <c r="AC1509">
        <v>-1.5299999999996299E-2</v>
      </c>
      <c r="AD1509">
        <v>-7.4844999999999995E-2</v>
      </c>
      <c r="AE1509">
        <v>-0.614700000000027</v>
      </c>
      <c r="AF1509">
        <v>5.7983451362315502E-2</v>
      </c>
      <c r="AG1509">
        <v>-7.4844999999999995E-2</v>
      </c>
      <c r="AH1509">
        <v>0.60313241446032195</v>
      </c>
      <c r="AI1509">
        <v>97.041750481929</v>
      </c>
      <c r="AJ1509">
        <v>84.508621420967202</v>
      </c>
      <c r="AK1509">
        <v>0.61051827493501198</v>
      </c>
      <c r="AL1509">
        <v>89.603968317237104</v>
      </c>
      <c r="AM1509">
        <v>90.366388640760604</v>
      </c>
      <c r="AN1509">
        <v>1.00000003363103</v>
      </c>
    </row>
    <row r="1510" spans="1:40" x14ac:dyDescent="0.25">
      <c r="A1510" t="str">
        <f>"20190312151014070"</f>
        <v>20190312151014070</v>
      </c>
      <c r="B1510" t="str">
        <f>"1552374614062360"</f>
        <v>1552374614062360</v>
      </c>
      <c r="C1510" t="s">
        <v>40</v>
      </c>
      <c r="D1510">
        <v>5.4855609999999997</v>
      </c>
      <c r="E1510">
        <v>0.52760649999999998</v>
      </c>
      <c r="F1510" t="s">
        <v>41</v>
      </c>
      <c r="G1510">
        <v>-191.35249999999999</v>
      </c>
      <c r="H1510">
        <v>1.0373840000000001</v>
      </c>
      <c r="I1510">
        <v>321.7414</v>
      </c>
      <c r="J1510">
        <v>-191.33959999999999</v>
      </c>
      <c r="K1510">
        <v>1.1090819999999999</v>
      </c>
      <c r="L1510">
        <v>322.34350000000001</v>
      </c>
      <c r="M1510">
        <v>7.0100510000000005E-2</v>
      </c>
      <c r="N1510">
        <v>0</v>
      </c>
      <c r="O1510">
        <v>-0.9974982</v>
      </c>
      <c r="P1510">
        <v>7.6448139999999998E-2</v>
      </c>
      <c r="Q1510">
        <v>-2.2525639999999999E-3</v>
      </c>
      <c r="R1510">
        <v>-0.99707100000000004</v>
      </c>
      <c r="S1510">
        <v>8.5449219999999999E-3</v>
      </c>
      <c r="T1510">
        <v>-0.26043189999999999</v>
      </c>
      <c r="U1510">
        <v>-3.0077509999999998</v>
      </c>
      <c r="V1510">
        <v>-6.3525350000000003E-3</v>
      </c>
      <c r="W1510">
        <v>6.8891150000000003E-3</v>
      </c>
      <c r="X1510">
        <v>0.99995610000000001</v>
      </c>
      <c r="Y1510">
        <v>6.727938E-2</v>
      </c>
      <c r="Z1510">
        <v>8.5848300000000002E-2</v>
      </c>
      <c r="AA1510">
        <v>0.99403399999999997</v>
      </c>
      <c r="AB1510">
        <v>24</v>
      </c>
      <c r="AC1510">
        <v>-1.29000000000019E-2</v>
      </c>
      <c r="AD1510">
        <v>-7.1697999999999804E-2</v>
      </c>
      <c r="AE1510">
        <v>-0.60210000000000696</v>
      </c>
      <c r="AF1510">
        <v>5.4307804368720798E-2</v>
      </c>
      <c r="AG1510">
        <v>-7.1697999999999804E-2</v>
      </c>
      <c r="AH1510">
        <v>0.59133306892970805</v>
      </c>
      <c r="AI1510">
        <v>96.884564426624095</v>
      </c>
      <c r="AJ1510">
        <v>84.7526971627927</v>
      </c>
      <c r="AK1510">
        <v>0.59813438224965698</v>
      </c>
      <c r="AL1510">
        <v>89.605279666909198</v>
      </c>
      <c r="AM1510">
        <v>90.363984527305306</v>
      </c>
      <c r="AN1510">
        <v>1.0000000082667999</v>
      </c>
    </row>
    <row r="1511" spans="1:40" x14ac:dyDescent="0.25">
      <c r="A1511" t="str">
        <f>"20190312151014092"</f>
        <v>20190312151014092</v>
      </c>
      <c r="B1511" t="str">
        <f>"1552374614081879"</f>
        <v>1552374614081879</v>
      </c>
      <c r="C1511" t="s">
        <v>40</v>
      </c>
      <c r="D1511">
        <v>5.362851</v>
      </c>
      <c r="E1511">
        <v>0.52727089999999999</v>
      </c>
      <c r="F1511" t="s">
        <v>41</v>
      </c>
      <c r="G1511">
        <v>-191.33750000000001</v>
      </c>
      <c r="H1511">
        <v>1.0390079999999999</v>
      </c>
      <c r="I1511">
        <v>321.52760000000001</v>
      </c>
      <c r="J1511">
        <v>-191.32329999999999</v>
      </c>
      <c r="K1511">
        <v>1.1090450000000001</v>
      </c>
      <c r="L1511">
        <v>322.09739999999999</v>
      </c>
      <c r="M1511">
        <v>6.9191329999999995E-2</v>
      </c>
      <c r="N1511">
        <v>0</v>
      </c>
      <c r="O1511">
        <v>-0.99756210000000001</v>
      </c>
      <c r="P1511">
        <v>7.5240169999999995E-2</v>
      </c>
      <c r="Q1511">
        <v>-2.5308430000000001E-3</v>
      </c>
      <c r="R1511">
        <v>-0.99716260000000001</v>
      </c>
      <c r="S1511">
        <v>8.2702639999999994E-3</v>
      </c>
      <c r="T1511">
        <v>-0.25846760000000002</v>
      </c>
      <c r="U1511">
        <v>-3.0075989999999999</v>
      </c>
      <c r="V1511">
        <v>-6.052628E-3</v>
      </c>
      <c r="W1511">
        <v>6.585853E-3</v>
      </c>
      <c r="X1511">
        <v>0.99995999999999996</v>
      </c>
      <c r="Y1511">
        <v>6.6460489999999997E-2</v>
      </c>
      <c r="Z1511">
        <v>8.5220340000000006E-2</v>
      </c>
      <c r="AA1511">
        <v>0.99414309999999995</v>
      </c>
      <c r="AB1511">
        <v>24</v>
      </c>
      <c r="AC1511">
        <v>-1.42000000000166E-2</v>
      </c>
      <c r="AD1511">
        <v>-7.0037000000000099E-2</v>
      </c>
      <c r="AE1511">
        <v>-0.56979999999998598</v>
      </c>
      <c r="AF1511">
        <v>5.2795662486308702E-2</v>
      </c>
      <c r="AG1511">
        <v>-7.0037000000000099E-2</v>
      </c>
      <c r="AH1511">
        <v>0.55901138746935297</v>
      </c>
      <c r="AI1511">
        <v>97.109907693632806</v>
      </c>
      <c r="AJ1511">
        <v>84.604720949441202</v>
      </c>
      <c r="AK1511">
        <v>0.56585006376846803</v>
      </c>
      <c r="AL1511">
        <v>89.622655692551902</v>
      </c>
      <c r="AM1511">
        <v>90.346799676299895</v>
      </c>
      <c r="AN1511">
        <v>1.00000000468272</v>
      </c>
    </row>
    <row r="1512" spans="1:40" x14ac:dyDescent="0.25">
      <c r="A1512" t="str">
        <f>"20190312151014116"</f>
        <v>20190312151014116</v>
      </c>
      <c r="B1512" t="str">
        <f>"1552374614112136"</f>
        <v>1552374614112136</v>
      </c>
      <c r="C1512" t="s">
        <v>40</v>
      </c>
      <c r="D1512">
        <v>5.4661179999999998</v>
      </c>
      <c r="E1512">
        <v>0.5268661</v>
      </c>
      <c r="F1512" t="s">
        <v>41</v>
      </c>
      <c r="G1512">
        <v>-191.32140000000001</v>
      </c>
      <c r="H1512">
        <v>1.041701</v>
      </c>
      <c r="I1512">
        <v>321.31299999999999</v>
      </c>
      <c r="J1512">
        <v>-191.30709999999999</v>
      </c>
      <c r="K1512">
        <v>1.109008</v>
      </c>
      <c r="L1512">
        <v>321.84879999999998</v>
      </c>
      <c r="M1512">
        <v>6.8235729999999994E-2</v>
      </c>
      <c r="N1512">
        <v>0</v>
      </c>
      <c r="O1512">
        <v>-0.99762799999999996</v>
      </c>
      <c r="P1512">
        <v>7.423362E-2</v>
      </c>
      <c r="Q1512">
        <v>-2.395964E-3</v>
      </c>
      <c r="R1512">
        <v>-0.99723799999999996</v>
      </c>
      <c r="S1512">
        <v>7.3699949999999998E-3</v>
      </c>
      <c r="T1512">
        <v>-0.25818400000000002</v>
      </c>
      <c r="U1512">
        <v>-3.0072939999999999</v>
      </c>
      <c r="V1512">
        <v>-6.0006510000000001E-3</v>
      </c>
      <c r="W1512">
        <v>6.7002919999999896E-3</v>
      </c>
      <c r="X1512">
        <v>0.9999595</v>
      </c>
      <c r="Y1512">
        <v>6.5801990000000005E-2</v>
      </c>
      <c r="Z1512">
        <v>8.5146410000000006E-2</v>
      </c>
      <c r="AA1512">
        <v>0.99419329999999995</v>
      </c>
      <c r="AB1512">
        <v>24</v>
      </c>
      <c r="AC1512">
        <v>-1.4300000000019899E-2</v>
      </c>
      <c r="AD1512">
        <v>-6.7307000000000006E-2</v>
      </c>
      <c r="AE1512">
        <v>-0.53579999999999395</v>
      </c>
      <c r="AF1512">
        <v>5.0039794608892303E-2</v>
      </c>
      <c r="AG1512">
        <v>-6.7307000000000006E-2</v>
      </c>
      <c r="AH1512">
        <v>0.52529189802538601</v>
      </c>
      <c r="AI1512">
        <v>97.269115864303402</v>
      </c>
      <c r="AJ1512">
        <v>84.558371409430606</v>
      </c>
      <c r="AK1512">
        <v>0.53194528987915002</v>
      </c>
      <c r="AL1512">
        <v>89.616098655836694</v>
      </c>
      <c r="AM1512">
        <v>90.343821774528607</v>
      </c>
      <c r="AN1512">
        <v>0.999999951682778</v>
      </c>
    </row>
    <row r="1513" spans="1:40" x14ac:dyDescent="0.25">
      <c r="A1513" t="str">
        <f>"20190312151014137"</f>
        <v>20190312151014137</v>
      </c>
      <c r="B1513" t="str">
        <f>"1552374614132632"</f>
        <v>1552374614132632</v>
      </c>
      <c r="C1513" t="s">
        <v>40</v>
      </c>
      <c r="D1513">
        <v>5.4036540000000004</v>
      </c>
      <c r="E1513">
        <v>0.52649089999999998</v>
      </c>
      <c r="F1513" t="s">
        <v>41</v>
      </c>
      <c r="G1513">
        <v>-191.30529999999999</v>
      </c>
      <c r="H1513">
        <v>1.045145</v>
      </c>
      <c r="I1513">
        <v>321.09739999999999</v>
      </c>
      <c r="J1513">
        <v>-191.29239999999999</v>
      </c>
      <c r="K1513">
        <v>1.108978</v>
      </c>
      <c r="L1513">
        <v>321.61989999999997</v>
      </c>
      <c r="M1513">
        <v>6.7331600000000005E-2</v>
      </c>
      <c r="N1513">
        <v>0</v>
      </c>
      <c r="O1513">
        <v>-0.99768959999999995</v>
      </c>
      <c r="P1513">
        <v>7.330586E-2</v>
      </c>
      <c r="Q1513">
        <v>-2.4322419999999998E-3</v>
      </c>
      <c r="R1513">
        <v>-0.99730680000000005</v>
      </c>
      <c r="S1513">
        <v>7.7209469999999997E-3</v>
      </c>
      <c r="T1513">
        <v>-0.25577349999999999</v>
      </c>
      <c r="U1513">
        <v>-3.0071110000000001</v>
      </c>
      <c r="V1513">
        <v>-5.9758579999999997E-3</v>
      </c>
      <c r="W1513">
        <v>6.6483169999999999E-3</v>
      </c>
      <c r="X1513">
        <v>0.99996010000000002</v>
      </c>
      <c r="Y1513">
        <v>6.4781329999999998E-2</v>
      </c>
      <c r="Z1513">
        <v>8.4372950000000002E-2</v>
      </c>
      <c r="AA1513">
        <v>0.99432619999999905</v>
      </c>
      <c r="AB1513">
        <v>24</v>
      </c>
      <c r="AC1513">
        <v>-1.29000000000019E-2</v>
      </c>
      <c r="AD1513">
        <v>-6.3833000000000001E-2</v>
      </c>
      <c r="AE1513">
        <v>-0.52249999999997898</v>
      </c>
      <c r="AF1513">
        <v>4.7346700220289799E-2</v>
      </c>
      <c r="AG1513">
        <v>-6.3833000000000001E-2</v>
      </c>
      <c r="AH1513">
        <v>0.51279666465435303</v>
      </c>
      <c r="AI1513">
        <v>97.065938309226098</v>
      </c>
      <c r="AJ1513">
        <v>84.724816303193606</v>
      </c>
      <c r="AK1513">
        <v>0.51891885800323301</v>
      </c>
      <c r="AL1513">
        <v>89.619076710301499</v>
      </c>
      <c r="AM1513">
        <v>90.3424010282328</v>
      </c>
      <c r="AN1513">
        <v>1.0000000562948801</v>
      </c>
    </row>
    <row r="1514" spans="1:40" x14ac:dyDescent="0.25">
      <c r="A1514" t="str">
        <f>"20190312151014159"</f>
        <v>20190312151014159</v>
      </c>
      <c r="B1514" t="str">
        <f>"1552374614152151"</f>
        <v>1552374614152151</v>
      </c>
      <c r="C1514" t="s">
        <v>40</v>
      </c>
      <c r="D1514">
        <v>5.43187</v>
      </c>
      <c r="E1514">
        <v>0.52637659999999997</v>
      </c>
      <c r="F1514" t="s">
        <v>41</v>
      </c>
      <c r="G1514">
        <v>-191.29040000000001</v>
      </c>
      <c r="H1514">
        <v>1.0469299999999999</v>
      </c>
      <c r="I1514">
        <v>320.88189999999997</v>
      </c>
      <c r="J1514">
        <v>-191.27789999999999</v>
      </c>
      <c r="K1514">
        <v>1.1089599999999999</v>
      </c>
      <c r="L1514">
        <v>321.3897</v>
      </c>
      <c r="M1514">
        <v>6.6407380000000002E-2</v>
      </c>
      <c r="N1514">
        <v>0</v>
      </c>
      <c r="O1514">
        <v>-0.99775150000000001</v>
      </c>
      <c r="P1514">
        <v>7.2435730000000004E-2</v>
      </c>
      <c r="Q1514">
        <v>-2.5904489999999999E-3</v>
      </c>
      <c r="R1514">
        <v>-0.99736979999999997</v>
      </c>
      <c r="S1514">
        <v>8.1481929999999998E-3</v>
      </c>
      <c r="T1514">
        <v>-0.25284299999999998</v>
      </c>
      <c r="U1514">
        <v>-3.0068969999999999</v>
      </c>
      <c r="V1514">
        <v>-6.0302219999999896E-3</v>
      </c>
      <c r="W1514">
        <v>6.4766600000000004E-3</v>
      </c>
      <c r="X1514">
        <v>0.99996079999999998</v>
      </c>
      <c r="Y1514">
        <v>6.3715240000000006E-2</v>
      </c>
      <c r="Z1514">
        <v>8.3429569999999995E-2</v>
      </c>
      <c r="AA1514">
        <v>0.99447459999999999</v>
      </c>
      <c r="AB1514">
        <v>24</v>
      </c>
      <c r="AC1514">
        <v>-1.2500000000016999E-2</v>
      </c>
      <c r="AD1514">
        <v>-6.2030000000000002E-2</v>
      </c>
      <c r="AE1514">
        <v>-0.507800000000031</v>
      </c>
      <c r="AF1514">
        <v>4.5516680719871402E-2</v>
      </c>
      <c r="AG1514">
        <v>-6.2030000000000002E-2</v>
      </c>
      <c r="AH1514">
        <v>0.49841615058921002</v>
      </c>
      <c r="AI1514">
        <v>97.065124415869306</v>
      </c>
      <c r="AJ1514">
        <v>84.782071339095793</v>
      </c>
      <c r="AK1514">
        <v>0.50431949029550704</v>
      </c>
      <c r="AL1514">
        <v>89.628912105999206</v>
      </c>
      <c r="AM1514">
        <v>90.345515626154494</v>
      </c>
      <c r="AN1514">
        <v>0.99999995611938097</v>
      </c>
    </row>
    <row r="1515" spans="1:40" x14ac:dyDescent="0.25">
      <c r="A1515" t="str">
        <f>"20190312151014182"</f>
        <v>20190312151014182</v>
      </c>
      <c r="B1515" t="str">
        <f>"1552374614172653"</f>
        <v>1552374614172653</v>
      </c>
      <c r="C1515" t="s">
        <v>40</v>
      </c>
      <c r="D1515">
        <v>5.3612869999999999</v>
      </c>
      <c r="E1515">
        <v>0.526124699999999</v>
      </c>
      <c r="F1515" t="s">
        <v>41</v>
      </c>
      <c r="G1515">
        <v>-191.27600000000001</v>
      </c>
      <c r="H1515">
        <v>1.0308870000000001</v>
      </c>
      <c r="I1515">
        <v>320.459</v>
      </c>
      <c r="J1515">
        <v>-191.26230000000001</v>
      </c>
      <c r="K1515">
        <v>1.108948</v>
      </c>
      <c r="L1515">
        <v>321.13749999999999</v>
      </c>
      <c r="M1515">
        <v>6.5386189999999997E-2</v>
      </c>
      <c r="N1515">
        <v>0</v>
      </c>
      <c r="O1515">
        <v>-0.99781889999999995</v>
      </c>
      <c r="P1515">
        <v>7.1763839999999995E-2</v>
      </c>
      <c r="Q1515">
        <v>-3.1204520000000001E-3</v>
      </c>
      <c r="R1515">
        <v>-0.99741670000000004</v>
      </c>
      <c r="S1515">
        <v>6.3934329999999996E-3</v>
      </c>
      <c r="T1515">
        <v>-0.25237080000000001</v>
      </c>
      <c r="U1515">
        <v>-3.0068049999999999</v>
      </c>
      <c r="V1515">
        <v>-6.3807040000000001E-3</v>
      </c>
      <c r="W1515">
        <v>5.934506E-3</v>
      </c>
      <c r="X1515">
        <v>0.99996200000000002</v>
      </c>
      <c r="Y1515">
        <v>6.3274129999999998E-2</v>
      </c>
      <c r="Z1515">
        <v>8.3287050000000001E-2</v>
      </c>
      <c r="AA1515">
        <v>0.99451480000000003</v>
      </c>
      <c r="AB1515">
        <v>24</v>
      </c>
      <c r="AC1515">
        <v>-1.3699999999971599E-2</v>
      </c>
      <c r="AD1515">
        <v>-7.8060999999999894E-2</v>
      </c>
      <c r="AE1515">
        <v>-0.678499999999985</v>
      </c>
      <c r="AF1515">
        <v>5.7279172321133803E-2</v>
      </c>
      <c r="AG1515">
        <v>-7.8060999999999894E-2</v>
      </c>
      <c r="AH1515">
        <v>0.66732276221932196</v>
      </c>
      <c r="AI1515">
        <v>96.647707651019502</v>
      </c>
      <c r="AJ1515">
        <v>85.0940822946433</v>
      </c>
      <c r="AK1515">
        <v>0.67431008614643995</v>
      </c>
      <c r="AL1515">
        <v>89.659975845477305</v>
      </c>
      <c r="AM1515">
        <v>90.365596340493795</v>
      </c>
      <c r="AN1515">
        <v>0.99999996659449897</v>
      </c>
    </row>
    <row r="1516" spans="1:40" x14ac:dyDescent="0.25">
      <c r="A1516" t="str">
        <f>"20190312151014203"</f>
        <v>20190312151014203</v>
      </c>
      <c r="B1516" t="str">
        <f>"1552374614192168"</f>
        <v>1552374614192168</v>
      </c>
      <c r="C1516" t="s">
        <v>40</v>
      </c>
      <c r="D1516">
        <v>5.3183569999999998</v>
      </c>
      <c r="E1516">
        <v>0.52591949999999998</v>
      </c>
      <c r="F1516" t="s">
        <v>41</v>
      </c>
      <c r="G1516">
        <v>-191.26060000000001</v>
      </c>
      <c r="H1516">
        <v>1.0335730000000001</v>
      </c>
      <c r="I1516">
        <v>320.24209999999999</v>
      </c>
      <c r="J1516">
        <v>-191.2482</v>
      </c>
      <c r="K1516">
        <v>1.1089500000000001</v>
      </c>
      <c r="L1516">
        <v>320.90710000000001</v>
      </c>
      <c r="M1516">
        <v>6.4452380000000004E-2</v>
      </c>
      <c r="N1516">
        <v>0</v>
      </c>
      <c r="O1516">
        <v>-0.99788019999999999</v>
      </c>
      <c r="P1516">
        <v>7.0757929999999997E-2</v>
      </c>
      <c r="Q1516">
        <v>-3.5196799999999999E-3</v>
      </c>
      <c r="R1516">
        <v>-0.99748780000000004</v>
      </c>
      <c r="S1516">
        <v>6.286621E-3</v>
      </c>
      <c r="T1516">
        <v>-0.25325920000000002</v>
      </c>
      <c r="U1516">
        <v>-3.006561</v>
      </c>
      <c r="V1516">
        <v>-6.308719E-3</v>
      </c>
      <c r="W1516">
        <v>5.5258629999999998E-3</v>
      </c>
      <c r="X1516">
        <v>0.99996479999999999</v>
      </c>
      <c r="Y1516">
        <v>6.2375359999999998E-2</v>
      </c>
      <c r="Z1516">
        <v>8.3594940000000006E-2</v>
      </c>
      <c r="AA1516">
        <v>0.99454569999999998</v>
      </c>
      <c r="AB1516">
        <v>24</v>
      </c>
      <c r="AC1516">
        <v>-1.24000000000137E-2</v>
      </c>
      <c r="AD1516">
        <v>-7.5377000000000194E-2</v>
      </c>
      <c r="AE1516">
        <v>-0.66500000000002002</v>
      </c>
      <c r="AF1516">
        <v>5.4536346604321197E-2</v>
      </c>
      <c r="AG1516">
        <v>-7.5377000000000194E-2</v>
      </c>
      <c r="AH1516">
        <v>0.65441301291030596</v>
      </c>
      <c r="AI1516">
        <v>96.548022191583001</v>
      </c>
      <c r="AJ1516">
        <v>85.236190596477101</v>
      </c>
      <c r="AK1516">
        <v>0.66099341653021904</v>
      </c>
      <c r="AL1516">
        <v>89.683389750549296</v>
      </c>
      <c r="AM1516">
        <v>90.361470900985594</v>
      </c>
      <c r="AN1516">
        <v>0.99999996816817704</v>
      </c>
    </row>
    <row r="1517" spans="1:40" x14ac:dyDescent="0.25">
      <c r="A1517" t="str">
        <f>"20190312151014227"</f>
        <v>20190312151014227</v>
      </c>
      <c r="B1517" t="str">
        <f>"1552374614222424"</f>
        <v>1552374614222424</v>
      </c>
      <c r="C1517" t="s">
        <v>40</v>
      </c>
      <c r="D1517">
        <v>5.2872029999999999</v>
      </c>
      <c r="E1517">
        <v>0.52587519999999999</v>
      </c>
      <c r="F1517" t="s">
        <v>41</v>
      </c>
      <c r="G1517">
        <v>-191.24680000000001</v>
      </c>
      <c r="H1517">
        <v>1.0343100000000001</v>
      </c>
      <c r="I1517">
        <v>320.02550000000002</v>
      </c>
      <c r="J1517">
        <v>-191.23269999999999</v>
      </c>
      <c r="K1517">
        <v>1.108951</v>
      </c>
      <c r="L1517">
        <v>320.64879999999999</v>
      </c>
      <c r="M1517">
        <v>6.3410330000000001E-2</v>
      </c>
      <c r="N1517">
        <v>0</v>
      </c>
      <c r="O1517">
        <v>-0.99794689999999997</v>
      </c>
      <c r="P1517">
        <v>6.9770769999999996E-2</v>
      </c>
      <c r="Q1517">
        <v>-3.8645089999999999E-3</v>
      </c>
      <c r="R1517">
        <v>-0.997556</v>
      </c>
      <c r="S1517">
        <v>4.7149660000000001E-3</v>
      </c>
      <c r="T1517">
        <v>-0.254575</v>
      </c>
      <c r="U1517">
        <v>-3.006348</v>
      </c>
      <c r="V1517">
        <v>-6.3645189999999999E-3</v>
      </c>
      <c r="W1517">
        <v>5.1725319999999997E-3</v>
      </c>
      <c r="X1517">
        <v>0.99996640000000003</v>
      </c>
      <c r="Y1517">
        <v>6.1852989999999997E-2</v>
      </c>
      <c r="Z1517">
        <v>8.4041950000000004E-2</v>
      </c>
      <c r="AA1517">
        <v>0.99454070000000006</v>
      </c>
      <c r="AB1517">
        <v>24</v>
      </c>
      <c r="AC1517">
        <v>-1.41000000000133E-2</v>
      </c>
      <c r="AD1517">
        <v>-7.4640999999999902E-2</v>
      </c>
      <c r="AE1517">
        <v>-0.62329999999997199</v>
      </c>
      <c r="AF1517">
        <v>5.2839532389055401E-2</v>
      </c>
      <c r="AG1517">
        <v>-7.4640999999999902E-2</v>
      </c>
      <c r="AH1517">
        <v>0.61237422275251596</v>
      </c>
      <c r="AI1517">
        <v>96.923905454657103</v>
      </c>
      <c r="AJ1517">
        <v>85.068371700838895</v>
      </c>
      <c r="AK1517">
        <v>0.61916515063094602</v>
      </c>
      <c r="AL1517">
        <v>89.703634434828501</v>
      </c>
      <c r="AM1517">
        <v>90.364667406170099</v>
      </c>
      <c r="AN1517">
        <v>1.00000003165917</v>
      </c>
    </row>
    <row r="1518" spans="1:40" x14ac:dyDescent="0.25">
      <c r="A1518" t="str">
        <f>"20190312151014248"</f>
        <v>20190312151014248</v>
      </c>
      <c r="B1518" t="str">
        <f>"1552374614241943"</f>
        <v>1552374614241943</v>
      </c>
      <c r="C1518" t="s">
        <v>40</v>
      </c>
      <c r="D1518">
        <v>5.2707560000000004</v>
      </c>
      <c r="E1518">
        <v>0.5257484</v>
      </c>
      <c r="F1518" t="s">
        <v>41</v>
      </c>
      <c r="G1518">
        <v>-191.23230000000001</v>
      </c>
      <c r="H1518">
        <v>1.0377019999999999</v>
      </c>
      <c r="I1518">
        <v>319.8073</v>
      </c>
      <c r="J1518">
        <v>-191.21899999999999</v>
      </c>
      <c r="K1518">
        <v>1.1089530000000001</v>
      </c>
      <c r="L1518">
        <v>320.41719999999998</v>
      </c>
      <c r="M1518">
        <v>6.2482870000000003E-2</v>
      </c>
      <c r="N1518">
        <v>0</v>
      </c>
      <c r="O1518">
        <v>-0.99800549999999999</v>
      </c>
      <c r="P1518">
        <v>6.870453E-2</v>
      </c>
      <c r="Q1518">
        <v>-3.9925680000000002E-3</v>
      </c>
      <c r="R1518">
        <v>-0.9976294</v>
      </c>
      <c r="S1518">
        <v>2.0141600000000001E-3</v>
      </c>
      <c r="T1518">
        <v>-0.254658</v>
      </c>
      <c r="U1518">
        <v>-3.006256</v>
      </c>
      <c r="V1518">
        <v>-6.2248159999999898E-3</v>
      </c>
      <c r="W1518">
        <v>5.0380650000000004E-3</v>
      </c>
      <c r="X1518">
        <v>0.99996790000000002</v>
      </c>
      <c r="Y1518">
        <v>6.181888E-2</v>
      </c>
      <c r="Z1518">
        <v>8.4079210000000001E-2</v>
      </c>
      <c r="AA1518">
        <v>0.99453970000000003</v>
      </c>
      <c r="AB1518">
        <v>24</v>
      </c>
      <c r="AC1518">
        <v>-1.3299999999986699E-2</v>
      </c>
      <c r="AD1518">
        <v>-7.1250999999999898E-2</v>
      </c>
      <c r="AE1518">
        <v>-0.60989999999998101</v>
      </c>
      <c r="AF1518">
        <v>5.0692341117666899E-2</v>
      </c>
      <c r="AG1518">
        <v>-7.1250999999999898E-2</v>
      </c>
      <c r="AH1518">
        <v>0.59969644057456795</v>
      </c>
      <c r="AI1518">
        <v>96.751794844093197</v>
      </c>
      <c r="AJ1518">
        <v>85.168273894884095</v>
      </c>
      <c r="AK1518">
        <v>0.60603815002588401</v>
      </c>
      <c r="AL1518">
        <v>89.711338907549305</v>
      </c>
      <c r="AM1518">
        <v>90.356662527119397</v>
      </c>
      <c r="AN1518">
        <v>0.99999996573179295</v>
      </c>
    </row>
    <row r="1519" spans="1:40" x14ac:dyDescent="0.25">
      <c r="A1519" t="str">
        <f>"20190312151014271"</f>
        <v>20190312151014271</v>
      </c>
      <c r="B1519" t="str">
        <f>"1552374614262440"</f>
        <v>1552374614262440</v>
      </c>
      <c r="C1519" t="s">
        <v>40</v>
      </c>
      <c r="D1519">
        <v>5.2620430000000002</v>
      </c>
      <c r="E1519">
        <v>0.52555589999999996</v>
      </c>
      <c r="F1519" t="s">
        <v>41</v>
      </c>
      <c r="G1519">
        <v>-191.2192</v>
      </c>
      <c r="H1519">
        <v>1.03881</v>
      </c>
      <c r="I1519">
        <v>319.58960000000002</v>
      </c>
      <c r="J1519">
        <v>-191.20490000000001</v>
      </c>
      <c r="K1519">
        <v>1.1089469999999999</v>
      </c>
      <c r="L1519">
        <v>320.17430000000002</v>
      </c>
      <c r="M1519">
        <v>6.1517219999999997E-2</v>
      </c>
      <c r="N1519">
        <v>0</v>
      </c>
      <c r="O1519">
        <v>-0.99806550000000005</v>
      </c>
      <c r="P1519">
        <v>6.7272390000000001E-2</v>
      </c>
      <c r="Q1519">
        <v>-4.0048590000000004E-3</v>
      </c>
      <c r="R1519">
        <v>-0.99772680000000002</v>
      </c>
      <c r="S1519">
        <v>-3.2043460000000002E-4</v>
      </c>
      <c r="T1519">
        <v>-0.25493680000000002</v>
      </c>
      <c r="U1519">
        <v>-3.0061339999999999</v>
      </c>
      <c r="V1519">
        <v>-5.7570529999999998E-3</v>
      </c>
      <c r="W1519">
        <v>5.0204230000000004E-3</v>
      </c>
      <c r="X1519">
        <v>0.9999709</v>
      </c>
      <c r="Y1519">
        <v>6.1625510000000001E-2</v>
      </c>
      <c r="Z1519">
        <v>8.4182119999999999E-2</v>
      </c>
      <c r="AA1519">
        <v>0.99454299999999995</v>
      </c>
      <c r="AB1519">
        <v>24</v>
      </c>
      <c r="AC1519">
        <v>-1.42999999999915E-2</v>
      </c>
      <c r="AD1519">
        <v>-7.0136999999999894E-2</v>
      </c>
      <c r="AE1519">
        <v>-0.584699999999997</v>
      </c>
      <c r="AF1519">
        <v>4.9531212715801402E-2</v>
      </c>
      <c r="AG1519">
        <v>-7.0136999999999894E-2</v>
      </c>
      <c r="AH1519">
        <v>0.57445196772573404</v>
      </c>
      <c r="AI1519">
        <v>96.935523310442306</v>
      </c>
      <c r="AJ1519">
        <v>85.071950369788993</v>
      </c>
      <c r="AK1519">
        <v>0.58083354158146305</v>
      </c>
      <c r="AL1519">
        <v>89.712349763819205</v>
      </c>
      <c r="AM1519">
        <v>90.329860793943794</v>
      </c>
      <c r="AN1519">
        <v>1.00000007457657</v>
      </c>
    </row>
    <row r="1520" spans="1:40" x14ac:dyDescent="0.25">
      <c r="A1520" t="str">
        <f>"20190312151014292"</f>
        <v>20190312151014292</v>
      </c>
      <c r="B1520" t="str">
        <f>"1552374614281960"</f>
        <v>1552374614281960</v>
      </c>
      <c r="C1520" t="s">
        <v>40</v>
      </c>
      <c r="D1520">
        <v>5.2400869999999999</v>
      </c>
      <c r="E1520">
        <v>0.52542840000000002</v>
      </c>
      <c r="F1520" t="s">
        <v>41</v>
      </c>
      <c r="G1520">
        <v>-191.20580000000001</v>
      </c>
      <c r="H1520">
        <v>1.041099</v>
      </c>
      <c r="I1520">
        <v>319.37090000000001</v>
      </c>
      <c r="J1520">
        <v>-191.19110000000001</v>
      </c>
      <c r="K1520">
        <v>1.108946</v>
      </c>
      <c r="L1520">
        <v>319.93380000000002</v>
      </c>
      <c r="M1520">
        <v>6.0566719999999998E-2</v>
      </c>
      <c r="N1520">
        <v>0</v>
      </c>
      <c r="O1520">
        <v>-0.99812350000000005</v>
      </c>
      <c r="P1520">
        <v>6.6092390000000001E-2</v>
      </c>
      <c r="Q1520">
        <v>-3.9429010000000004E-3</v>
      </c>
      <c r="R1520">
        <v>-0.99780570000000002</v>
      </c>
      <c r="S1520">
        <v>-3.0822750000000002E-3</v>
      </c>
      <c r="T1520">
        <v>-0.25400299999999998</v>
      </c>
      <c r="U1520">
        <v>-3.0060120000000001</v>
      </c>
      <c r="V1520">
        <v>-5.5267459999999999E-3</v>
      </c>
      <c r="W1520">
        <v>5.0785960000000003E-3</v>
      </c>
      <c r="X1520">
        <v>0.99997179999999997</v>
      </c>
      <c r="Y1520">
        <v>6.1588820000000002E-2</v>
      </c>
      <c r="Z1520">
        <v>8.3886760000000005E-2</v>
      </c>
      <c r="AA1520">
        <v>0.99457019999999996</v>
      </c>
      <c r="AB1520">
        <v>24</v>
      </c>
      <c r="AC1520">
        <v>-1.47000000000048E-2</v>
      </c>
      <c r="AD1520">
        <v>-6.7846999999999894E-2</v>
      </c>
      <c r="AE1520">
        <v>-0.56290000000001295</v>
      </c>
      <c r="AF1520">
        <v>4.8069533990763698E-2</v>
      </c>
      <c r="AG1520">
        <v>-6.7846999999999894E-2</v>
      </c>
      <c r="AH1520">
        <v>0.55294851841771397</v>
      </c>
      <c r="AI1520">
        <v>96.969224080781302</v>
      </c>
      <c r="AJ1520">
        <v>85.031590641289597</v>
      </c>
      <c r="AK1520">
        <v>0.55916541338626602</v>
      </c>
      <c r="AL1520">
        <v>89.709016623449799</v>
      </c>
      <c r="AM1520">
        <v>90.316664925958605</v>
      </c>
      <c r="AN1520">
        <v>0.99999996892695897</v>
      </c>
    </row>
    <row r="1521" spans="1:40" x14ac:dyDescent="0.25">
      <c r="A1521" t="str">
        <f>"20190312151014317"</f>
        <v>20190312151014317</v>
      </c>
      <c r="B1521" t="str">
        <f>"1552374614312216"</f>
        <v>1552374614312216</v>
      </c>
      <c r="C1521" t="s">
        <v>40</v>
      </c>
      <c r="D1521">
        <v>5.2123939999999997</v>
      </c>
      <c r="E1521">
        <v>0.5252753</v>
      </c>
      <c r="F1521" t="s">
        <v>41</v>
      </c>
      <c r="G1521">
        <v>-191.1927</v>
      </c>
      <c r="H1521">
        <v>1.043023</v>
      </c>
      <c r="I1521">
        <v>319.15199999999999</v>
      </c>
      <c r="J1521">
        <v>-191.1765</v>
      </c>
      <c r="K1521">
        <v>1.1089439999999999</v>
      </c>
      <c r="L1521">
        <v>319.67430000000002</v>
      </c>
      <c r="M1521">
        <v>5.9545130000000002E-2</v>
      </c>
      <c r="N1521">
        <v>0</v>
      </c>
      <c r="O1521">
        <v>-0.99818510000000005</v>
      </c>
      <c r="P1521">
        <v>6.4804990000000007E-2</v>
      </c>
      <c r="Q1521">
        <v>-3.8338159999999999E-3</v>
      </c>
      <c r="R1521">
        <v>-0.99789090000000003</v>
      </c>
      <c r="S1521">
        <v>-5.8288569999999998E-3</v>
      </c>
      <c r="T1521">
        <v>-0.25357570000000001</v>
      </c>
      <c r="U1521">
        <v>-3.0059809999999998</v>
      </c>
      <c r="V1521">
        <v>-5.2597219999999997E-3</v>
      </c>
      <c r="W1521">
        <v>5.1844530000000003E-3</v>
      </c>
      <c r="X1521">
        <v>0.99997270000000005</v>
      </c>
      <c r="Y1521">
        <v>6.1476049999999997E-2</v>
      </c>
      <c r="Z1521">
        <v>8.3755419999999997E-2</v>
      </c>
      <c r="AA1521">
        <v>0.99458820000000003</v>
      </c>
      <c r="AB1521">
        <v>24</v>
      </c>
      <c r="AC1521">
        <v>-1.6199999999997699E-2</v>
      </c>
      <c r="AD1521">
        <v>-6.5921000000000105E-2</v>
      </c>
      <c r="AE1521">
        <v>-0.52230000000002896</v>
      </c>
      <c r="AF1521">
        <v>4.6532397278494099E-2</v>
      </c>
      <c r="AG1521">
        <v>-6.5921000000000105E-2</v>
      </c>
      <c r="AH1521">
        <v>0.51225624907856504</v>
      </c>
      <c r="AI1521">
        <v>97.303208532122795</v>
      </c>
      <c r="AJ1521">
        <v>84.809603826608097</v>
      </c>
      <c r="AK1521">
        <v>0.51857237388577204</v>
      </c>
      <c r="AL1521">
        <v>89.702951384978405</v>
      </c>
      <c r="AM1521">
        <v>90.301365320171996</v>
      </c>
      <c r="AN1521">
        <v>0.99999997198685797</v>
      </c>
    </row>
    <row r="1522" spans="1:40" x14ac:dyDescent="0.25">
      <c r="A1522" t="str">
        <f>"20190312151014339"</f>
        <v>20190312151014339</v>
      </c>
      <c r="B1522" t="str">
        <f>"1552374614331736"</f>
        <v>1552374614331736</v>
      </c>
      <c r="C1522" t="s">
        <v>40</v>
      </c>
      <c r="D1522">
        <v>5.2198229999999999</v>
      </c>
      <c r="E1522">
        <v>0.52519479999999996</v>
      </c>
      <c r="F1522" t="s">
        <v>41</v>
      </c>
      <c r="G1522">
        <v>-191.1788</v>
      </c>
      <c r="H1522">
        <v>1.046448</v>
      </c>
      <c r="I1522">
        <v>318.9316</v>
      </c>
      <c r="J1522">
        <v>-191.16329999999999</v>
      </c>
      <c r="K1522">
        <v>1.1089359999999999</v>
      </c>
      <c r="L1522">
        <v>319.4341</v>
      </c>
      <c r="M1522">
        <v>5.8600430000000002E-2</v>
      </c>
      <c r="N1522">
        <v>0</v>
      </c>
      <c r="O1522">
        <v>-0.99824109999999999</v>
      </c>
      <c r="P1522">
        <v>6.3245049999999997E-2</v>
      </c>
      <c r="Q1522">
        <v>-3.850039E-3</v>
      </c>
      <c r="R1522">
        <v>-0.99799090000000001</v>
      </c>
      <c r="S1522">
        <v>-8.178711E-3</v>
      </c>
      <c r="T1522">
        <v>-0.25321830000000001</v>
      </c>
      <c r="U1522">
        <v>-3.00589</v>
      </c>
      <c r="V1522">
        <v>-4.6427109999999999E-3</v>
      </c>
      <c r="W1522">
        <v>5.1658559999999999E-3</v>
      </c>
      <c r="X1522">
        <v>0.99997590000000003</v>
      </c>
      <c r="Y1522">
        <v>6.1309040000000002E-2</v>
      </c>
      <c r="Z1522">
        <v>8.3648120000000006E-2</v>
      </c>
      <c r="AA1522">
        <v>0.99460760000000004</v>
      </c>
      <c r="AB1522">
        <v>24</v>
      </c>
      <c r="AC1522">
        <v>-1.55000000000029E-2</v>
      </c>
      <c r="AD1522">
        <v>-6.2488000000000099E-2</v>
      </c>
      <c r="AE1522">
        <v>-0.50249999999999695</v>
      </c>
      <c r="AF1522">
        <v>4.4237823350597998E-2</v>
      </c>
      <c r="AG1522">
        <v>-6.2488000000000099E-2</v>
      </c>
      <c r="AH1522">
        <v>0.49310986008058499</v>
      </c>
      <c r="AI1522">
        <v>97.193570950954495</v>
      </c>
      <c r="AJ1522">
        <v>84.873610042177503</v>
      </c>
      <c r="AK1522">
        <v>0.49901810514999601</v>
      </c>
      <c r="AL1522">
        <v>89.704016943309298</v>
      </c>
      <c r="AM1522">
        <v>90.266012245381802</v>
      </c>
      <c r="AN1522">
        <v>1.0000000207072199</v>
      </c>
    </row>
    <row r="1523" spans="1:40" x14ac:dyDescent="0.25">
      <c r="A1523" t="str">
        <f>"20190312151014361"</f>
        <v>20190312151014361</v>
      </c>
      <c r="B1523" t="str">
        <f>"1552374614352232"</f>
        <v>1552374614352232</v>
      </c>
      <c r="C1523" t="s">
        <v>40</v>
      </c>
      <c r="D1523">
        <v>5.2070420000000004</v>
      </c>
      <c r="E1523">
        <v>0.52507040000000005</v>
      </c>
      <c r="F1523" t="s">
        <v>41</v>
      </c>
      <c r="G1523">
        <v>-191.16720000000001</v>
      </c>
      <c r="H1523">
        <v>1.030232</v>
      </c>
      <c r="I1523">
        <v>318.50080000000003</v>
      </c>
      <c r="J1523">
        <v>-191.15020000000001</v>
      </c>
      <c r="K1523">
        <v>1.10893</v>
      </c>
      <c r="L1523">
        <v>319.1936</v>
      </c>
      <c r="M1523">
        <v>5.76553E-2</v>
      </c>
      <c r="N1523">
        <v>0</v>
      </c>
      <c r="O1523">
        <v>-0.99829619999999997</v>
      </c>
      <c r="P1523">
        <v>6.183752E-2</v>
      </c>
      <c r="Q1523">
        <v>-4.0191669999999997E-3</v>
      </c>
      <c r="R1523">
        <v>-0.99807840000000003</v>
      </c>
      <c r="S1523">
        <v>-1.223755E-2</v>
      </c>
      <c r="T1523">
        <v>-0.2536583</v>
      </c>
      <c r="U1523">
        <v>-3.0058289999999999</v>
      </c>
      <c r="V1523">
        <v>-4.1801920000000001E-3</v>
      </c>
      <c r="W1523">
        <v>4.9956269999999999E-3</v>
      </c>
      <c r="X1523">
        <v>0.99997879999999995</v>
      </c>
      <c r="Y1523">
        <v>6.1707079999999997E-2</v>
      </c>
      <c r="Z1523">
        <v>8.3799830000000006E-2</v>
      </c>
      <c r="AA1523">
        <v>0.99457019999999996</v>
      </c>
      <c r="AB1523">
        <v>24</v>
      </c>
      <c r="AC1523">
        <v>-1.69999999999959E-2</v>
      </c>
      <c r="AD1523">
        <v>-7.8697999999999907E-2</v>
      </c>
      <c r="AE1523">
        <v>-0.69279999999997699</v>
      </c>
      <c r="AF1523">
        <v>5.6192272477077802E-2</v>
      </c>
      <c r="AG1523">
        <v>-7.8697999999999907E-2</v>
      </c>
      <c r="AH1523">
        <v>0.681873940139332</v>
      </c>
      <c r="AI1523">
        <v>96.561575054224093</v>
      </c>
      <c r="AJ1523">
        <v>85.288980596008301</v>
      </c>
      <c r="AK1523">
        <v>0.688696607317965</v>
      </c>
      <c r="AL1523">
        <v>89.713770470732001</v>
      </c>
      <c r="AM1523">
        <v>90.239511041692893</v>
      </c>
      <c r="AN1523">
        <v>1.00000001537185</v>
      </c>
    </row>
    <row r="1524" spans="1:40" x14ac:dyDescent="0.25">
      <c r="A1524" t="str">
        <f>"20190312151014382"</f>
        <v>20190312151014382</v>
      </c>
      <c r="B1524" t="str">
        <f>"1552374614371756"</f>
        <v>1552374614371756</v>
      </c>
      <c r="C1524" t="s">
        <v>40</v>
      </c>
      <c r="D1524">
        <v>5.1977840000000004</v>
      </c>
      <c r="E1524">
        <v>0.52492209999999995</v>
      </c>
      <c r="F1524" t="s">
        <v>41</v>
      </c>
      <c r="G1524">
        <v>-191.155</v>
      </c>
      <c r="H1524">
        <v>1.031798</v>
      </c>
      <c r="I1524">
        <v>318.28019999999998</v>
      </c>
      <c r="J1524">
        <v>-191.13740000000001</v>
      </c>
      <c r="K1524">
        <v>1.1089310000000001</v>
      </c>
      <c r="L1524">
        <v>318.95339999999999</v>
      </c>
      <c r="M1524">
        <v>5.6711350000000001E-2</v>
      </c>
      <c r="N1524">
        <v>0</v>
      </c>
      <c r="O1524">
        <v>-0.99834979999999995</v>
      </c>
      <c r="P1524">
        <v>6.0060580000000002E-2</v>
      </c>
      <c r="Q1524">
        <v>-3.9212830000000002E-3</v>
      </c>
      <c r="R1524">
        <v>-0.99818700000000005</v>
      </c>
      <c r="S1524">
        <v>-1.5472410000000001E-2</v>
      </c>
      <c r="T1524">
        <v>-0.25384859999999998</v>
      </c>
      <c r="U1524">
        <v>-3.0057070000000001</v>
      </c>
      <c r="V1524">
        <v>-3.3447889999999999E-3</v>
      </c>
      <c r="W1524">
        <v>5.0919479999999998E-3</v>
      </c>
      <c r="X1524">
        <v>0.99998149999999997</v>
      </c>
      <c r="Y1524">
        <v>6.1833880000000001E-2</v>
      </c>
      <c r="Z1524">
        <v>8.3871899999999999E-2</v>
      </c>
      <c r="AA1524">
        <v>0.9945562</v>
      </c>
      <c r="AB1524">
        <v>25</v>
      </c>
      <c r="AC1524">
        <v>-1.75999999999874E-2</v>
      </c>
      <c r="AD1524">
        <v>-7.7132999999999896E-2</v>
      </c>
      <c r="AE1524">
        <v>-0.67320000000000801</v>
      </c>
      <c r="AF1524">
        <v>5.5029387376413802E-2</v>
      </c>
      <c r="AG1524">
        <v>-7.7132999999999896E-2</v>
      </c>
      <c r="AH1524">
        <v>0.66242802565529602</v>
      </c>
      <c r="AI1524">
        <v>96.6190056189361</v>
      </c>
      <c r="AJ1524">
        <v>85.251214367080095</v>
      </c>
      <c r="AK1524">
        <v>0.66917009970380303</v>
      </c>
      <c r="AL1524">
        <v>89.708251626257294</v>
      </c>
      <c r="AM1524">
        <v>90.191645123801607</v>
      </c>
      <c r="AN1524">
        <v>1.0000000579450601</v>
      </c>
    </row>
    <row r="1525" spans="1:40" x14ac:dyDescent="0.25">
      <c r="A1525" t="str">
        <f>"20190312151014404"</f>
        <v>20190312151014404</v>
      </c>
      <c r="B1525" t="str">
        <f>"1552374614402007"</f>
        <v>1552374614402007</v>
      </c>
      <c r="C1525" t="s">
        <v>40</v>
      </c>
      <c r="D1525">
        <v>5.1009260000000003</v>
      </c>
      <c r="E1525">
        <v>0.52491069999999995</v>
      </c>
      <c r="F1525" t="s">
        <v>41</v>
      </c>
      <c r="G1525">
        <v>-191.14330000000001</v>
      </c>
      <c r="H1525">
        <v>1.0336639999999999</v>
      </c>
      <c r="I1525">
        <v>318.05900000000003</v>
      </c>
      <c r="J1525">
        <v>-191.12450000000001</v>
      </c>
      <c r="K1525">
        <v>1.1089310000000001</v>
      </c>
      <c r="L1525">
        <v>318.70679999999999</v>
      </c>
      <c r="M1525">
        <v>5.5741350000000002E-2</v>
      </c>
      <c r="N1525">
        <v>0</v>
      </c>
      <c r="O1525">
        <v>-0.99840490000000004</v>
      </c>
      <c r="P1525">
        <v>5.8235700000000001E-2</v>
      </c>
      <c r="Q1525">
        <v>-4.6814889999999996E-3</v>
      </c>
      <c r="R1525">
        <v>-0.99829210000000002</v>
      </c>
      <c r="S1525">
        <v>-1.951599E-2</v>
      </c>
      <c r="T1525">
        <v>-0.25306000000000001</v>
      </c>
      <c r="U1525">
        <v>-3.005646</v>
      </c>
      <c r="V1525">
        <v>-2.4898429999999998E-3</v>
      </c>
      <c r="W1525">
        <v>4.3309230000000004E-3</v>
      </c>
      <c r="X1525">
        <v>0.99998750000000003</v>
      </c>
      <c r="Y1525">
        <v>6.220233E-2</v>
      </c>
      <c r="Z1525">
        <v>8.3620449999999999E-2</v>
      </c>
      <c r="AA1525">
        <v>0.99455439999999995</v>
      </c>
      <c r="AB1525">
        <v>25</v>
      </c>
      <c r="AC1525">
        <v>-1.87999999999988E-2</v>
      </c>
      <c r="AD1525">
        <v>-7.5266999999999903E-2</v>
      </c>
      <c r="AE1525">
        <v>-0.64779999999996096</v>
      </c>
      <c r="AF1525">
        <v>5.4151056023018097E-2</v>
      </c>
      <c r="AG1525">
        <v>-7.5266999999999903E-2</v>
      </c>
      <c r="AH1525">
        <v>0.63715060000644697</v>
      </c>
      <c r="AI1525">
        <v>96.713183815039201</v>
      </c>
      <c r="AJ1525">
        <v>85.142139272900195</v>
      </c>
      <c r="AK1525">
        <v>0.64386205451632506</v>
      </c>
      <c r="AL1525">
        <v>89.751855609549906</v>
      </c>
      <c r="AM1525">
        <v>90.142658983988099</v>
      </c>
      <c r="AN1525">
        <v>0.99999997818422304</v>
      </c>
    </row>
    <row r="1526" spans="1:40" x14ac:dyDescent="0.25">
      <c r="A1526" t="str">
        <f>"20190312151014426"</f>
        <v>20190312151014426</v>
      </c>
      <c r="B1526" t="str">
        <f>"1552374614422503"</f>
        <v>1552374614422503</v>
      </c>
      <c r="C1526" t="s">
        <v>40</v>
      </c>
      <c r="D1526">
        <v>5.0510669999999998</v>
      </c>
      <c r="E1526">
        <v>0.54041149999999905</v>
      </c>
      <c r="F1526" t="s">
        <v>41</v>
      </c>
      <c r="G1526">
        <v>-191.1318</v>
      </c>
      <c r="H1526">
        <v>1.0352239999999999</v>
      </c>
      <c r="I1526">
        <v>317.83749999999998</v>
      </c>
      <c r="J1526">
        <v>-191.1123</v>
      </c>
      <c r="K1526">
        <v>1.1089310000000001</v>
      </c>
      <c r="L1526">
        <v>318.47030000000001</v>
      </c>
      <c r="M1526">
        <v>5.4810930000000001E-2</v>
      </c>
      <c r="N1526">
        <v>0</v>
      </c>
      <c r="O1526">
        <v>-0.99845620000000002</v>
      </c>
      <c r="P1526">
        <v>5.6948489999999997E-2</v>
      </c>
      <c r="Q1526">
        <v>-5.212469E-3</v>
      </c>
      <c r="R1526">
        <v>-0.99836360000000002</v>
      </c>
      <c r="S1526">
        <v>-2.4612430000000001E-2</v>
      </c>
      <c r="T1526">
        <v>-0.25503769999999998</v>
      </c>
      <c r="U1526">
        <v>-3.0054020000000001</v>
      </c>
      <c r="V1526">
        <v>-2.1331779999999999E-3</v>
      </c>
      <c r="W1526">
        <v>3.8002079999999998E-3</v>
      </c>
      <c r="X1526">
        <v>0.9999905</v>
      </c>
      <c r="Y1526">
        <v>6.2958760000000002E-2</v>
      </c>
      <c r="Z1526">
        <v>8.4280099999999997E-2</v>
      </c>
      <c r="AA1526">
        <v>0.99445119999999998</v>
      </c>
      <c r="AB1526">
        <v>25</v>
      </c>
      <c r="AC1526">
        <v>-1.9499999999993599E-2</v>
      </c>
      <c r="AD1526">
        <v>-7.3706999999999898E-2</v>
      </c>
      <c r="AE1526">
        <v>-0.632800000000031</v>
      </c>
      <c r="AF1526">
        <v>5.3432216864633897E-2</v>
      </c>
      <c r="AG1526">
        <v>-7.3706999999999898E-2</v>
      </c>
      <c r="AH1526">
        <v>0.62234445973944097</v>
      </c>
      <c r="AI1526">
        <v>96.729799016715901</v>
      </c>
      <c r="AJ1526">
        <v>85.092827955356597</v>
      </c>
      <c r="AK1526">
        <v>0.62896768614647103</v>
      </c>
      <c r="AL1526">
        <v>89.782263595391697</v>
      </c>
      <c r="AM1526">
        <v>90.122223072077801</v>
      </c>
      <c r="AN1526">
        <v>0.999999996059736</v>
      </c>
    </row>
    <row r="1527" spans="1:40" x14ac:dyDescent="0.25">
      <c r="A1527" t="str">
        <f>"20190312151014449"</f>
        <v>20190312151014449</v>
      </c>
      <c r="B1527" t="str">
        <f>"1552374614442024"</f>
        <v>1552374614442024</v>
      </c>
      <c r="C1527" t="s">
        <v>40</v>
      </c>
      <c r="D1527">
        <v>5.1245329999999996</v>
      </c>
      <c r="E1527">
        <v>0.54132119999999995</v>
      </c>
      <c r="F1527" t="s">
        <v>41</v>
      </c>
      <c r="G1527">
        <v>-191.15620000000001</v>
      </c>
      <c r="H1527">
        <v>1.053107</v>
      </c>
      <c r="I1527">
        <v>317.6026</v>
      </c>
      <c r="J1527">
        <v>-191.09950000000001</v>
      </c>
      <c r="K1527">
        <v>1.1089279999999999</v>
      </c>
      <c r="L1527">
        <v>318.21690000000001</v>
      </c>
      <c r="M1527">
        <v>5.3813840000000002E-2</v>
      </c>
      <c r="N1527">
        <v>0</v>
      </c>
      <c r="O1527">
        <v>-0.99851040000000002</v>
      </c>
      <c r="P1527">
        <v>5.5614299999999998E-2</v>
      </c>
      <c r="Q1527">
        <v>-5.1234560000000002E-3</v>
      </c>
      <c r="R1527">
        <v>-0.99843939999999998</v>
      </c>
      <c r="S1527">
        <v>-0.15174869999999999</v>
      </c>
      <c r="T1527">
        <v>-0.1939458</v>
      </c>
      <c r="U1527">
        <v>-3.0126040000000001</v>
      </c>
      <c r="V1527">
        <v>-1.79558E-3</v>
      </c>
      <c r="W1527">
        <v>3.89033E-3</v>
      </c>
      <c r="X1527">
        <v>0.99999079999999996</v>
      </c>
      <c r="Y1527">
        <v>0.1038792</v>
      </c>
      <c r="Z1527">
        <v>6.3891299999999998E-2</v>
      </c>
      <c r="AA1527">
        <v>0.99253570000000002</v>
      </c>
      <c r="AB1527">
        <v>25</v>
      </c>
      <c r="AC1527">
        <v>-5.6700000000006398E-2</v>
      </c>
      <c r="AD1527">
        <v>-5.58210000000001E-2</v>
      </c>
      <c r="AE1527">
        <v>-0.61430000000001395</v>
      </c>
      <c r="AF1527">
        <v>8.8948750262263399E-2</v>
      </c>
      <c r="AG1527">
        <v>-5.58210000000001E-2</v>
      </c>
      <c r="AH1527">
        <v>0.60540171854497304</v>
      </c>
      <c r="AI1527">
        <v>95.212409065836596</v>
      </c>
      <c r="AJ1527">
        <v>81.641609713692802</v>
      </c>
      <c r="AK1527">
        <v>0.61444210877138405</v>
      </c>
      <c r="AL1527">
        <v>89.777099943246299</v>
      </c>
      <c r="AM1527">
        <v>90.102879991707695</v>
      </c>
      <c r="AN1527">
        <v>0.99999997942984198</v>
      </c>
    </row>
    <row r="1528" spans="1:40" x14ac:dyDescent="0.25">
      <c r="A1528" t="str">
        <f>"20190312151014472"</f>
        <v>20190312151014472</v>
      </c>
      <c r="B1528" t="str">
        <f>"1552374614462520"</f>
        <v>1552374614462520</v>
      </c>
      <c r="C1528" t="s">
        <v>40</v>
      </c>
      <c r="D1528">
        <v>5.0896650000000001</v>
      </c>
      <c r="E1528">
        <v>0.54181610000000002</v>
      </c>
      <c r="F1528" t="s">
        <v>41</v>
      </c>
      <c r="G1528">
        <v>-191.14519999999999</v>
      </c>
      <c r="H1528">
        <v>1.055213</v>
      </c>
      <c r="I1528">
        <v>317.37380000000002</v>
      </c>
      <c r="J1528">
        <v>-191.08680000000001</v>
      </c>
      <c r="K1528">
        <v>1.1089249999999999</v>
      </c>
      <c r="L1528">
        <v>317.96010000000001</v>
      </c>
      <c r="M1528">
        <v>5.2803530000000001E-2</v>
      </c>
      <c r="N1528">
        <v>0</v>
      </c>
      <c r="O1528">
        <v>-0.99856429999999996</v>
      </c>
      <c r="P1528">
        <v>5.4484770000000002E-2</v>
      </c>
      <c r="Q1528">
        <v>-4.8995829999999999E-3</v>
      </c>
      <c r="R1528">
        <v>-0.99850260000000002</v>
      </c>
      <c r="S1528">
        <v>-0.162933299999999</v>
      </c>
      <c r="T1528">
        <v>-0.19199559999999999</v>
      </c>
      <c r="U1528">
        <v>-3.0128170000000001</v>
      </c>
      <c r="V1528">
        <v>-1.6758929999999999E-3</v>
      </c>
      <c r="W1528">
        <v>4.1187330000000003E-3</v>
      </c>
      <c r="X1528">
        <v>0.99999009999999999</v>
      </c>
      <c r="Y1528">
        <v>0.1065459</v>
      </c>
      <c r="Z1528">
        <v>6.3237100000000004E-2</v>
      </c>
      <c r="AA1528">
        <v>0.99229480000000003</v>
      </c>
      <c r="AB1528">
        <v>25</v>
      </c>
      <c r="AC1528">
        <v>-5.8399999999977498E-2</v>
      </c>
      <c r="AD1528">
        <v>-5.3711999999999899E-2</v>
      </c>
      <c r="AE1528">
        <v>-0.58629999999999405</v>
      </c>
      <c r="AF1528">
        <v>8.8542672679291196E-2</v>
      </c>
      <c r="AG1528">
        <v>-5.3711999999999899E-2</v>
      </c>
      <c r="AH1528">
        <v>0.57759815039173201</v>
      </c>
      <c r="AI1528">
        <v>95.251770555223402</v>
      </c>
      <c r="AJ1528">
        <v>81.284711785838596</v>
      </c>
      <c r="AK1528">
        <v>0.58680866316469904</v>
      </c>
      <c r="AL1528">
        <v>89.764013311720007</v>
      </c>
      <c r="AM1528">
        <v>90.096022456540197</v>
      </c>
      <c r="AN1528">
        <v>0.999999986338441</v>
      </c>
    </row>
    <row r="1529" spans="1:40" x14ac:dyDescent="0.25">
      <c r="A1529" t="str">
        <f>"20190312151014493"</f>
        <v>20190312151014493</v>
      </c>
      <c r="B1529" t="str">
        <f>"1552374614482104"</f>
        <v>1552374614482104</v>
      </c>
      <c r="C1529" t="s">
        <v>40</v>
      </c>
      <c r="D1529">
        <v>5.1074409999999997</v>
      </c>
      <c r="E1529">
        <v>0.54188829999999999</v>
      </c>
      <c r="F1529" t="s">
        <v>42</v>
      </c>
      <c r="G1529">
        <v>-192.048</v>
      </c>
      <c r="H1529" s="1">
        <v>-1.1344980000000001E-6</v>
      </c>
      <c r="I1529">
        <v>300.96339999999998</v>
      </c>
      <c r="J1529">
        <v>-191.07509999999999</v>
      </c>
      <c r="K1529">
        <v>1.1089230000000001</v>
      </c>
      <c r="L1529">
        <v>317.71800000000002</v>
      </c>
      <c r="M1529">
        <v>5.1850849999999997E-2</v>
      </c>
      <c r="N1529">
        <v>0</v>
      </c>
      <c r="O1529">
        <v>-0.99861409999999995</v>
      </c>
      <c r="P1529">
        <v>5.3418319999999998E-2</v>
      </c>
      <c r="Q1529">
        <v>-4.5845620000000004E-3</v>
      </c>
      <c r="R1529">
        <v>-0.9985619</v>
      </c>
      <c r="S1529">
        <v>-0.17037959999999999</v>
      </c>
      <c r="T1529">
        <v>-0.19656680000000001</v>
      </c>
      <c r="U1529">
        <v>-3.0128170000000001</v>
      </c>
      <c r="V1529">
        <v>-1.5604970000000001E-3</v>
      </c>
      <c r="W1529">
        <v>4.4444100000000002E-3</v>
      </c>
      <c r="X1529">
        <v>0.99998889999999996</v>
      </c>
      <c r="Y1529">
        <v>0.1080368</v>
      </c>
      <c r="Z1529">
        <v>6.4731629999999998E-2</v>
      </c>
      <c r="AA1529">
        <v>0.99203719999999995</v>
      </c>
      <c r="AB1529">
        <v>25</v>
      </c>
      <c r="AC1529">
        <v>-0.97290000000000998</v>
      </c>
      <c r="AD1529">
        <v>-1.1089241344980001</v>
      </c>
      <c r="AE1529">
        <v>-16.7546</v>
      </c>
      <c r="AF1529">
        <v>1.8323668572569001</v>
      </c>
      <c r="AG1529">
        <v>-1.1089241344980001</v>
      </c>
      <c r="AH1529">
        <v>16.609099161349501</v>
      </c>
      <c r="AI1529">
        <v>93.7967767406506</v>
      </c>
      <c r="AJ1529">
        <v>83.704412742541294</v>
      </c>
      <c r="AK1529">
        <v>16.7466252118803</v>
      </c>
      <c r="AL1529">
        <v>89.745353224718301</v>
      </c>
      <c r="AM1529">
        <v>90.089410811925802</v>
      </c>
      <c r="AN1529">
        <v>0.99999999402717199</v>
      </c>
    </row>
    <row r="1530" spans="1:40" x14ac:dyDescent="0.25">
      <c r="A1530" t="str">
        <f>"20190312151014530"</f>
        <v>20190312151014530</v>
      </c>
      <c r="B1530" t="str">
        <f>"1552374614522120"</f>
        <v>1552374614522120</v>
      </c>
      <c r="C1530" t="s">
        <v>40</v>
      </c>
      <c r="D1530">
        <v>5.0844310000000004</v>
      </c>
      <c r="E1530">
        <v>0.54178530000000003</v>
      </c>
      <c r="F1530" t="s">
        <v>42</v>
      </c>
      <c r="G1530">
        <v>-192.0497</v>
      </c>
      <c r="H1530" s="1">
        <v>-1.090953E-6</v>
      </c>
      <c r="I1530">
        <v>300.86090000000002</v>
      </c>
      <c r="J1530">
        <v>-191.05600000000001</v>
      </c>
      <c r="K1530">
        <v>1.1089180000000001</v>
      </c>
      <c r="L1530">
        <v>317.3143</v>
      </c>
      <c r="M1530">
        <v>5.026299E-2</v>
      </c>
      <c r="N1530">
        <v>0</v>
      </c>
      <c r="O1530">
        <v>-0.998695</v>
      </c>
      <c r="P1530">
        <v>5.1947149999999997E-2</v>
      </c>
      <c r="Q1530">
        <v>-4.9823740000000004E-3</v>
      </c>
      <c r="R1530">
        <v>-0.99863740000000001</v>
      </c>
      <c r="S1530">
        <v>-0.1741791</v>
      </c>
      <c r="T1530">
        <v>-0.1981858</v>
      </c>
      <c r="U1530">
        <v>-3.0126949999999999</v>
      </c>
      <c r="V1530">
        <v>-1.6782769999999999E-3</v>
      </c>
      <c r="W1530">
        <v>4.0767709999999999E-3</v>
      </c>
      <c r="X1530">
        <v>0.9999903</v>
      </c>
      <c r="Y1530">
        <v>0.1077034</v>
      </c>
      <c r="Z1530">
        <v>6.5271940000000001E-2</v>
      </c>
      <c r="AA1530">
        <v>0.99203810000000003</v>
      </c>
      <c r="AB1530">
        <v>25</v>
      </c>
      <c r="AC1530">
        <v>-0.99370000000001801</v>
      </c>
      <c r="AD1530">
        <v>-1.108919090953</v>
      </c>
      <c r="AE1530">
        <v>-16.453399999999899</v>
      </c>
      <c r="AF1530">
        <v>1.81127713506231</v>
      </c>
      <c r="AG1530">
        <v>-1.108919090953</v>
      </c>
      <c r="AH1530">
        <v>16.308840538316399</v>
      </c>
      <c r="AI1530">
        <v>93.866139682011195</v>
      </c>
      <c r="AJ1530">
        <v>83.662640954160196</v>
      </c>
      <c r="AK1530">
        <v>16.4465408555876</v>
      </c>
      <c r="AL1530">
        <v>89.766417584924298</v>
      </c>
      <c r="AM1530">
        <v>90.0961590314147</v>
      </c>
      <c r="AN1530">
        <v>1.0000000183847799</v>
      </c>
    </row>
    <row r="1531" spans="1:40" x14ac:dyDescent="0.25">
      <c r="A1531" t="str">
        <f>"20190312151014550"</f>
        <v>20190312151014550</v>
      </c>
      <c r="B1531" t="str">
        <f>"1552374614541640"</f>
        <v>1552374614541640</v>
      </c>
      <c r="C1531" t="s">
        <v>40</v>
      </c>
      <c r="D1531">
        <v>5.1484889999999996</v>
      </c>
      <c r="E1531">
        <v>0.54112389999999999</v>
      </c>
      <c r="F1531" t="s">
        <v>41</v>
      </c>
      <c r="G1531">
        <v>-191.1046</v>
      </c>
      <c r="H1531">
        <v>1.0524070000000001</v>
      </c>
      <c r="I1531">
        <v>316.49099999999999</v>
      </c>
      <c r="J1531">
        <v>-191.04570000000001</v>
      </c>
      <c r="K1531">
        <v>1.1089150000000001</v>
      </c>
      <c r="L1531">
        <v>317.0899</v>
      </c>
      <c r="M1531">
        <v>4.938265E-2</v>
      </c>
      <c r="N1531">
        <v>0</v>
      </c>
      <c r="O1531">
        <v>-0.99873880000000004</v>
      </c>
      <c r="P1531">
        <v>5.0864640000000003E-2</v>
      </c>
      <c r="Q1531">
        <v>-5.3331300000000002E-3</v>
      </c>
      <c r="R1531">
        <v>-0.99869140000000001</v>
      </c>
      <c r="S1531">
        <v>-0.1776886</v>
      </c>
      <c r="T1531">
        <v>-0.20676</v>
      </c>
      <c r="U1531">
        <v>-3.0123289999999998</v>
      </c>
      <c r="V1531">
        <v>-1.476579E-3</v>
      </c>
      <c r="W1531">
        <v>3.7453719999999999E-3</v>
      </c>
      <c r="X1531">
        <v>0.99999190000000004</v>
      </c>
      <c r="Y1531">
        <v>0.10797470000000001</v>
      </c>
      <c r="Z1531">
        <v>6.8092349999999996E-2</v>
      </c>
      <c r="AA1531">
        <v>0.99181900000000001</v>
      </c>
      <c r="AB1531">
        <v>25</v>
      </c>
      <c r="AC1531">
        <v>-5.8899999999994103E-2</v>
      </c>
      <c r="AD1531">
        <v>-5.6508000000000003E-2</v>
      </c>
      <c r="AE1531">
        <v>-0.59890000000001398</v>
      </c>
      <c r="AF1531">
        <v>8.7631947543056907E-2</v>
      </c>
      <c r="AG1531">
        <v>-5.6508000000000003E-2</v>
      </c>
      <c r="AH1531">
        <v>0.59005782391166395</v>
      </c>
      <c r="AI1531">
        <v>95.411361489434199</v>
      </c>
      <c r="AJ1531">
        <v>81.552510996260494</v>
      </c>
      <c r="AK1531">
        <v>0.59920008999795504</v>
      </c>
      <c r="AL1531">
        <v>89.785405490852099</v>
      </c>
      <c r="AM1531">
        <v>90.084602368610604</v>
      </c>
      <c r="AN1531">
        <v>1.00000000408128</v>
      </c>
    </row>
    <row r="1532" spans="1:40" x14ac:dyDescent="0.25">
      <c r="A1532" t="str">
        <f>"20190312151014572"</f>
        <v>20190312151014572</v>
      </c>
      <c r="B1532" t="str">
        <f>"1552374614562137"</f>
        <v>1552374614562137</v>
      </c>
      <c r="C1532" t="s">
        <v>40</v>
      </c>
      <c r="D1532">
        <v>5.0856139999999996</v>
      </c>
      <c r="E1532">
        <v>0.54084019999999899</v>
      </c>
      <c r="F1532" t="s">
        <v>41</v>
      </c>
      <c r="G1532">
        <v>-191.09379999999999</v>
      </c>
      <c r="H1532">
        <v>1.0532440000000001</v>
      </c>
      <c r="I1532">
        <v>316.26670000000001</v>
      </c>
      <c r="J1532">
        <v>-191.0343</v>
      </c>
      <c r="K1532">
        <v>1.1089230000000001</v>
      </c>
      <c r="L1532">
        <v>316.8372</v>
      </c>
      <c r="M1532">
        <v>4.839334E-2</v>
      </c>
      <c r="N1532">
        <v>0</v>
      </c>
      <c r="O1532">
        <v>-0.99878699999999998</v>
      </c>
      <c r="P1532">
        <v>5.0052140000000002E-2</v>
      </c>
      <c r="Q1532">
        <v>-4.8006389999999998E-3</v>
      </c>
      <c r="R1532">
        <v>-0.99873529999999999</v>
      </c>
      <c r="S1532">
        <v>-0.17565919999999999</v>
      </c>
      <c r="T1532">
        <v>-0.20372560000000001</v>
      </c>
      <c r="U1532">
        <v>-3.011749</v>
      </c>
      <c r="V1532">
        <v>-1.65205E-3</v>
      </c>
      <c r="W1532">
        <v>4.3027909999999898E-3</v>
      </c>
      <c r="X1532">
        <v>0.99998940000000003</v>
      </c>
      <c r="Y1532">
        <v>0.1063389</v>
      </c>
      <c r="Z1532">
        <v>6.7122589999999996E-2</v>
      </c>
      <c r="AA1532">
        <v>0.99206179999999999</v>
      </c>
      <c r="AB1532">
        <v>25</v>
      </c>
      <c r="AC1532">
        <v>-5.9499999999985599E-2</v>
      </c>
      <c r="AD1532">
        <v>-5.5678999999999798E-2</v>
      </c>
      <c r="AE1532">
        <v>-0.57049999999998102</v>
      </c>
      <c r="AF1532">
        <v>8.6227332327311904E-2</v>
      </c>
      <c r="AG1532">
        <v>-5.5678999999999798E-2</v>
      </c>
      <c r="AH1532">
        <v>0.56165967615456902</v>
      </c>
      <c r="AI1532">
        <v>95.596262517479204</v>
      </c>
      <c r="AJ1532">
        <v>81.271960362932703</v>
      </c>
      <c r="AK1532">
        <v>0.57096137846560202</v>
      </c>
      <c r="AL1532">
        <v>89.7534674802003</v>
      </c>
      <c r="AM1532">
        <v>90.094656409787405</v>
      </c>
      <c r="AN1532">
        <v>1.0000000216959699</v>
      </c>
    </row>
    <row r="1533" spans="1:40" x14ac:dyDescent="0.25">
      <c r="A1533" t="str">
        <f>"20190312151014593"</f>
        <v>20190312151014593</v>
      </c>
      <c r="B1533" t="str">
        <f>"1552374614582279"</f>
        <v>1552374614582279</v>
      </c>
      <c r="C1533" t="s">
        <v>40</v>
      </c>
      <c r="D1533">
        <v>7.8003549999999997</v>
      </c>
      <c r="E1533">
        <v>0.54075439999999997</v>
      </c>
      <c r="F1533" t="s">
        <v>41</v>
      </c>
      <c r="G1533">
        <v>-191.08090000000001</v>
      </c>
      <c r="H1533">
        <v>1.055272</v>
      </c>
      <c r="I1533">
        <v>316.0412</v>
      </c>
      <c r="J1533">
        <v>-191.02379999999999</v>
      </c>
      <c r="K1533">
        <v>1.108932</v>
      </c>
      <c r="L1533">
        <v>316.59879999999998</v>
      </c>
      <c r="M1533">
        <v>4.7462249999999997E-2</v>
      </c>
      <c r="N1533">
        <v>0</v>
      </c>
      <c r="O1533">
        <v>-0.99883149999999998</v>
      </c>
      <c r="P1533">
        <v>4.9193140000000003E-2</v>
      </c>
      <c r="Q1533">
        <v>-4.7635669999999998E-3</v>
      </c>
      <c r="R1533">
        <v>-0.99877800000000005</v>
      </c>
      <c r="S1533">
        <v>-0.17576600000000001</v>
      </c>
      <c r="T1533">
        <v>-0.2030661</v>
      </c>
      <c r="U1533">
        <v>-3.0115970000000001</v>
      </c>
      <c r="V1533">
        <v>-1.7240510000000001E-3</v>
      </c>
      <c r="W1533">
        <v>4.3671630000000003E-3</v>
      </c>
      <c r="X1533">
        <v>0.99998900000000002</v>
      </c>
      <c r="Y1533">
        <v>0.1054508</v>
      </c>
      <c r="Z1533">
        <v>6.6917270000000001E-2</v>
      </c>
      <c r="AA1533">
        <v>0.99217049999999996</v>
      </c>
      <c r="AB1533">
        <v>25</v>
      </c>
      <c r="AC1533">
        <v>-5.71000000000196E-2</v>
      </c>
      <c r="AD1533">
        <v>-5.3659999999999999E-2</v>
      </c>
      <c r="AE1533">
        <v>-0.557599999999979</v>
      </c>
      <c r="AF1533">
        <v>8.2743362909399099E-2</v>
      </c>
      <c r="AG1533">
        <v>-5.3659999999999999E-2</v>
      </c>
      <c r="AH1533">
        <v>0.54922775414592095</v>
      </c>
      <c r="AI1533">
        <v>95.518253769208599</v>
      </c>
      <c r="AJ1533">
        <v>81.432590532440699</v>
      </c>
      <c r="AK1533">
        <v>0.55801163574761403</v>
      </c>
      <c r="AL1533">
        <v>89.749779201854906</v>
      </c>
      <c r="AM1533">
        <v>90.098781834693</v>
      </c>
      <c r="AN1533">
        <v>1.0000000222927501</v>
      </c>
    </row>
    <row r="1534" spans="1:40" x14ac:dyDescent="0.25">
      <c r="A1534" t="str">
        <f>"20190312151014618"</f>
        <v>20190312151014618</v>
      </c>
      <c r="B1534" t="str">
        <f>"1552374614612532"</f>
        <v>1552374614612532</v>
      </c>
      <c r="C1534" t="s">
        <v>40</v>
      </c>
      <c r="D1534">
        <v>5.1307119999999999</v>
      </c>
      <c r="E1534">
        <v>0.54054829999999998</v>
      </c>
      <c r="F1534" t="s">
        <v>41</v>
      </c>
      <c r="G1534">
        <v>-191.0703</v>
      </c>
      <c r="H1534">
        <v>1.056074</v>
      </c>
      <c r="I1534">
        <v>315.81209999999999</v>
      </c>
      <c r="J1534">
        <v>-191.01249999999999</v>
      </c>
      <c r="K1534">
        <v>1.1089370000000001</v>
      </c>
      <c r="L1534">
        <v>316.33679999999998</v>
      </c>
      <c r="M1534">
        <v>4.6443499999999999E-2</v>
      </c>
      <c r="N1534">
        <v>0</v>
      </c>
      <c r="O1534">
        <v>-0.99887910000000002</v>
      </c>
      <c r="P1534">
        <v>4.8310289999999999E-2</v>
      </c>
      <c r="Q1534">
        <v>-4.687442E-3</v>
      </c>
      <c r="R1534">
        <v>-0.99882159999999998</v>
      </c>
      <c r="S1534">
        <v>-0.17774960000000001</v>
      </c>
      <c r="T1534">
        <v>-0.202487</v>
      </c>
      <c r="U1534">
        <v>-3.011444</v>
      </c>
      <c r="V1534">
        <v>-1.859947E-3</v>
      </c>
      <c r="W1534">
        <v>4.4734969999999999E-3</v>
      </c>
      <c r="X1534">
        <v>0.99998830000000005</v>
      </c>
      <c r="Y1534">
        <v>0.10509159999999999</v>
      </c>
      <c r="Z1534">
        <v>6.6735459999999996E-2</v>
      </c>
      <c r="AA1534">
        <v>0.99222080000000001</v>
      </c>
      <c r="AB1534">
        <v>25</v>
      </c>
      <c r="AC1534">
        <v>-5.78000000000145E-2</v>
      </c>
      <c r="AD1534">
        <v>-5.2863E-2</v>
      </c>
      <c r="AE1534">
        <v>-0.52469999999999495</v>
      </c>
      <c r="AF1534">
        <v>8.1292293176781105E-2</v>
      </c>
      <c r="AG1534">
        <v>-5.2863E-2</v>
      </c>
      <c r="AH1534">
        <v>0.51627169635303005</v>
      </c>
      <c r="AI1534">
        <v>95.775683032345896</v>
      </c>
      <c r="AJ1534">
        <v>81.051661266463398</v>
      </c>
      <c r="AK1534">
        <v>0.52529934147510104</v>
      </c>
      <c r="AL1534">
        <v>89.743686656523593</v>
      </c>
      <c r="AM1534">
        <v>90.106568237177498</v>
      </c>
      <c r="AN1534">
        <v>1.00000003585757</v>
      </c>
    </row>
    <row r="1535" spans="1:40" x14ac:dyDescent="0.25">
      <c r="A1535" t="str">
        <f>"20190312151014640"</f>
        <v>20190312151014640</v>
      </c>
      <c r="B1535" t="str">
        <f>"1552374614632052"</f>
        <v>1552374614632052</v>
      </c>
      <c r="C1535" t="s">
        <v>40</v>
      </c>
      <c r="D1535">
        <v>5.1802060000000001</v>
      </c>
      <c r="E1535">
        <v>0.54066059999999905</v>
      </c>
      <c r="F1535" t="s">
        <v>42</v>
      </c>
      <c r="G1535">
        <v>-191.99340000000001</v>
      </c>
      <c r="H1535" s="1">
        <v>-6.280529E-7</v>
      </c>
      <c r="I1535">
        <v>299.8168</v>
      </c>
      <c r="J1535">
        <v>-191.00190000000001</v>
      </c>
      <c r="K1535">
        <v>1.1089420000000001</v>
      </c>
      <c r="L1535">
        <v>316.08510000000001</v>
      </c>
      <c r="M1535">
        <v>4.5474840000000002E-2</v>
      </c>
      <c r="N1535">
        <v>0</v>
      </c>
      <c r="O1535">
        <v>-0.99892320000000001</v>
      </c>
      <c r="P1535">
        <v>4.7368840000000002E-2</v>
      </c>
      <c r="Q1535">
        <v>-4.0817839999999998E-3</v>
      </c>
      <c r="R1535">
        <v>-0.99886909999999896</v>
      </c>
      <c r="S1535">
        <v>-0.1788025</v>
      </c>
      <c r="T1535">
        <v>-0.20213619999999999</v>
      </c>
      <c r="U1535">
        <v>-3.0112610000000002</v>
      </c>
      <c r="V1535">
        <v>-1.886167E-3</v>
      </c>
      <c r="W1535">
        <v>5.1067300000000003E-3</v>
      </c>
      <c r="X1535">
        <v>0.99998520000000002</v>
      </c>
      <c r="Y1535">
        <v>0.1044769</v>
      </c>
      <c r="Z1535">
        <v>6.6630330000000002E-2</v>
      </c>
      <c r="AA1535">
        <v>0.99229279999999997</v>
      </c>
      <c r="AB1535">
        <v>25</v>
      </c>
      <c r="AC1535">
        <v>-0.99150000000000205</v>
      </c>
      <c r="AD1535">
        <v>-1.10894262805289</v>
      </c>
      <c r="AE1535">
        <v>-16.2683</v>
      </c>
      <c r="AF1535">
        <v>1.7223304450283099</v>
      </c>
      <c r="AG1535">
        <v>-1.10894262805289</v>
      </c>
      <c r="AH1535">
        <v>16.131698660789802</v>
      </c>
      <c r="AI1535">
        <v>93.910346925399196</v>
      </c>
      <c r="AJ1535">
        <v>83.905797122158901</v>
      </c>
      <c r="AK1535">
        <v>16.2612385013169</v>
      </c>
      <c r="AL1535">
        <v>89.707404657472296</v>
      </c>
      <c r="AM1535">
        <v>90.108070879845499</v>
      </c>
      <c r="AN1535">
        <v>1.0000000182681399</v>
      </c>
    </row>
    <row r="1536" spans="1:40" x14ac:dyDescent="0.25">
      <c r="A1536" t="str">
        <f>"20190312151014663"</f>
        <v>20190312151014663</v>
      </c>
      <c r="B1536" t="str">
        <f>"1552374614652548"</f>
        <v>1552374614652548</v>
      </c>
      <c r="C1536" t="s">
        <v>40</v>
      </c>
      <c r="D1536">
        <v>5.1718380000000002</v>
      </c>
      <c r="E1536">
        <v>0.54074669999999903</v>
      </c>
      <c r="F1536" t="s">
        <v>41</v>
      </c>
      <c r="G1536">
        <v>-191.05889999999999</v>
      </c>
      <c r="H1536">
        <v>1.0458750000000001</v>
      </c>
      <c r="I1536">
        <v>315.14760000000001</v>
      </c>
      <c r="J1536">
        <v>-190.99109999999999</v>
      </c>
      <c r="K1536">
        <v>1.108949</v>
      </c>
      <c r="L1536">
        <v>315.82429999999999</v>
      </c>
      <c r="M1536">
        <v>4.4488689999999997E-2</v>
      </c>
      <c r="N1536">
        <v>0</v>
      </c>
      <c r="O1536">
        <v>-0.99896750000000001</v>
      </c>
      <c r="P1536">
        <v>4.6520110000000003E-2</v>
      </c>
      <c r="Q1536">
        <v>-3.414533E-3</v>
      </c>
      <c r="R1536">
        <v>-0.99891200000000002</v>
      </c>
      <c r="S1536">
        <v>-0.182724</v>
      </c>
      <c r="T1536">
        <v>-0.2027352</v>
      </c>
      <c r="U1536">
        <v>-3.0112299999999999</v>
      </c>
      <c r="V1536">
        <v>-2.022533E-3</v>
      </c>
      <c r="W1536">
        <v>5.8062390000000004E-3</v>
      </c>
      <c r="X1536">
        <v>0.99998109999999996</v>
      </c>
      <c r="Y1536">
        <v>0.1047825</v>
      </c>
      <c r="Z1536">
        <v>6.6828380000000007E-2</v>
      </c>
      <c r="AA1536">
        <v>0.9922472</v>
      </c>
      <c r="AB1536">
        <v>25</v>
      </c>
      <c r="AC1536">
        <v>-6.7800000000005398E-2</v>
      </c>
      <c r="AD1536">
        <v>-6.3073999999999797E-2</v>
      </c>
      <c r="AE1536">
        <v>-0.67669999999998198</v>
      </c>
      <c r="AF1536">
        <v>9.70052525967946E-2</v>
      </c>
      <c r="AG1536">
        <v>-6.3073999999999797E-2</v>
      </c>
      <c r="AH1536">
        <v>0.66727396557363305</v>
      </c>
      <c r="AI1536">
        <v>95.343988722480006</v>
      </c>
      <c r="AJ1536">
        <v>81.728545200454704</v>
      </c>
      <c r="AK1536">
        <v>0.67723178723368405</v>
      </c>
      <c r="AL1536">
        <v>89.667325141792801</v>
      </c>
      <c r="AM1536">
        <v>90.1158846370286</v>
      </c>
      <c r="AN1536">
        <v>1.0000000017041299</v>
      </c>
    </row>
    <row r="1537" spans="1:40" x14ac:dyDescent="0.25">
      <c r="A1537" t="str">
        <f>"20190312151014684"</f>
        <v>20190312151014684</v>
      </c>
      <c r="B1537" t="str">
        <f>"1552374614672067"</f>
        <v>1552374614672067</v>
      </c>
      <c r="C1537" t="s">
        <v>40</v>
      </c>
      <c r="D1537">
        <v>5.17537</v>
      </c>
      <c r="E1537">
        <v>0.54082269999999999</v>
      </c>
      <c r="F1537" t="s">
        <v>41</v>
      </c>
      <c r="G1537">
        <v>-191.0471</v>
      </c>
      <c r="H1537">
        <v>1.0480309999999999</v>
      </c>
      <c r="I1537">
        <v>314.92009999999999</v>
      </c>
      <c r="J1537">
        <v>-190.98140000000001</v>
      </c>
      <c r="K1537">
        <v>1.1089629999999999</v>
      </c>
      <c r="L1537">
        <v>315.58429999999998</v>
      </c>
      <c r="M1537">
        <v>4.3596450000000002E-2</v>
      </c>
      <c r="N1537">
        <v>0</v>
      </c>
      <c r="O1537">
        <v>-0.99900659999999997</v>
      </c>
      <c r="P1537">
        <v>4.4822389999999997E-2</v>
      </c>
      <c r="Q1537">
        <v>-3.5017690000000001E-3</v>
      </c>
      <c r="R1537">
        <v>-0.99898920000000002</v>
      </c>
      <c r="S1537">
        <v>-0.18580630000000001</v>
      </c>
      <c r="T1537">
        <v>-0.20302329999999999</v>
      </c>
      <c r="U1537">
        <v>-3.0112610000000002</v>
      </c>
      <c r="V1537">
        <v>-1.216693E-3</v>
      </c>
      <c r="W1537">
        <v>5.7485430000000001E-3</v>
      </c>
      <c r="X1537">
        <v>0.9999827</v>
      </c>
      <c r="Y1537">
        <v>0.1049052</v>
      </c>
      <c r="Z1537">
        <v>6.6923689999999994E-2</v>
      </c>
      <c r="AA1537">
        <v>0.99222790000000005</v>
      </c>
      <c r="AB1537">
        <v>25</v>
      </c>
      <c r="AC1537">
        <v>-6.5699999999992501E-2</v>
      </c>
      <c r="AD1537">
        <v>-6.0931999999999903E-2</v>
      </c>
      <c r="AE1537">
        <v>-0.66419999999999302</v>
      </c>
      <c r="AF1537">
        <v>9.3813660978365201E-2</v>
      </c>
      <c r="AG1537">
        <v>-6.0931999999999903E-2</v>
      </c>
      <c r="AH1537">
        <v>0.65524309715472395</v>
      </c>
      <c r="AI1537">
        <v>95.259411604623907</v>
      </c>
      <c r="AJ1537">
        <v>81.852116736619706</v>
      </c>
      <c r="AK1537">
        <v>0.66472342216825697</v>
      </c>
      <c r="AL1537">
        <v>89.670630921569497</v>
      </c>
      <c r="AM1537">
        <v>90.069712545490106</v>
      </c>
      <c r="AN1537">
        <v>0.99999996319388396</v>
      </c>
    </row>
    <row r="1538" spans="1:40" x14ac:dyDescent="0.25">
      <c r="A1538" t="str">
        <f>"20190312151014707"</f>
        <v>20190312151014707</v>
      </c>
      <c r="B1538" t="str">
        <f>"1552374614702258"</f>
        <v>1552374614702258</v>
      </c>
      <c r="C1538" t="s">
        <v>40</v>
      </c>
      <c r="D1538">
        <v>5.3504009999999997</v>
      </c>
      <c r="E1538">
        <v>0.51065879999999997</v>
      </c>
      <c r="F1538" t="s">
        <v>41</v>
      </c>
      <c r="G1538">
        <v>-191.03809999999999</v>
      </c>
      <c r="H1538">
        <v>1.048216</v>
      </c>
      <c r="I1538">
        <v>314.69369999999998</v>
      </c>
      <c r="J1538">
        <v>-190.97120000000001</v>
      </c>
      <c r="K1538">
        <v>1.108984</v>
      </c>
      <c r="L1538">
        <v>315.32659999999998</v>
      </c>
      <c r="M1538">
        <v>4.2662319999999997E-2</v>
      </c>
      <c r="N1538">
        <v>0</v>
      </c>
      <c r="O1538">
        <v>-0.99904660000000001</v>
      </c>
      <c r="P1538">
        <v>4.3612409999999997E-2</v>
      </c>
      <c r="Q1538">
        <v>-3.429479E-3</v>
      </c>
      <c r="R1538">
        <v>-0.99904289999999996</v>
      </c>
      <c r="S1538">
        <v>-0.19146730000000001</v>
      </c>
      <c r="T1538">
        <v>-0.20541419999999999</v>
      </c>
      <c r="U1538">
        <v>-3.0108950000000001</v>
      </c>
      <c r="V1538">
        <v>-9.4013189999999996E-4</v>
      </c>
      <c r="W1538">
        <v>5.8524919999999999E-3</v>
      </c>
      <c r="X1538">
        <v>0.99998240000000005</v>
      </c>
      <c r="Y1538">
        <v>0.1058376</v>
      </c>
      <c r="Z1538">
        <v>6.7713159999999994E-2</v>
      </c>
      <c r="AA1538">
        <v>0.99207529999999999</v>
      </c>
      <c r="AB1538">
        <v>25</v>
      </c>
      <c r="AC1538">
        <v>-6.6899999999975507E-2</v>
      </c>
      <c r="AD1538">
        <v>-6.0767999999999898E-2</v>
      </c>
      <c r="AE1538">
        <v>-0.63290000000000601</v>
      </c>
      <c r="AF1538">
        <v>9.2993401543742304E-2</v>
      </c>
      <c r="AG1538">
        <v>-6.0767999999999898E-2</v>
      </c>
      <c r="AH1538">
        <v>0.62378244171111297</v>
      </c>
      <c r="AI1538">
        <v>95.503672653916794</v>
      </c>
      <c r="AJ1538">
        <v>81.520801153241095</v>
      </c>
      <c r="AK1538">
        <v>0.633596920085439</v>
      </c>
      <c r="AL1538">
        <v>89.664674983746806</v>
      </c>
      <c r="AM1538">
        <v>90.053866522236106</v>
      </c>
      <c r="AN1538">
        <v>0.99999996791017898</v>
      </c>
    </row>
    <row r="1539" spans="1:40" x14ac:dyDescent="0.25">
      <c r="A1539" t="str">
        <f>"20190312151014730"</f>
        <v>20190312151014730</v>
      </c>
      <c r="B1539" t="str">
        <f>"1552374614721778"</f>
        <v>1552374614721778</v>
      </c>
      <c r="C1539" t="s">
        <v>40</v>
      </c>
      <c r="D1539">
        <v>5.1286209999999999</v>
      </c>
      <c r="E1539">
        <v>0.5025809</v>
      </c>
      <c r="F1539" t="s">
        <v>50</v>
      </c>
      <c r="G1539">
        <v>-190.5033</v>
      </c>
      <c r="H1539" s="1">
        <v>3.8907709999999999E-6</v>
      </c>
      <c r="I1539">
        <v>284.43959999999998</v>
      </c>
      <c r="J1539">
        <v>-190.96090000000001</v>
      </c>
      <c r="K1539">
        <v>1.1090100000000001</v>
      </c>
      <c r="L1539">
        <v>315.06020000000001</v>
      </c>
      <c r="M1539">
        <v>4.1734800000000002E-2</v>
      </c>
      <c r="N1539">
        <v>0</v>
      </c>
      <c r="O1539">
        <v>-0.99908549999999996</v>
      </c>
      <c r="P1539">
        <v>4.1614760000000001E-2</v>
      </c>
      <c r="Q1539">
        <v>-3.6351510000000001E-3</v>
      </c>
      <c r="R1539">
        <v>-0.9991274</v>
      </c>
      <c r="S1539">
        <v>4.5455929999999999E-2</v>
      </c>
      <c r="T1539">
        <v>-0.1077321</v>
      </c>
      <c r="U1539">
        <v>-3.0005190000000002</v>
      </c>
      <c r="V1539">
        <v>1.3021810000000001E-4</v>
      </c>
      <c r="W1539">
        <v>5.675111E-3</v>
      </c>
      <c r="X1539">
        <v>0.99998390000000004</v>
      </c>
      <c r="Y1539">
        <v>2.6607120000000001E-2</v>
      </c>
      <c r="Z1539">
        <v>3.5826080000000003E-2</v>
      </c>
      <c r="AA1539">
        <v>0.9990038</v>
      </c>
      <c r="AB1539">
        <v>25</v>
      </c>
      <c r="AC1539">
        <v>0.457600000000013</v>
      </c>
      <c r="AD1539">
        <v>-1.109006109229</v>
      </c>
      <c r="AE1539">
        <v>-30.6206</v>
      </c>
      <c r="AF1539">
        <v>0.81972353304608203</v>
      </c>
      <c r="AG1539">
        <v>-1.109006109229</v>
      </c>
      <c r="AH1539">
        <v>30.5729232597348</v>
      </c>
      <c r="AI1539">
        <v>92.076697874070305</v>
      </c>
      <c r="AJ1539">
        <v>88.464149186037304</v>
      </c>
      <c r="AK1539">
        <v>30.604010813397799</v>
      </c>
      <c r="AL1539">
        <v>89.674838349926802</v>
      </c>
      <c r="AM1539">
        <v>89.992538932372696</v>
      </c>
      <c r="AN1539">
        <v>1.00000001205041</v>
      </c>
    </row>
    <row r="1540" spans="1:40" x14ac:dyDescent="0.25">
      <c r="A1540" t="str">
        <f>"20190312151014753"</f>
        <v>20190312151014753</v>
      </c>
      <c r="B1540" t="str">
        <f>"1552374614742273"</f>
        <v>1552374614742273</v>
      </c>
      <c r="C1540" t="s">
        <v>40</v>
      </c>
      <c r="D1540">
        <v>5.3367849999999999</v>
      </c>
      <c r="E1540">
        <v>0.49925720000000001</v>
      </c>
      <c r="F1540" t="s">
        <v>50</v>
      </c>
      <c r="G1540">
        <v>-189.8775</v>
      </c>
      <c r="H1540" s="1">
        <v>4.0253649999999997E-6</v>
      </c>
      <c r="I1540">
        <v>283.84410000000003</v>
      </c>
      <c r="J1540">
        <v>-190.95150000000001</v>
      </c>
      <c r="K1540">
        <v>1.1090359999999999</v>
      </c>
      <c r="L1540">
        <v>314.81139999999999</v>
      </c>
      <c r="M1540">
        <v>4.0913650000000003E-2</v>
      </c>
      <c r="N1540">
        <v>0</v>
      </c>
      <c r="O1540">
        <v>-0.99911930000000004</v>
      </c>
      <c r="P1540">
        <v>3.9504190000000002E-2</v>
      </c>
      <c r="Q1540">
        <v>-3.7824209999999998E-3</v>
      </c>
      <c r="R1540">
        <v>-0.99921260000000001</v>
      </c>
      <c r="S1540">
        <v>0.10404969999999999</v>
      </c>
      <c r="T1540">
        <v>-0.1065055</v>
      </c>
      <c r="U1540">
        <v>-2.9978940000000001</v>
      </c>
      <c r="V1540">
        <v>1.4200759999999999E-3</v>
      </c>
      <c r="W1540">
        <v>5.5511359999999999E-3</v>
      </c>
      <c r="X1540">
        <v>0.99998359999999997</v>
      </c>
      <c r="Y1540">
        <v>6.2549669999999898E-3</v>
      </c>
      <c r="Z1540">
        <v>3.5448809999999997E-2</v>
      </c>
      <c r="AA1540">
        <v>0.99935189999999996</v>
      </c>
      <c r="AB1540">
        <v>25</v>
      </c>
      <c r="AC1540">
        <v>1.0740000000000101</v>
      </c>
      <c r="AD1540">
        <v>-1.1090319746349999</v>
      </c>
      <c r="AE1540">
        <v>-30.967299999999899</v>
      </c>
      <c r="AF1540">
        <v>0.19369142809585399</v>
      </c>
      <c r="AG1540">
        <v>-1.1090319746349999</v>
      </c>
      <c r="AH1540">
        <v>30.945669225843702</v>
      </c>
      <c r="AI1540">
        <v>92.052449564418296</v>
      </c>
      <c r="AJ1540">
        <v>89.641385799134895</v>
      </c>
      <c r="AK1540">
        <v>30.9661413825716</v>
      </c>
      <c r="AL1540">
        <v>89.681941707270596</v>
      </c>
      <c r="AM1540">
        <v>89.918634358910893</v>
      </c>
      <c r="AN1540">
        <v>1.0000000159978399</v>
      </c>
    </row>
    <row r="1541" spans="1:40" x14ac:dyDescent="0.25">
      <c r="A1541" t="str">
        <f>"20190312151014773"</f>
        <v>20190312151014773</v>
      </c>
      <c r="B1541" t="str">
        <f>"1552374614761800"</f>
        <v>1552374614761800</v>
      </c>
      <c r="C1541" t="s">
        <v>40</v>
      </c>
      <c r="D1541">
        <v>5.1203089999999998</v>
      </c>
      <c r="E1541">
        <v>0.49736089999999999</v>
      </c>
      <c r="F1541" t="s">
        <v>50</v>
      </c>
      <c r="G1541">
        <v>-189.69069999999999</v>
      </c>
      <c r="H1541" s="1">
        <v>3.9451569999999998E-6</v>
      </c>
      <c r="I1541">
        <v>284.38260000000002</v>
      </c>
      <c r="J1541">
        <v>-190.94229999999999</v>
      </c>
      <c r="K1541">
        <v>1.1090719999999901</v>
      </c>
      <c r="L1541">
        <v>314.56709999999998</v>
      </c>
      <c r="M1541">
        <v>4.015867E-2</v>
      </c>
      <c r="N1541">
        <v>0</v>
      </c>
      <c r="O1541">
        <v>-0.99914970000000003</v>
      </c>
      <c r="P1541">
        <v>3.8137079999999997E-2</v>
      </c>
      <c r="Q1541">
        <v>-4.0853809999999999E-3</v>
      </c>
      <c r="R1541">
        <v>-0.99926440000000005</v>
      </c>
      <c r="S1541">
        <v>0.12417599999999999</v>
      </c>
      <c r="T1541">
        <v>-0.1092312</v>
      </c>
      <c r="U1541">
        <v>-2.9970089999999998</v>
      </c>
      <c r="V1541">
        <v>2.0317099999999999E-3</v>
      </c>
      <c r="W1541">
        <v>5.2740959999999998E-3</v>
      </c>
      <c r="X1541">
        <v>0.99998399999999998</v>
      </c>
      <c r="Y1541">
        <v>-1.2110020000000001E-3</v>
      </c>
      <c r="Z1541">
        <v>3.6362930000000002E-2</v>
      </c>
      <c r="AA1541">
        <v>0.9993379</v>
      </c>
      <c r="AB1541">
        <v>25</v>
      </c>
      <c r="AC1541">
        <v>1.2515999999999901</v>
      </c>
      <c r="AD1541">
        <v>-1.1090680548430001</v>
      </c>
      <c r="AE1541">
        <v>-30.1844999999999</v>
      </c>
      <c r="AF1541">
        <v>-3.8316421859903603E-2</v>
      </c>
      <c r="AG1541">
        <v>-1.1090680548430001</v>
      </c>
      <c r="AH1541">
        <v>30.169752652056101</v>
      </c>
      <c r="AI1541">
        <v>92.105296232764104</v>
      </c>
      <c r="AJ1541">
        <v>90.072767188501004</v>
      </c>
      <c r="AK1541">
        <v>30.190155269304299</v>
      </c>
      <c r="AL1541">
        <v>89.697815149076206</v>
      </c>
      <c r="AM1541">
        <v>89.883589889420406</v>
      </c>
      <c r="AN1541">
        <v>0.99999997209506997</v>
      </c>
    </row>
    <row r="1542" spans="1:40" x14ac:dyDescent="0.25">
      <c r="A1542" t="str">
        <f>"20190312151014796"</f>
        <v>20190312151014796</v>
      </c>
      <c r="B1542" t="str">
        <f>"1552374614792558"</f>
        <v>1552374614792558</v>
      </c>
      <c r="C1542" t="s">
        <v>40</v>
      </c>
      <c r="D1542">
        <v>5.0906370000000001</v>
      </c>
      <c r="E1542">
        <v>0.49542730000000001</v>
      </c>
      <c r="F1542" t="s">
        <v>50</v>
      </c>
      <c r="G1542">
        <v>-189.66380000000001</v>
      </c>
      <c r="H1542" s="1">
        <v>3.7804709999999999E-6</v>
      </c>
      <c r="I1542">
        <v>286.21179999999998</v>
      </c>
      <c r="J1542">
        <v>-190.93299999999999</v>
      </c>
      <c r="K1542">
        <v>1.1091120000000001</v>
      </c>
      <c r="L1542">
        <v>314.31299999999999</v>
      </c>
      <c r="M1542">
        <v>3.9433790000000003E-2</v>
      </c>
      <c r="N1542">
        <v>0</v>
      </c>
      <c r="O1542">
        <v>-0.99917809999999996</v>
      </c>
      <c r="P1542">
        <v>3.7099790000000001E-2</v>
      </c>
      <c r="Q1542">
        <v>-4.3119259999999998E-3</v>
      </c>
      <c r="R1542">
        <v>-0.99930249999999998</v>
      </c>
      <c r="S1542">
        <v>0.1351166</v>
      </c>
      <c r="T1542">
        <v>-0.117207199999999</v>
      </c>
      <c r="U1542">
        <v>-2.996613</v>
      </c>
      <c r="V1542">
        <v>2.3434520000000002E-3</v>
      </c>
      <c r="W1542">
        <v>5.0781200000000002E-3</v>
      </c>
      <c r="X1542">
        <v>0.9999844</v>
      </c>
      <c r="Y1542">
        <v>-5.5791429999999999E-3</v>
      </c>
      <c r="Z1542">
        <v>3.9017679999999999E-2</v>
      </c>
      <c r="AA1542">
        <v>0.99922290000000002</v>
      </c>
      <c r="AB1542">
        <v>25</v>
      </c>
      <c r="AC1542">
        <v>1.2691999999999799</v>
      </c>
      <c r="AD1542">
        <v>-1.1091082195290001</v>
      </c>
      <c r="AE1542">
        <v>-28.101199999999999</v>
      </c>
      <c r="AF1542">
        <v>-0.15977868561330899</v>
      </c>
      <c r="AG1542">
        <v>-1.1091082195290001</v>
      </c>
      <c r="AH1542">
        <v>28.085730609386001</v>
      </c>
      <c r="AI1542">
        <v>92.261404261661497</v>
      </c>
      <c r="AJ1542">
        <v>90.325950060185505</v>
      </c>
      <c r="AK1542">
        <v>28.108075603534399</v>
      </c>
      <c r="AL1542">
        <v>89.709043917172806</v>
      </c>
      <c r="AM1542">
        <v>89.865728242068897</v>
      </c>
      <c r="AN1542">
        <v>1.0000000396566799</v>
      </c>
    </row>
    <row r="1543" spans="1:40" x14ac:dyDescent="0.25">
      <c r="A1543" t="str">
        <f>"20190312151014817"</f>
        <v>20190312151014817</v>
      </c>
      <c r="B1543" t="str">
        <f>"1552374614812078"</f>
        <v>1552374614812078</v>
      </c>
      <c r="C1543" t="s">
        <v>40</v>
      </c>
      <c r="D1543">
        <v>5.3161160000000001</v>
      </c>
      <c r="E1543">
        <v>0.49441770000000002</v>
      </c>
      <c r="F1543" t="s">
        <v>50</v>
      </c>
      <c r="G1543">
        <v>-189.59039999999999</v>
      </c>
      <c r="H1543" s="1">
        <v>3.6951960000000001E-6</v>
      </c>
      <c r="I1543">
        <v>287.03829999999999</v>
      </c>
      <c r="J1543">
        <v>-190.92400000000001</v>
      </c>
      <c r="K1543">
        <v>1.1091569999999999</v>
      </c>
      <c r="L1543">
        <v>314.06630000000001</v>
      </c>
      <c r="M1543">
        <v>3.879411E-2</v>
      </c>
      <c r="N1543">
        <v>0</v>
      </c>
      <c r="O1543">
        <v>-0.99920279999999995</v>
      </c>
      <c r="P1543">
        <v>3.6473459999999999E-2</v>
      </c>
      <c r="Q1543">
        <v>-4.1007159999999999E-3</v>
      </c>
      <c r="R1543">
        <v>-0.99932589999999999</v>
      </c>
      <c r="S1543">
        <v>0.1474762</v>
      </c>
      <c r="T1543">
        <v>-0.1218356</v>
      </c>
      <c r="U1543">
        <v>-2.996124</v>
      </c>
      <c r="V1543">
        <v>2.329762E-3</v>
      </c>
      <c r="W1543">
        <v>5.3184419999999996E-3</v>
      </c>
      <c r="X1543">
        <v>0.99998310000000001</v>
      </c>
      <c r="Y1543">
        <v>-1.0336390000000001E-2</v>
      </c>
      <c r="Z1543">
        <v>4.0559379999999999E-2</v>
      </c>
      <c r="AA1543">
        <v>0.99912369999999995</v>
      </c>
      <c r="AB1543">
        <v>25</v>
      </c>
      <c r="AC1543">
        <v>1.3336000000000101</v>
      </c>
      <c r="AD1543">
        <v>-1.1091533048040001</v>
      </c>
      <c r="AE1543">
        <v>-27.027999999999999</v>
      </c>
      <c r="AF1543">
        <v>-0.28354591106256999</v>
      </c>
      <c r="AG1543">
        <v>-1.1091533048040001</v>
      </c>
      <c r="AH1543">
        <v>27.0140078270848</v>
      </c>
      <c r="AI1543">
        <v>92.351025975183802</v>
      </c>
      <c r="AJ1543">
        <v>90.601369020524899</v>
      </c>
      <c r="AK1543">
        <v>27.0382550882826</v>
      </c>
      <c r="AL1543">
        <v>89.695274270115306</v>
      </c>
      <c r="AM1543">
        <v>89.866512455708403</v>
      </c>
      <c r="AN1543">
        <v>0.99999995695094601</v>
      </c>
    </row>
    <row r="1544" spans="1:40" x14ac:dyDescent="0.25">
      <c r="A1544" t="str">
        <f>"20190312151014840"</f>
        <v>20190312151014840</v>
      </c>
      <c r="B1544" t="str">
        <f>"1552374614832574"</f>
        <v>1552374614832574</v>
      </c>
      <c r="C1544" t="s">
        <v>40</v>
      </c>
      <c r="D1544">
        <v>5.1167400000000001</v>
      </c>
      <c r="E1544">
        <v>0.49346240000000002</v>
      </c>
      <c r="F1544" t="s">
        <v>50</v>
      </c>
      <c r="G1544">
        <v>-189.5427</v>
      </c>
      <c r="H1544" s="1">
        <v>3.6803109999999998E-6</v>
      </c>
      <c r="I1544">
        <v>287.11180000000002</v>
      </c>
      <c r="J1544">
        <v>-190.91470000000001</v>
      </c>
      <c r="K1544">
        <v>1.109213</v>
      </c>
      <c r="L1544">
        <v>313.81099999999998</v>
      </c>
      <c r="M1544">
        <v>3.8206249999999997E-2</v>
      </c>
      <c r="N1544">
        <v>0</v>
      </c>
      <c r="O1544">
        <v>-0.99922549999999999</v>
      </c>
      <c r="P1544">
        <v>3.6234450000000001E-2</v>
      </c>
      <c r="Q1544">
        <v>-4.2526860000000003E-3</v>
      </c>
      <c r="R1544">
        <v>-0.99933450000000001</v>
      </c>
      <c r="S1544">
        <v>0.15351870000000001</v>
      </c>
      <c r="T1544">
        <v>-0.1232789</v>
      </c>
      <c r="U1544">
        <v>-2.995911</v>
      </c>
      <c r="V1544">
        <v>1.9798580000000001E-3</v>
      </c>
      <c r="W1544">
        <v>5.1935130000000003E-3</v>
      </c>
      <c r="X1544">
        <v>0.9999846</v>
      </c>
      <c r="Y1544">
        <v>-1.2937199999999999E-2</v>
      </c>
      <c r="Z1544">
        <v>4.1040670000000001E-2</v>
      </c>
      <c r="AA1544">
        <v>0.99907369999999995</v>
      </c>
      <c r="AB1544">
        <v>26</v>
      </c>
      <c r="AC1544">
        <v>1.3720000000000101</v>
      </c>
      <c r="AD1544">
        <v>-1.1092093196890001</v>
      </c>
      <c r="AE1544">
        <v>-26.699199999999902</v>
      </c>
      <c r="AF1544">
        <v>-0.350273668840279</v>
      </c>
      <c r="AG1544">
        <v>-1.1092093196890001</v>
      </c>
      <c r="AH1544">
        <v>26.686187843420399</v>
      </c>
      <c r="AI1544">
        <v>92.379919811444395</v>
      </c>
      <c r="AJ1544">
        <v>90.752001395248598</v>
      </c>
      <c r="AK1544">
        <v>26.711526698642398</v>
      </c>
      <c r="AL1544">
        <v>89.702432300333996</v>
      </c>
      <c r="AM1544">
        <v>89.886560893825603</v>
      </c>
      <c r="AN1544">
        <v>1.0000000463260601</v>
      </c>
    </row>
    <row r="1545" spans="1:40" x14ac:dyDescent="0.25">
      <c r="A1545" t="str">
        <f>"20190312151014862"</f>
        <v>20190312151014862</v>
      </c>
      <c r="B1545" t="str">
        <f>"1552374614852093"</f>
        <v>1552374614852093</v>
      </c>
      <c r="C1545" t="s">
        <v>40</v>
      </c>
      <c r="D1545">
        <v>5.1307689999999999</v>
      </c>
      <c r="E1545">
        <v>0.49277310000000002</v>
      </c>
      <c r="F1545" t="s">
        <v>50</v>
      </c>
      <c r="G1545">
        <v>-189.50739999999999</v>
      </c>
      <c r="H1545" s="1">
        <v>3.6370949999999999E-6</v>
      </c>
      <c r="I1545">
        <v>287.53440000000001</v>
      </c>
      <c r="J1545">
        <v>-190.90539999999999</v>
      </c>
      <c r="K1545">
        <v>1.1092679999999999</v>
      </c>
      <c r="L1545">
        <v>313.55110000000002</v>
      </c>
      <c r="M1545">
        <v>3.7678980000000001E-2</v>
      </c>
      <c r="N1545">
        <v>0</v>
      </c>
      <c r="O1545">
        <v>-0.99924489999999999</v>
      </c>
      <c r="P1545">
        <v>3.5295310000000003E-2</v>
      </c>
      <c r="Q1545">
        <v>-4.2851800000000004E-3</v>
      </c>
      <c r="R1545">
        <v>-0.99936749999999996</v>
      </c>
      <c r="S1545">
        <v>0.16044620000000001</v>
      </c>
      <c r="T1545">
        <v>-0.12645410000000001</v>
      </c>
      <c r="U1545">
        <v>-2.9956360000000002</v>
      </c>
      <c r="V1545">
        <v>2.391331E-3</v>
      </c>
      <c r="W1545">
        <v>5.1854049999999997E-3</v>
      </c>
      <c r="X1545">
        <v>0.99998370000000003</v>
      </c>
      <c r="Y1545">
        <v>-1.5771139999999999E-2</v>
      </c>
      <c r="Z1545">
        <v>4.2097599999999999E-2</v>
      </c>
      <c r="AA1545">
        <v>0.99898900000000002</v>
      </c>
      <c r="AB1545">
        <v>26</v>
      </c>
      <c r="AC1545">
        <v>1.3979999999999899</v>
      </c>
      <c r="AD1545">
        <v>-1.1092643629050001</v>
      </c>
      <c r="AE1545">
        <v>-26.0167</v>
      </c>
      <c r="AF1545">
        <v>-0.415926458161127</v>
      </c>
      <c r="AG1545">
        <v>-1.1092643629050001</v>
      </c>
      <c r="AH1545">
        <v>26.003765656077899</v>
      </c>
      <c r="AI1545">
        <v>92.442321036815997</v>
      </c>
      <c r="AJ1545">
        <v>90.916359538497204</v>
      </c>
      <c r="AK1545">
        <v>26.030737418321898</v>
      </c>
      <c r="AL1545">
        <v>89.702896848047303</v>
      </c>
      <c r="AM1545">
        <v>89.862984854110195</v>
      </c>
      <c r="AN1545">
        <v>1.00000000357732</v>
      </c>
    </row>
    <row r="1546" spans="1:40" x14ac:dyDescent="0.25">
      <c r="A1546" t="str">
        <f>"20190312151014885"</f>
        <v>20190312151014885</v>
      </c>
      <c r="B1546" t="str">
        <f>"1552374614882349"</f>
        <v>1552374614882349</v>
      </c>
      <c r="C1546" t="s">
        <v>40</v>
      </c>
      <c r="D1546">
        <v>5.1069440000000004</v>
      </c>
      <c r="E1546">
        <v>0.4917202</v>
      </c>
      <c r="F1546" t="s">
        <v>50</v>
      </c>
      <c r="G1546">
        <v>-189.52629999999999</v>
      </c>
      <c r="H1546" s="1">
        <v>3.5796859999999998E-6</v>
      </c>
      <c r="I1546">
        <v>288.22949999999997</v>
      </c>
      <c r="J1546">
        <v>-190.89619999999999</v>
      </c>
      <c r="K1546">
        <v>1.109313</v>
      </c>
      <c r="L1546">
        <v>313.29289999999997</v>
      </c>
      <c r="M1546">
        <v>3.7213379999999997E-2</v>
      </c>
      <c r="N1546">
        <v>0</v>
      </c>
      <c r="O1546">
        <v>-0.99926219999999999</v>
      </c>
      <c r="P1546">
        <v>3.4890350000000001E-2</v>
      </c>
      <c r="Q1546">
        <v>-4.5137299999999997E-3</v>
      </c>
      <c r="R1546">
        <v>-0.99938099999999996</v>
      </c>
      <c r="S1546">
        <v>0.16314699999999999</v>
      </c>
      <c r="T1546">
        <v>-0.13122629999999999</v>
      </c>
      <c r="U1546">
        <v>-2.9955440000000002</v>
      </c>
      <c r="V1546">
        <v>2.3298939999999999E-3</v>
      </c>
      <c r="W1546">
        <v>4.9813230000000002E-3</v>
      </c>
      <c r="X1546">
        <v>0.99998489999999995</v>
      </c>
      <c r="Y1546">
        <v>-1.7133010000000001E-2</v>
      </c>
      <c r="Z1546">
        <v>4.3684250000000001E-2</v>
      </c>
      <c r="AA1546">
        <v>0.99889839999999996</v>
      </c>
      <c r="AB1546">
        <v>26</v>
      </c>
      <c r="AC1546">
        <v>1.3698999999999999</v>
      </c>
      <c r="AD1546">
        <v>-1.1093094203139999</v>
      </c>
      <c r="AE1546">
        <v>-25.063400000000001</v>
      </c>
      <c r="AF1546">
        <v>-0.43536481588221498</v>
      </c>
      <c r="AG1546">
        <v>-1.1093094203139999</v>
      </c>
      <c r="AH1546">
        <v>25.048096931504499</v>
      </c>
      <c r="AI1546">
        <v>92.535428679633995</v>
      </c>
      <c r="AJ1546">
        <v>90.995766467478703</v>
      </c>
      <c r="AK1546">
        <v>25.076428569534201</v>
      </c>
      <c r="AL1546">
        <v>89.714590041383801</v>
      </c>
      <c r="AM1546">
        <v>89.866505132872703</v>
      </c>
      <c r="AN1546">
        <v>1.0000000211064399</v>
      </c>
    </row>
    <row r="1547" spans="1:40" x14ac:dyDescent="0.25">
      <c r="A1547" t="str">
        <f>"20190312151014907"</f>
        <v>20190312151014907</v>
      </c>
      <c r="B1547" t="str">
        <f>"1552374614901870"</f>
        <v>1552374614901870</v>
      </c>
      <c r="C1547" t="s">
        <v>40</v>
      </c>
      <c r="D1547">
        <v>5.3232059999999999</v>
      </c>
      <c r="E1547">
        <v>0.49114140000000001</v>
      </c>
      <c r="F1547" t="s">
        <v>50</v>
      </c>
      <c r="G1547">
        <v>-189.50550000000001</v>
      </c>
      <c r="H1547" s="1">
        <v>3.5240489999999999E-6</v>
      </c>
      <c r="I1547">
        <v>288.82369999999997</v>
      </c>
      <c r="J1547">
        <v>-190.88720000000001</v>
      </c>
      <c r="K1547">
        <v>1.109353</v>
      </c>
      <c r="L1547">
        <v>313.03809999999999</v>
      </c>
      <c r="M1547">
        <v>3.6810500000000003E-2</v>
      </c>
      <c r="N1547">
        <v>0</v>
      </c>
      <c r="O1547">
        <v>-0.99927690000000002</v>
      </c>
      <c r="P1547">
        <v>3.4599820000000003E-2</v>
      </c>
      <c r="Q1547">
        <v>-3.6910049999999998E-3</v>
      </c>
      <c r="R1547">
        <v>-0.99939449999999996</v>
      </c>
      <c r="S1547">
        <v>0.17024230000000001</v>
      </c>
      <c r="T1547">
        <v>-0.13579169999999999</v>
      </c>
      <c r="U1547">
        <v>-2.9952999999999999</v>
      </c>
      <c r="V1547">
        <v>2.2177199999999998E-3</v>
      </c>
      <c r="W1547">
        <v>5.8319879999999998E-3</v>
      </c>
      <c r="X1547">
        <v>0.99998050000000005</v>
      </c>
      <c r="Y1547">
        <v>-1.989554E-2</v>
      </c>
      <c r="Z1547">
        <v>4.5201520000000002E-2</v>
      </c>
      <c r="AA1547">
        <v>0.9987798</v>
      </c>
      <c r="AB1547">
        <v>26</v>
      </c>
      <c r="AC1547">
        <v>1.3816999999999899</v>
      </c>
      <c r="AD1547">
        <v>-1.1093494759510001</v>
      </c>
      <c r="AE1547">
        <v>-24.214400000000001</v>
      </c>
      <c r="AF1547">
        <v>-0.48835722586946301</v>
      </c>
      <c r="AG1547">
        <v>-1.1093494759510001</v>
      </c>
      <c r="AH1547">
        <v>24.198226367709299</v>
      </c>
      <c r="AI1547">
        <v>92.624310414437701</v>
      </c>
      <c r="AJ1547">
        <v>91.156159531428898</v>
      </c>
      <c r="AK1547">
        <v>24.228563894353101</v>
      </c>
      <c r="AL1547">
        <v>89.665849795649294</v>
      </c>
      <c r="AM1547">
        <v>89.872931734350004</v>
      </c>
      <c r="AN1547">
        <v>0.99999996537313895</v>
      </c>
    </row>
    <row r="1548" spans="1:40" x14ac:dyDescent="0.25">
      <c r="A1548" t="str">
        <f>"20190312151014931"</f>
        <v>20190312151014931</v>
      </c>
      <c r="B1548" t="str">
        <f>"1552374614922367"</f>
        <v>1552374614922367</v>
      </c>
      <c r="C1548" t="s">
        <v>40</v>
      </c>
      <c r="D1548">
        <v>5.337046</v>
      </c>
      <c r="E1548">
        <v>0.49035040000000002</v>
      </c>
      <c r="F1548" t="s">
        <v>50</v>
      </c>
      <c r="G1548">
        <v>-189.46899999999999</v>
      </c>
      <c r="H1548" s="1">
        <v>3.5369200000000001E-6</v>
      </c>
      <c r="I1548">
        <v>288.60250000000002</v>
      </c>
      <c r="J1548">
        <v>-190.8777</v>
      </c>
      <c r="K1548">
        <v>1.109391</v>
      </c>
      <c r="L1548">
        <v>312.76760000000002</v>
      </c>
      <c r="M1548">
        <v>3.6446470000000002E-2</v>
      </c>
      <c r="N1548">
        <v>0</v>
      </c>
      <c r="O1548">
        <v>-0.99929020000000002</v>
      </c>
      <c r="P1548">
        <v>3.380996E-2</v>
      </c>
      <c r="Q1548">
        <v>-4.0781840000000003E-3</v>
      </c>
      <c r="R1548">
        <v>-0.99942019999999998</v>
      </c>
      <c r="S1548">
        <v>0.17384340000000001</v>
      </c>
      <c r="T1548">
        <v>-0.13598469999999999</v>
      </c>
      <c r="U1548">
        <v>-2.9953310000000002</v>
      </c>
      <c r="V1548">
        <v>2.6429240000000001E-3</v>
      </c>
      <c r="W1548">
        <v>5.4743659999999996E-3</v>
      </c>
      <c r="X1548">
        <v>0.99998149999999997</v>
      </c>
      <c r="Y1548">
        <v>-2.1455809999999999E-2</v>
      </c>
      <c r="Z1548">
        <v>4.5263789999999998E-2</v>
      </c>
      <c r="AA1548">
        <v>0.99874459999999998</v>
      </c>
      <c r="AB1548">
        <v>26</v>
      </c>
      <c r="AC1548">
        <v>1.4086999999999801</v>
      </c>
      <c r="AD1548">
        <v>-1.10938746308</v>
      </c>
      <c r="AE1548">
        <v>-24.165099999999899</v>
      </c>
      <c r="AF1548">
        <v>-0.52588681743540799</v>
      </c>
      <c r="AG1548">
        <v>-1.10938746308</v>
      </c>
      <c r="AH1548">
        <v>24.1496623039979</v>
      </c>
      <c r="AI1548">
        <v>92.629582513750705</v>
      </c>
      <c r="AJ1548">
        <v>91.247484680507498</v>
      </c>
      <c r="AK1548">
        <v>24.1808495898124</v>
      </c>
      <c r="AL1548">
        <v>89.686340358812899</v>
      </c>
      <c r="AM1548">
        <v>89.848569160345306</v>
      </c>
      <c r="AN1548">
        <v>0.99999997703631005</v>
      </c>
    </row>
    <row r="1549" spans="1:40" x14ac:dyDescent="0.25">
      <c r="A1549" t="str">
        <f>"20190312151014954"</f>
        <v>20190312151014954</v>
      </c>
      <c r="B1549" t="str">
        <f>"1552374614941885"</f>
        <v>1552374614941885</v>
      </c>
      <c r="C1549" t="s">
        <v>40</v>
      </c>
      <c r="D1549">
        <v>5.1160500000000004</v>
      </c>
      <c r="E1549">
        <v>0.48988730000000003</v>
      </c>
      <c r="F1549" t="s">
        <v>50</v>
      </c>
      <c r="G1549">
        <v>-189.45230000000001</v>
      </c>
      <c r="H1549" s="1">
        <v>3.5203099999999998E-6</v>
      </c>
      <c r="I1549">
        <v>288.75850000000003</v>
      </c>
      <c r="J1549">
        <v>-190.86850000000001</v>
      </c>
      <c r="K1549">
        <v>1.109434</v>
      </c>
      <c r="L1549">
        <v>312.50259999999997</v>
      </c>
      <c r="M1549">
        <v>3.6154119999999998E-2</v>
      </c>
      <c r="N1549">
        <v>0</v>
      </c>
      <c r="O1549">
        <v>-0.99930039999999998</v>
      </c>
      <c r="P1549">
        <v>3.3513080000000001E-2</v>
      </c>
      <c r="Q1549">
        <v>-4.4694599999999998E-3</v>
      </c>
      <c r="R1549">
        <v>-0.99942830000000005</v>
      </c>
      <c r="S1549">
        <v>0.17782590000000001</v>
      </c>
      <c r="T1549">
        <v>-0.13839849999999901</v>
      </c>
      <c r="U1549">
        <v>-2.9951780000000001</v>
      </c>
      <c r="V1549">
        <v>2.646626E-3</v>
      </c>
      <c r="W1549">
        <v>5.1143580000000003E-3</v>
      </c>
      <c r="X1549">
        <v>0.99998339999999997</v>
      </c>
      <c r="Y1549">
        <v>-2.307244E-2</v>
      </c>
      <c r="Z1549">
        <v>4.6066030000000001E-2</v>
      </c>
      <c r="AA1549">
        <v>0.99867189999999995</v>
      </c>
      <c r="AB1549">
        <v>26</v>
      </c>
      <c r="AC1549">
        <v>1.4161999999999999</v>
      </c>
      <c r="AD1549">
        <v>-1.1094304796899901</v>
      </c>
      <c r="AE1549">
        <v>-23.7440999999999</v>
      </c>
      <c r="AF1549">
        <v>-0.55557905723188705</v>
      </c>
      <c r="AG1549">
        <v>-1.1094304796899901</v>
      </c>
      <c r="AH1549">
        <v>23.728159995345099</v>
      </c>
      <c r="AI1549">
        <v>92.676231325830997</v>
      </c>
      <c r="AJ1549">
        <v>91.341297425772495</v>
      </c>
      <c r="AK1549">
        <v>23.7605782935264</v>
      </c>
      <c r="AL1549">
        <v>89.706967588581705</v>
      </c>
      <c r="AM1549">
        <v>89.848357337054296</v>
      </c>
      <c r="AN1549">
        <v>0.99999998078124697</v>
      </c>
    </row>
    <row r="1550" spans="1:40" x14ac:dyDescent="0.25">
      <c r="A1550" t="str">
        <f>"20190312151014975"</f>
        <v>20190312151014975</v>
      </c>
      <c r="B1550" t="str">
        <f>"1552374614972142"</f>
        <v>1552374614972142</v>
      </c>
      <c r="C1550" t="s">
        <v>40</v>
      </c>
      <c r="D1550">
        <v>5.1140499999999998</v>
      </c>
      <c r="E1550">
        <v>0.48974669999999998</v>
      </c>
      <c r="F1550" t="s">
        <v>50</v>
      </c>
      <c r="G1550">
        <v>-189.458</v>
      </c>
      <c r="H1550" s="1">
        <v>3.4890669999999999E-6</v>
      </c>
      <c r="I1550">
        <v>289.1275</v>
      </c>
      <c r="J1550">
        <v>-190.86009999999999</v>
      </c>
      <c r="K1550">
        <v>1.1094729999999999</v>
      </c>
      <c r="L1550">
        <v>312.26319999999998</v>
      </c>
      <c r="M1550">
        <v>3.5943679999999999E-2</v>
      </c>
      <c r="N1550">
        <v>0</v>
      </c>
      <c r="O1550">
        <v>-0.99930770000000002</v>
      </c>
      <c r="P1550">
        <v>3.3550410000000003E-2</v>
      </c>
      <c r="Q1550">
        <v>-4.8125210000000002E-3</v>
      </c>
      <c r="R1550">
        <v>-0.99942549999999997</v>
      </c>
      <c r="S1550">
        <v>0.1807251</v>
      </c>
      <c r="T1550">
        <v>-0.14215429999999901</v>
      </c>
      <c r="U1550">
        <v>-2.995117</v>
      </c>
      <c r="V1550">
        <v>2.3980049999999999E-3</v>
      </c>
      <c r="W1550">
        <v>4.8015569999999997E-3</v>
      </c>
      <c r="X1550">
        <v>0.99998560000000003</v>
      </c>
      <c r="Y1550">
        <v>-2.4243870000000001E-2</v>
      </c>
      <c r="Z1550">
        <v>4.731287E-2</v>
      </c>
      <c r="AA1550">
        <v>0.99858590000000003</v>
      </c>
      <c r="AB1550">
        <v>26</v>
      </c>
      <c r="AC1550">
        <v>1.4020999999999899</v>
      </c>
      <c r="AD1550">
        <v>-1.1094695109329999</v>
      </c>
      <c r="AE1550">
        <v>-23.1356999999999</v>
      </c>
      <c r="AF1550">
        <v>-0.56827132473488196</v>
      </c>
      <c r="AG1550">
        <v>-1.1094695109329999</v>
      </c>
      <c r="AH1550">
        <v>23.1181780576641</v>
      </c>
      <c r="AI1550">
        <v>92.746757691348407</v>
      </c>
      <c r="AJ1550">
        <v>91.408112394157698</v>
      </c>
      <c r="AK1550">
        <v>23.151760442784202</v>
      </c>
      <c r="AL1550">
        <v>89.724889992461897</v>
      </c>
      <c r="AM1550">
        <v>89.862602719095605</v>
      </c>
      <c r="AN1550">
        <v>1.00000000279248</v>
      </c>
    </row>
    <row r="1551" spans="1:40" x14ac:dyDescent="0.25">
      <c r="A1551" t="str">
        <f>"20190312151014997"</f>
        <v>20190312151014997</v>
      </c>
      <c r="B1551" t="str">
        <f>"1552374614991662"</f>
        <v>1552374614991662</v>
      </c>
      <c r="C1551" t="s">
        <v>40</v>
      </c>
      <c r="D1551">
        <v>5.1016149999999998</v>
      </c>
      <c r="E1551">
        <v>0.51548470000000002</v>
      </c>
      <c r="F1551" t="s">
        <v>50</v>
      </c>
      <c r="G1551">
        <v>-189.4682</v>
      </c>
      <c r="H1551" s="1">
        <v>3.4738180000000002E-6</v>
      </c>
      <c r="I1551">
        <v>289.32249999999999</v>
      </c>
      <c r="J1551">
        <v>-190.8509</v>
      </c>
      <c r="K1551">
        <v>1.1095219999999999</v>
      </c>
      <c r="L1551">
        <v>312.00119999999998</v>
      </c>
      <c r="M1551">
        <v>3.5766140000000002E-2</v>
      </c>
      <c r="N1551">
        <v>0</v>
      </c>
      <c r="O1551">
        <v>-0.99931369999999997</v>
      </c>
      <c r="P1551">
        <v>3.3551610000000003E-2</v>
      </c>
      <c r="Q1551">
        <v>-5.6148980000000001E-3</v>
      </c>
      <c r="R1551">
        <v>-0.99942140000000002</v>
      </c>
      <c r="S1551">
        <v>0.18171689999999999</v>
      </c>
      <c r="T1551">
        <v>-0.1448431</v>
      </c>
      <c r="U1551">
        <v>-2.9949340000000002</v>
      </c>
      <c r="V1551">
        <v>2.2182370000000001E-3</v>
      </c>
      <c r="W1551">
        <v>4.0324269999999999E-3</v>
      </c>
      <c r="X1551">
        <v>0.99998940000000003</v>
      </c>
      <c r="Y1551">
        <v>-2.4752050000000001E-2</v>
      </c>
      <c r="Z1551">
        <v>4.8208319999999999E-2</v>
      </c>
      <c r="AA1551">
        <v>0.99853060000000005</v>
      </c>
      <c r="AB1551">
        <v>26</v>
      </c>
      <c r="AC1551">
        <v>1.38269999999999</v>
      </c>
      <c r="AD1551">
        <v>-1.109518526182</v>
      </c>
      <c r="AE1551">
        <v>-22.6786999999999</v>
      </c>
      <c r="AF1551">
        <v>-0.569290456058683</v>
      </c>
      <c r="AG1551">
        <v>-1.109518526182</v>
      </c>
      <c r="AH1551">
        <v>22.659609824322999</v>
      </c>
      <c r="AI1551">
        <v>92.802342702700599</v>
      </c>
      <c r="AJ1551">
        <v>91.439172190037198</v>
      </c>
      <c r="AK1551">
        <v>22.693898747765999</v>
      </c>
      <c r="AL1551">
        <v>89.768958323384595</v>
      </c>
      <c r="AM1551">
        <v>89.872903243179593</v>
      </c>
      <c r="AN1551">
        <v>0.99999999057762901</v>
      </c>
    </row>
    <row r="1552" spans="1:40" x14ac:dyDescent="0.25">
      <c r="A1552" t="str">
        <f>"20190312151015019"</f>
        <v>20190312151015019</v>
      </c>
      <c r="B1552" t="str">
        <f>"1552374615012158"</f>
        <v>1552374615012158</v>
      </c>
      <c r="C1552" t="s">
        <v>40</v>
      </c>
      <c r="D1552">
        <v>5.076003</v>
      </c>
      <c r="E1552">
        <v>0.5166212</v>
      </c>
      <c r="F1552" t="s">
        <v>50</v>
      </c>
      <c r="G1552">
        <v>-191.01499999999999</v>
      </c>
      <c r="H1552" s="1">
        <v>2.911877E-6</v>
      </c>
      <c r="I1552">
        <v>290.8485</v>
      </c>
      <c r="J1552">
        <v>-190.84190000000001</v>
      </c>
      <c r="K1552">
        <v>1.1095600000000001</v>
      </c>
      <c r="L1552">
        <v>311.74380000000002</v>
      </c>
      <c r="M1552">
        <v>3.5642720000000003E-2</v>
      </c>
      <c r="N1552">
        <v>0</v>
      </c>
      <c r="O1552">
        <v>-0.99931789999999998</v>
      </c>
      <c r="P1552">
        <v>3.3209299999999997E-2</v>
      </c>
      <c r="Q1552">
        <v>-5.4657639999999997E-3</v>
      </c>
      <c r="R1552">
        <v>-0.99943389999999999</v>
      </c>
      <c r="S1552">
        <v>-2.3284909999999999E-2</v>
      </c>
      <c r="T1552">
        <v>-0.1574469</v>
      </c>
      <c r="U1552">
        <v>-3.0016780000000001</v>
      </c>
      <c r="V1552">
        <v>2.4369729999999998E-3</v>
      </c>
      <c r="W1552">
        <v>4.2117159999999999E-3</v>
      </c>
      <c r="X1552">
        <v>0.99998810000000005</v>
      </c>
      <c r="Y1552">
        <v>4.3384800000000001E-2</v>
      </c>
      <c r="Z1552">
        <v>5.2305570000000003E-2</v>
      </c>
      <c r="AA1552">
        <v>0.99768829999999997</v>
      </c>
      <c r="AB1552">
        <v>26</v>
      </c>
      <c r="AC1552">
        <v>-0.173099999999976</v>
      </c>
      <c r="AD1552">
        <v>-1.1095570881229999</v>
      </c>
      <c r="AE1552">
        <v>-20.895299999999999</v>
      </c>
      <c r="AF1552">
        <v>0.91520965127058795</v>
      </c>
      <c r="AG1552">
        <v>-1.1095570881229999</v>
      </c>
      <c r="AH1552">
        <v>20.817157767753098</v>
      </c>
      <c r="AI1552">
        <v>93.048046420200393</v>
      </c>
      <c r="AJ1552">
        <v>87.482658037103306</v>
      </c>
      <c r="AK1552">
        <v>20.866786603718001</v>
      </c>
      <c r="AL1552">
        <v>89.758685720484195</v>
      </c>
      <c r="AM1552">
        <v>89.860370347135202</v>
      </c>
      <c r="AN1552">
        <v>0.99999993876533599</v>
      </c>
    </row>
    <row r="1553" spans="1:40" x14ac:dyDescent="0.25">
      <c r="A1553" t="str">
        <f>"20190312151015042"</f>
        <v>20190312151015042</v>
      </c>
      <c r="B1553" t="str">
        <f>"1552374615031677"</f>
        <v>1552374615031677</v>
      </c>
      <c r="C1553" t="s">
        <v>40</v>
      </c>
      <c r="D1553">
        <v>5.1020019999999997</v>
      </c>
      <c r="E1553">
        <v>0.51701869999999905</v>
      </c>
      <c r="F1553" t="s">
        <v>50</v>
      </c>
      <c r="G1553">
        <v>-191.07239999999999</v>
      </c>
      <c r="H1553" s="1">
        <v>2.8496619999999998E-6</v>
      </c>
      <c r="I1553">
        <v>290.9957</v>
      </c>
      <c r="J1553">
        <v>-190.83250000000001</v>
      </c>
      <c r="K1553">
        <v>1.1095930000000001</v>
      </c>
      <c r="L1553">
        <v>311.47800000000001</v>
      </c>
      <c r="M1553">
        <v>3.555585E-2</v>
      </c>
      <c r="N1553">
        <v>0</v>
      </c>
      <c r="O1553">
        <v>-0.9993206</v>
      </c>
      <c r="P1553">
        <v>3.3273410000000003E-2</v>
      </c>
      <c r="Q1553">
        <v>-5.4042889999999996E-3</v>
      </c>
      <c r="R1553">
        <v>-0.99943179999999998</v>
      </c>
      <c r="S1553">
        <v>-3.3355709999999997E-2</v>
      </c>
      <c r="T1553">
        <v>-0.1605366</v>
      </c>
      <c r="U1553">
        <v>-3.0019529999999999</v>
      </c>
      <c r="V1553">
        <v>2.285638E-3</v>
      </c>
      <c r="W1553">
        <v>4.3070809999999999E-3</v>
      </c>
      <c r="X1553">
        <v>0.99998810000000005</v>
      </c>
      <c r="Y1553">
        <v>4.66431E-2</v>
      </c>
      <c r="Z1553">
        <v>5.3319749999999999E-2</v>
      </c>
      <c r="AA1553">
        <v>0.99748749999999997</v>
      </c>
      <c r="AB1553">
        <v>26</v>
      </c>
      <c r="AC1553">
        <v>-0.23989999999997699</v>
      </c>
      <c r="AD1553">
        <v>-1.1095901503379999</v>
      </c>
      <c r="AE1553">
        <v>-20.482299999999999</v>
      </c>
      <c r="AF1553">
        <v>0.96521589895616999</v>
      </c>
      <c r="AG1553">
        <v>-1.1095901503379999</v>
      </c>
      <c r="AH1553">
        <v>20.400954361321102</v>
      </c>
      <c r="AI1553">
        <v>93.109728488636406</v>
      </c>
      <c r="AJ1553">
        <v>87.291225329628105</v>
      </c>
      <c r="AK1553">
        <v>20.453893782994701</v>
      </c>
      <c r="AL1553">
        <v>89.753221670623304</v>
      </c>
      <c r="AM1553">
        <v>89.8690412587476</v>
      </c>
      <c r="AN1553">
        <v>0.99999998761470799</v>
      </c>
    </row>
    <row r="1554" spans="1:40" x14ac:dyDescent="0.25">
      <c r="A1554" t="str">
        <f>"20190312151015063"</f>
        <v>20190312151015063</v>
      </c>
      <c r="B1554" t="str">
        <f>"1552374615052173"</f>
        <v>1552374615052173</v>
      </c>
      <c r="C1554" t="s">
        <v>40</v>
      </c>
      <c r="D1554">
        <v>5.0953850000000003</v>
      </c>
      <c r="E1554">
        <v>0.51723169999999996</v>
      </c>
      <c r="F1554" t="s">
        <v>50</v>
      </c>
      <c r="G1554">
        <v>-191.10339999999999</v>
      </c>
      <c r="H1554" s="1">
        <v>3.373992E-6</v>
      </c>
      <c r="I1554">
        <v>289.13330000000002</v>
      </c>
      <c r="J1554">
        <v>-190.82390000000001</v>
      </c>
      <c r="K1554">
        <v>1.1096159999999999</v>
      </c>
      <c r="L1554">
        <v>311.23410000000001</v>
      </c>
      <c r="M1554">
        <v>3.5500829999999997E-2</v>
      </c>
      <c r="N1554">
        <v>0</v>
      </c>
      <c r="O1554">
        <v>-0.99932220000000005</v>
      </c>
      <c r="P1554">
        <v>3.3391120000000003E-2</v>
      </c>
      <c r="Q1554">
        <v>-5.5439010000000004E-3</v>
      </c>
      <c r="R1554">
        <v>-0.99942690000000001</v>
      </c>
      <c r="S1554">
        <v>-3.6392210000000001E-2</v>
      </c>
      <c r="T1554">
        <v>-0.1490802</v>
      </c>
      <c r="U1554">
        <v>-3.0021360000000001</v>
      </c>
      <c r="V1554">
        <v>2.1126080000000002E-3</v>
      </c>
      <c r="W1554">
        <v>4.1997950000000001E-3</v>
      </c>
      <c r="X1554">
        <v>0.99998900000000002</v>
      </c>
      <c r="Y1554">
        <v>4.759857E-2</v>
      </c>
      <c r="Z1554">
        <v>4.9520090000000003E-2</v>
      </c>
      <c r="AA1554">
        <v>0.99763829999999998</v>
      </c>
      <c r="AB1554">
        <v>26</v>
      </c>
      <c r="AC1554">
        <v>-0.27949999999998398</v>
      </c>
      <c r="AD1554">
        <v>-1.1096126260079999</v>
      </c>
      <c r="AE1554">
        <v>-22.1007999999999</v>
      </c>
      <c r="AF1554">
        <v>1.0612829653467499</v>
      </c>
      <c r="AG1554">
        <v>-1.1096126260079999</v>
      </c>
      <c r="AH1554">
        <v>22.0214431226842</v>
      </c>
      <c r="AI1554">
        <v>92.881231766432705</v>
      </c>
      <c r="AJ1554">
        <v>87.240870022817703</v>
      </c>
      <c r="AK1554">
        <v>22.074906996813102</v>
      </c>
      <c r="AL1554">
        <v>89.759368776502996</v>
      </c>
      <c r="AM1554">
        <v>89.878955326423394</v>
      </c>
      <c r="AN1554">
        <v>1.0000000507558</v>
      </c>
    </row>
    <row r="1555" spans="1:40" x14ac:dyDescent="0.25">
      <c r="A1555" t="str">
        <f>"20190312151015086"</f>
        <v>20190312151015086</v>
      </c>
      <c r="B1555" t="str">
        <f>"1552374615082430"</f>
        <v>1552374615082430</v>
      </c>
      <c r="C1555" t="s">
        <v>40</v>
      </c>
      <c r="D1555">
        <v>5.0718480000000001</v>
      </c>
      <c r="E1555">
        <v>0.51731559999999999</v>
      </c>
      <c r="F1555" t="s">
        <v>50</v>
      </c>
      <c r="G1555">
        <v>-191.10059999999999</v>
      </c>
      <c r="H1555" s="1">
        <v>3.3672769999999999E-6</v>
      </c>
      <c r="I1555">
        <v>289.21570000000003</v>
      </c>
      <c r="J1555">
        <v>-190.81469999999999</v>
      </c>
      <c r="K1555">
        <v>1.109629</v>
      </c>
      <c r="L1555">
        <v>310.97379999999998</v>
      </c>
      <c r="M1555">
        <v>3.5459160000000003E-2</v>
      </c>
      <c r="N1555">
        <v>0</v>
      </c>
      <c r="O1555">
        <v>-0.99932319999999997</v>
      </c>
      <c r="P1555">
        <v>3.3623170000000001E-2</v>
      </c>
      <c r="Q1555">
        <v>-5.4604579999999996E-3</v>
      </c>
      <c r="R1555">
        <v>-0.99941950000000002</v>
      </c>
      <c r="S1555">
        <v>-3.7734990000000003E-2</v>
      </c>
      <c r="T1555">
        <v>-0.15129300000000001</v>
      </c>
      <c r="U1555">
        <v>-3.002167</v>
      </c>
      <c r="V1555">
        <v>1.8386730000000001E-3</v>
      </c>
      <c r="W1555">
        <v>4.3161420000000002E-3</v>
      </c>
      <c r="X1555">
        <v>0.99998900000000002</v>
      </c>
      <c r="Y1555">
        <v>4.8002499999999997E-2</v>
      </c>
      <c r="Z1555">
        <v>5.0252289999999998E-2</v>
      </c>
      <c r="AA1555">
        <v>0.99758230000000003</v>
      </c>
      <c r="AB1555">
        <v>26</v>
      </c>
      <c r="AC1555">
        <v>-0.28589999999999799</v>
      </c>
      <c r="AD1555">
        <v>-1.1096256327230001</v>
      </c>
      <c r="AE1555">
        <v>-21.758099999999899</v>
      </c>
      <c r="AF1555">
        <v>1.0545388947371901</v>
      </c>
      <c r="AG1555">
        <v>-1.1096256327230001</v>
      </c>
      <c r="AH1555">
        <v>21.6779066364772</v>
      </c>
      <c r="AI1555">
        <v>92.926783130361997</v>
      </c>
      <c r="AJ1555">
        <v>87.214996977423098</v>
      </c>
      <c r="AK1555">
        <v>21.731888032684399</v>
      </c>
      <c r="AL1555">
        <v>89.752702513022697</v>
      </c>
      <c r="AM1555">
        <v>89.894650757073506</v>
      </c>
      <c r="AN1555">
        <v>1.0000000049605799</v>
      </c>
    </row>
    <row r="1556" spans="1:40" x14ac:dyDescent="0.25">
      <c r="A1556" t="str">
        <f>"20190312151015107"</f>
        <v>20190312151015107</v>
      </c>
      <c r="B1556" t="str">
        <f>"1552374615101949"</f>
        <v>1552374615101949</v>
      </c>
      <c r="C1556" t="s">
        <v>40</v>
      </c>
      <c r="D1556">
        <v>5.0729509999999998</v>
      </c>
      <c r="E1556">
        <v>0.51735850000000005</v>
      </c>
      <c r="F1556" t="s">
        <v>50</v>
      </c>
      <c r="G1556">
        <v>-191.0898</v>
      </c>
      <c r="H1556" s="1">
        <v>3.3774929999999999E-6</v>
      </c>
      <c r="I1556">
        <v>289.12079999999997</v>
      </c>
      <c r="J1556">
        <v>-190.8057</v>
      </c>
      <c r="K1556">
        <v>1.1096330000000001</v>
      </c>
      <c r="L1556">
        <v>310.71719999999999</v>
      </c>
      <c r="M1556">
        <v>3.5425110000000003E-2</v>
      </c>
      <c r="N1556">
        <v>0</v>
      </c>
      <c r="O1556">
        <v>-0.9993244</v>
      </c>
      <c r="P1556">
        <v>3.400305E-2</v>
      </c>
      <c r="Q1556">
        <v>-5.6099799999999997E-3</v>
      </c>
      <c r="R1556">
        <v>-0.99940600000000002</v>
      </c>
      <c r="S1556">
        <v>-3.779602E-2</v>
      </c>
      <c r="T1556">
        <v>-0.1524404</v>
      </c>
      <c r="U1556">
        <v>-3.002167</v>
      </c>
      <c r="V1556">
        <v>1.424444E-3</v>
      </c>
      <c r="W1556">
        <v>4.1950269999999996E-3</v>
      </c>
      <c r="X1556">
        <v>0.99999020000000005</v>
      </c>
      <c r="Y1556">
        <v>4.7988500000000003E-2</v>
      </c>
      <c r="Z1556">
        <v>5.063252E-2</v>
      </c>
      <c r="AA1556">
        <v>0.9975638</v>
      </c>
      <c r="AB1556">
        <v>26</v>
      </c>
      <c r="AC1556">
        <v>-0.28409999999999502</v>
      </c>
      <c r="AD1556">
        <v>-1.1096296225069999</v>
      </c>
      <c r="AE1556">
        <v>-21.596399999999999</v>
      </c>
      <c r="AF1556">
        <v>1.04625160016165</v>
      </c>
      <c r="AG1556">
        <v>-1.1096296225069999</v>
      </c>
      <c r="AH1556">
        <v>21.515987617528499</v>
      </c>
      <c r="AI1556">
        <v>92.948783280526399</v>
      </c>
      <c r="AJ1556">
        <v>87.216087842619302</v>
      </c>
      <c r="AK1556">
        <v>21.569970873128799</v>
      </c>
      <c r="AL1556">
        <v>89.759641956264304</v>
      </c>
      <c r="AM1556">
        <v>89.918384626017399</v>
      </c>
      <c r="AN1556">
        <v>1.0000000136941301</v>
      </c>
    </row>
    <row r="1557" spans="1:40" x14ac:dyDescent="0.25">
      <c r="A1557" t="str">
        <f>"20190312151015132"</f>
        <v>20190312151015132</v>
      </c>
      <c r="B1557" t="str">
        <f>"1552374615122446"</f>
        <v>1552374615122446</v>
      </c>
      <c r="C1557" t="s">
        <v>40</v>
      </c>
      <c r="D1557">
        <v>5.2294890000000001</v>
      </c>
      <c r="E1557">
        <v>0.51758999999999999</v>
      </c>
      <c r="F1557" t="s">
        <v>50</v>
      </c>
      <c r="G1557">
        <v>-191.06960000000001</v>
      </c>
      <c r="H1557" s="1">
        <v>3.3730350000000001E-6</v>
      </c>
      <c r="I1557">
        <v>289.21280000000002</v>
      </c>
      <c r="J1557">
        <v>-190.79580000000001</v>
      </c>
      <c r="K1557">
        <v>1.1096349999999999</v>
      </c>
      <c r="L1557">
        <v>310.43639999999999</v>
      </c>
      <c r="M1557">
        <v>3.5387120000000001E-2</v>
      </c>
      <c r="N1557">
        <v>0</v>
      </c>
      <c r="O1557">
        <v>-0.99932560000000004</v>
      </c>
      <c r="P1557">
        <v>3.3747149999999997E-2</v>
      </c>
      <c r="Q1557">
        <v>-5.4579540000000001E-3</v>
      </c>
      <c r="R1557">
        <v>-0.99941570000000002</v>
      </c>
      <c r="S1557">
        <v>-3.6849979999999997E-2</v>
      </c>
      <c r="T1557">
        <v>-0.15491160000000001</v>
      </c>
      <c r="U1557">
        <v>-3.002167</v>
      </c>
      <c r="V1557">
        <v>1.642531E-3</v>
      </c>
      <c r="W1557">
        <v>4.3762230000000003E-3</v>
      </c>
      <c r="X1557">
        <v>0.99998909999999996</v>
      </c>
      <c r="Y1557">
        <v>4.7635719999999999E-2</v>
      </c>
      <c r="Z1557">
        <v>5.1451799999999999E-2</v>
      </c>
      <c r="AA1557">
        <v>0.9975387</v>
      </c>
      <c r="AB1557">
        <v>26</v>
      </c>
      <c r="AC1557">
        <v>-0.27379999999999399</v>
      </c>
      <c r="AD1557">
        <v>-1.109631626965</v>
      </c>
      <c r="AE1557">
        <v>-21.223599999999902</v>
      </c>
      <c r="AF1557">
        <v>1.02191372669727</v>
      </c>
      <c r="AG1557">
        <v>-1.109631626965</v>
      </c>
      <c r="AH1557">
        <v>21.142832114891601</v>
      </c>
      <c r="AI1557">
        <v>93.000780695382801</v>
      </c>
      <c r="AJ1557">
        <v>87.232829925707094</v>
      </c>
      <c r="AK1557">
        <v>21.196578493966001</v>
      </c>
      <c r="AL1557">
        <v>89.749260097741498</v>
      </c>
      <c r="AM1557">
        <v>89.905888964805499</v>
      </c>
      <c r="AN1557">
        <v>1.00000002467732</v>
      </c>
    </row>
    <row r="1558" spans="1:40" x14ac:dyDescent="0.25">
      <c r="A1558" t="str">
        <f>"20190312151015154"</f>
        <v>20190312151015154</v>
      </c>
      <c r="B1558" t="str">
        <f>"1552374615141966"</f>
        <v>1552374615141966</v>
      </c>
      <c r="C1558" t="s">
        <v>40</v>
      </c>
      <c r="D1558">
        <v>5.1207529999999997</v>
      </c>
      <c r="E1558">
        <v>0.51764370000000004</v>
      </c>
      <c r="F1558" t="s">
        <v>50</v>
      </c>
      <c r="G1558">
        <v>-191.08349999999999</v>
      </c>
      <c r="H1558" s="1">
        <v>3.4276640000000001E-6</v>
      </c>
      <c r="I1558">
        <v>288.55970000000002</v>
      </c>
      <c r="J1558">
        <v>-190.7868</v>
      </c>
      <c r="K1558">
        <v>1.1096379999999999</v>
      </c>
      <c r="L1558">
        <v>310.18110000000001</v>
      </c>
      <c r="M1558">
        <v>3.5347719999999999E-2</v>
      </c>
      <c r="N1558">
        <v>0</v>
      </c>
      <c r="O1558">
        <v>-0.99932679999999996</v>
      </c>
      <c r="P1558">
        <v>3.3198989999999998E-2</v>
      </c>
      <c r="Q1558">
        <v>-5.2120309999999998E-3</v>
      </c>
      <c r="R1558">
        <v>-0.99943550000000003</v>
      </c>
      <c r="S1558">
        <v>-3.9489749999999997E-2</v>
      </c>
      <c r="T1558">
        <v>-0.15228059999999999</v>
      </c>
      <c r="U1558">
        <v>-3.0022579999999999</v>
      </c>
      <c r="V1558">
        <v>2.1516700000000001E-3</v>
      </c>
      <c r="W1558">
        <v>4.6461100000000002E-3</v>
      </c>
      <c r="X1558">
        <v>0.99998690000000001</v>
      </c>
      <c r="Y1558">
        <v>4.8473490000000001E-2</v>
      </c>
      <c r="Z1558">
        <v>5.0577450000000003E-2</v>
      </c>
      <c r="AA1558">
        <v>0.99754310000000002</v>
      </c>
      <c r="AB1558">
        <v>26</v>
      </c>
      <c r="AC1558">
        <v>-0.29669999999998697</v>
      </c>
      <c r="AD1558">
        <v>-1.1096345723359999</v>
      </c>
      <c r="AE1558">
        <v>-21.621399999999898</v>
      </c>
      <c r="AF1558">
        <v>1.05803245036676</v>
      </c>
      <c r="AG1558">
        <v>-1.1096345723359999</v>
      </c>
      <c r="AH1558">
        <v>21.5406743548542</v>
      </c>
      <c r="AI1558">
        <v>92.945352478768399</v>
      </c>
      <c r="AJ1558">
        <v>87.188012182574298</v>
      </c>
      <c r="AK1558">
        <v>21.595170136213898</v>
      </c>
      <c r="AL1558">
        <v>89.733796550269702</v>
      </c>
      <c r="AM1558">
        <v>89.876716965343405</v>
      </c>
      <c r="AN1558">
        <v>1.0000000080967599</v>
      </c>
    </row>
    <row r="1559" spans="1:40" x14ac:dyDescent="0.25">
      <c r="A1559" t="str">
        <f>"20190312151015176"</f>
        <v>20190312151015176</v>
      </c>
      <c r="B1559" t="str">
        <f>"1552374615172221"</f>
        <v>1552374615172221</v>
      </c>
      <c r="C1559" t="s">
        <v>40</v>
      </c>
      <c r="D1559">
        <v>5.0934809999999997</v>
      </c>
      <c r="E1559">
        <v>0.51765969999999994</v>
      </c>
      <c r="F1559" t="s">
        <v>50</v>
      </c>
      <c r="G1559">
        <v>-191.08760000000001</v>
      </c>
      <c r="H1559" s="1">
        <v>3.4406269999999998E-6</v>
      </c>
      <c r="I1559">
        <v>288.40309999999999</v>
      </c>
      <c r="J1559">
        <v>-190.77760000000001</v>
      </c>
      <c r="K1559">
        <v>1.10964</v>
      </c>
      <c r="L1559">
        <v>309.92149999999998</v>
      </c>
      <c r="M1559">
        <v>3.5302529999999999E-2</v>
      </c>
      <c r="N1559">
        <v>0</v>
      </c>
      <c r="O1559">
        <v>-0.99932799999999999</v>
      </c>
      <c r="P1559">
        <v>3.3070530000000001E-2</v>
      </c>
      <c r="Q1559">
        <v>-4.9879360000000001E-3</v>
      </c>
      <c r="R1559">
        <v>-0.99944080000000002</v>
      </c>
      <c r="S1559">
        <v>-4.1473389999999999E-2</v>
      </c>
      <c r="T1559">
        <v>-0.1529732</v>
      </c>
      <c r="U1559">
        <v>-3.0022890000000002</v>
      </c>
      <c r="V1559">
        <v>2.2351010000000002E-3</v>
      </c>
      <c r="W1559">
        <v>4.8969240000000004E-3</v>
      </c>
      <c r="X1559">
        <v>0.99998549999999997</v>
      </c>
      <c r="Y1559">
        <v>4.908701E-2</v>
      </c>
      <c r="Z1559">
        <v>5.0805509999999998E-2</v>
      </c>
      <c r="AA1559">
        <v>0.99750150000000004</v>
      </c>
      <c r="AB1559">
        <v>26</v>
      </c>
      <c r="AC1559">
        <v>-0.310000000000002</v>
      </c>
      <c r="AD1559">
        <v>-1.109636559373</v>
      </c>
      <c r="AE1559">
        <v>-21.5183999999999</v>
      </c>
      <c r="AF1559">
        <v>1.06666184609543</v>
      </c>
      <c r="AG1559">
        <v>-1.109636559373</v>
      </c>
      <c r="AH1559">
        <v>21.4370490108989</v>
      </c>
      <c r="AI1559">
        <v>92.959476923549204</v>
      </c>
      <c r="AJ1559">
        <v>87.151433509787296</v>
      </c>
      <c r="AK1559">
        <v>21.492234204090899</v>
      </c>
      <c r="AL1559">
        <v>89.719425797439001</v>
      </c>
      <c r="AM1559">
        <v>89.871936502251202</v>
      </c>
      <c r="AN1559">
        <v>0.999999987875695</v>
      </c>
    </row>
    <row r="1560" spans="1:40" x14ac:dyDescent="0.25">
      <c r="A1560" t="str">
        <f>"20190312151015198"</f>
        <v>20190312151015198</v>
      </c>
      <c r="B1560" t="str">
        <f>"1552374615191742"</f>
        <v>1552374615191742</v>
      </c>
      <c r="C1560" t="s">
        <v>40</v>
      </c>
      <c r="D1560">
        <v>5.0721049999999996</v>
      </c>
      <c r="E1560">
        <v>0.51764030000000005</v>
      </c>
      <c r="F1560" t="s">
        <v>50</v>
      </c>
      <c r="G1560">
        <v>-191.083</v>
      </c>
      <c r="H1560" s="1">
        <v>3.459252E-6</v>
      </c>
      <c r="I1560">
        <v>288.19940000000003</v>
      </c>
      <c r="J1560">
        <v>-190.7687</v>
      </c>
      <c r="K1560">
        <v>1.10964</v>
      </c>
      <c r="L1560">
        <v>309.66660000000002</v>
      </c>
      <c r="M1560">
        <v>3.5255309999999998E-2</v>
      </c>
      <c r="N1560">
        <v>0</v>
      </c>
      <c r="O1560">
        <v>-0.99932909999999997</v>
      </c>
      <c r="P1560">
        <v>3.3111450000000001E-2</v>
      </c>
      <c r="Q1560">
        <v>-4.9988230000000003E-3</v>
      </c>
      <c r="R1560">
        <v>-0.99943919999999997</v>
      </c>
      <c r="S1560">
        <v>-4.2205810000000003E-2</v>
      </c>
      <c r="T1560">
        <v>-0.15336629999999901</v>
      </c>
      <c r="U1560">
        <v>-3.0022890000000002</v>
      </c>
      <c r="V1560">
        <v>2.146925E-3</v>
      </c>
      <c r="W1560">
        <v>4.9145660000000004E-3</v>
      </c>
      <c r="X1560">
        <v>0.99998560000000003</v>
      </c>
      <c r="Y1560">
        <v>4.9283019999999997E-2</v>
      </c>
      <c r="Z1560">
        <v>5.0935540000000001E-2</v>
      </c>
      <c r="AA1560">
        <v>0.99748519999999896</v>
      </c>
      <c r="AB1560">
        <v>26</v>
      </c>
      <c r="AC1560">
        <v>-0.31430000000000202</v>
      </c>
      <c r="AD1560">
        <v>-1.109636540748</v>
      </c>
      <c r="AE1560">
        <v>-21.467199999999899</v>
      </c>
      <c r="AF1560">
        <v>1.0681213877153899</v>
      </c>
      <c r="AG1560">
        <v>-1.109636540748</v>
      </c>
      <c r="AH1560">
        <v>21.3856452520068</v>
      </c>
      <c r="AI1560">
        <v>92.966550087847494</v>
      </c>
      <c r="AJ1560">
        <v>87.140697207404898</v>
      </c>
      <c r="AK1560">
        <v>21.441035408676999</v>
      </c>
      <c r="AL1560">
        <v>89.718414971248805</v>
      </c>
      <c r="AM1560">
        <v>89.876988676206395</v>
      </c>
      <c r="AN1560">
        <v>0.99999998122664102</v>
      </c>
    </row>
    <row r="1561" spans="1:40" x14ac:dyDescent="0.25">
      <c r="A1561" t="str">
        <f>"20190312151015221"</f>
        <v>20190312151015221</v>
      </c>
      <c r="B1561" t="str">
        <f>"1552374615212238"</f>
        <v>1552374615212238</v>
      </c>
      <c r="C1561" t="s">
        <v>40</v>
      </c>
      <c r="D1561">
        <v>5.0950980000000001</v>
      </c>
      <c r="E1561">
        <v>0.51755479999999998</v>
      </c>
      <c r="F1561" t="s">
        <v>50</v>
      </c>
      <c r="G1561">
        <v>-191.07050000000001</v>
      </c>
      <c r="H1561" s="1">
        <v>3.4695599999999902E-6</v>
      </c>
      <c r="I1561">
        <v>288.1069</v>
      </c>
      <c r="J1561">
        <v>-190.7594</v>
      </c>
      <c r="K1561">
        <v>1.109645</v>
      </c>
      <c r="L1561">
        <v>309.40140000000002</v>
      </c>
      <c r="M1561">
        <v>3.5211149999999997E-2</v>
      </c>
      <c r="N1561">
        <v>0</v>
      </c>
      <c r="O1561">
        <v>-0.99933079999999996</v>
      </c>
      <c r="P1561">
        <v>3.2911940000000001E-2</v>
      </c>
      <c r="Q1561">
        <v>-5.5327419999999898E-3</v>
      </c>
      <c r="R1561">
        <v>-0.99944330000000003</v>
      </c>
      <c r="S1561">
        <v>-4.2022709999999998E-2</v>
      </c>
      <c r="T1561">
        <v>-0.1545222</v>
      </c>
      <c r="U1561">
        <v>-3.0022890000000002</v>
      </c>
      <c r="V1561">
        <v>2.3021880000000002E-3</v>
      </c>
      <c r="W1561">
        <v>4.4091240000000004E-3</v>
      </c>
      <c r="X1561">
        <v>0.99998759999999998</v>
      </c>
      <c r="Y1561">
        <v>4.9177789999999999E-2</v>
      </c>
      <c r="Z1561">
        <v>5.1318679999999998E-2</v>
      </c>
      <c r="AA1561">
        <v>0.99747079999999999</v>
      </c>
      <c r="AB1561">
        <v>26</v>
      </c>
      <c r="AC1561">
        <v>-0.31110000000000998</v>
      </c>
      <c r="AD1561">
        <v>-1.10964153044</v>
      </c>
      <c r="AE1561">
        <v>-21.294499999999999</v>
      </c>
      <c r="AF1561">
        <v>1.0578757698197701</v>
      </c>
      <c r="AG1561">
        <v>-1.10964153044</v>
      </c>
      <c r="AH1561">
        <v>21.212750781578698</v>
      </c>
      <c r="AI1561">
        <v>92.990709935226107</v>
      </c>
      <c r="AJ1561">
        <v>87.145035776728704</v>
      </c>
      <c r="AK1561">
        <v>21.268079395935501</v>
      </c>
      <c r="AL1561">
        <v>89.747374977421501</v>
      </c>
      <c r="AM1561">
        <v>89.868092941348195</v>
      </c>
      <c r="AN1561">
        <v>0.99999997029889598</v>
      </c>
    </row>
    <row r="1562" spans="1:40" x14ac:dyDescent="0.25">
      <c r="A1562" t="str">
        <f>"20190312151015242"</f>
        <v>20190312151015242</v>
      </c>
      <c r="B1562" t="str">
        <f>"1552374615231762"</f>
        <v>1552374615231762</v>
      </c>
      <c r="C1562" t="s">
        <v>40</v>
      </c>
      <c r="D1562">
        <v>5.1068939999999996</v>
      </c>
      <c r="E1562">
        <v>0.51743099999999997</v>
      </c>
      <c r="F1562" t="s">
        <v>50</v>
      </c>
      <c r="G1562">
        <v>-191.05410000000001</v>
      </c>
      <c r="H1562" s="1">
        <v>3.4574410000000002E-6</v>
      </c>
      <c r="I1562">
        <v>288.27879999999999</v>
      </c>
      <c r="J1562">
        <v>-190.75040000000001</v>
      </c>
      <c r="K1562">
        <v>1.109653</v>
      </c>
      <c r="L1562">
        <v>309.1454</v>
      </c>
      <c r="M1562">
        <v>3.5175140000000001E-2</v>
      </c>
      <c r="N1562">
        <v>0</v>
      </c>
      <c r="O1562">
        <v>-0.99933150000000004</v>
      </c>
      <c r="P1562">
        <v>3.2333019999999997E-2</v>
      </c>
      <c r="Q1562">
        <v>-5.798798E-3</v>
      </c>
      <c r="R1562">
        <v>-0.99946049999999997</v>
      </c>
      <c r="S1562">
        <v>-4.188538E-2</v>
      </c>
      <c r="T1562">
        <v>-0.15771569999999999</v>
      </c>
      <c r="U1562">
        <v>-3.0021969999999998</v>
      </c>
      <c r="V1562">
        <v>2.8452629999999998E-3</v>
      </c>
      <c r="W1562">
        <v>4.1678469999999997E-3</v>
      </c>
      <c r="X1562">
        <v>0.99998719999999996</v>
      </c>
      <c r="Y1562">
        <v>4.9095850000000003E-2</v>
      </c>
      <c r="Z1562">
        <v>5.2378210000000001E-2</v>
      </c>
      <c r="AA1562">
        <v>0.99741970000000002</v>
      </c>
      <c r="AB1562">
        <v>26</v>
      </c>
      <c r="AC1562">
        <v>-0.30369999999999198</v>
      </c>
      <c r="AD1562">
        <v>-1.1096495425590001</v>
      </c>
      <c r="AE1562">
        <v>-20.866599999999998</v>
      </c>
      <c r="AF1562">
        <v>1.0346088689394899</v>
      </c>
      <c r="AG1562">
        <v>-1.1096495425590001</v>
      </c>
      <c r="AH1562">
        <v>20.784238603995899</v>
      </c>
      <c r="AI1562">
        <v>93.052290311239901</v>
      </c>
      <c r="AJ1562">
        <v>87.150252499485902</v>
      </c>
      <c r="AK1562">
        <v>20.839537230150299</v>
      </c>
      <c r="AL1562">
        <v>89.761199249950394</v>
      </c>
      <c r="AM1562">
        <v>89.836976791722094</v>
      </c>
      <c r="AN1562">
        <v>0.99999993331699499</v>
      </c>
    </row>
    <row r="1563" spans="1:40" x14ac:dyDescent="0.25">
      <c r="A1563" t="str">
        <f>"20190312151015264"</f>
        <v>20190312151015264</v>
      </c>
      <c r="B1563" t="str">
        <f>"1552374615262014"</f>
        <v>1552374615262014</v>
      </c>
      <c r="C1563" t="s">
        <v>40</v>
      </c>
      <c r="D1563">
        <v>5.0643289999999999</v>
      </c>
      <c r="E1563">
        <v>0.51734099999999905</v>
      </c>
      <c r="F1563" t="s">
        <v>50</v>
      </c>
      <c r="G1563">
        <v>-191.04740000000001</v>
      </c>
      <c r="H1563" s="1">
        <v>3.4678410000000001E-6</v>
      </c>
      <c r="I1563">
        <v>288.17340000000002</v>
      </c>
      <c r="J1563">
        <v>-190.74100000000001</v>
      </c>
      <c r="K1563">
        <v>1.109656</v>
      </c>
      <c r="L1563">
        <v>308.87779999999998</v>
      </c>
      <c r="M1563">
        <v>3.5148319999999997E-2</v>
      </c>
      <c r="N1563">
        <v>0</v>
      </c>
      <c r="O1563">
        <v>-0.9993322</v>
      </c>
      <c r="P1563">
        <v>3.2010049999999998E-2</v>
      </c>
      <c r="Q1563">
        <v>-5.767721E-3</v>
      </c>
      <c r="R1563">
        <v>-0.99947090000000005</v>
      </c>
      <c r="S1563">
        <v>-4.2510989999999999E-2</v>
      </c>
      <c r="T1563">
        <v>-0.15884100000000001</v>
      </c>
      <c r="U1563">
        <v>-3.0020449999999999</v>
      </c>
      <c r="V1563">
        <v>3.141516E-3</v>
      </c>
      <c r="W1563">
        <v>4.222206E-3</v>
      </c>
      <c r="X1563">
        <v>0.99998620000000005</v>
      </c>
      <c r="Y1563">
        <v>4.9277309999999998E-2</v>
      </c>
      <c r="Z1563">
        <v>5.2753349999999997E-2</v>
      </c>
      <c r="AA1563">
        <v>0.99739100000000003</v>
      </c>
      <c r="AB1563">
        <v>26</v>
      </c>
      <c r="AC1563">
        <v>-0.30640000000002399</v>
      </c>
      <c r="AD1563">
        <v>-1.1096525321590001</v>
      </c>
      <c r="AE1563">
        <v>-20.7043999999999</v>
      </c>
      <c r="AF1563">
        <v>1.03101097972308</v>
      </c>
      <c r="AG1563">
        <v>-1.1096525321590001</v>
      </c>
      <c r="AH1563">
        <v>20.621614560849199</v>
      </c>
      <c r="AI1563">
        <v>93.076289863326295</v>
      </c>
      <c r="AJ1563">
        <v>87.137788081700904</v>
      </c>
      <c r="AK1563">
        <v>20.677168555647601</v>
      </c>
      <c r="AL1563">
        <v>89.758084708842603</v>
      </c>
      <c r="AM1563">
        <v>89.820002500107407</v>
      </c>
      <c r="AN1563">
        <v>1.00000004816836</v>
      </c>
    </row>
    <row r="1564" spans="1:40" x14ac:dyDescent="0.25">
      <c r="A1564" t="str">
        <f>"20190312151015287"</f>
        <v>20190312151015287</v>
      </c>
      <c r="B1564" t="str">
        <f>"1552374615282510"</f>
        <v>1552374615282510</v>
      </c>
      <c r="C1564" t="s">
        <v>40</v>
      </c>
      <c r="D1564">
        <v>5.1045879999999997</v>
      </c>
      <c r="E1564">
        <v>0.51730849999999995</v>
      </c>
      <c r="F1564" t="s">
        <v>50</v>
      </c>
      <c r="G1564">
        <v>-191.03919999999999</v>
      </c>
      <c r="H1564" s="1">
        <v>3.4852000000000001E-6</v>
      </c>
      <c r="I1564">
        <v>287.9914</v>
      </c>
      <c r="J1564">
        <v>-190.732</v>
      </c>
      <c r="K1564">
        <v>1.1096619999999999</v>
      </c>
      <c r="L1564">
        <v>308.6207</v>
      </c>
      <c r="M1564">
        <v>3.5132530000000002E-2</v>
      </c>
      <c r="N1564">
        <v>0</v>
      </c>
      <c r="O1564">
        <v>-0.99933269999999996</v>
      </c>
      <c r="P1564">
        <v>3.102214E-2</v>
      </c>
      <c r="Q1564">
        <v>-6.01667E-3</v>
      </c>
      <c r="R1564">
        <v>-0.99950079999999997</v>
      </c>
      <c r="S1564">
        <v>-4.2861940000000001E-2</v>
      </c>
      <c r="T1564">
        <v>-0.159492299999999</v>
      </c>
      <c r="U1564">
        <v>-3.0020449999999999</v>
      </c>
      <c r="V1564">
        <v>4.1139870000000004E-3</v>
      </c>
      <c r="W1564">
        <v>3.9942800000000002E-3</v>
      </c>
      <c r="X1564">
        <v>0.99998350000000003</v>
      </c>
      <c r="Y1564">
        <v>4.9377940000000002E-2</v>
      </c>
      <c r="Z1564">
        <v>5.2968889999999998E-2</v>
      </c>
      <c r="AA1564">
        <v>0.9973746</v>
      </c>
      <c r="AB1564">
        <v>26</v>
      </c>
      <c r="AC1564">
        <v>-0.30719999999999398</v>
      </c>
      <c r="AD1564">
        <v>-1.1096585148</v>
      </c>
      <c r="AE1564">
        <v>-20.629300000000001</v>
      </c>
      <c r="AF1564">
        <v>1.0288298611162701</v>
      </c>
      <c r="AG1564">
        <v>-1.1096585148</v>
      </c>
      <c r="AH1564">
        <v>20.546334473485299</v>
      </c>
      <c r="AI1564">
        <v>93.087544136685906</v>
      </c>
      <c r="AJ1564">
        <v>87.133385756893603</v>
      </c>
      <c r="AK1564">
        <v>20.601982749214201</v>
      </c>
      <c r="AL1564">
        <v>89.771143991469003</v>
      </c>
      <c r="AM1564">
        <v>89.764283348445502</v>
      </c>
      <c r="AN1564">
        <v>0.99999993971699996</v>
      </c>
    </row>
    <row r="1565" spans="1:40" x14ac:dyDescent="0.25">
      <c r="A1565" t="str">
        <f>"20190312151015309"</f>
        <v>20190312151015309</v>
      </c>
      <c r="B1565" t="str">
        <f>"1552374615302030"</f>
        <v>1552374615302030</v>
      </c>
      <c r="C1565" t="s">
        <v>40</v>
      </c>
      <c r="D1565">
        <v>5.0543800000000001</v>
      </c>
      <c r="E1565">
        <v>0.51727679999999998</v>
      </c>
      <c r="F1565" t="s">
        <v>50</v>
      </c>
      <c r="G1565">
        <v>-191.04599999999999</v>
      </c>
      <c r="H1565" s="1">
        <v>3.4872269999999999E-6</v>
      </c>
      <c r="I1565">
        <v>287.9545</v>
      </c>
      <c r="J1565">
        <v>-190.7225</v>
      </c>
      <c r="K1565">
        <v>1.1096729999999999</v>
      </c>
      <c r="L1565">
        <v>308.35140000000001</v>
      </c>
      <c r="M1565">
        <v>3.5126599999999897E-2</v>
      </c>
      <c r="N1565">
        <v>0</v>
      </c>
      <c r="O1565">
        <v>-0.99933240000000001</v>
      </c>
      <c r="P1565">
        <v>3.0180709999999999E-2</v>
      </c>
      <c r="Q1565">
        <v>-6.2291909999999898E-3</v>
      </c>
      <c r="R1565">
        <v>-0.99952510000000006</v>
      </c>
      <c r="S1565">
        <v>-4.560852E-2</v>
      </c>
      <c r="T1565">
        <v>-0.16118850000000001</v>
      </c>
      <c r="U1565">
        <v>-3.0019529999999999</v>
      </c>
      <c r="V1565">
        <v>4.9497569999999999E-3</v>
      </c>
      <c r="W1565">
        <v>3.8040230000000001E-3</v>
      </c>
      <c r="X1565">
        <v>0.99998050000000005</v>
      </c>
      <c r="Y1565">
        <v>5.0284309999999999E-2</v>
      </c>
      <c r="Z1565">
        <v>5.3530670000000002E-2</v>
      </c>
      <c r="AA1565">
        <v>0.9972993</v>
      </c>
      <c r="AB1565">
        <v>26</v>
      </c>
      <c r="AC1565">
        <v>-0.32349999999999501</v>
      </c>
      <c r="AD1565">
        <v>-1.1096695127730001</v>
      </c>
      <c r="AE1565">
        <v>-20.396899999999999</v>
      </c>
      <c r="AF1565">
        <v>1.0367424716329601</v>
      </c>
      <c r="AG1565">
        <v>-1.1096695127730001</v>
      </c>
      <c r="AH1565">
        <v>20.3128408167</v>
      </c>
      <c r="AI1565">
        <v>93.122844433443206</v>
      </c>
      <c r="AJ1565">
        <v>87.078228983692895</v>
      </c>
      <c r="AK1565">
        <v>20.369528797315301</v>
      </c>
      <c r="AL1565">
        <v>89.782045008117606</v>
      </c>
      <c r="AM1565">
        <v>89.716396600151697</v>
      </c>
      <c r="AN1565">
        <v>0.99999998553279601</v>
      </c>
    </row>
    <row r="1566" spans="1:40" x14ac:dyDescent="0.25">
      <c r="A1566" t="str">
        <f>"20190312151015333"</f>
        <v>20190312151015333</v>
      </c>
      <c r="B1566" t="str">
        <f>"1552374615322526"</f>
        <v>1552374615322526</v>
      </c>
      <c r="C1566" t="s">
        <v>40</v>
      </c>
      <c r="D1566">
        <v>5.3066810000000002</v>
      </c>
      <c r="E1566">
        <v>0.51729380000000003</v>
      </c>
      <c r="F1566" t="s">
        <v>50</v>
      </c>
      <c r="G1566">
        <v>-191.04929999999999</v>
      </c>
      <c r="H1566" s="1">
        <v>3.4894699999999901E-6</v>
      </c>
      <c r="I1566">
        <v>287.92200000000003</v>
      </c>
      <c r="J1566">
        <v>-190.71279999999999</v>
      </c>
      <c r="K1566">
        <v>1.1096779999999999</v>
      </c>
      <c r="L1566">
        <v>308.07400000000001</v>
      </c>
      <c r="M1566">
        <v>3.5136489999999999E-2</v>
      </c>
      <c r="N1566">
        <v>0</v>
      </c>
      <c r="O1566">
        <v>-0.999332</v>
      </c>
      <c r="P1566">
        <v>2.999653E-2</v>
      </c>
      <c r="Q1566">
        <v>-6.1711099999999996E-3</v>
      </c>
      <c r="R1566">
        <v>-0.99953099999999995</v>
      </c>
      <c r="S1566">
        <v>-4.8019409999999998E-2</v>
      </c>
      <c r="T1566">
        <v>-0.16305149999999999</v>
      </c>
      <c r="U1566">
        <v>-3.0018310000000001</v>
      </c>
      <c r="V1566">
        <v>5.1438609999999996E-3</v>
      </c>
      <c r="W1566">
        <v>3.8893759999999999E-3</v>
      </c>
      <c r="X1566">
        <v>0.99997919999999996</v>
      </c>
      <c r="Y1566">
        <v>5.1095040000000001E-2</v>
      </c>
      <c r="Z1566">
        <v>5.4148290000000002E-2</v>
      </c>
      <c r="AA1566">
        <v>0.99722480000000002</v>
      </c>
      <c r="AB1566">
        <v>26</v>
      </c>
      <c r="AC1566">
        <v>-0.33650000000000002</v>
      </c>
      <c r="AD1566">
        <v>-1.1096745105299901</v>
      </c>
      <c r="AE1566">
        <v>-20.151999999999902</v>
      </c>
      <c r="AF1566">
        <v>1.0412421448896301</v>
      </c>
      <c r="AG1566">
        <v>-1.1096745105299901</v>
      </c>
      <c r="AH1566">
        <v>20.066901830334299</v>
      </c>
      <c r="AI1566">
        <v>93.160917333255597</v>
      </c>
      <c r="AJ1566">
        <v>87.0296698005683</v>
      </c>
      <c r="AK1566">
        <v>20.124515193959098</v>
      </c>
      <c r="AL1566">
        <v>89.777154606968296</v>
      </c>
      <c r="AM1566">
        <v>89.705274943459401</v>
      </c>
      <c r="AN1566">
        <v>0.99999999349214796</v>
      </c>
    </row>
    <row r="1567" spans="1:40" x14ac:dyDescent="0.25">
      <c r="A1567" t="str">
        <f>"20190312151015355"</f>
        <v>20190312151015355</v>
      </c>
      <c r="B1567" t="str">
        <f>"1552374615352782"</f>
        <v>1552374615352782</v>
      </c>
      <c r="C1567" t="s">
        <v>40</v>
      </c>
      <c r="D1567">
        <v>5.2384120000000003</v>
      </c>
      <c r="E1567">
        <v>0.57837609999999995</v>
      </c>
      <c r="F1567" t="s">
        <v>50</v>
      </c>
      <c r="G1567">
        <v>-191.04349999999999</v>
      </c>
      <c r="H1567" s="1">
        <v>3.5096370000000002E-6</v>
      </c>
      <c r="I1567">
        <v>287.70319999999998</v>
      </c>
      <c r="J1567">
        <v>-190.70349999999999</v>
      </c>
      <c r="K1567">
        <v>1.1096889999999999</v>
      </c>
      <c r="L1567">
        <v>307.81040000000002</v>
      </c>
      <c r="M1567">
        <v>3.5165429999999998E-2</v>
      </c>
      <c r="N1567">
        <v>0</v>
      </c>
      <c r="O1567">
        <v>-0.99933079999999996</v>
      </c>
      <c r="P1567">
        <v>3.0353930000000001E-2</v>
      </c>
      <c r="Q1567">
        <v>-6.3189639999999998E-3</v>
      </c>
      <c r="R1567">
        <v>-0.99951959999999995</v>
      </c>
      <c r="S1567">
        <v>-4.873657E-2</v>
      </c>
      <c r="T1567">
        <v>-0.16352429999999901</v>
      </c>
      <c r="U1567">
        <v>-3.0018919999999998</v>
      </c>
      <c r="V1567">
        <v>4.8151449999999998E-3</v>
      </c>
      <c r="W1567">
        <v>3.7673070000000001E-3</v>
      </c>
      <c r="X1567">
        <v>0.99998129999999996</v>
      </c>
      <c r="Y1567">
        <v>5.1361690000000002E-2</v>
      </c>
      <c r="Z1567">
        <v>5.430318E-2</v>
      </c>
      <c r="AA1567">
        <v>0.99720260000000005</v>
      </c>
      <c r="AB1567">
        <v>26</v>
      </c>
      <c r="AC1567">
        <v>-0.34000000000000302</v>
      </c>
      <c r="AD1567">
        <v>-1.109685490363</v>
      </c>
      <c r="AE1567">
        <v>-20.107199999999999</v>
      </c>
      <c r="AF1567">
        <v>1.0437258199672299</v>
      </c>
      <c r="AG1567">
        <v>-1.109685490363</v>
      </c>
      <c r="AH1567">
        <v>20.021841260373801</v>
      </c>
      <c r="AI1567">
        <v>93.168008517286907</v>
      </c>
      <c r="AJ1567">
        <v>87.015908646929802</v>
      </c>
      <c r="AK1567">
        <v>20.079713467337999</v>
      </c>
      <c r="AL1567">
        <v>89.784148695873299</v>
      </c>
      <c r="AM1567">
        <v>89.724109486861494</v>
      </c>
      <c r="AN1567">
        <v>0.99999998928654599</v>
      </c>
    </row>
    <row r="1568" spans="1:40" x14ac:dyDescent="0.25">
      <c r="A1568" t="str">
        <f>"20190312151015377"</f>
        <v>20190312151015377</v>
      </c>
      <c r="B1568" t="str">
        <f>"1552374615372302"</f>
        <v>1552374615372302</v>
      </c>
      <c r="C1568" t="s">
        <v>40</v>
      </c>
      <c r="D1568">
        <v>5.2375160000000003</v>
      </c>
      <c r="E1568">
        <v>0.57963679999999995</v>
      </c>
      <c r="F1568" t="s">
        <v>50</v>
      </c>
      <c r="G1568">
        <v>-193.13390000000001</v>
      </c>
      <c r="H1568" s="1">
        <v>1.5749280000000001E-6</v>
      </c>
      <c r="I1568">
        <v>294.11020000000002</v>
      </c>
      <c r="J1568">
        <v>-190.69479999999999</v>
      </c>
      <c r="K1568">
        <v>1.1097060000000001</v>
      </c>
      <c r="L1568">
        <v>307.56319999999999</v>
      </c>
      <c r="M1568">
        <v>3.5207889999999999E-2</v>
      </c>
      <c r="N1568">
        <v>0</v>
      </c>
      <c r="O1568">
        <v>-0.99932909999999997</v>
      </c>
      <c r="P1568">
        <v>3.096057E-2</v>
      </c>
      <c r="Q1568">
        <v>-6.5389310000000004E-3</v>
      </c>
      <c r="R1568">
        <v>-0.99949949999999999</v>
      </c>
      <c r="S1568">
        <v>-0.53506469999999995</v>
      </c>
      <c r="T1568">
        <v>-0.2443022</v>
      </c>
      <c r="U1568">
        <v>-3.0161440000000002</v>
      </c>
      <c r="V1568">
        <v>4.2505659999999999E-3</v>
      </c>
      <c r="W1568">
        <v>3.5694199999999998E-3</v>
      </c>
      <c r="X1568">
        <v>0.9999846</v>
      </c>
      <c r="Y1568">
        <v>0.20868339999999999</v>
      </c>
      <c r="Z1568">
        <v>7.9155569999999995E-2</v>
      </c>
      <c r="AA1568">
        <v>0.97477469999999999</v>
      </c>
      <c r="AB1568">
        <v>26</v>
      </c>
      <c r="AC1568">
        <v>-2.4391000000000198</v>
      </c>
      <c r="AD1568">
        <v>-1.1097044250719901</v>
      </c>
      <c r="AE1568">
        <v>-13.4529999999999</v>
      </c>
      <c r="AF1568">
        <v>2.89221062347471</v>
      </c>
      <c r="AG1568">
        <v>-1.1097044250719901</v>
      </c>
      <c r="AH1568">
        <v>13.271351574574799</v>
      </c>
      <c r="AI1568">
        <v>94.670633085123598</v>
      </c>
      <c r="AJ1568">
        <v>77.705819333414695</v>
      </c>
      <c r="AK1568">
        <v>13.628099604036199</v>
      </c>
      <c r="AL1568">
        <v>89.795486865262902</v>
      </c>
      <c r="AM1568">
        <v>89.756458223845399</v>
      </c>
      <c r="AN1568">
        <v>1.0000000041538</v>
      </c>
    </row>
    <row r="1569" spans="1:40" x14ac:dyDescent="0.25">
      <c r="A1569" t="str">
        <f>"20190312151015399"</f>
        <v>20190312151015399</v>
      </c>
      <c r="B1569" t="str">
        <f>"1552374615392798"</f>
        <v>1552374615392798</v>
      </c>
      <c r="C1569" t="s">
        <v>40</v>
      </c>
      <c r="D1569">
        <v>5.2457289999999999</v>
      </c>
      <c r="E1569">
        <v>0.58028190000000002</v>
      </c>
      <c r="F1569" t="s">
        <v>50</v>
      </c>
      <c r="G1569">
        <v>-193.6336</v>
      </c>
      <c r="H1569" s="1">
        <v>2.3131949999999998E-6</v>
      </c>
      <c r="I1569">
        <v>291.22809999999998</v>
      </c>
      <c r="J1569">
        <v>-190.68549999999999</v>
      </c>
      <c r="K1569">
        <v>1.1097189999999999</v>
      </c>
      <c r="L1569">
        <v>307.30239999999998</v>
      </c>
      <c r="M1569">
        <v>3.5264120000000003E-2</v>
      </c>
      <c r="N1569">
        <v>0</v>
      </c>
      <c r="O1569">
        <v>-0.99932670000000001</v>
      </c>
      <c r="P1569">
        <v>3.1520989999999999E-2</v>
      </c>
      <c r="Q1569">
        <v>-6.0843629999999998E-3</v>
      </c>
      <c r="R1569">
        <v>-0.9994847</v>
      </c>
      <c r="S1569">
        <v>-0.54278559999999998</v>
      </c>
      <c r="T1569">
        <v>-0.2049533</v>
      </c>
      <c r="U1569">
        <v>-3.0169679999999999</v>
      </c>
      <c r="V1569">
        <v>3.7461270000000001E-3</v>
      </c>
      <c r="W1569">
        <v>4.0448250000000002E-3</v>
      </c>
      <c r="X1569">
        <v>0.99998480000000001</v>
      </c>
      <c r="Y1569">
        <v>0.2112745</v>
      </c>
      <c r="Z1569">
        <v>6.6418099999999994E-2</v>
      </c>
      <c r="AA1569">
        <v>0.97516749999999996</v>
      </c>
      <c r="AB1569">
        <v>26</v>
      </c>
      <c r="AC1569">
        <v>-2.9481000000000099</v>
      </c>
      <c r="AD1569">
        <v>-1.1097166868049999</v>
      </c>
      <c r="AE1569">
        <v>-16.074299999999901</v>
      </c>
      <c r="AF1569">
        <v>3.4970166709236099</v>
      </c>
      <c r="AG1569">
        <v>-1.1097166868049999</v>
      </c>
      <c r="AH1569">
        <v>15.887078930374701</v>
      </c>
      <c r="AI1569">
        <v>93.902511580001303</v>
      </c>
      <c r="AJ1569">
        <v>77.586185717486003</v>
      </c>
      <c r="AK1569">
        <v>16.3052100158706</v>
      </c>
      <c r="AL1569">
        <v>89.768247966034394</v>
      </c>
      <c r="AM1569">
        <v>89.785360474916303</v>
      </c>
      <c r="AN1569">
        <v>0.99999999715390997</v>
      </c>
    </row>
    <row r="1570" spans="1:40" x14ac:dyDescent="0.25">
      <c r="A1570" t="str">
        <f>"20190312151015422"</f>
        <v>20190312151015422</v>
      </c>
      <c r="B1570" t="str">
        <f>"1552374615412318"</f>
        <v>1552374615412318</v>
      </c>
      <c r="C1570" t="s">
        <v>40</v>
      </c>
      <c r="D1570">
        <v>5.2655580000000004</v>
      </c>
      <c r="E1570">
        <v>0.5809069</v>
      </c>
      <c r="F1570" t="s">
        <v>50</v>
      </c>
      <c r="G1570">
        <v>-193.82980000000001</v>
      </c>
      <c r="H1570" s="1">
        <v>2.73578E-6</v>
      </c>
      <c r="I1570">
        <v>289.93419999999998</v>
      </c>
      <c r="J1570">
        <v>-190.67609999999999</v>
      </c>
      <c r="K1570">
        <v>1.109734</v>
      </c>
      <c r="L1570">
        <v>307.03609999999998</v>
      </c>
      <c r="M1570">
        <v>3.5330599999999997E-2</v>
      </c>
      <c r="N1570">
        <v>0</v>
      </c>
      <c r="O1570">
        <v>-0.99932430000000005</v>
      </c>
      <c r="P1570">
        <v>3.1821210000000003E-2</v>
      </c>
      <c r="Q1570">
        <v>-5.7371360000000003E-3</v>
      </c>
      <c r="R1570">
        <v>-0.99947730000000001</v>
      </c>
      <c r="S1570">
        <v>-0.54629519999999998</v>
      </c>
      <c r="T1570">
        <v>-0.19280420000000001</v>
      </c>
      <c r="U1570">
        <v>-3.0175779999999999</v>
      </c>
      <c r="V1570">
        <v>3.5122579999999999E-3</v>
      </c>
      <c r="W1570">
        <v>4.4177060000000004E-3</v>
      </c>
      <c r="X1570">
        <v>0.99998410000000004</v>
      </c>
      <c r="Y1570">
        <v>0.212449</v>
      </c>
      <c r="Z1570">
        <v>6.2470249999999998E-2</v>
      </c>
      <c r="AA1570">
        <v>0.97517319999999996</v>
      </c>
      <c r="AB1570">
        <v>26</v>
      </c>
      <c r="AC1570">
        <v>-3.1537000000000099</v>
      </c>
      <c r="AD1570">
        <v>-1.1097312642199999</v>
      </c>
      <c r="AE1570">
        <v>-17.101900000000001</v>
      </c>
      <c r="AF1570">
        <v>3.7407493930002</v>
      </c>
      <c r="AG1570">
        <v>-1.1097312642199999</v>
      </c>
      <c r="AH1570">
        <v>16.910930123963801</v>
      </c>
      <c r="AI1570">
        <v>93.666116664522306</v>
      </c>
      <c r="AJ1570">
        <v>77.526850357091504</v>
      </c>
      <c r="AK1570">
        <v>17.355237456099601</v>
      </c>
      <c r="AL1570">
        <v>89.746883274379599</v>
      </c>
      <c r="AM1570">
        <v>89.798760067830102</v>
      </c>
      <c r="AN1570">
        <v>1.00000002616768</v>
      </c>
    </row>
    <row r="1571" spans="1:40" x14ac:dyDescent="0.25">
      <c r="A1571" t="str">
        <f>"20190312151015443"</f>
        <v>20190312151015443</v>
      </c>
      <c r="B1571" t="str">
        <f>"1552374615432814"</f>
        <v>1552374615432814</v>
      </c>
      <c r="C1571" t="s">
        <v>40</v>
      </c>
      <c r="D1571">
        <v>5.244802</v>
      </c>
      <c r="E1571">
        <v>0.58125380000000004</v>
      </c>
      <c r="F1571" t="s">
        <v>50</v>
      </c>
      <c r="G1571">
        <v>-193.81460000000001</v>
      </c>
      <c r="H1571" s="1">
        <v>2.7764499999999999E-6</v>
      </c>
      <c r="I1571">
        <v>289.82679999999999</v>
      </c>
      <c r="J1571">
        <v>-190.66669999999999</v>
      </c>
      <c r="K1571">
        <v>1.109748</v>
      </c>
      <c r="L1571">
        <v>306.77460000000002</v>
      </c>
      <c r="M1571">
        <v>3.5401910000000002E-2</v>
      </c>
      <c r="N1571">
        <v>0</v>
      </c>
      <c r="O1571">
        <v>-0.99932149999999997</v>
      </c>
      <c r="P1571">
        <v>3.1737250000000002E-2</v>
      </c>
      <c r="Q1571">
        <v>-4.9238069999999997E-3</v>
      </c>
      <c r="R1571">
        <v>-0.9994845</v>
      </c>
      <c r="S1571">
        <v>-0.55039979999999999</v>
      </c>
      <c r="T1571">
        <v>-0.1946117</v>
      </c>
      <c r="U1571">
        <v>-3.0179749999999999</v>
      </c>
      <c r="V1571">
        <v>3.6676479999999999E-3</v>
      </c>
      <c r="W1571">
        <v>5.2588380000000001E-3</v>
      </c>
      <c r="X1571">
        <v>0.99997939999999996</v>
      </c>
      <c r="Y1571">
        <v>0.21377360000000001</v>
      </c>
      <c r="Z1571">
        <v>6.3028349999999997E-2</v>
      </c>
      <c r="AA1571">
        <v>0.97484780000000004</v>
      </c>
      <c r="AB1571">
        <v>27</v>
      </c>
      <c r="AC1571">
        <v>-3.1479000000000199</v>
      </c>
      <c r="AD1571">
        <v>-1.10974522355</v>
      </c>
      <c r="AE1571">
        <v>-16.947800000000001</v>
      </c>
      <c r="AF1571">
        <v>3.7304804233672502</v>
      </c>
      <c r="AG1571">
        <v>-1.10974522355</v>
      </c>
      <c r="AH1571">
        <v>16.7562786694862</v>
      </c>
      <c r="AI1571">
        <v>93.698791038955605</v>
      </c>
      <c r="AJ1571">
        <v>77.448831675819093</v>
      </c>
      <c r="AK1571">
        <v>17.202351394498201</v>
      </c>
      <c r="AL1571">
        <v>89.698689374691995</v>
      </c>
      <c r="AM1571">
        <v>89.789855862168395</v>
      </c>
      <c r="AN1571">
        <v>0.99999995372165995</v>
      </c>
    </row>
    <row r="1572" spans="1:40" x14ac:dyDescent="0.25">
      <c r="A1572" t="str">
        <f>"20190312151015465"</f>
        <v>20190312151015465</v>
      </c>
      <c r="B1572" t="str">
        <f>"1552374615462094"</f>
        <v>1552374615462094</v>
      </c>
      <c r="C1572" t="s">
        <v>40</v>
      </c>
      <c r="D1572">
        <v>5.252472</v>
      </c>
      <c r="E1572">
        <v>0.58175080000000001</v>
      </c>
      <c r="F1572" t="s">
        <v>50</v>
      </c>
      <c r="G1572">
        <v>-193.9119</v>
      </c>
      <c r="H1572" s="1">
        <v>2.8811069999999998E-6</v>
      </c>
      <c r="I1572">
        <v>289.0727</v>
      </c>
      <c r="J1572">
        <v>-190.65729999999999</v>
      </c>
      <c r="K1572">
        <v>1.1097600000000001</v>
      </c>
      <c r="L1572">
        <v>306.512</v>
      </c>
      <c r="M1572">
        <v>3.5477380000000003E-2</v>
      </c>
      <c r="N1572">
        <v>0</v>
      </c>
      <c r="O1572">
        <v>-0.99931859999999995</v>
      </c>
      <c r="P1572">
        <v>3.1311360000000003E-2</v>
      </c>
      <c r="Q1572">
        <v>-4.8253369999999999E-3</v>
      </c>
      <c r="R1572">
        <v>-0.99949840000000001</v>
      </c>
      <c r="S1572">
        <v>-0.55329899999999999</v>
      </c>
      <c r="T1572">
        <v>-0.1892104</v>
      </c>
      <c r="U1572">
        <v>-3.0181580000000001</v>
      </c>
      <c r="V1572">
        <v>4.1692630000000003E-3</v>
      </c>
      <c r="W1572">
        <v>5.3832910000000001E-3</v>
      </c>
      <c r="X1572">
        <v>0.9999768</v>
      </c>
      <c r="Y1572">
        <v>0.2147628</v>
      </c>
      <c r="Z1572">
        <v>6.1270039999999998E-2</v>
      </c>
      <c r="AA1572">
        <v>0.97474249999999996</v>
      </c>
      <c r="AB1572">
        <v>27</v>
      </c>
      <c r="AC1572">
        <v>-3.2546000000000102</v>
      </c>
      <c r="AD1572">
        <v>-1.109757118893</v>
      </c>
      <c r="AE1572">
        <v>-17.439299999999999</v>
      </c>
      <c r="AF1572">
        <v>3.8561937401278801</v>
      </c>
      <c r="AG1572">
        <v>-1.109757118893</v>
      </c>
      <c r="AH1572">
        <v>17.245365656776901</v>
      </c>
      <c r="AI1572">
        <v>93.593465568019795</v>
      </c>
      <c r="AJ1572">
        <v>77.395577009657799</v>
      </c>
      <c r="AK1572">
        <v>17.7060562424351</v>
      </c>
      <c r="AL1572">
        <v>89.691558650345797</v>
      </c>
      <c r="AM1572">
        <v>89.761114668467599</v>
      </c>
      <c r="AN1572">
        <v>0.99999998155709602</v>
      </c>
    </row>
    <row r="1573" spans="1:40" x14ac:dyDescent="0.25">
      <c r="A1573" t="str">
        <f>"20190312151015487"</f>
        <v>20190312151015487</v>
      </c>
      <c r="B1573" t="str">
        <f>"1552374615482590"</f>
        <v>1552374615482590</v>
      </c>
      <c r="C1573" t="s">
        <v>40</v>
      </c>
      <c r="D1573">
        <v>5.2484859999999998</v>
      </c>
      <c r="E1573">
        <v>0.58224980000000004</v>
      </c>
      <c r="F1573" t="s">
        <v>50</v>
      </c>
      <c r="G1573">
        <v>-193.9796</v>
      </c>
      <c r="H1573" s="1">
        <v>2.9135250000000002E-6</v>
      </c>
      <c r="I1573">
        <v>288.56450000000001</v>
      </c>
      <c r="J1573">
        <v>-190.648</v>
      </c>
      <c r="K1573">
        <v>1.1097629999999901</v>
      </c>
      <c r="L1573">
        <v>306.25029999999998</v>
      </c>
      <c r="M1573">
        <v>3.5553300000000003E-2</v>
      </c>
      <c r="N1573">
        <v>0</v>
      </c>
      <c r="O1573">
        <v>-0.99931550000000002</v>
      </c>
      <c r="P1573">
        <v>3.045809E-2</v>
      </c>
      <c r="Q1573">
        <v>-4.3169569999999997E-3</v>
      </c>
      <c r="R1573">
        <v>-0.9995269</v>
      </c>
      <c r="S1573">
        <v>-0.55868530000000005</v>
      </c>
      <c r="T1573">
        <v>-0.18662190000000001</v>
      </c>
      <c r="U1573">
        <v>-3.0181269999999998</v>
      </c>
      <c r="V1573">
        <v>5.0989329999999999E-3</v>
      </c>
      <c r="W1573">
        <v>5.9168619999999898E-3</v>
      </c>
      <c r="X1573">
        <v>0.99996949999999996</v>
      </c>
      <c r="Y1573">
        <v>0.21653040000000001</v>
      </c>
      <c r="Z1573">
        <v>6.0413750000000002E-2</v>
      </c>
      <c r="AA1573">
        <v>0.97440479999999996</v>
      </c>
      <c r="AB1573">
        <v>27</v>
      </c>
      <c r="AC1573">
        <v>-3.3315999999999999</v>
      </c>
      <c r="AD1573">
        <v>-1.1097600864749999</v>
      </c>
      <c r="AE1573">
        <v>-17.685799999999901</v>
      </c>
      <c r="AF1573">
        <v>3.9433205729535499</v>
      </c>
      <c r="AG1573">
        <v>-1.1097600864749999</v>
      </c>
      <c r="AH1573">
        <v>17.489658264952901</v>
      </c>
      <c r="AI1573">
        <v>93.542007192297405</v>
      </c>
      <c r="AJ1573">
        <v>77.294214231655403</v>
      </c>
      <c r="AK1573">
        <v>17.963003390731899</v>
      </c>
      <c r="AL1573">
        <v>89.660986802896105</v>
      </c>
      <c r="AM1573">
        <v>89.707846280364194</v>
      </c>
      <c r="AN1573">
        <v>1.0000000046519499</v>
      </c>
    </row>
    <row r="1574" spans="1:40" x14ac:dyDescent="0.25">
      <c r="A1574" t="str">
        <f>"20190312151015510"</f>
        <v>20190312151015510</v>
      </c>
      <c r="B1574" t="str">
        <f>"1552374615502110"</f>
        <v>1552374615502110</v>
      </c>
      <c r="C1574" t="s">
        <v>40</v>
      </c>
      <c r="D1574">
        <v>5.292745</v>
      </c>
      <c r="E1574">
        <v>0.58261870000000004</v>
      </c>
      <c r="F1574" t="s">
        <v>50</v>
      </c>
      <c r="G1574">
        <v>-194.00739999999999</v>
      </c>
      <c r="H1574" s="1">
        <v>2.9305769999999999E-6</v>
      </c>
      <c r="I1574">
        <v>288.31310000000002</v>
      </c>
      <c r="J1574">
        <v>-190.63800000000001</v>
      </c>
      <c r="K1574">
        <v>1.1097709999999901</v>
      </c>
      <c r="L1574">
        <v>305.9717</v>
      </c>
      <c r="M1574">
        <v>3.5632690000000002E-2</v>
      </c>
      <c r="N1574">
        <v>0</v>
      </c>
      <c r="O1574">
        <v>-0.99931239999999999</v>
      </c>
      <c r="P1574">
        <v>2.9387389999999999E-2</v>
      </c>
      <c r="Q1574">
        <v>-4.5205180000000003E-3</v>
      </c>
      <c r="R1574">
        <v>-0.99955799999999995</v>
      </c>
      <c r="S1574">
        <v>-0.56520079999999995</v>
      </c>
      <c r="T1574">
        <v>-0.18671189999999999</v>
      </c>
      <c r="U1574">
        <v>-3.0178530000000001</v>
      </c>
      <c r="V1574">
        <v>6.2495399999999996E-3</v>
      </c>
      <c r="W1574">
        <v>5.747589E-3</v>
      </c>
      <c r="X1574">
        <v>0.99996390000000002</v>
      </c>
      <c r="Y1574">
        <v>0.2186565</v>
      </c>
      <c r="Z1574">
        <v>6.0421599999999999E-2</v>
      </c>
      <c r="AA1574">
        <v>0.9739295</v>
      </c>
      <c r="AB1574">
        <v>27</v>
      </c>
      <c r="AC1574">
        <v>-3.3693999999999802</v>
      </c>
      <c r="AD1574">
        <v>-1.1097680694230001</v>
      </c>
      <c r="AE1574">
        <v>-17.6585999999999</v>
      </c>
      <c r="AF1574">
        <v>3.9813442335648701</v>
      </c>
      <c r="AG1574">
        <v>-1.1097680694230001</v>
      </c>
      <c r="AH1574">
        <v>17.460777388634099</v>
      </c>
      <c r="AI1574">
        <v>93.545930354013294</v>
      </c>
      <c r="AJ1574">
        <v>77.155221966543607</v>
      </c>
      <c r="AK1574">
        <v>17.9432838156645</v>
      </c>
      <c r="AL1574">
        <v>89.670685577122995</v>
      </c>
      <c r="AM1574">
        <v>89.641919469334994</v>
      </c>
      <c r="AN1574">
        <v>0.99999994641636503</v>
      </c>
    </row>
    <row r="1575" spans="1:40" x14ac:dyDescent="0.25">
      <c r="A1575" t="str">
        <f>"20190312151015534"</f>
        <v>20190312151015534</v>
      </c>
      <c r="B1575" t="str">
        <f>"1552374615522607"</f>
        <v>1552374615522607</v>
      </c>
      <c r="C1575" t="s">
        <v>40</v>
      </c>
      <c r="D1575">
        <v>5.2985449999999998</v>
      </c>
      <c r="E1575">
        <v>0.58291419999999905</v>
      </c>
      <c r="F1575" t="s">
        <v>50</v>
      </c>
      <c r="G1575">
        <v>-194.0136</v>
      </c>
      <c r="H1575" s="1">
        <v>2.9442999999999999E-6</v>
      </c>
      <c r="I1575">
        <v>288.14350000000002</v>
      </c>
      <c r="J1575">
        <v>-190.62799999999999</v>
      </c>
      <c r="K1575">
        <v>1.1097729999999999</v>
      </c>
      <c r="L1575">
        <v>305.6934</v>
      </c>
      <c r="M1575">
        <v>3.5709409999999997E-2</v>
      </c>
      <c r="N1575">
        <v>0</v>
      </c>
      <c r="O1575">
        <v>-0.99930920000000001</v>
      </c>
      <c r="P1575">
        <v>2.749679E-2</v>
      </c>
      <c r="Q1575">
        <v>-4.5932739999999996E-3</v>
      </c>
      <c r="R1575">
        <v>-0.99961129999999998</v>
      </c>
      <c r="S1575">
        <v>-0.57130429999999999</v>
      </c>
      <c r="T1575">
        <v>-0.18782270000000001</v>
      </c>
      <c r="U1575">
        <v>-3.017334</v>
      </c>
      <c r="V1575">
        <v>8.2176290000000006E-3</v>
      </c>
      <c r="W1575">
        <v>5.7146870000000004E-3</v>
      </c>
      <c r="X1575">
        <v>0.99994989999999995</v>
      </c>
      <c r="Y1575">
        <v>0.22065989999999999</v>
      </c>
      <c r="Z1575">
        <v>6.0764539999999999E-2</v>
      </c>
      <c r="AA1575">
        <v>0.97345610000000005</v>
      </c>
      <c r="AB1575">
        <v>27</v>
      </c>
      <c r="AC1575">
        <v>-3.3856000000000099</v>
      </c>
      <c r="AD1575">
        <v>-1.1097700557000001</v>
      </c>
      <c r="AE1575">
        <v>-17.549899999999901</v>
      </c>
      <c r="AF1575">
        <v>3.9947696016680201</v>
      </c>
      <c r="AG1575">
        <v>-1.1097700557000001</v>
      </c>
      <c r="AH1575">
        <v>17.350910214740399</v>
      </c>
      <c r="AI1575">
        <v>93.566614195188606</v>
      </c>
      <c r="AJ1575">
        <v>77.034502096176496</v>
      </c>
      <c r="AK1575">
        <v>17.839390657388499</v>
      </c>
      <c r="AL1575">
        <v>89.672570769761805</v>
      </c>
      <c r="AM1575">
        <v>89.529151550237003</v>
      </c>
      <c r="AN1575">
        <v>0.99999999479194901</v>
      </c>
    </row>
    <row r="1576" spans="1:40" x14ac:dyDescent="0.25">
      <c r="A1576" t="str">
        <f>"20190312151015566"</f>
        <v>20190312151015566</v>
      </c>
      <c r="B1576" t="str">
        <f>"1552374615562622"</f>
        <v>1552374615562622</v>
      </c>
      <c r="C1576" t="s">
        <v>40</v>
      </c>
      <c r="D1576">
        <v>5.4350399999999999</v>
      </c>
      <c r="E1576">
        <v>0.58337530000000004</v>
      </c>
      <c r="F1576" t="s">
        <v>50</v>
      </c>
      <c r="G1576">
        <v>-194.0787</v>
      </c>
      <c r="H1576" s="1">
        <v>2.9689390000000001E-6</v>
      </c>
      <c r="I1576">
        <v>287.7296</v>
      </c>
      <c r="J1576">
        <v>-190.61420000000001</v>
      </c>
      <c r="K1576">
        <v>1.1097779999999999</v>
      </c>
      <c r="L1576">
        <v>305.30919999999998</v>
      </c>
      <c r="M1576">
        <v>3.5811450000000002E-2</v>
      </c>
      <c r="N1576">
        <v>0</v>
      </c>
      <c r="O1576">
        <v>-0.99930490000000005</v>
      </c>
      <c r="P1576">
        <v>2.338869E-2</v>
      </c>
      <c r="Q1576">
        <v>-4.7992149999999999E-3</v>
      </c>
      <c r="R1576">
        <v>-0.99971500000000002</v>
      </c>
      <c r="S1576">
        <v>-0.57939149999999995</v>
      </c>
      <c r="T1576">
        <v>-0.18633810000000001</v>
      </c>
      <c r="U1576">
        <v>-3.016235</v>
      </c>
      <c r="V1576">
        <v>1.2428949999999999E-2</v>
      </c>
      <c r="W1576">
        <v>5.5721159999999898E-3</v>
      </c>
      <c r="X1576">
        <v>0.99990730000000005</v>
      </c>
      <c r="Y1576">
        <v>0.2233475</v>
      </c>
      <c r="Z1576">
        <v>6.0273529999999999E-2</v>
      </c>
      <c r="AA1576">
        <v>0.97287360000000001</v>
      </c>
      <c r="AB1576">
        <v>27</v>
      </c>
      <c r="AC1576">
        <v>-3.4644999999999802</v>
      </c>
      <c r="AD1576">
        <v>-1.109775031061</v>
      </c>
      <c r="AE1576">
        <v>-17.5795999999999</v>
      </c>
      <c r="AF1576">
        <v>4.0762249302566103</v>
      </c>
      <c r="AG1576">
        <v>-1.109775031061</v>
      </c>
      <c r="AH1576">
        <v>17.377582899219401</v>
      </c>
      <c r="AI1576">
        <v>93.557777139855304</v>
      </c>
      <c r="AJ1576">
        <v>76.798907258213504</v>
      </c>
      <c r="AK1576">
        <v>17.8837243805885</v>
      </c>
      <c r="AL1576">
        <v>89.680739639825504</v>
      </c>
      <c r="AM1576">
        <v>89.287844277260803</v>
      </c>
      <c r="AN1576">
        <v>1.0000000679340499</v>
      </c>
    </row>
    <row r="1577" spans="1:40" x14ac:dyDescent="0.25">
      <c r="A1577" t="str">
        <f>"20190312151015588"</f>
        <v>20190312151015588</v>
      </c>
      <c r="B1577" t="str">
        <f>"1552374615582141"</f>
        <v>1552374615582141</v>
      </c>
      <c r="C1577" t="s">
        <v>40</v>
      </c>
      <c r="D1577">
        <v>5.4271140000000004</v>
      </c>
      <c r="E1577">
        <v>0.61194550000000003</v>
      </c>
      <c r="F1577" t="s">
        <v>50</v>
      </c>
      <c r="G1577">
        <v>-194.1439</v>
      </c>
      <c r="H1577" s="1">
        <v>2.9807670000000001E-6</v>
      </c>
      <c r="I1577">
        <v>287.46190000000001</v>
      </c>
      <c r="J1577">
        <v>-190.6046</v>
      </c>
      <c r="K1577">
        <v>1.109785</v>
      </c>
      <c r="L1577">
        <v>305.04410000000001</v>
      </c>
      <c r="M1577">
        <v>3.5880280000000001E-2</v>
      </c>
      <c r="N1577">
        <v>0</v>
      </c>
      <c r="O1577">
        <v>-0.99930180000000002</v>
      </c>
      <c r="P1577">
        <v>2.0710429999999998E-2</v>
      </c>
      <c r="Q1577">
        <v>-4.558042E-3</v>
      </c>
      <c r="R1577">
        <v>-0.99977519999999998</v>
      </c>
      <c r="S1577">
        <v>-0.59608459999999996</v>
      </c>
      <c r="T1577">
        <v>-0.18741060000000001</v>
      </c>
      <c r="U1577">
        <v>-3.013916</v>
      </c>
      <c r="V1577">
        <v>1.5176520000000001E-2</v>
      </c>
      <c r="W1577">
        <v>5.8625049999999996E-3</v>
      </c>
      <c r="X1577">
        <v>0.99986759999999997</v>
      </c>
      <c r="Y1577">
        <v>0.228737</v>
      </c>
      <c r="Z1577">
        <v>6.0594380000000003E-2</v>
      </c>
      <c r="AA1577">
        <v>0.97160060000000004</v>
      </c>
      <c r="AB1577">
        <v>27</v>
      </c>
      <c r="AC1577">
        <v>-3.5392999999999901</v>
      </c>
      <c r="AD1577">
        <v>-1.1097820192329999</v>
      </c>
      <c r="AE1577">
        <v>-17.5822</v>
      </c>
      <c r="AF1577">
        <v>4.1520114986255603</v>
      </c>
      <c r="AG1577">
        <v>-1.1097820192329999</v>
      </c>
      <c r="AH1577">
        <v>17.377342864499902</v>
      </c>
      <c r="AI1577">
        <v>93.554377980485896</v>
      </c>
      <c r="AJ1577">
        <v>76.562114310042702</v>
      </c>
      <c r="AK1577">
        <v>17.900917871587499</v>
      </c>
      <c r="AL1577">
        <v>89.664101267455905</v>
      </c>
      <c r="AM1577">
        <v>89.130401090113594</v>
      </c>
      <c r="AN1577">
        <v>0.99999995662697105</v>
      </c>
    </row>
    <row r="1578" spans="1:40" x14ac:dyDescent="0.25">
      <c r="A1578" t="str">
        <f>"20190312151015611"</f>
        <v>20190312151015611</v>
      </c>
      <c r="B1578" t="str">
        <f>"1552374615602638"</f>
        <v>1552374615602638</v>
      </c>
      <c r="C1578" t="s">
        <v>40</v>
      </c>
      <c r="D1578">
        <v>5.4416140000000004</v>
      </c>
      <c r="E1578">
        <v>0.61473339999999999</v>
      </c>
      <c r="F1578" t="s">
        <v>50</v>
      </c>
      <c r="G1578">
        <v>-194.5172</v>
      </c>
      <c r="H1578" s="1">
        <v>2.283147E-6</v>
      </c>
      <c r="I1578">
        <v>290.86970000000002</v>
      </c>
      <c r="J1578">
        <v>-190.59469999999999</v>
      </c>
      <c r="K1578">
        <v>1.1097980000000001</v>
      </c>
      <c r="L1578">
        <v>304.7704</v>
      </c>
      <c r="M1578">
        <v>3.5950919999999997E-2</v>
      </c>
      <c r="N1578">
        <v>0</v>
      </c>
      <c r="O1578">
        <v>-0.99929869999999998</v>
      </c>
      <c r="P1578">
        <v>1.688479E-2</v>
      </c>
      <c r="Q1578">
        <v>-4.4974919999999996E-3</v>
      </c>
      <c r="R1578">
        <v>-0.99984740000000005</v>
      </c>
      <c r="S1578">
        <v>-0.83274840000000006</v>
      </c>
      <c r="T1578">
        <v>-0.23620179999999999</v>
      </c>
      <c r="U1578">
        <v>-3.0168149999999998</v>
      </c>
      <c r="V1578">
        <v>1.907298E-2</v>
      </c>
      <c r="W1578">
        <v>5.9807580000000001E-3</v>
      </c>
      <c r="X1578">
        <v>0.99980020000000003</v>
      </c>
      <c r="Y1578">
        <v>0.29982120000000001</v>
      </c>
      <c r="Z1578">
        <v>7.4794180000000002E-2</v>
      </c>
      <c r="AA1578">
        <v>0.95105890000000004</v>
      </c>
      <c r="AB1578">
        <v>27</v>
      </c>
      <c r="AC1578">
        <v>-3.9225000000000101</v>
      </c>
      <c r="AD1578">
        <v>-1.1097957168529999</v>
      </c>
      <c r="AE1578">
        <v>-13.900699999999899</v>
      </c>
      <c r="AF1578">
        <v>4.3937938449902001</v>
      </c>
      <c r="AG1578">
        <v>-1.1097957168529999</v>
      </c>
      <c r="AH1578">
        <v>13.669981471886301</v>
      </c>
      <c r="AI1578">
        <v>94.419634457611593</v>
      </c>
      <c r="AJ1578">
        <v>72.181600271265694</v>
      </c>
      <c r="AK1578">
        <v>14.40157853595</v>
      </c>
      <c r="AL1578">
        <v>89.657325763346805</v>
      </c>
      <c r="AM1578">
        <v>88.907112921011404</v>
      </c>
      <c r="AN1578">
        <v>0.999999993976187</v>
      </c>
    </row>
    <row r="1579" spans="1:40" x14ac:dyDescent="0.25">
      <c r="A1579" t="str">
        <f>"20190312151015633"</f>
        <v>20190312151015633</v>
      </c>
      <c r="B1579" t="str">
        <f>"1552374615622158"</f>
        <v>1552374615622158</v>
      </c>
      <c r="C1579" t="s">
        <v>40</v>
      </c>
      <c r="D1579">
        <v>5.4238239999999998</v>
      </c>
      <c r="E1579">
        <v>0.61753910000000001</v>
      </c>
      <c r="F1579" t="s">
        <v>50</v>
      </c>
      <c r="G1579">
        <v>-194.58690000000001</v>
      </c>
      <c r="H1579" s="1">
        <v>2.2621630000000002E-6</v>
      </c>
      <c r="I1579">
        <v>290.89409999999998</v>
      </c>
      <c r="J1579">
        <v>-190.5849</v>
      </c>
      <c r="K1579">
        <v>1.1098140000000001</v>
      </c>
      <c r="L1579">
        <v>304.50040000000001</v>
      </c>
      <c r="M1579">
        <v>3.6020589999999998E-2</v>
      </c>
      <c r="N1579">
        <v>0</v>
      </c>
      <c r="O1579">
        <v>-0.99929559999999995</v>
      </c>
      <c r="P1579">
        <v>1.1476159999999999E-2</v>
      </c>
      <c r="Q1579">
        <v>-5.4348529999999999E-3</v>
      </c>
      <c r="R1579">
        <v>-0.99991969999999997</v>
      </c>
      <c r="S1579">
        <v>-0.86711119999999997</v>
      </c>
      <c r="T1579">
        <v>-0.24105170000000001</v>
      </c>
      <c r="U1579">
        <v>-3.0139770000000001</v>
      </c>
      <c r="V1579">
        <v>2.4550499999999999E-2</v>
      </c>
      <c r="W1579">
        <v>5.1186499999999998E-3</v>
      </c>
      <c r="X1579">
        <v>0.9996855</v>
      </c>
      <c r="Y1579">
        <v>0.31011509999999998</v>
      </c>
      <c r="Z1579">
        <v>7.6145160000000003E-2</v>
      </c>
      <c r="AA1579">
        <v>0.94764470000000001</v>
      </c>
      <c r="AB1579">
        <v>27</v>
      </c>
      <c r="AC1579">
        <v>-4.0019999999999998</v>
      </c>
      <c r="AD1579">
        <v>-1.1098117378369901</v>
      </c>
      <c r="AE1579">
        <v>-13.606299999999999</v>
      </c>
      <c r="AF1579">
        <v>4.4622133325752698</v>
      </c>
      <c r="AG1579">
        <v>-1.1098117378369901</v>
      </c>
      <c r="AH1579">
        <v>13.371429772569099</v>
      </c>
      <c r="AI1579">
        <v>94.501642531062501</v>
      </c>
      <c r="AJ1579">
        <v>71.545500929272805</v>
      </c>
      <c r="AK1579">
        <v>14.139949224859301</v>
      </c>
      <c r="AL1579">
        <v>89.706721681400495</v>
      </c>
      <c r="AM1579">
        <v>88.593200208754098</v>
      </c>
      <c r="AN1579">
        <v>1.00000001326916</v>
      </c>
    </row>
    <row r="1580" spans="1:40" x14ac:dyDescent="0.25">
      <c r="A1580" t="str">
        <f>"20190312151015656"</f>
        <v>20190312151015656</v>
      </c>
      <c r="B1580" t="str">
        <f>"1552374615652414"</f>
        <v>1552374615652414</v>
      </c>
      <c r="C1580" t="s">
        <v>40</v>
      </c>
      <c r="D1580">
        <v>5.4973429999999999</v>
      </c>
      <c r="E1580">
        <v>0.6183765</v>
      </c>
      <c r="F1580" t="s">
        <v>50</v>
      </c>
      <c r="G1580">
        <v>-194.3905</v>
      </c>
      <c r="H1580" s="1">
        <v>1.956285E-6</v>
      </c>
      <c r="I1580">
        <v>291.85789999999997</v>
      </c>
      <c r="J1580">
        <v>-190.5753</v>
      </c>
      <c r="K1580">
        <v>1.10985</v>
      </c>
      <c r="L1580">
        <v>304.2371</v>
      </c>
      <c r="M1580">
        <v>3.6089629999999998E-2</v>
      </c>
      <c r="N1580">
        <v>0</v>
      </c>
      <c r="O1580">
        <v>-0.99929179999999995</v>
      </c>
      <c r="P1580">
        <v>5.4678640000000002E-3</v>
      </c>
      <c r="Q1580">
        <v>-5.5261619999999899E-3</v>
      </c>
      <c r="R1580">
        <v>-0.99996980000000002</v>
      </c>
      <c r="S1580">
        <v>-0.90582280000000004</v>
      </c>
      <c r="T1580">
        <v>-0.26416000000000001</v>
      </c>
      <c r="U1580">
        <v>-3.0091860000000001</v>
      </c>
      <c r="V1580">
        <v>3.062581E-2</v>
      </c>
      <c r="W1580">
        <v>5.1362919999999998E-3</v>
      </c>
      <c r="X1580">
        <v>0.99951769999999995</v>
      </c>
      <c r="Y1580">
        <v>0.3216117</v>
      </c>
      <c r="Z1580">
        <v>8.3208610000000002E-2</v>
      </c>
      <c r="AA1580">
        <v>0.94320850000000001</v>
      </c>
      <c r="AB1580">
        <v>27</v>
      </c>
      <c r="AC1580">
        <v>-3.8151999999999999</v>
      </c>
      <c r="AD1580">
        <v>-1.109848043715</v>
      </c>
      <c r="AE1580">
        <v>-12.379200000000001</v>
      </c>
      <c r="AF1580">
        <v>4.2284607947748301</v>
      </c>
      <c r="AG1580">
        <v>-1.109848043715</v>
      </c>
      <c r="AH1580">
        <v>12.1442908538639</v>
      </c>
      <c r="AI1580">
        <v>94.9327740963476</v>
      </c>
      <c r="AJ1580">
        <v>70.802645504064699</v>
      </c>
      <c r="AK1580">
        <v>12.907185739592</v>
      </c>
      <c r="AL1580">
        <v>89.705710845361196</v>
      </c>
      <c r="AM1580">
        <v>88.244972724138194</v>
      </c>
      <c r="AN1580">
        <v>0.99999997717347699</v>
      </c>
    </row>
    <row r="1581" spans="1:40" x14ac:dyDescent="0.25">
      <c r="A1581" t="str">
        <f>"20190312151015678"</f>
        <v>20190312151015678</v>
      </c>
      <c r="B1581" t="str">
        <f>"1552374615671935"</f>
        <v>1552374615671935</v>
      </c>
      <c r="C1581" t="s">
        <v>40</v>
      </c>
      <c r="D1581">
        <v>5.5022949999999904</v>
      </c>
      <c r="E1581">
        <v>0.61862229999999996</v>
      </c>
      <c r="F1581" t="s">
        <v>50</v>
      </c>
      <c r="G1581">
        <v>-194.3869</v>
      </c>
      <c r="H1581" s="1">
        <v>1.9288480000000001E-6</v>
      </c>
      <c r="I1581">
        <v>291.93740000000003</v>
      </c>
      <c r="J1581">
        <v>-190.56569999999999</v>
      </c>
      <c r="K1581">
        <v>1.1099139999999901</v>
      </c>
      <c r="L1581">
        <v>303.97089999999997</v>
      </c>
      <c r="M1581">
        <v>3.6157689999999999E-2</v>
      </c>
      <c r="N1581">
        <v>0</v>
      </c>
      <c r="O1581">
        <v>-0.9992875</v>
      </c>
      <c r="P1581">
        <v>-2.1699050000000002E-3</v>
      </c>
      <c r="Q1581">
        <v>-2.9713309999999998E-3</v>
      </c>
      <c r="R1581">
        <v>-0.99999329999999997</v>
      </c>
      <c r="S1581">
        <v>-0.9308014</v>
      </c>
      <c r="T1581">
        <v>-0.2710341</v>
      </c>
      <c r="U1581">
        <v>-3.0036930000000002</v>
      </c>
      <c r="V1581">
        <v>3.8327310000000003E-2</v>
      </c>
      <c r="W1581">
        <v>7.8604060000000003E-3</v>
      </c>
      <c r="X1581">
        <v>0.99923430000000002</v>
      </c>
      <c r="Y1581">
        <v>0.329262099999999</v>
      </c>
      <c r="Z1581">
        <v>8.5288890000000006E-2</v>
      </c>
      <c r="AA1581">
        <v>0.94037879999999996</v>
      </c>
      <c r="AB1581">
        <v>27</v>
      </c>
      <c r="AC1581">
        <v>-3.8212000000000002</v>
      </c>
      <c r="AD1581">
        <v>-1.1099120711520001</v>
      </c>
      <c r="AE1581">
        <v>-12.033499999999901</v>
      </c>
      <c r="AF1581">
        <v>4.2212082963347601</v>
      </c>
      <c r="AG1581">
        <v>-1.1099120711520001</v>
      </c>
      <c r="AH1581">
        <v>11.796293987213399</v>
      </c>
      <c r="AI1581">
        <v>95.0625464446872</v>
      </c>
      <c r="AJ1581">
        <v>70.310662211715993</v>
      </c>
      <c r="AK1581">
        <v>12.5778796352764</v>
      </c>
      <c r="AL1581">
        <v>89.549627262932404</v>
      </c>
      <c r="AM1581">
        <v>87.803400951906298</v>
      </c>
      <c r="AN1581">
        <v>0.99999997748540503</v>
      </c>
    </row>
    <row r="1582" spans="1:40" x14ac:dyDescent="0.25">
      <c r="A1582" t="str">
        <f>"20190312151015701"</f>
        <v>20190312151015701</v>
      </c>
      <c r="B1582" t="str">
        <f>"1552374615692430"</f>
        <v>1552374615692430</v>
      </c>
      <c r="C1582" t="s">
        <v>40</v>
      </c>
      <c r="D1582">
        <v>5.4728529999999997</v>
      </c>
      <c r="E1582">
        <v>0.61821870000000001</v>
      </c>
      <c r="F1582" t="s">
        <v>50</v>
      </c>
      <c r="G1582">
        <v>-194.49160000000001</v>
      </c>
      <c r="H1582" s="1">
        <v>2.007904E-6</v>
      </c>
      <c r="I1582">
        <v>291.66120000000001</v>
      </c>
      <c r="J1582">
        <v>-190.55609999999999</v>
      </c>
      <c r="K1582">
        <v>1.109988</v>
      </c>
      <c r="L1582">
        <v>303.70760000000001</v>
      </c>
      <c r="M1582">
        <v>3.6216529999999997E-2</v>
      </c>
      <c r="N1582">
        <v>0</v>
      </c>
      <c r="O1582">
        <v>-0.99928269999999997</v>
      </c>
      <c r="P1582">
        <v>-9.1784090000000002E-3</v>
      </c>
      <c r="Q1582">
        <v>-4.7442330000000002E-4</v>
      </c>
      <c r="R1582">
        <v>-0.99995789999999996</v>
      </c>
      <c r="S1582">
        <v>-0.95587160000000004</v>
      </c>
      <c r="T1582">
        <v>-0.27023740000000002</v>
      </c>
      <c r="U1582">
        <v>-2.997131</v>
      </c>
      <c r="V1582">
        <v>4.5388690000000002E-2</v>
      </c>
      <c r="W1582">
        <v>1.0599239999999999E-2</v>
      </c>
      <c r="X1582">
        <v>0.99891319999999995</v>
      </c>
      <c r="Y1582">
        <v>0.33705279999999999</v>
      </c>
      <c r="Z1582">
        <v>8.4991979999999995E-2</v>
      </c>
      <c r="AA1582">
        <v>0.93764159999999996</v>
      </c>
      <c r="AB1582">
        <v>27</v>
      </c>
      <c r="AC1582">
        <v>-3.93550000000001</v>
      </c>
      <c r="AD1582">
        <v>-1.109985992096</v>
      </c>
      <c r="AE1582">
        <v>-12.0464</v>
      </c>
      <c r="AF1582">
        <v>4.3359601733104904</v>
      </c>
      <c r="AG1582">
        <v>-1.109985992096</v>
      </c>
      <c r="AH1582">
        <v>11.805392532939999</v>
      </c>
      <c r="AI1582">
        <v>95.043791876018105</v>
      </c>
      <c r="AJ1582">
        <v>69.832402638236601</v>
      </c>
      <c r="AK1582">
        <v>12.6253678118295</v>
      </c>
      <c r="AL1582">
        <v>89.392696928134001</v>
      </c>
      <c r="AM1582">
        <v>87.398379705989299</v>
      </c>
      <c r="AN1582">
        <v>1.00000002910136</v>
      </c>
    </row>
    <row r="1583" spans="1:40" x14ac:dyDescent="0.25">
      <c r="A1583" t="str">
        <f>"20190312151015722"</f>
        <v>20190312151015722</v>
      </c>
      <c r="B1583" t="str">
        <f>"1552374615711950"</f>
        <v>1552374615711950</v>
      </c>
      <c r="C1583" t="s">
        <v>40</v>
      </c>
      <c r="D1583">
        <v>5.5178279999999997</v>
      </c>
      <c r="E1583">
        <v>0.61783509999999997</v>
      </c>
      <c r="F1583" t="s">
        <v>50</v>
      </c>
      <c r="G1583">
        <v>-194.6902</v>
      </c>
      <c r="H1583" s="1">
        <v>2.1993880000000002E-6</v>
      </c>
      <c r="I1583">
        <v>291.01979999999998</v>
      </c>
      <c r="J1583">
        <v>-190.54640000000001</v>
      </c>
      <c r="K1583">
        <v>1.110061</v>
      </c>
      <c r="L1583">
        <v>303.44349999999997</v>
      </c>
      <c r="M1583">
        <v>3.6268540000000002E-2</v>
      </c>
      <c r="N1583">
        <v>0</v>
      </c>
      <c r="O1583">
        <v>-0.99927750000000004</v>
      </c>
      <c r="P1583">
        <v>-1.50171E-2</v>
      </c>
      <c r="Q1583">
        <v>4.6484050000000004E-3</v>
      </c>
      <c r="R1583">
        <v>-0.99987630000000005</v>
      </c>
      <c r="S1583">
        <v>-0.97459410000000002</v>
      </c>
      <c r="T1583">
        <v>-0.2616695</v>
      </c>
      <c r="U1583">
        <v>-2.991028</v>
      </c>
      <c r="V1583">
        <v>5.127255E-2</v>
      </c>
      <c r="W1583">
        <v>1.5988929999999998E-2</v>
      </c>
      <c r="X1583">
        <v>0.99855669999999996</v>
      </c>
      <c r="Y1583">
        <v>0.34303460000000002</v>
      </c>
      <c r="Z1583">
        <v>8.2307060000000001E-2</v>
      </c>
      <c r="AA1583">
        <v>0.93570980000000004</v>
      </c>
      <c r="AB1583">
        <v>27</v>
      </c>
      <c r="AC1583">
        <v>-4.1437999999999899</v>
      </c>
      <c r="AD1583">
        <v>-1.110058800612</v>
      </c>
      <c r="AE1583">
        <v>-12.423699999999901</v>
      </c>
      <c r="AF1583">
        <v>4.5589395450846402</v>
      </c>
      <c r="AG1583">
        <v>-1.110058800612</v>
      </c>
      <c r="AH1583">
        <v>12.1777384982918</v>
      </c>
      <c r="AI1583">
        <v>94.879431193287701</v>
      </c>
      <c r="AJ1583">
        <v>69.475774223656202</v>
      </c>
      <c r="AK1583">
        <v>13.050420500862399</v>
      </c>
      <c r="AL1583">
        <v>89.083862756338505</v>
      </c>
      <c r="AM1583">
        <v>87.060634546735201</v>
      </c>
      <c r="AN1583">
        <v>1.00000000169046</v>
      </c>
    </row>
    <row r="1584" spans="1:40" x14ac:dyDescent="0.25">
      <c r="A1584" t="str">
        <f>"20190312151015747"</f>
        <v>20190312151015747</v>
      </c>
      <c r="B1584" t="str">
        <f>"1552374615742207"</f>
        <v>1552374615742207</v>
      </c>
      <c r="C1584" t="s">
        <v>40</v>
      </c>
      <c r="D1584">
        <v>5.5195460000000001</v>
      </c>
      <c r="E1584">
        <v>0.61782709999999996</v>
      </c>
      <c r="F1584" t="s">
        <v>50</v>
      </c>
      <c r="G1584">
        <v>-195.4607</v>
      </c>
      <c r="H1584" s="1">
        <v>2.645357E-6</v>
      </c>
      <c r="I1584">
        <v>288.6268</v>
      </c>
      <c r="J1584">
        <v>-190.5361</v>
      </c>
      <c r="K1584">
        <v>1.110106</v>
      </c>
      <c r="L1584">
        <v>303.1619</v>
      </c>
      <c r="M1584">
        <v>3.6299140000000001E-2</v>
      </c>
      <c r="N1584">
        <v>0</v>
      </c>
      <c r="O1584">
        <v>-0.99927319999999997</v>
      </c>
      <c r="P1584">
        <v>-2.0240370000000001E-2</v>
      </c>
      <c r="Q1584">
        <v>1.030406E-2</v>
      </c>
      <c r="R1584">
        <v>-0.99974220000000003</v>
      </c>
      <c r="S1584">
        <v>-0.99055479999999996</v>
      </c>
      <c r="T1584">
        <v>-0.22374939999999999</v>
      </c>
      <c r="U1584">
        <v>-2.986542</v>
      </c>
      <c r="V1584">
        <v>5.6518739999999998E-2</v>
      </c>
      <c r="W1584">
        <v>2.1926859999999999E-2</v>
      </c>
      <c r="X1584">
        <v>0.99816070000000001</v>
      </c>
      <c r="Y1584">
        <v>0.34827239999999998</v>
      </c>
      <c r="Z1584">
        <v>7.0420720000000006E-2</v>
      </c>
      <c r="AA1584">
        <v>0.93474449999999998</v>
      </c>
      <c r="AB1584">
        <v>27</v>
      </c>
      <c r="AC1584">
        <v>-4.9245999999999901</v>
      </c>
      <c r="AD1584">
        <v>-1.1101033546429999</v>
      </c>
      <c r="AE1584">
        <v>-14.5351</v>
      </c>
      <c r="AF1584">
        <v>5.4206387331992198</v>
      </c>
      <c r="AG1584">
        <v>-1.1101033546429999</v>
      </c>
      <c r="AH1584">
        <v>14.2720721646421</v>
      </c>
      <c r="AI1584">
        <v>94.158859006061306</v>
      </c>
      <c r="AJ1584">
        <v>69.202851965435102</v>
      </c>
      <c r="AK1584">
        <v>15.3071126476093</v>
      </c>
      <c r="AL1584">
        <v>88.743582733250804</v>
      </c>
      <c r="AM1584">
        <v>86.759208114575003</v>
      </c>
      <c r="AN1584">
        <v>0.99999996909256805</v>
      </c>
    </row>
    <row r="1585" spans="1:40" x14ac:dyDescent="0.25">
      <c r="A1585" t="str">
        <f>"20190312151015769"</f>
        <v>20190312151015769</v>
      </c>
      <c r="B1585" t="str">
        <f>"1552374615762702"</f>
        <v>1552374615762702</v>
      </c>
      <c r="C1585" t="s">
        <v>40</v>
      </c>
      <c r="D1585">
        <v>5.5609659999999996</v>
      </c>
      <c r="E1585">
        <v>0.6177918</v>
      </c>
      <c r="F1585" t="s">
        <v>50</v>
      </c>
      <c r="G1585">
        <v>-196.38740000000001</v>
      </c>
      <c r="H1585" s="1">
        <v>2.7255200000000001E-6</v>
      </c>
      <c r="I1585">
        <v>285.8295</v>
      </c>
      <c r="J1585">
        <v>-190.5265</v>
      </c>
      <c r="K1585">
        <v>1.110096</v>
      </c>
      <c r="L1585">
        <v>302.89490000000001</v>
      </c>
      <c r="M1585">
        <v>3.6256089999999998E-2</v>
      </c>
      <c r="N1585">
        <v>0</v>
      </c>
      <c r="O1585">
        <v>-0.99927180000000004</v>
      </c>
      <c r="P1585">
        <v>-2.584409E-2</v>
      </c>
      <c r="Q1585">
        <v>1.333379E-2</v>
      </c>
      <c r="R1585">
        <v>-0.99957720000000005</v>
      </c>
      <c r="S1585">
        <v>-1.0068360000000001</v>
      </c>
      <c r="T1585">
        <v>-0.19101580000000001</v>
      </c>
      <c r="U1585">
        <v>-2.9823909999999998</v>
      </c>
      <c r="V1585">
        <v>6.2072309999999999E-2</v>
      </c>
      <c r="W1585">
        <v>2.520611E-2</v>
      </c>
      <c r="X1585">
        <v>0.99775329999999995</v>
      </c>
      <c r="Y1585">
        <v>0.35342050000000003</v>
      </c>
      <c r="Z1585">
        <v>6.0130530000000001E-2</v>
      </c>
      <c r="AA1585">
        <v>0.93352999999999997</v>
      </c>
      <c r="AB1585">
        <v>27</v>
      </c>
      <c r="AC1585">
        <v>-5.8609000000000098</v>
      </c>
      <c r="AD1585">
        <v>-1.1100932744800001</v>
      </c>
      <c r="AE1585">
        <v>-17.0654</v>
      </c>
      <c r="AF1585">
        <v>6.4513960957092902</v>
      </c>
      <c r="AG1585">
        <v>-1.1100932744800001</v>
      </c>
      <c r="AH1585">
        <v>16.7781650584255</v>
      </c>
      <c r="AI1585">
        <v>93.533817175526394</v>
      </c>
      <c r="AJ1585">
        <v>68.967678196988203</v>
      </c>
      <c r="AK1585">
        <v>18.009987267889699</v>
      </c>
      <c r="AL1585">
        <v>88.555643283052106</v>
      </c>
      <c r="AM1585">
        <v>86.440098223286896</v>
      </c>
      <c r="AN1585">
        <v>0.99999998365547904</v>
      </c>
    </row>
    <row r="1586" spans="1:40" x14ac:dyDescent="0.25">
      <c r="A1586" t="str">
        <f>"20190312151015791"</f>
        <v>20190312151015791</v>
      </c>
      <c r="B1586" t="str">
        <f>"1552374615782223"</f>
        <v>1552374615782223</v>
      </c>
      <c r="C1586" t="s">
        <v>40</v>
      </c>
      <c r="D1586">
        <v>5.5816150000000002</v>
      </c>
      <c r="E1586">
        <v>0.61771969999999898</v>
      </c>
      <c r="F1586" t="s">
        <v>50</v>
      </c>
      <c r="G1586">
        <v>-196.57599999999999</v>
      </c>
      <c r="H1586" s="1">
        <v>2.7379300000000001E-6</v>
      </c>
      <c r="I1586">
        <v>285.3048</v>
      </c>
      <c r="J1586">
        <v>-190.51689999999999</v>
      </c>
      <c r="K1586">
        <v>1.1100380000000001</v>
      </c>
      <c r="L1586">
        <v>302.6277</v>
      </c>
      <c r="M1586">
        <v>3.6069379999999998E-2</v>
      </c>
      <c r="N1586">
        <v>0</v>
      </c>
      <c r="O1586">
        <v>-0.99927540000000004</v>
      </c>
      <c r="P1586">
        <v>-3.1348769999999998E-2</v>
      </c>
      <c r="Q1586">
        <v>1.499645E-2</v>
      </c>
      <c r="R1586">
        <v>-0.99939599999999995</v>
      </c>
      <c r="S1586">
        <v>-1.023941</v>
      </c>
      <c r="T1586">
        <v>-0.1878928</v>
      </c>
      <c r="U1586">
        <v>-2.9772639999999999</v>
      </c>
      <c r="V1586">
        <v>6.7386450000000001E-2</v>
      </c>
      <c r="W1586">
        <v>2.709278E-2</v>
      </c>
      <c r="X1586">
        <v>0.997359</v>
      </c>
      <c r="Y1586">
        <v>0.35855140000000002</v>
      </c>
      <c r="Z1586">
        <v>5.9134840000000001E-2</v>
      </c>
      <c r="AA1586">
        <v>0.93163510000000005</v>
      </c>
      <c r="AB1586">
        <v>27</v>
      </c>
      <c r="AC1586">
        <v>-6.0590999999999999</v>
      </c>
      <c r="AD1586">
        <v>-1.11003526206999</v>
      </c>
      <c r="AE1586">
        <v>-17.322900000000001</v>
      </c>
      <c r="AF1586">
        <v>6.6556790592891204</v>
      </c>
      <c r="AG1586">
        <v>-1.11003526206999</v>
      </c>
      <c r="AH1586">
        <v>17.030754391552399</v>
      </c>
      <c r="AI1586">
        <v>93.473997912145407</v>
      </c>
      <c r="AJ1586">
        <v>68.6542660571033</v>
      </c>
      <c r="AK1586">
        <v>18.318756430737299</v>
      </c>
      <c r="AL1586">
        <v>88.447508028368802</v>
      </c>
      <c r="AM1586">
        <v>86.134691610654102</v>
      </c>
      <c r="AN1586">
        <v>0.99999996362636401</v>
      </c>
    </row>
    <row r="1587" spans="1:40" x14ac:dyDescent="0.25">
      <c r="A1587" t="str">
        <f>"20190312151015813"</f>
        <v>20190312151015813</v>
      </c>
      <c r="B1587" t="str">
        <f>"1552374615802718"</f>
        <v>1552374615802718</v>
      </c>
      <c r="C1587" t="s">
        <v>40</v>
      </c>
      <c r="D1587">
        <v>5.5304789999999997</v>
      </c>
      <c r="E1587">
        <v>0.61761739999999998</v>
      </c>
      <c r="F1587" t="s">
        <v>50</v>
      </c>
      <c r="G1587">
        <v>-196.59350000000001</v>
      </c>
      <c r="H1587" s="1">
        <v>2.7378170000000001E-6</v>
      </c>
      <c r="I1587">
        <v>285.2706</v>
      </c>
      <c r="J1587">
        <v>-190.50790000000001</v>
      </c>
      <c r="K1587">
        <v>1.1099289999999999</v>
      </c>
      <c r="L1587">
        <v>302.36829999999998</v>
      </c>
      <c r="M1587">
        <v>3.5680209999999997E-2</v>
      </c>
      <c r="N1587">
        <v>0</v>
      </c>
      <c r="O1587">
        <v>-0.99928689999999998</v>
      </c>
      <c r="P1587">
        <v>-3.7230010000000001E-2</v>
      </c>
      <c r="Q1587">
        <v>1.531163E-2</v>
      </c>
      <c r="R1587">
        <v>-0.99918949999999995</v>
      </c>
      <c r="S1587">
        <v>-1.040497</v>
      </c>
      <c r="T1587">
        <v>-0.1900713</v>
      </c>
      <c r="U1587">
        <v>-2.9720460000000002</v>
      </c>
      <c r="V1587">
        <v>7.2877780000000003E-2</v>
      </c>
      <c r="W1587">
        <v>2.7594219999999999E-2</v>
      </c>
      <c r="X1587">
        <v>0.99695909999999999</v>
      </c>
      <c r="Y1587">
        <v>0.36330410000000002</v>
      </c>
      <c r="Z1587">
        <v>5.9808109999999998E-2</v>
      </c>
      <c r="AA1587">
        <v>0.92974900000000005</v>
      </c>
      <c r="AB1587">
        <v>27</v>
      </c>
      <c r="AC1587">
        <v>-6.0856000000000003</v>
      </c>
      <c r="AD1587">
        <v>-1.1099262621829999</v>
      </c>
      <c r="AE1587">
        <v>-17.0976999999999</v>
      </c>
      <c r="AF1587">
        <v>6.6668842058525701</v>
      </c>
      <c r="AG1587">
        <v>-1.1099262621829999</v>
      </c>
      <c r="AH1587">
        <v>16.806796540056599</v>
      </c>
      <c r="AI1587">
        <v>93.512806252932606</v>
      </c>
      <c r="AJ1587">
        <v>68.362868072262003</v>
      </c>
      <c r="AK1587">
        <v>18.114847260205899</v>
      </c>
      <c r="AL1587">
        <v>88.4187669890145</v>
      </c>
      <c r="AM1587">
        <v>85.819110952338804</v>
      </c>
      <c r="AN1587">
        <v>1.0000000294339699</v>
      </c>
    </row>
    <row r="1588" spans="1:40" x14ac:dyDescent="0.25">
      <c r="A1588" t="str">
        <f>"20190312151015834"</f>
        <v>20190312151015834</v>
      </c>
      <c r="B1588" t="str">
        <f>"1552374615831999"</f>
        <v>1552374615831999</v>
      </c>
      <c r="C1588" t="s">
        <v>40</v>
      </c>
      <c r="D1588">
        <v>5.5862639999999999</v>
      </c>
      <c r="E1588">
        <v>0.6174444</v>
      </c>
      <c r="F1588" t="s">
        <v>50</v>
      </c>
      <c r="G1588">
        <v>-196.5994</v>
      </c>
      <c r="H1588" s="1">
        <v>2.7352850000000001E-6</v>
      </c>
      <c r="I1588">
        <v>285.28769999999997</v>
      </c>
      <c r="J1588">
        <v>-190.49940000000001</v>
      </c>
      <c r="K1588">
        <v>1.109756</v>
      </c>
      <c r="L1588">
        <v>302.1121</v>
      </c>
      <c r="M1588">
        <v>3.5036459999999998E-2</v>
      </c>
      <c r="N1588">
        <v>0</v>
      </c>
      <c r="O1588">
        <v>-0.99930699999999995</v>
      </c>
      <c r="P1588">
        <v>-4.3579350000000003E-2</v>
      </c>
      <c r="Q1588">
        <v>1.3230759999999999E-2</v>
      </c>
      <c r="R1588">
        <v>-0.99896220000000002</v>
      </c>
      <c r="S1588">
        <v>-1.0577700000000001</v>
      </c>
      <c r="T1588">
        <v>-0.1927352</v>
      </c>
      <c r="U1588">
        <v>-2.9660030000000002</v>
      </c>
      <c r="V1588">
        <v>7.8583840000000002E-2</v>
      </c>
      <c r="W1588">
        <v>2.5664679999999999E-2</v>
      </c>
      <c r="X1588">
        <v>0.99657709999999999</v>
      </c>
      <c r="Y1588">
        <v>0.3680852</v>
      </c>
      <c r="Z1588">
        <v>6.0645190000000002E-2</v>
      </c>
      <c r="AA1588">
        <v>0.92781219999999998</v>
      </c>
      <c r="AB1588">
        <v>27</v>
      </c>
      <c r="AC1588">
        <v>-6.0999999999999899</v>
      </c>
      <c r="AD1588">
        <v>-1.1097532647149999</v>
      </c>
      <c r="AE1588">
        <v>-16.824400000000001</v>
      </c>
      <c r="AF1588">
        <v>6.6601575562826199</v>
      </c>
      <c r="AG1588">
        <v>-1.1097532647149999</v>
      </c>
      <c r="AH1588">
        <v>16.5367399093027</v>
      </c>
      <c r="AI1588">
        <v>93.562028824044603</v>
      </c>
      <c r="AJ1588">
        <v>68.062931993241904</v>
      </c>
      <c r="AK1588">
        <v>17.8620552515935</v>
      </c>
      <c r="AL1588">
        <v>88.529360686342201</v>
      </c>
      <c r="AM1588">
        <v>85.491342382522902</v>
      </c>
      <c r="AN1588">
        <v>1.0000000059765199</v>
      </c>
    </row>
    <row r="1589" spans="1:40" x14ac:dyDescent="0.25">
      <c r="A1589" t="str">
        <f>"20190312151015857"</f>
        <v>20190312151015857</v>
      </c>
      <c r="B1589" t="str">
        <f>"1552374615852496"</f>
        <v>1552374615852496</v>
      </c>
      <c r="C1589" t="s">
        <v>40</v>
      </c>
      <c r="D1589">
        <v>5.500788</v>
      </c>
      <c r="E1589">
        <v>0.61734929999999999</v>
      </c>
      <c r="F1589" t="s">
        <v>50</v>
      </c>
      <c r="G1589">
        <v>-196.25479999999999</v>
      </c>
      <c r="H1589" s="1">
        <v>2.709015E-6</v>
      </c>
      <c r="I1589">
        <v>286.28739999999999</v>
      </c>
      <c r="J1589">
        <v>-190.49109999999999</v>
      </c>
      <c r="K1589">
        <v>1.109526</v>
      </c>
      <c r="L1589">
        <v>301.8503</v>
      </c>
      <c r="M1589">
        <v>3.4059640000000002E-2</v>
      </c>
      <c r="N1589">
        <v>0</v>
      </c>
      <c r="O1589">
        <v>-0.99933859999999997</v>
      </c>
      <c r="P1589">
        <v>-5.1223570000000003E-2</v>
      </c>
      <c r="Q1589">
        <v>8.9028470000000002E-3</v>
      </c>
      <c r="R1589">
        <v>-0.99864770000000003</v>
      </c>
      <c r="S1589">
        <v>-1.076157</v>
      </c>
      <c r="T1589">
        <v>-0.2075033</v>
      </c>
      <c r="U1589">
        <v>-2.958923</v>
      </c>
      <c r="V1589">
        <v>8.5246619999999995E-2</v>
      </c>
      <c r="W1589">
        <v>2.145538E-2</v>
      </c>
      <c r="X1589">
        <v>0.99612889999999998</v>
      </c>
      <c r="Y1589">
        <v>0.37287520000000002</v>
      </c>
      <c r="Z1589">
        <v>6.5290000000000001E-2</v>
      </c>
      <c r="AA1589">
        <v>0.9255816</v>
      </c>
      <c r="AB1589">
        <v>26</v>
      </c>
      <c r="AC1589">
        <v>-5.7637</v>
      </c>
      <c r="AD1589">
        <v>-1.1095232909849999</v>
      </c>
      <c r="AE1589">
        <v>-15.562900000000001</v>
      </c>
      <c r="AF1589">
        <v>6.2624742625272898</v>
      </c>
      <c r="AG1589">
        <v>-1.1095232909849999</v>
      </c>
      <c r="AH1589">
        <v>15.289206499998199</v>
      </c>
      <c r="AI1589">
        <v>93.841875875538094</v>
      </c>
      <c r="AJ1589">
        <v>67.725944722040097</v>
      </c>
      <c r="AK1589">
        <v>16.559271156112001</v>
      </c>
      <c r="AL1589">
        <v>88.770603008305102</v>
      </c>
      <c r="AM1589">
        <v>85.108664934595595</v>
      </c>
      <c r="AN1589">
        <v>1.00000005248378</v>
      </c>
    </row>
    <row r="1590" spans="1:40" x14ac:dyDescent="0.25">
      <c r="A1590" t="str">
        <f>"20190312151015880"</f>
        <v>20190312151015880</v>
      </c>
      <c r="B1590" t="str">
        <f>"1552374615872014"</f>
        <v>1552374615872014</v>
      </c>
      <c r="C1590" t="s">
        <v>40</v>
      </c>
      <c r="D1590">
        <v>5.671608</v>
      </c>
      <c r="E1590">
        <v>0.61674240000000002</v>
      </c>
      <c r="F1590" t="s">
        <v>50</v>
      </c>
      <c r="G1590">
        <v>-196.12440000000001</v>
      </c>
      <c r="H1590" s="1">
        <v>2.694285E-6</v>
      </c>
      <c r="I1590">
        <v>286.72039999999998</v>
      </c>
      <c r="J1590">
        <v>-190.4837</v>
      </c>
      <c r="K1590">
        <v>1.109264</v>
      </c>
      <c r="L1590">
        <v>301.59019999999998</v>
      </c>
      <c r="M1590">
        <v>3.2692760000000001E-2</v>
      </c>
      <c r="N1590">
        <v>0</v>
      </c>
      <c r="O1590">
        <v>-0.9993822</v>
      </c>
      <c r="P1590">
        <v>-6.0074929999999999E-2</v>
      </c>
      <c r="Q1590">
        <v>6.0862119999999997E-3</v>
      </c>
      <c r="R1590">
        <v>-0.9981757</v>
      </c>
      <c r="S1590">
        <v>-1.098236</v>
      </c>
      <c r="T1590">
        <v>-0.21630740000000001</v>
      </c>
      <c r="U1590">
        <v>-2.949646</v>
      </c>
      <c r="V1590">
        <v>9.2722959999999993E-2</v>
      </c>
      <c r="W1590">
        <v>1.8718410000000001E-2</v>
      </c>
      <c r="X1590">
        <v>0.99551599999999996</v>
      </c>
      <c r="Y1590">
        <v>0.37856840000000003</v>
      </c>
      <c r="Z1590">
        <v>6.8084749999999999E-2</v>
      </c>
      <c r="AA1590">
        <v>0.92306580000000005</v>
      </c>
      <c r="AB1590">
        <v>26</v>
      </c>
      <c r="AC1590">
        <v>-5.6407000000000096</v>
      </c>
      <c r="AD1590">
        <v>-1.109261305715</v>
      </c>
      <c r="AE1590">
        <v>-14.8697999999999</v>
      </c>
      <c r="AF1590">
        <v>6.0942120419385803</v>
      </c>
      <c r="AG1590">
        <v>-1.109261305715</v>
      </c>
      <c r="AH1590">
        <v>14.6063667314271</v>
      </c>
      <c r="AI1590">
        <v>94.009181282825196</v>
      </c>
      <c r="AJ1590">
        <v>67.352646428701703</v>
      </c>
      <c r="AK1590">
        <v>15.8655548326999</v>
      </c>
      <c r="AL1590">
        <v>88.927451485926696</v>
      </c>
      <c r="AM1590">
        <v>84.678788615806695</v>
      </c>
      <c r="AN1590">
        <v>1.00000001622004</v>
      </c>
    </row>
    <row r="1591" spans="1:40" x14ac:dyDescent="0.25">
      <c r="A1591" t="str">
        <f>"20190312151015902"</f>
        <v>20190312151015902</v>
      </c>
      <c r="B1591" t="str">
        <f>"1552374615892514"</f>
        <v>1552374615892514</v>
      </c>
      <c r="C1591" t="s">
        <v>40</v>
      </c>
      <c r="D1591">
        <v>5.5590349999999997</v>
      </c>
      <c r="E1591">
        <v>0.61639129999999998</v>
      </c>
      <c r="F1591" t="s">
        <v>50</v>
      </c>
      <c r="G1591">
        <v>-195.8365</v>
      </c>
      <c r="H1591" s="1">
        <v>2.6739439999999999E-6</v>
      </c>
      <c r="I1591">
        <v>287.53730000000002</v>
      </c>
      <c r="J1591">
        <v>-190.4768</v>
      </c>
      <c r="K1591">
        <v>1.1089850000000001</v>
      </c>
      <c r="L1591">
        <v>301.31990000000002</v>
      </c>
      <c r="M1591">
        <v>3.0841360000000002E-2</v>
      </c>
      <c r="N1591">
        <v>0</v>
      </c>
      <c r="O1591">
        <v>-0.99943910000000002</v>
      </c>
      <c r="P1591">
        <v>-6.9023680000000004E-2</v>
      </c>
      <c r="Q1591">
        <v>7.7023719999999999E-3</v>
      </c>
      <c r="R1591">
        <v>-0.99758539999999996</v>
      </c>
      <c r="S1591">
        <v>-1.1196900000000001</v>
      </c>
      <c r="T1591">
        <v>-0.2320325</v>
      </c>
      <c r="U1591">
        <v>-2.9395449999999999</v>
      </c>
      <c r="V1591">
        <v>9.9823369999999995E-2</v>
      </c>
      <c r="W1591">
        <v>2.0387499999999999E-2</v>
      </c>
      <c r="X1591">
        <v>0.99479629999999997</v>
      </c>
      <c r="Y1591">
        <v>0.38365670000000002</v>
      </c>
      <c r="Z1591">
        <v>7.3076779999999994E-2</v>
      </c>
      <c r="AA1591">
        <v>0.92057990000000001</v>
      </c>
      <c r="AB1591">
        <v>26</v>
      </c>
      <c r="AC1591">
        <v>-5.3597000000000001</v>
      </c>
      <c r="AD1591">
        <v>-1.1089823260559999</v>
      </c>
      <c r="AE1591">
        <v>-13.7826</v>
      </c>
      <c r="AF1591">
        <v>5.7499240036864796</v>
      </c>
      <c r="AG1591">
        <v>-1.1089823260559999</v>
      </c>
      <c r="AH1591">
        <v>13.534612360155901</v>
      </c>
      <c r="AI1591">
        <v>94.312713099025501</v>
      </c>
      <c r="AJ1591">
        <v>66.9827061222514</v>
      </c>
      <c r="AK1591">
        <v>14.7471081771091</v>
      </c>
      <c r="AL1591">
        <v>88.831801378426505</v>
      </c>
      <c r="AM1591">
        <v>84.269805678959699</v>
      </c>
      <c r="AN1591">
        <v>1.0000000169240399</v>
      </c>
    </row>
    <row r="1592" spans="1:40" x14ac:dyDescent="0.25">
      <c r="A1592" t="str">
        <f>"20190312151015925"</f>
        <v>20190312151015925</v>
      </c>
      <c r="B1592" t="str">
        <f>"1552374615922766"</f>
        <v>1552374615922766</v>
      </c>
      <c r="C1592" t="s">
        <v>40</v>
      </c>
      <c r="D1592">
        <v>5.6476240000000004</v>
      </c>
      <c r="E1592">
        <v>0.61585730000000005</v>
      </c>
      <c r="F1592" t="s">
        <v>50</v>
      </c>
      <c r="G1592">
        <v>-195.8554</v>
      </c>
      <c r="H1592" s="1">
        <v>2.6705570000000002E-6</v>
      </c>
      <c r="I1592">
        <v>287.53769999999997</v>
      </c>
      <c r="J1592">
        <v>-190.4708</v>
      </c>
      <c r="K1592">
        <v>1.108733</v>
      </c>
      <c r="L1592">
        <v>301.0489</v>
      </c>
      <c r="M1592">
        <v>2.862263E-2</v>
      </c>
      <c r="N1592">
        <v>0</v>
      </c>
      <c r="O1592">
        <v>-0.99950340000000004</v>
      </c>
      <c r="P1592">
        <v>-7.7825220000000001E-2</v>
      </c>
      <c r="Q1592">
        <v>1.0491459999999999E-2</v>
      </c>
      <c r="R1592">
        <v>-0.99691180000000001</v>
      </c>
      <c r="S1592">
        <v>-1.143448</v>
      </c>
      <c r="T1592">
        <v>-0.23575840000000001</v>
      </c>
      <c r="U1592">
        <v>-2.9299620000000002</v>
      </c>
      <c r="V1592">
        <v>0.106417</v>
      </c>
      <c r="W1592">
        <v>2.3211599999999999E-2</v>
      </c>
      <c r="X1592">
        <v>0.99405060000000001</v>
      </c>
      <c r="Y1592">
        <v>0.3890652</v>
      </c>
      <c r="Z1592">
        <v>7.4284429999999999E-2</v>
      </c>
      <c r="AA1592">
        <v>0.91821030000000003</v>
      </c>
      <c r="AB1592">
        <v>26</v>
      </c>
      <c r="AC1592">
        <v>-5.3845999999999998</v>
      </c>
      <c r="AD1592">
        <v>-1.108730329443</v>
      </c>
      <c r="AE1592">
        <v>-13.511200000000001</v>
      </c>
      <c r="AF1592">
        <v>5.7358226531313399</v>
      </c>
      <c r="AG1592">
        <v>-1.108730329443</v>
      </c>
      <c r="AH1592">
        <v>13.274391896478701</v>
      </c>
      <c r="AI1592">
        <v>94.384430462310206</v>
      </c>
      <c r="AJ1592">
        <v>66.630980301672693</v>
      </c>
      <c r="AK1592">
        <v>14.503048806127</v>
      </c>
      <c r="AL1592">
        <v>88.669953800488102</v>
      </c>
      <c r="AM1592">
        <v>83.889535135252899</v>
      </c>
      <c r="AN1592">
        <v>0.99999997581195899</v>
      </c>
    </row>
    <row r="1593" spans="1:40" x14ac:dyDescent="0.25">
      <c r="A1593" t="str">
        <f>"20190312151015947"</f>
        <v>20190312151015947</v>
      </c>
      <c r="B1593" t="str">
        <f>"1552374615942288"</f>
        <v>1552374615942288</v>
      </c>
      <c r="C1593" t="s">
        <v>40</v>
      </c>
      <c r="D1593">
        <v>5.5988959999999999</v>
      </c>
      <c r="E1593">
        <v>0.61537369999999902</v>
      </c>
      <c r="F1593" t="s">
        <v>50</v>
      </c>
      <c r="G1593">
        <v>-195.83420000000001</v>
      </c>
      <c r="H1593" s="1">
        <v>2.6682900000000001E-6</v>
      </c>
      <c r="I1593">
        <v>287.60669999999999</v>
      </c>
      <c r="J1593">
        <v>-190.4659</v>
      </c>
      <c r="K1593">
        <v>1.108508</v>
      </c>
      <c r="L1593">
        <v>300.7894</v>
      </c>
      <c r="M1593">
        <v>2.6162020000000001E-2</v>
      </c>
      <c r="N1593">
        <v>0</v>
      </c>
      <c r="O1593">
        <v>-0.99956929999999999</v>
      </c>
      <c r="P1593">
        <v>-8.6622130000000006E-2</v>
      </c>
      <c r="Q1593">
        <v>1.0950730000000001E-2</v>
      </c>
      <c r="R1593">
        <v>-0.99618119999999999</v>
      </c>
      <c r="S1593">
        <v>-1.16542099999999</v>
      </c>
      <c r="T1593">
        <v>-0.2409174</v>
      </c>
      <c r="U1593">
        <v>-2.920868</v>
      </c>
      <c r="V1593">
        <v>0.1127592</v>
      </c>
      <c r="W1593">
        <v>2.368688E-2</v>
      </c>
      <c r="X1593">
        <v>0.99334</v>
      </c>
      <c r="Y1593">
        <v>0.39368900000000001</v>
      </c>
      <c r="Z1593">
        <v>7.5948020000000005E-2</v>
      </c>
      <c r="AA1593">
        <v>0.9161009</v>
      </c>
      <c r="AB1593">
        <v>26</v>
      </c>
      <c r="AC1593">
        <v>-5.3682999999999996</v>
      </c>
      <c r="AD1593">
        <v>-1.10850533171</v>
      </c>
      <c r="AE1593">
        <v>-13.182700000000001</v>
      </c>
      <c r="AF1593">
        <v>5.6769480034292803</v>
      </c>
      <c r="AG1593">
        <v>-1.10850533171</v>
      </c>
      <c r="AH1593">
        <v>12.959131750285801</v>
      </c>
      <c r="AI1593">
        <v>94.480000177782699</v>
      </c>
      <c r="AJ1593">
        <v>66.343434475162894</v>
      </c>
      <c r="AK1593">
        <v>14.191392406150101</v>
      </c>
      <c r="AL1593">
        <v>88.642714845823605</v>
      </c>
      <c r="AM1593">
        <v>83.523779422740304</v>
      </c>
      <c r="AN1593">
        <v>1.0000000305343799</v>
      </c>
    </row>
    <row r="1594" spans="1:40" x14ac:dyDescent="0.25">
      <c r="A1594" t="str">
        <f>"20190312151015970"</f>
        <v>20190312151015970</v>
      </c>
      <c r="B1594" t="str">
        <f>"1552374615961807"</f>
        <v>1552374615961807</v>
      </c>
      <c r="C1594" t="s">
        <v>40</v>
      </c>
      <c r="D1594">
        <v>5.5665360000000002</v>
      </c>
      <c r="E1594">
        <v>0.61480570000000001</v>
      </c>
      <c r="F1594" t="s">
        <v>50</v>
      </c>
      <c r="G1594">
        <v>-195.7801</v>
      </c>
      <c r="H1594" s="1">
        <v>2.6645230000000001E-6</v>
      </c>
      <c r="I1594">
        <v>287.75959999999998</v>
      </c>
      <c r="J1594">
        <v>-190.46190000000001</v>
      </c>
      <c r="K1594">
        <v>1.108271</v>
      </c>
      <c r="L1594">
        <v>300.51710000000003</v>
      </c>
      <c r="M1594">
        <v>2.3225519999999999E-2</v>
      </c>
      <c r="N1594">
        <v>0</v>
      </c>
      <c r="O1594">
        <v>-0.99964030000000004</v>
      </c>
      <c r="P1594">
        <v>-9.6457200000000007E-2</v>
      </c>
      <c r="Q1594">
        <v>9.9577629999999997E-3</v>
      </c>
      <c r="R1594">
        <v>-0.99528760000000005</v>
      </c>
      <c r="S1594">
        <v>-1.187225</v>
      </c>
      <c r="T1594">
        <v>-0.24765110000000001</v>
      </c>
      <c r="U1594">
        <v>-2.9109799999999999</v>
      </c>
      <c r="V1594">
        <v>0.11966060000000001</v>
      </c>
      <c r="W1594">
        <v>2.2689129999999998E-2</v>
      </c>
      <c r="X1594">
        <v>0.99255559999999998</v>
      </c>
      <c r="Y1594">
        <v>0.39789160000000001</v>
      </c>
      <c r="Z1594">
        <v>7.8131530000000005E-2</v>
      </c>
      <c r="AA1594">
        <v>0.91409940000000001</v>
      </c>
      <c r="AB1594">
        <v>26</v>
      </c>
      <c r="AC1594">
        <v>-5.3181999999999903</v>
      </c>
      <c r="AD1594">
        <v>-1.108268335477</v>
      </c>
      <c r="AE1594">
        <v>-12.7575</v>
      </c>
      <c r="AF1594">
        <v>5.5772329741149802</v>
      </c>
      <c r="AG1594">
        <v>-1.108268335477</v>
      </c>
      <c r="AH1594">
        <v>12.549840714506001</v>
      </c>
      <c r="AI1594">
        <v>94.613727731270401</v>
      </c>
      <c r="AJ1594">
        <v>66.039318163744198</v>
      </c>
      <c r="AK1594">
        <v>13.7779638666404</v>
      </c>
      <c r="AL1594">
        <v>88.699897094500301</v>
      </c>
      <c r="AM1594">
        <v>83.125706809247703</v>
      </c>
      <c r="AN1594">
        <v>1.00000003745193</v>
      </c>
    </row>
    <row r="1595" spans="1:40" x14ac:dyDescent="0.25">
      <c r="A1595" t="str">
        <f>"20190312151015994"</f>
        <v>20190312151015994</v>
      </c>
      <c r="B1595" t="str">
        <f>"1552374615982303"</f>
        <v>1552374615982303</v>
      </c>
      <c r="C1595" t="s">
        <v>40</v>
      </c>
      <c r="D1595">
        <v>5.6680640000000002</v>
      </c>
      <c r="E1595">
        <v>0.61417529999999998</v>
      </c>
      <c r="F1595" t="s">
        <v>50</v>
      </c>
      <c r="G1595">
        <v>-195.6917</v>
      </c>
      <c r="H1595" s="1">
        <v>2.6592549999999999E-6</v>
      </c>
      <c r="I1595">
        <v>287.9991</v>
      </c>
      <c r="J1595">
        <v>-190.459</v>
      </c>
      <c r="K1595">
        <v>1.1080239999999999</v>
      </c>
      <c r="L1595">
        <v>300.24340000000001</v>
      </c>
      <c r="M1595">
        <v>1.9921919999999999E-2</v>
      </c>
      <c r="N1595">
        <v>0</v>
      </c>
      <c r="O1595">
        <v>-0.9997104</v>
      </c>
      <c r="P1595">
        <v>-0.1071501</v>
      </c>
      <c r="Q1595">
        <v>7.7228549999999998E-3</v>
      </c>
      <c r="R1595">
        <v>-0.99421300000000001</v>
      </c>
      <c r="S1595">
        <v>-1.211319</v>
      </c>
      <c r="T1595">
        <v>-0.25669500000000001</v>
      </c>
      <c r="U1595">
        <v>-2.8994140000000002</v>
      </c>
      <c r="V1595">
        <v>0.12704979999999999</v>
      </c>
      <c r="W1595">
        <v>2.0427540000000001E-2</v>
      </c>
      <c r="X1595">
        <v>0.99168599999999996</v>
      </c>
      <c r="Y1595">
        <v>0.40252680000000002</v>
      </c>
      <c r="Z1595">
        <v>8.1061939999999999E-2</v>
      </c>
      <c r="AA1595">
        <v>0.91181199999999996</v>
      </c>
      <c r="AB1595">
        <v>26</v>
      </c>
      <c r="AC1595">
        <v>-5.2326999999999897</v>
      </c>
      <c r="AD1595">
        <v>-1.1080213407449999</v>
      </c>
      <c r="AE1595">
        <v>-12.244300000000001</v>
      </c>
      <c r="AF1595">
        <v>5.43795930278164</v>
      </c>
      <c r="AG1595">
        <v>-1.1080213407449999</v>
      </c>
      <c r="AH1595">
        <v>12.054147734694901</v>
      </c>
      <c r="AI1595">
        <v>94.789553572311107</v>
      </c>
      <c r="AJ1595">
        <v>65.718548124398396</v>
      </c>
      <c r="AK1595">
        <v>13.2703274368082</v>
      </c>
      <c r="AL1595">
        <v>88.829506792117996</v>
      </c>
      <c r="AM1595">
        <v>82.699323934522894</v>
      </c>
      <c r="AN1595">
        <v>1.0000000293332401</v>
      </c>
    </row>
    <row r="1596" spans="1:40" x14ac:dyDescent="0.25">
      <c r="A1596" t="str">
        <f>"20190312151016014"</f>
        <v>20190312151016014</v>
      </c>
      <c r="B1596" t="str">
        <f>"1552374616012558"</f>
        <v>1552374616012558</v>
      </c>
      <c r="C1596" t="s">
        <v>40</v>
      </c>
      <c r="D1596">
        <v>5.511755</v>
      </c>
      <c r="E1596">
        <v>0.61299759999999903</v>
      </c>
      <c r="F1596" t="s">
        <v>50</v>
      </c>
      <c r="G1596">
        <v>-195.5761</v>
      </c>
      <c r="H1596" s="1">
        <v>2.6527020000000001E-6</v>
      </c>
      <c r="I1596">
        <v>288.30860000000001</v>
      </c>
      <c r="J1596">
        <v>-190.45760000000001</v>
      </c>
      <c r="K1596">
        <v>1.107804</v>
      </c>
      <c r="L1596">
        <v>299.9957</v>
      </c>
      <c r="M1596">
        <v>1.6633829999999999E-2</v>
      </c>
      <c r="N1596">
        <v>0</v>
      </c>
      <c r="O1596">
        <v>-0.99976940000000003</v>
      </c>
      <c r="P1596">
        <v>-0.117693699999999</v>
      </c>
      <c r="Q1596">
        <v>5.3648460000000004E-3</v>
      </c>
      <c r="R1596">
        <v>-0.99303569999999997</v>
      </c>
      <c r="S1596">
        <v>-1.2374419999999999</v>
      </c>
      <c r="T1596">
        <v>-0.2679472</v>
      </c>
      <c r="U1596">
        <v>-2.886139</v>
      </c>
      <c r="V1596">
        <v>0.13430639999999999</v>
      </c>
      <c r="W1596">
        <v>1.8022819999999998E-2</v>
      </c>
      <c r="X1596">
        <v>0.99077590000000004</v>
      </c>
      <c r="Y1596">
        <v>0.40787649999999998</v>
      </c>
      <c r="Z1596">
        <v>8.4704370000000001E-2</v>
      </c>
      <c r="AA1596">
        <v>0.90909949999999995</v>
      </c>
      <c r="AB1596">
        <v>26</v>
      </c>
      <c r="AC1596">
        <v>-5.1184999999999796</v>
      </c>
      <c r="AD1596">
        <v>-1.1078013472979999</v>
      </c>
      <c r="AE1596">
        <v>-11.6870999999999</v>
      </c>
      <c r="AF1596">
        <v>5.2724627578151901</v>
      </c>
      <c r="AG1596">
        <v>-1.1078013472979999</v>
      </c>
      <c r="AH1596">
        <v>11.513536230661099</v>
      </c>
      <c r="AI1596">
        <v>94.999559800097103</v>
      </c>
      <c r="AJ1596">
        <v>65.395251321630596</v>
      </c>
      <c r="AK1596">
        <v>12.711711288900799</v>
      </c>
      <c r="AL1596">
        <v>88.967312523502997</v>
      </c>
      <c r="AM1596">
        <v>82.280223865953502</v>
      </c>
      <c r="AN1596">
        <v>0.99999995757126003</v>
      </c>
    </row>
    <row r="1597" spans="1:40" x14ac:dyDescent="0.25">
      <c r="A1597" t="str">
        <f>"20190312151016036"</f>
        <v>20190312151016036</v>
      </c>
      <c r="B1597" t="str">
        <f>"1552374616032079"</f>
        <v>1552374616032079</v>
      </c>
      <c r="C1597" t="s">
        <v>40</v>
      </c>
      <c r="D1597">
        <v>5.6873990000000001</v>
      </c>
      <c r="E1597">
        <v>0.61248019999999903</v>
      </c>
      <c r="F1597" t="s">
        <v>50</v>
      </c>
      <c r="G1597">
        <v>-195.60939999999999</v>
      </c>
      <c r="H1597" s="1">
        <v>2.6529590000000002E-6</v>
      </c>
      <c r="I1597">
        <v>288.23809999999997</v>
      </c>
      <c r="J1597">
        <v>-190.4572</v>
      </c>
      <c r="K1597">
        <v>1.107578</v>
      </c>
      <c r="L1597">
        <v>299.73970000000003</v>
      </c>
      <c r="M1597">
        <v>1.29514E-2</v>
      </c>
      <c r="N1597">
        <v>0</v>
      </c>
      <c r="O1597">
        <v>-0.99982300000000002</v>
      </c>
      <c r="P1597">
        <v>-0.1274845</v>
      </c>
      <c r="Q1597">
        <v>3.1333620000000002E-3</v>
      </c>
      <c r="R1597">
        <v>-0.99183569999999999</v>
      </c>
      <c r="S1597">
        <v>-1.2590030000000001</v>
      </c>
      <c r="T1597">
        <v>-0.27072170000000001</v>
      </c>
      <c r="U1597">
        <v>-2.873291</v>
      </c>
      <c r="V1597">
        <v>0.14042579999999999</v>
      </c>
      <c r="W1597">
        <v>1.5737660000000001E-2</v>
      </c>
      <c r="X1597">
        <v>0.98996609999999996</v>
      </c>
      <c r="Y1597">
        <v>0.41168749999999998</v>
      </c>
      <c r="Z1597">
        <v>8.5731879999999996E-2</v>
      </c>
      <c r="AA1597">
        <v>0.90728350000000002</v>
      </c>
      <c r="AB1597">
        <v>26</v>
      </c>
      <c r="AC1597">
        <v>-5.1521999999999899</v>
      </c>
      <c r="AD1597">
        <v>-1.1075753470409999</v>
      </c>
      <c r="AE1597">
        <v>-11.5016</v>
      </c>
      <c r="AF1597">
        <v>5.2601174819435297</v>
      </c>
      <c r="AG1597">
        <v>-1.1075753470409999</v>
      </c>
      <c r="AH1597">
        <v>11.3462689332185</v>
      </c>
      <c r="AI1597">
        <v>95.061004523076804</v>
      </c>
      <c r="AJ1597">
        <v>65.1276141522887</v>
      </c>
      <c r="AK1597">
        <v>12.5552131713539</v>
      </c>
      <c r="AL1597">
        <v>89.098261258352593</v>
      </c>
      <c r="AM1597">
        <v>81.926507103647296</v>
      </c>
      <c r="AN1597">
        <v>0.99999997919856198</v>
      </c>
    </row>
    <row r="1598" spans="1:40" x14ac:dyDescent="0.25">
      <c r="A1598" t="str">
        <f>"20190312151016058"</f>
        <v>20190312151016058</v>
      </c>
      <c r="B1598" t="str">
        <f>"1552374616052575"</f>
        <v>1552374616052575</v>
      </c>
      <c r="C1598" t="s">
        <v>40</v>
      </c>
      <c r="D1598">
        <v>5.617254</v>
      </c>
      <c r="E1598">
        <v>0.61190239999999996</v>
      </c>
      <c r="F1598" t="s">
        <v>50</v>
      </c>
      <c r="G1598">
        <v>-195.5454</v>
      </c>
      <c r="H1598" s="1">
        <v>2.649823E-6</v>
      </c>
      <c r="I1598">
        <v>288.40379999999999</v>
      </c>
      <c r="J1598">
        <v>-190.4581</v>
      </c>
      <c r="K1598">
        <v>1.1073729999999999</v>
      </c>
      <c r="L1598">
        <v>299.48509999999999</v>
      </c>
      <c r="M1598">
        <v>9.0004869999999997E-3</v>
      </c>
      <c r="N1598">
        <v>0</v>
      </c>
      <c r="O1598">
        <v>-0.99986560000000002</v>
      </c>
      <c r="P1598">
        <v>-0.134045</v>
      </c>
      <c r="Q1598">
        <v>2.9574499999999999E-3</v>
      </c>
      <c r="R1598">
        <v>-0.9909713</v>
      </c>
      <c r="S1598">
        <v>-1.283981</v>
      </c>
      <c r="T1598">
        <v>-0.27948899999999999</v>
      </c>
      <c r="U1598">
        <v>-2.860535</v>
      </c>
      <c r="V1598">
        <v>0.14307220000000001</v>
      </c>
      <c r="W1598">
        <v>1.552693E-2</v>
      </c>
      <c r="X1598">
        <v>0.98959050000000004</v>
      </c>
      <c r="Y1598">
        <v>0.41608319999999999</v>
      </c>
      <c r="Z1598">
        <v>8.8607270000000002E-2</v>
      </c>
      <c r="AA1598">
        <v>0.9049992</v>
      </c>
      <c r="AB1598">
        <v>26</v>
      </c>
      <c r="AC1598">
        <v>-5.0872999999999902</v>
      </c>
      <c r="AD1598">
        <v>-1.107370350177</v>
      </c>
      <c r="AE1598">
        <v>-11.081300000000001</v>
      </c>
      <c r="AF1598">
        <v>5.1444095877857103</v>
      </c>
      <c r="AG1598">
        <v>-1.107370350177</v>
      </c>
      <c r="AH1598">
        <v>10.944786662404301</v>
      </c>
      <c r="AI1598">
        <v>95.231825828608393</v>
      </c>
      <c r="AJ1598">
        <v>64.8249324999381</v>
      </c>
      <c r="AK1598">
        <v>12.144116854876501</v>
      </c>
      <c r="AL1598">
        <v>89.110336735712394</v>
      </c>
      <c r="AM1598">
        <v>81.773341355118305</v>
      </c>
      <c r="AN1598">
        <v>1.0000000488291501</v>
      </c>
    </row>
    <row r="1599" spans="1:40" x14ac:dyDescent="0.25">
      <c r="A1599" t="str">
        <f>"20190312151016081"</f>
        <v>20190312151016081</v>
      </c>
      <c r="B1599" t="str">
        <f>"1552374616072094"</f>
        <v>1552374616072094</v>
      </c>
      <c r="C1599" t="s">
        <v>40</v>
      </c>
      <c r="D1599">
        <v>5.5712440000000001</v>
      </c>
      <c r="E1599">
        <v>0.61133530000000003</v>
      </c>
      <c r="F1599" t="s">
        <v>50</v>
      </c>
      <c r="G1599">
        <v>-195.55779999999999</v>
      </c>
      <c r="H1599" s="1">
        <v>2.658155E-6</v>
      </c>
      <c r="I1599">
        <v>288.28339999999997</v>
      </c>
      <c r="J1599">
        <v>-190.4607</v>
      </c>
      <c r="K1599">
        <v>1.107172</v>
      </c>
      <c r="L1599">
        <v>299.21749999999997</v>
      </c>
      <c r="M1599">
        <v>4.5236149999999999E-3</v>
      </c>
      <c r="N1599">
        <v>0</v>
      </c>
      <c r="O1599">
        <v>-0.99989499999999998</v>
      </c>
      <c r="P1599">
        <v>-0.14514079999999999</v>
      </c>
      <c r="Q1599">
        <v>4.1485189999999998E-3</v>
      </c>
      <c r="R1599">
        <v>-0.98940240000000002</v>
      </c>
      <c r="S1599">
        <v>-1.29863</v>
      </c>
      <c r="T1599">
        <v>-0.28199360000000001</v>
      </c>
      <c r="U1599">
        <v>-2.852509</v>
      </c>
      <c r="V1599">
        <v>0.14974519999999999</v>
      </c>
      <c r="W1599">
        <v>1.663972E-2</v>
      </c>
      <c r="X1599">
        <v>0.98858460000000004</v>
      </c>
      <c r="Y1599">
        <v>0.41678979999999999</v>
      </c>
      <c r="Z1599">
        <v>8.9521329999999996E-2</v>
      </c>
      <c r="AA1599">
        <v>0.90458400000000005</v>
      </c>
      <c r="AB1599">
        <v>26</v>
      </c>
      <c r="AC1599">
        <v>-5.0970999999999798</v>
      </c>
      <c r="AD1599">
        <v>-1.1071693418449999</v>
      </c>
      <c r="AE1599">
        <v>-10.934100000000001</v>
      </c>
      <c r="AF1599">
        <v>5.1035277708287303</v>
      </c>
      <c r="AG1599">
        <v>-1.1071693418449999</v>
      </c>
      <c r="AH1599">
        <v>10.8197947431635</v>
      </c>
      <c r="AI1599">
        <v>95.287620863162203</v>
      </c>
      <c r="AJ1599">
        <v>64.747482004770603</v>
      </c>
      <c r="AK1599">
        <v>12.0141490727946</v>
      </c>
      <c r="AL1599">
        <v>89.046570278515802</v>
      </c>
      <c r="AM1599">
        <v>81.386637671047197</v>
      </c>
      <c r="AN1599">
        <v>1.0000000082809299</v>
      </c>
    </row>
    <row r="1600" spans="1:40" x14ac:dyDescent="0.25">
      <c r="A1600" t="str">
        <f>"20190312151016104"</f>
        <v>20190312151016104</v>
      </c>
      <c r="B1600" t="str">
        <f>"1552374616092592"</f>
        <v>1552374616092592</v>
      </c>
      <c r="C1600" t="s">
        <v>40</v>
      </c>
      <c r="D1600">
        <v>5.5625410000000004</v>
      </c>
      <c r="E1600">
        <v>0.61051109999999997</v>
      </c>
      <c r="F1600" t="s">
        <v>50</v>
      </c>
      <c r="G1600">
        <v>-195.666</v>
      </c>
      <c r="H1600" s="1">
        <v>2.6573080000000002E-6</v>
      </c>
      <c r="I1600">
        <v>288.07350000000002</v>
      </c>
      <c r="J1600">
        <v>-190.46459999999999</v>
      </c>
      <c r="K1600">
        <v>1.107019</v>
      </c>
      <c r="L1600">
        <v>298.95589999999999</v>
      </c>
      <c r="M1600" s="1">
        <v>-9.5989920000000002E-5</v>
      </c>
      <c r="N1600">
        <v>0</v>
      </c>
      <c r="O1600">
        <v>-0.99990449999999997</v>
      </c>
      <c r="P1600">
        <v>-0.15599199999999999</v>
      </c>
      <c r="Q1600">
        <v>5.9160840000000003E-3</v>
      </c>
      <c r="R1600">
        <v>-0.98774079999999997</v>
      </c>
      <c r="S1600">
        <v>-1.3260190000000001</v>
      </c>
      <c r="T1600">
        <v>-0.28204119999999999</v>
      </c>
      <c r="U1600">
        <v>-2.8388369999999998</v>
      </c>
      <c r="V1600">
        <v>0.1560484</v>
      </c>
      <c r="W1600">
        <v>1.8331759999999999E-2</v>
      </c>
      <c r="X1600">
        <v>0.98757930000000005</v>
      </c>
      <c r="Y1600">
        <v>0.42141620000000002</v>
      </c>
      <c r="Z1600">
        <v>8.9654650000000002E-2</v>
      </c>
      <c r="AA1600">
        <v>0.90242480000000003</v>
      </c>
      <c r="AB1600">
        <v>26</v>
      </c>
      <c r="AC1600">
        <v>-5.2013999999999996</v>
      </c>
      <c r="AD1600">
        <v>-1.1070163426920001</v>
      </c>
      <c r="AE1600">
        <v>-10.882399999999899</v>
      </c>
      <c r="AF1600">
        <v>5.15691513724743</v>
      </c>
      <c r="AG1600">
        <v>-1.1070163426920001</v>
      </c>
      <c r="AH1600">
        <v>10.791991134790401</v>
      </c>
      <c r="AI1600">
        <v>95.2878699684168</v>
      </c>
      <c r="AJ1600">
        <v>64.459360212073193</v>
      </c>
      <c r="AK1600">
        <v>12.0119245572537</v>
      </c>
      <c r="AL1600">
        <v>88.949608700028605</v>
      </c>
      <c r="AM1600">
        <v>81.020873737935801</v>
      </c>
      <c r="AN1600">
        <v>1.0000000151778701</v>
      </c>
    </row>
    <row r="1601" spans="1:40" x14ac:dyDescent="0.25">
      <c r="A1601" t="str">
        <f>"20190312151016125"</f>
        <v>20190312151016125</v>
      </c>
      <c r="B1601" t="str">
        <f>"1552374616122847"</f>
        <v>1552374616122847</v>
      </c>
      <c r="C1601" t="s">
        <v>40</v>
      </c>
      <c r="D1601">
        <v>5.5803890000000003</v>
      </c>
      <c r="E1601">
        <v>0.61002889999999999</v>
      </c>
      <c r="F1601" t="s">
        <v>50</v>
      </c>
      <c r="G1601">
        <v>-195.8064</v>
      </c>
      <c r="H1601" s="1">
        <v>2.657847E-6</v>
      </c>
      <c r="I1601">
        <v>287.78250000000003</v>
      </c>
      <c r="J1601">
        <v>-190.4699</v>
      </c>
      <c r="K1601">
        <v>1.106881</v>
      </c>
      <c r="L1601">
        <v>298.69589999999999</v>
      </c>
      <c r="M1601">
        <v>-4.9172209999999899E-3</v>
      </c>
      <c r="N1601">
        <v>0</v>
      </c>
      <c r="O1601">
        <v>-0.99989170000000005</v>
      </c>
      <c r="P1601">
        <v>-0.16575689999999901</v>
      </c>
      <c r="Q1601">
        <v>7.5529169999999897E-3</v>
      </c>
      <c r="R1601">
        <v>-0.98613799999999996</v>
      </c>
      <c r="S1601">
        <v>-1.3508610000000001</v>
      </c>
      <c r="T1601">
        <v>-0.27994590000000003</v>
      </c>
      <c r="U1601">
        <v>-2.8255620000000001</v>
      </c>
      <c r="V1601">
        <v>0.1610771</v>
      </c>
      <c r="W1601">
        <v>1.99036E-2</v>
      </c>
      <c r="X1601">
        <v>0.98674110000000004</v>
      </c>
      <c r="Y1601">
        <v>0.42516920000000002</v>
      </c>
      <c r="Z1601">
        <v>8.9128009999999994E-2</v>
      </c>
      <c r="AA1601">
        <v>0.90071489999999998</v>
      </c>
      <c r="AB1601">
        <v>26</v>
      </c>
      <c r="AC1601">
        <v>-5.3365</v>
      </c>
      <c r="AD1601">
        <v>-1.106878342153</v>
      </c>
      <c r="AE1601">
        <v>-10.9133999999999</v>
      </c>
      <c r="AF1601">
        <v>5.2392714803583598</v>
      </c>
      <c r="AG1601">
        <v>-1.106878342153</v>
      </c>
      <c r="AH1601">
        <v>10.849441738285099</v>
      </c>
      <c r="AI1601">
        <v>95.2490549697104</v>
      </c>
      <c r="AJ1601">
        <v>64.223777601446898</v>
      </c>
      <c r="AK1601">
        <v>12.098988856167599</v>
      </c>
      <c r="AL1601">
        <v>88.859532405230397</v>
      </c>
      <c r="AM1601">
        <v>80.728726650138896</v>
      </c>
      <c r="AN1601">
        <v>0.99999999193329003</v>
      </c>
    </row>
    <row r="1602" spans="1:40" x14ac:dyDescent="0.25">
      <c r="A1602" t="str">
        <f>"20190312151016149"</f>
        <v>20190312151016149</v>
      </c>
      <c r="B1602" t="str">
        <f>"1552374616142369"</f>
        <v>1552374616142369</v>
      </c>
      <c r="C1602" t="s">
        <v>40</v>
      </c>
      <c r="D1602">
        <v>5.4627290000000004</v>
      </c>
      <c r="E1602">
        <v>0.59285059999999901</v>
      </c>
      <c r="F1602" t="s">
        <v>50</v>
      </c>
      <c r="G1602">
        <v>-195.9307</v>
      </c>
      <c r="H1602" s="1">
        <v>2.6583550000000001E-6</v>
      </c>
      <c r="I1602">
        <v>287.52449999999999</v>
      </c>
      <c r="J1602">
        <v>-190.477</v>
      </c>
      <c r="K1602">
        <v>1.106749</v>
      </c>
      <c r="L1602">
        <v>298.42660000000001</v>
      </c>
      <c r="M1602">
        <v>-1.015814E-2</v>
      </c>
      <c r="N1602">
        <v>0</v>
      </c>
      <c r="O1602">
        <v>-0.9998515</v>
      </c>
      <c r="P1602">
        <v>-0.17530989999999999</v>
      </c>
      <c r="Q1602">
        <v>9.1603919999999998E-3</v>
      </c>
      <c r="R1602">
        <v>-0.98447070000000003</v>
      </c>
      <c r="S1602">
        <v>-1.375122</v>
      </c>
      <c r="T1602">
        <v>-0.27873049999999999</v>
      </c>
      <c r="U1602">
        <v>-2.8131409999999999</v>
      </c>
      <c r="V1602">
        <v>0.16549239999999901</v>
      </c>
      <c r="W1602">
        <v>2.1446799999999999E-2</v>
      </c>
      <c r="X1602">
        <v>0.98597780000000002</v>
      </c>
      <c r="Y1602">
        <v>0.42827549999999998</v>
      </c>
      <c r="Z1602">
        <v>8.8863739999999997E-2</v>
      </c>
      <c r="AA1602">
        <v>0.89926819999999896</v>
      </c>
      <c r="AB1602">
        <v>26</v>
      </c>
      <c r="AC1602">
        <v>-5.4536999999999898</v>
      </c>
      <c r="AD1602">
        <v>-1.1067463416450001</v>
      </c>
      <c r="AE1602">
        <v>-10.902100000000001</v>
      </c>
      <c r="AF1602">
        <v>5.2989836412736802</v>
      </c>
      <c r="AG1602">
        <v>-1.1067463416450001</v>
      </c>
      <c r="AH1602">
        <v>10.867363341769</v>
      </c>
      <c r="AI1602">
        <v>95.230218759153502</v>
      </c>
      <c r="AJ1602">
        <v>64.005893252045993</v>
      </c>
      <c r="AK1602">
        <v>12.140992591104601</v>
      </c>
      <c r="AL1602">
        <v>88.771094606633895</v>
      </c>
      <c r="AM1602">
        <v>80.471947492736206</v>
      </c>
      <c r="AN1602">
        <v>0.99999996089041898</v>
      </c>
    </row>
    <row r="1603" spans="1:40" x14ac:dyDescent="0.25">
      <c r="A1603" t="str">
        <f>"20190312151016172"</f>
        <v>20190312151016172</v>
      </c>
      <c r="B1603" t="str">
        <f>"1552374616161888"</f>
        <v>1552374616161888</v>
      </c>
      <c r="C1603" t="s">
        <v>40</v>
      </c>
      <c r="D1603">
        <v>5.4714269999999896</v>
      </c>
      <c r="E1603">
        <v>0.59270069999999997</v>
      </c>
      <c r="F1603" t="s">
        <v>50</v>
      </c>
      <c r="G1603">
        <v>-194.72720000000001</v>
      </c>
      <c r="H1603" s="1">
        <v>2.7455459999999998E-6</v>
      </c>
      <c r="I1603">
        <v>288.96899999999999</v>
      </c>
      <c r="J1603">
        <v>-190.48589999999999</v>
      </c>
      <c r="K1603">
        <v>1.1065969999999901</v>
      </c>
      <c r="L1603">
        <v>298.15390000000002</v>
      </c>
      <c r="M1603">
        <v>-1.5721619999999999E-2</v>
      </c>
      <c r="N1603">
        <v>0</v>
      </c>
      <c r="O1603">
        <v>-0.99977899999999997</v>
      </c>
      <c r="P1603">
        <v>-0.1841922</v>
      </c>
      <c r="Q1603">
        <v>9.5050410000000005E-3</v>
      </c>
      <c r="R1603">
        <v>-0.98284450000000001</v>
      </c>
      <c r="S1603">
        <v>-1.2692570000000001</v>
      </c>
      <c r="T1603">
        <v>-0.33051150000000001</v>
      </c>
      <c r="U1603">
        <v>-2.824341</v>
      </c>
      <c r="V1603">
        <v>0.1689204</v>
      </c>
      <c r="W1603">
        <v>2.1730449999999998E-2</v>
      </c>
      <c r="X1603">
        <v>0.98539010000000005</v>
      </c>
      <c r="Y1603">
        <v>0.39319019999999999</v>
      </c>
      <c r="Z1603">
        <v>0.1064663</v>
      </c>
      <c r="AA1603">
        <v>0.91327239999999998</v>
      </c>
      <c r="AB1603">
        <v>26</v>
      </c>
      <c r="AC1603">
        <v>-4.2413000000000203</v>
      </c>
      <c r="AD1603">
        <v>-1.10659425445399</v>
      </c>
      <c r="AE1603">
        <v>-9.1849000000000203</v>
      </c>
      <c r="AF1603">
        <v>4.04792977882627</v>
      </c>
      <c r="AG1603">
        <v>-1.10659425445399</v>
      </c>
      <c r="AH1603">
        <v>9.1410851723689905</v>
      </c>
      <c r="AI1603">
        <v>96.316344161546397</v>
      </c>
      <c r="AJ1603">
        <v>66.114889186774604</v>
      </c>
      <c r="AK1603">
        <v>10.0583161844716</v>
      </c>
      <c r="AL1603">
        <v>88.754838895270694</v>
      </c>
      <c r="AM1603">
        <v>80.272625764122793</v>
      </c>
      <c r="AN1603">
        <v>0.99999998158568604</v>
      </c>
    </row>
    <row r="1604" spans="1:40" x14ac:dyDescent="0.25">
      <c r="A1604" t="str">
        <f>"20190312151016195"</f>
        <v>20190312151016195</v>
      </c>
      <c r="B1604" t="str">
        <f>"1552374616182382"</f>
        <v>1552374616182382</v>
      </c>
      <c r="C1604" t="s">
        <v>40</v>
      </c>
      <c r="D1604">
        <v>5.4250379999999998</v>
      </c>
      <c r="E1604">
        <v>0.59239609999999998</v>
      </c>
      <c r="F1604" t="s">
        <v>50</v>
      </c>
      <c r="G1604">
        <v>-194.63720000000001</v>
      </c>
      <c r="H1604" s="1">
        <v>2.7478850000000002E-6</v>
      </c>
      <c r="I1604">
        <v>289.12490000000003</v>
      </c>
      <c r="J1604">
        <v>-190.49610000000001</v>
      </c>
      <c r="K1604">
        <v>1.106433</v>
      </c>
      <c r="L1604">
        <v>297.8922</v>
      </c>
      <c r="M1604">
        <v>-2.1314449999999999E-2</v>
      </c>
      <c r="N1604">
        <v>0</v>
      </c>
      <c r="O1604">
        <v>-0.99967490000000003</v>
      </c>
      <c r="P1604">
        <v>-0.19321360000000001</v>
      </c>
      <c r="Q1604">
        <v>9.2173199999999993E-3</v>
      </c>
      <c r="R1604">
        <v>-0.98111360000000003</v>
      </c>
      <c r="S1604">
        <v>-1.293488</v>
      </c>
      <c r="T1604">
        <v>-0.34479549999999998</v>
      </c>
      <c r="U1604">
        <v>-2.8132929999999998</v>
      </c>
      <c r="V1604">
        <v>0.17246649999999999</v>
      </c>
      <c r="W1604">
        <v>2.136909E-2</v>
      </c>
      <c r="X1604">
        <v>0.98478350000000003</v>
      </c>
      <c r="Y1604">
        <v>0.39569290000000001</v>
      </c>
      <c r="Z1604">
        <v>0.1111328</v>
      </c>
      <c r="AA1604">
        <v>0.9116341</v>
      </c>
      <c r="AB1604">
        <v>26</v>
      </c>
      <c r="AC1604">
        <v>-4.14109999999999</v>
      </c>
      <c r="AD1604">
        <v>-1.106430252115</v>
      </c>
      <c r="AE1604">
        <v>-8.7672999999999703</v>
      </c>
      <c r="AF1604">
        <v>3.9024555266183198</v>
      </c>
      <c r="AG1604">
        <v>-1.106430252115</v>
      </c>
      <c r="AH1604">
        <v>8.7397784956653197</v>
      </c>
      <c r="AI1604">
        <v>96.593941082426198</v>
      </c>
      <c r="AJ1604">
        <v>65.938448738445402</v>
      </c>
      <c r="AK1604">
        <v>9.6351998003841697</v>
      </c>
      <c r="AL1604">
        <v>88.775548052904199</v>
      </c>
      <c r="AM1604">
        <v>80.0664504418516</v>
      </c>
      <c r="AN1604">
        <v>0.99999993675096199</v>
      </c>
    </row>
    <row r="1605" spans="1:40" x14ac:dyDescent="0.25">
      <c r="A1605" t="str">
        <f>"20190312151016215"</f>
        <v>20190312151016215</v>
      </c>
      <c r="B1605" t="str">
        <f>"1552374616212639"</f>
        <v>1552374616212639</v>
      </c>
      <c r="C1605" t="s">
        <v>40</v>
      </c>
      <c r="D1605">
        <v>5.3440019999999997</v>
      </c>
      <c r="E1605">
        <v>0.5811828</v>
      </c>
      <c r="F1605" t="s">
        <v>50</v>
      </c>
      <c r="G1605">
        <v>-194.77099999999999</v>
      </c>
      <c r="H1605" s="1">
        <v>2.753509E-6</v>
      </c>
      <c r="I1605">
        <v>288.78899999999999</v>
      </c>
      <c r="J1605">
        <v>-190.50710000000001</v>
      </c>
      <c r="K1605">
        <v>1.106257</v>
      </c>
      <c r="L1605">
        <v>297.6508</v>
      </c>
      <c r="M1605">
        <v>-2.6716779999999999E-2</v>
      </c>
      <c r="N1605">
        <v>0</v>
      </c>
      <c r="O1605">
        <v>-0.99954449999999995</v>
      </c>
      <c r="P1605">
        <v>-0.20190910000000001</v>
      </c>
      <c r="Q1605">
        <v>8.9513349999999995E-3</v>
      </c>
      <c r="R1605">
        <v>-0.97936350000000005</v>
      </c>
      <c r="S1605">
        <v>-1.3157650000000001</v>
      </c>
      <c r="T1605">
        <v>-0.34054079999999998</v>
      </c>
      <c r="U1605">
        <v>-2.8017880000000002</v>
      </c>
      <c r="V1605">
        <v>0.17588619999999999</v>
      </c>
      <c r="W1605">
        <v>2.102298E-2</v>
      </c>
      <c r="X1605">
        <v>0.98418600000000001</v>
      </c>
      <c r="Y1605">
        <v>0.398169</v>
      </c>
      <c r="Z1605">
        <v>0.10992680000000001</v>
      </c>
      <c r="AA1605">
        <v>0.91070169999999995</v>
      </c>
      <c r="AB1605">
        <v>26</v>
      </c>
      <c r="AC1605">
        <v>-4.2638999999999703</v>
      </c>
      <c r="AD1605">
        <v>-1.1062542464909999</v>
      </c>
      <c r="AE1605">
        <v>-8.8618000000000094</v>
      </c>
      <c r="AF1605">
        <v>3.97529221837629</v>
      </c>
      <c r="AG1605">
        <v>-1.1062542464909999</v>
      </c>
      <c r="AH1605">
        <v>8.8604448840615309</v>
      </c>
      <c r="AI1605">
        <v>96.498747862489793</v>
      </c>
      <c r="AJ1605">
        <v>65.836322272448896</v>
      </c>
      <c r="AK1605">
        <v>9.7741613564977801</v>
      </c>
      <c r="AL1605">
        <v>88.795383231074098</v>
      </c>
      <c r="AM1605">
        <v>79.8675034434971</v>
      </c>
      <c r="AN1605">
        <v>1.0000000018172599</v>
      </c>
    </row>
    <row r="1606" spans="1:40" x14ac:dyDescent="0.25">
      <c r="A1606" t="str">
        <f>"20190312151016238"</f>
        <v>20190312151016238</v>
      </c>
      <c r="B1606" t="str">
        <f>"1552374616232160"</f>
        <v>1552374616232160</v>
      </c>
      <c r="C1606" t="s">
        <v>40</v>
      </c>
      <c r="D1606">
        <v>5.2699299999999996</v>
      </c>
      <c r="E1606">
        <v>0.5811828</v>
      </c>
      <c r="F1606" t="s">
        <v>50</v>
      </c>
      <c r="G1606">
        <v>-195.23859999999999</v>
      </c>
      <c r="H1606" s="1">
        <v>2.824823E-6</v>
      </c>
      <c r="I1606">
        <v>287.0247</v>
      </c>
      <c r="J1606">
        <v>-190.5206</v>
      </c>
      <c r="K1606">
        <v>1.1060639999999999</v>
      </c>
      <c r="L1606">
        <v>297.39150000000001</v>
      </c>
      <c r="M1606">
        <v>-3.2793610000000001E-2</v>
      </c>
      <c r="N1606">
        <v>0</v>
      </c>
      <c r="O1606">
        <v>-0.99936290000000005</v>
      </c>
      <c r="P1606">
        <v>-0.2111075</v>
      </c>
      <c r="Q1606">
        <v>9.4112569999999993E-3</v>
      </c>
      <c r="R1606">
        <v>-0.97741769999999994</v>
      </c>
      <c r="S1606">
        <v>-1.2503359999999999</v>
      </c>
      <c r="T1606">
        <v>-0.29233740000000003</v>
      </c>
      <c r="U1606">
        <v>-2.8080440000000002</v>
      </c>
      <c r="V1606">
        <v>0.1791701</v>
      </c>
      <c r="W1606">
        <v>2.139102E-2</v>
      </c>
      <c r="X1606">
        <v>0.9835855</v>
      </c>
      <c r="Y1606">
        <v>0.3747433</v>
      </c>
      <c r="Z1606">
        <v>9.5232620000000004E-2</v>
      </c>
      <c r="AA1606">
        <v>0.92222459999999995</v>
      </c>
      <c r="AB1606">
        <v>26</v>
      </c>
      <c r="AC1606">
        <v>-4.7179999999999804</v>
      </c>
      <c r="AD1606">
        <v>-1.106061175177</v>
      </c>
      <c r="AE1606">
        <v>-10.3668</v>
      </c>
      <c r="AF1606">
        <v>4.3345876521743198</v>
      </c>
      <c r="AG1606">
        <v>-1.106061175177</v>
      </c>
      <c r="AH1606">
        <v>10.417718226014699</v>
      </c>
      <c r="AI1606">
        <v>95.598510053930298</v>
      </c>
      <c r="AJ1606">
        <v>67.4088597027052</v>
      </c>
      <c r="AK1606">
        <v>11.3375868011784</v>
      </c>
      <c r="AL1606">
        <v>88.774291307585202</v>
      </c>
      <c r="AM1606">
        <v>79.676187323922903</v>
      </c>
      <c r="AN1606">
        <v>0.999999968140449</v>
      </c>
    </row>
    <row r="1607" spans="1:40" x14ac:dyDescent="0.25">
      <c r="A1607" t="str">
        <f>"20190312151016261"</f>
        <v>20190312151016261</v>
      </c>
      <c r="B1607" t="str">
        <f>"1552374616252654"</f>
        <v>1552374616252654</v>
      </c>
      <c r="C1607" t="s">
        <v>40</v>
      </c>
      <c r="D1607">
        <v>5.318486</v>
      </c>
      <c r="E1607">
        <v>0.52535600000000005</v>
      </c>
      <c r="F1607" t="s">
        <v>50</v>
      </c>
      <c r="G1607">
        <v>-195.34889999999999</v>
      </c>
      <c r="H1607" s="1">
        <v>2.823933E-6</v>
      </c>
      <c r="I1607">
        <v>286.8109</v>
      </c>
      <c r="J1607">
        <v>-190.5369</v>
      </c>
      <c r="K1607">
        <v>1.1058600000000001</v>
      </c>
      <c r="L1607">
        <v>297.12270000000001</v>
      </c>
      <c r="M1607">
        <v>-3.9453130000000003E-2</v>
      </c>
      <c r="N1607">
        <v>0</v>
      </c>
      <c r="O1607">
        <v>-0.99912179999999995</v>
      </c>
      <c r="P1607">
        <v>-0.22025349999999999</v>
      </c>
      <c r="Q1607">
        <v>9.4547380000000007E-3</v>
      </c>
      <c r="R1607">
        <v>-0.97539719999999996</v>
      </c>
      <c r="S1607">
        <v>-1.276138</v>
      </c>
      <c r="T1607">
        <v>-0.29233799999999999</v>
      </c>
      <c r="U1607">
        <v>-2.7965089999999999</v>
      </c>
      <c r="V1607">
        <v>0.18184</v>
      </c>
      <c r="W1607">
        <v>2.134144E-2</v>
      </c>
      <c r="X1607">
        <v>0.98309650000000004</v>
      </c>
      <c r="Y1607">
        <v>0.3770445</v>
      </c>
      <c r="Z1607">
        <v>9.5335199999999995E-2</v>
      </c>
      <c r="AA1607">
        <v>0.92127559999999997</v>
      </c>
      <c r="AB1607">
        <v>26</v>
      </c>
      <c r="AC1607">
        <v>-4.8119999999999798</v>
      </c>
      <c r="AD1607">
        <v>-1.105857176067</v>
      </c>
      <c r="AE1607">
        <v>-10.3118</v>
      </c>
      <c r="AF1607">
        <v>4.3602007001958603</v>
      </c>
      <c r="AG1607">
        <v>-1.105857176067</v>
      </c>
      <c r="AH1607">
        <v>10.3954600820762</v>
      </c>
      <c r="AI1607">
        <v>95.602746005391694</v>
      </c>
      <c r="AJ1607">
        <v>67.245207288007407</v>
      </c>
      <c r="AK1607">
        <v>11.3269528363937</v>
      </c>
      <c r="AL1607">
        <v>88.777132702279701</v>
      </c>
      <c r="AM1607">
        <v>79.520633180037393</v>
      </c>
      <c r="AN1607">
        <v>0.99999998548676095</v>
      </c>
    </row>
    <row r="1608" spans="1:40" x14ac:dyDescent="0.25">
      <c r="A1608" t="str">
        <f>"20190312151016283"</f>
        <v>20190312151016283</v>
      </c>
      <c r="B1608" t="str">
        <f>"1552374616272175"</f>
        <v>1552374616272175</v>
      </c>
      <c r="C1608" t="s">
        <v>40</v>
      </c>
      <c r="D1608">
        <v>5.3044510000000002</v>
      </c>
      <c r="E1608">
        <v>0.52359940000000005</v>
      </c>
      <c r="F1608" t="s">
        <v>50</v>
      </c>
      <c r="G1608">
        <v>-195.8263</v>
      </c>
      <c r="H1608" s="1">
        <v>3.4055510000000002E-6</v>
      </c>
      <c r="I1608">
        <v>279.4753</v>
      </c>
      <c r="J1608">
        <v>-190.55539999999999</v>
      </c>
      <c r="K1608">
        <v>1.10565</v>
      </c>
      <c r="L1608">
        <v>296.85239999999999</v>
      </c>
      <c r="M1608">
        <v>-4.6498060000000001E-2</v>
      </c>
      <c r="N1608">
        <v>0</v>
      </c>
      <c r="O1608">
        <v>-0.99881810000000004</v>
      </c>
      <c r="P1608">
        <v>-0.2297486</v>
      </c>
      <c r="Q1608">
        <v>9.7804629999999997E-3</v>
      </c>
      <c r="R1608">
        <v>-0.97320099999999998</v>
      </c>
      <c r="S1608">
        <v>-0.86393739999999997</v>
      </c>
      <c r="T1608">
        <v>-0.18062259999999999</v>
      </c>
      <c r="U1608">
        <v>-2.8823850000000002</v>
      </c>
      <c r="V1608">
        <v>0.18450340000000001</v>
      </c>
      <c r="W1608">
        <v>2.1571219999999999E-2</v>
      </c>
      <c r="X1608">
        <v>0.98259510000000005</v>
      </c>
      <c r="Y1608">
        <v>0.24173520000000001</v>
      </c>
      <c r="Z1608">
        <v>6.0195569999999997E-2</v>
      </c>
      <c r="AA1608">
        <v>0.96847329999999998</v>
      </c>
      <c r="AB1608">
        <v>26</v>
      </c>
      <c r="AC1608">
        <v>-5.2709000000000099</v>
      </c>
      <c r="AD1608">
        <v>-1.1056465944489999</v>
      </c>
      <c r="AE1608">
        <v>-17.377099999999899</v>
      </c>
      <c r="AF1608">
        <v>4.4406527042910904</v>
      </c>
      <c r="AG1608">
        <v>-1.1056465944489999</v>
      </c>
      <c r="AH1608">
        <v>17.538392599479799</v>
      </c>
      <c r="AI1608">
        <v>93.497167824561799</v>
      </c>
      <c r="AJ1608">
        <v>75.791535167753693</v>
      </c>
      <c r="AK1608">
        <v>18.125591460844301</v>
      </c>
      <c r="AL1608">
        <v>88.763964234983504</v>
      </c>
      <c r="AM1608">
        <v>79.365315480909103</v>
      </c>
      <c r="AN1608">
        <v>0.99999997634392901</v>
      </c>
    </row>
    <row r="1609" spans="1:40" x14ac:dyDescent="0.25">
      <c r="A1609" t="str">
        <f>"20190312151016306"</f>
        <v>20190312151016306</v>
      </c>
      <c r="B1609" t="str">
        <f>"1552374616302431"</f>
        <v>1552374616302431</v>
      </c>
      <c r="C1609" t="s">
        <v>40</v>
      </c>
      <c r="D1609">
        <v>5.3516309999999896</v>
      </c>
      <c r="E1609">
        <v>0.52200290000000005</v>
      </c>
      <c r="F1609" t="s">
        <v>50</v>
      </c>
      <c r="G1609">
        <v>-196.1028</v>
      </c>
      <c r="H1609" s="1">
        <v>3.5652620000000002E-6</v>
      </c>
      <c r="I1609">
        <v>278.68709999999999</v>
      </c>
      <c r="J1609">
        <v>-190.57480000000001</v>
      </c>
      <c r="K1609">
        <v>1.1054790000000001</v>
      </c>
      <c r="L1609">
        <v>296.59899999999999</v>
      </c>
      <c r="M1609">
        <v>-5.3382869999999999E-2</v>
      </c>
      <c r="N1609">
        <v>0</v>
      </c>
      <c r="O1609">
        <v>-0.99847339999999996</v>
      </c>
      <c r="P1609">
        <v>-0.23904259999999999</v>
      </c>
      <c r="Q1609">
        <v>1.0913880000000001E-2</v>
      </c>
      <c r="R1609">
        <v>-0.97094789999999997</v>
      </c>
      <c r="S1609">
        <v>-0.87855530000000004</v>
      </c>
      <c r="T1609">
        <v>-0.17510580000000001</v>
      </c>
      <c r="U1609">
        <v>-2.8769230000000001</v>
      </c>
      <c r="V1609">
        <v>0.18714800000000001</v>
      </c>
      <c r="W1609">
        <v>2.2615710000000001E-2</v>
      </c>
      <c r="X1609">
        <v>0.98207129999999998</v>
      </c>
      <c r="Y1609">
        <v>0.2400902</v>
      </c>
      <c r="Z1609">
        <v>5.8409040000000002E-2</v>
      </c>
      <c r="AA1609">
        <v>0.96899179999999996</v>
      </c>
      <c r="AB1609">
        <v>26</v>
      </c>
      <c r="AC1609">
        <v>-5.5279999999999898</v>
      </c>
      <c r="AD1609">
        <v>-1.105475434738</v>
      </c>
      <c r="AE1609">
        <v>-17.911899999999999</v>
      </c>
      <c r="AF1609">
        <v>4.5480143164070403</v>
      </c>
      <c r="AG1609">
        <v>-1.105475434738</v>
      </c>
      <c r="AH1609">
        <v>18.118472645253998</v>
      </c>
      <c r="AI1609">
        <v>93.386690697038901</v>
      </c>
      <c r="AJ1609">
        <v>75.909017728775893</v>
      </c>
      <c r="AK1609">
        <v>18.713245607212802</v>
      </c>
      <c r="AL1609">
        <v>88.704104705504506</v>
      </c>
      <c r="AM1609">
        <v>79.210815443767103</v>
      </c>
      <c r="AN1609">
        <v>0.99999994126324498</v>
      </c>
    </row>
    <row r="1610" spans="1:40" x14ac:dyDescent="0.25">
      <c r="A1610" t="str">
        <f>"20190312151016327"</f>
        <v>20190312151016327</v>
      </c>
      <c r="B1610" t="str">
        <f>"1552374616321951"</f>
        <v>1552374616321951</v>
      </c>
      <c r="C1610" t="s">
        <v>40</v>
      </c>
      <c r="D1610">
        <v>5.2540319999999996</v>
      </c>
      <c r="E1610">
        <v>0.52048119999999998</v>
      </c>
      <c r="F1610" t="s">
        <v>50</v>
      </c>
      <c r="G1610">
        <v>-196.1533</v>
      </c>
      <c r="H1610" s="1">
        <v>3.5587599999999999E-6</v>
      </c>
      <c r="I1610">
        <v>278.67779999999999</v>
      </c>
      <c r="J1610">
        <v>-190.59559999999999</v>
      </c>
      <c r="K1610">
        <v>1.105316</v>
      </c>
      <c r="L1610">
        <v>296.35410000000002</v>
      </c>
      <c r="M1610">
        <v>-6.0315689999999998E-2</v>
      </c>
      <c r="N1610">
        <v>0</v>
      </c>
      <c r="O1610">
        <v>-0.99807789999999996</v>
      </c>
      <c r="P1610">
        <v>-0.24864420000000001</v>
      </c>
      <c r="Q1610">
        <v>1.1982349999999999E-2</v>
      </c>
      <c r="R1610">
        <v>-0.96852090000000002</v>
      </c>
      <c r="S1610">
        <v>-0.89387510000000003</v>
      </c>
      <c r="T1610">
        <v>-0.17713809999999999</v>
      </c>
      <c r="U1610">
        <v>-2.8716430000000002</v>
      </c>
      <c r="V1610">
        <v>0.1900751</v>
      </c>
      <c r="W1610">
        <v>2.3592019999999998E-2</v>
      </c>
      <c r="X1610">
        <v>0.98148599999999997</v>
      </c>
      <c r="Y1610">
        <v>0.23855409999999999</v>
      </c>
      <c r="Z1610">
        <v>5.9118700000000003E-2</v>
      </c>
      <c r="AA1610">
        <v>0.96932810000000003</v>
      </c>
      <c r="AB1610">
        <v>26</v>
      </c>
      <c r="AC1610">
        <v>-5.5577000000000103</v>
      </c>
      <c r="AD1610">
        <v>-1.1053124412399999</v>
      </c>
      <c r="AE1610">
        <v>-17.676300000000001</v>
      </c>
      <c r="AF1610">
        <v>4.4654236708862101</v>
      </c>
      <c r="AG1610">
        <v>-1.1053124412399999</v>
      </c>
      <c r="AH1610">
        <v>17.915611946936899</v>
      </c>
      <c r="AI1610">
        <v>93.425865953152893</v>
      </c>
      <c r="AJ1610">
        <v>76.004336034160403</v>
      </c>
      <c r="AK1610">
        <v>18.496780141054298</v>
      </c>
      <c r="AL1610">
        <v>88.648151330459797</v>
      </c>
      <c r="AM1610">
        <v>79.039744119286496</v>
      </c>
      <c r="AN1610">
        <v>0.99999994762184297</v>
      </c>
    </row>
    <row r="1611" spans="1:40" x14ac:dyDescent="0.25">
      <c r="A1611" t="str">
        <f>"20190312151016350"</f>
        <v>20190312151016350</v>
      </c>
      <c r="B1611" t="str">
        <f>"1552374616342447"</f>
        <v>1552374616342447</v>
      </c>
      <c r="C1611" t="s">
        <v>40</v>
      </c>
      <c r="D1611">
        <v>5.293787</v>
      </c>
      <c r="E1611">
        <v>0.51953369999999999</v>
      </c>
      <c r="F1611" t="s">
        <v>50</v>
      </c>
      <c r="G1611">
        <v>-196.46940000000001</v>
      </c>
      <c r="H1611" s="1">
        <v>3.716626E-6</v>
      </c>
      <c r="I1611">
        <v>277.8698</v>
      </c>
      <c r="J1611">
        <v>-190.6199</v>
      </c>
      <c r="K1611">
        <v>1.1051329999999999</v>
      </c>
      <c r="L1611">
        <v>296.09300000000002</v>
      </c>
      <c r="M1611">
        <v>-6.8036310000000003E-2</v>
      </c>
      <c r="N1611">
        <v>0</v>
      </c>
      <c r="O1611">
        <v>-0.99758119999999995</v>
      </c>
      <c r="P1611">
        <v>-0.25934560000000001</v>
      </c>
      <c r="Q1611">
        <v>1.266406E-2</v>
      </c>
      <c r="R1611">
        <v>-0.9657019</v>
      </c>
      <c r="S1611">
        <v>-0.91069029999999995</v>
      </c>
      <c r="T1611">
        <v>-0.17136860000000001</v>
      </c>
      <c r="U1611">
        <v>-2.8658139999999999</v>
      </c>
      <c r="V1611">
        <v>0.19336200000000001</v>
      </c>
      <c r="W1611">
        <v>2.416596E-2</v>
      </c>
      <c r="X1611">
        <v>0.98082979999999997</v>
      </c>
      <c r="Y1611">
        <v>0.23680780000000001</v>
      </c>
      <c r="Z1611">
        <v>5.7230709999999997E-2</v>
      </c>
      <c r="AA1611">
        <v>0.96986939999999999</v>
      </c>
      <c r="AB1611">
        <v>26</v>
      </c>
      <c r="AC1611">
        <v>-5.8494999999999999</v>
      </c>
      <c r="AD1611">
        <v>-1.1051292833739901</v>
      </c>
      <c r="AE1611">
        <v>-18.223199999999999</v>
      </c>
      <c r="AF1611">
        <v>4.5807051900734201</v>
      </c>
      <c r="AG1611">
        <v>-1.1051292833739901</v>
      </c>
      <c r="AH1611">
        <v>18.5172446401542</v>
      </c>
      <c r="AI1611">
        <v>93.315711103183602</v>
      </c>
      <c r="AJ1611">
        <v>76.105392766706402</v>
      </c>
      <c r="AK1611">
        <v>19.107394375860299</v>
      </c>
      <c r="AL1611">
        <v>88.615257649310905</v>
      </c>
      <c r="AM1611">
        <v>78.847649009222906</v>
      </c>
      <c r="AN1611">
        <v>0.99999997661738005</v>
      </c>
    </row>
    <row r="1612" spans="1:40" x14ac:dyDescent="0.25">
      <c r="A1612" t="str">
        <f>"20190312151016372"</f>
        <v>20190312151016372</v>
      </c>
      <c r="B1612" t="str">
        <f>"1552374616361967"</f>
        <v>1552374616361967</v>
      </c>
      <c r="C1612" t="s">
        <v>40</v>
      </c>
      <c r="D1612">
        <v>5.2312699999999897</v>
      </c>
      <c r="E1612">
        <v>0.51832389999999995</v>
      </c>
      <c r="F1612" t="s">
        <v>50</v>
      </c>
      <c r="G1612">
        <v>-196.7938</v>
      </c>
      <c r="H1612" s="1">
        <v>3.8318980000000001E-6</v>
      </c>
      <c r="I1612">
        <v>277.21730000000002</v>
      </c>
      <c r="J1612">
        <v>-190.64670000000001</v>
      </c>
      <c r="K1612">
        <v>1.104924</v>
      </c>
      <c r="L1612">
        <v>295.82990000000001</v>
      </c>
      <c r="M1612">
        <v>-7.6170489999999993E-2</v>
      </c>
      <c r="N1612">
        <v>0</v>
      </c>
      <c r="O1612">
        <v>-0.9969922</v>
      </c>
      <c r="P1612">
        <v>-0.27012979999999998</v>
      </c>
      <c r="Q1612">
        <v>1.348795E-2</v>
      </c>
      <c r="R1612">
        <v>-0.96272950000000002</v>
      </c>
      <c r="S1612">
        <v>-0.93472290000000002</v>
      </c>
      <c r="T1612">
        <v>-0.16731499999999999</v>
      </c>
      <c r="U1612">
        <v>-2.857758</v>
      </c>
      <c r="V1612">
        <v>0.1963569</v>
      </c>
      <c r="W1612">
        <v>2.4876720000000001E-2</v>
      </c>
      <c r="X1612">
        <v>0.98021689999999995</v>
      </c>
      <c r="Y1612">
        <v>0.23708290000000001</v>
      </c>
      <c r="Z1612">
        <v>5.5908909999999999E-2</v>
      </c>
      <c r="AA1612">
        <v>0.9698793</v>
      </c>
      <c r="AB1612">
        <v>26</v>
      </c>
      <c r="AC1612">
        <v>-6.1470999999999902</v>
      </c>
      <c r="AD1612">
        <v>-1.104920168102</v>
      </c>
      <c r="AE1612">
        <v>-18.612599999999901</v>
      </c>
      <c r="AF1612">
        <v>4.6964389369616599</v>
      </c>
      <c r="AG1612">
        <v>-1.104920168102</v>
      </c>
      <c r="AH1612">
        <v>18.966524984409102</v>
      </c>
      <c r="AI1612">
        <v>93.2365437148448</v>
      </c>
      <c r="AJ1612">
        <v>76.092318728389699</v>
      </c>
      <c r="AK1612">
        <v>19.570550765134399</v>
      </c>
      <c r="AL1612">
        <v>88.574521922406007</v>
      </c>
      <c r="AM1612">
        <v>78.672447537031303</v>
      </c>
      <c r="AN1612">
        <v>1.00000002721058</v>
      </c>
    </row>
    <row r="1613" spans="1:40" x14ac:dyDescent="0.25">
      <c r="A1613" t="str">
        <f>"20190312151016397"</f>
        <v>20190312151016397</v>
      </c>
      <c r="B1613" t="str">
        <f>"1552374616392223"</f>
        <v>1552374616392223</v>
      </c>
      <c r="C1613" t="s">
        <v>40</v>
      </c>
      <c r="D1613">
        <v>5.3493890000000004</v>
      </c>
      <c r="E1613">
        <v>0.51690449999999999</v>
      </c>
      <c r="F1613" t="s">
        <v>50</v>
      </c>
      <c r="G1613">
        <v>-197.0598</v>
      </c>
      <c r="H1613" s="1">
        <v>3.9103399999999999E-6</v>
      </c>
      <c r="I1613">
        <v>276.74290000000002</v>
      </c>
      <c r="J1613">
        <v>-190.6763</v>
      </c>
      <c r="K1613">
        <v>1.1046910000000001</v>
      </c>
      <c r="L1613">
        <v>295.56509999999997</v>
      </c>
      <c r="M1613">
        <v>-8.4733589999999998E-2</v>
      </c>
      <c r="N1613">
        <v>0</v>
      </c>
      <c r="O1613">
        <v>-0.99630050000000003</v>
      </c>
      <c r="P1613">
        <v>-0.28084439999999999</v>
      </c>
      <c r="Q1613">
        <v>1.4243759999999999E-2</v>
      </c>
      <c r="R1613">
        <v>-0.95964769999999999</v>
      </c>
      <c r="S1613">
        <v>-0.95748900000000003</v>
      </c>
      <c r="T1613">
        <v>-0.16496839999999999</v>
      </c>
      <c r="U1613">
        <v>-2.8497620000000001</v>
      </c>
      <c r="V1613">
        <v>0.19888819999999999</v>
      </c>
      <c r="W1613">
        <v>2.5517379999999999E-2</v>
      </c>
      <c r="X1613">
        <v>0.97968999999999995</v>
      </c>
      <c r="Y1613">
        <v>0.23653289999999999</v>
      </c>
      <c r="Z1613">
        <v>5.5152220000000002E-2</v>
      </c>
      <c r="AA1613">
        <v>0.97005699999999995</v>
      </c>
      <c r="AB1613">
        <v>26</v>
      </c>
      <c r="AC1613">
        <v>-6.38349999999999</v>
      </c>
      <c r="AD1613">
        <v>-1.1046870896600001</v>
      </c>
      <c r="AE1613">
        <v>-18.822199999999899</v>
      </c>
      <c r="AF1613">
        <v>4.7508248783480198</v>
      </c>
      <c r="AG1613">
        <v>-1.1046870896600001</v>
      </c>
      <c r="AH1613">
        <v>19.2360220502574</v>
      </c>
      <c r="AI1613">
        <v>93.1910985415672</v>
      </c>
      <c r="AJ1613">
        <v>76.126973341898605</v>
      </c>
      <c r="AK1613">
        <v>19.844778026190699</v>
      </c>
      <c r="AL1613">
        <v>88.537803219682303</v>
      </c>
      <c r="AM1613">
        <v>78.524261834622493</v>
      </c>
      <c r="AN1613">
        <v>1.0000000744406401</v>
      </c>
    </row>
    <row r="1614" spans="1:40" x14ac:dyDescent="0.25">
      <c r="A1614" t="str">
        <f>"20190312151016416"</f>
        <v>20190312151016416</v>
      </c>
      <c r="B1614" t="str">
        <f>"1552374616412719"</f>
        <v>1552374616412719</v>
      </c>
      <c r="C1614" t="s">
        <v>40</v>
      </c>
      <c r="D1614">
        <v>5.2798619999999996</v>
      </c>
      <c r="E1614">
        <v>0.51595530000000001</v>
      </c>
      <c r="F1614" t="s">
        <v>50</v>
      </c>
      <c r="G1614">
        <v>-197.42240000000001</v>
      </c>
      <c r="H1614" s="1">
        <v>4.0515570000000002E-6</v>
      </c>
      <c r="I1614">
        <v>275.9667</v>
      </c>
      <c r="J1614">
        <v>-190.70429999999999</v>
      </c>
      <c r="K1614">
        <v>1.104468</v>
      </c>
      <c r="L1614">
        <v>295.33530000000002</v>
      </c>
      <c r="M1614">
        <v>-9.2499479999999995E-2</v>
      </c>
      <c r="N1614">
        <v>0</v>
      </c>
      <c r="O1614">
        <v>-0.99560890000000002</v>
      </c>
      <c r="P1614">
        <v>-0.29049989999999998</v>
      </c>
      <c r="Q1614">
        <v>1.5043259999999999E-2</v>
      </c>
      <c r="R1614">
        <v>-0.95675710000000003</v>
      </c>
      <c r="S1614">
        <v>-0.97834779999999999</v>
      </c>
      <c r="T1614">
        <v>-0.16020699999999999</v>
      </c>
      <c r="U1614">
        <v>-2.8422550000000002</v>
      </c>
      <c r="V1614">
        <v>0.2011483</v>
      </c>
      <c r="W1614">
        <v>2.620809E-2</v>
      </c>
      <c r="X1614">
        <v>0.97921009999999997</v>
      </c>
      <c r="Y1614">
        <v>0.23613790000000001</v>
      </c>
      <c r="Z1614">
        <v>5.3583789999999999E-2</v>
      </c>
      <c r="AA1614">
        <v>0.97024109999999997</v>
      </c>
      <c r="AB1614">
        <v>26</v>
      </c>
      <c r="AC1614">
        <v>-6.7181000000000202</v>
      </c>
      <c r="AD1614">
        <v>-1.1044639484430001</v>
      </c>
      <c r="AE1614">
        <v>-19.368600000000001</v>
      </c>
      <c r="AF1614">
        <v>4.8833472561285403</v>
      </c>
      <c r="AG1614">
        <v>-1.1044639484430001</v>
      </c>
      <c r="AH1614">
        <v>19.849416934634601</v>
      </c>
      <c r="AI1614">
        <v>93.092742350648706</v>
      </c>
      <c r="AJ1614">
        <v>76.1785970937011</v>
      </c>
      <c r="AK1614">
        <v>20.471108267075</v>
      </c>
      <c r="AL1614">
        <v>88.498215041910299</v>
      </c>
      <c r="AM1614">
        <v>78.391840288612798</v>
      </c>
      <c r="AN1614">
        <v>0.99999996125817303</v>
      </c>
    </row>
    <row r="1615" spans="1:40" x14ac:dyDescent="0.25">
      <c r="A1615" t="str">
        <f>"20190312151016439"</f>
        <v>20190312151016439</v>
      </c>
      <c r="B1615" t="str">
        <f>"1552374616432239"</f>
        <v>1552374616432239</v>
      </c>
      <c r="C1615" t="s">
        <v>40</v>
      </c>
      <c r="D1615">
        <v>5.2861969999999996</v>
      </c>
      <c r="E1615">
        <v>0.51495089999999999</v>
      </c>
      <c r="F1615" t="s">
        <v>50</v>
      </c>
      <c r="G1615">
        <v>-197.7577</v>
      </c>
      <c r="H1615" s="1">
        <v>4.1937920000000002E-6</v>
      </c>
      <c r="I1615">
        <v>275.33330000000001</v>
      </c>
      <c r="J1615">
        <v>-190.7388</v>
      </c>
      <c r="K1615">
        <v>1.1042050000000001</v>
      </c>
      <c r="L1615">
        <v>295.0745</v>
      </c>
      <c r="M1615">
        <v>-0.1016971</v>
      </c>
      <c r="N1615">
        <v>0</v>
      </c>
      <c r="O1615">
        <v>-0.9947106</v>
      </c>
      <c r="P1615">
        <v>-0.3022629</v>
      </c>
      <c r="Q1615">
        <v>1.5869830000000001E-2</v>
      </c>
      <c r="R1615">
        <v>-0.95309239999999995</v>
      </c>
      <c r="S1615">
        <v>-0.99955749999999999</v>
      </c>
      <c r="T1615">
        <v>-0.1565174</v>
      </c>
      <c r="U1615">
        <v>-2.8345639999999999</v>
      </c>
      <c r="V1615">
        <v>0.2041914</v>
      </c>
      <c r="W1615">
        <v>2.6896400000000001E-2</v>
      </c>
      <c r="X1615">
        <v>0.97856140000000003</v>
      </c>
      <c r="Y1615">
        <v>0.23446069999999999</v>
      </c>
      <c r="Z1615">
        <v>5.236408E-2</v>
      </c>
      <c r="AA1615">
        <v>0.97071430000000003</v>
      </c>
      <c r="AB1615">
        <v>25</v>
      </c>
      <c r="AC1615">
        <v>-7.0189000000000004</v>
      </c>
      <c r="AD1615">
        <v>-1.104200806208</v>
      </c>
      <c r="AE1615">
        <v>-19.7411999999999</v>
      </c>
      <c r="AF1615">
        <v>4.9608913385377198</v>
      </c>
      <c r="AG1615">
        <v>-1.104200806208</v>
      </c>
      <c r="AH1615">
        <v>20.2963320543628</v>
      </c>
      <c r="AI1615">
        <v>93.025165236567801</v>
      </c>
      <c r="AJ1615">
        <v>76.2648885178874</v>
      </c>
      <c r="AK1615">
        <v>20.9229729520966</v>
      </c>
      <c r="AL1615">
        <v>88.4587638993344</v>
      </c>
      <c r="AM1615">
        <v>78.213506078887903</v>
      </c>
      <c r="AN1615">
        <v>0.99999997886843905</v>
      </c>
    </row>
    <row r="1616" spans="1:40" x14ac:dyDescent="0.25">
      <c r="A1616" t="str">
        <f>"20190312151016460"</f>
        <v>20190312151016460</v>
      </c>
      <c r="B1616" t="str">
        <f>"1552374616452735"</f>
        <v>1552374616452735</v>
      </c>
      <c r="C1616" t="s">
        <v>40</v>
      </c>
      <c r="D1616">
        <v>5.1508979999999998</v>
      </c>
      <c r="E1616">
        <v>0.51393350000000004</v>
      </c>
      <c r="F1616" t="s">
        <v>50</v>
      </c>
      <c r="G1616">
        <v>-198.04409999999999</v>
      </c>
      <c r="H1616" s="1">
        <v>4.257382E-6</v>
      </c>
      <c r="I1616">
        <v>274.97379999999998</v>
      </c>
      <c r="J1616">
        <v>-190.77449999999999</v>
      </c>
      <c r="K1616">
        <v>1.103955</v>
      </c>
      <c r="L1616">
        <v>294.8252</v>
      </c>
      <c r="M1616">
        <v>-0.1108952</v>
      </c>
      <c r="N1616">
        <v>0</v>
      </c>
      <c r="O1616">
        <v>-0.99372640000000001</v>
      </c>
      <c r="P1616">
        <v>-0.31442619999999999</v>
      </c>
      <c r="Q1616">
        <v>1.6690159999999999E-2</v>
      </c>
      <c r="R1616">
        <v>-0.94913530000000002</v>
      </c>
      <c r="S1616">
        <v>-1.026581</v>
      </c>
      <c r="T1616">
        <v>-0.15516869999999999</v>
      </c>
      <c r="U1616">
        <v>-2.8246769999999999</v>
      </c>
      <c r="V1616">
        <v>0.20768339999999999</v>
      </c>
      <c r="W1616">
        <v>2.7573730000000001E-2</v>
      </c>
      <c r="X1616">
        <v>0.97780739999999999</v>
      </c>
      <c r="Y1616">
        <v>0.23476910000000001</v>
      </c>
      <c r="Z1616">
        <v>5.1924199999999997E-2</v>
      </c>
      <c r="AA1616">
        <v>0.97066339999999995</v>
      </c>
      <c r="AB1616">
        <v>25</v>
      </c>
      <c r="AC1616">
        <v>-7.2695999999999898</v>
      </c>
      <c r="AD1616">
        <v>-1.103950742618</v>
      </c>
      <c r="AE1616">
        <v>-19.851400000000002</v>
      </c>
      <c r="AF1616">
        <v>5.0094360738984403</v>
      </c>
      <c r="AG1616">
        <v>-1.103950742618</v>
      </c>
      <c r="AH1616">
        <v>20.479336793560702</v>
      </c>
      <c r="AI1616">
        <v>92.997375384833603</v>
      </c>
      <c r="AJ1616">
        <v>76.254819514112199</v>
      </c>
      <c r="AK1616">
        <v>21.1119964125776</v>
      </c>
      <c r="AL1616">
        <v>88.419941393078204</v>
      </c>
      <c r="AM1616">
        <v>78.008744965373197</v>
      </c>
      <c r="AN1616">
        <v>1.0000000083582099</v>
      </c>
    </row>
    <row r="1617" spans="1:40" x14ac:dyDescent="0.25">
      <c r="A1617" t="str">
        <f>"20190312151016484"</f>
        <v>20190312151016484</v>
      </c>
      <c r="B1617" t="str">
        <f>"1552374616472255"</f>
        <v>1552374616472255</v>
      </c>
      <c r="C1617" t="s">
        <v>40</v>
      </c>
      <c r="D1617">
        <v>5.2409549999999996</v>
      </c>
      <c r="E1617">
        <v>0.51283849999999997</v>
      </c>
      <c r="F1617" t="s">
        <v>50</v>
      </c>
      <c r="G1617">
        <v>-198.274</v>
      </c>
      <c r="H1617" s="1">
        <v>4.2615510000000001E-6</v>
      </c>
      <c r="I1617">
        <v>274.8177</v>
      </c>
      <c r="J1617">
        <v>-190.81639999999999</v>
      </c>
      <c r="K1617">
        <v>1.1037129999999999</v>
      </c>
      <c r="L1617">
        <v>294.55500000000001</v>
      </c>
      <c r="M1617">
        <v>-0.12123349999999999</v>
      </c>
      <c r="N1617">
        <v>0</v>
      </c>
      <c r="O1617">
        <v>-0.99251750000000005</v>
      </c>
      <c r="P1617">
        <v>-0.32826519999999998</v>
      </c>
      <c r="Q1617">
        <v>1.756017E-2</v>
      </c>
      <c r="R1617">
        <v>-0.94442250000000005</v>
      </c>
      <c r="S1617">
        <v>-1.054794</v>
      </c>
      <c r="T1617">
        <v>-0.15526909999999999</v>
      </c>
      <c r="U1617">
        <v>-2.8140260000000001</v>
      </c>
      <c r="V1617">
        <v>0.21182899999999999</v>
      </c>
      <c r="W1617">
        <v>2.8293949999999998E-2</v>
      </c>
      <c r="X1617">
        <v>0.97689709999999996</v>
      </c>
      <c r="Y1617">
        <v>0.23439019999999999</v>
      </c>
      <c r="Z1617">
        <v>5.196162E-2</v>
      </c>
      <c r="AA1617">
        <v>0.97075299999999998</v>
      </c>
      <c r="AB1617">
        <v>25</v>
      </c>
      <c r="AC1617">
        <v>-7.45760000000001</v>
      </c>
      <c r="AD1617">
        <v>-1.1037087384490001</v>
      </c>
      <c r="AE1617">
        <v>-19.737300000000001</v>
      </c>
      <c r="AF1617">
        <v>4.9958357025744196</v>
      </c>
      <c r="AG1617">
        <v>-1.1037087384490001</v>
      </c>
      <c r="AH1617">
        <v>20.439962145660399</v>
      </c>
      <c r="AI1617">
        <v>93.002615973966599</v>
      </c>
      <c r="AJ1617">
        <v>76.265317396883603</v>
      </c>
      <c r="AK1617">
        <v>21.070562400241698</v>
      </c>
      <c r="AL1617">
        <v>88.378659717127803</v>
      </c>
      <c r="AM1617">
        <v>77.765468293378504</v>
      </c>
      <c r="AN1617">
        <v>1.0000000084180001</v>
      </c>
    </row>
    <row r="1618" spans="1:40" x14ac:dyDescent="0.25">
      <c r="A1618" t="str">
        <f>"20190312151016505"</f>
        <v>20190312151016505</v>
      </c>
      <c r="B1618" t="str">
        <f>"1552374616502140"</f>
        <v>1552374616502140</v>
      </c>
      <c r="C1618" t="s">
        <v>40</v>
      </c>
      <c r="D1618">
        <v>5.6373119999999997</v>
      </c>
      <c r="E1618">
        <v>0.51322840000000003</v>
      </c>
      <c r="F1618" t="s">
        <v>50</v>
      </c>
      <c r="G1618">
        <v>-198.59180000000001</v>
      </c>
      <c r="H1618" s="1">
        <v>4.2863799999999996E-6</v>
      </c>
      <c r="I1618">
        <v>274.52530000000002</v>
      </c>
      <c r="J1618">
        <v>-190.85570000000001</v>
      </c>
      <c r="K1618">
        <v>1.1035349999999999</v>
      </c>
      <c r="L1618">
        <v>294.3186</v>
      </c>
      <c r="M1618">
        <v>-0.130575</v>
      </c>
      <c r="N1618">
        <v>0</v>
      </c>
      <c r="O1618">
        <v>-0.99133119999999997</v>
      </c>
      <c r="P1618">
        <v>-0.34218080000000001</v>
      </c>
      <c r="Q1618">
        <v>1.8329890000000001E-2</v>
      </c>
      <c r="R1618">
        <v>-0.9394557</v>
      </c>
      <c r="S1618">
        <v>-1.087494</v>
      </c>
      <c r="T1618">
        <v>-0.15436849999999999</v>
      </c>
      <c r="U1618">
        <v>-2.8014220000000001</v>
      </c>
      <c r="V1618">
        <v>0.21708720000000001</v>
      </c>
      <c r="W1618">
        <v>2.8905009999999998E-2</v>
      </c>
      <c r="X1618">
        <v>0.97572420000000004</v>
      </c>
      <c r="Y1618">
        <v>0.23656099999999999</v>
      </c>
      <c r="Z1618">
        <v>5.1666910000000003E-2</v>
      </c>
      <c r="AA1618">
        <v>0.97024200000000005</v>
      </c>
      <c r="AB1618">
        <v>25</v>
      </c>
      <c r="AC1618">
        <v>-7.7360999999999898</v>
      </c>
      <c r="AD1618">
        <v>-1.1035307136200001</v>
      </c>
      <c r="AE1618">
        <v>-19.793299999999899</v>
      </c>
      <c r="AF1618">
        <v>5.0713929720997397</v>
      </c>
      <c r="AG1618">
        <v>-1.1035307136200001</v>
      </c>
      <c r="AH1618">
        <v>20.578561590487102</v>
      </c>
      <c r="AI1618">
        <v>92.980554099189902</v>
      </c>
      <c r="AJ1618">
        <v>76.155859154366993</v>
      </c>
      <c r="AK1618">
        <v>21.2229593564808</v>
      </c>
      <c r="AL1618">
        <v>88.343634271833807</v>
      </c>
      <c r="AM1618">
        <v>77.456666430665507</v>
      </c>
      <c r="AN1618">
        <v>1.00000003323628</v>
      </c>
    </row>
    <row r="1619" spans="1:40" x14ac:dyDescent="0.25">
      <c r="A1619" t="str">
        <f>"20190312151016528"</f>
        <v>20190312151016528</v>
      </c>
      <c r="B1619" t="str">
        <f>"1552374616522637"</f>
        <v>1552374616522637</v>
      </c>
      <c r="C1619" t="s">
        <v>40</v>
      </c>
      <c r="D1619">
        <v>5.5860890000000003</v>
      </c>
      <c r="E1619">
        <v>0.57273549999999995</v>
      </c>
      <c r="F1619" t="s">
        <v>50</v>
      </c>
      <c r="G1619">
        <v>-198.75460000000001</v>
      </c>
      <c r="H1619" s="1">
        <v>4.1292610000000004E-6</v>
      </c>
      <c r="I1619">
        <v>274.89049999999997</v>
      </c>
      <c r="J1619">
        <v>-190.90199999999999</v>
      </c>
      <c r="K1619">
        <v>1.103342</v>
      </c>
      <c r="L1619">
        <v>294.0582</v>
      </c>
      <c r="M1619">
        <v>-0.14119670000000001</v>
      </c>
      <c r="N1619">
        <v>0</v>
      </c>
      <c r="O1619">
        <v>-0.98987349999999996</v>
      </c>
      <c r="P1619">
        <v>-0.35744480000000001</v>
      </c>
      <c r="Q1619">
        <v>1.9067690000000002E-2</v>
      </c>
      <c r="R1619">
        <v>-0.93373980000000001</v>
      </c>
      <c r="S1619">
        <v>-1.1319429999999999</v>
      </c>
      <c r="T1619">
        <v>-0.15813969999999999</v>
      </c>
      <c r="U1619">
        <v>-2.784119</v>
      </c>
      <c r="V1619">
        <v>0.2225531</v>
      </c>
      <c r="W1619">
        <v>2.947601E-2</v>
      </c>
      <c r="X1619">
        <v>0.97447490000000003</v>
      </c>
      <c r="Y1619">
        <v>0.2415147</v>
      </c>
      <c r="Z1619">
        <v>5.2929669999999998E-2</v>
      </c>
      <c r="AA1619">
        <v>0.96895260000000005</v>
      </c>
      <c r="AB1619">
        <v>25</v>
      </c>
      <c r="AC1619">
        <v>-7.85259999999999</v>
      </c>
      <c r="AD1619">
        <v>-1.103337870739</v>
      </c>
      <c r="AE1619">
        <v>-19.1677</v>
      </c>
      <c r="AF1619">
        <v>5.0528705740876498</v>
      </c>
      <c r="AG1619">
        <v>-1.103337870739</v>
      </c>
      <c r="AH1619">
        <v>20.027684908410698</v>
      </c>
      <c r="AI1619">
        <v>93.057651521385594</v>
      </c>
      <c r="AJ1619">
        <v>75.840102799697803</v>
      </c>
      <c r="AK1619">
        <v>20.6847049359199</v>
      </c>
      <c r="AL1619">
        <v>88.310904419662904</v>
      </c>
      <c r="AM1619">
        <v>77.135281396528896</v>
      </c>
      <c r="AN1619">
        <v>1.0000000241075599</v>
      </c>
    </row>
    <row r="1620" spans="1:40" x14ac:dyDescent="0.25">
      <c r="A1620" t="str">
        <f>"20190312151016551"</f>
        <v>20190312151016551</v>
      </c>
      <c r="B1620" t="str">
        <f>"1552374616542156"</f>
        <v>1552374616542156</v>
      </c>
      <c r="C1620" t="s">
        <v>40</v>
      </c>
      <c r="D1620">
        <v>5.478548</v>
      </c>
      <c r="E1620">
        <v>0.61100849999999995</v>
      </c>
      <c r="F1620" t="s">
        <v>43</v>
      </c>
      <c r="G1620">
        <v>-212.12739999999999</v>
      </c>
      <c r="H1620">
        <v>-0.05</v>
      </c>
      <c r="I1620">
        <v>260.0256</v>
      </c>
      <c r="J1620">
        <v>-190.9504</v>
      </c>
      <c r="K1620">
        <v>1.103162</v>
      </c>
      <c r="L1620">
        <v>293.80309999999997</v>
      </c>
      <c r="M1620">
        <v>-0.15192539999999999</v>
      </c>
      <c r="N1620">
        <v>0</v>
      </c>
      <c r="O1620">
        <v>-0.98828300000000002</v>
      </c>
      <c r="P1620">
        <v>-0.3726833</v>
      </c>
      <c r="Q1620">
        <v>2.0007420000000001E-2</v>
      </c>
      <c r="R1620">
        <v>-0.9277434</v>
      </c>
      <c r="S1620">
        <v>-1.6185</v>
      </c>
      <c r="T1620">
        <v>-8.7945819999999994E-2</v>
      </c>
      <c r="U1620">
        <v>-2.5950929999999999</v>
      </c>
      <c r="V1620">
        <v>0.22796810000000001</v>
      </c>
      <c r="W1620">
        <v>3.0249100000000001E-2</v>
      </c>
      <c r="X1620">
        <v>0.97319860000000002</v>
      </c>
      <c r="Y1620">
        <v>0.39389679999999999</v>
      </c>
      <c r="Z1620">
        <v>2.9306260000000001E-2</v>
      </c>
      <c r="AA1620">
        <v>0.91868729999999998</v>
      </c>
      <c r="AB1620">
        <v>25</v>
      </c>
      <c r="AC1620">
        <v>-21.1769999999999</v>
      </c>
      <c r="AD1620">
        <v>-1.153162</v>
      </c>
      <c r="AE1620">
        <v>-33.777499999999897</v>
      </c>
      <c r="AF1620">
        <v>15.785703061669</v>
      </c>
      <c r="AG1620">
        <v>-1.153162</v>
      </c>
      <c r="AH1620">
        <v>36.572396461406299</v>
      </c>
      <c r="AI1620">
        <v>91.658213136337196</v>
      </c>
      <c r="AJ1620">
        <v>66.653576650628295</v>
      </c>
      <c r="AK1620">
        <v>39.850450269472702</v>
      </c>
      <c r="AL1620">
        <v>88.266589800663098</v>
      </c>
      <c r="AM1620">
        <v>76.816383457172904</v>
      </c>
      <c r="AN1620">
        <v>0.99999998885518904</v>
      </c>
    </row>
    <row r="1621" spans="1:40" x14ac:dyDescent="0.25">
      <c r="A1621" t="str">
        <f>"20190312151016574"</f>
        <v>20190312151016574</v>
      </c>
      <c r="B1621" t="str">
        <f>"1552374616562653"</f>
        <v>1552374616562653</v>
      </c>
      <c r="C1621" t="s">
        <v>40</v>
      </c>
      <c r="D1621">
        <v>5.5662890000000003</v>
      </c>
      <c r="E1621">
        <v>0.61198929999999996</v>
      </c>
      <c r="F1621" t="s">
        <v>50</v>
      </c>
      <c r="G1621">
        <v>-197.995</v>
      </c>
      <c r="H1621" s="1">
        <v>2.5190879999999998E-6</v>
      </c>
      <c r="I1621">
        <v>284.92899999999997</v>
      </c>
      <c r="J1621">
        <v>-191.00360000000001</v>
      </c>
      <c r="K1621">
        <v>1.102973</v>
      </c>
      <c r="L1621">
        <v>293.54079999999999</v>
      </c>
      <c r="M1621">
        <v>-0.163274799999999</v>
      </c>
      <c r="N1621">
        <v>0</v>
      </c>
      <c r="O1621">
        <v>-0.98647059999999998</v>
      </c>
      <c r="P1621">
        <v>-0.39063949999999997</v>
      </c>
      <c r="Q1621">
        <v>2.0550639999999998E-2</v>
      </c>
      <c r="R1621">
        <v>-0.92031459999999998</v>
      </c>
      <c r="S1621">
        <v>-1.950302</v>
      </c>
      <c r="T1621">
        <v>-0.30541220000000002</v>
      </c>
      <c r="U1621">
        <v>-2.4568180000000002</v>
      </c>
      <c r="V1621">
        <v>0.2357136</v>
      </c>
      <c r="W1621">
        <v>3.0569389999999998E-2</v>
      </c>
      <c r="X1621">
        <v>0.97134169999999997</v>
      </c>
      <c r="Y1621">
        <v>0.48241220000000001</v>
      </c>
      <c r="Z1621">
        <v>9.9693489999999996E-2</v>
      </c>
      <c r="AA1621">
        <v>0.87025269999999999</v>
      </c>
      <c r="AB1621">
        <v>25</v>
      </c>
      <c r="AC1621">
        <v>-6.9913999999999898</v>
      </c>
      <c r="AD1621">
        <v>-1.102970480912</v>
      </c>
      <c r="AE1621">
        <v>-8.6117999999999597</v>
      </c>
      <c r="AF1621">
        <v>5.4375547444528696</v>
      </c>
      <c r="AG1621">
        <v>-1.102970480912</v>
      </c>
      <c r="AH1621">
        <v>9.5434950856992504</v>
      </c>
      <c r="AI1621">
        <v>95.734266867895101</v>
      </c>
      <c r="AJ1621">
        <v>60.326999636845102</v>
      </c>
      <c r="AK1621">
        <v>11.039105214257599</v>
      </c>
      <c r="AL1621">
        <v>88.248230140104297</v>
      </c>
      <c r="AM1621">
        <v>76.359811911842201</v>
      </c>
      <c r="AN1621">
        <v>1.0000000434944101</v>
      </c>
    </row>
    <row r="1622" spans="1:40" x14ac:dyDescent="0.25">
      <c r="A1622" t="str">
        <f>"20190312151016607"</f>
        <v>20190312151016607</v>
      </c>
      <c r="B1622" t="str">
        <f>"1552374616602209"</f>
        <v>1552374616602209</v>
      </c>
      <c r="C1622" t="s">
        <v>40</v>
      </c>
      <c r="D1622">
        <v>5.4925839999999999</v>
      </c>
      <c r="E1622">
        <v>0.60744509999999996</v>
      </c>
      <c r="F1622" t="s">
        <v>50</v>
      </c>
      <c r="G1622">
        <v>-200.804</v>
      </c>
      <c r="H1622" s="1">
        <v>2.826971E-6</v>
      </c>
      <c r="I1622">
        <v>281.71749999999997</v>
      </c>
      <c r="J1622">
        <v>-191.08170000000001</v>
      </c>
      <c r="K1622">
        <v>1.1027260000000001</v>
      </c>
      <c r="L1622">
        <v>293.18430000000001</v>
      </c>
      <c r="M1622">
        <v>-0.17922829999999901</v>
      </c>
      <c r="N1622">
        <v>0</v>
      </c>
      <c r="O1622">
        <v>-0.98369609999999996</v>
      </c>
      <c r="P1622">
        <v>-0.41213959999999999</v>
      </c>
      <c r="Q1622">
        <v>2.1441709999999999E-2</v>
      </c>
      <c r="R1622">
        <v>-0.91086849999999997</v>
      </c>
      <c r="S1622">
        <v>-2.0019070000000001</v>
      </c>
      <c r="T1622">
        <v>-0.22529940000000001</v>
      </c>
      <c r="U1622">
        <v>-2.4150999999999998</v>
      </c>
      <c r="V1622">
        <v>0.2428266</v>
      </c>
      <c r="W1622">
        <v>3.1224249999999999E-2</v>
      </c>
      <c r="X1622">
        <v>0.96956710000000002</v>
      </c>
      <c r="Y1622">
        <v>0.48809350000000001</v>
      </c>
      <c r="Z1622">
        <v>7.3832490000000001E-2</v>
      </c>
      <c r="AA1622">
        <v>0.86966290000000002</v>
      </c>
      <c r="AB1622">
        <v>25</v>
      </c>
      <c r="AC1622">
        <v>-9.72229999999999</v>
      </c>
      <c r="AD1622">
        <v>-1.1027231730289999</v>
      </c>
      <c r="AE1622">
        <v>-11.466799999999999</v>
      </c>
      <c r="AF1622">
        <v>7.4692500097152097</v>
      </c>
      <c r="AG1622">
        <v>-1.1027231730289999</v>
      </c>
      <c r="AH1622">
        <v>12.9540887126012</v>
      </c>
      <c r="AI1622">
        <v>94.217641294769095</v>
      </c>
      <c r="AJ1622">
        <v>60.032508310901399</v>
      </c>
      <c r="AK1622">
        <v>14.9938023355621</v>
      </c>
      <c r="AL1622">
        <v>88.210691492524901</v>
      </c>
      <c r="AM1622">
        <v>75.939574963002599</v>
      </c>
      <c r="AN1622">
        <v>1.00000003642901</v>
      </c>
    </row>
    <row r="1623" spans="1:40" x14ac:dyDescent="0.25">
      <c r="A1623" t="str">
        <f>"20190312151016631"</f>
        <v>20190312151016631</v>
      </c>
      <c r="B1623" t="str">
        <f>"1552374616622705"</f>
        <v>1552374616622705</v>
      </c>
      <c r="C1623" t="s">
        <v>40</v>
      </c>
      <c r="D1623">
        <v>5.5351759999999999</v>
      </c>
      <c r="E1623">
        <v>0.60704029999999998</v>
      </c>
      <c r="F1623" t="s">
        <v>50</v>
      </c>
      <c r="G1623">
        <v>-199.23990000000001</v>
      </c>
      <c r="H1623" s="1">
        <v>2.4155539999999998E-6</v>
      </c>
      <c r="I1623">
        <v>283.58730000000003</v>
      </c>
      <c r="J1623">
        <v>-191.14510000000001</v>
      </c>
      <c r="K1623">
        <v>1.102549</v>
      </c>
      <c r="L1623">
        <v>292.91460000000001</v>
      </c>
      <c r="M1623">
        <v>-0.1916407</v>
      </c>
      <c r="N1623">
        <v>0</v>
      </c>
      <c r="O1623">
        <v>-0.98135269999999997</v>
      </c>
      <c r="P1623">
        <v>-0.42801240000000002</v>
      </c>
      <c r="Q1623">
        <v>2.1972220000000001E-2</v>
      </c>
      <c r="R1623">
        <v>-0.90350620000000004</v>
      </c>
      <c r="S1623">
        <v>-2.0260009999999999</v>
      </c>
      <c r="T1623">
        <v>-0.27384950000000002</v>
      </c>
      <c r="U1623">
        <v>-2.3833009999999999</v>
      </c>
      <c r="V1623">
        <v>0.2475667</v>
      </c>
      <c r="W1623">
        <v>3.1592189999999999E-2</v>
      </c>
      <c r="X1623">
        <v>0.96835570000000004</v>
      </c>
      <c r="Y1623">
        <v>0.48701709999999898</v>
      </c>
      <c r="Z1623">
        <v>8.9958899999999994E-2</v>
      </c>
      <c r="AA1623">
        <v>0.86874719999999905</v>
      </c>
      <c r="AB1623">
        <v>25</v>
      </c>
      <c r="AC1623">
        <v>-8.0947999999999904</v>
      </c>
      <c r="AD1623">
        <v>-1.1025465844460001</v>
      </c>
      <c r="AE1623">
        <v>-9.3272999999999797</v>
      </c>
      <c r="AF1623">
        <v>6.1083598291360897</v>
      </c>
      <c r="AG1623">
        <v>-1.1025465844460001</v>
      </c>
      <c r="AH1623">
        <v>10.621195495272101</v>
      </c>
      <c r="AI1623">
        <v>95.141969354957496</v>
      </c>
      <c r="AJ1623">
        <v>60.096345292719299</v>
      </c>
      <c r="AK1623">
        <v>12.301929219511299</v>
      </c>
      <c r="AL1623">
        <v>88.189599702004699</v>
      </c>
      <c r="AM1623">
        <v>75.659120540032703</v>
      </c>
      <c r="AN1623">
        <v>1.00000004957018</v>
      </c>
    </row>
    <row r="1624" spans="1:40" x14ac:dyDescent="0.25">
      <c r="A1624" t="str">
        <f>"20190312151016651"</f>
        <v>20190312151016651</v>
      </c>
      <c r="B1624" t="str">
        <f>"1552374616642226"</f>
        <v>1552374616642226</v>
      </c>
      <c r="C1624" t="s">
        <v>40</v>
      </c>
      <c r="D1624">
        <v>5.5033329999999996</v>
      </c>
      <c r="E1624">
        <v>0.60680669999999903</v>
      </c>
      <c r="F1624" t="s">
        <v>50</v>
      </c>
      <c r="G1624">
        <v>-198.91249999999999</v>
      </c>
      <c r="H1624" s="1">
        <v>2.4308929999999999E-6</v>
      </c>
      <c r="I1624">
        <v>284.07619999999997</v>
      </c>
      <c r="J1624">
        <v>-191.20330000000001</v>
      </c>
      <c r="K1624">
        <v>1.102409</v>
      </c>
      <c r="L1624">
        <v>292.68079999999998</v>
      </c>
      <c r="M1624">
        <v>-0.2026299</v>
      </c>
      <c r="N1624">
        <v>0</v>
      </c>
      <c r="O1624">
        <v>-0.97914210000000002</v>
      </c>
      <c r="P1624">
        <v>-0.44210250000000001</v>
      </c>
      <c r="Q1624">
        <v>2.2719360000000001E-2</v>
      </c>
      <c r="R1624">
        <v>-0.89667739999999996</v>
      </c>
      <c r="S1624">
        <v>-2.0647129999999998</v>
      </c>
      <c r="T1624">
        <v>-0.29307749999999999</v>
      </c>
      <c r="U1624">
        <v>-2.3494259999999998</v>
      </c>
      <c r="V1624">
        <v>0.25189709999999998</v>
      </c>
      <c r="W1624">
        <v>3.2198890000000001E-2</v>
      </c>
      <c r="X1624">
        <v>0.96721820000000003</v>
      </c>
      <c r="Y1624">
        <v>0.49112479999999997</v>
      </c>
      <c r="Z1624">
        <v>9.634442E-2</v>
      </c>
      <c r="AA1624">
        <v>0.86574490000000004</v>
      </c>
      <c r="AB1624">
        <v>25</v>
      </c>
      <c r="AC1624">
        <v>-7.7091999999999796</v>
      </c>
      <c r="AD1624">
        <v>-1.102406569107</v>
      </c>
      <c r="AE1624">
        <v>-8.6045999999999996</v>
      </c>
      <c r="AF1624">
        <v>5.7531129657779401</v>
      </c>
      <c r="AG1624">
        <v>-1.102406569107</v>
      </c>
      <c r="AH1624">
        <v>9.8982218226744294</v>
      </c>
      <c r="AI1624">
        <v>95.5001020335623</v>
      </c>
      <c r="AJ1624">
        <v>59.833692916519396</v>
      </c>
      <c r="AK1624">
        <v>11.501669630600601</v>
      </c>
      <c r="AL1624">
        <v>88.154820533659702</v>
      </c>
      <c r="AM1624">
        <v>75.402461400524302</v>
      </c>
      <c r="AN1624">
        <v>0.99999998195844098</v>
      </c>
    </row>
    <row r="1625" spans="1:40" x14ac:dyDescent="0.25">
      <c r="A1625" t="str">
        <f>"20190312151016675"</f>
        <v>20190312151016675</v>
      </c>
      <c r="B1625" t="str">
        <f>"1552374616672481"</f>
        <v>1552374616672481</v>
      </c>
      <c r="C1625" t="s">
        <v>40</v>
      </c>
      <c r="D1625">
        <v>5.5535690000000004</v>
      </c>
      <c r="E1625">
        <v>0.60443259999999999</v>
      </c>
      <c r="F1625" t="s">
        <v>50</v>
      </c>
      <c r="G1625">
        <v>-198.6129</v>
      </c>
      <c r="H1625" s="1">
        <v>2.4469700000000001E-6</v>
      </c>
      <c r="I1625">
        <v>284.50020000000001</v>
      </c>
      <c r="J1625">
        <v>-191.27070000000001</v>
      </c>
      <c r="K1625">
        <v>1.1022730000000001</v>
      </c>
      <c r="L1625">
        <v>292.4237</v>
      </c>
      <c r="M1625">
        <v>-0.21496170000000001</v>
      </c>
      <c r="N1625">
        <v>0</v>
      </c>
      <c r="O1625">
        <v>-0.97650800000000004</v>
      </c>
      <c r="P1625">
        <v>-0.45702300000000001</v>
      </c>
      <c r="Q1625">
        <v>2.3466810000000001E-2</v>
      </c>
      <c r="R1625">
        <v>-0.88914530000000003</v>
      </c>
      <c r="S1625">
        <v>-2.0997620000000001</v>
      </c>
      <c r="T1625">
        <v>-0.3124055</v>
      </c>
      <c r="U1625">
        <v>-2.3182680000000002</v>
      </c>
      <c r="V1625">
        <v>0.25589010000000001</v>
      </c>
      <c r="W1625">
        <v>3.2811779999999999E-2</v>
      </c>
      <c r="X1625">
        <v>0.96614889999999998</v>
      </c>
      <c r="Y1625">
        <v>0.49270589999999997</v>
      </c>
      <c r="Z1625">
        <v>0.10272149999999999</v>
      </c>
      <c r="AA1625">
        <v>0.86411179999999999</v>
      </c>
      <c r="AB1625">
        <v>25</v>
      </c>
      <c r="AC1625">
        <v>-7.3421999999999903</v>
      </c>
      <c r="AD1625">
        <v>-1.1022705530299901</v>
      </c>
      <c r="AE1625">
        <v>-7.92349999999999</v>
      </c>
      <c r="AF1625">
        <v>5.4107413679808003</v>
      </c>
      <c r="AG1625">
        <v>-1.1022705530299901</v>
      </c>
      <c r="AH1625">
        <v>9.2206866695239107</v>
      </c>
      <c r="AI1625">
        <v>95.886555415985896</v>
      </c>
      <c r="AJ1625">
        <v>59.595393140740697</v>
      </c>
      <c r="AK1625">
        <v>10.7476595210674</v>
      </c>
      <c r="AL1625">
        <v>88.119686039649594</v>
      </c>
      <c r="AM1625">
        <v>75.165495344857703</v>
      </c>
      <c r="AN1625">
        <v>1.00000002657799</v>
      </c>
    </row>
    <row r="1626" spans="1:40" x14ac:dyDescent="0.25">
      <c r="A1626" t="str">
        <f>"20190312151016695"</f>
        <v>20190312151016695</v>
      </c>
      <c r="B1626" t="str">
        <f>"1552374616692001"</f>
        <v>1552374616692001</v>
      </c>
      <c r="C1626" t="s">
        <v>40</v>
      </c>
      <c r="D1626">
        <v>5.4530379999999896</v>
      </c>
      <c r="E1626">
        <v>0.60357890000000003</v>
      </c>
      <c r="F1626" t="s">
        <v>50</v>
      </c>
      <c r="G1626">
        <v>-198.57310000000001</v>
      </c>
      <c r="H1626" s="1">
        <v>2.4508849999999999E-6</v>
      </c>
      <c r="I1626">
        <v>284.53629999999998</v>
      </c>
      <c r="J1626">
        <v>-191.3331</v>
      </c>
      <c r="K1626">
        <v>1.1021639999999999</v>
      </c>
      <c r="L1626">
        <v>292.1979</v>
      </c>
      <c r="M1626">
        <v>-0.2260114</v>
      </c>
      <c r="N1626">
        <v>0</v>
      </c>
      <c r="O1626">
        <v>-0.97400929999999997</v>
      </c>
      <c r="P1626">
        <v>-0.47057520000000003</v>
      </c>
      <c r="Q1626">
        <v>2.4246710000000001E-2</v>
      </c>
      <c r="R1626">
        <v>-0.88202700000000001</v>
      </c>
      <c r="S1626">
        <v>-2.1218720000000002</v>
      </c>
      <c r="T1626">
        <v>-0.32029220000000003</v>
      </c>
      <c r="U1626">
        <v>-2.2919010000000002</v>
      </c>
      <c r="V1626">
        <v>0.25975740000000003</v>
      </c>
      <c r="W1626">
        <v>3.3465639999999998E-2</v>
      </c>
      <c r="X1626">
        <v>0.96509389999999995</v>
      </c>
      <c r="Y1626">
        <v>0.49209799999999998</v>
      </c>
      <c r="Z1626">
        <v>0.1054766</v>
      </c>
      <c r="AA1626">
        <v>0.86412630000000001</v>
      </c>
      <c r="AB1626">
        <v>25</v>
      </c>
      <c r="AC1626">
        <v>-7.24</v>
      </c>
      <c r="AD1626">
        <v>-1.1021615491150001</v>
      </c>
      <c r="AE1626">
        <v>-7.6616000000000204</v>
      </c>
      <c r="AF1626">
        <v>5.2632771473082203</v>
      </c>
      <c r="AG1626">
        <v>-1.1021615491150001</v>
      </c>
      <c r="AH1626">
        <v>9.0014096203293494</v>
      </c>
      <c r="AI1626">
        <v>96.033768631524097</v>
      </c>
      <c r="AJ1626">
        <v>59.684448225862603</v>
      </c>
      <c r="AK1626">
        <v>10.4853336409807</v>
      </c>
      <c r="AL1626">
        <v>88.082202070952704</v>
      </c>
      <c r="AM1626">
        <v>74.935695317572197</v>
      </c>
      <c r="AN1626">
        <v>1.0000000458662801</v>
      </c>
    </row>
    <row r="1627" spans="1:40" x14ac:dyDescent="0.25">
      <c r="A1627" t="str">
        <f>"20190312151016718"</f>
        <v>20190312151016718</v>
      </c>
      <c r="B1627" t="str">
        <f>"1552374616712497"</f>
        <v>1552374616712497</v>
      </c>
      <c r="C1627" t="s">
        <v>40</v>
      </c>
      <c r="D1627">
        <v>5.4573410000000004</v>
      </c>
      <c r="E1627">
        <v>0.60267360000000003</v>
      </c>
      <c r="F1627" t="s">
        <v>50</v>
      </c>
      <c r="G1627">
        <v>-198.5933</v>
      </c>
      <c r="H1627" s="1">
        <v>2.4450939999999999E-6</v>
      </c>
      <c r="I1627">
        <v>284.56139999999999</v>
      </c>
      <c r="J1627">
        <v>-191.40280000000001</v>
      </c>
      <c r="K1627">
        <v>1.1020460000000001</v>
      </c>
      <c r="L1627">
        <v>291.95740000000001</v>
      </c>
      <c r="M1627">
        <v>-0.2379956</v>
      </c>
      <c r="N1627">
        <v>0</v>
      </c>
      <c r="O1627">
        <v>-0.97114999999999996</v>
      </c>
      <c r="P1627">
        <v>-0.48425000000000001</v>
      </c>
      <c r="Q1627">
        <v>2.444876E-2</v>
      </c>
      <c r="R1627">
        <v>-0.87458819999999904</v>
      </c>
      <c r="S1627">
        <v>-2.1511230000000001</v>
      </c>
      <c r="T1627">
        <v>-0.3265593</v>
      </c>
      <c r="U1627">
        <v>-2.2626339999999998</v>
      </c>
      <c r="V1627">
        <v>0.2629068</v>
      </c>
      <c r="W1627">
        <v>3.3556669999999997E-2</v>
      </c>
      <c r="X1627">
        <v>0.96423749999999997</v>
      </c>
      <c r="Y1627">
        <v>0.49267689999999997</v>
      </c>
      <c r="Z1627">
        <v>0.1076076</v>
      </c>
      <c r="AA1627">
        <v>0.86353340000000001</v>
      </c>
      <c r="AB1627">
        <v>25</v>
      </c>
      <c r="AC1627">
        <v>-7.1904999999999797</v>
      </c>
      <c r="AD1627">
        <v>-1.1020435549059999</v>
      </c>
      <c r="AE1627">
        <v>-7.3960000000000097</v>
      </c>
      <c r="AF1627">
        <v>5.1644807478005603</v>
      </c>
      <c r="AG1627">
        <v>-1.1020435549059999</v>
      </c>
      <c r="AH1627">
        <v>8.7945555827675292</v>
      </c>
      <c r="AI1627">
        <v>96.167219106906899</v>
      </c>
      <c r="AJ1627">
        <v>59.5770050413227</v>
      </c>
      <c r="AK1627">
        <v>10.2581952257548</v>
      </c>
      <c r="AL1627">
        <v>88.076983409404605</v>
      </c>
      <c r="AM1627">
        <v>74.748590455495005</v>
      </c>
      <c r="AN1627">
        <v>0.99999999599698897</v>
      </c>
    </row>
    <row r="1628" spans="1:40" x14ac:dyDescent="0.25">
      <c r="A1628" t="str">
        <f>"20190312151016740"</f>
        <v>20190312151016740</v>
      </c>
      <c r="B1628" t="str">
        <f>"1552374616732017"</f>
        <v>1552374616732017</v>
      </c>
      <c r="C1628" t="s">
        <v>40</v>
      </c>
      <c r="D1628">
        <v>5.2966530000000001</v>
      </c>
      <c r="E1628">
        <v>0.6020432</v>
      </c>
      <c r="F1628" t="s">
        <v>50</v>
      </c>
      <c r="G1628">
        <v>-198.69</v>
      </c>
      <c r="H1628" s="1">
        <v>2.4337659999999998E-6</v>
      </c>
      <c r="I1628">
        <v>284.49489999999997</v>
      </c>
      <c r="J1628">
        <v>-191.4778</v>
      </c>
      <c r="K1628">
        <v>1.101917</v>
      </c>
      <c r="L1628">
        <v>291.71159999999998</v>
      </c>
      <c r="M1628">
        <v>-0.25049379999999999</v>
      </c>
      <c r="N1628">
        <v>0</v>
      </c>
      <c r="O1628">
        <v>-0.96800059999999999</v>
      </c>
      <c r="P1628">
        <v>-0.49806339999999999</v>
      </c>
      <c r="Q1628">
        <v>2.492107E-2</v>
      </c>
      <c r="R1628">
        <v>-0.86678269999999902</v>
      </c>
      <c r="S1628">
        <v>-2.1799620000000002</v>
      </c>
      <c r="T1628">
        <v>-0.3296771</v>
      </c>
      <c r="U1628">
        <v>-2.2324220000000001</v>
      </c>
      <c r="V1628">
        <v>0.26579839999999999</v>
      </c>
      <c r="W1628">
        <v>3.392075E-2</v>
      </c>
      <c r="X1628">
        <v>0.9634317</v>
      </c>
      <c r="Y1628">
        <v>0.49294250000000001</v>
      </c>
      <c r="Z1628">
        <v>0.1087076</v>
      </c>
      <c r="AA1628">
        <v>0.86324409999999896</v>
      </c>
      <c r="AB1628">
        <v>25</v>
      </c>
      <c r="AC1628">
        <v>-7.2121999999999904</v>
      </c>
      <c r="AD1628">
        <v>-1.101914566234</v>
      </c>
      <c r="AE1628">
        <v>-7.2167000000000003</v>
      </c>
      <c r="AF1628">
        <v>5.1146060385957499</v>
      </c>
      <c r="AG1628">
        <v>-1.101914566234</v>
      </c>
      <c r="AH1628">
        <v>8.6919962647925306</v>
      </c>
      <c r="AI1628">
        <v>96.235473134681499</v>
      </c>
      <c r="AJ1628">
        <v>59.526291776152199</v>
      </c>
      <c r="AK1628">
        <v>10.1451569582972</v>
      </c>
      <c r="AL1628">
        <v>88.056111332802203</v>
      </c>
      <c r="AM1628">
        <v>74.576504710318105</v>
      </c>
      <c r="AN1628">
        <v>1.0000000236440001</v>
      </c>
    </row>
    <row r="1629" spans="1:40" x14ac:dyDescent="0.25">
      <c r="A1629" t="str">
        <f>"20190312151016765"</f>
        <v>20190312151016765</v>
      </c>
      <c r="B1629" t="str">
        <f>"1552374616752513"</f>
        <v>1552374616752513</v>
      </c>
      <c r="C1629" t="s">
        <v>40</v>
      </c>
      <c r="D1629">
        <v>5.3038339999999904</v>
      </c>
      <c r="E1629">
        <v>0.60143440000000004</v>
      </c>
      <c r="F1629" t="s">
        <v>50</v>
      </c>
      <c r="G1629">
        <v>-198.9187</v>
      </c>
      <c r="H1629" s="1">
        <v>2.4093380000000002E-6</v>
      </c>
      <c r="I1629">
        <v>284.31020000000001</v>
      </c>
      <c r="J1629">
        <v>-191.56190000000001</v>
      </c>
      <c r="K1629">
        <v>1.1017790000000001</v>
      </c>
      <c r="L1629">
        <v>291.44979999999998</v>
      </c>
      <c r="M1629">
        <v>-0.26404909999999998</v>
      </c>
      <c r="N1629">
        <v>0</v>
      </c>
      <c r="O1629">
        <v>-0.96439039999999998</v>
      </c>
      <c r="P1629">
        <v>-0.51258999999999999</v>
      </c>
      <c r="Q1629">
        <v>2.4971810000000001E-2</v>
      </c>
      <c r="R1629">
        <v>-0.85827059999999999</v>
      </c>
      <c r="S1629">
        <v>-2.2114560000000001</v>
      </c>
      <c r="T1629">
        <v>-0.32749329999999999</v>
      </c>
      <c r="U1629">
        <v>-2.199738</v>
      </c>
      <c r="V1629">
        <v>0.26852039999999999</v>
      </c>
      <c r="W1629">
        <v>3.386405E-2</v>
      </c>
      <c r="X1629">
        <v>0.96267860000000005</v>
      </c>
      <c r="Y1629">
        <v>0.49336809999999998</v>
      </c>
      <c r="Z1629">
        <v>0.108038</v>
      </c>
      <c r="AA1629">
        <v>0.86308499999999999</v>
      </c>
      <c r="AB1629">
        <v>25</v>
      </c>
      <c r="AC1629">
        <v>-7.35679999999999</v>
      </c>
      <c r="AD1629">
        <v>-1.1017765906620001</v>
      </c>
      <c r="AE1629">
        <v>-7.1395999999999704</v>
      </c>
      <c r="AF1629">
        <v>5.1507262859707703</v>
      </c>
      <c r="AG1629">
        <v>-1.1017765906620001</v>
      </c>
      <c r="AH1629">
        <v>8.7281163458283402</v>
      </c>
      <c r="AI1629">
        <v>96.204511098574898</v>
      </c>
      <c r="AJ1629">
        <v>59.453855774722797</v>
      </c>
      <c r="AK1629">
        <v>10.1943076211696</v>
      </c>
      <c r="AL1629">
        <v>88.059361889058806</v>
      </c>
      <c r="AM1629">
        <v>74.414593510134196</v>
      </c>
      <c r="AN1629">
        <v>1.0000000329982599</v>
      </c>
    </row>
    <row r="1630" spans="1:40" x14ac:dyDescent="0.25">
      <c r="A1630" t="str">
        <f>"20190312151016788"</f>
        <v>20190312151016788</v>
      </c>
      <c r="B1630" t="str">
        <f>"1552374616781795"</f>
        <v>1552374616781795</v>
      </c>
      <c r="C1630" t="s">
        <v>40</v>
      </c>
      <c r="D1630">
        <v>5.2657870000000004</v>
      </c>
      <c r="E1630">
        <v>0.60029779999999999</v>
      </c>
      <c r="F1630" t="s">
        <v>50</v>
      </c>
      <c r="G1630">
        <v>-199.20429999999999</v>
      </c>
      <c r="H1630" s="1">
        <v>2.378963E-6</v>
      </c>
      <c r="I1630">
        <v>284.07819999999998</v>
      </c>
      <c r="J1630">
        <v>-191.64400000000001</v>
      </c>
      <c r="K1630">
        <v>1.1016600000000001</v>
      </c>
      <c r="L1630">
        <v>291.20620000000002</v>
      </c>
      <c r="M1630">
        <v>-0.27686519999999998</v>
      </c>
      <c r="N1630">
        <v>0</v>
      </c>
      <c r="O1630">
        <v>-0.960789</v>
      </c>
      <c r="P1630">
        <v>-0.52597399999999905</v>
      </c>
      <c r="Q1630">
        <v>2.4245639999999999E-2</v>
      </c>
      <c r="R1630">
        <v>-0.8501552</v>
      </c>
      <c r="S1630">
        <v>-2.2440190000000002</v>
      </c>
      <c r="T1630">
        <v>-0.32351419999999997</v>
      </c>
      <c r="U1630">
        <v>-2.16452</v>
      </c>
      <c r="V1630">
        <v>0.27077489999999999</v>
      </c>
      <c r="W1630">
        <v>3.3050070000000001E-2</v>
      </c>
      <c r="X1630">
        <v>0.96207520000000002</v>
      </c>
      <c r="Y1630">
        <v>0.4951758</v>
      </c>
      <c r="Z1630">
        <v>0.1067979</v>
      </c>
      <c r="AA1630">
        <v>0.86220359999999996</v>
      </c>
      <c r="AB1630">
        <v>25</v>
      </c>
      <c r="AC1630">
        <v>-7.5602999999999803</v>
      </c>
      <c r="AD1630">
        <v>-1.1016576210369999</v>
      </c>
      <c r="AE1630">
        <v>-7.1280000000000401</v>
      </c>
      <c r="AF1630">
        <v>5.2321523259858598</v>
      </c>
      <c r="AG1630">
        <v>-1.1016576210369999</v>
      </c>
      <c r="AH1630">
        <v>8.8433096750890492</v>
      </c>
      <c r="AI1630">
        <v>96.119606917354801</v>
      </c>
      <c r="AJ1630">
        <v>59.389279772479298</v>
      </c>
      <c r="AK1630">
        <v>10.3340792277702</v>
      </c>
      <c r="AL1630">
        <v>88.106025611053994</v>
      </c>
      <c r="AM1630">
        <v>74.280807851665202</v>
      </c>
      <c r="AN1630">
        <v>1.0000000220260199</v>
      </c>
    </row>
    <row r="1631" spans="1:40" x14ac:dyDescent="0.25">
      <c r="A1631" t="str">
        <f>"20190312151016809"</f>
        <v>20190312151016809</v>
      </c>
      <c r="B1631" t="str">
        <f>"1552374616801822"</f>
        <v>1552374616801822</v>
      </c>
      <c r="C1631" t="s">
        <v>40</v>
      </c>
      <c r="D1631">
        <v>5.2939249999999998</v>
      </c>
      <c r="E1631">
        <v>0.59972259999999999</v>
      </c>
      <c r="F1631" t="s">
        <v>50</v>
      </c>
      <c r="G1631">
        <v>-199.3862</v>
      </c>
      <c r="H1631" s="1">
        <v>2.3594109999999999E-6</v>
      </c>
      <c r="I1631">
        <v>283.93259999999998</v>
      </c>
      <c r="J1631">
        <v>-191.7261</v>
      </c>
      <c r="K1631">
        <v>1.101556</v>
      </c>
      <c r="L1631">
        <v>290.97309999999999</v>
      </c>
      <c r="M1631">
        <v>-0.28931590000000001</v>
      </c>
      <c r="N1631">
        <v>0</v>
      </c>
      <c r="O1631">
        <v>-0.95711259999999998</v>
      </c>
      <c r="P1631">
        <v>-0.53829309999999997</v>
      </c>
      <c r="Q1631">
        <v>2.356457E-2</v>
      </c>
      <c r="R1631">
        <v>-0.84242830000000002</v>
      </c>
      <c r="S1631">
        <v>-2.2706300000000001</v>
      </c>
      <c r="T1631">
        <v>-0.32308959999999998</v>
      </c>
      <c r="U1631">
        <v>-2.1331790000000002</v>
      </c>
      <c r="V1631">
        <v>0.27227620000000002</v>
      </c>
      <c r="W1631">
        <v>3.2304220000000002E-2</v>
      </c>
      <c r="X1631">
        <v>0.96167670000000005</v>
      </c>
      <c r="Y1631">
        <v>0.49527929999999998</v>
      </c>
      <c r="Z1631">
        <v>0.1067048</v>
      </c>
      <c r="AA1631">
        <v>0.86215569999999897</v>
      </c>
      <c r="AB1631">
        <v>25</v>
      </c>
      <c r="AC1631">
        <v>-7.6600999999999999</v>
      </c>
      <c r="AD1631">
        <v>-1.1015536405890001</v>
      </c>
      <c r="AE1631">
        <v>-7.0404999999999998</v>
      </c>
      <c r="AF1631">
        <v>5.2365621876355899</v>
      </c>
      <c r="AG1631">
        <v>-1.1015536405890001</v>
      </c>
      <c r="AH1631">
        <v>8.8564977964188891</v>
      </c>
      <c r="AI1631">
        <v>96.111008851385606</v>
      </c>
      <c r="AJ1631">
        <v>59.4055410546651</v>
      </c>
      <c r="AK1631">
        <v>10.347587022395199</v>
      </c>
      <c r="AL1631">
        <v>88.1487824308592</v>
      </c>
      <c r="AM1631">
        <v>74.1917743696755</v>
      </c>
      <c r="AN1631">
        <v>0.99999998351956898</v>
      </c>
    </row>
    <row r="1632" spans="1:40" x14ac:dyDescent="0.25">
      <c r="A1632" t="str">
        <f>"20190312151016830"</f>
        <v>20190312151016830</v>
      </c>
      <c r="B1632" t="str">
        <f>"1552374616822318"</f>
        <v>1552374616822318</v>
      </c>
      <c r="C1632" t="s">
        <v>40</v>
      </c>
      <c r="D1632">
        <v>5.4140509999999997</v>
      </c>
      <c r="E1632">
        <v>0.60036029999999996</v>
      </c>
      <c r="F1632" t="s">
        <v>50</v>
      </c>
      <c r="G1632">
        <v>-199.5001</v>
      </c>
      <c r="H1632" s="1">
        <v>2.3453199999999999E-6</v>
      </c>
      <c r="I1632">
        <v>283.86279999999999</v>
      </c>
      <c r="J1632">
        <v>-191.8074</v>
      </c>
      <c r="K1632">
        <v>1.101461</v>
      </c>
      <c r="L1632">
        <v>290.75189999999998</v>
      </c>
      <c r="M1632">
        <v>-0.3013171</v>
      </c>
      <c r="N1632">
        <v>0</v>
      </c>
      <c r="O1632">
        <v>-0.95340190000000002</v>
      </c>
      <c r="P1632">
        <v>-0.55031070000000004</v>
      </c>
      <c r="Q1632">
        <v>2.3048849999999999E-2</v>
      </c>
      <c r="R1632">
        <v>-0.83464189999999905</v>
      </c>
      <c r="S1632">
        <v>-2.298019</v>
      </c>
      <c r="T1632">
        <v>-0.32562390000000002</v>
      </c>
      <c r="U1632">
        <v>-2.1018370000000002</v>
      </c>
      <c r="V1632">
        <v>0.27396910000000002</v>
      </c>
      <c r="W1632">
        <v>3.1719440000000002E-2</v>
      </c>
      <c r="X1632">
        <v>0.96121529999999999</v>
      </c>
      <c r="Y1632">
        <v>0.49583290000000002</v>
      </c>
      <c r="Z1632">
        <v>0.10753459999999999</v>
      </c>
      <c r="AA1632">
        <v>0.86173429999999995</v>
      </c>
      <c r="AB1632">
        <v>25</v>
      </c>
      <c r="AC1632">
        <v>-7.6927000000000003</v>
      </c>
      <c r="AD1632">
        <v>-1.10145865468</v>
      </c>
      <c r="AE1632">
        <v>-6.8890999999999796</v>
      </c>
      <c r="AF1632">
        <v>5.1998844103649304</v>
      </c>
      <c r="AG1632">
        <v>-1.10145865468</v>
      </c>
      <c r="AH1632">
        <v>8.7870871518422504</v>
      </c>
      <c r="AI1632">
        <v>96.157054845595994</v>
      </c>
      <c r="AJ1632">
        <v>59.384468620169599</v>
      </c>
      <c r="AK1632">
        <v>10.269610979155701</v>
      </c>
      <c r="AL1632">
        <v>88.182305108095306</v>
      </c>
      <c r="AM1632">
        <v>74.091194454758593</v>
      </c>
      <c r="AN1632">
        <v>1.0000000217914</v>
      </c>
    </row>
    <row r="1633" spans="1:40" x14ac:dyDescent="0.25">
      <c r="A1633" t="str">
        <f>"20190312151016853"</f>
        <v>20190312151016853</v>
      </c>
      <c r="B1633" t="str">
        <f>"1552374616841838"</f>
        <v>1552374616841838</v>
      </c>
      <c r="C1633" t="s">
        <v>40</v>
      </c>
      <c r="D1633">
        <v>5.2691860000000004</v>
      </c>
      <c r="E1633">
        <v>0.63771119999999903</v>
      </c>
      <c r="F1633" t="s">
        <v>50</v>
      </c>
      <c r="G1633">
        <v>-199.72909999999999</v>
      </c>
      <c r="H1633" s="1">
        <v>2.3158599999999999E-6</v>
      </c>
      <c r="I1633">
        <v>283.73509999999999</v>
      </c>
      <c r="J1633">
        <v>-191.89869999999999</v>
      </c>
      <c r="K1633">
        <v>1.1013489999999999</v>
      </c>
      <c r="L1633">
        <v>290.51339999999999</v>
      </c>
      <c r="M1633">
        <v>-0.31446010000000002</v>
      </c>
      <c r="N1633">
        <v>0</v>
      </c>
      <c r="O1633">
        <v>-0.94914730000000003</v>
      </c>
      <c r="P1633">
        <v>-0.56276919999999897</v>
      </c>
      <c r="Q1633">
        <v>2.247905E-2</v>
      </c>
      <c r="R1633">
        <v>-0.826308499999999</v>
      </c>
      <c r="S1633">
        <v>-2.3321079999999998</v>
      </c>
      <c r="T1633">
        <v>-0.32426319999999997</v>
      </c>
      <c r="U1633">
        <v>-2.0657040000000002</v>
      </c>
      <c r="V1633">
        <v>0.2750995</v>
      </c>
      <c r="W1633">
        <v>3.1091750000000001E-2</v>
      </c>
      <c r="X1633">
        <v>0.96091289999999996</v>
      </c>
      <c r="Y1633">
        <v>0.49763800000000002</v>
      </c>
      <c r="Z1633">
        <v>0.107011</v>
      </c>
      <c r="AA1633">
        <v>0.86075840000000003</v>
      </c>
      <c r="AB1633">
        <v>25</v>
      </c>
      <c r="AC1633">
        <v>-7.8303999999999903</v>
      </c>
      <c r="AD1633">
        <v>-1.1013466841399999</v>
      </c>
      <c r="AE1633">
        <v>-6.7782999999999998</v>
      </c>
      <c r="AF1633">
        <v>5.2420390337493599</v>
      </c>
      <c r="AG1633">
        <v>-1.1013466841399999</v>
      </c>
      <c r="AH1633">
        <v>8.7975082660914392</v>
      </c>
      <c r="AI1633">
        <v>96.1382482275434</v>
      </c>
      <c r="AJ1633">
        <v>59.211189804508102</v>
      </c>
      <c r="AK1633">
        <v>10.299907254046699</v>
      </c>
      <c r="AL1633">
        <v>88.218286835473805</v>
      </c>
      <c r="AM1633">
        <v>74.024126255172504</v>
      </c>
      <c r="AN1633">
        <v>1.0000000166023599</v>
      </c>
    </row>
    <row r="1634" spans="1:40" x14ac:dyDescent="0.25">
      <c r="A1634" t="str">
        <f>"20190312151016875"</f>
        <v>20190312151016875</v>
      </c>
      <c r="B1634" t="str">
        <f>"1552374616872094"</f>
        <v>1552374616872094</v>
      </c>
      <c r="C1634" t="s">
        <v>40</v>
      </c>
      <c r="D1634">
        <v>5.2400449999999896</v>
      </c>
      <c r="E1634">
        <v>0.64117880000000005</v>
      </c>
      <c r="F1634" t="s">
        <v>50</v>
      </c>
      <c r="G1634">
        <v>-201.72890000000001</v>
      </c>
      <c r="H1634" s="1">
        <v>3.081866E-6</v>
      </c>
      <c r="I1634">
        <v>283.49310000000003</v>
      </c>
      <c r="J1634">
        <v>-191.98859999999999</v>
      </c>
      <c r="K1634">
        <v>1.1012459999999999</v>
      </c>
      <c r="L1634">
        <v>290.28859999999997</v>
      </c>
      <c r="M1634">
        <v>-0.32704929999999999</v>
      </c>
      <c r="N1634">
        <v>0</v>
      </c>
      <c r="O1634">
        <v>-0.94488260000000002</v>
      </c>
      <c r="P1634">
        <v>-0.5744956</v>
      </c>
      <c r="Q1634">
        <v>2.097427E-2</v>
      </c>
      <c r="R1634">
        <v>-0.81823889999999999</v>
      </c>
      <c r="S1634">
        <v>-2.607834</v>
      </c>
      <c r="T1634">
        <v>-0.29217609999999999</v>
      </c>
      <c r="U1634">
        <v>-1.8624270000000001</v>
      </c>
      <c r="V1634">
        <v>0.27599129999999999</v>
      </c>
      <c r="W1634">
        <v>2.9534640000000001E-2</v>
      </c>
      <c r="X1634">
        <v>0.96070630000000001</v>
      </c>
      <c r="Y1634">
        <v>0.57512430000000003</v>
      </c>
      <c r="Z1634">
        <v>9.5252379999999998E-2</v>
      </c>
      <c r="AA1634">
        <v>0.81250169999999999</v>
      </c>
      <c r="AB1634">
        <v>25</v>
      </c>
      <c r="AC1634">
        <v>-9.7403000000000102</v>
      </c>
      <c r="AD1634">
        <v>-1.101242918134</v>
      </c>
      <c r="AE1634">
        <v>-6.7954999999999401</v>
      </c>
      <c r="AF1634">
        <v>6.92228282478127</v>
      </c>
      <c r="AG1634">
        <v>-1.101242918134</v>
      </c>
      <c r="AH1634">
        <v>9.5257397943580902</v>
      </c>
      <c r="AI1634">
        <v>95.342842346488297</v>
      </c>
      <c r="AJ1634">
        <v>53.994379674391702</v>
      </c>
      <c r="AK1634">
        <v>11.8266839858355</v>
      </c>
      <c r="AL1634">
        <v>88.307543738262794</v>
      </c>
      <c r="AM1634">
        <v>73.971722461371499</v>
      </c>
      <c r="AN1634">
        <v>1.0000000437476499</v>
      </c>
    </row>
    <row r="1635" spans="1:40" x14ac:dyDescent="0.25">
      <c r="A1635" t="str">
        <f>"20190312151016897"</f>
        <v>20190312151016897</v>
      </c>
      <c r="B1635" t="str">
        <f>"1552374616892590"</f>
        <v>1552374616892590</v>
      </c>
      <c r="C1635" t="s">
        <v>40</v>
      </c>
      <c r="D1635">
        <v>5.2728489999999999</v>
      </c>
      <c r="E1635">
        <v>0.64185740000000002</v>
      </c>
      <c r="F1635" t="s">
        <v>50</v>
      </c>
      <c r="G1635">
        <v>-204.27799999999999</v>
      </c>
      <c r="H1635" s="1">
        <v>4.350075E-6</v>
      </c>
      <c r="I1635">
        <v>281.91699999999997</v>
      </c>
      <c r="J1635">
        <v>-192.08580000000001</v>
      </c>
      <c r="K1635">
        <v>1.101126</v>
      </c>
      <c r="L1635">
        <v>290.05509999999998</v>
      </c>
      <c r="M1635">
        <v>-0.3403313</v>
      </c>
      <c r="N1635">
        <v>0</v>
      </c>
      <c r="O1635">
        <v>-0.94017989999999996</v>
      </c>
      <c r="P1635">
        <v>-0.58639909999999995</v>
      </c>
      <c r="Q1635">
        <v>1.9868500000000001E-2</v>
      </c>
      <c r="R1635">
        <v>-0.80977909999999997</v>
      </c>
      <c r="S1635">
        <v>-2.6548769999999999</v>
      </c>
      <c r="T1635">
        <v>-0.23790140000000001</v>
      </c>
      <c r="U1635">
        <v>-1.8085329999999999</v>
      </c>
      <c r="V1635">
        <v>0.27647620000000001</v>
      </c>
      <c r="W1635">
        <v>2.8383559999999999E-2</v>
      </c>
      <c r="X1635">
        <v>0.9606015</v>
      </c>
      <c r="Y1635">
        <v>0.58292189999999999</v>
      </c>
      <c r="Z1635">
        <v>7.7562660000000005E-2</v>
      </c>
      <c r="AA1635">
        <v>0.80881769999999997</v>
      </c>
      <c r="AB1635">
        <v>25</v>
      </c>
      <c r="AC1635">
        <v>-12.1921999999999</v>
      </c>
      <c r="AD1635">
        <v>-1.1011216499250001</v>
      </c>
      <c r="AE1635">
        <v>-8.1380999999999499</v>
      </c>
      <c r="AF1635">
        <v>8.6454560903649096</v>
      </c>
      <c r="AG1635">
        <v>-1.1011216499250001</v>
      </c>
      <c r="AH1635">
        <v>11.735839752402301</v>
      </c>
      <c r="AI1635">
        <v>94.319974058768906</v>
      </c>
      <c r="AJ1635">
        <v>53.621992175495002</v>
      </c>
      <c r="AK1635">
        <v>14.6180133599757</v>
      </c>
      <c r="AL1635">
        <v>88.373523331184501</v>
      </c>
      <c r="AM1635">
        <v>73.943350403585498</v>
      </c>
      <c r="AN1635">
        <v>0.99999997872348101</v>
      </c>
    </row>
    <row r="1636" spans="1:40" x14ac:dyDescent="0.25">
      <c r="A1636" t="str">
        <f>"20190312151016919"</f>
        <v>20190312151016919</v>
      </c>
      <c r="B1636" t="str">
        <f>"1552374616912110"</f>
        <v>1552374616912110</v>
      </c>
      <c r="C1636" t="s">
        <v>40</v>
      </c>
      <c r="D1636">
        <v>5.2464089999999999</v>
      </c>
      <c r="E1636">
        <v>0.64151729999999996</v>
      </c>
      <c r="F1636" t="s">
        <v>50</v>
      </c>
      <c r="G1636">
        <v>-203.11850000000001</v>
      </c>
      <c r="H1636" s="1">
        <v>3.758788E-6</v>
      </c>
      <c r="I1636">
        <v>282.79910000000001</v>
      </c>
      <c r="J1636">
        <v>-192.18719999999999</v>
      </c>
      <c r="K1636">
        <v>1.101011</v>
      </c>
      <c r="L1636">
        <v>289.822</v>
      </c>
      <c r="M1636">
        <v>-0.35382089999999999</v>
      </c>
      <c r="N1636">
        <v>0</v>
      </c>
      <c r="O1636">
        <v>-0.93518619999999997</v>
      </c>
      <c r="P1636">
        <v>-0.597912</v>
      </c>
      <c r="Q1636">
        <v>1.932439E-2</v>
      </c>
      <c r="R1636">
        <v>-0.80132930000000002</v>
      </c>
      <c r="S1636">
        <v>-2.6858059999999999</v>
      </c>
      <c r="T1636">
        <v>-0.2680573</v>
      </c>
      <c r="U1636">
        <v>-1.7663880000000001</v>
      </c>
      <c r="V1636">
        <v>0.27637719999999999</v>
      </c>
      <c r="W1636">
        <v>2.7808719999999999E-2</v>
      </c>
      <c r="X1636">
        <v>0.96064680000000002</v>
      </c>
      <c r="Y1636">
        <v>0.58370330000000004</v>
      </c>
      <c r="Z1636">
        <v>8.7242630000000002E-2</v>
      </c>
      <c r="AA1636">
        <v>0.8072665</v>
      </c>
      <c r="AB1636">
        <v>25</v>
      </c>
      <c r="AC1636">
        <v>-10.9313</v>
      </c>
      <c r="AD1636">
        <v>-1.101007241212</v>
      </c>
      <c r="AE1636">
        <v>-7.0228999999999902</v>
      </c>
      <c r="AF1636">
        <v>7.6836964946148303</v>
      </c>
      <c r="AG1636">
        <v>-1.101007241212</v>
      </c>
      <c r="AH1636">
        <v>10.3622721700523</v>
      </c>
      <c r="AI1636">
        <v>94.878252078770501</v>
      </c>
      <c r="AJ1636">
        <v>53.442809450966799</v>
      </c>
      <c r="AK1636">
        <v>12.9471268354333</v>
      </c>
      <c r="AL1636">
        <v>88.406472244423597</v>
      </c>
      <c r="AM1636">
        <v>73.949521672343394</v>
      </c>
      <c r="AN1636">
        <v>0.99999997796905804</v>
      </c>
    </row>
    <row r="1637" spans="1:40" x14ac:dyDescent="0.25">
      <c r="A1637" t="str">
        <f>"20190312151016943"</f>
        <v>20190312151016943</v>
      </c>
      <c r="B1637" t="str">
        <f>"1552374616932606"</f>
        <v>1552374616932606</v>
      </c>
      <c r="C1637" t="s">
        <v>40</v>
      </c>
      <c r="D1637">
        <v>4.9769610000000002</v>
      </c>
      <c r="E1637">
        <v>0.64089689999999999</v>
      </c>
      <c r="F1637" t="s">
        <v>50</v>
      </c>
      <c r="G1637">
        <v>-202.6028</v>
      </c>
      <c r="H1637" s="1">
        <v>3.4973099999999998E-6</v>
      </c>
      <c r="I1637">
        <v>283.1739</v>
      </c>
      <c r="J1637">
        <v>-192.29470000000001</v>
      </c>
      <c r="K1637">
        <v>1.1009009999999999</v>
      </c>
      <c r="L1637">
        <v>289.58530000000002</v>
      </c>
      <c r="M1637">
        <v>-0.36774620000000002</v>
      </c>
      <c r="N1637">
        <v>0</v>
      </c>
      <c r="O1637">
        <v>-0.9297976</v>
      </c>
      <c r="P1637">
        <v>-0.60973189999999999</v>
      </c>
      <c r="Q1637">
        <v>1.948619E-2</v>
      </c>
      <c r="R1637">
        <v>-0.79236850000000003</v>
      </c>
      <c r="S1637">
        <v>-2.7091980000000002</v>
      </c>
      <c r="T1637">
        <v>-0.28638409999999997</v>
      </c>
      <c r="U1637">
        <v>-1.7292479999999999</v>
      </c>
      <c r="V1637">
        <v>0.2762945</v>
      </c>
      <c r="W1637">
        <v>2.794218E-2</v>
      </c>
      <c r="X1637">
        <v>0.96066669999999998</v>
      </c>
      <c r="Y1637">
        <v>0.58215930000000005</v>
      </c>
      <c r="Z1637">
        <v>9.307414E-2</v>
      </c>
      <c r="AA1637">
        <v>0.80772999999999995</v>
      </c>
      <c r="AB1637">
        <v>24</v>
      </c>
      <c r="AC1637">
        <v>-10.3080999999999</v>
      </c>
      <c r="AD1637">
        <v>-1.1008975026899901</v>
      </c>
      <c r="AE1637">
        <v>-6.4114000000000102</v>
      </c>
      <c r="AF1637">
        <v>7.1685854857755098</v>
      </c>
      <c r="AG1637">
        <v>-1.1008975026899901</v>
      </c>
      <c r="AH1637">
        <v>9.6736748906806795</v>
      </c>
      <c r="AI1637">
        <v>95.224282239282005</v>
      </c>
      <c r="AJ1637">
        <v>53.460053968031303</v>
      </c>
      <c r="AK1637">
        <v>12.090516079509801</v>
      </c>
      <c r="AL1637">
        <v>88.398822551824694</v>
      </c>
      <c r="AM1637">
        <v>73.954392470186605</v>
      </c>
      <c r="AN1637">
        <v>0.99999996232114496</v>
      </c>
    </row>
    <row r="1638" spans="1:40" x14ac:dyDescent="0.25">
      <c r="A1638" t="str">
        <f>"20190312151016966"</f>
        <v>20190312151016966</v>
      </c>
      <c r="B1638" t="str">
        <f>"1552374616961887"</f>
        <v>1552374616961887</v>
      </c>
      <c r="C1638" t="s">
        <v>40</v>
      </c>
      <c r="D1638">
        <v>5.2272930000000004</v>
      </c>
      <c r="E1638">
        <v>0.63950220000000002</v>
      </c>
      <c r="F1638" t="s">
        <v>50</v>
      </c>
      <c r="G1638">
        <v>-203.19239999999999</v>
      </c>
      <c r="H1638" s="1">
        <v>3.7886040000000001E-6</v>
      </c>
      <c r="I1638">
        <v>282.83260000000001</v>
      </c>
      <c r="J1638">
        <v>-192.40530000000001</v>
      </c>
      <c r="K1638">
        <v>1.1008089999999999</v>
      </c>
      <c r="L1638">
        <v>289.35160000000002</v>
      </c>
      <c r="M1638">
        <v>-0.38168439999999998</v>
      </c>
      <c r="N1638">
        <v>0</v>
      </c>
      <c r="O1638">
        <v>-0.92416240000000005</v>
      </c>
      <c r="P1638">
        <v>-0.62202190000000002</v>
      </c>
      <c r="Q1638">
        <v>2.0409960000000001E-2</v>
      </c>
      <c r="R1638">
        <v>-0.78273400000000004</v>
      </c>
      <c r="S1638">
        <v>-2.7303769999999998</v>
      </c>
      <c r="T1638">
        <v>-0.275827299999999</v>
      </c>
      <c r="U1638">
        <v>-1.691864</v>
      </c>
      <c r="V1638">
        <v>0.27687909999999999</v>
      </c>
      <c r="W1638">
        <v>2.882732E-2</v>
      </c>
      <c r="X1638">
        <v>0.96047229999999995</v>
      </c>
      <c r="Y1638">
        <v>0.58103019999999905</v>
      </c>
      <c r="Z1638">
        <v>8.9597999999999997E-2</v>
      </c>
      <c r="AA1638">
        <v>0.80893510000000002</v>
      </c>
      <c r="AB1638">
        <v>24</v>
      </c>
      <c r="AC1638">
        <v>-10.787099999999899</v>
      </c>
      <c r="AD1638">
        <v>-1.1008052113959901</v>
      </c>
      <c r="AE1638">
        <v>-6.5190000000000001</v>
      </c>
      <c r="AF1638">
        <v>7.4250943084729597</v>
      </c>
      <c r="AG1638">
        <v>-1.1008052113959901</v>
      </c>
      <c r="AH1638">
        <v>10.066318514664101</v>
      </c>
      <c r="AI1638">
        <v>95.029330082870601</v>
      </c>
      <c r="AJ1638">
        <v>53.586859203714901</v>
      </c>
      <c r="AK1638">
        <v>12.5568533495388</v>
      </c>
      <c r="AL1638">
        <v>88.348087455489704</v>
      </c>
      <c r="AM1638">
        <v>73.919108943269705</v>
      </c>
      <c r="AN1638">
        <v>1.00000004473124</v>
      </c>
    </row>
    <row r="1639" spans="1:40" x14ac:dyDescent="0.25">
      <c r="A1639" t="str">
        <f>"20190312151016990"</f>
        <v>20190312151016990</v>
      </c>
      <c r="B1639" t="str">
        <f>"1552374616982382"</f>
        <v>1552374616982382</v>
      </c>
      <c r="C1639" t="s">
        <v>40</v>
      </c>
      <c r="D1639">
        <v>5.1070929999999999</v>
      </c>
      <c r="E1639">
        <v>0.63828249999999997</v>
      </c>
      <c r="F1639" t="s">
        <v>50</v>
      </c>
      <c r="G1639">
        <v>-205.37889999999999</v>
      </c>
      <c r="H1639" s="1">
        <v>4.8721950000000002E-6</v>
      </c>
      <c r="I1639">
        <v>281.52940000000001</v>
      </c>
      <c r="J1639">
        <v>-192.5213</v>
      </c>
      <c r="K1639">
        <v>1.100725</v>
      </c>
      <c r="L1639">
        <v>289.11590000000001</v>
      </c>
      <c r="M1639">
        <v>-0.39593270000000003</v>
      </c>
      <c r="N1639">
        <v>0</v>
      </c>
      <c r="O1639">
        <v>-0.91814770000000001</v>
      </c>
      <c r="P1639">
        <v>-0.63422199999999995</v>
      </c>
      <c r="Q1639">
        <v>2.0456120000000001E-2</v>
      </c>
      <c r="R1639">
        <v>-0.77288069999999998</v>
      </c>
      <c r="S1639">
        <v>-2.7467039999999998</v>
      </c>
      <c r="T1639">
        <v>-0.23305509999999999</v>
      </c>
      <c r="U1639">
        <v>-1.65606699999999</v>
      </c>
      <c r="V1639">
        <v>0.27709600000000001</v>
      </c>
      <c r="W1639">
        <v>2.8850669999999998E-2</v>
      </c>
      <c r="X1639">
        <v>0.96040899999999996</v>
      </c>
      <c r="Y1639">
        <v>0.57933780000000001</v>
      </c>
      <c r="Z1639">
        <v>7.5744859999999997E-2</v>
      </c>
      <c r="AA1639">
        <v>0.81156049999999902</v>
      </c>
      <c r="AB1639">
        <v>24</v>
      </c>
      <c r="AC1639">
        <v>-12.8575999999999</v>
      </c>
      <c r="AD1639">
        <v>-1.1007201278049901</v>
      </c>
      <c r="AE1639">
        <v>-7.5865</v>
      </c>
      <c r="AF1639">
        <v>8.7549044935738003</v>
      </c>
      <c r="AG1639">
        <v>-1.1007201278049901</v>
      </c>
      <c r="AH1639">
        <v>11.9925374617434</v>
      </c>
      <c r="AI1639">
        <v>94.239667591949697</v>
      </c>
      <c r="AJ1639">
        <v>53.869458330224099</v>
      </c>
      <c r="AK1639">
        <v>14.8889520202959</v>
      </c>
      <c r="AL1639">
        <v>88.346748969808502</v>
      </c>
      <c r="AM1639">
        <v>73.906157755079903</v>
      </c>
      <c r="AN1639">
        <v>1.0000000008282199</v>
      </c>
    </row>
    <row r="1640" spans="1:40" x14ac:dyDescent="0.25">
      <c r="A1640" t="str">
        <f>"20190312151017010"</f>
        <v>20190312151017010</v>
      </c>
      <c r="B1640" t="str">
        <f>"1552374617001903"</f>
        <v>1552374617001903</v>
      </c>
      <c r="C1640" t="s">
        <v>40</v>
      </c>
      <c r="D1640">
        <v>5.2099149999999996</v>
      </c>
      <c r="E1640">
        <v>0.6373181</v>
      </c>
      <c r="F1640" t="s">
        <v>50</v>
      </c>
      <c r="G1640">
        <v>-206.72</v>
      </c>
      <c r="H1640" s="1">
        <v>5.5304740000000004E-6</v>
      </c>
      <c r="I1640">
        <v>280.8021</v>
      </c>
      <c r="J1640">
        <v>-192.62700000000001</v>
      </c>
      <c r="K1640">
        <v>1.100649</v>
      </c>
      <c r="L1640">
        <v>288.9092</v>
      </c>
      <c r="M1640">
        <v>-0.4085974</v>
      </c>
      <c r="N1640">
        <v>0</v>
      </c>
      <c r="O1640">
        <v>-0.91258139999999999</v>
      </c>
      <c r="P1640">
        <v>-0.64498319999999998</v>
      </c>
      <c r="Q1640">
        <v>1.988931E-2</v>
      </c>
      <c r="R1640">
        <v>-0.76393820000000001</v>
      </c>
      <c r="S1640">
        <v>-2.7644959999999998</v>
      </c>
      <c r="T1640">
        <v>-0.214311</v>
      </c>
      <c r="U1640">
        <v>-1.6187129999999901</v>
      </c>
      <c r="V1640">
        <v>0.2772442</v>
      </c>
      <c r="W1640">
        <v>2.8266779999999998E-2</v>
      </c>
      <c r="X1640">
        <v>0.9603836</v>
      </c>
      <c r="Y1640">
        <v>0.57891029999999999</v>
      </c>
      <c r="Z1640">
        <v>6.9649669999999997E-2</v>
      </c>
      <c r="AA1640">
        <v>0.81241109999999905</v>
      </c>
      <c r="AB1640">
        <v>24</v>
      </c>
      <c r="AC1640">
        <v>-14.0929999999999</v>
      </c>
      <c r="AD1640">
        <v>-1.1006434695259999</v>
      </c>
      <c r="AE1640">
        <v>-8.1071000000000009</v>
      </c>
      <c r="AF1640">
        <v>9.5060669928026194</v>
      </c>
      <c r="AG1640">
        <v>-1.1006434695259999</v>
      </c>
      <c r="AH1640">
        <v>13.0983255270213</v>
      </c>
      <c r="AI1640">
        <v>93.890516730215495</v>
      </c>
      <c r="AJ1640">
        <v>54.029853967852503</v>
      </c>
      <c r="AK1640">
        <v>16.221678622463202</v>
      </c>
      <c r="AL1640">
        <v>88.380217066010701</v>
      </c>
      <c r="AM1640">
        <v>73.897592449110803</v>
      </c>
      <c r="AN1640">
        <v>1.0000000082170799</v>
      </c>
    </row>
    <row r="1641" spans="1:40" x14ac:dyDescent="0.25">
      <c r="A1641" t="str">
        <f>"20190312151017031"</f>
        <v>20190312151017031</v>
      </c>
      <c r="B1641" t="str">
        <f>"1552374617022399"</f>
        <v>1552374617022399</v>
      </c>
      <c r="C1641" t="s">
        <v>40</v>
      </c>
      <c r="D1641">
        <v>5.2416019999999897</v>
      </c>
      <c r="E1641">
        <v>0.63641530000000002</v>
      </c>
      <c r="F1641" t="s">
        <v>50</v>
      </c>
      <c r="G1641">
        <v>-207.76070000000001</v>
      </c>
      <c r="H1641" s="1">
        <v>6.0370290000000001E-6</v>
      </c>
      <c r="I1641">
        <v>280.2867</v>
      </c>
      <c r="J1641">
        <v>-192.73410000000001</v>
      </c>
      <c r="K1641">
        <v>1.1005739999999999</v>
      </c>
      <c r="L1641">
        <v>288.70729999999998</v>
      </c>
      <c r="M1641">
        <v>-0.42112040000000001</v>
      </c>
      <c r="N1641">
        <v>0</v>
      </c>
      <c r="O1641">
        <v>-0.90686990000000001</v>
      </c>
      <c r="P1641">
        <v>-0.65622449999999999</v>
      </c>
      <c r="Q1641">
        <v>1.9828189999999999E-2</v>
      </c>
      <c r="R1641">
        <v>-0.75430540000000001</v>
      </c>
      <c r="S1641">
        <v>-2.7809140000000001</v>
      </c>
      <c r="T1641">
        <v>-0.20225129999999999</v>
      </c>
      <c r="U1641">
        <v>-1.5844419999999999</v>
      </c>
      <c r="V1641">
        <v>0.27824860000000001</v>
      </c>
      <c r="W1641">
        <v>2.816478E-2</v>
      </c>
      <c r="X1641">
        <v>0.96009610000000001</v>
      </c>
      <c r="Y1641">
        <v>0.5775574</v>
      </c>
      <c r="Z1641">
        <v>6.567162E-2</v>
      </c>
      <c r="AA1641">
        <v>0.81370430000000005</v>
      </c>
      <c r="AB1641">
        <v>24</v>
      </c>
      <c r="AC1641">
        <v>-15.0266</v>
      </c>
      <c r="AD1641">
        <v>-1.1005679629709999</v>
      </c>
      <c r="AE1641">
        <v>-8.4205999999999701</v>
      </c>
      <c r="AF1641">
        <v>10.0413258593835</v>
      </c>
      <c r="AG1641">
        <v>-1.1005679629709999</v>
      </c>
      <c r="AH1641">
        <v>13.9093220923736</v>
      </c>
      <c r="AI1641">
        <v>93.670721910300998</v>
      </c>
      <c r="AJ1641">
        <v>54.173977789480098</v>
      </c>
      <c r="AK1641">
        <v>17.190366951430502</v>
      </c>
      <c r="AL1641">
        <v>88.386063597963002</v>
      </c>
      <c r="AM1641">
        <v>73.837709809647194</v>
      </c>
      <c r="AN1641">
        <v>1.0000000297348</v>
      </c>
    </row>
    <row r="1642" spans="1:40" x14ac:dyDescent="0.25">
      <c r="A1642" t="str">
        <f>"20190312151017054"</f>
        <v>20190312151017054</v>
      </c>
      <c r="B1642" t="str">
        <f>"1552374617041918"</f>
        <v>1552374617041918</v>
      </c>
      <c r="C1642" t="s">
        <v>40</v>
      </c>
      <c r="D1642">
        <v>5.2244339999999996</v>
      </c>
      <c r="E1642">
        <v>0.6354786</v>
      </c>
      <c r="F1642" t="s">
        <v>50</v>
      </c>
      <c r="G1642">
        <v>-208.6995</v>
      </c>
      <c r="H1642" s="1">
        <v>6.4894489999999999E-6</v>
      </c>
      <c r="I1642">
        <v>279.87400000000002</v>
      </c>
      <c r="J1642">
        <v>-192.858</v>
      </c>
      <c r="K1642">
        <v>1.100495</v>
      </c>
      <c r="L1642">
        <v>288.48169999999999</v>
      </c>
      <c r="M1642">
        <v>-0.43528220000000001</v>
      </c>
      <c r="N1642">
        <v>0</v>
      </c>
      <c r="O1642">
        <v>-0.90015769999999995</v>
      </c>
      <c r="P1642">
        <v>-0.6688094</v>
      </c>
      <c r="Q1642">
        <v>1.984731E-2</v>
      </c>
      <c r="R1642">
        <v>-0.74316910000000003</v>
      </c>
      <c r="S1642">
        <v>-2.7980040000000002</v>
      </c>
      <c r="T1642">
        <v>-0.19287850000000001</v>
      </c>
      <c r="U1642">
        <v>-1.548065</v>
      </c>
      <c r="V1642">
        <v>0.27934419999999999</v>
      </c>
      <c r="W1642">
        <v>2.813761E-2</v>
      </c>
      <c r="X1642">
        <v>0.95977869999999998</v>
      </c>
      <c r="Y1642">
        <v>0.57515469999999902</v>
      </c>
      <c r="Z1642">
        <v>6.2519619999999998E-2</v>
      </c>
      <c r="AA1642">
        <v>0.81565209999999999</v>
      </c>
      <c r="AB1642">
        <v>24</v>
      </c>
      <c r="AC1642">
        <v>-15.8414999999999</v>
      </c>
      <c r="AD1642">
        <v>-1.1004885105509901</v>
      </c>
      <c r="AE1642">
        <v>-8.6076999999999604</v>
      </c>
      <c r="AF1642">
        <v>10.475330809990201</v>
      </c>
      <c r="AG1642">
        <v>-1.1004885105509901</v>
      </c>
      <c r="AH1642">
        <v>14.591243469740499</v>
      </c>
      <c r="AI1642">
        <v>93.505973107314304</v>
      </c>
      <c r="AJ1642">
        <v>54.324715649439398</v>
      </c>
      <c r="AK1642">
        <v>17.995777741843501</v>
      </c>
      <c r="AL1642">
        <v>88.387620942001504</v>
      </c>
      <c r="AM1642">
        <v>73.772329487711602</v>
      </c>
      <c r="AN1642">
        <v>1.0000000300719201</v>
      </c>
    </row>
    <row r="1643" spans="1:40" x14ac:dyDescent="0.25">
      <c r="A1643" t="str">
        <f>"20190312151017076"</f>
        <v>20190312151017076</v>
      </c>
      <c r="B1643" t="str">
        <f>"1552374617072174"</f>
        <v>1552374617072174</v>
      </c>
      <c r="C1643" t="s">
        <v>40</v>
      </c>
      <c r="D1643">
        <v>5.2929430000000002</v>
      </c>
      <c r="E1643">
        <v>0.63398549999999998</v>
      </c>
      <c r="F1643" t="s">
        <v>50</v>
      </c>
      <c r="G1643">
        <v>-209.44450000000001</v>
      </c>
      <c r="H1643">
        <v>5.314704E-3</v>
      </c>
      <c r="I1643">
        <v>279.61630000000002</v>
      </c>
      <c r="J1643">
        <v>-192.9761</v>
      </c>
      <c r="K1643">
        <v>1.1004240000000001</v>
      </c>
      <c r="L1643">
        <v>288.27449999999999</v>
      </c>
      <c r="M1643">
        <v>-0.44845420000000003</v>
      </c>
      <c r="N1643">
        <v>0</v>
      </c>
      <c r="O1643">
        <v>-0.89366769999999995</v>
      </c>
      <c r="P1643">
        <v>-0.6806837</v>
      </c>
      <c r="Q1643">
        <v>1.941035E-2</v>
      </c>
      <c r="R1643">
        <v>-0.73232069999999905</v>
      </c>
      <c r="S1643">
        <v>-2.8176570000000001</v>
      </c>
      <c r="T1643">
        <v>-0.18604490000000001</v>
      </c>
      <c r="U1643">
        <v>-1.5060119999999999</v>
      </c>
      <c r="V1643">
        <v>0.28068660000000001</v>
      </c>
      <c r="W1643">
        <v>2.7647129999999999E-2</v>
      </c>
      <c r="X1643">
        <v>0.95940119999999895</v>
      </c>
      <c r="Y1643">
        <v>0.57510709999999998</v>
      </c>
      <c r="Z1643">
        <v>6.022889E-2</v>
      </c>
      <c r="AA1643">
        <v>0.81585799999999997</v>
      </c>
      <c r="AB1643">
        <v>24</v>
      </c>
      <c r="AC1643">
        <v>-16.468399999999999</v>
      </c>
      <c r="AD1643">
        <v>-1.095109296</v>
      </c>
      <c r="AE1643">
        <v>-8.6581999999999599</v>
      </c>
      <c r="AF1643">
        <v>10.798399137721599</v>
      </c>
      <c r="AG1643">
        <v>-1.095109296</v>
      </c>
      <c r="AH1643">
        <v>15.072527320416</v>
      </c>
      <c r="AI1643">
        <v>93.380114799995297</v>
      </c>
      <c r="AJ1643">
        <v>54.381081586729103</v>
      </c>
      <c r="AK1643">
        <v>18.573792508058801</v>
      </c>
      <c r="AL1643">
        <v>88.4157342607987</v>
      </c>
      <c r="AM1643">
        <v>73.692405020471597</v>
      </c>
      <c r="AN1643">
        <v>0.999999996889118</v>
      </c>
    </row>
    <row r="1644" spans="1:40" x14ac:dyDescent="0.25">
      <c r="A1644" t="str">
        <f>"20190312151017099"</f>
        <v>20190312151017099</v>
      </c>
      <c r="B1644" t="str">
        <f>"1552374617092670"</f>
        <v>1552374617092670</v>
      </c>
      <c r="C1644" t="s">
        <v>40</v>
      </c>
      <c r="D1644">
        <v>5.2902500000000003</v>
      </c>
      <c r="E1644">
        <v>0.63352629999999999</v>
      </c>
      <c r="F1644" t="s">
        <v>50</v>
      </c>
      <c r="G1644">
        <v>-209.6996</v>
      </c>
      <c r="H1644">
        <v>6.2908279999999997E-2</v>
      </c>
      <c r="I1644">
        <v>279.60340000000002</v>
      </c>
      <c r="J1644">
        <v>-193.10659999999999</v>
      </c>
      <c r="K1644">
        <v>1.100344</v>
      </c>
      <c r="L1644">
        <v>288.05410000000001</v>
      </c>
      <c r="M1644">
        <v>-0.46264420000000001</v>
      </c>
      <c r="N1644">
        <v>0</v>
      </c>
      <c r="O1644">
        <v>-0.88640419999999998</v>
      </c>
      <c r="P1644">
        <v>-0.69325530000000002</v>
      </c>
      <c r="Q1644">
        <v>1.8542309999999999E-2</v>
      </c>
      <c r="R1644">
        <v>-0.72045389999999998</v>
      </c>
      <c r="S1644">
        <v>-2.832306</v>
      </c>
      <c r="T1644">
        <v>-0.17571400000000001</v>
      </c>
      <c r="U1644">
        <v>-1.4685360000000001</v>
      </c>
      <c r="V1644">
        <v>0.28196919999999998</v>
      </c>
      <c r="W1644">
        <v>2.6725269999999999E-2</v>
      </c>
      <c r="X1644">
        <v>0.95905110000000005</v>
      </c>
      <c r="Y1644">
        <v>0.57248160000000003</v>
      </c>
      <c r="Z1644">
        <v>5.6775829999999999E-2</v>
      </c>
      <c r="AA1644">
        <v>0.8179495</v>
      </c>
      <c r="AB1644">
        <v>24</v>
      </c>
      <c r="AC1644">
        <v>-16.593</v>
      </c>
      <c r="AD1644">
        <v>-1.03743572</v>
      </c>
      <c r="AE1644">
        <v>-8.4506999999999799</v>
      </c>
      <c r="AF1644">
        <v>10.7663581386795</v>
      </c>
      <c r="AG1644">
        <v>-1.03743572</v>
      </c>
      <c r="AH1644">
        <v>15.1223327227172</v>
      </c>
      <c r="AI1644">
        <v>93.198711227798697</v>
      </c>
      <c r="AJ1644">
        <v>54.551001448704497</v>
      </c>
      <c r="AK1644">
        <v>18.592355617834102</v>
      </c>
      <c r="AL1644">
        <v>88.468572394391003</v>
      </c>
      <c r="AM1644">
        <v>73.616214242163096</v>
      </c>
      <c r="AN1644">
        <v>0.999999941108209</v>
      </c>
    </row>
    <row r="1645" spans="1:40" x14ac:dyDescent="0.25">
      <c r="A1645" t="str">
        <f>"20190312151017119"</f>
        <v>20190312151017119</v>
      </c>
      <c r="B1645" t="str">
        <f>"1552374617112190"</f>
        <v>1552374617112190</v>
      </c>
      <c r="C1645" t="s">
        <v>40</v>
      </c>
      <c r="D1645">
        <v>6.2199929999999997</v>
      </c>
      <c r="E1645">
        <v>0.62061709999999903</v>
      </c>
      <c r="F1645" t="s">
        <v>52</v>
      </c>
      <c r="G1645">
        <v>-210.07050000000001</v>
      </c>
      <c r="H1645">
        <v>6.1485239999999997E-2</v>
      </c>
      <c r="I1645">
        <v>279.60480000000001</v>
      </c>
      <c r="J1645">
        <v>-193.23009999999999</v>
      </c>
      <c r="K1645">
        <v>1.100279</v>
      </c>
      <c r="L1645">
        <v>287.85309999999998</v>
      </c>
      <c r="M1645">
        <v>-0.47574899999999998</v>
      </c>
      <c r="N1645">
        <v>0</v>
      </c>
      <c r="O1645">
        <v>-0.87943939999999998</v>
      </c>
      <c r="P1645">
        <v>-0.70508870000000001</v>
      </c>
      <c r="Q1645">
        <v>1.9724419999999999E-2</v>
      </c>
      <c r="R1645">
        <v>-0.70884510000000001</v>
      </c>
      <c r="S1645">
        <v>-2.854568</v>
      </c>
      <c r="T1645">
        <v>-0.174812</v>
      </c>
      <c r="U1645">
        <v>-1.421783</v>
      </c>
      <c r="V1645">
        <v>0.28366360000000002</v>
      </c>
      <c r="W1645">
        <v>2.7843509999999998E-2</v>
      </c>
      <c r="X1645">
        <v>0.95851949999999997</v>
      </c>
      <c r="Y1645">
        <v>0.57361499999999999</v>
      </c>
      <c r="Z1645">
        <v>5.6373739999999999E-2</v>
      </c>
      <c r="AA1645">
        <v>0.81718279999999999</v>
      </c>
      <c r="AB1645">
        <v>24</v>
      </c>
      <c r="AC1645">
        <v>-16.840399999999999</v>
      </c>
      <c r="AD1645">
        <v>-1.0387937599999999</v>
      </c>
      <c r="AE1645">
        <v>-8.2482999999999702</v>
      </c>
      <c r="AF1645">
        <v>10.854038751260701</v>
      </c>
      <c r="AG1645">
        <v>-1.0387937599999999</v>
      </c>
      <c r="AH1645">
        <v>15.220876352655701</v>
      </c>
      <c r="AI1645">
        <v>93.180468956046496</v>
      </c>
      <c r="AJ1645">
        <v>54.507252957633398</v>
      </c>
      <c r="AK1645">
        <v>18.723363122914598</v>
      </c>
      <c r="AL1645">
        <v>88.404478132071105</v>
      </c>
      <c r="AM1645">
        <v>73.514443475379807</v>
      </c>
      <c r="AN1645">
        <v>0.99999996544716396</v>
      </c>
    </row>
    <row r="1646" spans="1:40" x14ac:dyDescent="0.25">
      <c r="A1646" t="str">
        <f>"20190312151017144"</f>
        <v>20190312151017144</v>
      </c>
      <c r="B1646" t="str">
        <f>"1552374617132687"</f>
        <v>1552374617132687</v>
      </c>
      <c r="C1646" t="s">
        <v>40</v>
      </c>
      <c r="D1646">
        <v>5.266743</v>
      </c>
      <c r="E1646">
        <v>0.61870190000000003</v>
      </c>
      <c r="F1646" t="s">
        <v>50</v>
      </c>
      <c r="G1646">
        <v>-202.351</v>
      </c>
      <c r="H1646" s="1">
        <v>3.3869160000000002E-6</v>
      </c>
      <c r="I1646">
        <v>283.15940000000001</v>
      </c>
      <c r="J1646">
        <v>-193.37299999999999</v>
      </c>
      <c r="K1646">
        <v>1.100223</v>
      </c>
      <c r="L1646">
        <v>287.62920000000003</v>
      </c>
      <c r="M1646">
        <v>-0.49051289999999997</v>
      </c>
      <c r="N1646">
        <v>0</v>
      </c>
      <c r="O1646">
        <v>-0.87129020000000001</v>
      </c>
      <c r="P1646">
        <v>-0.71897359999999999</v>
      </c>
      <c r="Q1646">
        <v>2.1591699999999998E-2</v>
      </c>
      <c r="R1646">
        <v>-0.69470269999999901</v>
      </c>
      <c r="S1646">
        <v>-2.810333</v>
      </c>
      <c r="T1646">
        <v>-0.33901880000000001</v>
      </c>
      <c r="U1646">
        <v>-1.4462280000000001</v>
      </c>
      <c r="V1646">
        <v>0.28653869999999998</v>
      </c>
      <c r="W1646">
        <v>2.961662E-2</v>
      </c>
      <c r="X1646">
        <v>0.95761079999999998</v>
      </c>
      <c r="Y1646">
        <v>0.54455120000000001</v>
      </c>
      <c r="Z1646">
        <v>0.10857940000000001</v>
      </c>
      <c r="AA1646">
        <v>0.83166969999999996</v>
      </c>
      <c r="AB1646">
        <v>24</v>
      </c>
      <c r="AC1646">
        <v>-8.9779999999999998</v>
      </c>
      <c r="AD1646">
        <v>-1.1002196130839901</v>
      </c>
      <c r="AE1646">
        <v>-4.4698000000000198</v>
      </c>
      <c r="AF1646">
        <v>5.5636972265256404</v>
      </c>
      <c r="AG1646">
        <v>-1.1002196130839901</v>
      </c>
      <c r="AH1646">
        <v>8.2006655211515493</v>
      </c>
      <c r="AI1646">
        <v>96.335178898512893</v>
      </c>
      <c r="AJ1646">
        <v>55.8452814638974</v>
      </c>
      <c r="AK1646">
        <v>9.9707635121523008</v>
      </c>
      <c r="AL1646">
        <v>88.302844513302304</v>
      </c>
      <c r="AM1646">
        <v>73.341633612173894</v>
      </c>
      <c r="AN1646">
        <v>1.0000000075272699</v>
      </c>
    </row>
    <row r="1647" spans="1:40" x14ac:dyDescent="0.25">
      <c r="A1647" t="str">
        <f>"20190312151017166"</f>
        <v>20190312151017166</v>
      </c>
      <c r="B1647" t="str">
        <f>"1552374617161967"</f>
        <v>1552374617161967</v>
      </c>
      <c r="C1647" t="s">
        <v>40</v>
      </c>
      <c r="D1647">
        <v>5.047663</v>
      </c>
      <c r="E1647">
        <v>0.63589390000000001</v>
      </c>
      <c r="F1647" t="s">
        <v>43</v>
      </c>
      <c r="G1647">
        <v>-228.99539999999999</v>
      </c>
      <c r="H1647">
        <v>-0.05</v>
      </c>
      <c r="I1647">
        <v>269.91289999999998</v>
      </c>
      <c r="J1647">
        <v>-193.50550000000001</v>
      </c>
      <c r="K1647">
        <v>1.100179</v>
      </c>
      <c r="L1647">
        <v>287.42880000000002</v>
      </c>
      <c r="M1647">
        <v>-0.50385489999999999</v>
      </c>
      <c r="N1647">
        <v>0</v>
      </c>
      <c r="O1647">
        <v>-0.86364289999999999</v>
      </c>
      <c r="P1647">
        <v>-0.73129659999999996</v>
      </c>
      <c r="Q1647">
        <v>2.2036360000000001E-2</v>
      </c>
      <c r="R1647">
        <v>-0.68170399999999998</v>
      </c>
      <c r="S1647">
        <v>-2.8201290000000001</v>
      </c>
      <c r="T1647">
        <v>-9.1060160000000001E-2</v>
      </c>
      <c r="U1647">
        <v>-1.4025570000000001</v>
      </c>
      <c r="V1647">
        <v>0.28897879999999998</v>
      </c>
      <c r="W1647">
        <v>2.9985049999999999E-2</v>
      </c>
      <c r="X1647">
        <v>0.95686579999999999</v>
      </c>
      <c r="Y1647">
        <v>0.54855940000000003</v>
      </c>
      <c r="Z1647">
        <v>2.9315520000000001E-2</v>
      </c>
      <c r="AA1647">
        <v>0.83559749999999999</v>
      </c>
      <c r="AB1647">
        <v>24</v>
      </c>
      <c r="AC1647">
        <v>-35.489899999999899</v>
      </c>
      <c r="AD1647">
        <v>-1.1501790000000001</v>
      </c>
      <c r="AE1647">
        <v>-17.515899999999998</v>
      </c>
      <c r="AF1647">
        <v>21.8094496602418</v>
      </c>
      <c r="AG1647">
        <v>-1.1501790000000001</v>
      </c>
      <c r="AH1647">
        <v>32.985529934330899</v>
      </c>
      <c r="AI1647">
        <v>91.666054859686497</v>
      </c>
      <c r="AJ1647">
        <v>56.528026715781102</v>
      </c>
      <c r="AK1647">
        <v>39.560336086329002</v>
      </c>
      <c r="AL1647">
        <v>88.281725644528706</v>
      </c>
      <c r="AM1647">
        <v>73.195391461423398</v>
      </c>
      <c r="AN1647">
        <v>1.00000000464129</v>
      </c>
    </row>
    <row r="1648" spans="1:40" x14ac:dyDescent="0.25">
      <c r="A1648" t="str">
        <f>"20190312151017190"</f>
        <v>20190312151017190</v>
      </c>
      <c r="B1648" t="str">
        <f>"1552374617182462"</f>
        <v>1552374617182462</v>
      </c>
      <c r="C1648" t="s">
        <v>40</v>
      </c>
      <c r="D1648">
        <v>4.9150090000000004</v>
      </c>
      <c r="E1648">
        <v>0.67302459999999997</v>
      </c>
      <c r="F1648" t="s">
        <v>50</v>
      </c>
      <c r="G1648">
        <v>-206.20079999999999</v>
      </c>
      <c r="H1648" s="1">
        <v>5.1926120000000004E-6</v>
      </c>
      <c r="I1648">
        <v>282.03300000000002</v>
      </c>
      <c r="J1648">
        <v>-193.6515</v>
      </c>
      <c r="K1648">
        <v>1.1001270000000001</v>
      </c>
      <c r="L1648">
        <v>287.21570000000003</v>
      </c>
      <c r="M1648">
        <v>-0.51818729999999902</v>
      </c>
      <c r="N1648">
        <v>0</v>
      </c>
      <c r="O1648">
        <v>-0.85511930000000003</v>
      </c>
      <c r="P1648">
        <v>-0.74333019999999905</v>
      </c>
      <c r="Q1648">
        <v>2.0715419999999998E-2</v>
      </c>
      <c r="R1648">
        <v>-0.66860379999999997</v>
      </c>
      <c r="S1648">
        <v>-2.943695</v>
      </c>
      <c r="T1648">
        <v>-0.25510129999999998</v>
      </c>
      <c r="U1648">
        <v>-1.25116</v>
      </c>
      <c r="V1648">
        <v>0.29002430000000001</v>
      </c>
      <c r="W1648">
        <v>2.863189E-2</v>
      </c>
      <c r="X1648">
        <v>0.95659090000000002</v>
      </c>
      <c r="Y1648">
        <v>0.58096329999999996</v>
      </c>
      <c r="Z1648">
        <v>8.1261050000000001E-2</v>
      </c>
      <c r="AA1648">
        <v>0.80986309999999995</v>
      </c>
      <c r="AB1648">
        <v>24</v>
      </c>
      <c r="AC1648">
        <v>-12.549299999999899</v>
      </c>
      <c r="AD1648">
        <v>-1.1001218073879999</v>
      </c>
      <c r="AE1648">
        <v>-5.1827000000000103</v>
      </c>
      <c r="AF1648">
        <v>7.9940740076813199</v>
      </c>
      <c r="AG1648">
        <v>-1.1001218073879999</v>
      </c>
      <c r="AH1648">
        <v>10.864768043182901</v>
      </c>
      <c r="AI1648">
        <v>94.662610224301005</v>
      </c>
      <c r="AJ1648">
        <v>53.655125859507201</v>
      </c>
      <c r="AK1648">
        <v>13.5336126685946</v>
      </c>
      <c r="AL1648">
        <v>88.359289344077993</v>
      </c>
      <c r="AM1648">
        <v>73.133467757431703</v>
      </c>
      <c r="AN1648">
        <v>1.0000000148391299</v>
      </c>
    </row>
    <row r="1649" spans="1:40" x14ac:dyDescent="0.25">
      <c r="A1649" t="str">
        <f>"20190312151017212"</f>
        <v>20190312151017212</v>
      </c>
      <c r="B1649" t="str">
        <f>"1552374617201982"</f>
        <v>1552374617201982</v>
      </c>
      <c r="C1649" t="s">
        <v>40</v>
      </c>
      <c r="D1649">
        <v>5.3268700000000004</v>
      </c>
      <c r="E1649">
        <v>0.67732029999999999</v>
      </c>
      <c r="F1649" t="s">
        <v>52</v>
      </c>
      <c r="G1649">
        <v>-233.2397</v>
      </c>
      <c r="H1649">
        <v>8.0000940000000006E-2</v>
      </c>
      <c r="I1649">
        <v>274.94779999999997</v>
      </c>
      <c r="J1649">
        <v>-193.79429999999999</v>
      </c>
      <c r="K1649">
        <v>1.100082</v>
      </c>
      <c r="L1649">
        <v>287.01459999999997</v>
      </c>
      <c r="M1649">
        <v>-0.5318406</v>
      </c>
      <c r="N1649">
        <v>0</v>
      </c>
      <c r="O1649">
        <v>-0.84669490000000003</v>
      </c>
      <c r="P1649">
        <v>-0.75436340000000002</v>
      </c>
      <c r="Q1649">
        <v>1.9281800000000002E-2</v>
      </c>
      <c r="R1649">
        <v>-0.656174699999999</v>
      </c>
      <c r="S1649">
        <v>-3.1579280000000001</v>
      </c>
      <c r="T1649">
        <v>-8.1375000000000003E-2</v>
      </c>
      <c r="U1649">
        <v>-0.97860720000000001</v>
      </c>
      <c r="V1649">
        <v>0.2905528</v>
      </c>
      <c r="W1649">
        <v>2.7183829999999999E-2</v>
      </c>
      <c r="X1649">
        <v>0.95647280000000001</v>
      </c>
      <c r="Y1649">
        <v>0.65105639999999998</v>
      </c>
      <c r="Z1649">
        <v>2.5683520000000001E-2</v>
      </c>
      <c r="AA1649">
        <v>0.75859469999999996</v>
      </c>
      <c r="AB1649">
        <v>24</v>
      </c>
      <c r="AC1649">
        <v>-39.445399999999999</v>
      </c>
      <c r="AD1649">
        <v>-1.0200810600000001</v>
      </c>
      <c r="AE1649">
        <v>-12.066800000000001</v>
      </c>
      <c r="AF1649">
        <v>26.967531160494399</v>
      </c>
      <c r="AG1649">
        <v>-1.0200810600000001</v>
      </c>
      <c r="AH1649">
        <v>31.1804471305108</v>
      </c>
      <c r="AI1649">
        <v>91.417464541839806</v>
      </c>
      <c r="AJ1649">
        <v>49.143932068910097</v>
      </c>
      <c r="AK1649">
        <v>41.237223300311904</v>
      </c>
      <c r="AL1649">
        <v>88.442289465640798</v>
      </c>
      <c r="AM1649">
        <v>73.102514790185893</v>
      </c>
      <c r="AN1649">
        <v>1.00000005367057</v>
      </c>
    </row>
    <row r="1650" spans="1:40" x14ac:dyDescent="0.25">
      <c r="A1650" t="str">
        <f>"20190312151017233"</f>
        <v>20190312151017233</v>
      </c>
      <c r="B1650" t="str">
        <f>"1552374617222478"</f>
        <v>1552374617222478</v>
      </c>
      <c r="C1650" t="s">
        <v>40</v>
      </c>
      <c r="D1650">
        <v>5.3415429999999997</v>
      </c>
      <c r="E1650">
        <v>0.67720409999999998</v>
      </c>
      <c r="F1650" t="s">
        <v>53</v>
      </c>
      <c r="G1650">
        <v>-258.29039999999998</v>
      </c>
      <c r="H1650">
        <v>0.84785859999999902</v>
      </c>
      <c r="I1650">
        <v>268.82760000000002</v>
      </c>
      <c r="J1650">
        <v>-193.93</v>
      </c>
      <c r="K1650">
        <v>1.1000479999999999</v>
      </c>
      <c r="L1650">
        <v>286.8297</v>
      </c>
      <c r="M1650">
        <v>-0.54450359999999998</v>
      </c>
      <c r="N1650">
        <v>0</v>
      </c>
      <c r="O1650">
        <v>-0.83860679999999999</v>
      </c>
      <c r="P1650">
        <v>-0.76413920000000002</v>
      </c>
      <c r="Q1650">
        <v>1.9186020000000002E-2</v>
      </c>
      <c r="R1650">
        <v>-0.64476650000000002</v>
      </c>
      <c r="S1650">
        <v>-3.1938019999999998</v>
      </c>
      <c r="T1650">
        <v>-1.2488839999999999E-2</v>
      </c>
      <c r="U1650">
        <v>-0.90060419999999997</v>
      </c>
      <c r="V1650">
        <v>0.2905528</v>
      </c>
      <c r="W1650">
        <v>2.7090880000000001E-2</v>
      </c>
      <c r="X1650">
        <v>0.95647539999999998</v>
      </c>
      <c r="Y1650">
        <v>0.6594276</v>
      </c>
      <c r="Z1650">
        <v>3.9280560000000001E-3</v>
      </c>
      <c r="AA1650">
        <v>0.75175780000000003</v>
      </c>
      <c r="AB1650">
        <v>24</v>
      </c>
      <c r="AC1650">
        <v>-64.360399999999899</v>
      </c>
      <c r="AD1650">
        <v>-0.25218939999999901</v>
      </c>
      <c r="AE1650">
        <v>-18.002099999999899</v>
      </c>
      <c r="AF1650">
        <v>44.175852812882397</v>
      </c>
      <c r="AG1650">
        <v>-0.25218939999999901</v>
      </c>
      <c r="AH1650">
        <v>50.146819685344603</v>
      </c>
      <c r="AI1650">
        <v>90.216211034141907</v>
      </c>
      <c r="AJ1650">
        <v>48.622197099756796</v>
      </c>
      <c r="AK1650">
        <v>66.830181024694099</v>
      </c>
      <c r="AL1650">
        <v>88.447617014889502</v>
      </c>
      <c r="AM1650">
        <v>73.102558105449603</v>
      </c>
      <c r="AN1650">
        <v>1.00000001808608</v>
      </c>
    </row>
    <row r="1651" spans="1:40" x14ac:dyDescent="0.25">
      <c r="A1651" t="str">
        <f>"20190312151017254"</f>
        <v>20190312151017254</v>
      </c>
      <c r="B1651" t="str">
        <f>"1552374617252734"</f>
        <v>1552374617252734</v>
      </c>
      <c r="C1651" t="s">
        <v>40</v>
      </c>
      <c r="D1651">
        <v>5.3563589999999897</v>
      </c>
      <c r="E1651">
        <v>0.67543580000000003</v>
      </c>
      <c r="F1651" t="s">
        <v>53</v>
      </c>
      <c r="G1651">
        <v>-258.29450000000003</v>
      </c>
      <c r="H1651">
        <v>1.0432539999999999</v>
      </c>
      <c r="I1651">
        <v>269.7011</v>
      </c>
      <c r="J1651">
        <v>-194.07640000000001</v>
      </c>
      <c r="K1651">
        <v>1.1000219999999901</v>
      </c>
      <c r="L1651">
        <v>286.63679999999999</v>
      </c>
      <c r="M1651">
        <v>-0.55782200000000004</v>
      </c>
      <c r="N1651">
        <v>0</v>
      </c>
      <c r="O1651">
        <v>-0.82980669999999901</v>
      </c>
      <c r="P1651">
        <v>-0.77413759999999998</v>
      </c>
      <c r="Q1651">
        <v>2.0402679999999999E-2</v>
      </c>
      <c r="R1651">
        <v>-0.63268869999999999</v>
      </c>
      <c r="S1651">
        <v>-3.2061310000000001</v>
      </c>
      <c r="T1651">
        <v>-2.8278829999999998E-3</v>
      </c>
      <c r="U1651">
        <v>-0.85321039999999904</v>
      </c>
      <c r="V1651">
        <v>0.29030889999999998</v>
      </c>
      <c r="W1651">
        <v>2.8319210000000001E-2</v>
      </c>
      <c r="X1651">
        <v>0.95651390000000003</v>
      </c>
      <c r="Y1651">
        <v>0.65852739999999998</v>
      </c>
      <c r="Z1651">
        <v>8.8606229999999995E-4</v>
      </c>
      <c r="AA1651">
        <v>0.75255620000000001</v>
      </c>
      <c r="AB1651">
        <v>24</v>
      </c>
      <c r="AC1651">
        <v>-64.218100000000007</v>
      </c>
      <c r="AD1651">
        <v>-5.6767999999999701E-2</v>
      </c>
      <c r="AE1651">
        <v>-16.935699999999901</v>
      </c>
      <c r="AF1651">
        <v>43.847072441852603</v>
      </c>
      <c r="AG1651">
        <v>-5.6767999999999701E-2</v>
      </c>
      <c r="AH1651">
        <v>49.881961621154602</v>
      </c>
      <c r="AI1651">
        <v>90.048974343848997</v>
      </c>
      <c r="AJ1651">
        <v>48.683992392760601</v>
      </c>
      <c r="AK1651">
        <v>66.413696475209306</v>
      </c>
      <c r="AL1651">
        <v>88.377211893562304</v>
      </c>
      <c r="AM1651">
        <v>73.116576005289403</v>
      </c>
      <c r="AN1651">
        <v>1.0000000379837199</v>
      </c>
    </row>
    <row r="1652" spans="1:40" x14ac:dyDescent="0.25">
      <c r="A1652" t="str">
        <f>"20190312151017277"</f>
        <v>20190312151017277</v>
      </c>
      <c r="B1652" t="str">
        <f>"1552374617272254"</f>
        <v>1552374617272254</v>
      </c>
      <c r="C1652" t="s">
        <v>40</v>
      </c>
      <c r="D1652">
        <v>5.2858010000000002</v>
      </c>
      <c r="E1652">
        <v>0.67406460000000001</v>
      </c>
      <c r="F1652" t="s">
        <v>53</v>
      </c>
      <c r="G1652">
        <v>-260.36329999999998</v>
      </c>
      <c r="H1652">
        <v>1.141729</v>
      </c>
      <c r="I1652">
        <v>269.83280000000002</v>
      </c>
      <c r="J1652">
        <v>-194.2252</v>
      </c>
      <c r="K1652">
        <v>1.1000099999999999</v>
      </c>
      <c r="L1652">
        <v>286.44729999999998</v>
      </c>
      <c r="M1652">
        <v>-0.5710016</v>
      </c>
      <c r="N1652">
        <v>0</v>
      </c>
      <c r="O1652">
        <v>-0.82079279999999999</v>
      </c>
      <c r="P1652">
        <v>-0.78410769999999996</v>
      </c>
      <c r="Q1652">
        <v>2.2844130000000001E-2</v>
      </c>
      <c r="R1652">
        <v>-0.62020450000000005</v>
      </c>
      <c r="S1652">
        <v>-3.2101289999999998</v>
      </c>
      <c r="T1652">
        <v>2.0208359999999998E-3</v>
      </c>
      <c r="U1652">
        <v>-0.81378169999999905</v>
      </c>
      <c r="V1652">
        <v>0.29036889999999999</v>
      </c>
      <c r="W1652">
        <v>3.0764799999999998E-2</v>
      </c>
      <c r="X1652">
        <v>0.9564201</v>
      </c>
      <c r="Y1652">
        <v>0.65539630000000004</v>
      </c>
      <c r="Z1652">
        <v>-6.3104209999999999E-4</v>
      </c>
      <c r="AA1652">
        <v>0.75528479999999998</v>
      </c>
      <c r="AB1652">
        <v>24</v>
      </c>
      <c r="AC1652">
        <v>-66.138099999999895</v>
      </c>
      <c r="AD1652">
        <v>4.1718999999999999E-2</v>
      </c>
      <c r="AE1652">
        <v>-16.6144999999999</v>
      </c>
      <c r="AF1652">
        <v>44.804496670756599</v>
      </c>
      <c r="AG1652">
        <v>4.1718999999999999E-2</v>
      </c>
      <c r="AH1652">
        <v>51.4085934352631</v>
      </c>
      <c r="AI1652">
        <v>89.964947692120205</v>
      </c>
      <c r="AJ1652">
        <v>48.926641273868903</v>
      </c>
      <c r="AK1652">
        <v>68.193021207356594</v>
      </c>
      <c r="AL1652">
        <v>88.237028608255002</v>
      </c>
      <c r="AM1652">
        <v>73.111723290537398</v>
      </c>
      <c r="AN1652">
        <v>0.99999998934512901</v>
      </c>
    </row>
    <row r="1653" spans="1:40" x14ac:dyDescent="0.25">
      <c r="A1653" t="str">
        <f>"20190312151017301"</f>
        <v>20190312151017301</v>
      </c>
      <c r="B1653" t="str">
        <f>"1552374617291775"</f>
        <v>1552374617291775</v>
      </c>
      <c r="C1653" t="s">
        <v>40</v>
      </c>
      <c r="D1653">
        <v>5.0583559999999999</v>
      </c>
      <c r="E1653">
        <v>0.67235299999999998</v>
      </c>
      <c r="F1653" t="s">
        <v>54</v>
      </c>
      <c r="G1653">
        <v>-265.52510000000001</v>
      </c>
      <c r="H1653">
        <v>1.2948</v>
      </c>
      <c r="I1653">
        <v>269.3494</v>
      </c>
      <c r="J1653">
        <v>-194.38630000000001</v>
      </c>
      <c r="K1653">
        <v>1.1000000000000001</v>
      </c>
      <c r="L1653">
        <v>286.24950000000001</v>
      </c>
      <c r="M1653">
        <v>-0.58486309999999997</v>
      </c>
      <c r="N1653">
        <v>0</v>
      </c>
      <c r="O1653">
        <v>-0.81097359999999996</v>
      </c>
      <c r="P1653">
        <v>-0.79453869999999904</v>
      </c>
      <c r="Q1653">
        <v>2.446593E-2</v>
      </c>
      <c r="R1653">
        <v>-0.60672090000000001</v>
      </c>
      <c r="S1653">
        <v>-3.2157749999999998</v>
      </c>
      <c r="T1653">
        <v>8.7865589999999993E-3</v>
      </c>
      <c r="U1653">
        <v>-0.77114869999999902</v>
      </c>
      <c r="V1653">
        <v>0.29046100000000002</v>
      </c>
      <c r="W1653">
        <v>3.2394770000000003E-2</v>
      </c>
      <c r="X1653">
        <v>0.95633829999999997</v>
      </c>
      <c r="Y1653">
        <v>0.65231079999999997</v>
      </c>
      <c r="Z1653">
        <v>-2.7317299999999999E-3</v>
      </c>
      <c r="AA1653">
        <v>0.75794669999999997</v>
      </c>
      <c r="AB1653">
        <v>24</v>
      </c>
      <c r="AC1653">
        <v>-71.138800000000003</v>
      </c>
      <c r="AD1653">
        <v>0.194799999999999</v>
      </c>
      <c r="AE1653">
        <v>-16.900099999999998</v>
      </c>
      <c r="AF1653">
        <v>47.813248320343703</v>
      </c>
      <c r="AG1653">
        <v>0.194799999999999</v>
      </c>
      <c r="AH1653">
        <v>55.3187096490432</v>
      </c>
      <c r="AI1653">
        <v>89.847354058597801</v>
      </c>
      <c r="AJ1653">
        <v>49.162380753034498</v>
      </c>
      <c r="AK1653">
        <v>73.118426536803995</v>
      </c>
      <c r="AL1653">
        <v>88.143591572460494</v>
      </c>
      <c r="AM1653">
        <v>73.105309017046906</v>
      </c>
      <c r="AN1653">
        <v>0.99999997884562097</v>
      </c>
    </row>
    <row r="1654" spans="1:40" x14ac:dyDescent="0.25">
      <c r="A1654" t="str">
        <f>"20190312151017322"</f>
        <v>20190312151017322</v>
      </c>
      <c r="B1654" t="str">
        <f>"1552374617312271"</f>
        <v>1552374617312271</v>
      </c>
      <c r="C1654" t="s">
        <v>40</v>
      </c>
      <c r="D1654">
        <v>5.3667369999999996</v>
      </c>
      <c r="E1654">
        <v>0.67081389999999996</v>
      </c>
      <c r="F1654" t="s">
        <v>55</v>
      </c>
      <c r="G1654">
        <v>-270.09190000000001</v>
      </c>
      <c r="H1654">
        <v>1.3815980000000001</v>
      </c>
      <c r="I1654">
        <v>269.15429999999998</v>
      </c>
      <c r="J1654">
        <v>-194.53360000000001</v>
      </c>
      <c r="K1654">
        <v>1.0999829999999999</v>
      </c>
      <c r="L1654">
        <v>286.07440000000003</v>
      </c>
      <c r="M1654">
        <v>-0.5971938</v>
      </c>
      <c r="N1654">
        <v>0</v>
      </c>
      <c r="O1654">
        <v>-0.8019366</v>
      </c>
      <c r="P1654">
        <v>-0.80371590000000004</v>
      </c>
      <c r="Q1654">
        <v>2.2458579999999999E-2</v>
      </c>
      <c r="R1654">
        <v>-0.59458919999999904</v>
      </c>
      <c r="S1654">
        <v>-3.2201390000000001</v>
      </c>
      <c r="T1654">
        <v>1.198113E-2</v>
      </c>
      <c r="U1654">
        <v>-0.72714230000000002</v>
      </c>
      <c r="V1654">
        <v>0.29035319999999998</v>
      </c>
      <c r="W1654">
        <v>3.0405430000000001E-2</v>
      </c>
      <c r="X1654">
        <v>0.95643630000000002</v>
      </c>
      <c r="Y1654">
        <v>0.65077600000000002</v>
      </c>
      <c r="Z1654">
        <v>-3.7126870000000001E-3</v>
      </c>
      <c r="AA1654">
        <v>0.75926070000000001</v>
      </c>
      <c r="AB1654">
        <v>24</v>
      </c>
      <c r="AC1654">
        <v>-75.558300000000003</v>
      </c>
      <c r="AD1654">
        <v>0.28161499999999901</v>
      </c>
      <c r="AE1654">
        <v>-16.920100000000001</v>
      </c>
      <c r="AF1654">
        <v>50.494214889987603</v>
      </c>
      <c r="AG1654">
        <v>0.28161499999999901</v>
      </c>
      <c r="AH1654">
        <v>58.698570124616197</v>
      </c>
      <c r="AI1654">
        <v>89.791610850465602</v>
      </c>
      <c r="AJ1654">
        <v>49.296925964701302</v>
      </c>
      <c r="AK1654">
        <v>77.429110669301593</v>
      </c>
      <c r="AL1654">
        <v>88.257628532825095</v>
      </c>
      <c r="AM1654">
        <v>73.112854208271798</v>
      </c>
      <c r="AN1654">
        <v>0.99999993344070504</v>
      </c>
    </row>
    <row r="1655" spans="1:40" x14ac:dyDescent="0.25">
      <c r="A1655" t="str">
        <f>"20190312151017344"</f>
        <v>20190312151017344</v>
      </c>
      <c r="B1655" t="str">
        <f>"1552374617342527"</f>
        <v>1552374617342527</v>
      </c>
      <c r="C1655" t="s">
        <v>40</v>
      </c>
      <c r="D1655">
        <v>5.3377730000000003</v>
      </c>
      <c r="E1655">
        <v>0.65205380000000002</v>
      </c>
      <c r="F1655" t="s">
        <v>56</v>
      </c>
      <c r="G1655">
        <v>-280.88490000000002</v>
      </c>
      <c r="H1655">
        <v>1.3347420000000001</v>
      </c>
      <c r="I1655">
        <v>267.64429999999999</v>
      </c>
      <c r="J1655">
        <v>-194.696</v>
      </c>
      <c r="K1655">
        <v>1.099985</v>
      </c>
      <c r="L1655">
        <v>285.8877</v>
      </c>
      <c r="M1655">
        <v>-0.61040740000000004</v>
      </c>
      <c r="N1655">
        <v>0</v>
      </c>
      <c r="O1655">
        <v>-0.79192489999999904</v>
      </c>
      <c r="P1655">
        <v>-0.8139672</v>
      </c>
      <c r="Q1655">
        <v>1.9956720000000001E-2</v>
      </c>
      <c r="R1655">
        <v>-0.58056830000000004</v>
      </c>
      <c r="S1655">
        <v>-3.2234500000000001</v>
      </c>
      <c r="T1655">
        <v>8.7630750000000004E-3</v>
      </c>
      <c r="U1655">
        <v>-0.6879883</v>
      </c>
      <c r="V1655">
        <v>0.2910625</v>
      </c>
      <c r="W1655">
        <v>2.790262E-2</v>
      </c>
      <c r="X1655">
        <v>0.95629699999999995</v>
      </c>
      <c r="Y1655">
        <v>0.64714950000000004</v>
      </c>
      <c r="Z1655">
        <v>-2.7017249999999999E-3</v>
      </c>
      <c r="AA1655">
        <v>0.76235839999999999</v>
      </c>
      <c r="AB1655">
        <v>24</v>
      </c>
      <c r="AC1655">
        <v>-86.188900000000004</v>
      </c>
      <c r="AD1655">
        <v>0.23475699999999999</v>
      </c>
      <c r="AE1655">
        <v>-18.243400000000001</v>
      </c>
      <c r="AF1655">
        <v>57.126186932726498</v>
      </c>
      <c r="AG1655">
        <v>0.23475699999999999</v>
      </c>
      <c r="AH1655">
        <v>67.065912897485006</v>
      </c>
      <c r="AI1655">
        <v>89.847322634529206</v>
      </c>
      <c r="AJ1655">
        <v>49.575919013354302</v>
      </c>
      <c r="AK1655">
        <v>88.098200986710907</v>
      </c>
      <c r="AL1655">
        <v>88.401090027215602</v>
      </c>
      <c r="AM1655">
        <v>73.071632229317203</v>
      </c>
      <c r="AN1655">
        <v>0.99999994365905498</v>
      </c>
    </row>
    <row r="1656" spans="1:40" x14ac:dyDescent="0.25">
      <c r="A1656" t="str">
        <f>"20190312151017366"</f>
        <v>20190312151017366</v>
      </c>
      <c r="B1656" t="str">
        <f>"1552374617362047"</f>
        <v>1552374617362047</v>
      </c>
      <c r="C1656" t="s">
        <v>40</v>
      </c>
      <c r="D1656">
        <v>5.4214349999999998</v>
      </c>
      <c r="E1656">
        <v>0.65062310000000001</v>
      </c>
      <c r="F1656" t="s">
        <v>52</v>
      </c>
      <c r="G1656">
        <v>-219.09309999999999</v>
      </c>
      <c r="H1656" s="1">
        <v>3.3021210000000001E-6</v>
      </c>
      <c r="I1656">
        <v>280.06279999999998</v>
      </c>
      <c r="J1656">
        <v>-194.8569</v>
      </c>
      <c r="K1656">
        <v>1.099993</v>
      </c>
      <c r="L1656">
        <v>285.70870000000002</v>
      </c>
      <c r="M1656">
        <v>-0.62312780000000001</v>
      </c>
      <c r="N1656">
        <v>0</v>
      </c>
      <c r="O1656">
        <v>-0.78195490000000001</v>
      </c>
      <c r="P1656">
        <v>-0.82397540000000002</v>
      </c>
      <c r="Q1656">
        <v>1.9076630000000001E-2</v>
      </c>
      <c r="R1656">
        <v>-0.56630440000000004</v>
      </c>
      <c r="S1656">
        <v>-3.1523279999999998</v>
      </c>
      <c r="T1656">
        <v>-0.14212729999999901</v>
      </c>
      <c r="U1656">
        <v>-0.75262450000000003</v>
      </c>
      <c r="V1656">
        <v>0.29225250000000003</v>
      </c>
      <c r="W1656">
        <v>2.700984E-2</v>
      </c>
      <c r="X1656">
        <v>0.95595969999999997</v>
      </c>
      <c r="Y1656">
        <v>0.61483679999999996</v>
      </c>
      <c r="Z1656">
        <v>4.3665299999999997E-2</v>
      </c>
      <c r="AA1656">
        <v>0.787444699999999</v>
      </c>
      <c r="AB1656">
        <v>24</v>
      </c>
      <c r="AC1656">
        <v>-24.2362</v>
      </c>
      <c r="AD1656">
        <v>-1.099989697879</v>
      </c>
      <c r="AE1656">
        <v>-5.6459000000000401</v>
      </c>
      <c r="AF1656">
        <v>15.405391305102199</v>
      </c>
      <c r="AG1656">
        <v>-1.099989697879</v>
      </c>
      <c r="AH1656">
        <v>19.481545506680199</v>
      </c>
      <c r="AI1656">
        <v>92.535919072842802</v>
      </c>
      <c r="AJ1656">
        <v>51.664165248315001</v>
      </c>
      <c r="AK1656">
        <v>24.860946762495001</v>
      </c>
      <c r="AL1656">
        <v>88.452261939001701</v>
      </c>
      <c r="AM1656">
        <v>73.000751504527599</v>
      </c>
      <c r="AN1656">
        <v>1.0000000016185799</v>
      </c>
    </row>
    <row r="1657" spans="1:40" x14ac:dyDescent="0.25">
      <c r="A1657" t="str">
        <f>"20190312151017390"</f>
        <v>20190312151017390</v>
      </c>
      <c r="B1657" t="str">
        <f>"1552374617382542"</f>
        <v>1552374617382542</v>
      </c>
      <c r="C1657" t="s">
        <v>40</v>
      </c>
      <c r="D1657">
        <v>5.4253109999999998</v>
      </c>
      <c r="E1657">
        <v>0.64828560000000002</v>
      </c>
      <c r="F1657" t="s">
        <v>52</v>
      </c>
      <c r="G1657">
        <v>-218.8596</v>
      </c>
      <c r="H1657" s="1">
        <v>3.177827E-6</v>
      </c>
      <c r="I1657">
        <v>280.33640000000003</v>
      </c>
      <c r="J1657">
        <v>-195.03</v>
      </c>
      <c r="K1657">
        <v>1.1000190000000001</v>
      </c>
      <c r="L1657">
        <v>285.5224</v>
      </c>
      <c r="M1657">
        <v>-0.6364031</v>
      </c>
      <c r="N1657">
        <v>0</v>
      </c>
      <c r="O1657">
        <v>-0.77118929999999997</v>
      </c>
      <c r="P1657">
        <v>-0.83422459999999898</v>
      </c>
      <c r="Q1657">
        <v>1.8606520000000001E-2</v>
      </c>
      <c r="R1657">
        <v>-0.55111129999999997</v>
      </c>
      <c r="S1657">
        <v>-3.1583860000000001</v>
      </c>
      <c r="T1657">
        <v>-0.14474200000000001</v>
      </c>
      <c r="U1657">
        <v>-0.70690920000000002</v>
      </c>
      <c r="V1657">
        <v>0.29342299999999999</v>
      </c>
      <c r="W1657">
        <v>2.6531740000000002E-2</v>
      </c>
      <c r="X1657">
        <v>0.95561450000000003</v>
      </c>
      <c r="Y1657">
        <v>0.61248789999999997</v>
      </c>
      <c r="Z1657">
        <v>4.420396E-2</v>
      </c>
      <c r="AA1657">
        <v>0.78924309999999998</v>
      </c>
      <c r="AB1657">
        <v>24</v>
      </c>
      <c r="AC1657">
        <v>-23.829599999999999</v>
      </c>
      <c r="AD1657">
        <v>-1.1000158221729901</v>
      </c>
      <c r="AE1657">
        <v>-5.1859999999999697</v>
      </c>
      <c r="AF1657">
        <v>15.0480765324534</v>
      </c>
      <c r="AG1657">
        <v>-1.1000158221729901</v>
      </c>
      <c r="AH1657">
        <v>19.128176098229599</v>
      </c>
      <c r="AI1657">
        <v>92.587876800681897</v>
      </c>
      <c r="AJ1657">
        <v>51.8079807140615</v>
      </c>
      <c r="AK1657">
        <v>24.3627125538288</v>
      </c>
      <c r="AL1657">
        <v>88.479664917928602</v>
      </c>
      <c r="AM1657">
        <v>72.930809883100494</v>
      </c>
      <c r="AN1657">
        <v>1.0000000313833299</v>
      </c>
    </row>
    <row r="1658" spans="1:40" x14ac:dyDescent="0.25">
      <c r="A1658" t="str">
        <f>"20190312151017413"</f>
        <v>20190312151017413</v>
      </c>
      <c r="B1658" t="str">
        <f>"1552374617402063"</f>
        <v>1552374617402063</v>
      </c>
      <c r="C1658" t="s">
        <v>40</v>
      </c>
      <c r="D1658">
        <v>5.355194</v>
      </c>
      <c r="E1658">
        <v>0.64477519999999999</v>
      </c>
      <c r="F1658" t="s">
        <v>52</v>
      </c>
      <c r="G1658">
        <v>-224.09520000000001</v>
      </c>
      <c r="H1658">
        <v>8.0000269999999998E-2</v>
      </c>
      <c r="I1658">
        <v>279.40660000000003</v>
      </c>
      <c r="J1658">
        <v>-195.20320000000001</v>
      </c>
      <c r="K1658">
        <v>1.1000559999999999</v>
      </c>
      <c r="L1658">
        <v>285.34230000000002</v>
      </c>
      <c r="M1658">
        <v>-0.64927440000000003</v>
      </c>
      <c r="N1658">
        <v>0</v>
      </c>
      <c r="O1658">
        <v>-0.76038399999999995</v>
      </c>
      <c r="P1658">
        <v>-0.84368469999999995</v>
      </c>
      <c r="Q1658">
        <v>1.7848530000000001E-2</v>
      </c>
      <c r="R1658">
        <v>-0.53654250000000003</v>
      </c>
      <c r="S1658">
        <v>-3.1594389999999999</v>
      </c>
      <c r="T1658">
        <v>-0.11087809999999999</v>
      </c>
      <c r="U1658">
        <v>-0.66479489999999997</v>
      </c>
      <c r="V1658">
        <v>0.29394670000000001</v>
      </c>
      <c r="W1658">
        <v>2.578623E-2</v>
      </c>
      <c r="X1658">
        <v>0.95547400000000005</v>
      </c>
      <c r="Y1658">
        <v>0.60979499999999998</v>
      </c>
      <c r="Z1658">
        <v>3.3691230000000003E-2</v>
      </c>
      <c r="AA1658">
        <v>0.79184270000000001</v>
      </c>
      <c r="AB1658">
        <v>24</v>
      </c>
      <c r="AC1658">
        <v>-28.891999999999999</v>
      </c>
      <c r="AD1658">
        <v>-1.0200557299999999</v>
      </c>
      <c r="AE1658">
        <v>-5.93569999999999</v>
      </c>
      <c r="AF1658">
        <v>18.095819204044201</v>
      </c>
      <c r="AG1658">
        <v>-1.0200557299999999</v>
      </c>
      <c r="AH1658">
        <v>23.247456332266101</v>
      </c>
      <c r="AI1658">
        <v>91.983067499054499</v>
      </c>
      <c r="AJ1658">
        <v>52.1028111485587</v>
      </c>
      <c r="AK1658">
        <v>29.477846126852299</v>
      </c>
      <c r="AL1658">
        <v>88.522394185769301</v>
      </c>
      <c r="AM1658">
        <v>72.899752579200097</v>
      </c>
      <c r="AN1658">
        <v>1.00000007838724</v>
      </c>
    </row>
    <row r="1659" spans="1:40" x14ac:dyDescent="0.25">
      <c r="A1659" t="str">
        <f>"20190312151017434"</f>
        <v>20190312151017434</v>
      </c>
      <c r="B1659" t="str">
        <f>"1552374617422558"</f>
        <v>1552374617422558</v>
      </c>
      <c r="C1659" t="s">
        <v>40</v>
      </c>
      <c r="D1659">
        <v>5.105048</v>
      </c>
      <c r="E1659">
        <v>0.64310349999999905</v>
      </c>
      <c r="F1659" t="s">
        <v>50</v>
      </c>
      <c r="G1659">
        <v>-206.95959999999999</v>
      </c>
      <c r="H1659" s="1">
        <v>5.4449229999999997E-6</v>
      </c>
      <c r="I1659">
        <v>282.99590000000001</v>
      </c>
      <c r="J1659">
        <v>-195.3613</v>
      </c>
      <c r="K1659">
        <v>1.1000909999999999</v>
      </c>
      <c r="L1659">
        <v>285.18290000000002</v>
      </c>
      <c r="M1659">
        <v>-0.66068649999999995</v>
      </c>
      <c r="N1659">
        <v>0</v>
      </c>
      <c r="O1659">
        <v>-0.75048970000000004</v>
      </c>
      <c r="P1659">
        <v>-0.85215370000000001</v>
      </c>
      <c r="Q1659">
        <v>1.87476E-2</v>
      </c>
      <c r="R1659">
        <v>-0.52295599999999998</v>
      </c>
      <c r="S1659">
        <v>-3.1609039999999999</v>
      </c>
      <c r="T1659">
        <v>-0.29576730000000001</v>
      </c>
      <c r="U1659">
        <v>-0.63085939999999996</v>
      </c>
      <c r="V1659">
        <v>0.29482839999999999</v>
      </c>
      <c r="W1659">
        <v>2.6683800000000001E-2</v>
      </c>
      <c r="X1659">
        <v>0.95517750000000001</v>
      </c>
      <c r="Y1659">
        <v>0.60189250000000005</v>
      </c>
      <c r="Z1659">
        <v>8.8949050000000002E-2</v>
      </c>
      <c r="AA1659">
        <v>0.79360790000000003</v>
      </c>
      <c r="AB1659">
        <v>23</v>
      </c>
      <c r="AC1659">
        <v>-11.598299999999901</v>
      </c>
      <c r="AD1659">
        <v>-1.1000855550769999</v>
      </c>
      <c r="AE1659">
        <v>-2.18700000000001</v>
      </c>
      <c r="AF1659">
        <v>7.19789089787814</v>
      </c>
      <c r="AG1659">
        <v>-1.1000855550769999</v>
      </c>
      <c r="AH1659">
        <v>9.2252209124004398</v>
      </c>
      <c r="AI1659">
        <v>95.370935424771602</v>
      </c>
      <c r="AJ1659">
        <v>52.037203137083502</v>
      </c>
      <c r="AK1659">
        <v>11.752638958499301</v>
      </c>
      <c r="AL1659">
        <v>88.4709492866494</v>
      </c>
      <c r="AM1659">
        <v>72.846453914102995</v>
      </c>
      <c r="AN1659">
        <v>0.99999993356762196</v>
      </c>
    </row>
    <row r="1660" spans="1:40" x14ac:dyDescent="0.25">
      <c r="A1660" t="str">
        <f>"20190312151017455"</f>
        <v>20190312151017455</v>
      </c>
      <c r="B1660" t="str">
        <f>"1552374617451838"</f>
        <v>1552374617451838</v>
      </c>
      <c r="C1660" t="s">
        <v>40</v>
      </c>
      <c r="D1660">
        <v>3.5806789999999999</v>
      </c>
      <c r="E1660">
        <v>0.64310310000000004</v>
      </c>
      <c r="F1660" t="s">
        <v>50</v>
      </c>
      <c r="G1660">
        <v>-207.64099999999999</v>
      </c>
      <c r="H1660" s="1">
        <v>5.7564689999999899E-6</v>
      </c>
      <c r="I1660">
        <v>282.88900000000001</v>
      </c>
      <c r="J1660">
        <v>-195.52780000000001</v>
      </c>
      <c r="K1660">
        <v>1.100133</v>
      </c>
      <c r="L1660">
        <v>285.02030000000002</v>
      </c>
      <c r="M1660">
        <v>-0.67236200000000002</v>
      </c>
      <c r="N1660">
        <v>0</v>
      </c>
      <c r="O1660">
        <v>-0.74004759999999903</v>
      </c>
      <c r="P1660">
        <v>-0.86040439999999996</v>
      </c>
      <c r="Q1660">
        <v>2.028516E-2</v>
      </c>
      <c r="R1660">
        <v>-0.5092082</v>
      </c>
      <c r="S1660">
        <v>-3.1640169999999999</v>
      </c>
      <c r="T1660">
        <v>-0.2834508</v>
      </c>
      <c r="U1660">
        <v>-0.59106449999999999</v>
      </c>
      <c r="V1660">
        <v>0.29521009999999998</v>
      </c>
      <c r="W1660">
        <v>2.8234840000000001E-2</v>
      </c>
      <c r="X1660">
        <v>0.95501510000000001</v>
      </c>
      <c r="Y1660">
        <v>0.59961059999999999</v>
      </c>
      <c r="Z1660">
        <v>8.4715319999999997E-2</v>
      </c>
      <c r="AA1660">
        <v>0.79579549999999999</v>
      </c>
      <c r="AB1660">
        <v>23</v>
      </c>
      <c r="AC1660">
        <v>-12.1131999999999</v>
      </c>
      <c r="AD1660">
        <v>-1.1001272435310001</v>
      </c>
      <c r="AE1660">
        <v>-2.1313000000000102</v>
      </c>
      <c r="AF1660">
        <v>7.4725291966156799</v>
      </c>
      <c r="AG1660">
        <v>-1.1001272435310001</v>
      </c>
      <c r="AH1660">
        <v>9.6458044672445702</v>
      </c>
      <c r="AI1660">
        <v>95.1519818850619</v>
      </c>
      <c r="AJ1660">
        <v>52.235336372829899</v>
      </c>
      <c r="AK1660">
        <v>12.2511434717967</v>
      </c>
      <c r="AL1660">
        <v>88.382047851524902</v>
      </c>
      <c r="AM1660">
        <v>72.822803195766198</v>
      </c>
      <c r="AN1660">
        <v>1.0000000252799199</v>
      </c>
    </row>
    <row r="1661" spans="1:40" x14ac:dyDescent="0.25">
      <c r="A1661" t="str">
        <f>"20190312151017479"</f>
        <v>20190312151017479</v>
      </c>
      <c r="B1661" t="str">
        <f>"1552374617472335"</f>
        <v>1552374617472335</v>
      </c>
      <c r="C1661" t="s">
        <v>40</v>
      </c>
      <c r="D1661">
        <v>5.345942</v>
      </c>
      <c r="E1661">
        <v>0.67725619999999997</v>
      </c>
      <c r="F1661" t="s">
        <v>57</v>
      </c>
      <c r="G1661">
        <v>-330.5976</v>
      </c>
      <c r="H1661">
        <v>1.408755</v>
      </c>
      <c r="I1661">
        <v>261.79419999999999</v>
      </c>
      <c r="J1661">
        <v>-195.70849999999999</v>
      </c>
      <c r="K1661">
        <v>1.100174</v>
      </c>
      <c r="L1661">
        <v>284.8494</v>
      </c>
      <c r="M1661">
        <v>-0.68464950000000002</v>
      </c>
      <c r="N1661">
        <v>0</v>
      </c>
      <c r="O1661">
        <v>-0.72869490000000003</v>
      </c>
      <c r="P1661">
        <v>-0.8685619</v>
      </c>
      <c r="Q1661">
        <v>2.056902E-2</v>
      </c>
      <c r="R1661">
        <v>-0.49515379999999998</v>
      </c>
      <c r="S1661">
        <v>-3.16452</v>
      </c>
      <c r="T1661">
        <v>7.2308779999999996E-3</v>
      </c>
      <c r="U1661">
        <v>-0.5441589</v>
      </c>
      <c r="V1661">
        <v>0.29475639999999997</v>
      </c>
      <c r="W1661">
        <v>2.8558010000000002E-2</v>
      </c>
      <c r="X1661">
        <v>0.95514560000000004</v>
      </c>
      <c r="Y1661">
        <v>0.60220280000000004</v>
      </c>
      <c r="Z1661">
        <v>-2.1575380000000001E-3</v>
      </c>
      <c r="AA1661">
        <v>0.79834019999999895</v>
      </c>
      <c r="AB1661">
        <v>23</v>
      </c>
      <c r="AC1661">
        <v>-134.88910000000001</v>
      </c>
      <c r="AD1661">
        <v>0.30858099999999999</v>
      </c>
      <c r="AE1661">
        <v>-23.055199999999999</v>
      </c>
      <c r="AF1661">
        <v>82.518527331260799</v>
      </c>
      <c r="AG1661">
        <v>0.30858099999999999</v>
      </c>
      <c r="AH1661">
        <v>109.165533708746</v>
      </c>
      <c r="AI1661">
        <v>89.870799651293694</v>
      </c>
      <c r="AJ1661">
        <v>52.914265144374902</v>
      </c>
      <c r="AK1661">
        <v>136.84486225309601</v>
      </c>
      <c r="AL1661">
        <v>88.363524073794693</v>
      </c>
      <c r="AM1661">
        <v>72.8498580361032</v>
      </c>
      <c r="AN1661">
        <v>1.0000000062377401</v>
      </c>
    </row>
    <row r="1662" spans="1:40" x14ac:dyDescent="0.25">
      <c r="A1662" t="str">
        <f>"20190312151017499"</f>
        <v>20190312151017499</v>
      </c>
      <c r="B1662" t="str">
        <f>"1552374617491855"</f>
        <v>1552374617491855</v>
      </c>
      <c r="C1662" t="s">
        <v>40</v>
      </c>
      <c r="D1662">
        <v>5.4255680000000002</v>
      </c>
      <c r="E1662">
        <v>0.67658640000000003</v>
      </c>
      <c r="F1662" t="s">
        <v>58</v>
      </c>
      <c r="G1662">
        <v>-458.45</v>
      </c>
      <c r="H1662">
        <v>9.6119719999999997</v>
      </c>
      <c r="I1662">
        <v>264.36070000000001</v>
      </c>
      <c r="J1662">
        <v>-195.87629999999999</v>
      </c>
      <c r="K1662">
        <v>1.100204</v>
      </c>
      <c r="L1662">
        <v>284.69589999999999</v>
      </c>
      <c r="M1662">
        <v>-0.69572080000000003</v>
      </c>
      <c r="N1662">
        <v>0</v>
      </c>
      <c r="O1662">
        <v>-0.71813209999999905</v>
      </c>
      <c r="P1662">
        <v>-0.87584719999999905</v>
      </c>
      <c r="Q1662">
        <v>1.910332E-2</v>
      </c>
      <c r="R1662">
        <v>-0.48221049999999899</v>
      </c>
      <c r="S1662">
        <v>-3.3045499999999999</v>
      </c>
      <c r="T1662">
        <v>0.10705530000000001</v>
      </c>
      <c r="U1662">
        <v>-0.25769039999999999</v>
      </c>
      <c r="V1662">
        <v>0.2942979</v>
      </c>
      <c r="W1662">
        <v>2.7128059999999999E-2</v>
      </c>
      <c r="X1662">
        <v>0.95532859999999997</v>
      </c>
      <c r="Y1662">
        <v>0.66131309999999999</v>
      </c>
      <c r="Z1662">
        <v>-3.1681429999999997E-2</v>
      </c>
      <c r="AA1662">
        <v>0.74944069999999996</v>
      </c>
      <c r="AB1662">
        <v>23</v>
      </c>
      <c r="AC1662">
        <v>-262.57369999999997</v>
      </c>
      <c r="AD1662">
        <v>8.511768</v>
      </c>
      <c r="AE1662">
        <v>-20.335199999999901</v>
      </c>
      <c r="AF1662">
        <v>174.25553632776399</v>
      </c>
      <c r="AG1662">
        <v>8.511768</v>
      </c>
      <c r="AH1662">
        <v>197.10099615246401</v>
      </c>
      <c r="AI1662">
        <v>88.146918096228106</v>
      </c>
      <c r="AJ1662">
        <v>48.520339029717597</v>
      </c>
      <c r="AK1662">
        <v>263.22280452053599</v>
      </c>
      <c r="AL1662">
        <v>88.445485883967507</v>
      </c>
      <c r="AM1662">
        <v>72.878062260675094</v>
      </c>
      <c r="AN1662">
        <v>0.99999995978086498</v>
      </c>
    </row>
    <row r="1663" spans="1:40" x14ac:dyDescent="0.25">
      <c r="A1663" t="str">
        <f>"20190312151017523"</f>
        <v>20190312151017523</v>
      </c>
      <c r="B1663" t="str">
        <f>"1552374617512354"</f>
        <v>1552374617512354</v>
      </c>
      <c r="C1663" t="s">
        <v>40</v>
      </c>
      <c r="D1663">
        <v>5.1106129999999999</v>
      </c>
      <c r="E1663">
        <v>0.67634320000000003</v>
      </c>
      <c r="F1663" t="s">
        <v>59</v>
      </c>
      <c r="G1663">
        <v>-440.6841</v>
      </c>
      <c r="H1663">
        <v>8.2225160000000006</v>
      </c>
      <c r="I1663">
        <v>268.91950000000003</v>
      </c>
      <c r="J1663">
        <v>-196.06469999999999</v>
      </c>
      <c r="K1663">
        <v>1.1002350000000001</v>
      </c>
      <c r="L1663">
        <v>284.52929999999998</v>
      </c>
      <c r="M1663">
        <v>-0.70776930000000005</v>
      </c>
      <c r="N1663">
        <v>0</v>
      </c>
      <c r="O1663">
        <v>-0.70626089999999997</v>
      </c>
      <c r="P1663">
        <v>-0.88329049999999998</v>
      </c>
      <c r="Q1663">
        <v>1.702503E-2</v>
      </c>
      <c r="R1663">
        <v>-0.46851700000000002</v>
      </c>
      <c r="S1663">
        <v>-3.3058619999999999</v>
      </c>
      <c r="T1663">
        <v>9.6179249999999994E-2</v>
      </c>
      <c r="U1663">
        <v>-0.21304319999999999</v>
      </c>
      <c r="V1663">
        <v>0.292985099999999</v>
      </c>
      <c r="W1663">
        <v>2.511124E-2</v>
      </c>
      <c r="X1663">
        <v>0.95578719999999995</v>
      </c>
      <c r="Y1663">
        <v>0.65884880000000001</v>
      </c>
      <c r="Z1663">
        <v>-2.822937E-2</v>
      </c>
      <c r="AA1663">
        <v>0.75174560000000001</v>
      </c>
      <c r="AB1663">
        <v>23</v>
      </c>
      <c r="AC1663">
        <v>-244.61940000000001</v>
      </c>
      <c r="AD1663">
        <v>7.1222810000000001</v>
      </c>
      <c r="AE1663">
        <v>-15.6097999999999</v>
      </c>
      <c r="AF1663">
        <v>161.60142035115101</v>
      </c>
      <c r="AG1663">
        <v>7.1222810000000001</v>
      </c>
      <c r="AH1663">
        <v>184.02709642793599</v>
      </c>
      <c r="AI1663">
        <v>88.334239605222095</v>
      </c>
      <c r="AJ1663">
        <v>48.712361609037302</v>
      </c>
      <c r="AK1663">
        <v>245.013710158941</v>
      </c>
      <c r="AL1663">
        <v>88.561080689065705</v>
      </c>
      <c r="AM1663">
        <v>72.957707443167706</v>
      </c>
      <c r="AN1663">
        <v>1.0000000074400901</v>
      </c>
    </row>
    <row r="1664" spans="1:40" x14ac:dyDescent="0.25">
      <c r="A1664" t="str">
        <f>"20190312151017546"</f>
        <v>20190312151017546</v>
      </c>
      <c r="B1664" t="str">
        <f>"1552374617542607"</f>
        <v>1552374617542607</v>
      </c>
      <c r="C1664" t="s">
        <v>40</v>
      </c>
      <c r="D1664">
        <v>5.5795750000000002</v>
      </c>
      <c r="E1664">
        <v>0.67183909999999902</v>
      </c>
      <c r="F1664" t="s">
        <v>60</v>
      </c>
      <c r="G1664">
        <v>-512.82830000000001</v>
      </c>
      <c r="H1664">
        <v>9.4356100000000005</v>
      </c>
      <c r="I1664">
        <v>268.88679999999999</v>
      </c>
      <c r="J1664">
        <v>-196.2535</v>
      </c>
      <c r="K1664">
        <v>1.100274</v>
      </c>
      <c r="L1664">
        <v>284.36770000000001</v>
      </c>
      <c r="M1664">
        <v>-0.71947779999999995</v>
      </c>
      <c r="N1664">
        <v>0</v>
      </c>
      <c r="O1664">
        <v>-0.69432969999999905</v>
      </c>
      <c r="P1664">
        <v>-0.89023799999999997</v>
      </c>
      <c r="Q1664">
        <v>1.6097650000000002E-2</v>
      </c>
      <c r="R1664">
        <v>-0.4552117</v>
      </c>
      <c r="S1664">
        <v>-3.30809</v>
      </c>
      <c r="T1664">
        <v>8.7050440000000007E-2</v>
      </c>
      <c r="U1664">
        <v>-0.16336059999999999</v>
      </c>
      <c r="V1664">
        <v>0.291332599999999</v>
      </c>
      <c r="W1664">
        <v>2.4253199999999999E-2</v>
      </c>
      <c r="X1664">
        <v>0.95631429999999995</v>
      </c>
      <c r="Y1664">
        <v>0.65765940000000001</v>
      </c>
      <c r="Z1664">
        <v>-2.5340720000000001E-2</v>
      </c>
      <c r="AA1664">
        <v>0.75288909999999998</v>
      </c>
      <c r="AB1664">
        <v>23</v>
      </c>
      <c r="AC1664">
        <v>-316.57479999999998</v>
      </c>
      <c r="AD1664">
        <v>8.3353359999999999</v>
      </c>
      <c r="AE1664">
        <v>-15.4809</v>
      </c>
      <c r="AF1664">
        <v>208.55180685699099</v>
      </c>
      <c r="AG1664">
        <v>8.3353359999999999</v>
      </c>
      <c r="AH1664">
        <v>238.38329321549301</v>
      </c>
      <c r="AI1664">
        <v>88.492522710108901</v>
      </c>
      <c r="AJ1664">
        <v>48.818645620271397</v>
      </c>
      <c r="AK1664">
        <v>316.84369719755</v>
      </c>
      <c r="AL1664">
        <v>88.610257692062703</v>
      </c>
      <c r="AM1664">
        <v>73.057111550372895</v>
      </c>
      <c r="AN1664">
        <v>0.99999997095874404</v>
      </c>
    </row>
    <row r="1665" spans="1:40" x14ac:dyDescent="0.25">
      <c r="A1665" t="str">
        <f>"20190312151017568"</f>
        <v>20190312151017568</v>
      </c>
      <c r="B1665" t="str">
        <f>"1552374617562127"</f>
        <v>1552374617562127</v>
      </c>
      <c r="C1665" t="s">
        <v>40</v>
      </c>
      <c r="D1665">
        <v>5.5958949999999996</v>
      </c>
      <c r="E1665">
        <v>0.66993080000000005</v>
      </c>
      <c r="F1665" t="s">
        <v>50</v>
      </c>
      <c r="G1665">
        <v>-205.91300000000001</v>
      </c>
      <c r="H1665" s="1">
        <v>4.8952000000000002E-6</v>
      </c>
      <c r="I1665">
        <v>283.9751</v>
      </c>
      <c r="J1665">
        <v>-196.43170000000001</v>
      </c>
      <c r="K1665">
        <v>1.1003000000000001</v>
      </c>
      <c r="L1665">
        <v>284.22019999999998</v>
      </c>
      <c r="M1665">
        <v>-0.7302014</v>
      </c>
      <c r="N1665">
        <v>0</v>
      </c>
      <c r="O1665">
        <v>-0.68304299999999996</v>
      </c>
      <c r="P1665">
        <v>-0.89632520000000004</v>
      </c>
      <c r="Q1665">
        <v>1.6032299999999999E-2</v>
      </c>
      <c r="R1665">
        <v>-0.4431079</v>
      </c>
      <c r="S1665">
        <v>-3.3079529999999999</v>
      </c>
      <c r="T1665">
        <v>-0.37679479999999999</v>
      </c>
      <c r="U1665">
        <v>-0.13446040000000001</v>
      </c>
      <c r="V1665">
        <v>0.28939619999999999</v>
      </c>
      <c r="W1665">
        <v>2.426321E-2</v>
      </c>
      <c r="X1665">
        <v>0.95690180000000002</v>
      </c>
      <c r="Y1665">
        <v>0.64507930000000002</v>
      </c>
      <c r="Z1665">
        <v>0.107817899999999</v>
      </c>
      <c r="AA1665">
        <v>0.7564708</v>
      </c>
      <c r="AB1665">
        <v>23</v>
      </c>
      <c r="AC1665">
        <v>-9.4812999999999708</v>
      </c>
      <c r="AD1665">
        <v>-1.1002951048</v>
      </c>
      <c r="AE1665">
        <v>-0.245099999999979</v>
      </c>
      <c r="AF1665">
        <v>6.2143413730200097</v>
      </c>
      <c r="AG1665">
        <v>-1.1002951048</v>
      </c>
      <c r="AH1665">
        <v>6.9974140834676302</v>
      </c>
      <c r="AI1665">
        <v>96.705567938750903</v>
      </c>
      <c r="AJ1665">
        <v>48.392004370323797</v>
      </c>
      <c r="AK1665">
        <v>9.4229768053193403</v>
      </c>
      <c r="AL1665">
        <v>88.609683976379102</v>
      </c>
      <c r="AM1665">
        <v>73.1730872363337</v>
      </c>
      <c r="AN1665">
        <v>0.99999995938859099</v>
      </c>
    </row>
    <row r="1666" spans="1:40" x14ac:dyDescent="0.25">
      <c r="A1666" t="str">
        <f>"20190312151017591"</f>
        <v>20190312151017591</v>
      </c>
      <c r="B1666" t="str">
        <f>"1552374617582623"</f>
        <v>1552374617582623</v>
      </c>
      <c r="C1666" t="s">
        <v>40</v>
      </c>
      <c r="D1666">
        <v>5.5102949999999904</v>
      </c>
      <c r="E1666">
        <v>0.66118569999999999</v>
      </c>
      <c r="F1666" t="s">
        <v>50</v>
      </c>
      <c r="G1666">
        <v>-206.29769999999999</v>
      </c>
      <c r="H1666" s="1">
        <v>5.0711410000000001E-6</v>
      </c>
      <c r="I1666">
        <v>283.91430000000003</v>
      </c>
      <c r="J1666">
        <v>-196.62370000000001</v>
      </c>
      <c r="K1666">
        <v>1.1003400000000001</v>
      </c>
      <c r="L1666">
        <v>284.06619999999998</v>
      </c>
      <c r="M1666">
        <v>-0.74141409999999996</v>
      </c>
      <c r="N1666">
        <v>0</v>
      </c>
      <c r="O1666">
        <v>-0.6708556</v>
      </c>
      <c r="P1666">
        <v>-0.90262410000000004</v>
      </c>
      <c r="Q1666">
        <v>1.6392199999999999E-2</v>
      </c>
      <c r="R1666">
        <v>-0.43011729999999998</v>
      </c>
      <c r="S1666">
        <v>-3.3029630000000001</v>
      </c>
      <c r="T1666">
        <v>-0.36835830000000003</v>
      </c>
      <c r="U1666">
        <v>-0.10238650000000001</v>
      </c>
      <c r="V1666">
        <v>0.28736810000000002</v>
      </c>
      <c r="W1666">
        <v>2.4701770000000001E-2</v>
      </c>
      <c r="X1666">
        <v>0.95750159999999995</v>
      </c>
      <c r="Y1666">
        <v>0.64018419999999998</v>
      </c>
      <c r="Z1666">
        <v>0.1044191</v>
      </c>
      <c r="AA1666">
        <v>0.76109189999999904</v>
      </c>
      <c r="AB1666">
        <v>23</v>
      </c>
      <c r="AC1666">
        <v>-9.6739999999999693</v>
      </c>
      <c r="AD1666">
        <v>-1.1003349288590001</v>
      </c>
      <c r="AE1666">
        <v>-0.15189999999995499</v>
      </c>
      <c r="AF1666">
        <v>6.2966187264413804</v>
      </c>
      <c r="AG1666">
        <v>-1.1003349288590001</v>
      </c>
      <c r="AH1666">
        <v>7.1823846888250902</v>
      </c>
      <c r="AI1666">
        <v>96.571414626726906</v>
      </c>
      <c r="AJ1666">
        <v>48.759757648929103</v>
      </c>
      <c r="AK1666">
        <v>9.6148215875339407</v>
      </c>
      <c r="AL1666">
        <v>88.584548802325003</v>
      </c>
      <c r="AM1666">
        <v>73.294298880041495</v>
      </c>
      <c r="AN1666">
        <v>0.99999995817065002</v>
      </c>
    </row>
    <row r="1667" spans="1:40" x14ac:dyDescent="0.25">
      <c r="A1667" t="str">
        <f>"20190312151017614"</f>
        <v>20190312151017614</v>
      </c>
      <c r="B1667" t="str">
        <f>"1552374617602143"</f>
        <v>1552374617602143</v>
      </c>
      <c r="C1667" t="s">
        <v>40</v>
      </c>
      <c r="D1667">
        <v>5.5777210000000004</v>
      </c>
      <c r="E1667">
        <v>0.65900029999999998</v>
      </c>
      <c r="F1667" t="s">
        <v>60</v>
      </c>
      <c r="G1667">
        <v>-511.07589999999999</v>
      </c>
      <c r="H1667">
        <v>6.7345350000000002</v>
      </c>
      <c r="I1667">
        <v>271.60359999999997</v>
      </c>
      <c r="J1667">
        <v>-196.81649999999999</v>
      </c>
      <c r="K1667">
        <v>1.1003860000000001</v>
      </c>
      <c r="L1667">
        <v>283.91680000000002</v>
      </c>
      <c r="M1667">
        <v>-0.75232639999999995</v>
      </c>
      <c r="N1667">
        <v>0</v>
      </c>
      <c r="O1667">
        <v>-0.65859499999999904</v>
      </c>
      <c r="P1667">
        <v>-0.90867629999999999</v>
      </c>
      <c r="Q1667">
        <v>1.853436E-2</v>
      </c>
      <c r="R1667">
        <v>-0.41709039999999997</v>
      </c>
      <c r="S1667">
        <v>-3.2609859999999999</v>
      </c>
      <c r="T1667">
        <v>5.8429479999999999E-2</v>
      </c>
      <c r="U1667">
        <v>-0.12924189999999999</v>
      </c>
      <c r="V1667">
        <v>0.28544509999999901</v>
      </c>
      <c r="W1667">
        <v>2.6918319999999999E-2</v>
      </c>
      <c r="X1667">
        <v>0.95801700000000001</v>
      </c>
      <c r="Y1667">
        <v>0.62817590000000001</v>
      </c>
      <c r="Z1667">
        <v>-1.6550789999999999E-2</v>
      </c>
      <c r="AA1667">
        <v>0.77789529999999996</v>
      </c>
      <c r="AB1667">
        <v>23</v>
      </c>
      <c r="AC1667">
        <v>-314.25940000000003</v>
      </c>
      <c r="AD1667">
        <v>5.6341489999999999</v>
      </c>
      <c r="AE1667">
        <v>-12.3132</v>
      </c>
      <c r="AF1667">
        <v>197.66815678984401</v>
      </c>
      <c r="AG1667">
        <v>5.6341489999999999</v>
      </c>
      <c r="AH1667">
        <v>244.48809470734801</v>
      </c>
      <c r="AI1667">
        <v>88.973349913150699</v>
      </c>
      <c r="AJ1667">
        <v>51.044527043445299</v>
      </c>
      <c r="AK1667">
        <v>314.45011098309101</v>
      </c>
      <c r="AL1667">
        <v>88.457507610117105</v>
      </c>
      <c r="AM1667">
        <v>73.408358447739204</v>
      </c>
      <c r="AN1667">
        <v>1.0000000366773101</v>
      </c>
    </row>
    <row r="1668" spans="1:40" x14ac:dyDescent="0.25">
      <c r="A1668" t="str">
        <f>"20190312151017636"</f>
        <v>20190312151017636</v>
      </c>
      <c r="B1668" t="str">
        <f>"1552374617632399"</f>
        <v>1552374617632399</v>
      </c>
      <c r="C1668" t="s">
        <v>40</v>
      </c>
      <c r="D1668">
        <v>5.2120480000000002</v>
      </c>
      <c r="E1668">
        <v>0.65509530000000005</v>
      </c>
      <c r="F1668" t="s">
        <v>60</v>
      </c>
      <c r="G1668">
        <v>-512.82780000000002</v>
      </c>
      <c r="H1668">
        <v>7.8585640000000003</v>
      </c>
      <c r="I1668">
        <v>274.37049999999999</v>
      </c>
      <c r="J1668">
        <v>-197.00489999999999</v>
      </c>
      <c r="K1668">
        <v>1.1004210000000001</v>
      </c>
      <c r="L1668">
        <v>283.77550000000002</v>
      </c>
      <c r="M1668">
        <v>-0.76267549999999995</v>
      </c>
      <c r="N1668">
        <v>0</v>
      </c>
      <c r="O1668">
        <v>-0.64658260000000001</v>
      </c>
      <c r="P1668">
        <v>-0.91404490000000005</v>
      </c>
      <c r="Q1668">
        <v>1.910253E-2</v>
      </c>
      <c r="R1668">
        <v>-0.40516360000000001</v>
      </c>
      <c r="S1668">
        <v>-3.2549440000000001</v>
      </c>
      <c r="T1668">
        <v>6.9610599999999995E-2</v>
      </c>
      <c r="U1668">
        <v>-9.8327639999999994E-2</v>
      </c>
      <c r="V1668">
        <v>0.28279280000000001</v>
      </c>
      <c r="W1668">
        <v>2.7579929999999999E-2</v>
      </c>
      <c r="X1668">
        <v>0.95878439999999998</v>
      </c>
      <c r="Y1668">
        <v>0.62307019999999902</v>
      </c>
      <c r="Z1668">
        <v>-1.9521879999999998E-2</v>
      </c>
      <c r="AA1668">
        <v>0.78192229999999996</v>
      </c>
      <c r="AB1668">
        <v>23</v>
      </c>
      <c r="AC1668">
        <v>-315.8229</v>
      </c>
      <c r="AD1668">
        <v>6.7581429999999996</v>
      </c>
      <c r="AE1668">
        <v>-9.4050000000000296</v>
      </c>
      <c r="AF1668">
        <v>196.96784357680599</v>
      </c>
      <c r="AG1668">
        <v>6.7581429999999996</v>
      </c>
      <c r="AH1668">
        <v>246.87029881812299</v>
      </c>
      <c r="AI1668">
        <v>88.774124758683001</v>
      </c>
      <c r="AJ1668">
        <v>51.415047030244899</v>
      </c>
      <c r="AK1668">
        <v>315.890722147161</v>
      </c>
      <c r="AL1668">
        <v>88.419585968165507</v>
      </c>
      <c r="AM1668">
        <v>73.566612468110193</v>
      </c>
      <c r="AN1668">
        <v>0.99999997297700205</v>
      </c>
    </row>
    <row r="1669" spans="1:40" x14ac:dyDescent="0.25">
      <c r="A1669" t="str">
        <f>"20190312151017658"</f>
        <v>20190312151017658</v>
      </c>
      <c r="B1669" t="str">
        <f>"1552374617652895"</f>
        <v>1552374617652895</v>
      </c>
      <c r="C1669" t="s">
        <v>40</v>
      </c>
      <c r="D1669">
        <v>5.6409729999999998</v>
      </c>
      <c r="E1669">
        <v>0.65281619999999996</v>
      </c>
      <c r="F1669" t="s">
        <v>46</v>
      </c>
      <c r="G1669">
        <v>-455.34140000000002</v>
      </c>
      <c r="H1669">
        <v>6.8565550000000002</v>
      </c>
      <c r="I1669">
        <v>277.0616</v>
      </c>
      <c r="J1669">
        <v>-197.19300000000001</v>
      </c>
      <c r="K1669">
        <v>1.100452</v>
      </c>
      <c r="L1669">
        <v>283.63909999999998</v>
      </c>
      <c r="M1669">
        <v>-0.77269679999999996</v>
      </c>
      <c r="N1669">
        <v>0</v>
      </c>
      <c r="O1669">
        <v>-0.63457269999999999</v>
      </c>
      <c r="P1669">
        <v>-0.91915199999999997</v>
      </c>
      <c r="Q1669">
        <v>1.8476590000000001E-2</v>
      </c>
      <c r="R1669">
        <v>-0.39346989999999998</v>
      </c>
      <c r="S1669">
        <v>-3.2432560000000001</v>
      </c>
      <c r="T1669">
        <v>7.2265510000000005E-2</v>
      </c>
      <c r="U1669">
        <v>-8.4289550000000005E-2</v>
      </c>
      <c r="V1669">
        <v>0.280014599999999</v>
      </c>
      <c r="W1669">
        <v>2.7050359999999999E-2</v>
      </c>
      <c r="X1669">
        <v>0.95961459999999998</v>
      </c>
      <c r="Y1669">
        <v>0.61407429999999996</v>
      </c>
      <c r="Z1669">
        <v>-2.0041880000000001E-2</v>
      </c>
      <c r="AA1669">
        <v>0.78899370000000002</v>
      </c>
      <c r="AB1669">
        <v>23</v>
      </c>
      <c r="AC1669">
        <v>-258.14839999999998</v>
      </c>
      <c r="AD1669">
        <v>5.7561029999999898</v>
      </c>
      <c r="AE1669">
        <v>-6.5774999999999801</v>
      </c>
      <c r="AF1669">
        <v>158.673087590145</v>
      </c>
      <c r="AG1669">
        <v>5.7561029999999898</v>
      </c>
      <c r="AH1669">
        <v>203.56938648644601</v>
      </c>
      <c r="AI1669">
        <v>88.722430395558803</v>
      </c>
      <c r="AJ1669">
        <v>52.065204210058099</v>
      </c>
      <c r="AK1669">
        <v>258.16811685722303</v>
      </c>
      <c r="AL1669">
        <v>88.449939523951898</v>
      </c>
      <c r="AM1669">
        <v>73.732806774847802</v>
      </c>
      <c r="AN1669">
        <v>1.0000000393612201</v>
      </c>
    </row>
    <row r="1670" spans="1:40" x14ac:dyDescent="0.25">
      <c r="A1670" t="str">
        <f>"20190312151017680"</f>
        <v>20190312151017680</v>
      </c>
      <c r="B1670" t="str">
        <f>"1552374617672416"</f>
        <v>1552374617672416</v>
      </c>
      <c r="C1670" t="s">
        <v>40</v>
      </c>
      <c r="D1670">
        <v>5.5773849999999996</v>
      </c>
      <c r="E1670">
        <v>0.65131680000000003</v>
      </c>
      <c r="F1670" t="s">
        <v>60</v>
      </c>
      <c r="G1670">
        <v>-511.96120000000002</v>
      </c>
      <c r="H1670">
        <v>7.9165919999999996</v>
      </c>
      <c r="I1670">
        <v>277.84640000000002</v>
      </c>
      <c r="J1670">
        <v>-197.38310000000001</v>
      </c>
      <c r="K1670">
        <v>1.1004830000000001</v>
      </c>
      <c r="L1670">
        <v>283.5061</v>
      </c>
      <c r="M1670">
        <v>-0.78252060000000001</v>
      </c>
      <c r="N1670">
        <v>0</v>
      </c>
      <c r="O1670">
        <v>-0.62241849999999999</v>
      </c>
      <c r="P1670">
        <v>-0.92419669999999998</v>
      </c>
      <c r="Q1670">
        <v>1.778275E-2</v>
      </c>
      <c r="R1670">
        <v>-0.38150309999999998</v>
      </c>
      <c r="S1670">
        <v>-3.2369539999999999</v>
      </c>
      <c r="T1670">
        <v>7.0095299999999999E-2</v>
      </c>
      <c r="U1670">
        <v>-5.9570310000000001E-2</v>
      </c>
      <c r="V1670">
        <v>0.27746320000000002</v>
      </c>
      <c r="W1670">
        <v>2.6444990000000002E-2</v>
      </c>
      <c r="X1670">
        <v>0.96037220000000001</v>
      </c>
      <c r="Y1670">
        <v>0.60772309999999996</v>
      </c>
      <c r="Z1670">
        <v>-1.9215240000000001E-2</v>
      </c>
      <c r="AA1670">
        <v>0.79391650000000002</v>
      </c>
      <c r="AB1670">
        <v>23</v>
      </c>
      <c r="AC1670">
        <v>-314.57810000000001</v>
      </c>
      <c r="AD1670">
        <v>6.8161089999999902</v>
      </c>
      <c r="AE1670">
        <v>-5.6596999999999804</v>
      </c>
      <c r="AF1670">
        <v>191.30518178210301</v>
      </c>
      <c r="AG1670">
        <v>6.8161089999999902</v>
      </c>
      <c r="AH1670">
        <v>249.60145695924001</v>
      </c>
      <c r="AI1670">
        <v>88.758358603987105</v>
      </c>
      <c r="AJ1670">
        <v>52.531908010279601</v>
      </c>
      <c r="AK1670">
        <v>314.55527214586499</v>
      </c>
      <c r="AL1670">
        <v>88.484636968666095</v>
      </c>
      <c r="AM1670">
        <v>73.885351511935994</v>
      </c>
      <c r="AN1670">
        <v>0.99999996369158906</v>
      </c>
    </row>
    <row r="1671" spans="1:40" x14ac:dyDescent="0.25">
      <c r="A1671" t="str">
        <f>"20190312151017701"</f>
        <v>20190312151017701</v>
      </c>
      <c r="B1671" t="str">
        <f>"1552374617692912"</f>
        <v>1552374617692912</v>
      </c>
      <c r="C1671" t="s">
        <v>40</v>
      </c>
      <c r="D1671">
        <v>5.2505639999999998</v>
      </c>
      <c r="E1671">
        <v>0.6492059</v>
      </c>
      <c r="F1671" t="s">
        <v>44</v>
      </c>
      <c r="G1671">
        <v>0</v>
      </c>
      <c r="H1671">
        <v>0</v>
      </c>
      <c r="I1671">
        <v>0</v>
      </c>
      <c r="J1671">
        <v>-197.57069999999999</v>
      </c>
      <c r="K1671">
        <v>1.100503</v>
      </c>
      <c r="L1671">
        <v>283.37900000000002</v>
      </c>
      <c r="M1671">
        <v>-0.79193440000000004</v>
      </c>
      <c r="N1671">
        <v>0</v>
      </c>
      <c r="O1671">
        <v>-0.61039600000000005</v>
      </c>
      <c r="P1671">
        <v>-0.92883059999999995</v>
      </c>
      <c r="Q1671">
        <v>1.695468E-2</v>
      </c>
      <c r="R1671">
        <v>-0.37011670000000002</v>
      </c>
      <c r="S1671">
        <v>-3.2329859999999999</v>
      </c>
      <c r="T1671">
        <v>6.5891859999999997E-2</v>
      </c>
      <c r="U1671">
        <v>-2.8564450000000002E-2</v>
      </c>
      <c r="V1671">
        <v>0.27458519999999997</v>
      </c>
      <c r="W1671">
        <v>2.5713300000000001E-2</v>
      </c>
      <c r="X1671">
        <v>0.96121889999999999</v>
      </c>
      <c r="Y1671">
        <v>0.60321599999999997</v>
      </c>
      <c r="Z1671">
        <v>-1.7856770000000001E-2</v>
      </c>
      <c r="AA1671">
        <v>0.79737799999999903</v>
      </c>
      <c r="AB1671">
        <v>23</v>
      </c>
      <c r="AC1671">
        <v>-3.2329859999999999</v>
      </c>
      <c r="AD1671">
        <v>6.5891859999999997E-2</v>
      </c>
      <c r="AE1671">
        <v>-2.8564450000000002E-2</v>
      </c>
      <c r="AF1671">
        <v>1.95022087504394</v>
      </c>
      <c r="AG1671">
        <v>6.5891859999999997E-2</v>
      </c>
      <c r="AH1671">
        <v>2.5770089008845001</v>
      </c>
      <c r="AI1671">
        <v>88.8319705129814</v>
      </c>
      <c r="AJ1671">
        <v>52.882404508904997</v>
      </c>
      <c r="AK1671">
        <v>3.2324415035556902</v>
      </c>
      <c r="AL1671">
        <v>88.526574022061197</v>
      </c>
      <c r="AM1671">
        <v>74.0572918674455</v>
      </c>
      <c r="AN1671">
        <v>0.99999998978657001</v>
      </c>
    </row>
    <row r="1672" spans="1:40" x14ac:dyDescent="0.25">
      <c r="A1672" t="str">
        <f>"20190312151017725"</f>
        <v>20190312151017725</v>
      </c>
      <c r="B1672" t="str">
        <f>"1552374617722191"</f>
        <v>1552374617722191</v>
      </c>
      <c r="C1672" t="s">
        <v>40</v>
      </c>
      <c r="D1672">
        <v>5.5633179999999998</v>
      </c>
      <c r="E1672">
        <v>0.64699879999999999</v>
      </c>
      <c r="F1672" t="s">
        <v>44</v>
      </c>
      <c r="G1672">
        <v>0</v>
      </c>
      <c r="H1672">
        <v>0</v>
      </c>
      <c r="I1672">
        <v>0</v>
      </c>
      <c r="J1672">
        <v>-197.78229999999999</v>
      </c>
      <c r="K1672">
        <v>1.100536</v>
      </c>
      <c r="L1672">
        <v>283.2407</v>
      </c>
      <c r="M1672">
        <v>-0.80221719999999996</v>
      </c>
      <c r="N1672">
        <v>0</v>
      </c>
      <c r="O1672">
        <v>-0.5968175</v>
      </c>
      <c r="P1672">
        <v>-0.93406990000000001</v>
      </c>
      <c r="Q1672">
        <v>1.715088E-2</v>
      </c>
      <c r="R1672">
        <v>-0.3566782</v>
      </c>
      <c r="S1672">
        <v>-3.226944</v>
      </c>
      <c r="T1672">
        <v>6.1924340000000001E-2</v>
      </c>
      <c r="U1672">
        <v>-4.4860840000000004E-3</v>
      </c>
      <c r="V1672">
        <v>0.27207769999999998</v>
      </c>
      <c r="W1672">
        <v>2.5996439999999999E-2</v>
      </c>
      <c r="X1672">
        <v>0.96192409999999995</v>
      </c>
      <c r="Y1672">
        <v>0.59557069999999901</v>
      </c>
      <c r="Z1672">
        <v>-1.653779E-2</v>
      </c>
      <c r="AA1672">
        <v>0.80313269999999903</v>
      </c>
      <c r="AB1672">
        <v>23</v>
      </c>
      <c r="AC1672">
        <v>-3.226944</v>
      </c>
      <c r="AD1672">
        <v>6.1924340000000001E-2</v>
      </c>
      <c r="AE1672">
        <v>-4.4860840000000004E-3</v>
      </c>
      <c r="AF1672">
        <v>1.92183664695156</v>
      </c>
      <c r="AG1672">
        <v>6.1924340000000001E-2</v>
      </c>
      <c r="AH1672">
        <v>2.59076563836572</v>
      </c>
      <c r="AI1672">
        <v>88.900237951358406</v>
      </c>
      <c r="AJ1672">
        <v>53.431880469667199</v>
      </c>
      <c r="AK1672">
        <v>3.2263535631401301</v>
      </c>
      <c r="AL1672">
        <v>88.510345932687798</v>
      </c>
      <c r="AM1672">
        <v>74.206583963271996</v>
      </c>
      <c r="AN1672">
        <v>1.0000000319453799</v>
      </c>
    </row>
    <row r="1673" spans="1:40" x14ac:dyDescent="0.25">
      <c r="A1673" t="str">
        <f>"20190312151017745"</f>
        <v>20190312151017745</v>
      </c>
      <c r="B1673" t="str">
        <f>"1552374617742687"</f>
        <v>1552374617742687</v>
      </c>
      <c r="C1673" t="s">
        <v>40</v>
      </c>
      <c r="D1673">
        <v>5.5665950000000004</v>
      </c>
      <c r="E1673">
        <v>0.62975309999999995</v>
      </c>
      <c r="F1673" t="s">
        <v>44</v>
      </c>
      <c r="G1673">
        <v>0</v>
      </c>
      <c r="H1673">
        <v>0</v>
      </c>
      <c r="I1673">
        <v>0</v>
      </c>
      <c r="J1673">
        <v>-197.95910000000001</v>
      </c>
      <c r="K1673">
        <v>1.1005659999999999</v>
      </c>
      <c r="L1673">
        <v>283.12889999999999</v>
      </c>
      <c r="M1673">
        <v>-0.81055339999999998</v>
      </c>
      <c r="N1673">
        <v>0</v>
      </c>
      <c r="O1673">
        <v>-0.58544609999999997</v>
      </c>
      <c r="P1673">
        <v>-0.93806230000000002</v>
      </c>
      <c r="Q1673">
        <v>1.7352300000000001E-2</v>
      </c>
      <c r="R1673">
        <v>-0.34603250000000002</v>
      </c>
      <c r="S1673">
        <v>-3.2204899999999999</v>
      </c>
      <c r="T1673">
        <v>6.057858E-2</v>
      </c>
      <c r="U1673">
        <v>2.581787E-2</v>
      </c>
      <c r="V1673">
        <v>0.26945249999999998</v>
      </c>
      <c r="W1673">
        <v>2.628436E-2</v>
      </c>
      <c r="X1673">
        <v>0.96265489999999998</v>
      </c>
      <c r="Y1673">
        <v>0.59180319999999997</v>
      </c>
      <c r="Z1673">
        <v>-1.6008700000000001E-2</v>
      </c>
      <c r="AA1673">
        <v>0.80592350000000001</v>
      </c>
      <c r="AB1673">
        <v>23</v>
      </c>
      <c r="AC1673">
        <v>-3.2204899999999999</v>
      </c>
      <c r="AD1673">
        <v>6.057858E-2</v>
      </c>
      <c r="AE1673">
        <v>2.581787E-2</v>
      </c>
      <c r="AF1673">
        <v>1.9059198523137</v>
      </c>
      <c r="AG1673">
        <v>6.057858E-2</v>
      </c>
      <c r="AH1673">
        <v>2.59467845477737</v>
      </c>
      <c r="AI1673">
        <v>88.9220262304827</v>
      </c>
      <c r="AJ1673">
        <v>53.700874305505103</v>
      </c>
      <c r="AK1673">
        <v>3.2200243060393401</v>
      </c>
      <c r="AL1673">
        <v>88.49384362536</v>
      </c>
      <c r="AM1673">
        <v>74.362769026885104</v>
      </c>
      <c r="AN1673">
        <v>0.99999998691543401</v>
      </c>
    </row>
    <row r="1674" spans="1:40" x14ac:dyDescent="0.25">
      <c r="A1674" t="str">
        <f>"20190312151017768"</f>
        <v>20190312151017768</v>
      </c>
      <c r="B1674" t="str">
        <f>"1552374617762207"</f>
        <v>1552374617762207</v>
      </c>
      <c r="C1674" t="s">
        <v>40</v>
      </c>
      <c r="D1674">
        <v>5.3126899999999999</v>
      </c>
      <c r="E1674">
        <v>0.62896430000000003</v>
      </c>
      <c r="F1674" t="s">
        <v>50</v>
      </c>
      <c r="G1674">
        <v>-209.83439999999999</v>
      </c>
      <c r="H1674" s="1">
        <v>6.7260329999999999E-6</v>
      </c>
      <c r="I1674">
        <v>282.92439999999999</v>
      </c>
      <c r="J1674">
        <v>-198.16329999999999</v>
      </c>
      <c r="K1674">
        <v>1.1005940000000001</v>
      </c>
      <c r="L1674">
        <v>283.00420000000003</v>
      </c>
      <c r="M1674">
        <v>-0.81989480000000003</v>
      </c>
      <c r="N1674">
        <v>0</v>
      </c>
      <c r="O1674">
        <v>-0.57229110000000005</v>
      </c>
      <c r="P1674">
        <v>-0.9426196</v>
      </c>
      <c r="Q1674">
        <v>1.7875189999999999E-2</v>
      </c>
      <c r="R1674">
        <v>-0.33339099999999999</v>
      </c>
      <c r="S1674">
        <v>-3.1833339999999999</v>
      </c>
      <c r="T1674">
        <v>-0.29502030000000001</v>
      </c>
      <c r="U1674">
        <v>-5.4809570000000002E-2</v>
      </c>
      <c r="V1674">
        <v>0.26686330000000003</v>
      </c>
      <c r="W1674">
        <v>2.6894959999999999E-2</v>
      </c>
      <c r="X1674">
        <v>0.96335910000000002</v>
      </c>
      <c r="Y1674">
        <v>0.55359409999999998</v>
      </c>
      <c r="Z1674">
        <v>7.5836730000000005E-2</v>
      </c>
      <c r="AA1674">
        <v>0.82932649999999997</v>
      </c>
      <c r="AB1674">
        <v>23</v>
      </c>
      <c r="AC1674">
        <v>-11.6710999999999</v>
      </c>
      <c r="AD1674">
        <v>-1.100587273967</v>
      </c>
      <c r="AE1674">
        <v>-7.9800000000034205E-2</v>
      </c>
      <c r="AF1674">
        <v>6.5563837261482902</v>
      </c>
      <c r="AG1674">
        <v>-1.100587273967</v>
      </c>
      <c r="AH1674">
        <v>9.5312184400224798</v>
      </c>
      <c r="AI1674">
        <v>95.434564603959203</v>
      </c>
      <c r="AJ1674">
        <v>55.476494492223402</v>
      </c>
      <c r="AK1674">
        <v>11.6207394284333</v>
      </c>
      <c r="AL1674">
        <v>88.458846556570194</v>
      </c>
      <c r="AM1674">
        <v>74.516559813988096</v>
      </c>
      <c r="AN1674">
        <v>1.00000005765654</v>
      </c>
    </row>
    <row r="1675" spans="1:40" x14ac:dyDescent="0.25">
      <c r="A1675" t="str">
        <f>"20190312151017792"</f>
        <v>20190312151017792</v>
      </c>
      <c r="B1675" t="str">
        <f>"1552374617782702"</f>
        <v>1552374617782702</v>
      </c>
      <c r="C1675" t="s">
        <v>40</v>
      </c>
      <c r="D1675">
        <v>5.5809110000000004</v>
      </c>
      <c r="E1675">
        <v>0.62695429999999996</v>
      </c>
      <c r="F1675" t="s">
        <v>50</v>
      </c>
      <c r="G1675">
        <v>-209.5531</v>
      </c>
      <c r="H1675" s="1">
        <v>6.5997020000000002E-6</v>
      </c>
      <c r="I1675">
        <v>282.9427</v>
      </c>
      <c r="J1675">
        <v>-198.37790000000001</v>
      </c>
      <c r="K1675">
        <v>1.1006180000000001</v>
      </c>
      <c r="L1675">
        <v>282.8777</v>
      </c>
      <c r="M1675">
        <v>-0.82938809999999996</v>
      </c>
      <c r="N1675">
        <v>0</v>
      </c>
      <c r="O1675">
        <v>-0.5584441</v>
      </c>
      <c r="P1675">
        <v>-0.94717620000000002</v>
      </c>
      <c r="Q1675">
        <v>1.729116E-2</v>
      </c>
      <c r="R1675">
        <v>-0.32024819999999998</v>
      </c>
      <c r="S1675">
        <v>-3.1823730000000001</v>
      </c>
      <c r="T1675">
        <v>-0.30751109999999998</v>
      </c>
      <c r="U1675">
        <v>-1.7181399999999999E-2</v>
      </c>
      <c r="V1675">
        <v>0.26407520000000001</v>
      </c>
      <c r="W1675">
        <v>2.6404480000000001E-2</v>
      </c>
      <c r="X1675">
        <v>0.96414060000000001</v>
      </c>
      <c r="Y1675">
        <v>0.54911690000000002</v>
      </c>
      <c r="Z1675">
        <v>7.7777520000000003E-2</v>
      </c>
      <c r="AA1675">
        <v>0.83211859999999904</v>
      </c>
      <c r="AB1675">
        <v>23</v>
      </c>
      <c r="AC1675">
        <v>-11.175199999999901</v>
      </c>
      <c r="AD1675">
        <v>-1.1006114002980001</v>
      </c>
      <c r="AE1675">
        <v>6.4999999999997699E-2</v>
      </c>
      <c r="AF1675">
        <v>6.2349641260232396</v>
      </c>
      <c r="AG1675">
        <v>-1.1006114002980001</v>
      </c>
      <c r="AH1675">
        <v>9.1447607348447697</v>
      </c>
      <c r="AI1675">
        <v>95.678853537888699</v>
      </c>
      <c r="AJ1675">
        <v>55.713550783610401</v>
      </c>
      <c r="AK1675">
        <v>11.122624330832201</v>
      </c>
      <c r="AL1675">
        <v>88.486958889828699</v>
      </c>
      <c r="AM1675">
        <v>74.682520269714104</v>
      </c>
      <c r="AN1675">
        <v>1.0000000021937301</v>
      </c>
    </row>
    <row r="1676" spans="1:40" x14ac:dyDescent="0.25">
      <c r="A1676" t="str">
        <f>"20190312151017814"</f>
        <v>20190312151017814</v>
      </c>
      <c r="B1676" t="str">
        <f>"1552374617802222"</f>
        <v>1552374617802222</v>
      </c>
      <c r="C1676" t="s">
        <v>40</v>
      </c>
      <c r="D1676">
        <v>5.6876069999999999</v>
      </c>
      <c r="E1676">
        <v>0.6209751</v>
      </c>
      <c r="F1676" t="s">
        <v>50</v>
      </c>
      <c r="G1676">
        <v>-208.7448</v>
      </c>
      <c r="H1676" s="1">
        <v>6.2433279999999999E-6</v>
      </c>
      <c r="I1676">
        <v>282.91879999999998</v>
      </c>
      <c r="J1676">
        <v>-198.58529999999999</v>
      </c>
      <c r="K1676">
        <v>1.1006499999999999</v>
      </c>
      <c r="L1676">
        <v>282.76</v>
      </c>
      <c r="M1676">
        <v>-0.83824880000000002</v>
      </c>
      <c r="N1676">
        <v>0</v>
      </c>
      <c r="O1676">
        <v>-0.54505409999999999</v>
      </c>
      <c r="P1676">
        <v>-0.9513182</v>
      </c>
      <c r="Q1676">
        <v>1.386244E-2</v>
      </c>
      <c r="R1676">
        <v>-0.30789919999999998</v>
      </c>
      <c r="S1676">
        <v>-3.1777340000000001</v>
      </c>
      <c r="T1676">
        <v>-0.33736919999999998</v>
      </c>
      <c r="U1676">
        <v>1.260376E-2</v>
      </c>
      <c r="V1676">
        <v>0.26108009999999998</v>
      </c>
      <c r="W1676">
        <v>2.3075740000000001E-2</v>
      </c>
      <c r="X1676">
        <v>0.96504129999999999</v>
      </c>
      <c r="Y1676">
        <v>0.54259849999999998</v>
      </c>
      <c r="Z1676">
        <v>8.3905309999999997E-2</v>
      </c>
      <c r="AA1676">
        <v>0.83579110000000001</v>
      </c>
      <c r="AB1676">
        <v>23</v>
      </c>
      <c r="AC1676">
        <v>-10.1595</v>
      </c>
      <c r="AD1676">
        <v>-1.100643756672</v>
      </c>
      <c r="AE1676">
        <v>0.15879999999998501</v>
      </c>
      <c r="AF1676">
        <v>5.6055392151436703</v>
      </c>
      <c r="AG1676">
        <v>-1.100643756672</v>
      </c>
      <c r="AH1676">
        <v>8.3329311098317298</v>
      </c>
      <c r="AI1676">
        <v>96.254326663963298</v>
      </c>
      <c r="AJ1676">
        <v>56.071389797441597</v>
      </c>
      <c r="AK1676">
        <v>10.103030607338299</v>
      </c>
      <c r="AL1676">
        <v>88.677740135466905</v>
      </c>
      <c r="AM1676">
        <v>74.861711560855994</v>
      </c>
      <c r="AN1676">
        <v>1.0000000095491199</v>
      </c>
    </row>
    <row r="1677" spans="1:40" x14ac:dyDescent="0.25">
      <c r="A1677" t="str">
        <f>"20190312151017834"</f>
        <v>20190312151017834</v>
      </c>
      <c r="B1677" t="str">
        <f>"1552374617832479"</f>
        <v>1552374617832479</v>
      </c>
      <c r="C1677" t="s">
        <v>40</v>
      </c>
      <c r="D1677">
        <v>5.7737769999999999</v>
      </c>
      <c r="E1677">
        <v>0.61865329999999996</v>
      </c>
      <c r="F1677" t="s">
        <v>52</v>
      </c>
      <c r="G1677">
        <v>-374.6121</v>
      </c>
      <c r="H1677" s="1">
        <v>9.1754110000000002E-7</v>
      </c>
      <c r="I1677">
        <v>282.59989999999999</v>
      </c>
      <c r="J1677">
        <v>-198.77109999999999</v>
      </c>
      <c r="K1677">
        <v>1.100681</v>
      </c>
      <c r="L1677">
        <v>282.65839999999997</v>
      </c>
      <c r="M1677">
        <v>-0.84592339999999999</v>
      </c>
      <c r="N1677">
        <v>0</v>
      </c>
      <c r="O1677">
        <v>-0.53306540000000002</v>
      </c>
      <c r="P1677">
        <v>-0.95468160000000002</v>
      </c>
      <c r="Q1677">
        <v>1.214812E-2</v>
      </c>
      <c r="R1677">
        <v>-0.29738140000000002</v>
      </c>
      <c r="S1677">
        <v>-3.1528779999999998</v>
      </c>
      <c r="T1677">
        <v>-1.9714120000000002E-2</v>
      </c>
      <c r="U1677">
        <v>-2.8686520000000002E-3</v>
      </c>
      <c r="V1677">
        <v>0.25795970000000001</v>
      </c>
      <c r="W1677">
        <v>2.1466820000000001E-2</v>
      </c>
      <c r="X1677">
        <v>0.96591720000000003</v>
      </c>
      <c r="Y1677">
        <v>0.53234349999999997</v>
      </c>
      <c r="Z1677">
        <v>4.8585770000000002E-3</v>
      </c>
      <c r="AA1677">
        <v>0.84651449999999995</v>
      </c>
      <c r="AB1677">
        <v>23</v>
      </c>
      <c r="AC1677">
        <v>-175.84099999999901</v>
      </c>
      <c r="AD1677">
        <v>-1.10068008245889</v>
      </c>
      <c r="AE1677">
        <v>-5.8499999999980901E-2</v>
      </c>
      <c r="AF1677">
        <v>93.693536986114395</v>
      </c>
      <c r="AG1677">
        <v>-1.10068008245889</v>
      </c>
      <c r="AH1677">
        <v>148.792335082797</v>
      </c>
      <c r="AI1677">
        <v>90.358653368996698</v>
      </c>
      <c r="AJ1677">
        <v>57.801653603806301</v>
      </c>
      <c r="AK1677">
        <v>175.837565238499</v>
      </c>
      <c r="AL1677">
        <v>88.769947371154998</v>
      </c>
      <c r="AM1677">
        <v>75.047442157629206</v>
      </c>
      <c r="AN1677">
        <v>1.0000000342204201</v>
      </c>
    </row>
    <row r="1678" spans="1:40" x14ac:dyDescent="0.25">
      <c r="A1678" t="str">
        <f>"20190312151017856"</f>
        <v>20190312151017856</v>
      </c>
      <c r="B1678" t="str">
        <f>"1552374617852975"</f>
        <v>1552374617852975</v>
      </c>
      <c r="C1678" t="s">
        <v>40</v>
      </c>
      <c r="D1678">
        <v>5.9406499999999998</v>
      </c>
      <c r="E1678">
        <v>0.6145813</v>
      </c>
      <c r="F1678" t="s">
        <v>61</v>
      </c>
      <c r="G1678">
        <v>-299.96089999999998</v>
      </c>
      <c r="H1678" s="1">
        <v>4.1017019999999997E-6</v>
      </c>
      <c r="I1678">
        <v>283.12740000000002</v>
      </c>
      <c r="J1678">
        <v>-198.97649999999999</v>
      </c>
      <c r="K1678">
        <v>1.1007439999999999</v>
      </c>
      <c r="L1678">
        <v>282.54989999999998</v>
      </c>
      <c r="M1678">
        <v>-0.85412569999999999</v>
      </c>
      <c r="N1678">
        <v>0</v>
      </c>
      <c r="O1678">
        <v>-0.51982200000000001</v>
      </c>
      <c r="P1678">
        <v>-0.9583585</v>
      </c>
      <c r="Q1678">
        <v>1.239993E-2</v>
      </c>
      <c r="R1678">
        <v>-0.28529949999999998</v>
      </c>
      <c r="S1678">
        <v>-3.1474000000000002</v>
      </c>
      <c r="T1678">
        <v>-3.4235359999999999E-2</v>
      </c>
      <c r="U1678">
        <v>1.45874E-2</v>
      </c>
      <c r="V1678">
        <v>0.25511089999999997</v>
      </c>
      <c r="W1678">
        <v>2.1821500000000001E-2</v>
      </c>
      <c r="X1678">
        <v>0.96666560000000001</v>
      </c>
      <c r="Y1678">
        <v>0.52378230000000003</v>
      </c>
      <c r="Z1678">
        <v>8.2828050000000007E-3</v>
      </c>
      <c r="AA1678">
        <v>0.85181189999999996</v>
      </c>
      <c r="AB1678">
        <v>23</v>
      </c>
      <c r="AC1678">
        <v>-100.98439999999999</v>
      </c>
      <c r="AD1678">
        <v>-1.1007398982979999</v>
      </c>
      <c r="AE1678">
        <v>0.57750000000004298</v>
      </c>
      <c r="AF1678">
        <v>52.987615644639703</v>
      </c>
      <c r="AG1678">
        <v>-1.1007398982979999</v>
      </c>
      <c r="AH1678">
        <v>85.953896438989105</v>
      </c>
      <c r="AI1678">
        <v>90.624568881805899</v>
      </c>
      <c r="AJ1678">
        <v>58.347598264122297</v>
      </c>
      <c r="AK1678">
        <v>100.98005423385401</v>
      </c>
      <c r="AL1678">
        <v>88.749620982308997</v>
      </c>
      <c r="AM1678">
        <v>75.216243900564294</v>
      </c>
      <c r="AN1678">
        <v>1.0000000656921999</v>
      </c>
    </row>
    <row r="1679" spans="1:40" x14ac:dyDescent="0.25">
      <c r="A1679" t="str">
        <f>"20190312151017880"</f>
        <v>20190312151017880</v>
      </c>
      <c r="B1679" t="str">
        <f>"1552374617872495"</f>
        <v>1552374617872495</v>
      </c>
      <c r="C1679" t="s">
        <v>40</v>
      </c>
      <c r="D1679">
        <v>5.6722359999999998</v>
      </c>
      <c r="E1679">
        <v>0.6061069</v>
      </c>
      <c r="F1679" t="s">
        <v>50</v>
      </c>
      <c r="G1679">
        <v>-206.92590000000001</v>
      </c>
      <c r="H1679" s="1">
        <v>5.4608500000000004E-6</v>
      </c>
      <c r="I1679">
        <v>282.64330000000001</v>
      </c>
      <c r="J1679">
        <v>-199.18940000000001</v>
      </c>
      <c r="K1679">
        <v>1.10084</v>
      </c>
      <c r="L1679">
        <v>282.44170000000003</v>
      </c>
      <c r="M1679">
        <v>-0.86230289999999998</v>
      </c>
      <c r="N1679">
        <v>0</v>
      </c>
      <c r="O1679">
        <v>-0.50614250000000005</v>
      </c>
      <c r="P1679">
        <v>-0.96194550000000001</v>
      </c>
      <c r="Q1679">
        <v>1.330277E-2</v>
      </c>
      <c r="R1679">
        <v>-0.2729183</v>
      </c>
      <c r="S1679">
        <v>-3.1470030000000002</v>
      </c>
      <c r="T1679">
        <v>-0.4357549</v>
      </c>
      <c r="U1679">
        <v>3.6987300000000001E-2</v>
      </c>
      <c r="V1679">
        <v>0.25217679999999998</v>
      </c>
      <c r="W1679">
        <v>2.2835000000000001E-2</v>
      </c>
      <c r="X1679">
        <v>0.96741169999999999</v>
      </c>
      <c r="Y1679">
        <v>0.50698559999999904</v>
      </c>
      <c r="Z1679">
        <v>0.10215340000000001</v>
      </c>
      <c r="AA1679">
        <v>0.85587979999999997</v>
      </c>
      <c r="AB1679">
        <v>23</v>
      </c>
      <c r="AC1679">
        <v>-7.7365000000000004</v>
      </c>
      <c r="AD1679">
        <v>-1.1008345391500001</v>
      </c>
      <c r="AE1679">
        <v>0.20159999999998399</v>
      </c>
      <c r="AF1679">
        <v>4.0090157222493703</v>
      </c>
      <c r="AG1679">
        <v>-1.1008345391500001</v>
      </c>
      <c r="AH1679">
        <v>6.4397062253348398</v>
      </c>
      <c r="AI1679">
        <v>98.257162525608294</v>
      </c>
      <c r="AJ1679">
        <v>58.095821505815699</v>
      </c>
      <c r="AK1679">
        <v>7.6651066536901196</v>
      </c>
      <c r="AL1679">
        <v>88.691537126793705</v>
      </c>
      <c r="AM1679">
        <v>75.389743926804002</v>
      </c>
      <c r="AN1679">
        <v>0.99999998649006405</v>
      </c>
    </row>
    <row r="1680" spans="1:40" x14ac:dyDescent="0.25">
      <c r="A1680" t="str">
        <f>"20190312151017902"</f>
        <v>20190312151017902</v>
      </c>
      <c r="B1680" t="str">
        <f>"1552374617892015"</f>
        <v>1552374617892015</v>
      </c>
      <c r="C1680" t="s">
        <v>40</v>
      </c>
      <c r="D1680">
        <v>5.5584910000000001</v>
      </c>
      <c r="E1680">
        <v>0.60475970000000001</v>
      </c>
      <c r="F1680" t="s">
        <v>52</v>
      </c>
      <c r="G1680">
        <v>-255.25559999999999</v>
      </c>
      <c r="H1680" s="1">
        <v>1.260001E-6</v>
      </c>
      <c r="I1680">
        <v>282.43290000000002</v>
      </c>
      <c r="J1680">
        <v>-199.40309999999999</v>
      </c>
      <c r="K1680">
        <v>1.100946</v>
      </c>
      <c r="L1680">
        <v>282.3374</v>
      </c>
      <c r="M1680">
        <v>-0.87017369999999905</v>
      </c>
      <c r="N1680">
        <v>0</v>
      </c>
      <c r="O1680">
        <v>-0.4924885</v>
      </c>
      <c r="P1680">
        <v>-0.9651362</v>
      </c>
      <c r="Q1680">
        <v>1.4151739999999999E-2</v>
      </c>
      <c r="R1680">
        <v>-0.26136579999999998</v>
      </c>
      <c r="S1680">
        <v>-3.1193849999999999</v>
      </c>
      <c r="T1680">
        <v>-6.1247940000000001E-2</v>
      </c>
      <c r="U1680">
        <v>-4.8828130000000002E-4</v>
      </c>
      <c r="V1680">
        <v>0.2485328</v>
      </c>
      <c r="W1680">
        <v>2.3819880000000002E-2</v>
      </c>
      <c r="X1680">
        <v>0.96833060000000004</v>
      </c>
      <c r="Y1680">
        <v>0.49223139999999999</v>
      </c>
      <c r="Z1680">
        <v>1.416658E-2</v>
      </c>
      <c r="AA1680">
        <v>0.87034909999999999</v>
      </c>
      <c r="AB1680">
        <v>23</v>
      </c>
      <c r="AC1680">
        <v>-55.8524999999999</v>
      </c>
      <c r="AD1680">
        <v>-1.100944739999</v>
      </c>
      <c r="AE1680">
        <v>9.5500000000015406E-2</v>
      </c>
      <c r="AF1680">
        <v>27.582586520166299</v>
      </c>
      <c r="AG1680">
        <v>-1.100944739999</v>
      </c>
      <c r="AH1680">
        <v>48.541621839792398</v>
      </c>
      <c r="AI1680">
        <v>91.129684916995302</v>
      </c>
      <c r="AJ1680">
        <v>60.393658030433002</v>
      </c>
      <c r="AK1680">
        <v>55.841742534598602</v>
      </c>
      <c r="AL1680">
        <v>88.635092376602401</v>
      </c>
      <c r="AM1680">
        <v>75.605120405607906</v>
      </c>
      <c r="AN1680">
        <v>1.0000000451277</v>
      </c>
    </row>
    <row r="1681" spans="1:40" x14ac:dyDescent="0.25">
      <c r="A1681" t="str">
        <f>"20190312151017925"</f>
        <v>20190312151017925</v>
      </c>
      <c r="B1681" t="str">
        <f>"1552374617912514"</f>
        <v>1552374617912514</v>
      </c>
      <c r="C1681" t="s">
        <v>40</v>
      </c>
      <c r="D1681">
        <v>5.546106</v>
      </c>
      <c r="E1681">
        <v>0.60329409999999895</v>
      </c>
      <c r="F1681" t="s">
        <v>52</v>
      </c>
      <c r="G1681">
        <v>-256.62819999999999</v>
      </c>
      <c r="H1681" s="1">
        <v>1.9903989999999998E-6</v>
      </c>
      <c r="I1681">
        <v>282.82100000000003</v>
      </c>
      <c r="J1681">
        <v>-199.60919999999999</v>
      </c>
      <c r="K1681">
        <v>1.1010530000000001</v>
      </c>
      <c r="L1681">
        <v>282.2405</v>
      </c>
      <c r="M1681">
        <v>-0.87746539999999995</v>
      </c>
      <c r="N1681">
        <v>0</v>
      </c>
      <c r="O1681">
        <v>-0.47937770000000002</v>
      </c>
      <c r="P1681">
        <v>-0.96783140000000001</v>
      </c>
      <c r="Q1681">
        <v>1.4941009999999999E-2</v>
      </c>
      <c r="R1681">
        <v>-0.25115670000000001</v>
      </c>
      <c r="S1681">
        <v>-3.1163789999999998</v>
      </c>
      <c r="T1681">
        <v>-5.9955479999999998E-2</v>
      </c>
      <c r="U1681">
        <v>2.633667E-2</v>
      </c>
      <c r="V1681">
        <v>0.2442356</v>
      </c>
      <c r="W1681">
        <v>2.4759920000000001E-2</v>
      </c>
      <c r="X1681">
        <v>0.96939980000000003</v>
      </c>
      <c r="Y1681">
        <v>0.48666389999999998</v>
      </c>
      <c r="Z1681">
        <v>1.3607660000000001E-2</v>
      </c>
      <c r="AA1681">
        <v>0.87348329999999996</v>
      </c>
      <c r="AB1681">
        <v>23</v>
      </c>
      <c r="AC1681">
        <v>-57.018999999999998</v>
      </c>
      <c r="AD1681">
        <v>-1.101051009601</v>
      </c>
      <c r="AE1681">
        <v>0.58049999999997204</v>
      </c>
      <c r="AF1681">
        <v>27.836128938043501</v>
      </c>
      <c r="AG1681">
        <v>-1.101051009601</v>
      </c>
      <c r="AH1681">
        <v>49.741632418845498</v>
      </c>
      <c r="AI1681">
        <v>91.106613230164697</v>
      </c>
      <c r="AJ1681">
        <v>60.767999534894599</v>
      </c>
      <c r="AK1681">
        <v>57.011335568224297</v>
      </c>
      <c r="AL1681">
        <v>88.581216131071002</v>
      </c>
      <c r="AM1681">
        <v>75.8589103445982</v>
      </c>
      <c r="AN1681">
        <v>1.0000000270928999</v>
      </c>
    </row>
    <row r="1682" spans="1:40" x14ac:dyDescent="0.25">
      <c r="A1682" t="str">
        <f>"20190312151017946"</f>
        <v>20190312151017946</v>
      </c>
      <c r="B1682" t="str">
        <f>"1552374617942767"</f>
        <v>1552374617942767</v>
      </c>
      <c r="C1682" t="s">
        <v>40</v>
      </c>
      <c r="D1682">
        <v>5.5871500000000003</v>
      </c>
      <c r="E1682">
        <v>0.60144169999999997</v>
      </c>
      <c r="F1682" t="s">
        <v>52</v>
      </c>
      <c r="G1682">
        <v>-256.57810000000001</v>
      </c>
      <c r="H1682" s="1">
        <v>1.963757E-6</v>
      </c>
      <c r="I1682">
        <v>283.12009999999998</v>
      </c>
      <c r="J1682">
        <v>-199.81469999999999</v>
      </c>
      <c r="K1682">
        <v>1.1011629999999999</v>
      </c>
      <c r="L1682">
        <v>282.14749999999998</v>
      </c>
      <c r="M1682">
        <v>-0.88443959999999999</v>
      </c>
      <c r="N1682">
        <v>0</v>
      </c>
      <c r="O1682">
        <v>-0.46638600000000002</v>
      </c>
      <c r="P1682">
        <v>-0.97049589999999997</v>
      </c>
      <c r="Q1682">
        <v>1.5364010000000001E-2</v>
      </c>
      <c r="R1682">
        <v>-0.24062810000000001</v>
      </c>
      <c r="S1682">
        <v>-3.1131129999999998</v>
      </c>
      <c r="T1682">
        <v>-6.0167789999999999E-2</v>
      </c>
      <c r="U1682">
        <v>4.8065190000000001E-2</v>
      </c>
      <c r="V1682">
        <v>0.2404674</v>
      </c>
      <c r="W1682">
        <v>2.5319560000000001E-2</v>
      </c>
      <c r="X1682">
        <v>0.97032700000000005</v>
      </c>
      <c r="Y1682">
        <v>0.47987269999999999</v>
      </c>
      <c r="Z1682">
        <v>1.338226E-2</v>
      </c>
      <c r="AA1682">
        <v>0.87723609999999896</v>
      </c>
      <c r="AB1682">
        <v>23</v>
      </c>
      <c r="AC1682">
        <v>-56.763399999999997</v>
      </c>
      <c r="AD1682">
        <v>-1.101161036243</v>
      </c>
      <c r="AE1682">
        <v>0.97260000000000002</v>
      </c>
      <c r="AF1682">
        <v>27.327007014657799</v>
      </c>
      <c r="AG1682">
        <v>-1.101161036243</v>
      </c>
      <c r="AH1682">
        <v>49.737716820819799</v>
      </c>
      <c r="AI1682">
        <v>91.111604225006801</v>
      </c>
      <c r="AJ1682">
        <v>61.214628273906698</v>
      </c>
      <c r="AK1682">
        <v>56.761063613668902</v>
      </c>
      <c r="AL1682">
        <v>88.549141125006201</v>
      </c>
      <c r="AM1682">
        <v>76.081320590901598</v>
      </c>
      <c r="AN1682">
        <v>1.00000006875517</v>
      </c>
    </row>
    <row r="1683" spans="1:40" x14ac:dyDescent="0.25">
      <c r="A1683" t="str">
        <f>"20190312151017968"</f>
        <v>20190312151017968</v>
      </c>
      <c r="B1683" t="str">
        <f>"1552374617962287"</f>
        <v>1552374617962287</v>
      </c>
      <c r="C1683" t="s">
        <v>40</v>
      </c>
      <c r="D1683">
        <v>5.5915999999999997</v>
      </c>
      <c r="E1683">
        <v>0.59976300000000005</v>
      </c>
      <c r="F1683" t="s">
        <v>52</v>
      </c>
      <c r="G1683">
        <v>-261.48489999999998</v>
      </c>
      <c r="H1683" s="1">
        <v>-7.4661969999999997E-7</v>
      </c>
      <c r="I1683">
        <v>283.48540000000003</v>
      </c>
      <c r="J1683">
        <v>-200.02070000000001</v>
      </c>
      <c r="K1683">
        <v>1.101294</v>
      </c>
      <c r="L1683">
        <v>282.05770000000001</v>
      </c>
      <c r="M1683">
        <v>-0.8911287</v>
      </c>
      <c r="N1683">
        <v>0</v>
      </c>
      <c r="O1683">
        <v>-0.45347569999999998</v>
      </c>
      <c r="P1683">
        <v>-0.97305819999999998</v>
      </c>
      <c r="Q1683">
        <v>1.5959810000000001E-2</v>
      </c>
      <c r="R1683">
        <v>-0.23000719999999999</v>
      </c>
      <c r="S1683">
        <v>-3.1087950000000002</v>
      </c>
      <c r="T1683">
        <v>-5.550969E-2</v>
      </c>
      <c r="U1683">
        <v>6.744385E-2</v>
      </c>
      <c r="V1683">
        <v>0.23696020000000001</v>
      </c>
      <c r="W1683">
        <v>2.604745E-2</v>
      </c>
      <c r="X1683">
        <v>0.97117010000000004</v>
      </c>
      <c r="Y1683">
        <v>0.47261229999999999</v>
      </c>
      <c r="Z1683">
        <v>1.2092240000000001E-2</v>
      </c>
      <c r="AA1683">
        <v>0.88118750000000001</v>
      </c>
      <c r="AB1683">
        <v>23</v>
      </c>
      <c r="AC1683">
        <v>-61.464199999999899</v>
      </c>
      <c r="AD1683">
        <v>-1.1012947466196901</v>
      </c>
      <c r="AE1683">
        <v>1.42770000000001</v>
      </c>
      <c r="AF1683">
        <v>29.139071191756798</v>
      </c>
      <c r="AG1683">
        <v>-1.1012947466196901</v>
      </c>
      <c r="AH1683">
        <v>54.114473163603101</v>
      </c>
      <c r="AI1683">
        <v>91.026549019608694</v>
      </c>
      <c r="AJ1683">
        <v>61.698826677056502</v>
      </c>
      <c r="AK1683">
        <v>61.470924230985297</v>
      </c>
      <c r="AL1683">
        <v>88.507422214333204</v>
      </c>
      <c r="AM1683">
        <v>76.288058499254404</v>
      </c>
      <c r="AN1683">
        <v>0.99999998458477601</v>
      </c>
    </row>
    <row r="1684" spans="1:40" x14ac:dyDescent="0.25">
      <c r="A1684" t="str">
        <f>"20190312151017993"</f>
        <v>20190312151017993</v>
      </c>
      <c r="B1684" t="str">
        <f>"1552374617982783"</f>
        <v>1552374617982783</v>
      </c>
      <c r="C1684" t="s">
        <v>40</v>
      </c>
      <c r="D1684">
        <v>5.5636650000000003</v>
      </c>
      <c r="E1684">
        <v>0.59827569999999997</v>
      </c>
      <c r="F1684" t="s">
        <v>52</v>
      </c>
      <c r="G1684">
        <v>-262.83249999999998</v>
      </c>
      <c r="H1684" s="1">
        <v>-2.9494090000000001E-8</v>
      </c>
      <c r="I1684">
        <v>283.84309999999999</v>
      </c>
      <c r="J1684">
        <v>-200.2594</v>
      </c>
      <c r="K1684">
        <v>1.101464</v>
      </c>
      <c r="L1684">
        <v>281.95769999999999</v>
      </c>
      <c r="M1684">
        <v>-0.89849950000000001</v>
      </c>
      <c r="N1684">
        <v>0</v>
      </c>
      <c r="O1684">
        <v>-0.43869130000000001</v>
      </c>
      <c r="P1684">
        <v>-0.97595449999999995</v>
      </c>
      <c r="Q1684">
        <v>1.5992309999999999E-2</v>
      </c>
      <c r="R1684">
        <v>-0.21738689999999999</v>
      </c>
      <c r="S1684">
        <v>-3.1048429999999998</v>
      </c>
      <c r="T1684">
        <v>-5.4437989999999999E-2</v>
      </c>
      <c r="U1684">
        <v>8.8256840000000003E-2</v>
      </c>
      <c r="V1684">
        <v>0.2334784</v>
      </c>
      <c r="W1684">
        <v>2.6220960000000001E-2</v>
      </c>
      <c r="X1684">
        <v>0.97200839999999999</v>
      </c>
      <c r="Y1684">
        <v>0.4639664</v>
      </c>
      <c r="Z1684">
        <v>1.156342E-2</v>
      </c>
      <c r="AA1684">
        <v>0.88577739999999905</v>
      </c>
      <c r="AB1684">
        <v>23</v>
      </c>
      <c r="AC1684">
        <v>-62.573099999999897</v>
      </c>
      <c r="AD1684">
        <v>-1.1014640294940901</v>
      </c>
      <c r="AE1684">
        <v>1.8854</v>
      </c>
      <c r="AF1684">
        <v>29.1389079470502</v>
      </c>
      <c r="AG1684">
        <v>-1.1014640294940901</v>
      </c>
      <c r="AH1684">
        <v>55.384531240285497</v>
      </c>
      <c r="AI1684">
        <v>91.0083186825686</v>
      </c>
      <c r="AJ1684">
        <v>62.250245952017501</v>
      </c>
      <c r="AK1684">
        <v>62.591816398480603</v>
      </c>
      <c r="AL1684">
        <v>88.497477473728296</v>
      </c>
      <c r="AM1684">
        <v>76.493321679100902</v>
      </c>
      <c r="AN1684">
        <v>1.00000001584022</v>
      </c>
    </row>
    <row r="1685" spans="1:40" x14ac:dyDescent="0.25">
      <c r="A1685" t="str">
        <f>"20190312151018014"</f>
        <v>20190312151018014</v>
      </c>
      <c r="B1685" t="str">
        <f>"1552374618012063"</f>
        <v>1552374618012063</v>
      </c>
      <c r="C1685" t="s">
        <v>40</v>
      </c>
      <c r="D1685">
        <v>5.6682069999999998</v>
      </c>
      <c r="E1685">
        <v>0.58362729999999996</v>
      </c>
      <c r="F1685" t="s">
        <v>52</v>
      </c>
      <c r="G1685">
        <v>-261.95209999999997</v>
      </c>
      <c r="H1685" s="1">
        <v>-4.9799699999999996E-7</v>
      </c>
      <c r="I1685">
        <v>284.28129999999999</v>
      </c>
      <c r="J1685">
        <v>-200.4665</v>
      </c>
      <c r="K1685">
        <v>1.1016300000000001</v>
      </c>
      <c r="L1685">
        <v>281.87450000000001</v>
      </c>
      <c r="M1685">
        <v>-0.90456139999999996</v>
      </c>
      <c r="N1685">
        <v>0</v>
      </c>
      <c r="O1685">
        <v>-0.42605389999999999</v>
      </c>
      <c r="P1685">
        <v>-0.9780896</v>
      </c>
      <c r="Q1685">
        <v>1.499935E-2</v>
      </c>
      <c r="R1685">
        <v>-0.20764350000000001</v>
      </c>
      <c r="S1685">
        <v>-3.1008450000000001</v>
      </c>
      <c r="T1685">
        <v>-5.5362700000000001E-2</v>
      </c>
      <c r="U1685">
        <v>0.1167908</v>
      </c>
      <c r="V1685">
        <v>0.22951769999999999</v>
      </c>
      <c r="W1685">
        <v>2.5377710000000001E-2</v>
      </c>
      <c r="X1685">
        <v>0.97297359999999999</v>
      </c>
      <c r="Y1685">
        <v>0.45971610000000002</v>
      </c>
      <c r="Z1685">
        <v>1.153152E-2</v>
      </c>
      <c r="AA1685">
        <v>0.88799110000000003</v>
      </c>
      <c r="AB1685">
        <v>22</v>
      </c>
      <c r="AC1685">
        <v>-61.485599999999899</v>
      </c>
      <c r="AD1685">
        <v>-1.101630497997</v>
      </c>
      <c r="AE1685">
        <v>2.4067999999999699</v>
      </c>
      <c r="AF1685">
        <v>28.367686707576301</v>
      </c>
      <c r="AG1685">
        <v>-1.101630497997</v>
      </c>
      <c r="AH1685">
        <v>54.581315772037001</v>
      </c>
      <c r="AI1685">
        <v>91.025995488716902</v>
      </c>
      <c r="AJ1685">
        <v>62.537631614244503</v>
      </c>
      <c r="AK1685">
        <v>61.522835356476698</v>
      </c>
      <c r="AL1685">
        <v>88.545808225867106</v>
      </c>
      <c r="AM1685">
        <v>76.7269688947069</v>
      </c>
      <c r="AN1685">
        <v>1.0000000145375401</v>
      </c>
    </row>
    <row r="1686" spans="1:40" x14ac:dyDescent="0.25">
      <c r="A1686" t="str">
        <f>"20190312151018037"</f>
        <v>20190312151018037</v>
      </c>
      <c r="B1686" t="str">
        <f>"1552374618032559"</f>
        <v>1552374618032559</v>
      </c>
      <c r="C1686" t="s">
        <v>40</v>
      </c>
      <c r="D1686">
        <v>5.6206779999999998</v>
      </c>
      <c r="E1686">
        <v>0.58112209999999997</v>
      </c>
      <c r="F1686" t="s">
        <v>52</v>
      </c>
      <c r="G1686">
        <v>-266.93329999999997</v>
      </c>
      <c r="H1686" s="1">
        <v>2.1527780000000002E-6</v>
      </c>
      <c r="I1686">
        <v>282.59550000000002</v>
      </c>
      <c r="J1686">
        <v>-200.68129999999999</v>
      </c>
      <c r="K1686">
        <v>1.1018269999999999</v>
      </c>
      <c r="L1686">
        <v>281.79140000000001</v>
      </c>
      <c r="M1686">
        <v>-0.91052849999999996</v>
      </c>
      <c r="N1686">
        <v>0</v>
      </c>
      <c r="O1686">
        <v>-0.41314970000000001</v>
      </c>
      <c r="P1686">
        <v>-0.9801607</v>
      </c>
      <c r="Q1686">
        <v>1.3656389999999999E-2</v>
      </c>
      <c r="R1686">
        <v>-0.1977334</v>
      </c>
      <c r="S1686">
        <v>-3.0750890000000002</v>
      </c>
      <c r="T1686">
        <v>-5.0966860000000003E-2</v>
      </c>
      <c r="U1686">
        <v>3.3355709999999997E-2</v>
      </c>
      <c r="V1686">
        <v>0.2254951</v>
      </c>
      <c r="W1686">
        <v>2.419027E-2</v>
      </c>
      <c r="X1686">
        <v>0.97394389999999997</v>
      </c>
      <c r="Y1686">
        <v>0.42294090000000001</v>
      </c>
      <c r="Z1686">
        <v>1.019604E-2</v>
      </c>
      <c r="AA1686">
        <v>0.90609989999999996</v>
      </c>
      <c r="AB1686">
        <v>22</v>
      </c>
      <c r="AC1686">
        <v>-66.251999999999896</v>
      </c>
      <c r="AD1686">
        <v>-1.101824847222</v>
      </c>
      <c r="AE1686">
        <v>0.80410000000000503</v>
      </c>
      <c r="AF1686">
        <v>28.099824938717699</v>
      </c>
      <c r="AG1686">
        <v>-1.101824847222</v>
      </c>
      <c r="AH1686">
        <v>59.9828883103335</v>
      </c>
      <c r="AI1686">
        <v>90.9529810171381</v>
      </c>
      <c r="AJ1686">
        <v>64.898600334800605</v>
      </c>
      <c r="AK1686">
        <v>66.247725014754096</v>
      </c>
      <c r="AL1686">
        <v>88.613864365219499</v>
      </c>
      <c r="AM1686">
        <v>76.964124172546207</v>
      </c>
      <c r="AN1686">
        <v>0.99999996481694498</v>
      </c>
    </row>
    <row r="1687" spans="1:40" x14ac:dyDescent="0.25">
      <c r="A1687" t="str">
        <f>"20190312151018057"</f>
        <v>20190312151018057</v>
      </c>
      <c r="B1687" t="str">
        <f>"1552374618052079"</f>
        <v>1552374618052079</v>
      </c>
      <c r="C1687" t="s">
        <v>40</v>
      </c>
      <c r="D1687">
        <v>5.5272779999999999</v>
      </c>
      <c r="E1687">
        <v>0.54896250000000002</v>
      </c>
      <c r="F1687" t="s">
        <v>52</v>
      </c>
      <c r="G1687">
        <v>-212.4385</v>
      </c>
      <c r="H1687" s="1">
        <v>-2.3915540000000002E-7</v>
      </c>
      <c r="I1687">
        <v>281.99599999999998</v>
      </c>
      <c r="J1687">
        <v>-200.8783</v>
      </c>
      <c r="K1687">
        <v>1.102023</v>
      </c>
      <c r="L1687">
        <v>281.71800000000002</v>
      </c>
      <c r="M1687">
        <v>-0.915713</v>
      </c>
      <c r="N1687">
        <v>0</v>
      </c>
      <c r="O1687">
        <v>-0.40153030000000001</v>
      </c>
      <c r="P1687">
        <v>-0.98199000000000003</v>
      </c>
      <c r="Q1687">
        <v>1.3533119999999999E-2</v>
      </c>
      <c r="R1687">
        <v>-0.188448</v>
      </c>
      <c r="S1687">
        <v>-3.0755309999999998</v>
      </c>
      <c r="T1687">
        <v>-0.288224599999999</v>
      </c>
      <c r="U1687">
        <v>5.3527829999999998E-2</v>
      </c>
      <c r="V1687">
        <v>0.22230320000000001</v>
      </c>
      <c r="W1687">
        <v>2.4198379999999999E-2</v>
      </c>
      <c r="X1687">
        <v>0.97467720000000002</v>
      </c>
      <c r="Y1687">
        <v>0.41395419999999999</v>
      </c>
      <c r="Z1687">
        <v>5.6108230000000002E-2</v>
      </c>
      <c r="AA1687">
        <v>0.90856689999999996</v>
      </c>
      <c r="AB1687">
        <v>22</v>
      </c>
      <c r="AC1687">
        <v>-11.5602</v>
      </c>
      <c r="AD1687">
        <v>-1.1020232391553999</v>
      </c>
      <c r="AE1687">
        <v>0.277999999999963</v>
      </c>
      <c r="AF1687">
        <v>4.8528585834125799</v>
      </c>
      <c r="AG1687">
        <v>-1.1020232391553999</v>
      </c>
      <c r="AH1687">
        <v>10.3811875710989</v>
      </c>
      <c r="AI1687">
        <v>95.493076576279606</v>
      </c>
      <c r="AJ1687">
        <v>64.945481065590101</v>
      </c>
      <c r="AK1687">
        <v>11.5123302174919</v>
      </c>
      <c r="AL1687">
        <v>88.613399552667502</v>
      </c>
      <c r="AM1687">
        <v>77.151825768445306</v>
      </c>
      <c r="AN1687">
        <v>0.99999995926235097</v>
      </c>
    </row>
    <row r="1688" spans="1:40" x14ac:dyDescent="0.25">
      <c r="A1688" t="str">
        <f>"20190312151018080"</f>
        <v>20190312151018080</v>
      </c>
      <c r="B1688" t="str">
        <f>"1552374618072575"</f>
        <v>1552374618072575</v>
      </c>
      <c r="C1688" t="s">
        <v>40</v>
      </c>
      <c r="D1688">
        <v>6.3465550000000004</v>
      </c>
      <c r="E1688">
        <v>0.54525519999999905</v>
      </c>
      <c r="F1688" t="s">
        <v>52</v>
      </c>
      <c r="G1688">
        <v>-263.40719999999999</v>
      </c>
      <c r="H1688">
        <v>8.0000459999999995E-2</v>
      </c>
      <c r="I1688">
        <v>278.02850000000001</v>
      </c>
      <c r="J1688">
        <v>-201.0943</v>
      </c>
      <c r="K1688">
        <v>1.1022510000000001</v>
      </c>
      <c r="L1688">
        <v>281.64060000000001</v>
      </c>
      <c r="M1688">
        <v>-0.92108679999999998</v>
      </c>
      <c r="N1688">
        <v>0</v>
      </c>
      <c r="O1688">
        <v>-0.38904729999999998</v>
      </c>
      <c r="P1688">
        <v>-0.98421599999999998</v>
      </c>
      <c r="Q1688">
        <v>1.533231E-2</v>
      </c>
      <c r="R1688">
        <v>-0.1763062</v>
      </c>
      <c r="S1688">
        <v>-3.0215000000000001</v>
      </c>
      <c r="T1688">
        <v>-4.9385789999999999E-2</v>
      </c>
      <c r="U1688">
        <v>-0.17828369999999999</v>
      </c>
      <c r="V1688">
        <v>0.22110299999999999</v>
      </c>
      <c r="W1688">
        <v>2.6085580000000001E-2</v>
      </c>
      <c r="X1688">
        <v>0.97490160000000003</v>
      </c>
      <c r="Y1688">
        <v>0.33406409999999997</v>
      </c>
      <c r="Z1688">
        <v>8.9328729999999992E-3</v>
      </c>
      <c r="AA1688">
        <v>0.94250800000000001</v>
      </c>
      <c r="AB1688">
        <v>22</v>
      </c>
      <c r="AC1688">
        <v>-62.3128999999999</v>
      </c>
      <c r="AD1688">
        <v>-1.0222505399999999</v>
      </c>
      <c r="AE1688">
        <v>-3.6120999999999901</v>
      </c>
      <c r="AF1688">
        <v>20.9125225538466</v>
      </c>
      <c r="AG1688">
        <v>-1.0222505399999999</v>
      </c>
      <c r="AH1688">
        <v>58.792193542243197</v>
      </c>
      <c r="AI1688">
        <v>90.938536598529893</v>
      </c>
      <c r="AJ1688">
        <v>70.4194067648192</v>
      </c>
      <c r="AK1688">
        <v>62.409138891994502</v>
      </c>
      <c r="AL1688">
        <v>88.5052368992163</v>
      </c>
      <c r="AM1688">
        <v>77.221753276772304</v>
      </c>
      <c r="AN1688">
        <v>1.00000006188774</v>
      </c>
    </row>
    <row r="1689" spans="1:40" x14ac:dyDescent="0.25">
      <c r="A1689" t="str">
        <f>"20190312151018103"</f>
        <v>20190312151018103</v>
      </c>
      <c r="B1689" t="str">
        <f>"1552374618092095"</f>
        <v>1552374618092095</v>
      </c>
      <c r="C1689" t="s">
        <v>40</v>
      </c>
      <c r="D1689">
        <v>5.568371</v>
      </c>
      <c r="E1689">
        <v>0.54315500000000005</v>
      </c>
      <c r="F1689" t="s">
        <v>52</v>
      </c>
      <c r="G1689">
        <v>-270.95780000000002</v>
      </c>
      <c r="H1689">
        <v>8.000148E-2</v>
      </c>
      <c r="I1689">
        <v>277.69470000000001</v>
      </c>
      <c r="J1689">
        <v>-201.31780000000001</v>
      </c>
      <c r="K1689">
        <v>1.102479</v>
      </c>
      <c r="L1689">
        <v>281.56369999999998</v>
      </c>
      <c r="M1689">
        <v>-0.92632369999999997</v>
      </c>
      <c r="N1689">
        <v>0</v>
      </c>
      <c r="O1689">
        <v>-0.37641150000000001</v>
      </c>
      <c r="P1689">
        <v>-0.98609239999999998</v>
      </c>
      <c r="Q1689">
        <v>1.4599289999999999E-2</v>
      </c>
      <c r="R1689">
        <v>-0.16555639999999999</v>
      </c>
      <c r="S1689">
        <v>-3.0182500000000001</v>
      </c>
      <c r="T1689">
        <v>-4.4163349999999997E-2</v>
      </c>
      <c r="U1689">
        <v>-0.17047119999999999</v>
      </c>
      <c r="V1689">
        <v>0.2183773</v>
      </c>
      <c r="W1689">
        <v>2.547162E-2</v>
      </c>
      <c r="X1689">
        <v>0.97553190000000001</v>
      </c>
      <c r="Y1689">
        <v>0.32354280000000002</v>
      </c>
      <c r="Z1689">
        <v>7.7491119999999998E-3</v>
      </c>
      <c r="AA1689">
        <v>0.94618179999999996</v>
      </c>
      <c r="AB1689">
        <v>22</v>
      </c>
      <c r="AC1689">
        <v>-69.64</v>
      </c>
      <c r="AD1689">
        <v>-1.02247752</v>
      </c>
      <c r="AE1689">
        <v>-3.86899999999997</v>
      </c>
      <c r="AF1689">
        <v>22.627189975911701</v>
      </c>
      <c r="AG1689">
        <v>-1.02247752</v>
      </c>
      <c r="AH1689">
        <v>65.959220644841395</v>
      </c>
      <c r="AI1689">
        <v>90.840060619507199</v>
      </c>
      <c r="AJ1689">
        <v>71.065562347414399</v>
      </c>
      <c r="AK1689">
        <v>69.739902312519703</v>
      </c>
      <c r="AL1689">
        <v>88.540425771808302</v>
      </c>
      <c r="AM1689">
        <v>77.382096321095702</v>
      </c>
      <c r="AN1689">
        <v>0.99999996824916104</v>
      </c>
    </row>
    <row r="1690" spans="1:40" x14ac:dyDescent="0.25">
      <c r="A1690" t="str">
        <f>"20190312151018124"</f>
        <v>20190312151018124</v>
      </c>
      <c r="B1690" t="str">
        <f>"1552374618111988"</f>
        <v>1552374618111988</v>
      </c>
      <c r="C1690" t="s">
        <v>40</v>
      </c>
      <c r="D1690">
        <v>5.4366890000000003</v>
      </c>
      <c r="E1690">
        <v>0.54156800000000005</v>
      </c>
      <c r="F1690" t="s">
        <v>52</v>
      </c>
      <c r="G1690">
        <v>-270.0985</v>
      </c>
      <c r="H1690">
        <v>8.0001729999999993E-2</v>
      </c>
      <c r="I1690">
        <v>278.04680000000002</v>
      </c>
      <c r="J1690">
        <v>-201.5239</v>
      </c>
      <c r="K1690">
        <v>1.1026659999999999</v>
      </c>
      <c r="L1690">
        <v>281.49529999999999</v>
      </c>
      <c r="M1690">
        <v>-0.93089650000000002</v>
      </c>
      <c r="N1690">
        <v>0</v>
      </c>
      <c r="O1690">
        <v>-0.36495810000000001</v>
      </c>
      <c r="P1690">
        <v>-0.98755230000000005</v>
      </c>
      <c r="Q1690">
        <v>1.081411E-2</v>
      </c>
      <c r="R1690">
        <v>-0.1569188</v>
      </c>
      <c r="S1690">
        <v>-3.0170750000000002</v>
      </c>
      <c r="T1690">
        <v>-4.4851059999999998E-2</v>
      </c>
      <c r="U1690">
        <v>-0.1542664</v>
      </c>
      <c r="V1690">
        <v>0.21481539999999999</v>
      </c>
      <c r="W1690">
        <v>2.1805769999999999E-2</v>
      </c>
      <c r="X1690">
        <v>0.97641120000000003</v>
      </c>
      <c r="Y1690">
        <v>0.31691049999999998</v>
      </c>
      <c r="Z1690">
        <v>7.666633E-3</v>
      </c>
      <c r="AA1690">
        <v>0.9484245</v>
      </c>
      <c r="AB1690">
        <v>22</v>
      </c>
      <c r="AC1690">
        <v>-68.574600000000004</v>
      </c>
      <c r="AD1690">
        <v>-1.0226642699999999</v>
      </c>
      <c r="AE1690">
        <v>-3.4484999999999602</v>
      </c>
      <c r="AF1690">
        <v>21.814408718966401</v>
      </c>
      <c r="AG1690">
        <v>-1.0226642699999999</v>
      </c>
      <c r="AH1690">
        <v>65.087698538673493</v>
      </c>
      <c r="AI1690">
        <v>90.8535091606132</v>
      </c>
      <c r="AJ1690">
        <v>71.471212739632904</v>
      </c>
      <c r="AK1690">
        <v>68.653643537896002</v>
      </c>
      <c r="AL1690">
        <v>88.750522364253399</v>
      </c>
      <c r="AM1690">
        <v>77.592305200162599</v>
      </c>
      <c r="AN1690">
        <v>0.99999998958394598</v>
      </c>
    </row>
    <row r="1691" spans="1:40" x14ac:dyDescent="0.25">
      <c r="A1691" t="str">
        <f>"20190312151018147"</f>
        <v>20190312151018147</v>
      </c>
      <c r="B1691" t="str">
        <f>"1552374618142244"</f>
        <v>1552374618142244</v>
      </c>
      <c r="C1691" t="s">
        <v>40</v>
      </c>
      <c r="D1691">
        <v>5.5666379999999904</v>
      </c>
      <c r="E1691">
        <v>0.53973749999999998</v>
      </c>
      <c r="F1691" t="s">
        <v>52</v>
      </c>
      <c r="G1691">
        <v>-255.31989999999999</v>
      </c>
      <c r="H1691">
        <v>8.0001359999999994E-2</v>
      </c>
      <c r="I1691">
        <v>278.99200000000002</v>
      </c>
      <c r="J1691">
        <v>-201.74369999999999</v>
      </c>
      <c r="K1691">
        <v>1.1028579999999999</v>
      </c>
      <c r="L1691">
        <v>281.42520000000002</v>
      </c>
      <c r="M1691">
        <v>-0.93550770000000005</v>
      </c>
      <c r="N1691">
        <v>0</v>
      </c>
      <c r="O1691">
        <v>-0.3529736</v>
      </c>
      <c r="P1691">
        <v>-0.98884430000000001</v>
      </c>
      <c r="Q1691">
        <v>1.0652729999999999E-2</v>
      </c>
      <c r="R1691">
        <v>-0.14857089999999901</v>
      </c>
      <c r="S1691">
        <v>-3.0161440000000002</v>
      </c>
      <c r="T1691">
        <v>-5.7337050000000001E-2</v>
      </c>
      <c r="U1691">
        <v>-0.14035029999999901</v>
      </c>
      <c r="V1691">
        <v>0.21050849999999999</v>
      </c>
      <c r="W1691">
        <v>2.1770970000000001E-2</v>
      </c>
      <c r="X1691">
        <v>0.97734960000000004</v>
      </c>
      <c r="Y1691">
        <v>0.30902669999999999</v>
      </c>
      <c r="Z1691">
        <v>9.5168200000000005E-3</v>
      </c>
      <c r="AA1691">
        <v>0.95100580000000001</v>
      </c>
      <c r="AB1691">
        <v>22</v>
      </c>
      <c r="AC1691">
        <v>-53.5762</v>
      </c>
      <c r="AD1691">
        <v>-1.0228566400000001</v>
      </c>
      <c r="AE1691">
        <v>-2.4331999999999998</v>
      </c>
      <c r="AF1691">
        <v>16.630612400377601</v>
      </c>
      <c r="AG1691">
        <v>-1.0228566400000001</v>
      </c>
      <c r="AH1691">
        <v>50.967254875810298</v>
      </c>
      <c r="AI1691">
        <v>91.093007961731303</v>
      </c>
      <c r="AJ1691">
        <v>71.928498375790397</v>
      </c>
      <c r="AK1691">
        <v>53.621680075258702</v>
      </c>
      <c r="AL1691">
        <v>88.7525167715024</v>
      </c>
      <c r="AM1691">
        <v>77.844922033742193</v>
      </c>
      <c r="AN1691">
        <v>1.0000000221635701</v>
      </c>
    </row>
    <row r="1692" spans="1:40" x14ac:dyDescent="0.25">
      <c r="A1692" t="str">
        <f>"20190312151018168"</f>
        <v>20190312151018168</v>
      </c>
      <c r="B1692" t="str">
        <f>"1552374618162740"</f>
        <v>1552374618162740</v>
      </c>
      <c r="C1692" t="s">
        <v>40</v>
      </c>
      <c r="D1692">
        <v>5.4517230000000003</v>
      </c>
      <c r="E1692">
        <v>0.53866950000000002</v>
      </c>
      <c r="F1692" t="s">
        <v>52</v>
      </c>
      <c r="G1692">
        <v>-257.5265</v>
      </c>
      <c r="H1692">
        <v>8.0000710000000003E-2</v>
      </c>
      <c r="I1692">
        <v>279.03410000000002</v>
      </c>
      <c r="J1692">
        <v>-201.95910000000001</v>
      </c>
      <c r="K1692">
        <v>1.1030329999999999</v>
      </c>
      <c r="L1692">
        <v>281.35919999999999</v>
      </c>
      <c r="M1692">
        <v>-0.93977670000000002</v>
      </c>
      <c r="N1692">
        <v>0</v>
      </c>
      <c r="O1692">
        <v>-0.34144790000000003</v>
      </c>
      <c r="P1692">
        <v>-0.98995529999999998</v>
      </c>
      <c r="Q1692">
        <v>1.527395E-2</v>
      </c>
      <c r="R1692">
        <v>-0.14055479999999901</v>
      </c>
      <c r="S1692">
        <v>-3.015015</v>
      </c>
      <c r="T1692">
        <v>-5.52845E-2</v>
      </c>
      <c r="U1692">
        <v>-0.12924189999999999</v>
      </c>
      <c r="V1692">
        <v>0.2064638</v>
      </c>
      <c r="W1692">
        <v>2.6501719999999999E-2</v>
      </c>
      <c r="X1692">
        <v>0.9780953</v>
      </c>
      <c r="Y1692">
        <v>0.30081639999999998</v>
      </c>
      <c r="Z1692">
        <v>8.9063370000000003E-3</v>
      </c>
      <c r="AA1692">
        <v>0.9536405</v>
      </c>
      <c r="AB1692">
        <v>22</v>
      </c>
      <c r="AC1692">
        <v>-55.5673999999999</v>
      </c>
      <c r="AD1692">
        <v>-1.02303229</v>
      </c>
      <c r="AE1692">
        <v>-2.32509999999996</v>
      </c>
      <c r="AF1692">
        <v>16.784574905382499</v>
      </c>
      <c r="AG1692">
        <v>-1.02303229</v>
      </c>
      <c r="AH1692">
        <v>53.003093775561702</v>
      </c>
      <c r="AI1692">
        <v>91.0541683113792</v>
      </c>
      <c r="AJ1692">
        <v>72.428483936417507</v>
      </c>
      <c r="AK1692">
        <v>55.606622803419498</v>
      </c>
      <c r="AL1692">
        <v>88.481385538393397</v>
      </c>
      <c r="AM1692">
        <v>78.080550486595797</v>
      </c>
      <c r="AN1692">
        <v>1.00000002887774</v>
      </c>
    </row>
    <row r="1693" spans="1:40" x14ac:dyDescent="0.25">
      <c r="A1693" t="str">
        <f>"20190312151018192"</f>
        <v>20190312151018192</v>
      </c>
      <c r="B1693" t="str">
        <f>"1552374618182271"</f>
        <v>1552374618182271</v>
      </c>
      <c r="C1693" t="s">
        <v>40</v>
      </c>
      <c r="D1693">
        <v>5.6472069999999999</v>
      </c>
      <c r="E1693">
        <v>0.53758809999999901</v>
      </c>
      <c r="F1693" t="s">
        <v>52</v>
      </c>
      <c r="G1693">
        <v>-275.12079999999997</v>
      </c>
      <c r="H1693">
        <v>8.0001680000000006E-2</v>
      </c>
      <c r="I1693">
        <v>278.60669999999999</v>
      </c>
      <c r="J1693">
        <v>-202.19159999999999</v>
      </c>
      <c r="K1693">
        <v>1.10321</v>
      </c>
      <c r="L1693">
        <v>281.29079999999999</v>
      </c>
      <c r="M1693">
        <v>-0.9441254</v>
      </c>
      <c r="N1693">
        <v>0</v>
      </c>
      <c r="O1693">
        <v>-0.329235</v>
      </c>
      <c r="P1693">
        <v>-0.99093299999999995</v>
      </c>
      <c r="Q1693">
        <v>1.782823E-2</v>
      </c>
      <c r="R1693">
        <v>-0.13316839999999999</v>
      </c>
      <c r="S1693">
        <v>-3.014999</v>
      </c>
      <c r="T1693">
        <v>-4.2159200000000001E-2</v>
      </c>
      <c r="U1693">
        <v>-0.1134338</v>
      </c>
      <c r="V1693">
        <v>0.20109109999999999</v>
      </c>
      <c r="W1693">
        <v>2.918718E-2</v>
      </c>
      <c r="X1693">
        <v>0.97913760000000005</v>
      </c>
      <c r="Y1693">
        <v>0.29348059999999998</v>
      </c>
      <c r="Z1693">
        <v>6.5803880000000004E-3</v>
      </c>
      <c r="AA1693">
        <v>0.95594239999999997</v>
      </c>
      <c r="AB1693">
        <v>22</v>
      </c>
      <c r="AC1693">
        <v>-72.929199999999895</v>
      </c>
      <c r="AD1693">
        <v>-1.0232083199999999</v>
      </c>
      <c r="AE1693">
        <v>-2.6840999999999999</v>
      </c>
      <c r="AF1693">
        <v>21.474983475715199</v>
      </c>
      <c r="AG1693">
        <v>-1.0232083199999999</v>
      </c>
      <c r="AH1693">
        <v>69.732376962945295</v>
      </c>
      <c r="AI1693">
        <v>90.803430300462793</v>
      </c>
      <c r="AJ1693">
        <v>72.883110349117999</v>
      </c>
      <c r="AK1693">
        <v>72.971407191109193</v>
      </c>
      <c r="AL1693">
        <v>88.327460210343801</v>
      </c>
      <c r="AM1693">
        <v>78.394215741064897</v>
      </c>
      <c r="AN1693">
        <v>0.99999998085466102</v>
      </c>
    </row>
    <row r="1694" spans="1:40" x14ac:dyDescent="0.25">
      <c r="A1694" t="str">
        <f>"20190312151018215"</f>
        <v>20190312151018215</v>
      </c>
      <c r="B1694" t="str">
        <f>"1552374618212807"</f>
        <v>1552374618212807</v>
      </c>
      <c r="C1694" t="s">
        <v>40</v>
      </c>
      <c r="D1694">
        <v>5.4720579999999996</v>
      </c>
      <c r="E1694">
        <v>0.53614539999999999</v>
      </c>
      <c r="F1694" t="s">
        <v>61</v>
      </c>
      <c r="G1694">
        <v>-297.87180000000001</v>
      </c>
      <c r="H1694" s="1">
        <v>4.5682510000000001E-6</v>
      </c>
      <c r="I1694">
        <v>278.11970000000002</v>
      </c>
      <c r="J1694">
        <v>-202.41200000000001</v>
      </c>
      <c r="K1694">
        <v>1.103364</v>
      </c>
      <c r="L1694">
        <v>281.22879999999998</v>
      </c>
      <c r="M1694">
        <v>-0.94802070000000005</v>
      </c>
      <c r="N1694">
        <v>0</v>
      </c>
      <c r="O1694">
        <v>-0.31784780000000001</v>
      </c>
      <c r="P1694">
        <v>-0.99159229999999998</v>
      </c>
      <c r="Q1694">
        <v>1.752716E-2</v>
      </c>
      <c r="R1694">
        <v>-0.12820989999999999</v>
      </c>
      <c r="S1694">
        <v>-3.0146480000000002</v>
      </c>
      <c r="T1694">
        <v>-3.4759279999999997E-2</v>
      </c>
      <c r="U1694">
        <v>-9.9914550000000005E-2</v>
      </c>
      <c r="V1694">
        <v>0.19418199999999999</v>
      </c>
      <c r="W1694">
        <v>2.9041319999999999E-2</v>
      </c>
      <c r="X1694">
        <v>0.98053559999999995</v>
      </c>
      <c r="Y1694">
        <v>0.28626370000000001</v>
      </c>
      <c r="Z1694">
        <v>5.2603509999999999E-3</v>
      </c>
      <c r="AA1694">
        <v>0.9581364</v>
      </c>
      <c r="AB1694">
        <v>22</v>
      </c>
      <c r="AC1694">
        <v>-95.459800000000001</v>
      </c>
      <c r="AD1694">
        <v>-1.1033594317489901</v>
      </c>
      <c r="AE1694">
        <v>-3.10909999999995</v>
      </c>
      <c r="AF1694">
        <v>27.393684869772599</v>
      </c>
      <c r="AG1694">
        <v>-1.1033594317489901</v>
      </c>
      <c r="AH1694">
        <v>91.484379165790799</v>
      </c>
      <c r="AI1694">
        <v>90.661953572242496</v>
      </c>
      <c r="AJ1694">
        <v>73.3304252037303</v>
      </c>
      <c r="AK1694">
        <v>95.504047056290901</v>
      </c>
      <c r="AL1694">
        <v>88.335821040736406</v>
      </c>
      <c r="AM1694">
        <v>78.798272499163502</v>
      </c>
      <c r="AN1694">
        <v>1.00000005512934</v>
      </c>
    </row>
    <row r="1695" spans="1:40" x14ac:dyDescent="0.25">
      <c r="A1695" t="str">
        <f>"20190312151018239"</f>
        <v>20190312151018239</v>
      </c>
      <c r="B1695" t="str">
        <f>"1552374618232328"</f>
        <v>1552374618232328</v>
      </c>
      <c r="C1695" t="s">
        <v>40</v>
      </c>
      <c r="D1695">
        <v>5.5871199999999996</v>
      </c>
      <c r="E1695">
        <v>0.53569609999999901</v>
      </c>
      <c r="F1695" t="s">
        <v>61</v>
      </c>
      <c r="G1695">
        <v>-285.71440000000001</v>
      </c>
      <c r="H1695">
        <v>8.0001139999999998E-2</v>
      </c>
      <c r="I1695">
        <v>278.57159999999999</v>
      </c>
      <c r="J1695">
        <v>-202.63380000000001</v>
      </c>
      <c r="K1695">
        <v>1.103504</v>
      </c>
      <c r="L1695">
        <v>281.16890000000001</v>
      </c>
      <c r="M1695">
        <v>-0.95173620000000003</v>
      </c>
      <c r="N1695">
        <v>0</v>
      </c>
      <c r="O1695">
        <v>-0.30654609999999999</v>
      </c>
      <c r="P1695">
        <v>-0.99215509999999996</v>
      </c>
      <c r="Q1695">
        <v>1.902707E-2</v>
      </c>
      <c r="R1695">
        <v>-0.123556</v>
      </c>
      <c r="S1695">
        <v>-3.0136720000000001</v>
      </c>
      <c r="T1695">
        <v>-3.702271E-2</v>
      </c>
      <c r="U1695">
        <v>-9.6130370000000007E-2</v>
      </c>
      <c r="V1695">
        <v>0.18711559999999999</v>
      </c>
      <c r="W1695">
        <v>3.0691400000000001E-2</v>
      </c>
      <c r="X1695">
        <v>0.98185829999999996</v>
      </c>
      <c r="Y1695">
        <v>0.27603539999999999</v>
      </c>
      <c r="Z1695">
        <v>5.4092280000000003E-3</v>
      </c>
      <c r="AA1695">
        <v>0.96113219999999999</v>
      </c>
      <c r="AB1695">
        <v>22</v>
      </c>
      <c r="AC1695">
        <v>-83.080600000000004</v>
      </c>
      <c r="AD1695">
        <v>-1.02350286</v>
      </c>
      <c r="AE1695">
        <v>-2.5973000000000099</v>
      </c>
      <c r="AF1695">
        <v>22.995221447985902</v>
      </c>
      <c r="AG1695">
        <v>-1.02350286</v>
      </c>
      <c r="AH1695">
        <v>79.863991976316498</v>
      </c>
      <c r="AI1695">
        <v>90.705576055397898</v>
      </c>
      <c r="AJ1695">
        <v>73.937314820614304</v>
      </c>
      <c r="AK1695">
        <v>83.1148902540302</v>
      </c>
      <c r="AL1695">
        <v>88.241236063495407</v>
      </c>
      <c r="AM1695">
        <v>79.210354254891797</v>
      </c>
      <c r="AN1695">
        <v>0.999999965538104</v>
      </c>
    </row>
    <row r="1696" spans="1:40" x14ac:dyDescent="0.25">
      <c r="A1696" t="str">
        <f>"20190312151018258"</f>
        <v>20190312151018258</v>
      </c>
      <c r="B1696" t="str">
        <f>"1552374618252825"</f>
        <v>1552374618252825</v>
      </c>
      <c r="C1696" t="s">
        <v>40</v>
      </c>
      <c r="D1696">
        <v>5.5249199999999998</v>
      </c>
      <c r="E1696">
        <v>0.53458950000000005</v>
      </c>
      <c r="F1696" t="s">
        <v>61</v>
      </c>
      <c r="G1696">
        <v>-304.06540000000001</v>
      </c>
      <c r="H1696" s="1">
        <v>4.0345479999999997E-6</v>
      </c>
      <c r="I1696">
        <v>278.27960000000002</v>
      </c>
      <c r="J1696">
        <v>-202.8339</v>
      </c>
      <c r="K1696">
        <v>1.1035980000000001</v>
      </c>
      <c r="L1696">
        <v>281.11739999999998</v>
      </c>
      <c r="M1696">
        <v>-0.95492690000000002</v>
      </c>
      <c r="N1696">
        <v>0</v>
      </c>
      <c r="O1696">
        <v>-0.2964599</v>
      </c>
      <c r="P1696">
        <v>-0.99274790000000002</v>
      </c>
      <c r="Q1696">
        <v>1.571883E-2</v>
      </c>
      <c r="R1696">
        <v>-0.1191845</v>
      </c>
      <c r="S1696">
        <v>-3.0136720000000001</v>
      </c>
      <c r="T1696">
        <v>-3.2786490000000001E-2</v>
      </c>
      <c r="U1696">
        <v>-8.5845950000000004E-2</v>
      </c>
      <c r="V1696">
        <v>0.1810013</v>
      </c>
      <c r="W1696">
        <v>2.750414E-2</v>
      </c>
      <c r="X1696">
        <v>0.98309820000000003</v>
      </c>
      <c r="Y1696">
        <v>0.26914660000000001</v>
      </c>
      <c r="Z1696">
        <v>4.6481120000000003E-3</v>
      </c>
      <c r="AA1696">
        <v>0.96308800000000006</v>
      </c>
      <c r="AB1696">
        <v>22</v>
      </c>
      <c r="AC1696">
        <v>-101.2315</v>
      </c>
      <c r="AD1696">
        <v>-1.1035939654519999</v>
      </c>
      <c r="AE1696">
        <v>-2.8377999999999499</v>
      </c>
      <c r="AF1696">
        <v>27.301034233544399</v>
      </c>
      <c r="AG1696">
        <v>-1.1035939654519999</v>
      </c>
      <c r="AH1696">
        <v>97.509424290246699</v>
      </c>
      <c r="AI1696">
        <v>90.624424706742204</v>
      </c>
      <c r="AJ1696">
        <v>74.3586278339139</v>
      </c>
      <c r="AK1696">
        <v>101.265256703753</v>
      </c>
      <c r="AL1696">
        <v>88.4239301210674</v>
      </c>
      <c r="AM1696">
        <v>79.567921242916498</v>
      </c>
      <c r="AN1696">
        <v>1.00000000958103</v>
      </c>
    </row>
    <row r="1697" spans="1:40" x14ac:dyDescent="0.25">
      <c r="A1697" t="str">
        <f>"20190312151018281"</f>
        <v>20190312151018281</v>
      </c>
      <c r="B1697" t="str">
        <f>"1552374618272343"</f>
        <v>1552374618272343</v>
      </c>
      <c r="C1697" t="s">
        <v>40</v>
      </c>
      <c r="D1697">
        <v>5.5812160000000004</v>
      </c>
      <c r="E1697">
        <v>0.53360490000000005</v>
      </c>
      <c r="F1697" t="s">
        <v>52</v>
      </c>
      <c r="G1697">
        <v>-275.49919999999997</v>
      </c>
      <c r="H1697">
        <v>8.0001550000000005E-2</v>
      </c>
      <c r="I1697">
        <v>279.16390000000001</v>
      </c>
      <c r="J1697">
        <v>-203.0591</v>
      </c>
      <c r="K1697">
        <v>1.1036779999999999</v>
      </c>
      <c r="L1697">
        <v>281.06189999999998</v>
      </c>
      <c r="M1697">
        <v>-0.95835380000000003</v>
      </c>
      <c r="N1697">
        <v>0</v>
      </c>
      <c r="O1697">
        <v>-0.28518939999999998</v>
      </c>
      <c r="P1697">
        <v>-0.99352309999999999</v>
      </c>
      <c r="Q1697">
        <v>1.3587470000000001E-2</v>
      </c>
      <c r="R1697">
        <v>-0.112815899999999</v>
      </c>
      <c r="S1697">
        <v>-3.012848</v>
      </c>
      <c r="T1697">
        <v>-4.24403E-2</v>
      </c>
      <c r="U1697">
        <v>-8.099365E-2</v>
      </c>
      <c r="V1697">
        <v>0.17568739999999999</v>
      </c>
      <c r="W1697">
        <v>2.5466849999999999E-2</v>
      </c>
      <c r="X1697">
        <v>0.98411660000000001</v>
      </c>
      <c r="Y1697">
        <v>0.25930839999999999</v>
      </c>
      <c r="Z1697">
        <v>5.796336E-3</v>
      </c>
      <c r="AA1697">
        <v>0.9657772</v>
      </c>
      <c r="AB1697">
        <v>22</v>
      </c>
      <c r="AC1697">
        <v>-72.440099999999902</v>
      </c>
      <c r="AD1697">
        <v>-1.02367645</v>
      </c>
      <c r="AE1697">
        <v>-1.8979999999999599</v>
      </c>
      <c r="AF1697">
        <v>18.838553637950898</v>
      </c>
      <c r="AG1697">
        <v>-1.02367645</v>
      </c>
      <c r="AH1697">
        <v>69.958446159726606</v>
      </c>
      <c r="AI1697">
        <v>90.809496630877902</v>
      </c>
      <c r="AJ1697">
        <v>74.928772405235705</v>
      </c>
      <c r="AK1697">
        <v>72.457733926252601</v>
      </c>
      <c r="AL1697">
        <v>88.540699284610099</v>
      </c>
      <c r="AM1697">
        <v>79.878020069469898</v>
      </c>
      <c r="AN1697">
        <v>1.00000005268162</v>
      </c>
    </row>
    <row r="1698" spans="1:40" x14ac:dyDescent="0.25">
      <c r="A1698" t="str">
        <f>"20190312151018303"</f>
        <v>20190312151018303</v>
      </c>
      <c r="B1698" t="str">
        <f>"1552374618292839"</f>
        <v>1552374618292839</v>
      </c>
      <c r="C1698" t="s">
        <v>40</v>
      </c>
      <c r="D1698">
        <v>5.36477</v>
      </c>
      <c r="E1698">
        <v>0.53018669999999901</v>
      </c>
      <c r="F1698" t="s">
        <v>52</v>
      </c>
      <c r="G1698">
        <v>-267.07040000000001</v>
      </c>
      <c r="H1698">
        <v>8.0000849999999998E-2</v>
      </c>
      <c r="I1698">
        <v>279.58330000000001</v>
      </c>
      <c r="J1698">
        <v>-203.27529999999999</v>
      </c>
      <c r="K1698">
        <v>1.1037239999999999</v>
      </c>
      <c r="L1698">
        <v>281.01119999999997</v>
      </c>
      <c r="M1698">
        <v>-0.96149479999999998</v>
      </c>
      <c r="N1698">
        <v>0</v>
      </c>
      <c r="O1698">
        <v>-0.27441589999999999</v>
      </c>
      <c r="P1698">
        <v>-0.99425920000000001</v>
      </c>
      <c r="Q1698">
        <v>1.366242E-2</v>
      </c>
      <c r="R1698">
        <v>-0.1061241</v>
      </c>
      <c r="S1698">
        <v>-3.0122990000000001</v>
      </c>
      <c r="T1698">
        <v>-4.8173069999999998E-2</v>
      </c>
      <c r="U1698">
        <v>-6.9580080000000002E-2</v>
      </c>
      <c r="V1698">
        <v>0.17126340000000001</v>
      </c>
      <c r="W1698">
        <v>2.5609380000000001E-2</v>
      </c>
      <c r="X1698">
        <v>0.9848924</v>
      </c>
      <c r="Y1698">
        <v>0.25210110000000002</v>
      </c>
      <c r="Z1698">
        <v>6.3571180000000001E-3</v>
      </c>
      <c r="AA1698">
        <v>0.96767999999999998</v>
      </c>
      <c r="AB1698">
        <v>22</v>
      </c>
      <c r="AC1698">
        <v>-63.795099999999998</v>
      </c>
      <c r="AD1698">
        <v>-1.0237231499999999</v>
      </c>
      <c r="AE1698">
        <v>-1.42789999999996</v>
      </c>
      <c r="AF1698">
        <v>16.131124082970398</v>
      </c>
      <c r="AG1698">
        <v>-1.0237231499999999</v>
      </c>
      <c r="AH1698">
        <v>61.7215141501947</v>
      </c>
      <c r="AI1698">
        <v>90.919355681484205</v>
      </c>
      <c r="AJ1698">
        <v>75.353176762380201</v>
      </c>
      <c r="AK1698">
        <v>63.802872053385798</v>
      </c>
      <c r="AL1698">
        <v>88.532530199476597</v>
      </c>
      <c r="AM1698">
        <v>80.135448588258001</v>
      </c>
      <c r="AN1698">
        <v>1.0000000160506499</v>
      </c>
    </row>
    <row r="1699" spans="1:40" x14ac:dyDescent="0.25">
      <c r="A1699" t="str">
        <f>"20190312151018326"</f>
        <v>20190312151018326</v>
      </c>
      <c r="B1699" t="str">
        <f>"1552374618322119"</f>
        <v>1552374618322119</v>
      </c>
      <c r="C1699" t="s">
        <v>40</v>
      </c>
      <c r="D1699">
        <v>5.3691180000000003</v>
      </c>
      <c r="E1699">
        <v>0.52849259999999998</v>
      </c>
      <c r="F1699" t="s">
        <v>52</v>
      </c>
      <c r="G1699">
        <v>-216.8664</v>
      </c>
      <c r="H1699" s="1">
        <v>2.11716E-6</v>
      </c>
      <c r="I1699">
        <v>280.69330000000002</v>
      </c>
      <c r="J1699">
        <v>-203.49619999999999</v>
      </c>
      <c r="K1699">
        <v>1.103739</v>
      </c>
      <c r="L1699">
        <v>280.96199999999999</v>
      </c>
      <c r="M1699">
        <v>-0.96456260000000005</v>
      </c>
      <c r="N1699">
        <v>0</v>
      </c>
      <c r="O1699">
        <v>-0.26343149999999999</v>
      </c>
      <c r="P1699">
        <v>-0.99503759999999997</v>
      </c>
      <c r="Q1699">
        <v>1.210629E-2</v>
      </c>
      <c r="R1699">
        <v>-9.8763530000000002E-2</v>
      </c>
      <c r="S1699">
        <v>-3.0131839999999999</v>
      </c>
      <c r="T1699">
        <v>-0.24469859999999999</v>
      </c>
      <c r="U1699">
        <v>-7.049561E-2</v>
      </c>
      <c r="V1699">
        <v>0.16729449999999901</v>
      </c>
      <c r="W1699">
        <v>2.41059E-2</v>
      </c>
      <c r="X1699">
        <v>0.98561220000000005</v>
      </c>
      <c r="Y1699">
        <v>0.23919009999999999</v>
      </c>
      <c r="Z1699">
        <v>3.084363E-2</v>
      </c>
      <c r="AA1699">
        <v>0.97048279999999998</v>
      </c>
      <c r="AB1699">
        <v>22</v>
      </c>
      <c r="AC1699">
        <v>-13.370200000000001</v>
      </c>
      <c r="AD1699">
        <v>-1.10373688284</v>
      </c>
      <c r="AE1699">
        <v>-0.26869999999996702</v>
      </c>
      <c r="AF1699">
        <v>3.2412379007117398</v>
      </c>
      <c r="AG1699">
        <v>-1.10373688284</v>
      </c>
      <c r="AH1699">
        <v>12.8808783212801</v>
      </c>
      <c r="AI1699">
        <v>94.750227013735795</v>
      </c>
      <c r="AJ1699">
        <v>75.875797757220894</v>
      </c>
      <c r="AK1699">
        <v>13.3281988491759</v>
      </c>
      <c r="AL1699">
        <v>88.618699836459001</v>
      </c>
      <c r="AM1699">
        <v>80.366621082133705</v>
      </c>
      <c r="AN1699">
        <v>0.99999997646694905</v>
      </c>
    </row>
    <row r="1700" spans="1:40" x14ac:dyDescent="0.25">
      <c r="A1700" t="str">
        <f>"20190312151018349"</f>
        <v>20190312151018349</v>
      </c>
      <c r="B1700" t="str">
        <f>"1552374618342615"</f>
        <v>1552374618342615</v>
      </c>
      <c r="C1700" t="s">
        <v>40</v>
      </c>
      <c r="D1700">
        <v>5.4474809999999998</v>
      </c>
      <c r="E1700">
        <v>0.52428809999999904</v>
      </c>
      <c r="F1700" t="s">
        <v>52</v>
      </c>
      <c r="G1700">
        <v>-216.374</v>
      </c>
      <c r="H1700" s="1">
        <v>1.8551170000000001E-6</v>
      </c>
      <c r="I1700">
        <v>280.70089999999999</v>
      </c>
      <c r="J1700">
        <v>-203.7243</v>
      </c>
      <c r="K1700">
        <v>1.1037380000000001</v>
      </c>
      <c r="L1700">
        <v>280.91390000000001</v>
      </c>
      <c r="M1700">
        <v>-0.96759189999999995</v>
      </c>
      <c r="N1700">
        <v>0</v>
      </c>
      <c r="O1700">
        <v>-0.2520791</v>
      </c>
      <c r="P1700">
        <v>-0.99590630000000002</v>
      </c>
      <c r="Q1700">
        <v>9.7003790000000003E-3</v>
      </c>
      <c r="R1700">
        <v>-8.9873439999999999E-2</v>
      </c>
      <c r="S1700">
        <v>-3.0120390000000001</v>
      </c>
      <c r="T1700">
        <v>-0.25815749999999998</v>
      </c>
      <c r="U1700">
        <v>-6.1065670000000002E-2</v>
      </c>
      <c r="V1700">
        <v>0.1644804</v>
      </c>
      <c r="W1700">
        <v>2.1727590000000001E-2</v>
      </c>
      <c r="X1700">
        <v>0.98614100000000005</v>
      </c>
      <c r="Y1700">
        <v>0.23068839999999999</v>
      </c>
      <c r="Z1700">
        <v>3.124182E-2</v>
      </c>
      <c r="AA1700">
        <v>0.972526</v>
      </c>
      <c r="AB1700">
        <v>22</v>
      </c>
      <c r="AC1700">
        <v>-12.649699999999999</v>
      </c>
      <c r="AD1700">
        <v>-1.1037361448830001</v>
      </c>
      <c r="AE1700">
        <v>-0.21300000000002201</v>
      </c>
      <c r="AF1700">
        <v>2.96042702480164</v>
      </c>
      <c r="AG1700">
        <v>-1.1037361448830001</v>
      </c>
      <c r="AH1700">
        <v>12.2019351172158</v>
      </c>
      <c r="AI1700">
        <v>95.0237049644374</v>
      </c>
      <c r="AJ1700">
        <v>76.362440814025305</v>
      </c>
      <c r="AK1700">
        <v>12.604347751924299</v>
      </c>
      <c r="AL1700">
        <v>88.755002799192297</v>
      </c>
      <c r="AM1700">
        <v>80.530692623291301</v>
      </c>
      <c r="AN1700">
        <v>0.99999998101618304</v>
      </c>
    </row>
    <row r="1701" spans="1:40" x14ac:dyDescent="0.25">
      <c r="A1701" t="str">
        <f>"20190312151018369"</f>
        <v>20190312151018369</v>
      </c>
      <c r="B1701" t="str">
        <f>"1552374618362135"</f>
        <v>1552374618362135</v>
      </c>
      <c r="C1701" t="s">
        <v>40</v>
      </c>
      <c r="D1701">
        <v>5.5222829999999998</v>
      </c>
      <c r="E1701">
        <v>0.52354230000000002</v>
      </c>
      <c r="F1701" t="s">
        <v>46</v>
      </c>
      <c r="G1701">
        <v>-355.44400000000002</v>
      </c>
      <c r="H1701">
        <v>2.0036</v>
      </c>
      <c r="I1701">
        <v>277.06380000000001</v>
      </c>
      <c r="J1701">
        <v>-203.92699999999999</v>
      </c>
      <c r="K1701">
        <v>1.1037399999999999</v>
      </c>
      <c r="L1701">
        <v>280.87349999999998</v>
      </c>
      <c r="M1701">
        <v>-0.97016849999999999</v>
      </c>
      <c r="N1701">
        <v>0</v>
      </c>
      <c r="O1701">
        <v>-0.24197440000000001</v>
      </c>
      <c r="P1701">
        <v>-0.99656500000000003</v>
      </c>
      <c r="Q1701">
        <v>9.1604010000000003E-3</v>
      </c>
      <c r="R1701">
        <v>-8.2306610000000002E-2</v>
      </c>
      <c r="S1701">
        <v>-3.00528</v>
      </c>
      <c r="T1701">
        <v>1.7825839999999999E-2</v>
      </c>
      <c r="U1701">
        <v>-7.6263429999999993E-2</v>
      </c>
      <c r="V1701">
        <v>0.16167699999999999</v>
      </c>
      <c r="W1701">
        <v>2.1219390000000001E-2</v>
      </c>
      <c r="X1701">
        <v>0.98661560000000004</v>
      </c>
      <c r="Y1701">
        <v>0.2173011</v>
      </c>
      <c r="Z1701">
        <v>-2.067616E-3</v>
      </c>
      <c r="AA1701">
        <v>0.97610240000000004</v>
      </c>
      <c r="AB1701">
        <v>22</v>
      </c>
      <c r="AC1701">
        <v>-151.517</v>
      </c>
      <c r="AD1701">
        <v>0.89985999999999999</v>
      </c>
      <c r="AE1701">
        <v>-3.8096999999999599</v>
      </c>
      <c r="AF1701">
        <v>32.9696733165053</v>
      </c>
      <c r="AG1701">
        <v>0.89985999999999999</v>
      </c>
      <c r="AH1701">
        <v>147.93003864692</v>
      </c>
      <c r="AI1701">
        <v>89.659819681369697</v>
      </c>
      <c r="AJ1701">
        <v>77.435642236970693</v>
      </c>
      <c r="AK1701">
        <v>151.56221640203</v>
      </c>
      <c r="AL1701">
        <v>88.7841272885222</v>
      </c>
      <c r="AM1701">
        <v>80.693637547704199</v>
      </c>
      <c r="AN1701">
        <v>1.00000002850216</v>
      </c>
    </row>
    <row r="1702" spans="1:40" x14ac:dyDescent="0.25">
      <c r="A1702" t="str">
        <f>"20190312151018393"</f>
        <v>20190312151018393</v>
      </c>
      <c r="B1702" t="str">
        <f>"1552374618382631"</f>
        <v>1552374618382631</v>
      </c>
      <c r="C1702" t="s">
        <v>40</v>
      </c>
      <c r="D1702">
        <v>5.3635210000000004</v>
      </c>
      <c r="E1702">
        <v>0.52191569999999998</v>
      </c>
      <c r="F1702" t="s">
        <v>60</v>
      </c>
      <c r="G1702">
        <v>-512.82619999999997</v>
      </c>
      <c r="H1702">
        <v>3.1321379999999999</v>
      </c>
      <c r="I1702">
        <v>274.74419999999998</v>
      </c>
      <c r="J1702">
        <v>-204.15539999999999</v>
      </c>
      <c r="K1702">
        <v>1.1037520000000001</v>
      </c>
      <c r="L1702">
        <v>280.83049999999997</v>
      </c>
      <c r="M1702">
        <v>-0.97294709999999995</v>
      </c>
      <c r="N1702">
        <v>0</v>
      </c>
      <c r="O1702">
        <v>-0.2305489</v>
      </c>
      <c r="P1702">
        <v>-0.99725079999999999</v>
      </c>
      <c r="Q1702">
        <v>1.161703E-2</v>
      </c>
      <c r="R1702">
        <v>-7.318566E-2</v>
      </c>
      <c r="S1702">
        <v>-3.0052340000000002</v>
      </c>
      <c r="T1702">
        <v>1.9734740000000001E-2</v>
      </c>
      <c r="U1702">
        <v>-5.963135E-2</v>
      </c>
      <c r="V1702">
        <v>0.15913469999999999</v>
      </c>
      <c r="W1702">
        <v>2.370309E-2</v>
      </c>
      <c r="X1702">
        <v>0.98697230000000002</v>
      </c>
      <c r="Y1702">
        <v>0.2112156</v>
      </c>
      <c r="Z1702">
        <v>-2.1961939999999998E-3</v>
      </c>
      <c r="AA1702">
        <v>0.977437</v>
      </c>
      <c r="AB1702">
        <v>22</v>
      </c>
      <c r="AC1702">
        <v>-308.67079999999999</v>
      </c>
      <c r="AD1702">
        <v>2.0283859999999998</v>
      </c>
      <c r="AE1702">
        <v>-6.0862999999999898</v>
      </c>
      <c r="AF1702">
        <v>65.246464226953194</v>
      </c>
      <c r="AG1702">
        <v>2.0283859999999998</v>
      </c>
      <c r="AH1702">
        <v>301.74389233164197</v>
      </c>
      <c r="AI1702">
        <v>89.6235513206707</v>
      </c>
      <c r="AJ1702">
        <v>77.798707428264194</v>
      </c>
      <c r="AK1702">
        <v>308.72413576417</v>
      </c>
      <c r="AL1702">
        <v>88.6417857858671</v>
      </c>
      <c r="AM1702">
        <v>80.840729846316094</v>
      </c>
      <c r="AN1702">
        <v>1.0000000050934601</v>
      </c>
    </row>
    <row r="1703" spans="1:40" x14ac:dyDescent="0.25">
      <c r="A1703" t="str">
        <f>"20190312151018416"</f>
        <v>20190312151018416</v>
      </c>
      <c r="B1703" t="str">
        <f>"1552374618412887"</f>
        <v>1552374618412887</v>
      </c>
      <c r="C1703" t="s">
        <v>40</v>
      </c>
      <c r="D1703">
        <v>5.3598840000000001</v>
      </c>
      <c r="E1703">
        <v>0.51587159999999999</v>
      </c>
      <c r="F1703" t="s">
        <v>52</v>
      </c>
      <c r="G1703">
        <v>-216.54259999999999</v>
      </c>
      <c r="H1703" s="1">
        <v>1.9448800000000001E-6</v>
      </c>
      <c r="I1703">
        <v>280.68099999999998</v>
      </c>
      <c r="J1703">
        <v>-204.37950000000001</v>
      </c>
      <c r="K1703">
        <v>1.1037699999999999</v>
      </c>
      <c r="L1703">
        <v>280.79109999999997</v>
      </c>
      <c r="M1703">
        <v>-0.97554430000000003</v>
      </c>
      <c r="N1703">
        <v>0</v>
      </c>
      <c r="O1703">
        <v>-0.21930069999999999</v>
      </c>
      <c r="P1703">
        <v>-0.99780029999999997</v>
      </c>
      <c r="Q1703">
        <v>1.515615E-2</v>
      </c>
      <c r="R1703">
        <v>-6.4539570000000004E-2</v>
      </c>
      <c r="S1703">
        <v>-3.008759</v>
      </c>
      <c r="T1703">
        <v>-0.26809119999999997</v>
      </c>
      <c r="U1703">
        <v>-3.6315920000000002E-2</v>
      </c>
      <c r="V1703">
        <v>0.15634010000000001</v>
      </c>
      <c r="W1703">
        <v>2.7278199999999999E-2</v>
      </c>
      <c r="X1703">
        <v>0.9873265</v>
      </c>
      <c r="Y1703">
        <v>0.20586119999999999</v>
      </c>
      <c r="Z1703">
        <v>2.8529470000000001E-2</v>
      </c>
      <c r="AA1703">
        <v>0.97816530000000002</v>
      </c>
      <c r="AB1703">
        <v>22</v>
      </c>
      <c r="AC1703">
        <v>-12.163099999999901</v>
      </c>
      <c r="AD1703">
        <v>-1.10376805512</v>
      </c>
      <c r="AE1703">
        <v>-0.110099999999988</v>
      </c>
      <c r="AF1703">
        <v>2.53934129781728</v>
      </c>
      <c r="AG1703">
        <v>-1.10376805512</v>
      </c>
      <c r="AH1703">
        <v>11.7939828076171</v>
      </c>
      <c r="AI1703">
        <v>95.227481462969294</v>
      </c>
      <c r="AJ1703">
        <v>77.849242129880693</v>
      </c>
      <c r="AK1703">
        <v>12.114643561107</v>
      </c>
      <c r="AL1703">
        <v>88.436880330206407</v>
      </c>
      <c r="AM1703">
        <v>81.002097743750994</v>
      </c>
      <c r="AN1703">
        <v>0.99999997233274895</v>
      </c>
    </row>
    <row r="1704" spans="1:40" x14ac:dyDescent="0.25">
      <c r="A1704" t="str">
        <f>"20190312151018438"</f>
        <v>20190312151018438</v>
      </c>
      <c r="B1704" t="str">
        <f>"1552374618432407"</f>
        <v>1552374618432407</v>
      </c>
      <c r="C1704" t="s">
        <v>40</v>
      </c>
      <c r="D1704">
        <v>5.6177270000000004</v>
      </c>
      <c r="E1704">
        <v>0.5145227</v>
      </c>
      <c r="F1704" t="s">
        <v>60</v>
      </c>
      <c r="G1704">
        <v>-512.82629999999995</v>
      </c>
      <c r="H1704">
        <v>3.479247</v>
      </c>
      <c r="I1704">
        <v>273.94279999999998</v>
      </c>
      <c r="J1704">
        <v>-204.59399999999999</v>
      </c>
      <c r="K1704">
        <v>1.10379</v>
      </c>
      <c r="L1704">
        <v>280.7559</v>
      </c>
      <c r="M1704">
        <v>-0.97790840000000001</v>
      </c>
      <c r="N1704">
        <v>0</v>
      </c>
      <c r="O1704">
        <v>-0.2085071</v>
      </c>
      <c r="P1704">
        <v>-0.9981293</v>
      </c>
      <c r="Q1704">
        <v>1.8517450000000001E-2</v>
      </c>
      <c r="R1704">
        <v>-5.8268960000000002E-2</v>
      </c>
      <c r="S1704">
        <v>-3.0019680000000002</v>
      </c>
      <c r="T1704">
        <v>2.3120160000000001E-2</v>
      </c>
      <c r="U1704">
        <v>-6.6650390000000004E-2</v>
      </c>
      <c r="V1704">
        <v>0.1516728</v>
      </c>
      <c r="W1704">
        <v>3.0713799999999999E-2</v>
      </c>
      <c r="X1704">
        <v>0.98795350000000004</v>
      </c>
      <c r="Y1704">
        <v>0.18675829999999999</v>
      </c>
      <c r="Z1704">
        <v>-2.3150319999999999E-3</v>
      </c>
      <c r="AA1704">
        <v>0.98240320000000003</v>
      </c>
      <c r="AB1704">
        <v>22</v>
      </c>
      <c r="AC1704">
        <v>-308.23229999999899</v>
      </c>
      <c r="AD1704">
        <v>2.3754569999999999</v>
      </c>
      <c r="AE1704">
        <v>-6.8131000000000101</v>
      </c>
      <c r="AF1704">
        <v>57.608951641958598</v>
      </c>
      <c r="AG1704">
        <v>2.3754569999999999</v>
      </c>
      <c r="AH1704">
        <v>302.85886679864598</v>
      </c>
      <c r="AI1704">
        <v>89.558528392736704</v>
      </c>
      <c r="AJ1704">
        <v>79.230024900852399</v>
      </c>
      <c r="AK1704">
        <v>308.29843869829199</v>
      </c>
      <c r="AL1704">
        <v>88.239952176014199</v>
      </c>
      <c r="AM1704">
        <v>81.271970353769206</v>
      </c>
      <c r="AN1704">
        <v>1.00000004696626</v>
      </c>
    </row>
    <row r="1705" spans="1:40" x14ac:dyDescent="0.25">
      <c r="A1705" t="str">
        <f>"20190312151018460"</f>
        <v>20190312151018460</v>
      </c>
      <c r="B1705" t="str">
        <f>"1552374618452903"</f>
        <v>1552374618452903</v>
      </c>
      <c r="C1705" t="s">
        <v>40</v>
      </c>
      <c r="D1705">
        <v>5.5679619999999996</v>
      </c>
      <c r="E1705">
        <v>0.51400129999999999</v>
      </c>
      <c r="F1705" t="s">
        <v>60</v>
      </c>
      <c r="G1705">
        <v>-512.82590000000005</v>
      </c>
      <c r="H1705">
        <v>2.258715</v>
      </c>
      <c r="I1705">
        <v>274.81189999999998</v>
      </c>
      <c r="J1705">
        <v>-204.81030000000001</v>
      </c>
      <c r="K1705">
        <v>1.1038059999999901</v>
      </c>
      <c r="L1705">
        <v>280.72300000000001</v>
      </c>
      <c r="M1705">
        <v>-0.98017109999999996</v>
      </c>
      <c r="N1705">
        <v>0</v>
      </c>
      <c r="O1705">
        <v>-0.1975973</v>
      </c>
      <c r="P1705">
        <v>-0.99841299999999999</v>
      </c>
      <c r="Q1705">
        <v>2.0690960000000001E-2</v>
      </c>
      <c r="R1705">
        <v>-5.2379370000000001E-2</v>
      </c>
      <c r="S1705">
        <v>-3.0020289999999998</v>
      </c>
      <c r="T1705">
        <v>1.1249179999999999E-2</v>
      </c>
      <c r="U1705">
        <v>-5.7891850000000002E-2</v>
      </c>
      <c r="V1705">
        <v>0.14651529999999999</v>
      </c>
      <c r="W1705">
        <v>3.297286E-2</v>
      </c>
      <c r="X1705">
        <v>0.9886587</v>
      </c>
      <c r="Y1705">
        <v>0.17867930000000001</v>
      </c>
      <c r="Z1705">
        <v>-1.0711469999999999E-3</v>
      </c>
      <c r="AA1705">
        <v>0.98390679999999997</v>
      </c>
      <c r="AB1705">
        <v>22</v>
      </c>
      <c r="AC1705">
        <v>-308.01560000000001</v>
      </c>
      <c r="AD1705">
        <v>1.154909</v>
      </c>
      <c r="AE1705">
        <v>-5.9111000000000304</v>
      </c>
      <c r="AF1705">
        <v>55.074443982200698</v>
      </c>
      <c r="AG1705">
        <v>1.154909</v>
      </c>
      <c r="AH1705">
        <v>303.10507912811102</v>
      </c>
      <c r="AI1705">
        <v>89.785206173128998</v>
      </c>
      <c r="AJ1705">
        <v>79.701662355570903</v>
      </c>
      <c r="AK1705">
        <v>308.070149784112</v>
      </c>
      <c r="AL1705">
        <v>88.110451758356405</v>
      </c>
      <c r="AM1705">
        <v>81.570346168838597</v>
      </c>
      <c r="AN1705">
        <v>0.99999998385817901</v>
      </c>
    </row>
    <row r="1706" spans="1:40" x14ac:dyDescent="0.25">
      <c r="A1706" t="str">
        <f>"20190312151018484"</f>
        <v>20190312151018484</v>
      </c>
      <c r="B1706" t="str">
        <f>"1552374618472423"</f>
        <v>1552374618472423</v>
      </c>
      <c r="C1706" t="s">
        <v>40</v>
      </c>
      <c r="D1706">
        <v>5.5336589999999903</v>
      </c>
      <c r="E1706">
        <v>0.50953789999999999</v>
      </c>
      <c r="F1706" t="s">
        <v>46</v>
      </c>
      <c r="G1706">
        <v>-455.34710000000001</v>
      </c>
      <c r="H1706">
        <v>1.539625</v>
      </c>
      <c r="I1706">
        <v>277.06610000000001</v>
      </c>
      <c r="J1706">
        <v>-205.0446</v>
      </c>
      <c r="K1706">
        <v>1.1038250000000001</v>
      </c>
      <c r="L1706">
        <v>280.6902</v>
      </c>
      <c r="M1706">
        <v>-0.98248429999999998</v>
      </c>
      <c r="N1706">
        <v>0</v>
      </c>
      <c r="O1706">
        <v>-0.1857557</v>
      </c>
      <c r="P1706">
        <v>-0.99875060000000004</v>
      </c>
      <c r="Q1706">
        <v>2.085101E-2</v>
      </c>
      <c r="R1706">
        <v>-4.5415360000000002E-2</v>
      </c>
      <c r="S1706">
        <v>-3.0023650000000002</v>
      </c>
      <c r="T1706">
        <v>5.2235129999999999E-3</v>
      </c>
      <c r="U1706">
        <v>-4.3823239999999999E-2</v>
      </c>
      <c r="V1706">
        <v>0.14147789999999999</v>
      </c>
      <c r="W1706">
        <v>3.3217339999999998E-2</v>
      </c>
      <c r="X1706">
        <v>0.98938389999999998</v>
      </c>
      <c r="Y1706">
        <v>0.17141509999999999</v>
      </c>
      <c r="Z1706">
        <v>-4.7077300000000001E-4</v>
      </c>
      <c r="AA1706">
        <v>0.98519880000000004</v>
      </c>
      <c r="AB1706">
        <v>22</v>
      </c>
      <c r="AC1706">
        <v>-250.30250000000001</v>
      </c>
      <c r="AD1706">
        <v>0.43580000000000002</v>
      </c>
      <c r="AE1706">
        <v>-3.6240999999999901</v>
      </c>
      <c r="AF1706">
        <v>42.9390757315294</v>
      </c>
      <c r="AG1706">
        <v>0.43580000000000002</v>
      </c>
      <c r="AH1706">
        <v>246.61778431578799</v>
      </c>
      <c r="AI1706">
        <v>89.900252956757797</v>
      </c>
      <c r="AJ1706">
        <v>80.1231377241443</v>
      </c>
      <c r="AK1706">
        <v>250.32835573931001</v>
      </c>
      <c r="AL1706">
        <v>88.096436333885705</v>
      </c>
      <c r="AM1706">
        <v>81.862103267118499</v>
      </c>
      <c r="AN1706">
        <v>0.99999994472214604</v>
      </c>
    </row>
    <row r="1707" spans="1:40" x14ac:dyDescent="0.25">
      <c r="A1707" t="str">
        <f>"20190312151018496"</f>
        <v>20190312151018496</v>
      </c>
      <c r="B1707" t="str">
        <f>"1552374618492919"</f>
        <v>1552374618492919</v>
      </c>
      <c r="C1707" t="s">
        <v>40</v>
      </c>
      <c r="D1707">
        <v>6.00563</v>
      </c>
      <c r="E1707">
        <v>0.50838509999999903</v>
      </c>
      <c r="F1707" t="s">
        <v>52</v>
      </c>
      <c r="G1707">
        <v>-250.8449</v>
      </c>
      <c r="H1707" s="1">
        <v>-1.087194E-6</v>
      </c>
      <c r="I1707">
        <v>279.82819999999998</v>
      </c>
      <c r="J1707">
        <v>-205.17869999999999</v>
      </c>
      <c r="K1707">
        <v>1.1038300000000001</v>
      </c>
      <c r="L1707">
        <v>280.67259999999999</v>
      </c>
      <c r="M1707">
        <v>-0.98374209999999995</v>
      </c>
      <c r="N1707">
        <v>0</v>
      </c>
      <c r="O1707">
        <v>-0.1789753</v>
      </c>
      <c r="P1707">
        <v>-0.99895820000000002</v>
      </c>
      <c r="Q1707">
        <v>2.0362640000000001E-2</v>
      </c>
      <c r="R1707">
        <v>-4.0841839999999997E-2</v>
      </c>
      <c r="S1707">
        <v>-3.0027159999999999</v>
      </c>
      <c r="T1707">
        <v>-7.2368139999999997E-2</v>
      </c>
      <c r="U1707">
        <v>-5.6518550000000001E-2</v>
      </c>
      <c r="V1707">
        <v>0.13917689999999999</v>
      </c>
      <c r="W1707">
        <v>3.2767449999999997E-2</v>
      </c>
      <c r="X1707">
        <v>0.98972519999999997</v>
      </c>
      <c r="Y1707">
        <v>0.16034999999999999</v>
      </c>
      <c r="Z1707">
        <v>6.2253959999999898E-3</v>
      </c>
      <c r="AA1707">
        <v>0.98704060000000005</v>
      </c>
      <c r="AB1707">
        <v>22</v>
      </c>
      <c r="AC1707">
        <v>-45.666200000000003</v>
      </c>
      <c r="AD1707">
        <v>-1.10383108719399</v>
      </c>
      <c r="AE1707">
        <v>-0.84440000000000703</v>
      </c>
      <c r="AF1707">
        <v>7.3389688384283804</v>
      </c>
      <c r="AG1707">
        <v>-1.10383108719399</v>
      </c>
      <c r="AH1707">
        <v>45.053519478145503</v>
      </c>
      <c r="AI1707">
        <v>91.385240252137393</v>
      </c>
      <c r="AJ1707">
        <v>80.748095551437302</v>
      </c>
      <c r="AK1707">
        <v>45.660689044823997</v>
      </c>
      <c r="AL1707">
        <v>88.122227171743404</v>
      </c>
      <c r="AM1707">
        <v>81.995453155139401</v>
      </c>
      <c r="AN1707">
        <v>0.99999994339407405</v>
      </c>
    </row>
    <row r="1708" spans="1:40" x14ac:dyDescent="0.25">
      <c r="A1708" t="str">
        <f>"20190312151018515"</f>
        <v>20190312151018515</v>
      </c>
      <c r="B1708" t="str">
        <f>"1552374618512439"</f>
        <v>1552374618512439</v>
      </c>
      <c r="C1708" t="s">
        <v>40</v>
      </c>
      <c r="D1708">
        <v>5.4002420000000004</v>
      </c>
      <c r="E1708">
        <v>0.50842739999999997</v>
      </c>
      <c r="F1708" t="s">
        <v>52</v>
      </c>
      <c r="G1708">
        <v>-247.49590000000001</v>
      </c>
      <c r="H1708" s="1">
        <v>2.4521519999999999E-6</v>
      </c>
      <c r="I1708">
        <v>279.9418</v>
      </c>
      <c r="J1708">
        <v>-205.3588</v>
      </c>
      <c r="K1708">
        <v>1.103828</v>
      </c>
      <c r="L1708">
        <v>280.6506</v>
      </c>
      <c r="M1708">
        <v>-0.98535640000000002</v>
      </c>
      <c r="N1708">
        <v>0</v>
      </c>
      <c r="O1708">
        <v>-0.16986379999999901</v>
      </c>
      <c r="P1708">
        <v>-0.99919080000000005</v>
      </c>
      <c r="Q1708">
        <v>1.7819310000000001E-2</v>
      </c>
      <c r="R1708">
        <v>-3.605763E-2</v>
      </c>
      <c r="S1708">
        <v>-3.0026090000000001</v>
      </c>
      <c r="T1708">
        <v>-7.8321929999999998E-2</v>
      </c>
      <c r="U1708">
        <v>-5.1849369999999999E-2</v>
      </c>
      <c r="V1708">
        <v>0.13472049999999999</v>
      </c>
      <c r="W1708">
        <v>3.0301999999999999E-2</v>
      </c>
      <c r="X1708">
        <v>0.99042019999999997</v>
      </c>
      <c r="Y1708">
        <v>0.15273329999999999</v>
      </c>
      <c r="Z1708">
        <v>6.4038999999999997E-3</v>
      </c>
      <c r="AA1708">
        <v>0.98824670000000003</v>
      </c>
      <c r="AB1708">
        <v>22</v>
      </c>
      <c r="AC1708">
        <v>-42.137099999999997</v>
      </c>
      <c r="AD1708">
        <v>-1.1038255478479999</v>
      </c>
      <c r="AE1708">
        <v>-0.70879999999999599</v>
      </c>
      <c r="AF1708">
        <v>6.4554262059625502</v>
      </c>
      <c r="AG1708">
        <v>-1.1038255478479999</v>
      </c>
      <c r="AH1708">
        <v>41.616471619421802</v>
      </c>
      <c r="AI1708">
        <v>91.501396559971298</v>
      </c>
      <c r="AJ1708">
        <v>81.182715451610207</v>
      </c>
      <c r="AK1708">
        <v>42.128632405892901</v>
      </c>
      <c r="AL1708">
        <v>88.263557480499799</v>
      </c>
      <c r="AM1708">
        <v>82.253963032519707</v>
      </c>
      <c r="AN1708">
        <v>0.99999999844614496</v>
      </c>
    </row>
    <row r="1709" spans="1:40" x14ac:dyDescent="0.25">
      <c r="A1709" t="str">
        <f>"20190312151018536"</f>
        <v>20190312151018536</v>
      </c>
      <c r="B1709" t="str">
        <f>"1552374618532936"</f>
        <v>1552374618532936</v>
      </c>
      <c r="C1709" t="s">
        <v>40</v>
      </c>
      <c r="D1709">
        <v>5.8363909999999999</v>
      </c>
      <c r="E1709">
        <v>0.50850399999999996</v>
      </c>
      <c r="F1709" t="s">
        <v>52</v>
      </c>
      <c r="G1709">
        <v>-242.32509999999999</v>
      </c>
      <c r="H1709" s="1">
        <v>-2.9947420000000001E-7</v>
      </c>
      <c r="I1709">
        <v>280.19560000000001</v>
      </c>
      <c r="J1709">
        <v>-205.57</v>
      </c>
      <c r="K1709">
        <v>1.1038190000000001</v>
      </c>
      <c r="L1709">
        <v>280.6268</v>
      </c>
      <c r="M1709">
        <v>-0.98714049999999998</v>
      </c>
      <c r="N1709">
        <v>0</v>
      </c>
      <c r="O1709">
        <v>-0.15916959999999999</v>
      </c>
      <c r="P1709">
        <v>-0.99949690000000002</v>
      </c>
      <c r="Q1709">
        <v>1.284561E-2</v>
      </c>
      <c r="R1709">
        <v>-2.900115E-2</v>
      </c>
      <c r="S1709">
        <v>-3.0027010000000001</v>
      </c>
      <c r="T1709">
        <v>-8.966172E-2</v>
      </c>
      <c r="U1709">
        <v>-3.6956790000000003E-2</v>
      </c>
      <c r="V1709">
        <v>0.130903399999999</v>
      </c>
      <c r="W1709">
        <v>2.539487E-2</v>
      </c>
      <c r="X1709">
        <v>0.9910698</v>
      </c>
      <c r="Y1709">
        <v>0.14688899999999999</v>
      </c>
      <c r="Z1709">
        <v>6.9282369999999899E-3</v>
      </c>
      <c r="AA1709">
        <v>0.98912869999999997</v>
      </c>
      <c r="AB1709">
        <v>22</v>
      </c>
      <c r="AC1709">
        <v>-36.755099999999999</v>
      </c>
      <c r="AD1709">
        <v>-1.1038192994742</v>
      </c>
      <c r="AE1709">
        <v>-0.43119999999998898</v>
      </c>
      <c r="AF1709">
        <v>5.4203448233782803</v>
      </c>
      <c r="AG1709">
        <v>-1.1038192994742</v>
      </c>
      <c r="AH1709">
        <v>36.322302097062902</v>
      </c>
      <c r="AI1709">
        <v>91.721606341549801</v>
      </c>
      <c r="AJ1709">
        <v>81.512436069849798</v>
      </c>
      <c r="AK1709">
        <v>36.741096672262202</v>
      </c>
      <c r="AL1709">
        <v>88.5448246543518</v>
      </c>
      <c r="AM1709">
        <v>82.47575973056</v>
      </c>
      <c r="AN1709">
        <v>0.99999997401295804</v>
      </c>
    </row>
    <row r="1710" spans="1:40" x14ac:dyDescent="0.25">
      <c r="A1710" t="str">
        <f>"20190312151018549"</f>
        <v>20190312151018549</v>
      </c>
      <c r="B1710" t="str">
        <f>"1552374618542696"</f>
        <v>1552374618542696</v>
      </c>
      <c r="C1710" t="s">
        <v>40</v>
      </c>
      <c r="D1710">
        <v>4.9908210000000004</v>
      </c>
      <c r="E1710">
        <v>0.50813920000000001</v>
      </c>
      <c r="F1710" t="s">
        <v>52</v>
      </c>
      <c r="G1710">
        <v>-238.10759999999999</v>
      </c>
      <c r="H1710" s="1">
        <v>2.9593059999999999E-6</v>
      </c>
      <c r="I1710">
        <v>280.46140000000003</v>
      </c>
      <c r="J1710">
        <v>-205.6985</v>
      </c>
      <c r="K1710">
        <v>1.103817</v>
      </c>
      <c r="L1710">
        <v>280.61380000000003</v>
      </c>
      <c r="M1710">
        <v>-0.98816720000000002</v>
      </c>
      <c r="N1710">
        <v>0</v>
      </c>
      <c r="O1710">
        <v>-0.1526672</v>
      </c>
      <c r="P1710">
        <v>-0.99965970000000004</v>
      </c>
      <c r="Q1710">
        <v>1.006197E-2</v>
      </c>
      <c r="R1710">
        <v>-2.4072719999999999E-2</v>
      </c>
      <c r="S1710">
        <v>-3.0023960000000001</v>
      </c>
      <c r="T1710">
        <v>-0.10185420000000001</v>
      </c>
      <c r="U1710">
        <v>-1.525879E-2</v>
      </c>
      <c r="V1710">
        <v>0.12922400000000001</v>
      </c>
      <c r="W1710">
        <v>2.2639550000000001E-2</v>
      </c>
      <c r="X1710">
        <v>0.99135700000000004</v>
      </c>
      <c r="Y1710">
        <v>0.14748720000000001</v>
      </c>
      <c r="Z1710">
        <v>7.6633639999999998E-3</v>
      </c>
      <c r="AA1710">
        <v>0.98903430000000003</v>
      </c>
      <c r="AB1710">
        <v>22</v>
      </c>
      <c r="AC1710">
        <v>-32.409099999999903</v>
      </c>
      <c r="AD1710">
        <v>-1.103814040694</v>
      </c>
      <c r="AE1710">
        <v>-0.15240000000000001</v>
      </c>
      <c r="AF1710">
        <v>4.7921747990346697</v>
      </c>
      <c r="AG1710">
        <v>-1.103814040694</v>
      </c>
      <c r="AH1710">
        <v>32.015238118755697</v>
      </c>
      <c r="AI1710">
        <v>91.952909076578806</v>
      </c>
      <c r="AJ1710">
        <v>81.486931946597295</v>
      </c>
      <c r="AK1710">
        <v>32.3907211488347</v>
      </c>
      <c r="AL1710">
        <v>88.702738560666305</v>
      </c>
      <c r="AM1710">
        <v>82.573333550902206</v>
      </c>
      <c r="AN1710">
        <v>1.0000000464245999</v>
      </c>
    </row>
    <row r="1711" spans="1:40" x14ac:dyDescent="0.25">
      <c r="A1711" t="str">
        <f>"20190312151018571"</f>
        <v>20190312151018571</v>
      </c>
      <c r="B1711" t="str">
        <f>"1552374618562215"</f>
        <v>1552374618562215</v>
      </c>
      <c r="C1711" t="s">
        <v>40</v>
      </c>
      <c r="D1711">
        <v>5.4295229999999997</v>
      </c>
      <c r="E1711">
        <v>0.50829150000000001</v>
      </c>
      <c r="F1711" t="s">
        <v>52</v>
      </c>
      <c r="G1711">
        <v>-236.5453</v>
      </c>
      <c r="H1711" s="1">
        <v>2.1227579999999999E-6</v>
      </c>
      <c r="I1711">
        <v>280.57889999999998</v>
      </c>
      <c r="J1711">
        <v>-205.90530000000001</v>
      </c>
      <c r="K1711">
        <v>1.1038190000000001</v>
      </c>
      <c r="L1711">
        <v>280.5942</v>
      </c>
      <c r="M1711">
        <v>-0.98972879999999996</v>
      </c>
      <c r="N1711">
        <v>0</v>
      </c>
      <c r="O1711">
        <v>-0.14219189999999901</v>
      </c>
      <c r="P1711">
        <v>-0.99984839999999997</v>
      </c>
      <c r="Q1711">
        <v>5.3845330000000004E-3</v>
      </c>
      <c r="R1711">
        <v>-1.6566029999999999E-2</v>
      </c>
      <c r="S1711">
        <v>-3.0019990000000001</v>
      </c>
      <c r="T1711">
        <v>-0.1074228</v>
      </c>
      <c r="U1711">
        <v>-3.3874510000000001E-3</v>
      </c>
      <c r="V1711">
        <v>0.12609480000000001</v>
      </c>
      <c r="W1711">
        <v>1.8016620000000001E-2</v>
      </c>
      <c r="X1711">
        <v>0.99185449999999997</v>
      </c>
      <c r="Y1711">
        <v>0.1409097</v>
      </c>
      <c r="Z1711">
        <v>7.5943240000000004E-3</v>
      </c>
      <c r="AA1711">
        <v>0.98999329999999996</v>
      </c>
      <c r="AB1711">
        <v>22</v>
      </c>
      <c r="AC1711">
        <v>-30.639999999999901</v>
      </c>
      <c r="AD1711">
        <v>-1.1038168772420001</v>
      </c>
      <c r="AE1711">
        <v>-1.53000000000247E-2</v>
      </c>
      <c r="AF1711">
        <v>4.3364630997917404</v>
      </c>
      <c r="AG1711">
        <v>-1.1038168772420001</v>
      </c>
      <c r="AH1711">
        <v>30.2914647077396</v>
      </c>
      <c r="AI1711">
        <v>92.065883653120807</v>
      </c>
      <c r="AJ1711">
        <v>81.8530097275695</v>
      </c>
      <c r="AK1711">
        <v>30.620191998982801</v>
      </c>
      <c r="AL1711">
        <v>88.967667779528696</v>
      </c>
      <c r="AM1711">
        <v>82.754833666975898</v>
      </c>
      <c r="AN1711">
        <v>0.99999992317675401</v>
      </c>
    </row>
    <row r="1712" spans="1:40" x14ac:dyDescent="0.25">
      <c r="A1712" t="str">
        <f>"20190312151018593"</f>
        <v>20190312151018593</v>
      </c>
      <c r="B1712" t="str">
        <f>"1552374618582715"</f>
        <v>1552374618582715</v>
      </c>
      <c r="C1712" t="s">
        <v>40</v>
      </c>
      <c r="D1712">
        <v>5.4363789999999996</v>
      </c>
      <c r="E1712">
        <v>0.50824780000000003</v>
      </c>
      <c r="F1712" t="s">
        <v>52</v>
      </c>
      <c r="G1712">
        <v>-235.8203</v>
      </c>
      <c r="H1712" s="1">
        <v>1.7274049999999999E-6</v>
      </c>
      <c r="I1712">
        <v>280.7971</v>
      </c>
      <c r="J1712">
        <v>-206.12809999999999</v>
      </c>
      <c r="K1712">
        <v>1.10382</v>
      </c>
      <c r="L1712">
        <v>280.57549999999998</v>
      </c>
      <c r="M1712">
        <v>-0.99128539999999998</v>
      </c>
      <c r="N1712">
        <v>0</v>
      </c>
      <c r="O1712">
        <v>-0.1309024</v>
      </c>
      <c r="P1712">
        <v>-0.9999574</v>
      </c>
      <c r="Q1712">
        <v>7.7968459999999999E-4</v>
      </c>
      <c r="R1712">
        <v>-9.2173629999999993E-3</v>
      </c>
      <c r="S1712">
        <v>-3.0013730000000001</v>
      </c>
      <c r="T1712">
        <v>-0.1107461</v>
      </c>
      <c r="U1712">
        <v>2.035522E-2</v>
      </c>
      <c r="V1712">
        <v>0.1220053</v>
      </c>
      <c r="W1712">
        <v>1.3481989999999999E-2</v>
      </c>
      <c r="X1712">
        <v>0.99243789999999998</v>
      </c>
      <c r="Y1712">
        <v>0.13745479999999999</v>
      </c>
      <c r="Z1712">
        <v>7.354073E-3</v>
      </c>
      <c r="AA1712">
        <v>0.99048069999999999</v>
      </c>
      <c r="AB1712">
        <v>22</v>
      </c>
      <c r="AC1712">
        <v>-29.6922</v>
      </c>
      <c r="AD1712">
        <v>-1.1038182725949901</v>
      </c>
      <c r="AE1712">
        <v>0.221600000000023</v>
      </c>
      <c r="AF1712">
        <v>4.1012287737792601</v>
      </c>
      <c r="AG1712">
        <v>-1.1038182725949901</v>
      </c>
      <c r="AH1712">
        <v>29.367056072915101</v>
      </c>
      <c r="AI1712">
        <v>92.131891029406404</v>
      </c>
      <c r="AJ1712">
        <v>82.049830096857505</v>
      </c>
      <c r="AK1712">
        <v>29.672587932695201</v>
      </c>
      <c r="AL1712">
        <v>89.227515487173704</v>
      </c>
      <c r="AM1712">
        <v>82.991511675324901</v>
      </c>
      <c r="AN1712">
        <v>1.00000002131942</v>
      </c>
    </row>
    <row r="1713" spans="1:40" x14ac:dyDescent="0.25">
      <c r="A1713" t="str">
        <f>"20190312151018617"</f>
        <v>20190312151018617</v>
      </c>
      <c r="B1713" t="str">
        <f>"1552374618611992"</f>
        <v>1552374618611992</v>
      </c>
      <c r="C1713" t="s">
        <v>40</v>
      </c>
      <c r="D1713">
        <v>5.5705419999999997</v>
      </c>
      <c r="E1713">
        <v>0.50744579999999995</v>
      </c>
      <c r="F1713" t="s">
        <v>52</v>
      </c>
      <c r="G1713">
        <v>-235.35220000000001</v>
      </c>
      <c r="H1713" s="1">
        <v>1.4702520000000001E-6</v>
      </c>
      <c r="I1713">
        <v>280.9821</v>
      </c>
      <c r="J1713">
        <v>-206.3586</v>
      </c>
      <c r="K1713">
        <v>1.1038399999999999</v>
      </c>
      <c r="L1713">
        <v>280.55880000000002</v>
      </c>
      <c r="M1713">
        <v>-0.99275820000000004</v>
      </c>
      <c r="N1713">
        <v>0</v>
      </c>
      <c r="O1713">
        <v>-0.1192192</v>
      </c>
      <c r="P1713">
        <v>-0.99999930000000004</v>
      </c>
      <c r="Q1713">
        <v>6.1504729999999996E-4</v>
      </c>
      <c r="R1713">
        <v>1.097864E-3</v>
      </c>
      <c r="S1713">
        <v>-3.0005950000000001</v>
      </c>
      <c r="T1713">
        <v>-0.1133349</v>
      </c>
      <c r="U1713">
        <v>4.1748050000000002E-2</v>
      </c>
      <c r="V1713">
        <v>0.12055109999999999</v>
      </c>
      <c r="W1713">
        <v>1.334133E-2</v>
      </c>
      <c r="X1713">
        <v>0.99261750000000004</v>
      </c>
      <c r="Y1713">
        <v>0.13285379999999899</v>
      </c>
      <c r="Z1713">
        <v>7.0025280000000001E-3</v>
      </c>
      <c r="AA1713">
        <v>0.99111090000000002</v>
      </c>
      <c r="AB1713">
        <v>22</v>
      </c>
      <c r="AC1713">
        <v>-28.993600000000001</v>
      </c>
      <c r="AD1713">
        <v>-1.103838529748</v>
      </c>
      <c r="AE1713">
        <v>0.42329999999998302</v>
      </c>
      <c r="AF1713">
        <v>3.8716402684323099</v>
      </c>
      <c r="AG1713">
        <v>-1.103838529748</v>
      </c>
      <c r="AH1713">
        <v>28.694717170036999</v>
      </c>
      <c r="AI1713">
        <v>92.183224513076496</v>
      </c>
      <c r="AJ1713">
        <v>82.3157616490018</v>
      </c>
      <c r="AK1713">
        <v>28.975763170904099</v>
      </c>
      <c r="AL1713">
        <v>89.235575442945105</v>
      </c>
      <c r="AM1713">
        <v>83.075471729414602</v>
      </c>
      <c r="AN1713">
        <v>1.0000000300518099</v>
      </c>
    </row>
    <row r="1714" spans="1:40" x14ac:dyDescent="0.25">
      <c r="A1714" t="str">
        <f>"20190312151018640"</f>
        <v>20190312151018640</v>
      </c>
      <c r="B1714" t="str">
        <f>"1552374618632488"</f>
        <v>1552374618632488</v>
      </c>
      <c r="C1714" t="s">
        <v>40</v>
      </c>
      <c r="D1714">
        <v>5.5076549999999997</v>
      </c>
      <c r="E1714">
        <v>0.50691160000000002</v>
      </c>
      <c r="F1714" t="s">
        <v>52</v>
      </c>
      <c r="G1714">
        <v>-238.62029999999999</v>
      </c>
      <c r="H1714" s="1">
        <v>3.1967740000000002E-6</v>
      </c>
      <c r="I1714">
        <v>281.2697</v>
      </c>
      <c r="J1714">
        <v>-206.5788</v>
      </c>
      <c r="K1714">
        <v>1.103864</v>
      </c>
      <c r="L1714">
        <v>280.54559999999998</v>
      </c>
      <c r="M1714">
        <v>-0.99403520000000001</v>
      </c>
      <c r="N1714">
        <v>0</v>
      </c>
      <c r="O1714">
        <v>-0.1080575</v>
      </c>
      <c r="P1714">
        <v>-0.9999268</v>
      </c>
      <c r="Q1714">
        <v>2.091037E-3</v>
      </c>
      <c r="R1714">
        <v>1.191911E-2</v>
      </c>
      <c r="S1714">
        <v>-3</v>
      </c>
      <c r="T1714">
        <v>-0.1026455</v>
      </c>
      <c r="U1714">
        <v>6.6101069999999998E-2</v>
      </c>
      <c r="V1714">
        <v>0.12016250000000001</v>
      </c>
      <c r="W1714">
        <v>1.48232E-2</v>
      </c>
      <c r="X1714">
        <v>0.99264359999999996</v>
      </c>
      <c r="Y1714">
        <v>0.12980340000000001</v>
      </c>
      <c r="Z1714">
        <v>5.9114550000000004E-3</v>
      </c>
      <c r="AA1714">
        <v>0.99152209999999996</v>
      </c>
      <c r="AB1714">
        <v>22</v>
      </c>
      <c r="AC1714">
        <v>-32.0414999999999</v>
      </c>
      <c r="AD1714">
        <v>-1.103860803226</v>
      </c>
      <c r="AE1714">
        <v>0.72410000000002095</v>
      </c>
      <c r="AF1714">
        <v>4.1776046170967698</v>
      </c>
      <c r="AG1714">
        <v>-1.103860803226</v>
      </c>
      <c r="AH1714">
        <v>31.7379421977259</v>
      </c>
      <c r="AI1714">
        <v>91.974949838830497</v>
      </c>
      <c r="AJ1714">
        <v>82.501374798982695</v>
      </c>
      <c r="AK1714">
        <v>32.030733116116501</v>
      </c>
      <c r="AL1714">
        <v>89.150662125253703</v>
      </c>
      <c r="AM1714">
        <v>83.097757202229701</v>
      </c>
      <c r="AN1714">
        <v>1.0000000351427201</v>
      </c>
    </row>
    <row r="1715" spans="1:40" x14ac:dyDescent="0.25">
      <c r="A1715" t="str">
        <f>"20190312151018661"</f>
        <v>20190312151018661</v>
      </c>
      <c r="B1715" t="str">
        <f>"1552374618652008"</f>
        <v>1552374618652008</v>
      </c>
      <c r="C1715" t="s">
        <v>40</v>
      </c>
      <c r="D1715">
        <v>4.522151</v>
      </c>
      <c r="E1715">
        <v>0.50668599999999997</v>
      </c>
      <c r="F1715" t="s">
        <v>52</v>
      </c>
      <c r="G1715">
        <v>-242.673</v>
      </c>
      <c r="H1715" s="1">
        <v>-1.143668E-7</v>
      </c>
      <c r="I1715">
        <v>281.6782</v>
      </c>
      <c r="J1715">
        <v>-206.79470000000001</v>
      </c>
      <c r="K1715">
        <v>1.103893</v>
      </c>
      <c r="L1715">
        <v>280.5351</v>
      </c>
      <c r="M1715">
        <v>-0.99516499999999997</v>
      </c>
      <c r="N1715">
        <v>0</v>
      </c>
      <c r="O1715">
        <v>-9.710415E-2</v>
      </c>
      <c r="P1715">
        <v>-0.99975910000000001</v>
      </c>
      <c r="Q1715">
        <v>2.9323919999999998E-3</v>
      </c>
      <c r="R1715">
        <v>2.1753049999999999E-2</v>
      </c>
      <c r="S1715">
        <v>-2.999298</v>
      </c>
      <c r="T1715">
        <v>-9.1727139999999999E-2</v>
      </c>
      <c r="U1715">
        <v>9.4116210000000006E-2</v>
      </c>
      <c r="V1715">
        <v>0.11900620000000001</v>
      </c>
      <c r="W1715">
        <v>1.5683309999999999E-2</v>
      </c>
      <c r="X1715">
        <v>0.99276969999999998</v>
      </c>
      <c r="Y1715">
        <v>0.1281774</v>
      </c>
      <c r="Z1715">
        <v>4.9253129999999997E-3</v>
      </c>
      <c r="AA1715">
        <v>0.99173900000000004</v>
      </c>
      <c r="AB1715">
        <v>22</v>
      </c>
      <c r="AC1715">
        <v>-35.878300000000003</v>
      </c>
      <c r="AD1715">
        <v>-1.1038931143668</v>
      </c>
      <c r="AE1715">
        <v>1.1431</v>
      </c>
      <c r="AF1715">
        <v>4.6176405260825399</v>
      </c>
      <c r="AG1715">
        <v>-1.1038931143668</v>
      </c>
      <c r="AH1715">
        <v>35.564065815172498</v>
      </c>
      <c r="AI1715">
        <v>91.763075443782</v>
      </c>
      <c r="AJ1715">
        <v>82.602099509260995</v>
      </c>
      <c r="AK1715">
        <v>35.8795758244434</v>
      </c>
      <c r="AL1715">
        <v>89.101375740613094</v>
      </c>
      <c r="AM1715">
        <v>83.1644046435744</v>
      </c>
      <c r="AN1715">
        <v>1.00000005954454</v>
      </c>
    </row>
    <row r="1716" spans="1:40" x14ac:dyDescent="0.25">
      <c r="A1716" t="str">
        <f>"20190312151018684"</f>
        <v>20190312151018684</v>
      </c>
      <c r="B1716" t="str">
        <f>"1552374618682263"</f>
        <v>1552374618682263</v>
      </c>
      <c r="C1716" t="s">
        <v>40</v>
      </c>
      <c r="D1716">
        <v>5.4829919999999897</v>
      </c>
      <c r="E1716">
        <v>0.48155140000000002</v>
      </c>
      <c r="F1716" t="s">
        <v>52</v>
      </c>
      <c r="G1716">
        <v>-246.95439999999999</v>
      </c>
      <c r="H1716" s="1">
        <v>2.163995E-6</v>
      </c>
      <c r="I1716">
        <v>282.16030000000001</v>
      </c>
      <c r="J1716">
        <v>-207.01750000000001</v>
      </c>
      <c r="K1716">
        <v>1.103923</v>
      </c>
      <c r="L1716">
        <v>280.52670000000001</v>
      </c>
      <c r="M1716">
        <v>-0.99620439999999999</v>
      </c>
      <c r="N1716">
        <v>0</v>
      </c>
      <c r="O1716">
        <v>-8.5789009999999999E-2</v>
      </c>
      <c r="P1716">
        <v>-0.99952350000000001</v>
      </c>
      <c r="Q1716">
        <v>4.5654190000000002E-3</v>
      </c>
      <c r="R1716">
        <v>3.053086E-2</v>
      </c>
      <c r="S1716">
        <v>-2.9983369999999998</v>
      </c>
      <c r="T1716">
        <v>-8.241677E-2</v>
      </c>
      <c r="U1716">
        <v>0.121337899999999</v>
      </c>
      <c r="V1716">
        <v>0.1164656</v>
      </c>
      <c r="W1716">
        <v>1.736012E-2</v>
      </c>
      <c r="X1716">
        <v>0.99304300000000001</v>
      </c>
      <c r="Y1716">
        <v>0.1259345</v>
      </c>
      <c r="Z1716">
        <v>4.0855960000000004E-3</v>
      </c>
      <c r="AA1716">
        <v>0.99203010000000003</v>
      </c>
      <c r="AB1716">
        <v>21</v>
      </c>
      <c r="AC1716">
        <v>-39.936899999999902</v>
      </c>
      <c r="AD1716">
        <v>-1.1039208360049999</v>
      </c>
      <c r="AE1716">
        <v>1.6335999999999999</v>
      </c>
      <c r="AF1716">
        <v>5.0502428790382696</v>
      </c>
      <c r="AG1716">
        <v>-1.1039208360049999</v>
      </c>
      <c r="AH1716">
        <v>39.619252653879897</v>
      </c>
      <c r="AI1716">
        <v>91.5832291572234</v>
      </c>
      <c r="AJ1716">
        <v>82.7357160325286</v>
      </c>
      <c r="AK1716">
        <v>39.955084472460001</v>
      </c>
      <c r="AL1716">
        <v>89.005288429337796</v>
      </c>
      <c r="AM1716">
        <v>83.310821548029793</v>
      </c>
      <c r="AN1716">
        <v>1.00000000479938</v>
      </c>
    </row>
    <row r="1717" spans="1:40" x14ac:dyDescent="0.25">
      <c r="A1717" t="str">
        <f>"20190312151018704"</f>
        <v>20190312151018704</v>
      </c>
      <c r="B1717" t="str">
        <f>"1552374618702760"</f>
        <v>1552374618702760</v>
      </c>
      <c r="C1717" t="s">
        <v>40</v>
      </c>
      <c r="D1717">
        <v>5.520537</v>
      </c>
      <c r="E1717">
        <v>0.47984120000000002</v>
      </c>
      <c r="F1717" t="s">
        <v>60</v>
      </c>
      <c r="G1717">
        <v>-512.82590000000005</v>
      </c>
      <c r="H1717">
        <v>2.1768209999999999</v>
      </c>
      <c r="I1717">
        <v>274.88319999999999</v>
      </c>
      <c r="J1717">
        <v>-207.22049999999999</v>
      </c>
      <c r="K1717">
        <v>1.1039399999999999</v>
      </c>
      <c r="L1717">
        <v>280.52120000000002</v>
      </c>
      <c r="M1717">
        <v>-0.99703869999999895</v>
      </c>
      <c r="N1717">
        <v>0</v>
      </c>
      <c r="O1717">
        <v>-7.5478009999999998E-2</v>
      </c>
      <c r="P1717">
        <v>-0.99927909999999998</v>
      </c>
      <c r="Q1717">
        <v>4.4996790000000004E-3</v>
      </c>
      <c r="R1717">
        <v>3.7700810000000001E-2</v>
      </c>
      <c r="S1717">
        <v>-3.003082</v>
      </c>
      <c r="T1717">
        <v>1.0536790000000001E-2</v>
      </c>
      <c r="U1717">
        <v>-5.5419919999999998E-2</v>
      </c>
      <c r="V1717">
        <v>0.1133135</v>
      </c>
      <c r="W1717">
        <v>1.7348679999999998E-2</v>
      </c>
      <c r="X1717">
        <v>0.99340779999999995</v>
      </c>
      <c r="Y1717">
        <v>5.707396E-2</v>
      </c>
      <c r="Z1717">
        <v>-3.6471430000000003E-4</v>
      </c>
      <c r="AA1717">
        <v>0.99836990000000003</v>
      </c>
      <c r="AB1717">
        <v>21</v>
      </c>
      <c r="AC1717">
        <v>-305.60539999999997</v>
      </c>
      <c r="AD1717">
        <v>1.072881</v>
      </c>
      <c r="AE1717">
        <v>-5.6380000000000301</v>
      </c>
      <c r="AF1717">
        <v>17.446860534296299</v>
      </c>
      <c r="AG1717">
        <v>1.072881</v>
      </c>
      <c r="AH1717">
        <v>305.15529244291599</v>
      </c>
      <c r="AI1717">
        <v>89.7988857535547</v>
      </c>
      <c r="AJ1717">
        <v>86.727750031353295</v>
      </c>
      <c r="AK1717">
        <v>305.655519371178</v>
      </c>
      <c r="AL1717">
        <v>89.005943978597799</v>
      </c>
      <c r="AM1717">
        <v>83.492656502108801</v>
      </c>
      <c r="AN1717">
        <v>0.99999999154041597</v>
      </c>
    </row>
    <row r="1718" spans="1:40" x14ac:dyDescent="0.25">
      <c r="A1718" t="str">
        <f>"20190312151018727"</f>
        <v>20190312151018727</v>
      </c>
      <c r="B1718" t="str">
        <f>"1552374618722280"</f>
        <v>1552374618722280</v>
      </c>
      <c r="C1718" t="s">
        <v>40</v>
      </c>
      <c r="D1718">
        <v>5.5756269999999999</v>
      </c>
      <c r="E1718">
        <v>0.47853849999999998</v>
      </c>
      <c r="F1718" t="s">
        <v>60</v>
      </c>
      <c r="G1718">
        <v>-511.959</v>
      </c>
      <c r="H1718">
        <v>1.0688850000000001</v>
      </c>
      <c r="I1718">
        <v>275.74119999999999</v>
      </c>
      <c r="J1718">
        <v>-207.4307</v>
      </c>
      <c r="K1718">
        <v>1.1039559999999999</v>
      </c>
      <c r="L1718">
        <v>280.51780000000002</v>
      </c>
      <c r="M1718">
        <v>-0.99779019999999996</v>
      </c>
      <c r="N1718">
        <v>0</v>
      </c>
      <c r="O1718">
        <v>-6.4790790000000001E-2</v>
      </c>
      <c r="P1718">
        <v>-0.9989614</v>
      </c>
      <c r="Q1718">
        <v>3.0743960000000001E-3</v>
      </c>
      <c r="R1718">
        <v>4.5462830000000003E-2</v>
      </c>
      <c r="S1718">
        <v>-3.003952</v>
      </c>
      <c r="T1718">
        <v>-3.4475329999999999E-4</v>
      </c>
      <c r="U1718">
        <v>-4.7119139999999997E-2</v>
      </c>
      <c r="V1718">
        <v>0.11036360000000001</v>
      </c>
      <c r="W1718">
        <v>1.5973669999999999E-2</v>
      </c>
      <c r="X1718">
        <v>0.9937629</v>
      </c>
      <c r="Y1718">
        <v>4.9139019999999999E-2</v>
      </c>
      <c r="Z1718" s="1">
        <v>1.02509E-5</v>
      </c>
      <c r="AA1718">
        <v>0.99879189999999995</v>
      </c>
      <c r="AB1718">
        <v>21</v>
      </c>
      <c r="AC1718">
        <v>-304.5283</v>
      </c>
      <c r="AD1718">
        <v>-3.5070999999999797E-2</v>
      </c>
      <c r="AE1718">
        <v>-4.7766000000000304</v>
      </c>
      <c r="AF1718">
        <v>14.9662072176459</v>
      </c>
      <c r="AG1718">
        <v>-3.5070999999999797E-2</v>
      </c>
      <c r="AH1718">
        <v>304.197816543805</v>
      </c>
      <c r="AI1718">
        <v>90.006597656641503</v>
      </c>
      <c r="AJ1718">
        <v>87.183380039414402</v>
      </c>
      <c r="AK1718">
        <v>304.56575673978</v>
      </c>
      <c r="AL1718">
        <v>89.084737192624701</v>
      </c>
      <c r="AM1718">
        <v>83.662912171347998</v>
      </c>
      <c r="AN1718">
        <v>0.99999999187731903</v>
      </c>
    </row>
    <row r="1719" spans="1:40" x14ac:dyDescent="0.25">
      <c r="A1719" t="str">
        <f>"20190312151018749"</f>
        <v>20190312151018749</v>
      </c>
      <c r="B1719" t="str">
        <f>"1552374618742775"</f>
        <v>1552374618742775</v>
      </c>
      <c r="C1719" t="s">
        <v>40</v>
      </c>
      <c r="D1719">
        <v>5.5301439999999999</v>
      </c>
      <c r="E1719">
        <v>0.47730139999999999</v>
      </c>
      <c r="F1719" t="s">
        <v>52</v>
      </c>
      <c r="G1719">
        <v>-440.63690000000003</v>
      </c>
      <c r="H1719">
        <v>8.0001580000000003E-2</v>
      </c>
      <c r="I1719">
        <v>277.87209999999999</v>
      </c>
      <c r="J1719">
        <v>-207.64930000000001</v>
      </c>
      <c r="K1719">
        <v>1.103974</v>
      </c>
      <c r="L1719">
        <v>280.51659999999998</v>
      </c>
      <c r="M1719">
        <v>-0.99845050000000002</v>
      </c>
      <c r="N1719">
        <v>0</v>
      </c>
      <c r="O1719">
        <v>-5.3665860000000003E-2</v>
      </c>
      <c r="P1719">
        <v>-0.99858899999999995</v>
      </c>
      <c r="Q1719">
        <v>2.545846E-3</v>
      </c>
      <c r="R1719">
        <v>5.3040709999999998E-2</v>
      </c>
      <c r="S1719">
        <v>-3.004715</v>
      </c>
      <c r="T1719">
        <v>-1.319301E-2</v>
      </c>
      <c r="U1719">
        <v>-3.4088130000000001E-2</v>
      </c>
      <c r="V1719">
        <v>0.10681690000000001</v>
      </c>
      <c r="W1719">
        <v>1.5505949999999999E-2</v>
      </c>
      <c r="X1719">
        <v>0.99415779999999998</v>
      </c>
      <c r="Y1719">
        <v>4.2339500000000002E-2</v>
      </c>
      <c r="Z1719">
        <v>3.2849639999999998E-4</v>
      </c>
      <c r="AA1719">
        <v>0.99910319999999997</v>
      </c>
      <c r="AB1719">
        <v>21</v>
      </c>
      <c r="AC1719">
        <v>-232.98759999999999</v>
      </c>
      <c r="AD1719">
        <v>-1.02397242</v>
      </c>
      <c r="AE1719">
        <v>-2.6444999999999901</v>
      </c>
      <c r="AF1719">
        <v>9.8639552903914804</v>
      </c>
      <c r="AG1719">
        <v>-1.02397242</v>
      </c>
      <c r="AH1719">
        <v>232.78921912699099</v>
      </c>
      <c r="AI1719">
        <v>90.251799986250006</v>
      </c>
      <c r="AJ1719">
        <v>87.573662859533201</v>
      </c>
      <c r="AK1719">
        <v>233.00035767191901</v>
      </c>
      <c r="AL1719">
        <v>89.1115389095214</v>
      </c>
      <c r="AM1719">
        <v>83.867403870163997</v>
      </c>
      <c r="AN1719">
        <v>1.0000000079559199</v>
      </c>
    </row>
    <row r="1720" spans="1:40" x14ac:dyDescent="0.25">
      <c r="A1720" t="str">
        <f>"20190312151018772"</f>
        <v>20190312151018772</v>
      </c>
      <c r="B1720" t="str">
        <f>"1552374618762295"</f>
        <v>1552374618762295</v>
      </c>
      <c r="C1720" t="s">
        <v>40</v>
      </c>
      <c r="D1720">
        <v>4.9380480000000002</v>
      </c>
      <c r="E1720">
        <v>0.4762729</v>
      </c>
      <c r="F1720" t="s">
        <v>52</v>
      </c>
      <c r="G1720">
        <v>-348.70460000000003</v>
      </c>
      <c r="H1720">
        <v>8.0000370000000001E-2</v>
      </c>
      <c r="I1720">
        <v>279.53120000000001</v>
      </c>
      <c r="J1720">
        <v>-207.87</v>
      </c>
      <c r="K1720">
        <v>1.1039969999999999</v>
      </c>
      <c r="L1720">
        <v>280.51780000000002</v>
      </c>
      <c r="M1720">
        <v>-0.99899130000000003</v>
      </c>
      <c r="N1720">
        <v>0</v>
      </c>
      <c r="O1720">
        <v>-4.2425549999999999E-2</v>
      </c>
      <c r="P1720">
        <v>-0.9981352</v>
      </c>
      <c r="Q1720">
        <v>3.2138750000000002E-3</v>
      </c>
      <c r="R1720">
        <v>6.0961090000000002E-2</v>
      </c>
      <c r="S1720">
        <v>-3.0054319999999999</v>
      </c>
      <c r="T1720">
        <v>-2.181756E-2</v>
      </c>
      <c r="U1720">
        <v>-2.0996089999999999E-2</v>
      </c>
      <c r="V1720">
        <v>0.1035243</v>
      </c>
      <c r="W1720">
        <v>1.6229219999999999E-2</v>
      </c>
      <c r="X1720">
        <v>0.99449449999999995</v>
      </c>
      <c r="Y1720">
        <v>3.5447480000000003E-2</v>
      </c>
      <c r="Z1720">
        <v>4.3658800000000002E-4</v>
      </c>
      <c r="AA1720">
        <v>0.99937149999999997</v>
      </c>
      <c r="AB1720">
        <v>21</v>
      </c>
      <c r="AC1720">
        <v>-140.83459999999999</v>
      </c>
      <c r="AD1720">
        <v>-1.0239966300000001</v>
      </c>
      <c r="AE1720">
        <v>-0.98660000000001002</v>
      </c>
      <c r="AF1720">
        <v>4.9896568524964504</v>
      </c>
      <c r="AG1720">
        <v>-1.0239966300000001</v>
      </c>
      <c r="AH1720">
        <v>140.74219086435801</v>
      </c>
      <c r="AI1720">
        <v>90.4165972925707</v>
      </c>
      <c r="AJ1720">
        <v>87.969574064921602</v>
      </c>
      <c r="AK1720">
        <v>140.83433364738701</v>
      </c>
      <c r="AL1720">
        <v>89.070093355330599</v>
      </c>
      <c r="AM1720">
        <v>84.057062591539307</v>
      </c>
      <c r="AN1720">
        <v>0.99999998940127399</v>
      </c>
    </row>
    <row r="1721" spans="1:40" x14ac:dyDescent="0.25">
      <c r="A1721" t="str">
        <f>"20190312151018793"</f>
        <v>20190312151018793</v>
      </c>
      <c r="B1721" t="str">
        <f>"1552374618782796"</f>
        <v>1552374618782796</v>
      </c>
      <c r="C1721" t="s">
        <v>40</v>
      </c>
      <c r="D1721">
        <v>5.5833199999999996</v>
      </c>
      <c r="E1721">
        <v>0.47294750000000002</v>
      </c>
      <c r="F1721" t="s">
        <v>52</v>
      </c>
      <c r="G1721">
        <v>-372.66230000000002</v>
      </c>
      <c r="H1721" s="1">
        <v>-1.200482E-7</v>
      </c>
      <c r="I1721">
        <v>280.22840000000002</v>
      </c>
      <c r="J1721">
        <v>-208.0849</v>
      </c>
      <c r="K1721">
        <v>1.104009</v>
      </c>
      <c r="L1721">
        <v>280.52140000000003</v>
      </c>
      <c r="M1721">
        <v>-0.99939630000000002</v>
      </c>
      <c r="N1721">
        <v>0</v>
      </c>
      <c r="O1721">
        <v>-3.147614E-2</v>
      </c>
      <c r="P1721">
        <v>-0.99765579999999998</v>
      </c>
      <c r="Q1721">
        <v>2.913386E-3</v>
      </c>
      <c r="R1721">
        <v>6.8371989999999994E-2</v>
      </c>
      <c r="S1721">
        <v>-3.0059969999999998</v>
      </c>
      <c r="T1721">
        <v>-2.0138139999999999E-2</v>
      </c>
      <c r="U1721">
        <v>-5.2795409999999996E-3</v>
      </c>
      <c r="V1721">
        <v>0.10000580000000001</v>
      </c>
      <c r="W1721">
        <v>1.5987970000000001E-2</v>
      </c>
      <c r="X1721">
        <v>0.99485840000000003</v>
      </c>
      <c r="Y1721">
        <v>2.972267E-2</v>
      </c>
      <c r="Z1721">
        <v>3.1042130000000001E-4</v>
      </c>
      <c r="AA1721">
        <v>0.99955819999999995</v>
      </c>
      <c r="AB1721">
        <v>21</v>
      </c>
      <c r="AC1721">
        <v>-164.57740000000001</v>
      </c>
      <c r="AD1721">
        <v>-1.1040091200481901</v>
      </c>
      <c r="AE1721">
        <v>-0.29300000000000598</v>
      </c>
      <c r="AF1721">
        <v>4.8877468565175803</v>
      </c>
      <c r="AG1721">
        <v>-1.1040091200481901</v>
      </c>
      <c r="AH1721">
        <v>164.49765610087499</v>
      </c>
      <c r="AI1721">
        <v>90.384359337222506</v>
      </c>
      <c r="AJ1721">
        <v>88.298061497465696</v>
      </c>
      <c r="AK1721">
        <v>164.57395835353901</v>
      </c>
      <c r="AL1721">
        <v>89.083917770931805</v>
      </c>
      <c r="AM1721">
        <v>84.259759408031897</v>
      </c>
      <c r="AN1721">
        <v>1.00000000563446</v>
      </c>
    </row>
    <row r="1722" spans="1:40" x14ac:dyDescent="0.25">
      <c r="A1722" t="str">
        <f>"20190312151018816"</f>
        <v>20190312151018816</v>
      </c>
      <c r="B1722" t="str">
        <f>"1552374618812072"</f>
        <v>1552374618812072</v>
      </c>
      <c r="C1722" t="s">
        <v>40</v>
      </c>
      <c r="D1722">
        <v>5.5855379999999997</v>
      </c>
      <c r="E1722">
        <v>0.47155589999999997</v>
      </c>
      <c r="F1722" t="s">
        <v>47</v>
      </c>
      <c r="G1722">
        <v>-696.93309999999997</v>
      </c>
      <c r="H1722">
        <v>-0.1</v>
      </c>
      <c r="I1722">
        <v>278.9391</v>
      </c>
      <c r="J1722">
        <v>-208.3058</v>
      </c>
      <c r="K1722">
        <v>1.1040239999999999</v>
      </c>
      <c r="L1722">
        <v>280.52760000000001</v>
      </c>
      <c r="M1722">
        <v>-0.99968760000000001</v>
      </c>
      <c r="N1722">
        <v>0</v>
      </c>
      <c r="O1722">
        <v>-2.0210369999999998E-2</v>
      </c>
      <c r="P1722">
        <v>-0.99711110000000003</v>
      </c>
      <c r="Q1722">
        <v>1.66249E-3</v>
      </c>
      <c r="R1722">
        <v>7.5938339999999993E-2</v>
      </c>
      <c r="S1722">
        <v>-3.007736</v>
      </c>
      <c r="T1722">
        <v>-7.4079039999999999E-3</v>
      </c>
      <c r="U1722">
        <v>-9.7351069999999998E-3</v>
      </c>
      <c r="V1722">
        <v>9.6319119999999994E-2</v>
      </c>
      <c r="W1722">
        <v>1.479888E-2</v>
      </c>
      <c r="X1722">
        <v>0.99524049999999997</v>
      </c>
      <c r="Y1722">
        <v>1.6976330000000001E-2</v>
      </c>
      <c r="Z1722" s="1">
        <v>7.0685200000000006E-5</v>
      </c>
      <c r="AA1722">
        <v>0.99985590000000002</v>
      </c>
      <c r="AB1722">
        <v>21</v>
      </c>
      <c r="AC1722">
        <v>-488.62729999999999</v>
      </c>
      <c r="AD1722">
        <v>-1.204024</v>
      </c>
      <c r="AE1722">
        <v>-1.58850000000001</v>
      </c>
      <c r="AF1722">
        <v>8.2881806350299794</v>
      </c>
      <c r="AG1722">
        <v>-1.204024</v>
      </c>
      <c r="AH1722">
        <v>488.55661737215399</v>
      </c>
      <c r="AI1722">
        <v>90.141182059066196</v>
      </c>
      <c r="AJ1722">
        <v>89.028091719913604</v>
      </c>
      <c r="AK1722">
        <v>488.628398673422</v>
      </c>
      <c r="AL1722">
        <v>89.152055695431599</v>
      </c>
      <c r="AM1722">
        <v>84.472144827846407</v>
      </c>
      <c r="AN1722">
        <v>1.0000000162835301</v>
      </c>
    </row>
    <row r="1723" spans="1:40" x14ac:dyDescent="0.25">
      <c r="A1723" t="str">
        <f>"20190312151018840"</f>
        <v>20190312151018840</v>
      </c>
      <c r="B1723" t="str">
        <f>"1552374618832568"</f>
        <v>1552374618832568</v>
      </c>
      <c r="C1723" t="s">
        <v>40</v>
      </c>
      <c r="D1723">
        <v>5.5905849999999999</v>
      </c>
      <c r="E1723">
        <v>0.47035290000000002</v>
      </c>
      <c r="F1723" t="s">
        <v>52</v>
      </c>
      <c r="G1723">
        <v>-383.7903</v>
      </c>
      <c r="H1723" s="1">
        <v>4.8021020000000002E-7</v>
      </c>
      <c r="I1723">
        <v>280.65390000000002</v>
      </c>
      <c r="J1723">
        <v>-208.52930000000001</v>
      </c>
      <c r="K1723">
        <v>1.104034</v>
      </c>
      <c r="L1723">
        <v>280.53640000000001</v>
      </c>
      <c r="M1723">
        <v>-0.9998534</v>
      </c>
      <c r="N1723">
        <v>0</v>
      </c>
      <c r="O1723">
        <v>-8.8007380000000007E-3</v>
      </c>
      <c r="P1723">
        <v>-0.99649889999999997</v>
      </c>
      <c r="Q1723">
        <v>-2.5705710000000002E-4</v>
      </c>
      <c r="R1723">
        <v>8.3606929999999996E-2</v>
      </c>
      <c r="S1723">
        <v>-3.008575</v>
      </c>
      <c r="T1723">
        <v>-1.892781E-2</v>
      </c>
      <c r="U1723">
        <v>2.166748E-3</v>
      </c>
      <c r="V1723">
        <v>9.2586600000000005E-2</v>
      </c>
      <c r="W1723">
        <v>1.294035E-2</v>
      </c>
      <c r="X1723">
        <v>0.99562050000000002</v>
      </c>
      <c r="Y1723">
        <v>9.5214859999999991E-3</v>
      </c>
      <c r="Z1723" s="1">
        <v>8.5323799999999998E-5</v>
      </c>
      <c r="AA1723">
        <v>0.99995460000000003</v>
      </c>
      <c r="AB1723">
        <v>21</v>
      </c>
      <c r="AC1723">
        <v>-175.261</v>
      </c>
      <c r="AD1723">
        <v>-1.1040335197897999</v>
      </c>
      <c r="AE1723">
        <v>0.117500000000006</v>
      </c>
      <c r="AF1723">
        <v>1.6600221154197099</v>
      </c>
      <c r="AG1723">
        <v>-1.1040335197897999</v>
      </c>
      <c r="AH1723">
        <v>175.24622283774599</v>
      </c>
      <c r="AI1723">
        <v>90.360936661653994</v>
      </c>
      <c r="AJ1723">
        <v>89.457281218592001</v>
      </c>
      <c r="AK1723">
        <v>175.25756241125001</v>
      </c>
      <c r="AL1723">
        <v>89.258551832755501</v>
      </c>
      <c r="AM1723">
        <v>84.687123764152403</v>
      </c>
      <c r="AN1723">
        <v>0.99999995558896504</v>
      </c>
    </row>
    <row r="1724" spans="1:40" x14ac:dyDescent="0.25">
      <c r="A1724" t="str">
        <f>"20190312151018860"</f>
        <v>20190312151018860</v>
      </c>
      <c r="B1724" t="str">
        <f>"1552374618852091"</f>
        <v>1552374618852091</v>
      </c>
      <c r="C1724" t="s">
        <v>40</v>
      </c>
      <c r="D1724">
        <v>5.5263269999999904</v>
      </c>
      <c r="E1724">
        <v>0.46941559999999999</v>
      </c>
      <c r="F1724" t="s">
        <v>52</v>
      </c>
      <c r="G1724">
        <v>-326.70749999999998</v>
      </c>
      <c r="H1724" s="1">
        <v>2.1839439999999999E-6</v>
      </c>
      <c r="I1724">
        <v>281.15359999999998</v>
      </c>
      <c r="J1724">
        <v>-208.7372</v>
      </c>
      <c r="K1724">
        <v>1.104042</v>
      </c>
      <c r="L1724">
        <v>280.54700000000003</v>
      </c>
      <c r="M1724">
        <v>-0.99989050000000002</v>
      </c>
      <c r="N1724">
        <v>0</v>
      </c>
      <c r="O1724">
        <v>1.823161E-3</v>
      </c>
      <c r="P1724">
        <v>-0.99591960000000002</v>
      </c>
      <c r="Q1724">
        <v>-7.2588589999999999E-4</v>
      </c>
      <c r="R1724">
        <v>9.0242760000000005E-2</v>
      </c>
      <c r="S1724">
        <v>-3.0092319999999999</v>
      </c>
      <c r="T1724">
        <v>-2.811253E-2</v>
      </c>
      <c r="U1724">
        <v>1.5716549999999999E-2</v>
      </c>
      <c r="V1724">
        <v>8.8631329999999994E-2</v>
      </c>
      <c r="W1724">
        <v>1.253698E-2</v>
      </c>
      <c r="X1724">
        <v>0.99598560000000003</v>
      </c>
      <c r="Y1724">
        <v>3.3992979999999998E-3</v>
      </c>
      <c r="Z1724" s="1">
        <v>-1.1556439999999999E-6</v>
      </c>
      <c r="AA1724">
        <v>0.99999420000000006</v>
      </c>
      <c r="AB1724">
        <v>21</v>
      </c>
      <c r="AC1724">
        <v>-117.970299999999</v>
      </c>
      <c r="AD1724">
        <v>-1.1040398160560001</v>
      </c>
      <c r="AE1724">
        <v>0.60659999999995695</v>
      </c>
      <c r="AF1724">
        <v>0.39146266046880501</v>
      </c>
      <c r="AG1724">
        <v>-1.1040398160560001</v>
      </c>
      <c r="AH1724">
        <v>117.96087874811499</v>
      </c>
      <c r="AI1724">
        <v>90.5362339387368</v>
      </c>
      <c r="AJ1724">
        <v>89.809860046965198</v>
      </c>
      <c r="AK1724">
        <v>117.96669471489599</v>
      </c>
      <c r="AL1724">
        <v>89.281665141250301</v>
      </c>
      <c r="AM1724">
        <v>84.914725900013593</v>
      </c>
      <c r="AN1724">
        <v>1.0000000019662201</v>
      </c>
    </row>
    <row r="1725" spans="1:40" x14ac:dyDescent="0.25">
      <c r="A1725" t="str">
        <f>"20190312151018883"</f>
        <v>20190312151018883</v>
      </c>
      <c r="B1725" t="str">
        <f>"1552374618872587"</f>
        <v>1552374618872587</v>
      </c>
      <c r="C1725" t="s">
        <v>40</v>
      </c>
      <c r="D1725">
        <v>5.5323029999999997</v>
      </c>
      <c r="E1725">
        <v>0.46827819999999998</v>
      </c>
      <c r="F1725" t="s">
        <v>61</v>
      </c>
      <c r="G1725">
        <v>-310.07440000000003</v>
      </c>
      <c r="H1725" s="1">
        <v>2.5225730000000001E-6</v>
      </c>
      <c r="I1725">
        <v>281.4984</v>
      </c>
      <c r="J1725">
        <v>-208.952</v>
      </c>
      <c r="K1725">
        <v>1.1040540000000001</v>
      </c>
      <c r="L1725">
        <v>280.56020000000001</v>
      </c>
      <c r="M1725">
        <v>-0.99981019999999998</v>
      </c>
      <c r="N1725">
        <v>0</v>
      </c>
      <c r="O1725">
        <v>1.280157E-2</v>
      </c>
      <c r="P1725">
        <v>-0.99514340000000001</v>
      </c>
      <c r="Q1725" s="1">
        <v>-6.5571630000000003E-5</v>
      </c>
      <c r="R1725">
        <v>9.843644E-2</v>
      </c>
      <c r="S1725">
        <v>-3.009735</v>
      </c>
      <c r="T1725">
        <v>-3.2790180000000002E-2</v>
      </c>
      <c r="U1725">
        <v>2.8259280000000001E-2</v>
      </c>
      <c r="V1725">
        <v>8.5902229999999996E-2</v>
      </c>
      <c r="W1725">
        <v>1.3240729999999999E-2</v>
      </c>
      <c r="X1725">
        <v>0.99621559999999998</v>
      </c>
      <c r="Y1725">
        <v>-3.4133169999999999E-3</v>
      </c>
      <c r="Z1725">
        <v>-1.5806490000000001E-4</v>
      </c>
      <c r="AA1725">
        <v>0.99999420000000006</v>
      </c>
      <c r="AB1725">
        <v>21</v>
      </c>
      <c r="AC1725">
        <v>-101.1224</v>
      </c>
      <c r="AD1725">
        <v>-1.104051477427</v>
      </c>
      <c r="AE1725">
        <v>0.93819999999999404</v>
      </c>
      <c r="AF1725">
        <v>-0.35649951293217202</v>
      </c>
      <c r="AG1725">
        <v>-1.104051477427</v>
      </c>
      <c r="AH1725">
        <v>101.114071649587</v>
      </c>
      <c r="AI1725">
        <v>90.625576461952505</v>
      </c>
      <c r="AJ1725">
        <v>90.202007816725299</v>
      </c>
      <c r="AK1725">
        <v>101.120727386255</v>
      </c>
      <c r="AL1725">
        <v>89.241339896604003</v>
      </c>
      <c r="AM1725">
        <v>85.071658365680605</v>
      </c>
      <c r="AN1725">
        <v>1.00000001586663</v>
      </c>
    </row>
    <row r="1726" spans="1:40" x14ac:dyDescent="0.25">
      <c r="A1726" t="str">
        <f>"20190312151018905"</f>
        <v>20190312151018905</v>
      </c>
      <c r="B1726" t="str">
        <f>"1552374618902840"</f>
        <v>1552374618902840</v>
      </c>
      <c r="C1726" t="s">
        <v>40</v>
      </c>
      <c r="D1726">
        <v>5.5551370000000002</v>
      </c>
      <c r="E1726">
        <v>0.4708871</v>
      </c>
      <c r="F1726" t="s">
        <v>61</v>
      </c>
      <c r="G1726">
        <v>-308.25279999999998</v>
      </c>
      <c r="H1726" s="1">
        <v>2.7275039999999998E-6</v>
      </c>
      <c r="I1726">
        <v>282.02190000000002</v>
      </c>
      <c r="J1726">
        <v>-209.1645</v>
      </c>
      <c r="K1726">
        <v>1.104069</v>
      </c>
      <c r="L1726">
        <v>280.57560000000001</v>
      </c>
      <c r="M1726">
        <v>-0.99961230000000001</v>
      </c>
      <c r="N1726">
        <v>0</v>
      </c>
      <c r="O1726">
        <v>2.3658189999999999E-2</v>
      </c>
      <c r="P1726">
        <v>-0.99430439999999998</v>
      </c>
      <c r="Q1726">
        <v>-3.4512209999999999E-4</v>
      </c>
      <c r="R1726">
        <v>0.1065772</v>
      </c>
      <c r="S1726">
        <v>-3.0102690000000001</v>
      </c>
      <c r="T1726">
        <v>-3.3468959999999999E-2</v>
      </c>
      <c r="U1726">
        <v>4.431152E-2</v>
      </c>
      <c r="V1726">
        <v>8.3231109999999997E-2</v>
      </c>
      <c r="W1726">
        <v>1.300424E-2</v>
      </c>
      <c r="X1726">
        <v>0.99644540000000004</v>
      </c>
      <c r="Y1726">
        <v>-8.9417560000000004E-3</v>
      </c>
      <c r="Z1726">
        <v>-3.1271819999999998E-4</v>
      </c>
      <c r="AA1726">
        <v>0.99995990000000001</v>
      </c>
      <c r="AB1726">
        <v>21</v>
      </c>
      <c r="AC1726">
        <v>-99.088299999999904</v>
      </c>
      <c r="AD1726">
        <v>-1.104066272496</v>
      </c>
      <c r="AE1726">
        <v>1.4462999999999999</v>
      </c>
      <c r="AF1726">
        <v>-0.89849588250918799</v>
      </c>
      <c r="AG1726">
        <v>-1.104066272496</v>
      </c>
      <c r="AH1726">
        <v>99.082481876921307</v>
      </c>
      <c r="AI1726">
        <v>90.638388523787597</v>
      </c>
      <c r="AJ1726">
        <v>90.519553103417095</v>
      </c>
      <c r="AK1726">
        <v>99.092706452469997</v>
      </c>
      <c r="AL1726">
        <v>89.254890916543303</v>
      </c>
      <c r="AM1726">
        <v>85.225280766938695</v>
      </c>
      <c r="AN1726">
        <v>0.99999998155548397</v>
      </c>
    </row>
    <row r="1727" spans="1:40" x14ac:dyDescent="0.25">
      <c r="A1727" t="str">
        <f>"20190312151018927"</f>
        <v>20190312151018927</v>
      </c>
      <c r="B1727" t="str">
        <f>"1552374618922360"</f>
        <v>1552374618922360</v>
      </c>
      <c r="C1727" t="s">
        <v>40</v>
      </c>
      <c r="D1727">
        <v>5.5516880000000004</v>
      </c>
      <c r="E1727">
        <v>0.51829979999999998</v>
      </c>
      <c r="F1727" t="s">
        <v>61</v>
      </c>
      <c r="G1727">
        <v>-306.80119999999999</v>
      </c>
      <c r="H1727" s="1">
        <v>2.8576599999999902E-6</v>
      </c>
      <c r="I1727">
        <v>283.47840000000002</v>
      </c>
      <c r="J1727">
        <v>-209.37569999999999</v>
      </c>
      <c r="K1727">
        <v>1.104093</v>
      </c>
      <c r="L1727">
        <v>280.59320000000002</v>
      </c>
      <c r="M1727">
        <v>-0.99929950000000001</v>
      </c>
      <c r="N1727">
        <v>0</v>
      </c>
      <c r="O1727">
        <v>3.4428830000000001E-2</v>
      </c>
      <c r="P1727">
        <v>-0.99350380000000005</v>
      </c>
      <c r="Q1727">
        <v>-1.4902509999999999E-3</v>
      </c>
      <c r="R1727">
        <v>0.1137898</v>
      </c>
      <c r="S1727">
        <v>-3.007584</v>
      </c>
      <c r="T1727">
        <v>-3.4009459999999998E-2</v>
      </c>
      <c r="U1727">
        <v>8.9416499999999996E-2</v>
      </c>
      <c r="V1727">
        <v>7.970497E-2</v>
      </c>
      <c r="W1727">
        <v>1.191761E-2</v>
      </c>
      <c r="X1727">
        <v>0.9967473</v>
      </c>
      <c r="Y1727">
        <v>-4.7152369999999997E-3</v>
      </c>
      <c r="Z1727">
        <v>-4.1580680000000001E-4</v>
      </c>
      <c r="AA1727">
        <v>0.99998880000000001</v>
      </c>
      <c r="AB1727">
        <v>21</v>
      </c>
      <c r="AC1727">
        <v>-97.4255</v>
      </c>
      <c r="AD1727">
        <v>-1.10409014234</v>
      </c>
      <c r="AE1727">
        <v>2.88519999999999</v>
      </c>
      <c r="AF1727">
        <v>-0.47105730200638601</v>
      </c>
      <c r="AG1727">
        <v>-1.10409014234</v>
      </c>
      <c r="AH1727">
        <v>97.454568766184295</v>
      </c>
      <c r="AI1727">
        <v>90.649084603897705</v>
      </c>
      <c r="AJ1727">
        <v>90.276943251254906</v>
      </c>
      <c r="AK1727">
        <v>97.461961212706598</v>
      </c>
      <c r="AL1727">
        <v>89.317155111773801</v>
      </c>
      <c r="AM1727">
        <v>85.428067223944097</v>
      </c>
      <c r="AN1727">
        <v>1.0000000458640499</v>
      </c>
    </row>
    <row r="1728" spans="1:40" x14ac:dyDescent="0.25">
      <c r="A1728" t="str">
        <f>"20190312151018950"</f>
        <v>20190312151018950</v>
      </c>
      <c r="B1728" t="str">
        <f>"1552374618942856"</f>
        <v>1552374618942856</v>
      </c>
      <c r="C1728" t="s">
        <v>40</v>
      </c>
      <c r="D1728">
        <v>5.5319440000000002</v>
      </c>
      <c r="E1728">
        <v>0.51908889999999996</v>
      </c>
      <c r="F1728" t="s">
        <v>52</v>
      </c>
      <c r="G1728">
        <v>-228.08439999999999</v>
      </c>
      <c r="H1728" s="1">
        <v>2.7652990000000002E-6</v>
      </c>
      <c r="I1728">
        <v>283.68799999999999</v>
      </c>
      <c r="J1728">
        <v>-209.59289999999999</v>
      </c>
      <c r="K1728">
        <v>1.104136</v>
      </c>
      <c r="L1728">
        <v>280.61360000000002</v>
      </c>
      <c r="M1728">
        <v>-0.99885930000000001</v>
      </c>
      <c r="N1728">
        <v>0</v>
      </c>
      <c r="O1728">
        <v>4.5444060000000001E-2</v>
      </c>
      <c r="P1728">
        <v>-0.9925737</v>
      </c>
      <c r="Q1728">
        <v>-3.1967789999999999E-3</v>
      </c>
      <c r="R1728">
        <v>0.12160169999999999</v>
      </c>
      <c r="S1728">
        <v>-2.9632109999999998</v>
      </c>
      <c r="T1728">
        <v>-0.17487420000000001</v>
      </c>
      <c r="U1728">
        <v>0.49017329999999998</v>
      </c>
      <c r="V1728">
        <v>7.6528680000000002E-2</v>
      </c>
      <c r="W1728">
        <v>1.026261E-2</v>
      </c>
      <c r="X1728">
        <v>0.99701459999999997</v>
      </c>
      <c r="Y1728">
        <v>0.1180708</v>
      </c>
      <c r="Z1728">
        <v>7.9888249999999995E-4</v>
      </c>
      <c r="AA1728">
        <v>0.99300489999999997</v>
      </c>
      <c r="AB1728">
        <v>21</v>
      </c>
      <c r="AC1728">
        <v>-18.491499999999998</v>
      </c>
      <c r="AD1728">
        <v>-1.104133234701</v>
      </c>
      <c r="AE1728">
        <v>3.0743999999999598</v>
      </c>
      <c r="AF1728">
        <v>2.2230911168998699</v>
      </c>
      <c r="AG1728">
        <v>-1.104133234701</v>
      </c>
      <c r="AH1728">
        <v>18.547770309707499</v>
      </c>
      <c r="AI1728">
        <v>93.382595919966306</v>
      </c>
      <c r="AJ1728">
        <v>83.165270179852797</v>
      </c>
      <c r="AK1728">
        <v>18.713124479244001</v>
      </c>
      <c r="AL1728">
        <v>89.411985459530797</v>
      </c>
      <c r="AM1728">
        <v>85.610706859865005</v>
      </c>
      <c r="AN1728">
        <v>1.00000003631985</v>
      </c>
    </row>
    <row r="1729" spans="1:40" x14ac:dyDescent="0.25">
      <c r="A1729" t="str">
        <f>"20190312151018973"</f>
        <v>20190312151018973</v>
      </c>
      <c r="B1729" t="str">
        <f>"1552374618962375"</f>
        <v>1552374618962375</v>
      </c>
      <c r="C1729" t="s">
        <v>40</v>
      </c>
      <c r="D1729">
        <v>5.4092750000000001</v>
      </c>
      <c r="E1729">
        <v>0.51929840000000005</v>
      </c>
      <c r="F1729" t="s">
        <v>52</v>
      </c>
      <c r="G1729">
        <v>-247.16040000000001</v>
      </c>
      <c r="H1729" s="1">
        <v>2.2736339999999998E-6</v>
      </c>
      <c r="I1729">
        <v>287.18740000000003</v>
      </c>
      <c r="J1729">
        <v>-209.80940000000001</v>
      </c>
      <c r="K1729">
        <v>1.1042099999999999</v>
      </c>
      <c r="L1729">
        <v>280.63619999999997</v>
      </c>
      <c r="M1729">
        <v>-0.99830529999999995</v>
      </c>
      <c r="N1729">
        <v>0</v>
      </c>
      <c r="O1729">
        <v>5.6320410000000001E-2</v>
      </c>
      <c r="P1729">
        <v>-0.99164560000000002</v>
      </c>
      <c r="Q1729">
        <v>-4.0894859999999998E-3</v>
      </c>
      <c r="R1729">
        <v>0.12892729999999999</v>
      </c>
      <c r="S1729">
        <v>-2.9587249999999998</v>
      </c>
      <c r="T1729">
        <v>-8.6958889999999997E-2</v>
      </c>
      <c r="U1729">
        <v>0.51773069999999999</v>
      </c>
      <c r="V1729">
        <v>7.3015499999999997E-2</v>
      </c>
      <c r="W1729">
        <v>9.4262789999999992E-3</v>
      </c>
      <c r="X1729">
        <v>0.99728629999999996</v>
      </c>
      <c r="Y1729">
        <v>0.116583199999999</v>
      </c>
      <c r="Z1729" s="1">
        <v>5.9964599999999998E-5</v>
      </c>
      <c r="AA1729">
        <v>0.99318090000000003</v>
      </c>
      <c r="AB1729">
        <v>21</v>
      </c>
      <c r="AC1729">
        <v>-37.350999999999999</v>
      </c>
      <c r="AD1729">
        <v>-1.104207726366</v>
      </c>
      <c r="AE1729">
        <v>6.5512000000000503</v>
      </c>
      <c r="AF1729">
        <v>4.4331911777593902</v>
      </c>
      <c r="AG1729">
        <v>-1.104207726366</v>
      </c>
      <c r="AH1729">
        <v>37.628802624250802</v>
      </c>
      <c r="AI1729">
        <v>91.669309294937904</v>
      </c>
      <c r="AJ1729">
        <v>83.280741808254206</v>
      </c>
      <c r="AK1729">
        <v>37.905134819129103</v>
      </c>
      <c r="AL1729">
        <v>89.459906020450802</v>
      </c>
      <c r="AM1729">
        <v>85.812607660648297</v>
      </c>
      <c r="AN1729">
        <v>1.0000000410718599</v>
      </c>
    </row>
    <row r="1730" spans="1:40" x14ac:dyDescent="0.25">
      <c r="A1730" t="str">
        <f>"20190312151018995"</f>
        <v>20190312151018995</v>
      </c>
      <c r="B1730" t="str">
        <f>"1552374618992632"</f>
        <v>1552374618992632</v>
      </c>
      <c r="C1730" t="s">
        <v>40</v>
      </c>
      <c r="D1730">
        <v>5.4155939999999996</v>
      </c>
      <c r="E1730">
        <v>0.51890270000000005</v>
      </c>
      <c r="F1730" t="s">
        <v>52</v>
      </c>
      <c r="G1730">
        <v>-243.6662</v>
      </c>
      <c r="H1730" s="1">
        <v>4.1418140000000002E-7</v>
      </c>
      <c r="I1730">
        <v>286.83760000000001</v>
      </c>
      <c r="J1730">
        <v>-210.0232</v>
      </c>
      <c r="K1730">
        <v>1.1043430000000001</v>
      </c>
      <c r="L1730">
        <v>280.66070000000002</v>
      </c>
      <c r="M1730">
        <v>-0.99765250000000005</v>
      </c>
      <c r="N1730">
        <v>0</v>
      </c>
      <c r="O1730">
        <v>6.6900539999999994E-2</v>
      </c>
      <c r="P1730">
        <v>-0.99105679999999996</v>
      </c>
      <c r="Q1730">
        <v>-4.6587310000000002E-3</v>
      </c>
      <c r="R1730">
        <v>0.13335920000000001</v>
      </c>
      <c r="S1730">
        <v>-2.954529</v>
      </c>
      <c r="T1730">
        <v>-9.635937E-2</v>
      </c>
      <c r="U1730">
        <v>0.54116819999999999</v>
      </c>
      <c r="V1730">
        <v>6.6888879999999998E-2</v>
      </c>
      <c r="W1730">
        <v>8.9532769999999904E-3</v>
      </c>
      <c r="X1730">
        <v>0.99772019999999995</v>
      </c>
      <c r="Y1730">
        <v>0.1139276</v>
      </c>
      <c r="Z1730">
        <v>-3.1706239999999998E-4</v>
      </c>
      <c r="AA1730">
        <v>0.99348899999999996</v>
      </c>
      <c r="AB1730">
        <v>21</v>
      </c>
      <c r="AC1730">
        <v>-33.643000000000001</v>
      </c>
      <c r="AD1730">
        <v>-1.1043425858186</v>
      </c>
      <c r="AE1730">
        <v>6.1768999999999803</v>
      </c>
      <c r="AF1730">
        <v>3.90800952633268</v>
      </c>
      <c r="AG1730">
        <v>-1.1043425858186</v>
      </c>
      <c r="AH1730">
        <v>33.945510269890399</v>
      </c>
      <c r="AI1730">
        <v>91.851116730714594</v>
      </c>
      <c r="AJ1730">
        <v>83.432680808997503</v>
      </c>
      <c r="AK1730">
        <v>34.187567601220103</v>
      </c>
      <c r="AL1730">
        <v>89.487008130718706</v>
      </c>
      <c r="AM1730">
        <v>86.164531712159899</v>
      </c>
      <c r="AN1730">
        <v>0.99999994046236396</v>
      </c>
    </row>
    <row r="1731" spans="1:40" x14ac:dyDescent="0.25">
      <c r="A1731" t="str">
        <f>"20190312151019017"</f>
        <v>20190312151019017</v>
      </c>
      <c r="B1731" t="str">
        <f>"1552374619012152"</f>
        <v>1552374619012152</v>
      </c>
      <c r="C1731" t="s">
        <v>40</v>
      </c>
      <c r="D1731">
        <v>5.5361209999999996</v>
      </c>
      <c r="E1731">
        <v>0.51774989999999999</v>
      </c>
      <c r="F1731" t="s">
        <v>52</v>
      </c>
      <c r="G1731">
        <v>-242.5711</v>
      </c>
      <c r="H1731" s="1">
        <v>-1.6857230000000001E-7</v>
      </c>
      <c r="I1731">
        <v>286.738</v>
      </c>
      <c r="J1731">
        <v>-210.22559999999999</v>
      </c>
      <c r="K1731">
        <v>1.1045130000000001</v>
      </c>
      <c r="L1731">
        <v>280.68579999999997</v>
      </c>
      <c r="M1731">
        <v>-0.99694729999999998</v>
      </c>
      <c r="N1731">
        <v>0</v>
      </c>
      <c r="O1731">
        <v>7.670043E-2</v>
      </c>
      <c r="P1731">
        <v>-0.99075959999999996</v>
      </c>
      <c r="Q1731">
        <v>-4.5837320000000001E-3</v>
      </c>
      <c r="R1731">
        <v>0.13555309999999901</v>
      </c>
      <c r="S1731">
        <v>-2.952423</v>
      </c>
      <c r="T1731">
        <v>-0.100175</v>
      </c>
      <c r="U1731">
        <v>0.55126949999999997</v>
      </c>
      <c r="V1731">
        <v>5.9289870000000001E-2</v>
      </c>
      <c r="W1731">
        <v>9.1420970000000001E-3</v>
      </c>
      <c r="X1731">
        <v>0.9981989</v>
      </c>
      <c r="Y1731">
        <v>0.1075822</v>
      </c>
      <c r="Z1731">
        <v>-7.6424329999999995E-4</v>
      </c>
      <c r="AA1731">
        <v>0.99419590000000002</v>
      </c>
      <c r="AB1731">
        <v>21</v>
      </c>
      <c r="AC1731">
        <v>-32.345500000000001</v>
      </c>
      <c r="AD1731">
        <v>-1.10451316857229</v>
      </c>
      <c r="AE1731">
        <v>6.0522000000000196</v>
      </c>
      <c r="AF1731">
        <v>3.5491908333678599</v>
      </c>
      <c r="AG1731">
        <v>-1.10451316857229</v>
      </c>
      <c r="AH1731">
        <v>32.677636968342597</v>
      </c>
      <c r="AI1731">
        <v>91.924566385324894</v>
      </c>
      <c r="AJ1731">
        <v>83.801276394468303</v>
      </c>
      <c r="AK1731">
        <v>32.888366677991201</v>
      </c>
      <c r="AL1731">
        <v>89.476189105903202</v>
      </c>
      <c r="AM1731">
        <v>86.600804881242894</v>
      </c>
      <c r="AN1731">
        <v>0.99999995529169095</v>
      </c>
    </row>
    <row r="1732" spans="1:40" x14ac:dyDescent="0.25">
      <c r="A1732" t="str">
        <f>"20190312151019041"</f>
        <v>20190312151019041</v>
      </c>
      <c r="B1732" t="str">
        <f>"1552374619032648"</f>
        <v>1552374619032648</v>
      </c>
      <c r="C1732" t="s">
        <v>40</v>
      </c>
      <c r="D1732">
        <v>5.4565229999999998</v>
      </c>
      <c r="E1732">
        <v>0.51744319999999999</v>
      </c>
      <c r="F1732" t="s">
        <v>52</v>
      </c>
      <c r="G1732">
        <v>-249.8004</v>
      </c>
      <c r="H1732" s="1">
        <v>3.6784869999999999E-6</v>
      </c>
      <c r="I1732">
        <v>288.03640000000001</v>
      </c>
      <c r="J1732">
        <v>-210.4512</v>
      </c>
      <c r="K1732">
        <v>1.104749</v>
      </c>
      <c r="L1732">
        <v>280.71589999999998</v>
      </c>
      <c r="M1732">
        <v>-0.99607590000000001</v>
      </c>
      <c r="N1732">
        <v>0</v>
      </c>
      <c r="O1732">
        <v>8.7299189999999999E-2</v>
      </c>
      <c r="P1732">
        <v>-0.99043060000000005</v>
      </c>
      <c r="Q1732">
        <v>-3.8163440000000002E-3</v>
      </c>
      <c r="R1732">
        <v>0.1379589</v>
      </c>
      <c r="S1732">
        <v>-2.9525450000000002</v>
      </c>
      <c r="T1732">
        <v>-8.2403779999999996E-2</v>
      </c>
      <c r="U1732">
        <v>0.54840089999999997</v>
      </c>
      <c r="V1732">
        <v>5.1100399999999997E-2</v>
      </c>
      <c r="W1732">
        <v>1.002135E-2</v>
      </c>
      <c r="X1732">
        <v>0.99864319999999895</v>
      </c>
      <c r="Y1732">
        <v>9.6074080000000006E-2</v>
      </c>
      <c r="Z1732">
        <v>-1.079396E-3</v>
      </c>
      <c r="AA1732">
        <v>0.99537359999999997</v>
      </c>
      <c r="AB1732">
        <v>21</v>
      </c>
      <c r="AC1732">
        <v>-39.349200000000003</v>
      </c>
      <c r="AD1732">
        <v>-1.1047453215130001</v>
      </c>
      <c r="AE1732">
        <v>7.3205000000000302</v>
      </c>
      <c r="AF1732">
        <v>3.8540922544519001</v>
      </c>
      <c r="AG1732">
        <v>-1.1047453215130001</v>
      </c>
      <c r="AH1732">
        <v>39.807751707038001</v>
      </c>
      <c r="AI1732">
        <v>91.582270564880105</v>
      </c>
      <c r="AJ1732">
        <v>84.469994112519998</v>
      </c>
      <c r="AK1732">
        <v>40.009143771148302</v>
      </c>
      <c r="AL1732">
        <v>89.425809305765696</v>
      </c>
      <c r="AM1732">
        <v>87.070739689906404</v>
      </c>
      <c r="AN1732">
        <v>0.99999995962110999</v>
      </c>
    </row>
    <row r="1733" spans="1:40" x14ac:dyDescent="0.25">
      <c r="A1733" t="str">
        <f>"20190312151019062"</f>
        <v>20190312151019062</v>
      </c>
      <c r="B1733" t="str">
        <f>"1552374619052168"</f>
        <v>1552374619052168</v>
      </c>
      <c r="C1733" t="s">
        <v>40</v>
      </c>
      <c r="D1733">
        <v>5.4720089999999999</v>
      </c>
      <c r="E1733">
        <v>0.51639170000000001</v>
      </c>
      <c r="F1733" t="s">
        <v>52</v>
      </c>
      <c r="G1733">
        <v>-239.6568</v>
      </c>
      <c r="H1733" s="1">
        <v>3.5330119999999998E-6</v>
      </c>
      <c r="I1733">
        <v>286.19600000000003</v>
      </c>
      <c r="J1733">
        <v>-210.66139999999999</v>
      </c>
      <c r="K1733">
        <v>1.105</v>
      </c>
      <c r="L1733">
        <v>280.74579999999997</v>
      </c>
      <c r="M1733">
        <v>-0.99519780000000002</v>
      </c>
      <c r="N1733">
        <v>0</v>
      </c>
      <c r="O1733">
        <v>9.6804849999999998E-2</v>
      </c>
      <c r="P1733">
        <v>-0.99020589999999997</v>
      </c>
      <c r="Q1733">
        <v>-3.0841100000000001E-3</v>
      </c>
      <c r="R1733">
        <v>0.13958219999999999</v>
      </c>
      <c r="S1733">
        <v>-2.9514010000000002</v>
      </c>
      <c r="T1733">
        <v>-0.1116414</v>
      </c>
      <c r="U1733">
        <v>0.55380249999999998</v>
      </c>
      <c r="V1733">
        <v>4.3204289999999999E-2</v>
      </c>
      <c r="W1733">
        <v>1.084861E-2</v>
      </c>
      <c r="X1733">
        <v>0.99900730000000004</v>
      </c>
      <c r="Y1733">
        <v>8.8406890000000002E-2</v>
      </c>
      <c r="Z1733">
        <v>-1.9598089999999999E-3</v>
      </c>
      <c r="AA1733">
        <v>0.99608249999999998</v>
      </c>
      <c r="AB1733">
        <v>21</v>
      </c>
      <c r="AC1733">
        <v>-28.9954</v>
      </c>
      <c r="AD1733">
        <v>-1.1049964669879999</v>
      </c>
      <c r="AE1733">
        <v>5.4501999999999899</v>
      </c>
      <c r="AF1733">
        <v>2.6137402977715598</v>
      </c>
      <c r="AG1733">
        <v>-1.1049964669879999</v>
      </c>
      <c r="AH1733">
        <v>29.345687200462802</v>
      </c>
      <c r="AI1733">
        <v>92.147928860989794</v>
      </c>
      <c r="AJ1733">
        <v>84.910251834395396</v>
      </c>
      <c r="AK1733">
        <v>29.482571339753498</v>
      </c>
      <c r="AL1733">
        <v>89.378408205579802</v>
      </c>
      <c r="AM1733">
        <v>87.5236598134898</v>
      </c>
      <c r="AN1733">
        <v>0.99999994423331096</v>
      </c>
    </row>
    <row r="1734" spans="1:40" x14ac:dyDescent="0.25">
      <c r="A1734" t="str">
        <f>"20190312151019084"</f>
        <v>20190312151019084</v>
      </c>
      <c r="B1734" t="str">
        <f>"1552374619072669"</f>
        <v>1552374619072669</v>
      </c>
      <c r="C1734" t="s">
        <v>40</v>
      </c>
      <c r="D1734">
        <v>5.7492479999999997</v>
      </c>
      <c r="E1734">
        <v>0.51570280000000002</v>
      </c>
      <c r="F1734" t="s">
        <v>52</v>
      </c>
      <c r="G1734">
        <v>-244.30070000000001</v>
      </c>
      <c r="H1734" s="1">
        <v>7.5183719999999904E-7</v>
      </c>
      <c r="I1734">
        <v>287.01280000000003</v>
      </c>
      <c r="J1734">
        <v>-210.86340000000001</v>
      </c>
      <c r="K1734">
        <v>1.1052360000000001</v>
      </c>
      <c r="L1734">
        <v>280.77589999999998</v>
      </c>
      <c r="M1734">
        <v>-0.99430099999999999</v>
      </c>
      <c r="N1734">
        <v>0</v>
      </c>
      <c r="O1734">
        <v>0.1056248</v>
      </c>
      <c r="P1734">
        <v>-0.99022960000000004</v>
      </c>
      <c r="Q1734">
        <v>-3.315209E-3</v>
      </c>
      <c r="R1734">
        <v>0.13940749999999999</v>
      </c>
      <c r="S1734">
        <v>-2.9518430000000002</v>
      </c>
      <c r="T1734">
        <v>-9.6963519999999997E-2</v>
      </c>
      <c r="U1734">
        <v>0.54992680000000005</v>
      </c>
      <c r="V1734">
        <v>3.4158939999999999E-2</v>
      </c>
      <c r="W1734">
        <v>1.0714629999999999E-2</v>
      </c>
      <c r="X1734">
        <v>0.999359</v>
      </c>
      <c r="Y1734">
        <v>7.8288469999999999E-2</v>
      </c>
      <c r="Z1734">
        <v>-2.1517789999999999E-3</v>
      </c>
      <c r="AA1734">
        <v>0.9969285</v>
      </c>
      <c r="AB1734">
        <v>21</v>
      </c>
      <c r="AC1734">
        <v>-33.437299999999901</v>
      </c>
      <c r="AD1734">
        <v>-1.1052352481628001</v>
      </c>
      <c r="AE1734">
        <v>6.2369000000000403</v>
      </c>
      <c r="AF1734">
        <v>2.6670107797090399</v>
      </c>
      <c r="AG1734">
        <v>-1.1052352481628001</v>
      </c>
      <c r="AH1734">
        <v>33.873290071767997</v>
      </c>
      <c r="AI1734">
        <v>91.863051658715904</v>
      </c>
      <c r="AJ1734">
        <v>85.498108751637005</v>
      </c>
      <c r="AK1734">
        <v>33.996092006861602</v>
      </c>
      <c r="AL1734">
        <v>89.386085189537098</v>
      </c>
      <c r="AM1734">
        <v>88.042343718270899</v>
      </c>
      <c r="AN1734">
        <v>1.0000000236794799</v>
      </c>
    </row>
    <row r="1735" spans="1:40" x14ac:dyDescent="0.25">
      <c r="A1735" t="str">
        <f>"20190312151019105"</f>
        <v>20190312151019105</v>
      </c>
      <c r="B1735" t="str">
        <f>"1552374619101944"</f>
        <v>1552374619101944</v>
      </c>
      <c r="C1735" t="s">
        <v>40</v>
      </c>
      <c r="D1735">
        <v>5.9494989999999897</v>
      </c>
      <c r="E1735">
        <v>0.51477099999999998</v>
      </c>
      <c r="F1735" t="s">
        <v>52</v>
      </c>
      <c r="G1735">
        <v>-247.59630000000001</v>
      </c>
      <c r="H1735" s="1">
        <v>2.5056100000000001E-6</v>
      </c>
      <c r="I1735">
        <v>287.5369</v>
      </c>
      <c r="J1735">
        <v>-211.0668</v>
      </c>
      <c r="K1735">
        <v>1.1054679999999999</v>
      </c>
      <c r="L1735">
        <v>280.80779999999999</v>
      </c>
      <c r="M1735">
        <v>-0.99335910000000005</v>
      </c>
      <c r="N1735">
        <v>0</v>
      </c>
      <c r="O1735">
        <v>0.11414820000000001</v>
      </c>
      <c r="P1735">
        <v>-0.98974090000000003</v>
      </c>
      <c r="Q1735">
        <v>-4.9587169999999996E-3</v>
      </c>
      <c r="R1735">
        <v>0.1427879</v>
      </c>
      <c r="S1735">
        <v>-2.9528050000000001</v>
      </c>
      <c r="T1735">
        <v>-8.8845010000000002E-2</v>
      </c>
      <c r="U1735">
        <v>0.54348750000000001</v>
      </c>
      <c r="V1735">
        <v>2.8974949999999999E-2</v>
      </c>
      <c r="W1735">
        <v>9.1077669999999993E-3</v>
      </c>
      <c r="X1735">
        <v>0.9995387</v>
      </c>
      <c r="Y1735">
        <v>6.7580039999999994E-2</v>
      </c>
      <c r="Z1735">
        <v>-2.3831239999999999E-3</v>
      </c>
      <c r="AA1735">
        <v>0.99771100000000001</v>
      </c>
      <c r="AB1735">
        <v>21</v>
      </c>
      <c r="AC1735">
        <v>-36.529499999999999</v>
      </c>
      <c r="AD1735">
        <v>-1.10546549439</v>
      </c>
      <c r="AE1735">
        <v>6.7291000000000096</v>
      </c>
      <c r="AF1735">
        <v>2.5126718734338001</v>
      </c>
      <c r="AG1735">
        <v>-1.10546549439</v>
      </c>
      <c r="AH1735">
        <v>37.026082329409199</v>
      </c>
      <c r="AI1735">
        <v>91.706215684279996</v>
      </c>
      <c r="AJ1735">
        <v>86.117733964809105</v>
      </c>
      <c r="AK1735">
        <v>37.127703222351698</v>
      </c>
      <c r="AL1735">
        <v>89.4781562045372</v>
      </c>
      <c r="AM1735">
        <v>88.339556474985798</v>
      </c>
      <c r="AN1735">
        <v>1.00000005597245</v>
      </c>
    </row>
    <row r="1736" spans="1:40" x14ac:dyDescent="0.25">
      <c r="A1736" t="str">
        <f>"20190312151019128"</f>
        <v>20190312151019128</v>
      </c>
      <c r="B1736" t="str">
        <f>"1552374619122441"</f>
        <v>1552374619122441</v>
      </c>
      <c r="C1736" t="s">
        <v>40</v>
      </c>
      <c r="D1736">
        <v>5.4681879999999996</v>
      </c>
      <c r="E1736">
        <v>0.5146039</v>
      </c>
      <c r="F1736" t="s">
        <v>52</v>
      </c>
      <c r="G1736">
        <v>-250.93389999999999</v>
      </c>
      <c r="H1736" s="1">
        <v>-1.0398139999999999E-6</v>
      </c>
      <c r="I1736">
        <v>288.18380000000002</v>
      </c>
      <c r="J1736">
        <v>-211.2809</v>
      </c>
      <c r="K1736">
        <v>1.1057349999999999</v>
      </c>
      <c r="L1736">
        <v>280.84280000000001</v>
      </c>
      <c r="M1736">
        <v>-0.992344</v>
      </c>
      <c r="N1736">
        <v>0</v>
      </c>
      <c r="O1736">
        <v>0.1226681</v>
      </c>
      <c r="P1736">
        <v>-0.98962309999999998</v>
      </c>
      <c r="Q1736">
        <v>-6.9615859999999996E-3</v>
      </c>
      <c r="R1736">
        <v>0.14351929999999999</v>
      </c>
      <c r="S1736">
        <v>-2.951889</v>
      </c>
      <c r="T1736">
        <v>-8.1852560000000005E-2</v>
      </c>
      <c r="U1736">
        <v>0.54614259999999903</v>
      </c>
      <c r="V1736">
        <v>2.110828E-2</v>
      </c>
      <c r="W1736">
        <v>7.1609050000000004E-3</v>
      </c>
      <c r="X1736">
        <v>0.99975159999999996</v>
      </c>
      <c r="Y1736">
        <v>5.9942420000000003E-2</v>
      </c>
      <c r="Z1736">
        <v>-2.532795E-3</v>
      </c>
      <c r="AA1736">
        <v>0.99819860000000005</v>
      </c>
      <c r="AB1736">
        <v>21</v>
      </c>
      <c r="AC1736">
        <v>-39.652999999999899</v>
      </c>
      <c r="AD1736">
        <v>-1.1057360398139999</v>
      </c>
      <c r="AE1736">
        <v>7.3410000000000002</v>
      </c>
      <c r="AF1736">
        <v>2.4190696942050098</v>
      </c>
      <c r="AG1736">
        <v>-1.1057360398139999</v>
      </c>
      <c r="AH1736">
        <v>40.223826798632103</v>
      </c>
      <c r="AI1736">
        <v>91.571801774062394</v>
      </c>
      <c r="AJ1736">
        <v>86.558364649302504</v>
      </c>
      <c r="AK1736">
        <v>40.3116706761394</v>
      </c>
      <c r="AL1736">
        <v>89.589706879877795</v>
      </c>
      <c r="AM1736">
        <v>88.790463857820498</v>
      </c>
      <c r="AN1736">
        <v>1.00000004987376</v>
      </c>
    </row>
    <row r="1737" spans="1:40" x14ac:dyDescent="0.25">
      <c r="A1737" t="str">
        <f>"20190312151019140"</f>
        <v>20190312151019140</v>
      </c>
      <c r="B1737" t="str">
        <f>"1552374619132200"</f>
        <v>1552374619132200</v>
      </c>
      <c r="C1737" t="s">
        <v>40</v>
      </c>
      <c r="D1737">
        <v>5.469201</v>
      </c>
      <c r="E1737">
        <v>0.51438289999999998</v>
      </c>
      <c r="F1737" t="s">
        <v>52</v>
      </c>
      <c r="G1737">
        <v>-245.56970000000001</v>
      </c>
      <c r="H1737" s="1">
        <v>1.4271019999999999E-6</v>
      </c>
      <c r="I1737">
        <v>287.19690000000003</v>
      </c>
      <c r="J1737">
        <v>-211.3946</v>
      </c>
      <c r="K1737">
        <v>1.1058840000000001</v>
      </c>
      <c r="L1737">
        <v>280.86189999999999</v>
      </c>
      <c r="M1737">
        <v>-0.99179819999999996</v>
      </c>
      <c r="N1737">
        <v>0</v>
      </c>
      <c r="O1737">
        <v>0.12700880000000001</v>
      </c>
      <c r="P1737">
        <v>-0.9894212</v>
      </c>
      <c r="Q1737">
        <v>-7.2095730000000004E-3</v>
      </c>
      <c r="R1737">
        <v>0.14489379999999999</v>
      </c>
      <c r="S1737">
        <v>-2.9514469999999999</v>
      </c>
      <c r="T1737">
        <v>-9.5177529999999996E-2</v>
      </c>
      <c r="U1737">
        <v>0.54693599999999998</v>
      </c>
      <c r="V1737">
        <v>1.811745E-2</v>
      </c>
      <c r="W1737">
        <v>6.9229690000000002E-3</v>
      </c>
      <c r="X1737">
        <v>0.99981189999999998</v>
      </c>
      <c r="Y1737">
        <v>5.5872959999999999E-2</v>
      </c>
      <c r="Z1737">
        <v>-3.1474749999999998E-3</v>
      </c>
      <c r="AA1737">
        <v>0.99843289999999996</v>
      </c>
      <c r="AB1737">
        <v>21</v>
      </c>
      <c r="AC1737">
        <v>-34.1751</v>
      </c>
      <c r="AD1737">
        <v>-1.105882572898</v>
      </c>
      <c r="AE1737">
        <v>6.3350000000000302</v>
      </c>
      <c r="AF1737">
        <v>1.94073770100439</v>
      </c>
      <c r="AG1737">
        <v>-1.105882572898</v>
      </c>
      <c r="AH1737">
        <v>34.667866661349699</v>
      </c>
      <c r="AI1737">
        <v>91.824224570478705</v>
      </c>
      <c r="AJ1737">
        <v>86.795876111760194</v>
      </c>
      <c r="AK1737">
        <v>34.739752704045799</v>
      </c>
      <c r="AL1737">
        <v>89.603339927036501</v>
      </c>
      <c r="AM1737">
        <v>88.961864904183997</v>
      </c>
      <c r="AN1737">
        <v>1.0000000024379401</v>
      </c>
    </row>
    <row r="1738" spans="1:40" x14ac:dyDescent="0.25">
      <c r="A1738" t="str">
        <f>"20190312151019153"</f>
        <v>20190312151019153</v>
      </c>
      <c r="B1738" t="str">
        <f>"1552374619141960"</f>
        <v>1552374619141960</v>
      </c>
      <c r="C1738" t="s">
        <v>40</v>
      </c>
      <c r="D1738">
        <v>5.8240669999999897</v>
      </c>
      <c r="E1738">
        <v>0.51413339999999996</v>
      </c>
      <c r="F1738" t="s">
        <v>52</v>
      </c>
      <c r="G1738">
        <v>-246.3775</v>
      </c>
      <c r="H1738" s="1">
        <v>1.8569960000000001E-6</v>
      </c>
      <c r="I1738">
        <v>287.37400000000002</v>
      </c>
      <c r="J1738">
        <v>-211.51490000000001</v>
      </c>
      <c r="K1738">
        <v>1.1060570000000001</v>
      </c>
      <c r="L1738">
        <v>280.88260000000002</v>
      </c>
      <c r="M1738">
        <v>-0.99122449999999995</v>
      </c>
      <c r="N1738">
        <v>0</v>
      </c>
      <c r="O1738">
        <v>0.13141420000000001</v>
      </c>
      <c r="P1738">
        <v>-0.9891586</v>
      </c>
      <c r="Q1738">
        <v>-7.74618599999999E-3</v>
      </c>
      <c r="R1738">
        <v>0.1466462</v>
      </c>
      <c r="S1738">
        <v>-2.950958</v>
      </c>
      <c r="T1738">
        <v>-9.3285919999999994E-2</v>
      </c>
      <c r="U1738">
        <v>0.54931640000000004</v>
      </c>
      <c r="V1738">
        <v>1.543803E-2</v>
      </c>
      <c r="W1738">
        <v>6.3879690000000003E-3</v>
      </c>
      <c r="X1738">
        <v>0.99986039999999998</v>
      </c>
      <c r="Y1738">
        <v>5.2247019999999998E-2</v>
      </c>
      <c r="Z1738">
        <v>-3.2783500000000002E-3</v>
      </c>
      <c r="AA1738">
        <v>0.99862879999999998</v>
      </c>
      <c r="AB1738">
        <v>21</v>
      </c>
      <c r="AC1738">
        <v>-34.862599999999901</v>
      </c>
      <c r="AD1738">
        <v>-1.106055143004</v>
      </c>
      <c r="AE1738">
        <v>6.4913999999999898</v>
      </c>
      <c r="AF1738">
        <v>1.8513822816085099</v>
      </c>
      <c r="AG1738">
        <v>-1.106055143004</v>
      </c>
      <c r="AH1738">
        <v>35.378925734126803</v>
      </c>
      <c r="AI1738">
        <v>91.788215661563001</v>
      </c>
      <c r="AJ1738">
        <v>87.004439232947902</v>
      </c>
      <c r="AK1738">
        <v>35.444595644934097</v>
      </c>
      <c r="AL1738">
        <v>89.633993839781994</v>
      </c>
      <c r="AM1738">
        <v>89.115412829348998</v>
      </c>
      <c r="AN1738">
        <v>0.99999997920319195</v>
      </c>
    </row>
    <row r="1739" spans="1:40" x14ac:dyDescent="0.25">
      <c r="A1739" t="str">
        <f>"20190312151019174"</f>
        <v>20190312151019174</v>
      </c>
      <c r="B1739" t="str">
        <f>"1552374619162456"</f>
        <v>1552374619162456</v>
      </c>
      <c r="C1739" t="s">
        <v>40</v>
      </c>
      <c r="D1739">
        <v>5.3287459999999998</v>
      </c>
      <c r="E1739">
        <v>0.51365479999999997</v>
      </c>
      <c r="F1739" t="s">
        <v>52</v>
      </c>
      <c r="G1739">
        <v>-246.59289999999999</v>
      </c>
      <c r="H1739" s="1">
        <v>1.97165E-6</v>
      </c>
      <c r="I1739">
        <v>287.45159999999998</v>
      </c>
      <c r="J1739">
        <v>-211.70519999999999</v>
      </c>
      <c r="K1739">
        <v>1.106352</v>
      </c>
      <c r="L1739">
        <v>280.916</v>
      </c>
      <c r="M1739">
        <v>-0.99032330000000002</v>
      </c>
      <c r="N1739">
        <v>0</v>
      </c>
      <c r="O1739">
        <v>0.1380479</v>
      </c>
      <c r="P1739">
        <v>-0.98894590000000004</v>
      </c>
      <c r="Q1739">
        <v>-8.4117589999999996E-3</v>
      </c>
      <c r="R1739">
        <v>0.14803949999999999</v>
      </c>
      <c r="S1739">
        <v>-2.9502410000000001</v>
      </c>
      <c r="T1739">
        <v>-9.3024850000000006E-2</v>
      </c>
      <c r="U1739">
        <v>0.55249019999999904</v>
      </c>
      <c r="V1739">
        <v>1.0141549999999999E-2</v>
      </c>
      <c r="W1739">
        <v>5.7289929999999999E-3</v>
      </c>
      <c r="X1739">
        <v>0.99993220000000005</v>
      </c>
      <c r="Y1739">
        <v>4.664745E-2</v>
      </c>
      <c r="Z1739">
        <v>-3.5616810000000001E-3</v>
      </c>
      <c r="AA1739">
        <v>0.99890509999999999</v>
      </c>
      <c r="AB1739">
        <v>21</v>
      </c>
      <c r="AC1739">
        <v>-34.887699999999903</v>
      </c>
      <c r="AD1739">
        <v>-1.1063500283499901</v>
      </c>
      <c r="AE1739">
        <v>6.5355999999999801</v>
      </c>
      <c r="AF1739">
        <v>1.65474333482534</v>
      </c>
      <c r="AG1739">
        <v>-1.1063500283499901</v>
      </c>
      <c r="AH1739">
        <v>35.421505406831898</v>
      </c>
      <c r="AI1739">
        <v>91.787038594946793</v>
      </c>
      <c r="AJ1739">
        <v>87.325327410665395</v>
      </c>
      <c r="AK1739">
        <v>35.4773904222901</v>
      </c>
      <c r="AL1739">
        <v>89.671751097264007</v>
      </c>
      <c r="AM1739">
        <v>89.418912512168504</v>
      </c>
      <c r="AN1739">
        <v>1.00000003849701</v>
      </c>
    </row>
    <row r="1740" spans="1:40" x14ac:dyDescent="0.25">
      <c r="A1740" t="str">
        <f>"20190312151019195"</f>
        <v>20190312151019195</v>
      </c>
      <c r="B1740" t="str">
        <f>"1552374619192712"</f>
        <v>1552374619192712</v>
      </c>
      <c r="C1740" t="s">
        <v>40</v>
      </c>
      <c r="D1740">
        <v>5.5363170000000004</v>
      </c>
      <c r="E1740">
        <v>0.51339729999999995</v>
      </c>
      <c r="F1740" t="s">
        <v>52</v>
      </c>
      <c r="G1740">
        <v>-244.971</v>
      </c>
      <c r="H1740" s="1">
        <v>1.1085339999999999E-6</v>
      </c>
      <c r="I1740">
        <v>287.15039999999999</v>
      </c>
      <c r="J1740">
        <v>-211.90010000000001</v>
      </c>
      <c r="K1740">
        <v>1.106679</v>
      </c>
      <c r="L1740">
        <v>280.95100000000002</v>
      </c>
      <c r="M1740">
        <v>-0.98942090000000005</v>
      </c>
      <c r="N1740">
        <v>0</v>
      </c>
      <c r="O1740">
        <v>0.14437949999999999</v>
      </c>
      <c r="P1740">
        <v>-0.98885690000000004</v>
      </c>
      <c r="Q1740">
        <v>-9.6617960000000003E-3</v>
      </c>
      <c r="R1740">
        <v>0.14855689999999999</v>
      </c>
      <c r="S1740">
        <v>-2.9499209999999998</v>
      </c>
      <c r="T1740">
        <v>-9.8108290000000001E-2</v>
      </c>
      <c r="U1740">
        <v>0.55285640000000003</v>
      </c>
      <c r="V1740">
        <v>4.2545049999999996E-3</v>
      </c>
      <c r="W1740">
        <v>4.4806489999999997E-3</v>
      </c>
      <c r="X1740">
        <v>0.99998089999999995</v>
      </c>
      <c r="Y1740">
        <v>4.0408180000000002E-2</v>
      </c>
      <c r="Z1740">
        <v>-4.0651639999999996E-3</v>
      </c>
      <c r="AA1740">
        <v>0.99917500000000004</v>
      </c>
      <c r="AB1740">
        <v>21</v>
      </c>
      <c r="AC1740">
        <v>-33.070899999999902</v>
      </c>
      <c r="AD1740">
        <v>-1.106677891466</v>
      </c>
      <c r="AE1740">
        <v>6.1994000000000202</v>
      </c>
      <c r="AF1740">
        <v>1.3577236200872</v>
      </c>
      <c r="AG1740">
        <v>-1.106677891466</v>
      </c>
      <c r="AH1740">
        <v>33.5831515927457</v>
      </c>
      <c r="AI1740">
        <v>91.885866343324295</v>
      </c>
      <c r="AJ1740">
        <v>87.684866133262801</v>
      </c>
      <c r="AK1740">
        <v>33.628800458614897</v>
      </c>
      <c r="AL1740">
        <v>89.743276860908793</v>
      </c>
      <c r="AM1740">
        <v>89.756231634429696</v>
      </c>
      <c r="AN1740">
        <v>0.99999998869653295</v>
      </c>
    </row>
    <row r="1741" spans="1:40" x14ac:dyDescent="0.25">
      <c r="A1741" t="str">
        <f>"20190312151019208"</f>
        <v>20190312151019208</v>
      </c>
      <c r="B1741" t="str">
        <f>"1552374619202472"</f>
        <v>1552374619202472</v>
      </c>
      <c r="C1741" t="s">
        <v>40</v>
      </c>
      <c r="D1741">
        <v>5.4223460000000001</v>
      </c>
      <c r="E1741">
        <v>0.51331289999999996</v>
      </c>
      <c r="F1741" t="s">
        <v>52</v>
      </c>
      <c r="G1741">
        <v>-245.36850000000001</v>
      </c>
      <c r="H1741" s="1">
        <v>1.3200569999999999E-6</v>
      </c>
      <c r="I1741">
        <v>287.21910000000003</v>
      </c>
      <c r="J1741">
        <v>-212.0188</v>
      </c>
      <c r="K1741">
        <v>1.1068910000000001</v>
      </c>
      <c r="L1741">
        <v>280.97269999999997</v>
      </c>
      <c r="M1741">
        <v>-0.9888924</v>
      </c>
      <c r="N1741">
        <v>0</v>
      </c>
      <c r="O1741">
        <v>0.14795839999999999</v>
      </c>
      <c r="P1741">
        <v>-0.98878310000000003</v>
      </c>
      <c r="Q1741">
        <v>-1.0355609999999999E-2</v>
      </c>
      <c r="R1741">
        <v>0.14899889999999999</v>
      </c>
      <c r="S1741">
        <v>-2.9498600000000001</v>
      </c>
      <c r="T1741">
        <v>-9.7541210000000003E-2</v>
      </c>
      <c r="U1741">
        <v>0.5524597</v>
      </c>
      <c r="V1741">
        <v>1.0762809999999999E-3</v>
      </c>
      <c r="W1741">
        <v>3.779704E-3</v>
      </c>
      <c r="X1741">
        <v>0.99999229999999995</v>
      </c>
      <c r="Y1741">
        <v>3.6669849999999997E-2</v>
      </c>
      <c r="Z1741">
        <v>-4.2186350000000001E-3</v>
      </c>
      <c r="AA1741">
        <v>0.9993185</v>
      </c>
      <c r="AB1741">
        <v>21</v>
      </c>
      <c r="AC1741">
        <v>-33.349699999999999</v>
      </c>
      <c r="AD1741">
        <v>-1.1068896799429999</v>
      </c>
      <c r="AE1741">
        <v>6.2464000000000501</v>
      </c>
      <c r="AF1741">
        <v>1.24145236512999</v>
      </c>
      <c r="AG1741">
        <v>-1.1068896799429999</v>
      </c>
      <c r="AH1741">
        <v>33.8708177615651</v>
      </c>
      <c r="AI1741">
        <v>91.870490217829399</v>
      </c>
      <c r="AJ1741">
        <v>87.900902337728397</v>
      </c>
      <c r="AK1741">
        <v>33.911630815630303</v>
      </c>
      <c r="AL1741">
        <v>89.783438402179698</v>
      </c>
      <c r="AM1741">
        <v>89.938333190106803</v>
      </c>
      <c r="AN1741">
        <v>1.0000000223012</v>
      </c>
    </row>
    <row r="1742" spans="1:40" x14ac:dyDescent="0.25">
      <c r="A1742" t="str">
        <f>"20190312151019230"</f>
        <v>20190312151019230</v>
      </c>
      <c r="B1742" t="str">
        <f>"1552374619221993"</f>
        <v>1552374619221993</v>
      </c>
      <c r="C1742" t="s">
        <v>40</v>
      </c>
      <c r="D1742">
        <v>4.9675830000000003</v>
      </c>
      <c r="E1742">
        <v>0.51328399999999996</v>
      </c>
      <c r="F1742" t="s">
        <v>52</v>
      </c>
      <c r="G1742">
        <v>-245.536</v>
      </c>
      <c r="H1742" s="1">
        <v>1.4091950000000001E-6</v>
      </c>
      <c r="I1742">
        <v>287.25839999999999</v>
      </c>
      <c r="J1742">
        <v>-212.2252</v>
      </c>
      <c r="K1742">
        <v>1.1072550000000001</v>
      </c>
      <c r="L1742">
        <v>281.01100000000002</v>
      </c>
      <c r="M1742">
        <v>-0.98799979999999998</v>
      </c>
      <c r="N1742">
        <v>0</v>
      </c>
      <c r="O1742">
        <v>0.15381199999999901</v>
      </c>
      <c r="P1742">
        <v>-0.98865820000000004</v>
      </c>
      <c r="Q1742">
        <v>-1.0907389999999999E-2</v>
      </c>
      <c r="R1742">
        <v>0.14978620000000001</v>
      </c>
      <c r="S1742">
        <v>-2.9496310000000001</v>
      </c>
      <c r="T1742">
        <v>-9.7410079999999996E-2</v>
      </c>
      <c r="U1742">
        <v>0.55316160000000003</v>
      </c>
      <c r="V1742">
        <v>-4.0562469999999998E-3</v>
      </c>
      <c r="W1742">
        <v>3.2060729999999998E-3</v>
      </c>
      <c r="X1742">
        <v>0.99998659999999995</v>
      </c>
      <c r="Y1742">
        <v>3.1000960000000001E-2</v>
      </c>
      <c r="Z1742">
        <v>-4.4945549999999999E-3</v>
      </c>
      <c r="AA1742">
        <v>0.99950930000000004</v>
      </c>
      <c r="AB1742">
        <v>21</v>
      </c>
      <c r="AC1742">
        <v>-33.310799999999901</v>
      </c>
      <c r="AD1742">
        <v>-1.1072535908050001</v>
      </c>
      <c r="AE1742">
        <v>6.2474000000000203</v>
      </c>
      <c r="AF1742">
        <v>1.0478147743947801</v>
      </c>
      <c r="AG1742">
        <v>-1.1072535908050001</v>
      </c>
      <c r="AH1742">
        <v>33.8392285191333</v>
      </c>
      <c r="AI1742">
        <v>91.873209713400996</v>
      </c>
      <c r="AJ1742">
        <v>88.226431551952899</v>
      </c>
      <c r="AK1742">
        <v>33.873548870555503</v>
      </c>
      <c r="AL1742">
        <v>89.8163052273662</v>
      </c>
      <c r="AM1742">
        <v>90.232407673401894</v>
      </c>
      <c r="AN1742">
        <v>0.99999996611168196</v>
      </c>
    </row>
    <row r="1743" spans="1:40" x14ac:dyDescent="0.25">
      <c r="A1743" t="str">
        <f>"20190312151019254"</f>
        <v>20190312151019254</v>
      </c>
      <c r="B1743" t="str">
        <f>"1552374619242488"</f>
        <v>1552374619242488</v>
      </c>
      <c r="C1743" t="s">
        <v>40</v>
      </c>
      <c r="D1743">
        <v>5.4906750000000004</v>
      </c>
      <c r="E1743">
        <v>0.51308849999999995</v>
      </c>
      <c r="F1743" t="s">
        <v>52</v>
      </c>
      <c r="G1743">
        <v>-243.19030000000001</v>
      </c>
      <c r="H1743" s="1">
        <v>1.6092199999999999E-7</v>
      </c>
      <c r="I1743">
        <v>286.84210000000002</v>
      </c>
      <c r="J1743">
        <v>-212.441</v>
      </c>
      <c r="K1743">
        <v>1.1076029999999999</v>
      </c>
      <c r="L1743">
        <v>281.05149999999998</v>
      </c>
      <c r="M1743">
        <v>-0.98711930000000003</v>
      </c>
      <c r="N1743">
        <v>0</v>
      </c>
      <c r="O1743">
        <v>0.1593707</v>
      </c>
      <c r="P1743">
        <v>-0.98842459999999999</v>
      </c>
      <c r="Q1743">
        <v>-1.0054449999999999E-2</v>
      </c>
      <c r="R1743">
        <v>0.15137970000000001</v>
      </c>
      <c r="S1743">
        <v>-2.949112</v>
      </c>
      <c r="T1743">
        <v>-0.1054549</v>
      </c>
      <c r="U1743">
        <v>0.55535889999999999</v>
      </c>
      <c r="V1743">
        <v>-8.0715709999999996E-3</v>
      </c>
      <c r="W1743">
        <v>4.0205049999999997E-3</v>
      </c>
      <c r="X1743">
        <v>0.9999593</v>
      </c>
      <c r="Y1743">
        <v>2.614319E-2</v>
      </c>
      <c r="Z1743">
        <v>-5.1457430000000004E-3</v>
      </c>
      <c r="AA1743">
        <v>0.99964489999999995</v>
      </c>
      <c r="AB1743">
        <v>21</v>
      </c>
      <c r="AC1743">
        <v>-30.749300000000002</v>
      </c>
      <c r="AD1743">
        <v>-1.1076028390779999</v>
      </c>
      <c r="AE1743">
        <v>5.7906000000000404</v>
      </c>
      <c r="AF1743">
        <v>0.814535031623973</v>
      </c>
      <c r="AG1743">
        <v>-1.1076028390779999</v>
      </c>
      <c r="AH1743">
        <v>31.240007479985799</v>
      </c>
      <c r="AI1743">
        <v>92.029860722903905</v>
      </c>
      <c r="AJ1743">
        <v>88.506439275462199</v>
      </c>
      <c r="AK1743">
        <v>31.270246540704498</v>
      </c>
      <c r="AL1743">
        <v>89.769641401750306</v>
      </c>
      <c r="AM1743">
        <v>90.462475731397006</v>
      </c>
      <c r="AN1743">
        <v>0.99999995818767495</v>
      </c>
    </row>
    <row r="1744" spans="1:40" x14ac:dyDescent="0.25">
      <c r="A1744" t="str">
        <f>"20190312151019275"</f>
        <v>20190312151019275</v>
      </c>
      <c r="B1744" t="str">
        <f>"1552374619272744"</f>
        <v>1552374619272744</v>
      </c>
      <c r="C1744" t="s">
        <v>40</v>
      </c>
      <c r="D1744">
        <v>5.6523570000000003</v>
      </c>
      <c r="E1744">
        <v>0.51291960000000003</v>
      </c>
      <c r="F1744" t="s">
        <v>52</v>
      </c>
      <c r="G1744">
        <v>-245.17330000000001</v>
      </c>
      <c r="H1744" s="1">
        <v>1.2162000000000001E-6</v>
      </c>
      <c r="I1744">
        <v>287.25</v>
      </c>
      <c r="J1744">
        <v>-212.62989999999999</v>
      </c>
      <c r="K1744">
        <v>1.10789</v>
      </c>
      <c r="L1744">
        <v>281.08760000000001</v>
      </c>
      <c r="M1744">
        <v>-0.98640220000000001</v>
      </c>
      <c r="N1744">
        <v>0</v>
      </c>
      <c r="O1744">
        <v>0.16375499999999901</v>
      </c>
      <c r="P1744">
        <v>-0.98821199999999998</v>
      </c>
      <c r="Q1744">
        <v>-9.0886189999999992E-3</v>
      </c>
      <c r="R1744">
        <v>0.15282270000000001</v>
      </c>
      <c r="S1744">
        <v>-2.9486240000000001</v>
      </c>
      <c r="T1744">
        <v>-9.9776149999999994E-2</v>
      </c>
      <c r="U1744">
        <v>0.55838009999999905</v>
      </c>
      <c r="V1744">
        <v>-1.105303E-2</v>
      </c>
      <c r="W1744">
        <v>4.9465139999999999E-3</v>
      </c>
      <c r="X1744">
        <v>0.99992669999999995</v>
      </c>
      <c r="Y1744">
        <v>2.2716389999999999E-2</v>
      </c>
      <c r="Z1744">
        <v>-5.0709250000000004E-3</v>
      </c>
      <c r="AA1744">
        <v>0.99972910000000004</v>
      </c>
      <c r="AB1744">
        <v>21</v>
      </c>
      <c r="AC1744">
        <v>-32.543399999999998</v>
      </c>
      <c r="AD1744">
        <v>-1.1078887838</v>
      </c>
      <c r="AE1744">
        <v>6.1623999999999901</v>
      </c>
      <c r="AF1744">
        <v>0.74869586492888995</v>
      </c>
      <c r="AG1744">
        <v>-1.1078887838</v>
      </c>
      <c r="AH1744">
        <v>33.076226967554298</v>
      </c>
      <c r="AI1744">
        <v>91.917914986083701</v>
      </c>
      <c r="AJ1744">
        <v>88.703304667276498</v>
      </c>
      <c r="AK1744">
        <v>33.103243851088102</v>
      </c>
      <c r="AL1744">
        <v>89.716584474792597</v>
      </c>
      <c r="AM1744">
        <v>90.633312600106095</v>
      </c>
      <c r="AN1744">
        <v>1.0000000214229099</v>
      </c>
    </row>
    <row r="1745" spans="1:40" x14ac:dyDescent="0.25">
      <c r="A1745" t="str">
        <f>"20190312151019297"</f>
        <v>20190312151019297</v>
      </c>
      <c r="B1745" t="str">
        <f>"1552374619292265"</f>
        <v>1552374619292265</v>
      </c>
      <c r="C1745" t="s">
        <v>40</v>
      </c>
      <c r="D1745">
        <v>6.4577260000000001</v>
      </c>
      <c r="E1745">
        <v>0.51282399999999995</v>
      </c>
      <c r="F1745" t="s">
        <v>52</v>
      </c>
      <c r="G1745">
        <v>-244.96039999999999</v>
      </c>
      <c r="H1745" s="1">
        <v>1.102881E-6</v>
      </c>
      <c r="I1745">
        <v>287.24189999999999</v>
      </c>
      <c r="J1745">
        <v>-212.82859999999999</v>
      </c>
      <c r="K1745">
        <v>1.1081749999999999</v>
      </c>
      <c r="L1745">
        <v>281.1259</v>
      </c>
      <c r="M1745">
        <v>-0.98570769999999996</v>
      </c>
      <c r="N1745">
        <v>0</v>
      </c>
      <c r="O1745">
        <v>0.16788910000000001</v>
      </c>
      <c r="P1745">
        <v>-0.98818649999999997</v>
      </c>
      <c r="Q1745">
        <v>-8.0785930000000002E-3</v>
      </c>
      <c r="R1745">
        <v>0.15304429999999999</v>
      </c>
      <c r="S1745">
        <v>-2.9480740000000001</v>
      </c>
      <c r="T1745">
        <v>-0.10102360000000001</v>
      </c>
      <c r="U1745">
        <v>0.56118769999999996</v>
      </c>
      <c r="V1745">
        <v>-1.502032E-2</v>
      </c>
      <c r="W1745">
        <v>5.9173409999999996E-3</v>
      </c>
      <c r="X1745">
        <v>0.99986969999999997</v>
      </c>
      <c r="Y1745">
        <v>1.9483859999999999E-2</v>
      </c>
      <c r="Z1745">
        <v>-5.3273529999999999E-3</v>
      </c>
      <c r="AA1745">
        <v>0.99979600000000002</v>
      </c>
      <c r="AB1745">
        <v>21</v>
      </c>
      <c r="AC1745">
        <v>-32.131799999999998</v>
      </c>
      <c r="AD1745">
        <v>-1.1081738971189901</v>
      </c>
      <c r="AE1745">
        <v>6.1159999999999801</v>
      </c>
      <c r="AF1745">
        <v>0.63334369340960694</v>
      </c>
      <c r="AG1745">
        <v>-1.1081738971189901</v>
      </c>
      <c r="AH1745">
        <v>32.665042884775801</v>
      </c>
      <c r="AI1745">
        <v>91.942670875542305</v>
      </c>
      <c r="AJ1745">
        <v>88.889229245141294</v>
      </c>
      <c r="AK1745">
        <v>32.6899709434634</v>
      </c>
      <c r="AL1745">
        <v>89.660959363265803</v>
      </c>
      <c r="AM1745">
        <v>90.860648357248294</v>
      </c>
      <c r="AN1745">
        <v>1.00000002095775</v>
      </c>
    </row>
    <row r="1746" spans="1:40" x14ac:dyDescent="0.25">
      <c r="A1746" t="str">
        <f>"20190312151019310"</f>
        <v>20190312151019310</v>
      </c>
      <c r="B1746" t="str">
        <f>"1552374619302024"</f>
        <v>1552374619302024</v>
      </c>
      <c r="C1746" t="s">
        <v>40</v>
      </c>
      <c r="D1746">
        <v>5.4270759999999996</v>
      </c>
      <c r="E1746">
        <v>0.51279960000000002</v>
      </c>
      <c r="F1746" t="s">
        <v>52</v>
      </c>
      <c r="G1746">
        <v>-247.3914</v>
      </c>
      <c r="H1746" s="1">
        <v>2.3965440000000002E-6</v>
      </c>
      <c r="I1746">
        <v>287.70490000000001</v>
      </c>
      <c r="J1746">
        <v>-212.95359999999999</v>
      </c>
      <c r="K1746">
        <v>1.1083540000000001</v>
      </c>
      <c r="L1746">
        <v>281.15010000000001</v>
      </c>
      <c r="M1746">
        <v>-0.98531299999999999</v>
      </c>
      <c r="N1746">
        <v>0</v>
      </c>
      <c r="O1746">
        <v>0.17019229999999999</v>
      </c>
      <c r="P1746">
        <v>-0.98814990000000003</v>
      </c>
      <c r="Q1746">
        <v>-7.2558060000000001E-3</v>
      </c>
      <c r="R1746">
        <v>0.1533207</v>
      </c>
      <c r="S1746">
        <v>-2.9481959999999998</v>
      </c>
      <c r="T1746">
        <v>-9.4526769999999996E-2</v>
      </c>
      <c r="U1746">
        <v>0.56118769999999996</v>
      </c>
      <c r="V1746">
        <v>-1.707701E-2</v>
      </c>
      <c r="W1746">
        <v>6.7126879999999996E-3</v>
      </c>
      <c r="X1746">
        <v>0.99983160000000004</v>
      </c>
      <c r="Y1746">
        <v>1.7131670000000002E-2</v>
      </c>
      <c r="Z1746">
        <v>-5.0938870000000001E-3</v>
      </c>
      <c r="AA1746">
        <v>0.99984030000000002</v>
      </c>
      <c r="AB1746">
        <v>21</v>
      </c>
      <c r="AC1746">
        <v>-34.437800000000003</v>
      </c>
      <c r="AD1746">
        <v>-1.1083516034559999</v>
      </c>
      <c r="AE1746">
        <v>6.5548000000000002</v>
      </c>
      <c r="AF1746">
        <v>0.59694218382373498</v>
      </c>
      <c r="AG1746">
        <v>-1.1083516034559999</v>
      </c>
      <c r="AH1746">
        <v>35.015966705625097</v>
      </c>
      <c r="AI1746">
        <v>91.812700406597799</v>
      </c>
      <c r="AJ1746">
        <v>89.023332547920006</v>
      </c>
      <c r="AK1746">
        <v>35.0385888354134</v>
      </c>
      <c r="AL1746">
        <v>89.615388403162896</v>
      </c>
      <c r="AM1746">
        <v>90.978510253095294</v>
      </c>
      <c r="AN1746">
        <v>0.99999995640464101</v>
      </c>
    </row>
    <row r="1747" spans="1:40" x14ac:dyDescent="0.25">
      <c r="A1747" t="str">
        <f>"20190312151019330"</f>
        <v>20190312151019330</v>
      </c>
      <c r="B1747" t="str">
        <f>"1552374619322520"</f>
        <v>1552374619322520</v>
      </c>
      <c r="C1747" t="s">
        <v>40</v>
      </c>
      <c r="D1747">
        <v>5.4692699999999999</v>
      </c>
      <c r="E1747">
        <v>0.51276109999999997</v>
      </c>
      <c r="F1747" t="s">
        <v>52</v>
      </c>
      <c r="G1747">
        <v>-249.4896</v>
      </c>
      <c r="H1747" s="1">
        <v>3.513106E-6</v>
      </c>
      <c r="I1747">
        <v>288.10890000000001</v>
      </c>
      <c r="J1747">
        <v>-213.13419999999999</v>
      </c>
      <c r="K1747">
        <v>1.108619</v>
      </c>
      <c r="L1747">
        <v>281.18540000000002</v>
      </c>
      <c r="M1747">
        <v>-0.98478250000000001</v>
      </c>
      <c r="N1747">
        <v>0</v>
      </c>
      <c r="O1747">
        <v>0.17323859999999999</v>
      </c>
      <c r="P1747">
        <v>-0.98828800000000006</v>
      </c>
      <c r="Q1747">
        <v>-6.2249100000000002E-3</v>
      </c>
      <c r="R1747">
        <v>0.15247359999999999</v>
      </c>
      <c r="S1747">
        <v>-2.9482119999999998</v>
      </c>
      <c r="T1747">
        <v>-8.9436409999999994E-2</v>
      </c>
      <c r="U1747">
        <v>0.56152340000000001</v>
      </c>
      <c r="V1747">
        <v>-2.10276E-2</v>
      </c>
      <c r="W1747">
        <v>7.7049619999999897E-3</v>
      </c>
      <c r="X1747">
        <v>0.9997492</v>
      </c>
      <c r="Y1747">
        <v>1.4143289999999999E-2</v>
      </c>
      <c r="Z1747">
        <v>-4.9543319999999997E-3</v>
      </c>
      <c r="AA1747">
        <v>0.99988770000000005</v>
      </c>
      <c r="AB1747">
        <v>21</v>
      </c>
      <c r="AC1747">
        <v>-36.355400000000003</v>
      </c>
      <c r="AD1747">
        <v>-1.1086154868939999</v>
      </c>
      <c r="AE1747">
        <v>6.92349999999999</v>
      </c>
      <c r="AF1747">
        <v>0.51956669490622298</v>
      </c>
      <c r="AG1747">
        <v>-1.1086154868939999</v>
      </c>
      <c r="AH1747">
        <v>36.971952340154303</v>
      </c>
      <c r="AI1747">
        <v>91.717347670061301</v>
      </c>
      <c r="AJ1747">
        <v>89.194875642678397</v>
      </c>
      <c r="AK1747">
        <v>36.992218610011498</v>
      </c>
      <c r="AL1747">
        <v>89.558533825610496</v>
      </c>
      <c r="AM1747">
        <v>91.204917314220296</v>
      </c>
      <c r="AN1747">
        <v>0.99999999465091005</v>
      </c>
    </row>
    <row r="1748" spans="1:40" x14ac:dyDescent="0.25">
      <c r="A1748" t="str">
        <f>"20190312151019343"</f>
        <v>20190312151019343</v>
      </c>
      <c r="B1748" t="str">
        <f>"1552374619332280"</f>
        <v>1552374619332280</v>
      </c>
      <c r="C1748" t="s">
        <v>40</v>
      </c>
      <c r="D1748">
        <v>5.4176000000000002</v>
      </c>
      <c r="E1748">
        <v>0.51268479999999905</v>
      </c>
      <c r="F1748" t="s">
        <v>52</v>
      </c>
      <c r="G1748">
        <v>-253.20920000000001</v>
      </c>
      <c r="H1748" s="1">
        <v>1.7096850000000001E-7</v>
      </c>
      <c r="I1748">
        <v>288.7801</v>
      </c>
      <c r="J1748">
        <v>-213.25360000000001</v>
      </c>
      <c r="K1748">
        <v>1.1087940000000001</v>
      </c>
      <c r="L1748">
        <v>281.20870000000002</v>
      </c>
      <c r="M1748">
        <v>-0.98446199999999995</v>
      </c>
      <c r="N1748">
        <v>0</v>
      </c>
      <c r="O1748">
        <v>0.17505370000000001</v>
      </c>
      <c r="P1748">
        <v>-0.98828839999999996</v>
      </c>
      <c r="Q1748">
        <v>-6.006735E-3</v>
      </c>
      <c r="R1748">
        <v>0.15248</v>
      </c>
      <c r="S1748">
        <v>-2.9488219999999998</v>
      </c>
      <c r="T1748">
        <v>-8.1575159999999994E-2</v>
      </c>
      <c r="U1748">
        <v>0.5588379</v>
      </c>
      <c r="V1748">
        <v>-2.2867189999999999E-2</v>
      </c>
      <c r="W1748">
        <v>7.8947369999999902E-3</v>
      </c>
      <c r="X1748">
        <v>0.99970729999999997</v>
      </c>
      <c r="Y1748">
        <v>1.1373049999999999E-2</v>
      </c>
      <c r="Z1748">
        <v>-4.6053379999999996E-3</v>
      </c>
      <c r="AA1748">
        <v>0.9999247</v>
      </c>
      <c r="AB1748">
        <v>21</v>
      </c>
      <c r="AC1748">
        <v>-39.955599999999997</v>
      </c>
      <c r="AD1748">
        <v>-1.1087938290315</v>
      </c>
      <c r="AE1748">
        <v>7.5713999999999801</v>
      </c>
      <c r="AF1748">
        <v>0.45908251214415602</v>
      </c>
      <c r="AG1748">
        <v>-1.1087938290315</v>
      </c>
      <c r="AH1748">
        <v>40.633843089435203</v>
      </c>
      <c r="AI1748">
        <v>91.5629679525764</v>
      </c>
      <c r="AJ1748">
        <v>89.352697916183203</v>
      </c>
      <c r="AK1748">
        <v>40.651560667766397</v>
      </c>
      <c r="AL1748">
        <v>89.547660172745296</v>
      </c>
      <c r="AM1748">
        <v>91.310348582932406</v>
      </c>
      <c r="AN1748">
        <v>0.99999996046204098</v>
      </c>
    </row>
    <row r="1749" spans="1:40" x14ac:dyDescent="0.25">
      <c r="A1749" t="str">
        <f>"20190312151019356"</f>
        <v>20190312151019356</v>
      </c>
      <c r="B1749" t="str">
        <f>"1552374619352776"</f>
        <v>1552374619352776</v>
      </c>
      <c r="C1749" t="s">
        <v>40</v>
      </c>
      <c r="D1749">
        <v>5.649057</v>
      </c>
      <c r="E1749">
        <v>0.51250680000000004</v>
      </c>
      <c r="F1749" t="s">
        <v>52</v>
      </c>
      <c r="G1749">
        <v>-254.57490000000001</v>
      </c>
      <c r="H1749" s="1">
        <v>8.9774400000000005E-7</v>
      </c>
      <c r="I1749">
        <v>289.029</v>
      </c>
      <c r="J1749">
        <v>-213.37960000000001</v>
      </c>
      <c r="K1749">
        <v>1.108978</v>
      </c>
      <c r="L1749">
        <v>281.23340000000002</v>
      </c>
      <c r="M1749">
        <v>-0.98414599999999997</v>
      </c>
      <c r="N1749">
        <v>0</v>
      </c>
      <c r="O1749">
        <v>0.17682290000000001</v>
      </c>
      <c r="P1749">
        <v>-0.98822639999999995</v>
      </c>
      <c r="Q1749">
        <v>-6.0690419999999898E-3</v>
      </c>
      <c r="R1749">
        <v>0.1528794</v>
      </c>
      <c r="S1749">
        <v>-2.948944</v>
      </c>
      <c r="T1749">
        <v>-7.9130409999999998E-2</v>
      </c>
      <c r="U1749">
        <v>0.55810550000000003</v>
      </c>
      <c r="V1749">
        <v>-2.4263429999999999E-2</v>
      </c>
      <c r="W1749">
        <v>7.7998499999999997E-3</v>
      </c>
      <c r="X1749">
        <v>0.99967519999999999</v>
      </c>
      <c r="Y1749">
        <v>9.3262750000000002E-3</v>
      </c>
      <c r="Z1749">
        <v>-4.540634E-3</v>
      </c>
      <c r="AA1749">
        <v>0.99994620000000001</v>
      </c>
      <c r="AB1749">
        <v>21</v>
      </c>
      <c r="AC1749">
        <v>-41.195300000000003</v>
      </c>
      <c r="AD1749">
        <v>-1.108977102256</v>
      </c>
      <c r="AE1749">
        <v>7.7955999999999701</v>
      </c>
      <c r="AF1749">
        <v>0.387501937256096</v>
      </c>
      <c r="AG1749">
        <v>-1.108977102256</v>
      </c>
      <c r="AH1749">
        <v>41.8953085935918</v>
      </c>
      <c r="AI1749">
        <v>91.516211717684897</v>
      </c>
      <c r="AJ1749">
        <v>89.470069723635206</v>
      </c>
      <c r="AK1749">
        <v>41.911774838546101</v>
      </c>
      <c r="AL1749">
        <v>89.553096995443994</v>
      </c>
      <c r="AM1749">
        <v>91.390370838564394</v>
      </c>
      <c r="AN1749">
        <v>1.00000002859521</v>
      </c>
    </row>
    <row r="1750" spans="1:40" x14ac:dyDescent="0.25">
      <c r="A1750" t="str">
        <f>"20190312151019374"</f>
        <v>20190312151019374</v>
      </c>
      <c r="B1750" t="str">
        <f>"1552374619362554"</f>
        <v>1552374619362554</v>
      </c>
      <c r="C1750" t="s">
        <v>40</v>
      </c>
      <c r="D1750">
        <v>5.5955409999999999</v>
      </c>
      <c r="E1750">
        <v>0.51240600000000003</v>
      </c>
      <c r="F1750" t="s">
        <v>52</v>
      </c>
      <c r="G1750">
        <v>-256.62639999999999</v>
      </c>
      <c r="H1750" s="1">
        <v>1.9894719999999998E-6</v>
      </c>
      <c r="I1750">
        <v>289.4153</v>
      </c>
      <c r="J1750">
        <v>-213.5341</v>
      </c>
      <c r="K1750">
        <v>1.109194</v>
      </c>
      <c r="L1750">
        <v>281.2636</v>
      </c>
      <c r="M1750">
        <v>-0.98380679999999998</v>
      </c>
      <c r="N1750">
        <v>0</v>
      </c>
      <c r="O1750">
        <v>0.178702799999999</v>
      </c>
      <c r="P1750">
        <v>-0.98837819999999998</v>
      </c>
      <c r="Q1750">
        <v>-5.8688919999999997E-3</v>
      </c>
      <c r="R1750">
        <v>0.15190149999999999</v>
      </c>
      <c r="S1750">
        <v>-2.9489749999999999</v>
      </c>
      <c r="T1750">
        <v>-7.5620409999999999E-2</v>
      </c>
      <c r="U1750">
        <v>0.55792240000000004</v>
      </c>
      <c r="V1750">
        <v>-2.7166280000000001E-2</v>
      </c>
      <c r="W1750">
        <v>7.9643530000000004E-3</v>
      </c>
      <c r="X1750">
        <v>0.99959920000000002</v>
      </c>
      <c r="Y1750">
        <v>7.3503099999999997E-3</v>
      </c>
      <c r="Z1750">
        <v>-4.4111879999999999E-3</v>
      </c>
      <c r="AA1750">
        <v>0.9999633</v>
      </c>
      <c r="AB1750">
        <v>21</v>
      </c>
      <c r="AC1750">
        <v>-43.092300000000002</v>
      </c>
      <c r="AD1750">
        <v>-1.109192010528</v>
      </c>
      <c r="AE1750">
        <v>8.1516999999999999</v>
      </c>
      <c r="AF1750">
        <v>0.318809521849857</v>
      </c>
      <c r="AG1750">
        <v>-1.109192010528</v>
      </c>
      <c r="AH1750">
        <v>43.827350338960599</v>
      </c>
      <c r="AI1750">
        <v>91.449706104893806</v>
      </c>
      <c r="AJ1750">
        <v>89.583225594179794</v>
      </c>
      <c r="AK1750">
        <v>43.8425430850154</v>
      </c>
      <c r="AL1750">
        <v>89.543671361855402</v>
      </c>
      <c r="AM1750">
        <v>91.556754092967395</v>
      </c>
      <c r="AN1750">
        <v>0.99999999916419302</v>
      </c>
    </row>
    <row r="1751" spans="1:40" x14ac:dyDescent="0.25">
      <c r="A1751" t="str">
        <f>"20190312151019397"</f>
        <v>20190312151019397</v>
      </c>
      <c r="B1751" t="str">
        <f>"1552374619392792"</f>
        <v>1552374619392792</v>
      </c>
      <c r="C1751" t="s">
        <v>40</v>
      </c>
      <c r="D1751">
        <v>5.493544</v>
      </c>
      <c r="E1751">
        <v>0.51206859999999998</v>
      </c>
      <c r="F1751" t="s">
        <v>52</v>
      </c>
      <c r="G1751">
        <v>-257.92509999999999</v>
      </c>
      <c r="H1751" s="1">
        <v>2.6805500000000001E-6</v>
      </c>
      <c r="I1751">
        <v>289.6003</v>
      </c>
      <c r="J1751">
        <v>-213.73910000000001</v>
      </c>
      <c r="K1751">
        <v>1.109478</v>
      </c>
      <c r="L1751">
        <v>281.30369999999999</v>
      </c>
      <c r="M1751">
        <v>-0.98342149999999995</v>
      </c>
      <c r="N1751">
        <v>0</v>
      </c>
      <c r="O1751">
        <v>0.18081349999999999</v>
      </c>
      <c r="P1751">
        <v>-0.98860950000000003</v>
      </c>
      <c r="Q1751">
        <v>-4.0134419999999999E-3</v>
      </c>
      <c r="R1751">
        <v>0.15045</v>
      </c>
      <c r="S1751">
        <v>-2.9497070000000001</v>
      </c>
      <c r="T1751">
        <v>-7.3703999999999895E-2</v>
      </c>
      <c r="U1751">
        <v>0.55395509999999903</v>
      </c>
      <c r="V1751">
        <v>-3.078239E-2</v>
      </c>
      <c r="W1751">
        <v>9.7710169999999999E-3</v>
      </c>
      <c r="X1751">
        <v>0.99947830000000004</v>
      </c>
      <c r="Y1751">
        <v>3.859346E-3</v>
      </c>
      <c r="Z1751">
        <v>-4.3934719999999998E-3</v>
      </c>
      <c r="AA1751">
        <v>0.99998290000000001</v>
      </c>
      <c r="AB1751">
        <v>21</v>
      </c>
      <c r="AC1751">
        <v>-44.1859999999999</v>
      </c>
      <c r="AD1751">
        <v>-1.10947531945</v>
      </c>
      <c r="AE1751">
        <v>8.2966000000000104</v>
      </c>
      <c r="AF1751">
        <v>0.16954225544599399</v>
      </c>
      <c r="AG1751">
        <v>-1.10947531945</v>
      </c>
      <c r="AH1751">
        <v>44.930477396906397</v>
      </c>
      <c r="AI1751">
        <v>91.414516139335305</v>
      </c>
      <c r="AJ1751">
        <v>89.783799101549207</v>
      </c>
      <c r="AK1751">
        <v>44.9444933131387</v>
      </c>
      <c r="AL1751">
        <v>89.440153027892293</v>
      </c>
      <c r="AM1751">
        <v>91.764064009754193</v>
      </c>
      <c r="AN1751">
        <v>0.99999995023910704</v>
      </c>
    </row>
    <row r="1752" spans="1:40" x14ac:dyDescent="0.25">
      <c r="A1752" t="str">
        <f>"20190312151019409"</f>
        <v>20190312151019409</v>
      </c>
      <c r="B1752" t="str">
        <f>"1552374619402552"</f>
        <v>1552374619402552</v>
      </c>
      <c r="C1752" t="s">
        <v>40</v>
      </c>
      <c r="D1752">
        <v>5.7408340000000004</v>
      </c>
      <c r="E1752">
        <v>0.51194759999999995</v>
      </c>
      <c r="F1752" t="s">
        <v>52</v>
      </c>
      <c r="G1752">
        <v>-261.84789999999998</v>
      </c>
      <c r="H1752">
        <v>8.0000559999999998E-2</v>
      </c>
      <c r="I1752">
        <v>290.221</v>
      </c>
      <c r="J1752">
        <v>-213.85300000000001</v>
      </c>
      <c r="K1752">
        <v>1.109634</v>
      </c>
      <c r="L1752">
        <v>281.32589999999999</v>
      </c>
      <c r="M1752">
        <v>-0.9832552</v>
      </c>
      <c r="N1752">
        <v>0</v>
      </c>
      <c r="O1752">
        <v>0.18171789999999999</v>
      </c>
      <c r="P1752">
        <v>-0.98874779999999995</v>
      </c>
      <c r="Q1752">
        <v>-2.7887929999999999E-3</v>
      </c>
      <c r="R1752">
        <v>0.14956759999999999</v>
      </c>
      <c r="S1752">
        <v>-2.95105</v>
      </c>
      <c r="T1752">
        <v>-6.3149449999999996E-2</v>
      </c>
      <c r="U1752">
        <v>0.54699709999999901</v>
      </c>
      <c r="V1752">
        <v>-3.2596310000000003E-2</v>
      </c>
      <c r="W1752">
        <v>1.096829E-2</v>
      </c>
      <c r="X1752">
        <v>0.99940839999999997</v>
      </c>
      <c r="Y1752">
        <v>5.6567489999999896E-4</v>
      </c>
      <c r="Z1752">
        <v>-3.8175209999999999E-3</v>
      </c>
      <c r="AA1752">
        <v>0.99999249999999995</v>
      </c>
      <c r="AB1752">
        <v>21</v>
      </c>
      <c r="AC1752">
        <v>-47.994900000000001</v>
      </c>
      <c r="AD1752">
        <v>-1.02963344</v>
      </c>
      <c r="AE1752">
        <v>8.89510000000001</v>
      </c>
      <c r="AF1752">
        <v>2.4612252097728701E-2</v>
      </c>
      <c r="AG1752">
        <v>-1.02963344</v>
      </c>
      <c r="AH1752">
        <v>48.790508795264898</v>
      </c>
      <c r="AI1752">
        <v>91.208941849179695</v>
      </c>
      <c r="AJ1752">
        <v>89.971097287470002</v>
      </c>
      <c r="AK1752">
        <v>48.801378046982897</v>
      </c>
      <c r="AL1752">
        <v>89.371550664784607</v>
      </c>
      <c r="AM1752">
        <v>91.868074317760403</v>
      </c>
      <c r="AN1752">
        <v>0.99999998640084897</v>
      </c>
    </row>
    <row r="1753" spans="1:40" x14ac:dyDescent="0.25">
      <c r="A1753" t="str">
        <f>"20190312151019430"</f>
        <v>20190312151019430</v>
      </c>
      <c r="B1753" t="str">
        <f>"1552374619422075"</f>
        <v>1552374619422075</v>
      </c>
      <c r="C1753" t="s">
        <v>40</v>
      </c>
      <c r="D1753">
        <v>5.5494059999999896</v>
      </c>
      <c r="E1753">
        <v>0.51177189999999995</v>
      </c>
      <c r="F1753" t="s">
        <v>52</v>
      </c>
      <c r="G1753">
        <v>-265.89659999999998</v>
      </c>
      <c r="H1753">
        <v>8.0000280000000007E-2</v>
      </c>
      <c r="I1753">
        <v>290.90440000000001</v>
      </c>
      <c r="J1753">
        <v>-214.0461</v>
      </c>
      <c r="K1753">
        <v>1.109899</v>
      </c>
      <c r="L1753">
        <v>281.36340000000001</v>
      </c>
      <c r="M1753">
        <v>-0.9830236</v>
      </c>
      <c r="N1753">
        <v>0</v>
      </c>
      <c r="O1753">
        <v>0.18296750000000001</v>
      </c>
      <c r="P1753">
        <v>-0.9891759</v>
      </c>
      <c r="Q1753">
        <v>-1.236752E-3</v>
      </c>
      <c r="R1753">
        <v>0.14672939999999901</v>
      </c>
      <c r="S1753">
        <v>-2.951797</v>
      </c>
      <c r="T1753">
        <v>-5.8398489999999997E-2</v>
      </c>
      <c r="U1753">
        <v>0.54327389999999998</v>
      </c>
      <c r="V1753">
        <v>-3.6740920000000003E-2</v>
      </c>
      <c r="W1753">
        <v>1.2473079999999999E-2</v>
      </c>
      <c r="X1753">
        <v>0.999247</v>
      </c>
      <c r="Y1753">
        <v>-1.9754680000000002E-3</v>
      </c>
      <c r="Z1753">
        <v>-3.5789210000000001E-3</v>
      </c>
      <c r="AA1753">
        <v>0.99999170000000004</v>
      </c>
      <c r="AB1753">
        <v>20</v>
      </c>
      <c r="AC1753">
        <v>-51.850499999999897</v>
      </c>
      <c r="AD1753">
        <v>-1.02989872</v>
      </c>
      <c r="AE1753">
        <v>9.5409999999999897</v>
      </c>
      <c r="AF1753">
        <v>-0.10789713581452801</v>
      </c>
      <c r="AG1753">
        <v>-1.02989872</v>
      </c>
      <c r="AH1753">
        <v>52.700789561542599</v>
      </c>
      <c r="AI1753">
        <v>91.119550895791704</v>
      </c>
      <c r="AJ1753">
        <v>90.1173045397896</v>
      </c>
      <c r="AK1753">
        <v>52.710962366242001</v>
      </c>
      <c r="AL1753">
        <v>89.285326640715795</v>
      </c>
      <c r="AM1753">
        <v>92.105737391010805</v>
      </c>
      <c r="AN1753">
        <v>1.0000000199680601</v>
      </c>
    </row>
    <row r="1754" spans="1:40" x14ac:dyDescent="0.25">
      <c r="A1754" t="str">
        <f>"20190312151019454"</f>
        <v>20190312151019454</v>
      </c>
      <c r="B1754" t="str">
        <f>"1552374619452328"</f>
        <v>1552374619452328</v>
      </c>
      <c r="C1754" t="s">
        <v>40</v>
      </c>
      <c r="D1754">
        <v>5.5599319999999999</v>
      </c>
      <c r="E1754">
        <v>0.51139269999999903</v>
      </c>
      <c r="F1754" t="s">
        <v>52</v>
      </c>
      <c r="G1754">
        <v>-273.4538</v>
      </c>
      <c r="H1754">
        <v>8.0000699999999994E-2</v>
      </c>
      <c r="I1754">
        <v>292.09339999999997</v>
      </c>
      <c r="J1754">
        <v>-214.25540000000001</v>
      </c>
      <c r="K1754">
        <v>1.110174</v>
      </c>
      <c r="L1754">
        <v>281.40379999999999</v>
      </c>
      <c r="M1754">
        <v>-0.98285769999999995</v>
      </c>
      <c r="N1754">
        <v>0</v>
      </c>
      <c r="O1754">
        <v>0.1838591</v>
      </c>
      <c r="P1754">
        <v>-0.98958659999999998</v>
      </c>
      <c r="Q1754">
        <v>-1.140011E-3</v>
      </c>
      <c r="R1754">
        <v>0.14393499999999901</v>
      </c>
      <c r="S1754">
        <v>-2.9536440000000002</v>
      </c>
      <c r="T1754">
        <v>-5.1204680000000002E-2</v>
      </c>
      <c r="U1754">
        <v>0.5334778</v>
      </c>
      <c r="V1754">
        <v>-4.0478119999999999E-2</v>
      </c>
      <c r="W1754">
        <v>1.251886E-2</v>
      </c>
      <c r="X1754">
        <v>0.99910200000000005</v>
      </c>
      <c r="Y1754">
        <v>-6.2108980000000003E-3</v>
      </c>
      <c r="Z1754">
        <v>-3.1887780000000002E-3</v>
      </c>
      <c r="AA1754">
        <v>0.99997559999999996</v>
      </c>
      <c r="AB1754">
        <v>20</v>
      </c>
      <c r="AC1754">
        <v>-59.1983999999999</v>
      </c>
      <c r="AD1754">
        <v>-1.0301733</v>
      </c>
      <c r="AE1754">
        <v>10.689599999999899</v>
      </c>
      <c r="AF1754">
        <v>-0.37773334750474402</v>
      </c>
      <c r="AG1754">
        <v>-1.0301733</v>
      </c>
      <c r="AH1754">
        <v>60.136959081065903</v>
      </c>
      <c r="AI1754">
        <v>90.981387262463798</v>
      </c>
      <c r="AJ1754">
        <v>90.359882546522201</v>
      </c>
      <c r="AK1754">
        <v>60.146968228063201</v>
      </c>
      <c r="AL1754">
        <v>89.282703423160697</v>
      </c>
      <c r="AM1754">
        <v>92.320041139055505</v>
      </c>
      <c r="AN1754">
        <v>1.00000000322921</v>
      </c>
    </row>
    <row r="1755" spans="1:40" x14ac:dyDescent="0.25">
      <c r="A1755" t="str">
        <f>"20190312151019477"</f>
        <v>20190312151019477</v>
      </c>
      <c r="B1755" t="str">
        <f>"1552374619472824"</f>
        <v>1552374619472824</v>
      </c>
      <c r="C1755" t="s">
        <v>40</v>
      </c>
      <c r="D1755">
        <v>5.501544</v>
      </c>
      <c r="E1755">
        <v>0.51109819999999995</v>
      </c>
      <c r="F1755" t="s">
        <v>52</v>
      </c>
      <c r="G1755">
        <v>-276.33629999999999</v>
      </c>
      <c r="H1755">
        <v>8.0000070000000006E-2</v>
      </c>
      <c r="I1755">
        <v>292.36829999999998</v>
      </c>
      <c r="J1755">
        <v>-214.45920000000001</v>
      </c>
      <c r="K1755">
        <v>1.1104259999999999</v>
      </c>
      <c r="L1755">
        <v>281.4427</v>
      </c>
      <c r="M1755">
        <v>-0.98277809999999999</v>
      </c>
      <c r="N1755">
        <v>0</v>
      </c>
      <c r="O1755">
        <v>0.18428559999999999</v>
      </c>
      <c r="P1755">
        <v>-0.99004579999999998</v>
      </c>
      <c r="Q1755">
        <v>-1.856688E-3</v>
      </c>
      <c r="R1755">
        <v>0.14073369999999999</v>
      </c>
      <c r="S1755">
        <v>-2.9555820000000002</v>
      </c>
      <c r="T1755">
        <v>-4.904509E-2</v>
      </c>
      <c r="U1755">
        <v>0.5220032</v>
      </c>
      <c r="V1755">
        <v>-4.4149939999999999E-2</v>
      </c>
      <c r="W1755">
        <v>1.175264E-2</v>
      </c>
      <c r="X1755">
        <v>0.99895579999999995</v>
      </c>
      <c r="Y1755">
        <v>-1.05234E-2</v>
      </c>
      <c r="Z1755">
        <v>-3.096017E-3</v>
      </c>
      <c r="AA1755">
        <v>0.99993989999999999</v>
      </c>
      <c r="AB1755">
        <v>20</v>
      </c>
      <c r="AC1755">
        <v>-61.877099999999899</v>
      </c>
      <c r="AD1755">
        <v>-1.0304259299999901</v>
      </c>
      <c r="AE1755">
        <v>10.9255999999999</v>
      </c>
      <c r="AF1755">
        <v>-0.66550103571257402</v>
      </c>
      <c r="AG1755">
        <v>-1.0304259299999901</v>
      </c>
      <c r="AH1755">
        <v>62.813841223682999</v>
      </c>
      <c r="AI1755">
        <v>90.9397681829319</v>
      </c>
      <c r="AJ1755">
        <v>90.607015480144895</v>
      </c>
      <c r="AK1755">
        <v>62.825817292732602</v>
      </c>
      <c r="AL1755">
        <v>89.326607838067801</v>
      </c>
      <c r="AM1755">
        <v>92.530602589376201</v>
      </c>
      <c r="AN1755">
        <v>1.0000000160513001</v>
      </c>
    </row>
    <row r="1756" spans="1:40" x14ac:dyDescent="0.25">
      <c r="A1756" t="str">
        <f>"20190312151019498"</f>
        <v>20190312151019498</v>
      </c>
      <c r="B1756" t="str">
        <f>"1552374619492346"</f>
        <v>1552374619492346</v>
      </c>
      <c r="C1756" t="s">
        <v>40</v>
      </c>
      <c r="D1756">
        <v>5.5012759999999998</v>
      </c>
      <c r="E1756">
        <v>0.51085530000000001</v>
      </c>
      <c r="F1756" t="s">
        <v>52</v>
      </c>
      <c r="G1756">
        <v>-274.63499999999999</v>
      </c>
      <c r="H1756">
        <v>8.0001069999999994E-2</v>
      </c>
      <c r="I1756">
        <v>291.8227</v>
      </c>
      <c r="J1756">
        <v>-214.64279999999999</v>
      </c>
      <c r="K1756">
        <v>1.1106309999999999</v>
      </c>
      <c r="L1756">
        <v>281.47739999999999</v>
      </c>
      <c r="M1756">
        <v>-0.98277800000000004</v>
      </c>
      <c r="N1756">
        <v>0</v>
      </c>
      <c r="O1756">
        <v>0.18428739999999999</v>
      </c>
      <c r="P1756">
        <v>-0.99049319999999996</v>
      </c>
      <c r="Q1756">
        <v>-8.2975159999999998E-4</v>
      </c>
      <c r="R1756">
        <v>0.1375595</v>
      </c>
      <c r="S1756">
        <v>-2.9575650000000002</v>
      </c>
      <c r="T1756">
        <v>-5.0644040000000001E-2</v>
      </c>
      <c r="U1756">
        <v>0.51016240000000002</v>
      </c>
      <c r="V1756">
        <v>-4.7361090000000002E-2</v>
      </c>
      <c r="W1756">
        <v>1.273676E-2</v>
      </c>
      <c r="X1756">
        <v>0.99879660000000003</v>
      </c>
      <c r="Y1756">
        <v>-1.4522739999999999E-2</v>
      </c>
      <c r="Z1756">
        <v>-3.230222E-3</v>
      </c>
      <c r="AA1756">
        <v>0.99988929999999998</v>
      </c>
      <c r="AB1756">
        <v>20</v>
      </c>
      <c r="AC1756">
        <v>-59.992199999999997</v>
      </c>
      <c r="AD1756">
        <v>-1.0306299299999999</v>
      </c>
      <c r="AE1756">
        <v>10.3453</v>
      </c>
      <c r="AF1756">
        <v>-0.88850112379620805</v>
      </c>
      <c r="AG1756">
        <v>-1.0306299299999999</v>
      </c>
      <c r="AH1756">
        <v>60.853729347797902</v>
      </c>
      <c r="AI1756">
        <v>90.970175691267002</v>
      </c>
      <c r="AJ1756">
        <v>90.836493474726495</v>
      </c>
      <c r="AK1756">
        <v>60.868941241281902</v>
      </c>
      <c r="AL1756">
        <v>89.270217655246995</v>
      </c>
      <c r="AM1756">
        <v>92.714826512609704</v>
      </c>
      <c r="AN1756">
        <v>0.99999997303642196</v>
      </c>
    </row>
    <row r="1757" spans="1:40" x14ac:dyDescent="0.25">
      <c r="A1757" t="str">
        <f>"20190312151019510"</f>
        <v>20190312151019510</v>
      </c>
      <c r="B1757" t="str">
        <f>"1552374619502104"</f>
        <v>1552374619502104</v>
      </c>
      <c r="C1757" t="s">
        <v>40</v>
      </c>
      <c r="D1757">
        <v>5.5611759999999997</v>
      </c>
      <c r="E1757">
        <v>0.51075800000000005</v>
      </c>
      <c r="F1757" t="s">
        <v>52</v>
      </c>
      <c r="G1757">
        <v>-279.2878</v>
      </c>
      <c r="H1757">
        <v>8.0000940000000006E-2</v>
      </c>
      <c r="I1757">
        <v>292.3698</v>
      </c>
      <c r="J1757">
        <v>-214.7619</v>
      </c>
      <c r="K1757">
        <v>1.1107629999999999</v>
      </c>
      <c r="L1757">
        <v>281.49970000000002</v>
      </c>
      <c r="M1757">
        <v>-0.98282029999999998</v>
      </c>
      <c r="N1757">
        <v>0</v>
      </c>
      <c r="O1757">
        <v>0.1840619</v>
      </c>
      <c r="P1757">
        <v>-0.99073650000000002</v>
      </c>
      <c r="Q1757" s="1">
        <v>-8.7284020000000001E-5</v>
      </c>
      <c r="R1757">
        <v>0.1357978</v>
      </c>
      <c r="S1757">
        <v>-2.9594879999999999</v>
      </c>
      <c r="T1757">
        <v>-4.7182799999999997E-2</v>
      </c>
      <c r="U1757">
        <v>0.49865720000000002</v>
      </c>
      <c r="V1757">
        <v>-4.8913190000000002E-2</v>
      </c>
      <c r="W1757">
        <v>1.34529E-2</v>
      </c>
      <c r="X1757">
        <v>0.99871239999999994</v>
      </c>
      <c r="Y1757">
        <v>-1.8182589999999998E-2</v>
      </c>
      <c r="Z1757">
        <v>-3.0342609999999999E-3</v>
      </c>
      <c r="AA1757">
        <v>0.99983010000000005</v>
      </c>
      <c r="AB1757">
        <v>20</v>
      </c>
      <c r="AC1757">
        <v>-64.525899999999993</v>
      </c>
      <c r="AD1757">
        <v>-1.03076206</v>
      </c>
      <c r="AE1757">
        <v>10.8700999999999</v>
      </c>
      <c r="AF1757">
        <v>-1.1932194143172401</v>
      </c>
      <c r="AG1757">
        <v>-1.03076206</v>
      </c>
      <c r="AH1757">
        <v>65.407972924261003</v>
      </c>
      <c r="AI1757">
        <v>90.902697370703606</v>
      </c>
      <c r="AJ1757">
        <v>91.045115004880202</v>
      </c>
      <c r="AK1757">
        <v>65.426975820802596</v>
      </c>
      <c r="AL1757">
        <v>89.229182332429801</v>
      </c>
      <c r="AM1757">
        <v>92.803892084329405</v>
      </c>
      <c r="AN1757">
        <v>0.99999996929407198</v>
      </c>
    </row>
    <row r="1758" spans="1:40" x14ac:dyDescent="0.25">
      <c r="A1758" t="str">
        <f>"20190312151019531"</f>
        <v>20190312151019531</v>
      </c>
      <c r="B1758" t="str">
        <f>"1552374619522605"</f>
        <v>1552374619522605</v>
      </c>
      <c r="C1758" t="s">
        <v>40</v>
      </c>
      <c r="D1758">
        <v>5.5694990000000004</v>
      </c>
      <c r="E1758">
        <v>0.51049889999999998</v>
      </c>
      <c r="F1758" t="s">
        <v>61</v>
      </c>
      <c r="G1758">
        <v>-283.41430000000003</v>
      </c>
      <c r="H1758">
        <v>7.9999509999999996E-2</v>
      </c>
      <c r="I1758">
        <v>292.92090000000002</v>
      </c>
      <c r="J1758">
        <v>-214.94069999999999</v>
      </c>
      <c r="K1758">
        <v>1.1109659999999999</v>
      </c>
      <c r="L1758">
        <v>281.53269999999998</v>
      </c>
      <c r="M1758">
        <v>-0.98292420000000003</v>
      </c>
      <c r="N1758">
        <v>0</v>
      </c>
      <c r="O1758">
        <v>0.18350710000000001</v>
      </c>
      <c r="P1758">
        <v>-0.9911278</v>
      </c>
      <c r="Q1758">
        <v>1.6244779999999999E-3</v>
      </c>
      <c r="R1758">
        <v>0.1329021</v>
      </c>
      <c r="S1758">
        <v>-2.9605260000000002</v>
      </c>
      <c r="T1758">
        <v>-4.4450040000000003E-2</v>
      </c>
      <c r="U1758">
        <v>0.49252319999999999</v>
      </c>
      <c r="V1758">
        <v>-5.127628E-2</v>
      </c>
      <c r="W1758">
        <v>1.5125E-2</v>
      </c>
      <c r="X1758">
        <v>0.99856999999999996</v>
      </c>
      <c r="Y1758">
        <v>-1.969344E-2</v>
      </c>
      <c r="Z1758">
        <v>-2.86133E-3</v>
      </c>
      <c r="AA1758">
        <v>0.99980199999999997</v>
      </c>
      <c r="AB1758">
        <v>20</v>
      </c>
      <c r="AC1758">
        <v>-68.473600000000005</v>
      </c>
      <c r="AD1758">
        <v>-1.03096649</v>
      </c>
      <c r="AE1758">
        <v>11.388199999999999</v>
      </c>
      <c r="AF1758">
        <v>-1.3714788548871399</v>
      </c>
      <c r="AG1758">
        <v>-1.03096649</v>
      </c>
      <c r="AH1758">
        <v>69.385293552296602</v>
      </c>
      <c r="AI1758">
        <v>90.851104690063195</v>
      </c>
      <c r="AJ1758">
        <v>91.132368470670997</v>
      </c>
      <c r="AK1758">
        <v>69.406504071962004</v>
      </c>
      <c r="AL1758">
        <v>89.133368319346303</v>
      </c>
      <c r="AM1758">
        <v>92.939539828879006</v>
      </c>
      <c r="AN1758">
        <v>1.0000000337078101</v>
      </c>
    </row>
    <row r="1759" spans="1:40" x14ac:dyDescent="0.25">
      <c r="A1759" t="str">
        <f>"20190312151019553"</f>
        <v>20190312151019553</v>
      </c>
      <c r="B1759" t="str">
        <f>"1552374619542122"</f>
        <v>1552374619542122</v>
      </c>
      <c r="C1759" t="s">
        <v>40</v>
      </c>
      <c r="D1759">
        <v>4.9428029999999996</v>
      </c>
      <c r="E1759">
        <v>0.51036519999999996</v>
      </c>
      <c r="F1759" t="s">
        <v>61</v>
      </c>
      <c r="G1759">
        <v>-299.39859999999999</v>
      </c>
      <c r="H1759" s="1">
        <v>1.535654E-6</v>
      </c>
      <c r="I1759">
        <v>295.2722</v>
      </c>
      <c r="J1759">
        <v>-215.14</v>
      </c>
      <c r="K1759">
        <v>1.111189</v>
      </c>
      <c r="L1759">
        <v>281.56900000000002</v>
      </c>
      <c r="M1759">
        <v>-0.98310379999999997</v>
      </c>
      <c r="N1759">
        <v>0</v>
      </c>
      <c r="O1759">
        <v>0.18254409999999999</v>
      </c>
      <c r="P1759">
        <v>-0.99162159999999999</v>
      </c>
      <c r="Q1759">
        <v>3.3936140000000001E-3</v>
      </c>
      <c r="R1759">
        <v>0.12913330000000001</v>
      </c>
      <c r="S1759">
        <v>-2.9623110000000001</v>
      </c>
      <c r="T1759">
        <v>-3.8966420000000002E-2</v>
      </c>
      <c r="U1759">
        <v>0.48190309999999997</v>
      </c>
      <c r="V1759">
        <v>-5.410483E-2</v>
      </c>
      <c r="W1759">
        <v>1.6851410000000001E-2</v>
      </c>
      <c r="X1759">
        <v>0.99839310000000003</v>
      </c>
      <c r="Y1759">
        <v>-2.2306220000000002E-2</v>
      </c>
      <c r="Z1759">
        <v>-2.5125400000000002E-3</v>
      </c>
      <c r="AA1759">
        <v>0.99974810000000003</v>
      </c>
      <c r="AB1759">
        <v>20</v>
      </c>
      <c r="AC1759">
        <v>-84.258600000000001</v>
      </c>
      <c r="AD1759">
        <v>-1.111187464346</v>
      </c>
      <c r="AE1759">
        <v>13.703199999999899</v>
      </c>
      <c r="AF1759">
        <v>-1.9090950592659599</v>
      </c>
      <c r="AG1759">
        <v>-1.111187464346</v>
      </c>
      <c r="AH1759">
        <v>85.3298064721956</v>
      </c>
      <c r="AI1759">
        <v>90.745892091834506</v>
      </c>
      <c r="AJ1759">
        <v>91.281672240456103</v>
      </c>
      <c r="AK1759">
        <v>85.358392991600894</v>
      </c>
      <c r="AL1759">
        <v>89.034439667043799</v>
      </c>
      <c r="AM1759">
        <v>93.101933609211002</v>
      </c>
      <c r="AN1759">
        <v>1.00000004238796</v>
      </c>
    </row>
    <row r="1760" spans="1:40" x14ac:dyDescent="0.25">
      <c r="A1760" t="str">
        <f>"20190312151019576"</f>
        <v>20190312151019576</v>
      </c>
      <c r="B1760" t="str">
        <f>"1552374619572378"</f>
        <v>1552374619572378</v>
      </c>
      <c r="C1760" t="s">
        <v>40</v>
      </c>
      <c r="D1760">
        <v>9.0570920000000008</v>
      </c>
      <c r="E1760">
        <v>0.50998849999999996</v>
      </c>
      <c r="F1760" t="s">
        <v>61</v>
      </c>
      <c r="G1760">
        <v>-309.95780000000002</v>
      </c>
      <c r="H1760">
        <v>3.7226049999999997E-2</v>
      </c>
      <c r="I1760">
        <v>296.58109999999999</v>
      </c>
      <c r="J1760">
        <v>-215.3459</v>
      </c>
      <c r="K1760">
        <v>1.1113980000000001</v>
      </c>
      <c r="L1760">
        <v>281.60590000000002</v>
      </c>
      <c r="M1760">
        <v>-0.98335189999999995</v>
      </c>
      <c r="N1760">
        <v>0</v>
      </c>
      <c r="O1760">
        <v>0.18120230000000001</v>
      </c>
      <c r="P1760">
        <v>-0.9919869</v>
      </c>
      <c r="Q1760">
        <v>5.6336750000000003E-3</v>
      </c>
      <c r="R1760">
        <v>0.1262153</v>
      </c>
      <c r="S1760">
        <v>-2.96434</v>
      </c>
      <c r="T1760">
        <v>-3.3575889999999997E-2</v>
      </c>
      <c r="U1760">
        <v>0.46932980000000002</v>
      </c>
      <c r="V1760">
        <v>-5.5692169999999999E-2</v>
      </c>
      <c r="W1760">
        <v>1.9054040000000001E-2</v>
      </c>
      <c r="X1760">
        <v>0.99826619999999999</v>
      </c>
      <c r="Y1760">
        <v>-2.518865E-2</v>
      </c>
      <c r="Z1760">
        <v>-2.165859E-3</v>
      </c>
      <c r="AA1760">
        <v>0.99968029999999997</v>
      </c>
      <c r="AB1760">
        <v>20</v>
      </c>
      <c r="AC1760">
        <v>-94.611900000000006</v>
      </c>
      <c r="AD1760">
        <v>-1.07417195</v>
      </c>
      <c r="AE1760">
        <v>14.9751999999999</v>
      </c>
      <c r="AF1760">
        <v>-2.4179218742581599</v>
      </c>
      <c r="AG1760">
        <v>-1.07417195</v>
      </c>
      <c r="AH1760">
        <v>95.7471390430062</v>
      </c>
      <c r="AI1760">
        <v>90.642560448719493</v>
      </c>
      <c r="AJ1760">
        <v>91.446594455225295</v>
      </c>
      <c r="AK1760">
        <v>95.7836876847459</v>
      </c>
      <c r="AL1760">
        <v>88.908217899281198</v>
      </c>
      <c r="AM1760">
        <v>93.193158278430204</v>
      </c>
      <c r="AN1760">
        <v>1.0000000401510301</v>
      </c>
    </row>
    <row r="1761" spans="1:40" x14ac:dyDescent="0.25">
      <c r="A1761" t="str">
        <f>"20190312151019598"</f>
        <v>20190312151019598</v>
      </c>
      <c r="B1761" t="str">
        <f>"1552374619592874"</f>
        <v>1552374619592874</v>
      </c>
      <c r="C1761" t="s">
        <v>40</v>
      </c>
      <c r="D1761">
        <v>5.447292</v>
      </c>
      <c r="E1761">
        <v>0.50968959999999996</v>
      </c>
      <c r="F1761" t="s">
        <v>43</v>
      </c>
      <c r="G1761">
        <v>-350.0324</v>
      </c>
      <c r="H1761">
        <v>-0.05</v>
      </c>
      <c r="I1761">
        <v>302.38510000000002</v>
      </c>
      <c r="J1761">
        <v>-215.5421</v>
      </c>
      <c r="K1761">
        <v>1.1115820000000001</v>
      </c>
      <c r="L1761">
        <v>281.64030000000002</v>
      </c>
      <c r="M1761">
        <v>-0.98364660000000004</v>
      </c>
      <c r="N1761">
        <v>0</v>
      </c>
      <c r="O1761">
        <v>0.17959649999999999</v>
      </c>
      <c r="P1761">
        <v>-0.99242680000000005</v>
      </c>
      <c r="Q1761">
        <v>8.9714400000000007E-3</v>
      </c>
      <c r="R1761">
        <v>0.12251099999999999</v>
      </c>
      <c r="S1761">
        <v>-2.9661409999999999</v>
      </c>
      <c r="T1761">
        <v>-2.5576950000000001E-2</v>
      </c>
      <c r="U1761">
        <v>0.45761109999999999</v>
      </c>
      <c r="V1761">
        <v>-5.7802529999999998E-2</v>
      </c>
      <c r="W1761">
        <v>2.2355900000000001E-2</v>
      </c>
      <c r="X1761">
        <v>0.99807769999999996</v>
      </c>
      <c r="Y1761">
        <v>-2.7510819999999998E-2</v>
      </c>
      <c r="Z1761">
        <v>-1.6459999999999999E-3</v>
      </c>
      <c r="AA1761">
        <v>0.99962010000000001</v>
      </c>
      <c r="AB1761">
        <v>20</v>
      </c>
      <c r="AC1761">
        <v>-134.49029999999999</v>
      </c>
      <c r="AD1761">
        <v>-1.1615819999999999</v>
      </c>
      <c r="AE1761">
        <v>20.744800000000001</v>
      </c>
      <c r="AF1761">
        <v>-3.74850782199564</v>
      </c>
      <c r="AG1761">
        <v>-1.1615819999999999</v>
      </c>
      <c r="AH1761">
        <v>136.019255841442</v>
      </c>
      <c r="AI1761">
        <v>90.489098922415096</v>
      </c>
      <c r="AJ1761">
        <v>91.578595096987399</v>
      </c>
      <c r="AK1761">
        <v>136.07585584259201</v>
      </c>
      <c r="AL1761">
        <v>88.718994571802497</v>
      </c>
      <c r="AM1761">
        <v>93.314517289483007</v>
      </c>
      <c r="AN1761">
        <v>1.00000000698825</v>
      </c>
    </row>
    <row r="1762" spans="1:40" x14ac:dyDescent="0.25">
      <c r="A1762" t="str">
        <f>"20190312151019621"</f>
        <v>20190312151019621</v>
      </c>
      <c r="B1762" t="str">
        <f>"1552374619612394"</f>
        <v>1552374619612394</v>
      </c>
      <c r="C1762" t="s">
        <v>40</v>
      </c>
      <c r="D1762">
        <v>4.9579219999999999</v>
      </c>
      <c r="E1762">
        <v>0.50801030000000003</v>
      </c>
      <c r="F1762" t="s">
        <v>62</v>
      </c>
      <c r="G1762">
        <v>-350.86590000000001</v>
      </c>
      <c r="H1762">
        <v>0.43622759999999999</v>
      </c>
      <c r="I1762">
        <v>301.88839999999999</v>
      </c>
      <c r="J1762">
        <v>-215.7405</v>
      </c>
      <c r="K1762">
        <v>1.111742</v>
      </c>
      <c r="L1762">
        <v>281.67439999999999</v>
      </c>
      <c r="M1762">
        <v>-0.98399700000000001</v>
      </c>
      <c r="N1762">
        <v>0</v>
      </c>
      <c r="O1762">
        <v>0.17766609999999999</v>
      </c>
      <c r="P1762">
        <v>-0.99286819999999998</v>
      </c>
      <c r="Q1762">
        <v>1.1030089999999999E-2</v>
      </c>
      <c r="R1762">
        <v>0.1187034</v>
      </c>
      <c r="S1762">
        <v>-2.9682010000000001</v>
      </c>
      <c r="T1762">
        <v>-1.481152E-2</v>
      </c>
      <c r="U1762">
        <v>0.44412230000000003</v>
      </c>
      <c r="V1762">
        <v>-5.9685189999999999E-2</v>
      </c>
      <c r="W1762">
        <v>2.4382379999999999E-2</v>
      </c>
      <c r="X1762">
        <v>0.99791940000000001</v>
      </c>
      <c r="Y1762">
        <v>-3.0099009999999999E-2</v>
      </c>
      <c r="Z1762">
        <v>-9.4998580000000003E-4</v>
      </c>
      <c r="AA1762">
        <v>0.9995465</v>
      </c>
      <c r="AB1762">
        <v>20</v>
      </c>
      <c r="AC1762">
        <v>-135.12540000000001</v>
      </c>
      <c r="AD1762">
        <v>-0.67551439999999996</v>
      </c>
      <c r="AE1762">
        <v>20.213999999999999</v>
      </c>
      <c r="AF1762">
        <v>-4.1169669814490302</v>
      </c>
      <c r="AG1762">
        <v>-0.67551439999999996</v>
      </c>
      <c r="AH1762">
        <v>136.56360239129199</v>
      </c>
      <c r="AI1762">
        <v>90.283283630207094</v>
      </c>
      <c r="AJ1762">
        <v>91.726766189142893</v>
      </c>
      <c r="AK1762">
        <v>136.627315112747</v>
      </c>
      <c r="AL1762">
        <v>88.602854040151399</v>
      </c>
      <c r="AM1762">
        <v>93.422761962322099</v>
      </c>
      <c r="AN1762">
        <v>0.99999997562807996</v>
      </c>
    </row>
    <row r="1763" spans="1:40" x14ac:dyDescent="0.25">
      <c r="A1763" t="str">
        <f>"20190312151019644"</f>
        <v>20190312151019644</v>
      </c>
      <c r="B1763" t="str">
        <f>"1552374619631914"</f>
        <v>1552374619631914</v>
      </c>
      <c r="C1763" t="s">
        <v>40</v>
      </c>
      <c r="D1763">
        <v>4.9705130000000004</v>
      </c>
      <c r="E1763">
        <v>0.50690489999999999</v>
      </c>
      <c r="F1763" t="s">
        <v>62</v>
      </c>
      <c r="G1763">
        <v>-358.80040000000002</v>
      </c>
      <c r="H1763">
        <v>0.54918459999999902</v>
      </c>
      <c r="I1763">
        <v>301.88839999999999</v>
      </c>
      <c r="J1763">
        <v>-215.94640000000001</v>
      </c>
      <c r="K1763">
        <v>1.1118629999999901</v>
      </c>
      <c r="L1763">
        <v>281.70890000000003</v>
      </c>
      <c r="M1763">
        <v>-0.98439969999999999</v>
      </c>
      <c r="N1763">
        <v>0</v>
      </c>
      <c r="O1763">
        <v>0.17542189999999999</v>
      </c>
      <c r="P1763">
        <v>-0.99330640000000003</v>
      </c>
      <c r="Q1763">
        <v>1.2031170000000001E-2</v>
      </c>
      <c r="R1763">
        <v>0.114882</v>
      </c>
      <c r="S1763">
        <v>-2.9714659999999999</v>
      </c>
      <c r="T1763">
        <v>-1.168311E-2</v>
      </c>
      <c r="U1763">
        <v>0.41986079999999998</v>
      </c>
      <c r="V1763">
        <v>-6.1258189999999997E-2</v>
      </c>
      <c r="W1763">
        <v>2.5358640000000002E-2</v>
      </c>
      <c r="X1763">
        <v>0.99779980000000001</v>
      </c>
      <c r="Y1763">
        <v>-3.5973100000000001E-2</v>
      </c>
      <c r="Z1763">
        <v>-7.5195389999999996E-4</v>
      </c>
      <c r="AA1763">
        <v>0.99935249999999998</v>
      </c>
      <c r="AB1763">
        <v>20</v>
      </c>
      <c r="AC1763">
        <v>-142.85399999999899</v>
      </c>
      <c r="AD1763">
        <v>-0.56267839999999902</v>
      </c>
      <c r="AE1763">
        <v>20.179499999999901</v>
      </c>
      <c r="AF1763">
        <v>-5.1954263448981104</v>
      </c>
      <c r="AG1763">
        <v>-0.56267839999999902</v>
      </c>
      <c r="AH1763">
        <v>144.17646091449299</v>
      </c>
      <c r="AI1763">
        <v>90.223462433080201</v>
      </c>
      <c r="AJ1763">
        <v>92.063771389387</v>
      </c>
      <c r="AK1763">
        <v>144.271136904494</v>
      </c>
      <c r="AL1763">
        <v>88.546901235925205</v>
      </c>
      <c r="AM1763">
        <v>93.513165680787196</v>
      </c>
      <c r="AN1763">
        <v>1.00000003367238</v>
      </c>
    </row>
    <row r="1764" spans="1:40" x14ac:dyDescent="0.25">
      <c r="A1764" t="str">
        <f>"20190312151019667"</f>
        <v>20190312151019667</v>
      </c>
      <c r="B1764" t="str">
        <f>"1552374619662170"</f>
        <v>1552374619662170</v>
      </c>
      <c r="C1764" t="s">
        <v>40</v>
      </c>
      <c r="D1764">
        <v>5.3482890000000003</v>
      </c>
      <c r="E1764">
        <v>0.50547209999999998</v>
      </c>
      <c r="F1764" t="s">
        <v>62</v>
      </c>
      <c r="G1764">
        <v>-366.18259999999998</v>
      </c>
      <c r="H1764">
        <v>0.69539050000000002</v>
      </c>
      <c r="I1764">
        <v>301.88839999999999</v>
      </c>
      <c r="J1764">
        <v>-216.1455</v>
      </c>
      <c r="K1764">
        <v>1.111942</v>
      </c>
      <c r="L1764">
        <v>281.74160000000001</v>
      </c>
      <c r="M1764">
        <v>-0.98481859999999999</v>
      </c>
      <c r="N1764">
        <v>0</v>
      </c>
      <c r="O1764">
        <v>0.17305409999999999</v>
      </c>
      <c r="P1764">
        <v>-0.99364189999999997</v>
      </c>
      <c r="Q1764">
        <v>1.1639689999999999E-2</v>
      </c>
      <c r="R1764">
        <v>0.1119836</v>
      </c>
      <c r="S1764">
        <v>-2.974091</v>
      </c>
      <c r="T1764">
        <v>-8.2429649999999997E-3</v>
      </c>
      <c r="U1764">
        <v>0.39947510000000003</v>
      </c>
      <c r="V1764">
        <v>-6.1774099999999998E-2</v>
      </c>
      <c r="W1764">
        <v>2.4952510000000001E-2</v>
      </c>
      <c r="X1764">
        <v>0.99777819999999995</v>
      </c>
      <c r="Y1764">
        <v>-4.041488E-2</v>
      </c>
      <c r="Z1764">
        <v>-5.3010220000000003E-4</v>
      </c>
      <c r="AA1764">
        <v>0.99918280000000004</v>
      </c>
      <c r="AB1764">
        <v>20</v>
      </c>
      <c r="AC1764">
        <v>-150.03709999999899</v>
      </c>
      <c r="AD1764">
        <v>-0.41655150000000002</v>
      </c>
      <c r="AE1764">
        <v>20.146799999999899</v>
      </c>
      <c r="AF1764">
        <v>-6.1241108649450302</v>
      </c>
      <c r="AG1764">
        <v>-0.41655150000000002</v>
      </c>
      <c r="AH1764">
        <v>151.258630055943</v>
      </c>
      <c r="AI1764">
        <v>90.157657417622403</v>
      </c>
      <c r="AJ1764">
        <v>92.318506811862704</v>
      </c>
      <c r="AK1764">
        <v>151.38312790875699</v>
      </c>
      <c r="AL1764">
        <v>88.570178090651694</v>
      </c>
      <c r="AM1764">
        <v>93.542754647584005</v>
      </c>
      <c r="AN1764">
        <v>1.0000000017906701</v>
      </c>
    </row>
    <row r="1765" spans="1:40" x14ac:dyDescent="0.25">
      <c r="A1765" t="str">
        <f>"20190312151019687"</f>
        <v>20190312151019687</v>
      </c>
      <c r="B1765" t="str">
        <f>"1552374619682666"</f>
        <v>1552374619682666</v>
      </c>
      <c r="C1765" t="s">
        <v>40</v>
      </c>
      <c r="D1765">
        <v>4.9343089999999998</v>
      </c>
      <c r="E1765">
        <v>0.5045113</v>
      </c>
      <c r="F1765" t="s">
        <v>63</v>
      </c>
      <c r="G1765">
        <v>-440.87119999999999</v>
      </c>
      <c r="H1765">
        <v>0.49344440000000001</v>
      </c>
      <c r="I1765">
        <v>310.40640000000002</v>
      </c>
      <c r="J1765">
        <v>-216.32990000000001</v>
      </c>
      <c r="K1765">
        <v>1.111993</v>
      </c>
      <c r="L1765">
        <v>281.77120000000002</v>
      </c>
      <c r="M1765">
        <v>-0.98522929999999997</v>
      </c>
      <c r="N1765">
        <v>0</v>
      </c>
      <c r="O1765">
        <v>0.1707013</v>
      </c>
      <c r="P1765">
        <v>-0.9939713</v>
      </c>
      <c r="Q1765">
        <v>1.048577E-2</v>
      </c>
      <c r="R1765">
        <v>0.10913870000000001</v>
      </c>
      <c r="S1765">
        <v>-2.9765169999999999</v>
      </c>
      <c r="T1765">
        <v>-8.1919430000000001E-3</v>
      </c>
      <c r="U1765">
        <v>0.37966919999999998</v>
      </c>
      <c r="V1765">
        <v>-6.2247829999999997E-2</v>
      </c>
      <c r="W1765">
        <v>2.378794E-2</v>
      </c>
      <c r="X1765">
        <v>0.99777720000000003</v>
      </c>
      <c r="Y1765">
        <v>-4.4671879999999997E-2</v>
      </c>
      <c r="Z1765">
        <v>-5.261822E-4</v>
      </c>
      <c r="AA1765">
        <v>0.99900160000000005</v>
      </c>
      <c r="AB1765">
        <v>20</v>
      </c>
      <c r="AC1765">
        <v>-224.54130000000001</v>
      </c>
      <c r="AD1765">
        <v>-0.6185486</v>
      </c>
      <c r="AE1765">
        <v>28.635200000000001</v>
      </c>
      <c r="AF1765">
        <v>-10.1181106062862</v>
      </c>
      <c r="AG1765">
        <v>-0.6185486</v>
      </c>
      <c r="AH1765">
        <v>226.13188348023399</v>
      </c>
      <c r="AI1765">
        <v>90.156566655433494</v>
      </c>
      <c r="AJ1765">
        <v>92.561950175920501</v>
      </c>
      <c r="AK1765">
        <v>226.35897925845501</v>
      </c>
      <c r="AL1765">
        <v>88.636922860386093</v>
      </c>
      <c r="AM1765">
        <v>93.569856717195094</v>
      </c>
      <c r="AN1765">
        <v>0.99999999963449604</v>
      </c>
    </row>
    <row r="1766" spans="1:40" x14ac:dyDescent="0.25">
      <c r="A1766" t="str">
        <f>"20190312151019711"</f>
        <v>20190312151019711</v>
      </c>
      <c r="B1766" t="str">
        <f>"1552374619702185"</f>
        <v>1552374619702185</v>
      </c>
      <c r="C1766" t="s">
        <v>40</v>
      </c>
      <c r="D1766">
        <v>5.9263059999999896</v>
      </c>
      <c r="E1766">
        <v>0.50370599999999999</v>
      </c>
      <c r="F1766" t="s">
        <v>63</v>
      </c>
      <c r="G1766">
        <v>-440.87119999999999</v>
      </c>
      <c r="H1766">
        <v>0.24123549999999999</v>
      </c>
      <c r="I1766">
        <v>309.17500000000001</v>
      </c>
      <c r="J1766">
        <v>-216.53710000000001</v>
      </c>
      <c r="K1766">
        <v>1.112034</v>
      </c>
      <c r="L1766">
        <v>281.80380000000002</v>
      </c>
      <c r="M1766">
        <v>-0.98570999999999998</v>
      </c>
      <c r="N1766">
        <v>0</v>
      </c>
      <c r="O1766">
        <v>0.16790289999999999</v>
      </c>
      <c r="P1766">
        <v>-0.99434049999999996</v>
      </c>
      <c r="Q1766">
        <v>9.3003229999999992E-3</v>
      </c>
      <c r="R1766">
        <v>0.1058325</v>
      </c>
      <c r="S1766">
        <v>-2.9784090000000001</v>
      </c>
      <c r="T1766">
        <v>-1.154995E-2</v>
      </c>
      <c r="U1766">
        <v>0.36349490000000001</v>
      </c>
      <c r="V1766">
        <v>-6.2732469999999999E-2</v>
      </c>
      <c r="W1766">
        <v>2.2593309999999998E-2</v>
      </c>
      <c r="X1766">
        <v>0.99777459999999996</v>
      </c>
      <c r="Y1766">
        <v>-4.7255789999999999E-2</v>
      </c>
      <c r="Z1766">
        <v>-7.3608119999999896E-4</v>
      </c>
      <c r="AA1766">
        <v>0.99888250000000001</v>
      </c>
      <c r="AB1766">
        <v>20</v>
      </c>
      <c r="AC1766">
        <v>-224.33410000000001</v>
      </c>
      <c r="AD1766">
        <v>-0.87079850000000003</v>
      </c>
      <c r="AE1766">
        <v>27.371199999999899</v>
      </c>
      <c r="AF1766">
        <v>-10.687107215464099</v>
      </c>
      <c r="AG1766">
        <v>-0.87079850000000003</v>
      </c>
      <c r="AH1766">
        <v>225.74153407233999</v>
      </c>
      <c r="AI1766">
        <v>90.2207702445438</v>
      </c>
      <c r="AJ1766">
        <v>92.710486084237701</v>
      </c>
      <c r="AK1766">
        <v>225.996045885754</v>
      </c>
      <c r="AL1766">
        <v>88.705388517538395</v>
      </c>
      <c r="AM1766">
        <v>93.597587019322503</v>
      </c>
      <c r="AN1766">
        <v>0.99999998642710797</v>
      </c>
    </row>
    <row r="1767" spans="1:40" x14ac:dyDescent="0.25">
      <c r="A1767" t="str">
        <f>"20190312151019732"</f>
        <v>20190312151019732</v>
      </c>
      <c r="B1767" t="str">
        <f>"1552374619722213"</f>
        <v>1552374619722213</v>
      </c>
      <c r="C1767" t="s">
        <v>40</v>
      </c>
      <c r="D1767">
        <v>5.646598</v>
      </c>
      <c r="E1767">
        <v>0.50294740000000004</v>
      </c>
      <c r="F1767" t="s">
        <v>42</v>
      </c>
      <c r="G1767">
        <v>-434.72149999999999</v>
      </c>
      <c r="H1767">
        <v>7.9986260000000003E-2</v>
      </c>
      <c r="I1767">
        <v>307.21769999999998</v>
      </c>
      <c r="J1767">
        <v>-216.73079999999999</v>
      </c>
      <c r="K1767">
        <v>1.112066</v>
      </c>
      <c r="L1767">
        <v>281.83359999999999</v>
      </c>
      <c r="M1767">
        <v>-0.98617140000000003</v>
      </c>
      <c r="N1767">
        <v>0</v>
      </c>
      <c r="O1767">
        <v>0.16517089999999901</v>
      </c>
      <c r="P1767">
        <v>-0.99466019999999999</v>
      </c>
      <c r="Q1767">
        <v>9.1239860000000006E-3</v>
      </c>
      <c r="R1767">
        <v>0.1028008</v>
      </c>
      <c r="S1767">
        <v>-2.9802550000000001</v>
      </c>
      <c r="T1767">
        <v>-1.409709E-2</v>
      </c>
      <c r="U1767">
        <v>0.34713749999999999</v>
      </c>
      <c r="V1767">
        <v>-6.3011540000000005E-2</v>
      </c>
      <c r="W1767">
        <v>2.2411199999999999E-2</v>
      </c>
      <c r="X1767">
        <v>0.99776109999999896</v>
      </c>
      <c r="Y1767">
        <v>-4.9967030000000003E-2</v>
      </c>
      <c r="Z1767">
        <v>-8.9194779999999998E-4</v>
      </c>
      <c r="AA1767">
        <v>0.99875040000000004</v>
      </c>
      <c r="AB1767">
        <v>20</v>
      </c>
      <c r="AC1767">
        <v>-217.9907</v>
      </c>
      <c r="AD1767">
        <v>-1.0320797399999999</v>
      </c>
      <c r="AE1767">
        <v>25.384099999999901</v>
      </c>
      <c r="AF1767">
        <v>-10.9734165968728</v>
      </c>
      <c r="AG1767">
        <v>-1.0320797399999999</v>
      </c>
      <c r="AH1767">
        <v>219.184286939055</v>
      </c>
      <c r="AI1767">
        <v>90.269450920513293</v>
      </c>
      <c r="AJ1767">
        <v>92.866108489323295</v>
      </c>
      <c r="AK1767">
        <v>219.46123279836999</v>
      </c>
      <c r="AL1767">
        <v>88.715825266439793</v>
      </c>
      <c r="AM1767">
        <v>93.613597600642507</v>
      </c>
      <c r="AN1767">
        <v>0.99999996436590999</v>
      </c>
    </row>
    <row r="1768" spans="1:40" x14ac:dyDescent="0.25">
      <c r="A1768" t="str">
        <f>"20190312151019755"</f>
        <v>20190312151019755</v>
      </c>
      <c r="B1768" t="str">
        <f>"1552374619752468"</f>
        <v>1552374619752468</v>
      </c>
      <c r="C1768" t="s">
        <v>40</v>
      </c>
      <c r="D1768">
        <v>5.6428770000000004</v>
      </c>
      <c r="E1768">
        <v>0.50172859999999997</v>
      </c>
      <c r="F1768" t="s">
        <v>63</v>
      </c>
      <c r="G1768">
        <v>-440.87110000000001</v>
      </c>
      <c r="H1768">
        <v>9.4096659999999999E-2</v>
      </c>
      <c r="I1768">
        <v>306.80279999999999</v>
      </c>
      <c r="J1768">
        <v>-216.92310000000001</v>
      </c>
      <c r="K1768">
        <v>1.112114</v>
      </c>
      <c r="L1768">
        <v>281.86250000000001</v>
      </c>
      <c r="M1768">
        <v>-0.98663590000000001</v>
      </c>
      <c r="N1768">
        <v>0</v>
      </c>
      <c r="O1768">
        <v>0.162373499999999</v>
      </c>
      <c r="P1768">
        <v>-0.99494150000000003</v>
      </c>
      <c r="Q1768">
        <v>9.9405599999999993E-3</v>
      </c>
      <c r="R1768">
        <v>9.9964540000000005E-2</v>
      </c>
      <c r="S1768">
        <v>-2.981903</v>
      </c>
      <c r="T1768">
        <v>-1.354265E-2</v>
      </c>
      <c r="U1768">
        <v>0.33218379999999997</v>
      </c>
      <c r="V1768">
        <v>-6.3029879999999996E-2</v>
      </c>
      <c r="W1768">
        <v>2.3224470000000001E-2</v>
      </c>
      <c r="X1768">
        <v>0.9977414</v>
      </c>
      <c r="Y1768">
        <v>-5.2142389999999997E-2</v>
      </c>
      <c r="Z1768">
        <v>-8.4916149999999895E-4</v>
      </c>
      <c r="AA1768">
        <v>0.99863930000000001</v>
      </c>
      <c r="AB1768">
        <v>20</v>
      </c>
      <c r="AC1768">
        <v>-223.94799999999901</v>
      </c>
      <c r="AD1768">
        <v>-1.0180173400000001</v>
      </c>
      <c r="AE1768">
        <v>24.940299999999901</v>
      </c>
      <c r="AF1768">
        <v>-11.757069620697299</v>
      </c>
      <c r="AG1768">
        <v>-1.0180173400000001</v>
      </c>
      <c r="AH1768">
        <v>225.020941085207</v>
      </c>
      <c r="AI1768">
        <v>90.2588570074454</v>
      </c>
      <c r="AJ1768">
        <v>92.990914882984299</v>
      </c>
      <c r="AK1768">
        <v>225.33017767765301</v>
      </c>
      <c r="AL1768">
        <v>88.669216265798099</v>
      </c>
      <c r="AM1768">
        <v>93.614717758825506</v>
      </c>
      <c r="AN1768">
        <v>1.0000000215267699</v>
      </c>
    </row>
    <row r="1769" spans="1:40" x14ac:dyDescent="0.25">
      <c r="A1769" t="str">
        <f>"20190312151019777"</f>
        <v>20190312151019777</v>
      </c>
      <c r="B1769" t="str">
        <f>"1552374619772965"</f>
        <v>1552374619772965</v>
      </c>
      <c r="C1769" t="s">
        <v>40</v>
      </c>
      <c r="D1769">
        <v>5.6412050000000002</v>
      </c>
      <c r="E1769">
        <v>0.50104689999999996</v>
      </c>
      <c r="F1769" t="s">
        <v>63</v>
      </c>
      <c r="G1769">
        <v>-440.87119999999999</v>
      </c>
      <c r="H1769">
        <v>0.3364627</v>
      </c>
      <c r="I1769">
        <v>305.4221</v>
      </c>
      <c r="J1769">
        <v>-217.1191</v>
      </c>
      <c r="K1769">
        <v>1.1121719999999999</v>
      </c>
      <c r="L1769">
        <v>281.89120000000003</v>
      </c>
      <c r="M1769">
        <v>-0.98711179999999998</v>
      </c>
      <c r="N1769">
        <v>0</v>
      </c>
      <c r="O1769">
        <v>0.15945509999999999</v>
      </c>
      <c r="P1769">
        <v>-0.99520640000000005</v>
      </c>
      <c r="Q1769">
        <v>1.409987E-2</v>
      </c>
      <c r="R1769">
        <v>9.677732E-2</v>
      </c>
      <c r="S1769">
        <v>-2.983841</v>
      </c>
      <c r="T1769">
        <v>-1.033449E-2</v>
      </c>
      <c r="U1769">
        <v>0.31390380000000001</v>
      </c>
      <c r="V1769">
        <v>-6.3286300000000004E-2</v>
      </c>
      <c r="W1769">
        <v>2.7378779999999998E-2</v>
      </c>
      <c r="X1769">
        <v>0.99761979999999995</v>
      </c>
      <c r="Y1769">
        <v>-5.5308309999999999E-2</v>
      </c>
      <c r="Z1769">
        <v>-6.4339539999999998E-4</v>
      </c>
      <c r="AA1769">
        <v>0.9984691</v>
      </c>
      <c r="AB1769">
        <v>20</v>
      </c>
      <c r="AC1769">
        <v>-223.75210000000001</v>
      </c>
      <c r="AD1769">
        <v>-0.77570929999999905</v>
      </c>
      <c r="AE1769">
        <v>23.5308999999999</v>
      </c>
      <c r="AF1769">
        <v>-12.451784312278599</v>
      </c>
      <c r="AG1769">
        <v>-0.77570929999999905</v>
      </c>
      <c r="AH1769">
        <v>224.63849881149599</v>
      </c>
      <c r="AI1769">
        <v>90.197546598028794</v>
      </c>
      <c r="AJ1769">
        <v>93.172676791457505</v>
      </c>
      <c r="AK1769">
        <v>224.98467460198299</v>
      </c>
      <c r="AL1769">
        <v>88.4311154254694</v>
      </c>
      <c r="AM1769">
        <v>93.629825235793405</v>
      </c>
      <c r="AN1769">
        <v>1.0000000093570001</v>
      </c>
    </row>
    <row r="1770" spans="1:40" x14ac:dyDescent="0.25">
      <c r="A1770" t="str">
        <f>"20190312151019801"</f>
        <v>20190312151019801</v>
      </c>
      <c r="B1770" t="str">
        <f>"1552374619792485"</f>
        <v>1552374619792485</v>
      </c>
      <c r="C1770" t="s">
        <v>40</v>
      </c>
      <c r="D1770">
        <v>5.64107</v>
      </c>
      <c r="E1770">
        <v>0.50038009999999999</v>
      </c>
      <c r="F1770" t="s">
        <v>63</v>
      </c>
      <c r="G1770">
        <v>-440.87150000000003</v>
      </c>
      <c r="H1770">
        <v>1.285574</v>
      </c>
      <c r="I1770">
        <v>304.29520000000002</v>
      </c>
      <c r="J1770">
        <v>-217.32300000000001</v>
      </c>
      <c r="K1770">
        <v>1.112204</v>
      </c>
      <c r="L1770">
        <v>281.9203</v>
      </c>
      <c r="M1770">
        <v>-0.98760829999999999</v>
      </c>
      <c r="N1770">
        <v>0</v>
      </c>
      <c r="O1770">
        <v>0.1563503</v>
      </c>
      <c r="P1770">
        <v>-0.99532790000000004</v>
      </c>
      <c r="Q1770">
        <v>2.1802789999999999E-2</v>
      </c>
      <c r="R1770">
        <v>9.4059470000000006E-2</v>
      </c>
      <c r="S1770">
        <v>-2.9853670000000001</v>
      </c>
      <c r="T1770">
        <v>2.3137330000000001E-3</v>
      </c>
      <c r="U1770">
        <v>0.29891970000000001</v>
      </c>
      <c r="V1770">
        <v>-6.2885380000000005E-2</v>
      </c>
      <c r="W1770">
        <v>3.5080689999999998E-2</v>
      </c>
      <c r="X1770">
        <v>0.99740399999999996</v>
      </c>
      <c r="Y1770">
        <v>-5.7182110000000001E-2</v>
      </c>
      <c r="Z1770">
        <v>1.4237869999999999E-4</v>
      </c>
      <c r="AA1770">
        <v>0.99836369999999997</v>
      </c>
      <c r="AB1770">
        <v>20</v>
      </c>
      <c r="AC1770">
        <v>-223.54849999999999</v>
      </c>
      <c r="AD1770">
        <v>0.173369999999999</v>
      </c>
      <c r="AE1770">
        <v>22.3749</v>
      </c>
      <c r="AF1770">
        <v>-12.855415946680401</v>
      </c>
      <c r="AG1770">
        <v>0.173369999999999</v>
      </c>
      <c r="AH1770">
        <v>224.297227287449</v>
      </c>
      <c r="AI1770">
        <v>89.955785934661705</v>
      </c>
      <c r="AJ1770">
        <v>93.280273047963206</v>
      </c>
      <c r="AK1770">
        <v>224.66539107115801</v>
      </c>
      <c r="AL1770">
        <v>87.989611992632405</v>
      </c>
      <c r="AM1770">
        <v>93.607669448079903</v>
      </c>
      <c r="AN1770">
        <v>0.99999998252231004</v>
      </c>
    </row>
    <row r="1771" spans="1:40" x14ac:dyDescent="0.25">
      <c r="A1771" t="str">
        <f>"20190312151019822"</f>
        <v>20190312151019822</v>
      </c>
      <c r="B1771" t="str">
        <f>"1552374619812004"</f>
        <v>1552374619812004</v>
      </c>
      <c r="C1771" t="s">
        <v>40</v>
      </c>
      <c r="D1771">
        <v>5.6849429999999996</v>
      </c>
      <c r="E1771">
        <v>0.49976559999999998</v>
      </c>
      <c r="F1771" t="s">
        <v>63</v>
      </c>
      <c r="G1771">
        <v>-440.19889999999998</v>
      </c>
      <c r="H1771">
        <v>3.0233120000000002</v>
      </c>
      <c r="I1771">
        <v>303.23489999999998</v>
      </c>
      <c r="J1771">
        <v>-217.5147</v>
      </c>
      <c r="K1771">
        <v>1.112214</v>
      </c>
      <c r="L1771">
        <v>281.94709999999998</v>
      </c>
      <c r="M1771">
        <v>-0.9880736</v>
      </c>
      <c r="N1771">
        <v>0</v>
      </c>
      <c r="O1771">
        <v>0.15338289999999999</v>
      </c>
      <c r="P1771">
        <v>-0.9954094</v>
      </c>
      <c r="Q1771">
        <v>2.7255729999999999E-2</v>
      </c>
      <c r="R1771">
        <v>9.1747380000000003E-2</v>
      </c>
      <c r="S1771">
        <v>-2.986526</v>
      </c>
      <c r="T1771">
        <v>2.56089E-2</v>
      </c>
      <c r="U1771">
        <v>0.28561399999999998</v>
      </c>
      <c r="V1771">
        <v>-6.2208579999999999E-2</v>
      </c>
      <c r="W1771">
        <v>4.0535139999999997E-2</v>
      </c>
      <c r="X1771">
        <v>0.99723969999999995</v>
      </c>
      <c r="Y1771">
        <v>-5.8619570000000003E-2</v>
      </c>
      <c r="Z1771">
        <v>1.5567840000000001E-3</v>
      </c>
      <c r="AA1771">
        <v>0.99827920000000003</v>
      </c>
      <c r="AB1771">
        <v>20</v>
      </c>
      <c r="AC1771">
        <v>-222.6842</v>
      </c>
      <c r="AD1771">
        <v>1.911098</v>
      </c>
      <c r="AE1771">
        <v>21.287800000000001</v>
      </c>
      <c r="AF1771">
        <v>-13.1222864768659</v>
      </c>
      <c r="AG1771">
        <v>1.911098</v>
      </c>
      <c r="AH1771">
        <v>223.29783958780899</v>
      </c>
      <c r="AI1771">
        <v>89.510489634595501</v>
      </c>
      <c r="AJ1771">
        <v>93.363167038874394</v>
      </c>
      <c r="AK1771">
        <v>223.69124225711101</v>
      </c>
      <c r="AL1771">
        <v>87.676871099876905</v>
      </c>
      <c r="AM1771">
        <v>93.569529509319196</v>
      </c>
      <c r="AN1771">
        <v>1.00000001212826</v>
      </c>
    </row>
    <row r="1772" spans="1:40" x14ac:dyDescent="0.25">
      <c r="A1772" t="str">
        <f>"20190312151019845"</f>
        <v>20190312151019845</v>
      </c>
      <c r="B1772" t="str">
        <f>"1552374619842260"</f>
        <v>1552374619842260</v>
      </c>
      <c r="C1772" t="s">
        <v>40</v>
      </c>
      <c r="D1772">
        <v>5.6246320000000001</v>
      </c>
      <c r="E1772">
        <v>0.4989401</v>
      </c>
      <c r="F1772" t="s">
        <v>63</v>
      </c>
      <c r="G1772">
        <v>-440.8725</v>
      </c>
      <c r="H1772">
        <v>4.271363</v>
      </c>
      <c r="I1772">
        <v>302.40449999999998</v>
      </c>
      <c r="J1772">
        <v>-217.71289999999999</v>
      </c>
      <c r="K1772">
        <v>1.1121920000000001</v>
      </c>
      <c r="L1772">
        <v>281.97410000000002</v>
      </c>
      <c r="M1772">
        <v>-0.98854980000000003</v>
      </c>
      <c r="N1772">
        <v>0</v>
      </c>
      <c r="O1772">
        <v>0.15028250000000001</v>
      </c>
      <c r="P1772">
        <v>-0.99572159999999998</v>
      </c>
      <c r="Q1772">
        <v>2.9854390000000001E-2</v>
      </c>
      <c r="R1772">
        <v>8.7448659999999998E-2</v>
      </c>
      <c r="S1772">
        <v>-2.9874420000000002</v>
      </c>
      <c r="T1772">
        <v>4.225421E-2</v>
      </c>
      <c r="U1772">
        <v>0.27362059999999999</v>
      </c>
      <c r="V1772">
        <v>-6.338473E-2</v>
      </c>
      <c r="W1772">
        <v>4.3127810000000003E-2</v>
      </c>
      <c r="X1772">
        <v>0.99705679999999997</v>
      </c>
      <c r="Y1772">
        <v>-5.9476800000000003E-2</v>
      </c>
      <c r="Z1772">
        <v>2.53127E-3</v>
      </c>
      <c r="AA1772">
        <v>0.99822650000000002</v>
      </c>
      <c r="AB1772">
        <v>20</v>
      </c>
      <c r="AC1772">
        <v>-223.15960000000001</v>
      </c>
      <c r="AD1772">
        <v>3.1591710000000002</v>
      </c>
      <c r="AE1772">
        <v>20.430399999999899</v>
      </c>
      <c r="AF1772">
        <v>-13.3390942979123</v>
      </c>
      <c r="AG1772">
        <v>3.1591710000000002</v>
      </c>
      <c r="AH1772">
        <v>223.65089337134199</v>
      </c>
      <c r="AI1772">
        <v>89.192160139699894</v>
      </c>
      <c r="AJ1772">
        <v>93.413219111886207</v>
      </c>
      <c r="AK1772">
        <v>224.070600266735</v>
      </c>
      <c r="AL1772">
        <v>87.528191708755699</v>
      </c>
      <c r="AM1772">
        <v>93.637502914669895</v>
      </c>
      <c r="AN1772">
        <v>0.999999947209403</v>
      </c>
    </row>
    <row r="1773" spans="1:40" x14ac:dyDescent="0.25">
      <c r="A1773" t="str">
        <f>"20190312151019868"</f>
        <v>20190312151019868</v>
      </c>
      <c r="B1773" t="str">
        <f>"1552374619862757"</f>
        <v>1552374619862757</v>
      </c>
      <c r="C1773" t="s">
        <v>40</v>
      </c>
      <c r="D1773">
        <v>5.6605619999999996</v>
      </c>
      <c r="E1773">
        <v>0.49839319999999998</v>
      </c>
      <c r="F1773" t="s">
        <v>63</v>
      </c>
      <c r="G1773">
        <v>-439.93540000000002</v>
      </c>
      <c r="H1773">
        <v>4.8202429999999996</v>
      </c>
      <c r="I1773">
        <v>300.8827</v>
      </c>
      <c r="J1773">
        <v>-217.9127</v>
      </c>
      <c r="K1773">
        <v>1.112161</v>
      </c>
      <c r="L1773">
        <v>282.00060000000002</v>
      </c>
      <c r="M1773">
        <v>-0.98902310000000004</v>
      </c>
      <c r="N1773">
        <v>0</v>
      </c>
      <c r="O1773">
        <v>0.1471355</v>
      </c>
      <c r="P1773">
        <v>-0.99615050000000005</v>
      </c>
      <c r="Q1773">
        <v>2.9104959999999999E-2</v>
      </c>
      <c r="R1773">
        <v>8.2686499999999996E-2</v>
      </c>
      <c r="S1773">
        <v>-2.9890439999999998</v>
      </c>
      <c r="T1773">
        <v>4.9875969999999999E-2</v>
      </c>
      <c r="U1773">
        <v>0.25433349999999999</v>
      </c>
      <c r="V1773">
        <v>-6.4978510000000003E-2</v>
      </c>
      <c r="W1773">
        <v>4.2371760000000001E-2</v>
      </c>
      <c r="X1773">
        <v>0.9969867</v>
      </c>
      <c r="Y1773">
        <v>-6.2731120000000001E-2</v>
      </c>
      <c r="Z1773">
        <v>2.9626399999999999E-3</v>
      </c>
      <c r="AA1773">
        <v>0.99802610000000003</v>
      </c>
      <c r="AB1773">
        <v>20</v>
      </c>
      <c r="AC1773">
        <v>-222.02269999999999</v>
      </c>
      <c r="AD1773">
        <v>3.7080820000000001</v>
      </c>
      <c r="AE1773">
        <v>18.882099999999902</v>
      </c>
      <c r="AF1773">
        <v>-13.990004272536099</v>
      </c>
      <c r="AG1773">
        <v>3.7080820000000001</v>
      </c>
      <c r="AH1773">
        <v>222.322748433584</v>
      </c>
      <c r="AI1773">
        <v>89.046348270774402</v>
      </c>
      <c r="AJ1773">
        <v>93.600678333074299</v>
      </c>
      <c r="AK1773">
        <v>222.793344969564</v>
      </c>
      <c r="AL1773">
        <v>87.571550016145395</v>
      </c>
      <c r="AM1773">
        <v>93.728972818533705</v>
      </c>
      <c r="AN1773">
        <v>1.0000000263921001</v>
      </c>
    </row>
    <row r="1774" spans="1:40" x14ac:dyDescent="0.25">
      <c r="A1774" t="str">
        <f>"20190312151019891"</f>
        <v>20190312151019891</v>
      </c>
      <c r="B1774" t="str">
        <f>"1552374619882276"</f>
        <v>1552374619882276</v>
      </c>
      <c r="C1774" t="s">
        <v>40</v>
      </c>
      <c r="D1774">
        <v>5.6563629999999998</v>
      </c>
      <c r="E1774">
        <v>0.49788690000000002</v>
      </c>
      <c r="F1774" t="s">
        <v>63</v>
      </c>
      <c r="G1774">
        <v>-439.93529999999998</v>
      </c>
      <c r="H1774">
        <v>4.6565580000000004</v>
      </c>
      <c r="I1774">
        <v>299.48180000000002</v>
      </c>
      <c r="J1774">
        <v>-218.10659999999999</v>
      </c>
      <c r="K1774">
        <v>1.1121299999999901</v>
      </c>
      <c r="L1774">
        <v>282.02569999999997</v>
      </c>
      <c r="M1774">
        <v>-0.98947549999999995</v>
      </c>
      <c r="N1774">
        <v>0</v>
      </c>
      <c r="O1774">
        <v>0.144062</v>
      </c>
      <c r="P1774">
        <v>-0.99647129999999995</v>
      </c>
      <c r="Q1774">
        <v>2.869671E-2</v>
      </c>
      <c r="R1774">
        <v>7.8876749999999995E-2</v>
      </c>
      <c r="S1774">
        <v>-2.9906619999999999</v>
      </c>
      <c r="T1774">
        <v>4.7743439999999998E-2</v>
      </c>
      <c r="U1774">
        <v>0.23547360000000001</v>
      </c>
      <c r="V1774">
        <v>-6.5692260000000002E-2</v>
      </c>
      <c r="W1774">
        <v>4.1960619999999997E-2</v>
      </c>
      <c r="X1774">
        <v>0.99695730000000005</v>
      </c>
      <c r="Y1774">
        <v>-6.5929940000000006E-2</v>
      </c>
      <c r="Z1774">
        <v>2.812494E-3</v>
      </c>
      <c r="AA1774">
        <v>0.99782029999999999</v>
      </c>
      <c r="AB1774">
        <v>20</v>
      </c>
      <c r="AC1774">
        <v>-221.8287</v>
      </c>
      <c r="AD1774">
        <v>3.5444279999999999</v>
      </c>
      <c r="AE1774">
        <v>17.456099999999999</v>
      </c>
      <c r="AF1774">
        <v>-14.6823314552861</v>
      </c>
      <c r="AG1774">
        <v>3.5444279999999999</v>
      </c>
      <c r="AH1774">
        <v>221.97297207971801</v>
      </c>
      <c r="AI1774">
        <v>89.087182462780902</v>
      </c>
      <c r="AJ1774">
        <v>93.784298570907197</v>
      </c>
      <c r="AK1774">
        <v>222.48625611644701</v>
      </c>
      <c r="AL1774">
        <v>87.595127538288807</v>
      </c>
      <c r="AM1774">
        <v>93.769926727880303</v>
      </c>
      <c r="AN1774">
        <v>1.0000000123389901</v>
      </c>
    </row>
    <row r="1775" spans="1:40" x14ac:dyDescent="0.25">
      <c r="A1775" t="str">
        <f>"20190312151019913"</f>
        <v>20190312151019913</v>
      </c>
      <c r="B1775" t="str">
        <f>"1552374619902772"</f>
        <v>1552374619902772</v>
      </c>
      <c r="C1775" t="s">
        <v>40</v>
      </c>
      <c r="D1775">
        <v>5.7045529999999998</v>
      </c>
      <c r="E1775">
        <v>0.49743340000000003</v>
      </c>
      <c r="F1775" t="s">
        <v>63</v>
      </c>
      <c r="G1775">
        <v>-451.99430000000001</v>
      </c>
      <c r="H1775">
        <v>4.8773299999999997</v>
      </c>
      <c r="I1775">
        <v>299.24849999999998</v>
      </c>
      <c r="J1775">
        <v>-218.304</v>
      </c>
      <c r="K1775">
        <v>1.112104</v>
      </c>
      <c r="L1775">
        <v>282.05070000000001</v>
      </c>
      <c r="M1775">
        <v>-0.98992880000000005</v>
      </c>
      <c r="N1775">
        <v>0</v>
      </c>
      <c r="O1775">
        <v>0.14091400000000001</v>
      </c>
      <c r="P1775">
        <v>-0.99667729999999999</v>
      </c>
      <c r="Q1775">
        <v>2.7217350000000001E-2</v>
      </c>
      <c r="R1775">
        <v>7.6771560000000003E-2</v>
      </c>
      <c r="S1775">
        <v>-2.9917910000000001</v>
      </c>
      <c r="T1775">
        <v>4.8162940000000001E-2</v>
      </c>
      <c r="U1775">
        <v>0.22030640000000001</v>
      </c>
      <c r="V1775">
        <v>-6.4625599999999894E-2</v>
      </c>
      <c r="W1775">
        <v>4.0487490000000001E-2</v>
      </c>
      <c r="X1775">
        <v>0.99708790000000003</v>
      </c>
      <c r="Y1775">
        <v>-6.7814459999999993E-2</v>
      </c>
      <c r="Z1775">
        <v>2.8019500000000001E-3</v>
      </c>
      <c r="AA1775">
        <v>0.99769399999999997</v>
      </c>
      <c r="AB1775">
        <v>20</v>
      </c>
      <c r="AC1775">
        <v>-233.69030000000001</v>
      </c>
      <c r="AD1775">
        <v>3.7652260000000002</v>
      </c>
      <c r="AE1775">
        <v>17.197799999999901</v>
      </c>
      <c r="AF1775">
        <v>-15.902996510661</v>
      </c>
      <c r="AG1775">
        <v>3.7652260000000002</v>
      </c>
      <c r="AH1775">
        <v>233.721356458683</v>
      </c>
      <c r="AI1775">
        <v>89.079179743965398</v>
      </c>
      <c r="AJ1775">
        <v>93.892550971725299</v>
      </c>
      <c r="AK1775">
        <v>234.29202865171499</v>
      </c>
      <c r="AL1775">
        <v>87.679603441643593</v>
      </c>
      <c r="AM1775">
        <v>93.7084014002061</v>
      </c>
      <c r="AN1775">
        <v>0.99999999267413497</v>
      </c>
    </row>
    <row r="1776" spans="1:40" x14ac:dyDescent="0.25">
      <c r="A1776" t="str">
        <f>"20190312151019934"</f>
        <v>20190312151019934</v>
      </c>
      <c r="B1776" t="str">
        <f>"1552374619922292"</f>
        <v>1552374619922292</v>
      </c>
      <c r="C1776" t="s">
        <v>40</v>
      </c>
      <c r="D1776">
        <v>5.703881</v>
      </c>
      <c r="E1776">
        <v>0.49704470000000001</v>
      </c>
      <c r="F1776" t="s">
        <v>64</v>
      </c>
      <c r="G1776">
        <v>-511.822</v>
      </c>
      <c r="H1776">
        <v>5.4510489999999896</v>
      </c>
      <c r="I1776">
        <v>302.67399999999998</v>
      </c>
      <c r="J1776">
        <v>-218.4881</v>
      </c>
      <c r="K1776">
        <v>1.112093</v>
      </c>
      <c r="L1776">
        <v>282.07330000000002</v>
      </c>
      <c r="M1776">
        <v>-0.99034460000000002</v>
      </c>
      <c r="N1776">
        <v>0</v>
      </c>
      <c r="O1776">
        <v>0.137961</v>
      </c>
      <c r="P1776">
        <v>-0.99668809999999997</v>
      </c>
      <c r="Q1776">
        <v>2.543664E-2</v>
      </c>
      <c r="R1776">
        <v>7.7238189999999998E-2</v>
      </c>
      <c r="S1776">
        <v>-2.992569</v>
      </c>
      <c r="T1776">
        <v>4.4238689999999997E-2</v>
      </c>
      <c r="U1776">
        <v>0.21026610000000001</v>
      </c>
      <c r="V1776">
        <v>-6.1182E-2</v>
      </c>
      <c r="W1776">
        <v>3.8724580000000002E-2</v>
      </c>
      <c r="X1776">
        <v>0.99737509999999996</v>
      </c>
      <c r="Y1776">
        <v>-6.8192489999999994E-2</v>
      </c>
      <c r="Z1776">
        <v>2.5330600000000002E-3</v>
      </c>
      <c r="AA1776">
        <v>0.99766900000000003</v>
      </c>
      <c r="AB1776">
        <v>20</v>
      </c>
      <c r="AC1776">
        <v>-293.33390000000003</v>
      </c>
      <c r="AD1776">
        <v>4.3389559999999996</v>
      </c>
      <c r="AE1776">
        <v>20.6007</v>
      </c>
      <c r="AF1776">
        <v>-20.064327435799399</v>
      </c>
      <c r="AG1776">
        <v>4.3389559999999996</v>
      </c>
      <c r="AH1776">
        <v>293.30691725459002</v>
      </c>
      <c r="AI1776">
        <v>89.154448116997301</v>
      </c>
      <c r="AJ1776">
        <v>93.913351590881803</v>
      </c>
      <c r="AK1776">
        <v>294.02440627269698</v>
      </c>
      <c r="AL1776">
        <v>87.780690001296307</v>
      </c>
      <c r="AM1776">
        <v>93.510297474196094</v>
      </c>
      <c r="AN1776">
        <v>0.99999996016009196</v>
      </c>
    </row>
    <row r="1777" spans="1:40" x14ac:dyDescent="0.25">
      <c r="A1777" t="str">
        <f>"20190312151019957"</f>
        <v>20190312151019957</v>
      </c>
      <c r="B1777" t="str">
        <f>"1552374619952548"</f>
        <v>1552374619952548</v>
      </c>
      <c r="C1777" t="s">
        <v>40</v>
      </c>
      <c r="D1777">
        <v>5.6101190000000001</v>
      </c>
      <c r="E1777">
        <v>0.49674560000000001</v>
      </c>
      <c r="F1777" t="s">
        <v>64</v>
      </c>
      <c r="G1777">
        <v>-511.8218</v>
      </c>
      <c r="H1777">
        <v>5.0065920000000004</v>
      </c>
      <c r="I1777">
        <v>302.51459999999997</v>
      </c>
      <c r="J1777">
        <v>-218.68790000000001</v>
      </c>
      <c r="K1777">
        <v>1.1120859999999999</v>
      </c>
      <c r="L1777">
        <v>282.09730000000002</v>
      </c>
      <c r="M1777">
        <v>-0.99078820000000001</v>
      </c>
      <c r="N1777">
        <v>0</v>
      </c>
      <c r="O1777">
        <v>0.13473889999999999</v>
      </c>
      <c r="P1777">
        <v>-0.99654810000000005</v>
      </c>
      <c r="Q1777">
        <v>2.6890230000000001E-2</v>
      </c>
      <c r="R1777">
        <v>7.8545139999999999E-2</v>
      </c>
      <c r="S1777">
        <v>-2.9927980000000001</v>
      </c>
      <c r="T1777">
        <v>3.9735319999999998E-2</v>
      </c>
      <c r="U1777">
        <v>0.2085571</v>
      </c>
      <c r="V1777">
        <v>-5.6627209999999997E-2</v>
      </c>
      <c r="W1777">
        <v>4.0199239999999997E-2</v>
      </c>
      <c r="X1777">
        <v>0.99758579999999997</v>
      </c>
      <c r="Y1777">
        <v>-6.5524109999999997E-2</v>
      </c>
      <c r="Z1777">
        <v>2.2150970000000001E-3</v>
      </c>
      <c r="AA1777">
        <v>0.99784850000000003</v>
      </c>
      <c r="AB1777">
        <v>20</v>
      </c>
      <c r="AC1777">
        <v>-293.13389999999998</v>
      </c>
      <c r="AD1777">
        <v>3.8945059999999998</v>
      </c>
      <c r="AE1777">
        <v>20.417299999999901</v>
      </c>
      <c r="AF1777">
        <v>-19.2657096155529</v>
      </c>
      <c r="AG1777">
        <v>3.8945059999999998</v>
      </c>
      <c r="AH1777">
        <v>293.160119283695</v>
      </c>
      <c r="AI1777">
        <v>89.240533024904096</v>
      </c>
      <c r="AJ1777">
        <v>93.759920943170101</v>
      </c>
      <c r="AK1777">
        <v>293.81829466935102</v>
      </c>
      <c r="AL1777">
        <v>87.696132479316304</v>
      </c>
      <c r="AM1777">
        <v>93.248865483418101</v>
      </c>
      <c r="AN1777">
        <v>1.0000000240853</v>
      </c>
    </row>
    <row r="1778" spans="1:40" x14ac:dyDescent="0.25">
      <c r="A1778" t="str">
        <f>"20190312151019977"</f>
        <v>20190312151019977</v>
      </c>
      <c r="B1778" t="str">
        <f>"1552374619972068"</f>
        <v>1552374619972068</v>
      </c>
      <c r="C1778" t="s">
        <v>40</v>
      </c>
      <c r="D1778">
        <v>5.6827170000000002</v>
      </c>
      <c r="E1778">
        <v>0.49656539999999999</v>
      </c>
      <c r="F1778" t="s">
        <v>64</v>
      </c>
      <c r="G1778">
        <v>-510.07060000000001</v>
      </c>
      <c r="H1778">
        <v>5.7995140000000003</v>
      </c>
      <c r="I1778">
        <v>302.5412</v>
      </c>
      <c r="J1778">
        <v>-218.86699999999999</v>
      </c>
      <c r="K1778">
        <v>1.1120920000000001</v>
      </c>
      <c r="L1778">
        <v>282.1182</v>
      </c>
      <c r="M1778">
        <v>-0.99117829999999996</v>
      </c>
      <c r="N1778">
        <v>0</v>
      </c>
      <c r="O1778">
        <v>0.1318377</v>
      </c>
      <c r="P1778">
        <v>-0.99661169999999999</v>
      </c>
      <c r="Q1778">
        <v>2.8120329999999999E-2</v>
      </c>
      <c r="R1778">
        <v>7.7295210000000003E-2</v>
      </c>
      <c r="S1778">
        <v>-2.9925380000000001</v>
      </c>
      <c r="T1778">
        <v>4.8141360000000001E-2</v>
      </c>
      <c r="U1778">
        <v>0.20996090000000001</v>
      </c>
      <c r="V1778">
        <v>-5.4957539999999999E-2</v>
      </c>
      <c r="W1778">
        <v>4.1436559999999997E-2</v>
      </c>
      <c r="X1778">
        <v>0.99762850000000003</v>
      </c>
      <c r="Y1778">
        <v>-6.212326E-2</v>
      </c>
      <c r="Z1778">
        <v>2.610308E-3</v>
      </c>
      <c r="AA1778">
        <v>0.99806510000000004</v>
      </c>
      <c r="AB1778">
        <v>20</v>
      </c>
      <c r="AC1778">
        <v>-291.20359999999999</v>
      </c>
      <c r="AD1778">
        <v>4.6874219999999998</v>
      </c>
      <c r="AE1778">
        <v>20.422999999999998</v>
      </c>
      <c r="AF1778">
        <v>-18.1457733343046</v>
      </c>
      <c r="AG1778">
        <v>4.6874219999999998</v>
      </c>
      <c r="AH1778">
        <v>291.27897217559899</v>
      </c>
      <c r="AI1778">
        <v>89.079827783444898</v>
      </c>
      <c r="AJ1778">
        <v>93.564742016431097</v>
      </c>
      <c r="AK1778">
        <v>291.881278342033</v>
      </c>
      <c r="AL1778">
        <v>87.625180006942003</v>
      </c>
      <c r="AM1778">
        <v>93.153133272483799</v>
      </c>
      <c r="AN1778">
        <v>0.999999971859867</v>
      </c>
    </row>
    <row r="1779" spans="1:40" x14ac:dyDescent="0.25">
      <c r="A1779" t="str">
        <f>"20190312151020002"</f>
        <v>20190312151020002</v>
      </c>
      <c r="B1779" t="str">
        <f>"1552374619992564"</f>
        <v>1552374619992564</v>
      </c>
      <c r="C1779" t="s">
        <v>40</v>
      </c>
      <c r="D1779">
        <v>5.5961559999999997</v>
      </c>
      <c r="E1779">
        <v>0.4964151</v>
      </c>
      <c r="F1779" t="s">
        <v>64</v>
      </c>
      <c r="G1779">
        <v>-510.07080000000002</v>
      </c>
      <c r="H1779">
        <v>6.4121129999999997</v>
      </c>
      <c r="I1779">
        <v>302.04599999999999</v>
      </c>
      <c r="J1779">
        <v>-219.0735</v>
      </c>
      <c r="K1779">
        <v>1.1120829999999999</v>
      </c>
      <c r="L1779">
        <v>282.14150000000001</v>
      </c>
      <c r="M1779">
        <v>-0.99161949999999999</v>
      </c>
      <c r="N1779">
        <v>0</v>
      </c>
      <c r="O1779">
        <v>0.12847839999999999</v>
      </c>
      <c r="P1779">
        <v>-0.99679960000000001</v>
      </c>
      <c r="Q1779">
        <v>3.0359489999999999E-2</v>
      </c>
      <c r="R1779">
        <v>7.3952409999999996E-2</v>
      </c>
      <c r="S1779">
        <v>-2.9927830000000002</v>
      </c>
      <c r="T1779">
        <v>5.4470659999999997E-2</v>
      </c>
      <c r="U1779">
        <v>0.2048035</v>
      </c>
      <c r="V1779">
        <v>-5.4923760000000002E-2</v>
      </c>
      <c r="W1779">
        <v>4.3673749999999997E-2</v>
      </c>
      <c r="X1779">
        <v>0.9975349</v>
      </c>
      <c r="Y1779">
        <v>-6.0452550000000001E-2</v>
      </c>
      <c r="Z1779">
        <v>2.8777160000000002E-3</v>
      </c>
      <c r="AA1779">
        <v>0.99816689999999997</v>
      </c>
      <c r="AB1779">
        <v>20</v>
      </c>
      <c r="AC1779">
        <v>-290.9973</v>
      </c>
      <c r="AD1779">
        <v>5.3000299999999996</v>
      </c>
      <c r="AE1779">
        <v>19.904499999999899</v>
      </c>
      <c r="AF1779">
        <v>-17.644975690247001</v>
      </c>
      <c r="AG1779">
        <v>5.3000299999999996</v>
      </c>
      <c r="AH1779">
        <v>291.046593755738</v>
      </c>
      <c r="AI1779">
        <v>88.958656637054602</v>
      </c>
      <c r="AJ1779">
        <v>93.469364557455506</v>
      </c>
      <c r="AK1779">
        <v>291.62913987104901</v>
      </c>
      <c r="AL1779">
        <v>87.496882144848698</v>
      </c>
      <c r="AM1779">
        <v>93.151494171431295</v>
      </c>
      <c r="AN1779">
        <v>0.99999994628480304</v>
      </c>
    </row>
    <row r="1780" spans="1:40" x14ac:dyDescent="0.25">
      <c r="A1780" t="str">
        <f>"20190312151020023"</f>
        <v>20190312151020023</v>
      </c>
      <c r="B1780" t="str">
        <f>"1552374620012085"</f>
        <v>1552374620012085</v>
      </c>
      <c r="C1780" t="s">
        <v>40</v>
      </c>
      <c r="D1780">
        <v>4.94651</v>
      </c>
      <c r="E1780">
        <v>0.4963322</v>
      </c>
      <c r="F1780" t="s">
        <v>64</v>
      </c>
      <c r="G1780">
        <v>-510.0711</v>
      </c>
      <c r="H1780">
        <v>7.3302690000000004</v>
      </c>
      <c r="I1780">
        <v>300.95679999999999</v>
      </c>
      <c r="J1780">
        <v>-219.26949999999999</v>
      </c>
      <c r="K1780">
        <v>1.11208</v>
      </c>
      <c r="L1780">
        <v>282.16309999999999</v>
      </c>
      <c r="M1780">
        <v>-0.99202860000000004</v>
      </c>
      <c r="N1780">
        <v>0</v>
      </c>
      <c r="O1780">
        <v>0.12527949999999999</v>
      </c>
      <c r="P1780">
        <v>-0.99685190000000001</v>
      </c>
      <c r="Q1780">
        <v>3.2556960000000003E-2</v>
      </c>
      <c r="R1780">
        <v>7.2293360000000001E-2</v>
      </c>
      <c r="S1780">
        <v>-2.9933320000000001</v>
      </c>
      <c r="T1780">
        <v>6.3963889999999995E-2</v>
      </c>
      <c r="U1780">
        <v>0.19354250000000001</v>
      </c>
      <c r="V1780">
        <v>-5.3364910000000002E-2</v>
      </c>
      <c r="W1780">
        <v>4.587691E-2</v>
      </c>
      <c r="X1780">
        <v>0.99752070000000004</v>
      </c>
      <c r="Y1780">
        <v>-6.0973100000000002E-2</v>
      </c>
      <c r="Z1780">
        <v>3.31694E-3</v>
      </c>
      <c r="AA1780">
        <v>0.99813390000000002</v>
      </c>
      <c r="AB1780">
        <v>20</v>
      </c>
      <c r="AC1780">
        <v>-290.80160000000001</v>
      </c>
      <c r="AD1780">
        <v>6.2181889999999997</v>
      </c>
      <c r="AE1780">
        <v>18.793700000000001</v>
      </c>
      <c r="AF1780">
        <v>-17.781134289158999</v>
      </c>
      <c r="AG1780">
        <v>6.2181889999999997</v>
      </c>
      <c r="AH1780">
        <v>290.73239589294298</v>
      </c>
      <c r="AI1780">
        <v>88.777028229663799</v>
      </c>
      <c r="AJ1780">
        <v>93.4998388433077</v>
      </c>
      <c r="AK1780">
        <v>291.34199943142397</v>
      </c>
      <c r="AL1780">
        <v>87.370523824474205</v>
      </c>
      <c r="AM1780">
        <v>93.062264465600194</v>
      </c>
      <c r="AN1780">
        <v>1.0000000257094701</v>
      </c>
    </row>
    <row r="1781" spans="1:40" x14ac:dyDescent="0.25">
      <c r="A1781" t="str">
        <f>"20190312151020046"</f>
        <v>20190312151020046</v>
      </c>
      <c r="B1781" t="str">
        <f>"1552374620042341"</f>
        <v>1552374620042341</v>
      </c>
      <c r="C1781" t="s">
        <v>40</v>
      </c>
      <c r="D1781">
        <v>5.6562950000000001</v>
      </c>
      <c r="E1781">
        <v>0.49614380000000002</v>
      </c>
      <c r="F1781" t="s">
        <v>64</v>
      </c>
      <c r="G1781">
        <v>-511.8229</v>
      </c>
      <c r="H1781">
        <v>8.2721769999999992</v>
      </c>
      <c r="I1781">
        <v>300.51150000000001</v>
      </c>
      <c r="J1781">
        <v>-219.46029999999999</v>
      </c>
      <c r="K1781">
        <v>1.1120749999999999</v>
      </c>
      <c r="L1781">
        <v>282.18340000000001</v>
      </c>
      <c r="M1781">
        <v>-0.99241729999999995</v>
      </c>
      <c r="N1781">
        <v>0</v>
      </c>
      <c r="O1781">
        <v>0.1221627</v>
      </c>
      <c r="P1781">
        <v>-0.99668210000000002</v>
      </c>
      <c r="Q1781">
        <v>3.5784870000000003E-2</v>
      </c>
      <c r="R1781">
        <v>7.3103749999999995E-2</v>
      </c>
      <c r="S1781">
        <v>-2.9934539999999998</v>
      </c>
      <c r="T1781">
        <v>7.3264120000000002E-2</v>
      </c>
      <c r="U1781">
        <v>0.1877441</v>
      </c>
      <c r="V1781">
        <v>-4.9416549999999997E-2</v>
      </c>
      <c r="W1781">
        <v>4.9119549999999998E-2</v>
      </c>
      <c r="X1781">
        <v>0.9975697</v>
      </c>
      <c r="Y1781">
        <v>-5.9754059999999998E-2</v>
      </c>
      <c r="Z1781">
        <v>3.7087399999999999E-3</v>
      </c>
      <c r="AA1781">
        <v>0.99820629999999999</v>
      </c>
      <c r="AB1781">
        <v>20</v>
      </c>
      <c r="AC1781">
        <v>-292.36259999999999</v>
      </c>
      <c r="AD1781">
        <v>7.1601020000000002</v>
      </c>
      <c r="AE1781">
        <v>18.328099999999999</v>
      </c>
      <c r="AF1781">
        <v>-17.517829529735899</v>
      </c>
      <c r="AG1781">
        <v>7.1601020000000002</v>
      </c>
      <c r="AH1781">
        <v>292.23704841934898</v>
      </c>
      <c r="AI1781">
        <v>88.598990340795098</v>
      </c>
      <c r="AJ1781">
        <v>93.430427807813601</v>
      </c>
      <c r="AK1781">
        <v>292.84916575079399</v>
      </c>
      <c r="AL1781">
        <v>87.184524199605605</v>
      </c>
      <c r="AM1781">
        <v>92.835939374679498</v>
      </c>
      <c r="AN1781">
        <v>1.0000000159820901</v>
      </c>
    </row>
    <row r="1782" spans="1:40" x14ac:dyDescent="0.25">
      <c r="A1782" t="str">
        <f>"20190312151020092"</f>
        <v>20190312151020092</v>
      </c>
      <c r="B1782" t="str">
        <f>"1552374620082356"</f>
        <v>1552374620082356</v>
      </c>
      <c r="C1782" t="s">
        <v>40</v>
      </c>
      <c r="D1782">
        <v>5.3540979999999996</v>
      </c>
      <c r="E1782">
        <v>0.49594939999999998</v>
      </c>
      <c r="F1782" t="s">
        <v>64</v>
      </c>
      <c r="G1782">
        <v>-511.82330000000002</v>
      </c>
      <c r="H1782">
        <v>9.6086770000000001</v>
      </c>
      <c r="I1782">
        <v>300.62099999999998</v>
      </c>
      <c r="J1782">
        <v>-219.85329999999999</v>
      </c>
      <c r="K1782">
        <v>1.1120429999999999</v>
      </c>
      <c r="L1782">
        <v>282.22340000000003</v>
      </c>
      <c r="M1782">
        <v>-0.99318700000000004</v>
      </c>
      <c r="N1782">
        <v>0</v>
      </c>
      <c r="O1782">
        <v>0.115745</v>
      </c>
      <c r="P1782">
        <v>-0.99678299999999997</v>
      </c>
      <c r="Q1782">
        <v>3.7142750000000002E-2</v>
      </c>
      <c r="R1782">
        <v>7.1023630000000004E-2</v>
      </c>
      <c r="S1782">
        <v>-2.9930110000000001</v>
      </c>
      <c r="T1782">
        <v>8.6983199999999997E-2</v>
      </c>
      <c r="U1782">
        <v>0.18875120000000001</v>
      </c>
      <c r="V1782">
        <v>-4.5043979999999997E-2</v>
      </c>
      <c r="W1782">
        <v>5.0455430000000002E-2</v>
      </c>
      <c r="X1782">
        <v>0.99770999999999999</v>
      </c>
      <c r="Y1782">
        <v>-5.2939600000000003E-2</v>
      </c>
      <c r="Z1782">
        <v>4.1196749999999997E-3</v>
      </c>
      <c r="AA1782">
        <v>0.99858919999999995</v>
      </c>
      <c r="AB1782">
        <v>20</v>
      </c>
      <c r="AC1782">
        <v>-291.97000000000003</v>
      </c>
      <c r="AD1782">
        <v>8.4966340000000002</v>
      </c>
      <c r="AE1782">
        <v>18.397599999999901</v>
      </c>
      <c r="AF1782">
        <v>-15.510145291181701</v>
      </c>
      <c r="AG1782">
        <v>8.4966340000000002</v>
      </c>
      <c r="AH1782">
        <v>291.89070708658898</v>
      </c>
      <c r="AI1782">
        <v>88.334998055184698</v>
      </c>
      <c r="AJ1782">
        <v>93.041655208980202</v>
      </c>
      <c r="AK1782">
        <v>292.425960338327</v>
      </c>
      <c r="AL1782">
        <v>87.1078887567149</v>
      </c>
      <c r="AM1782">
        <v>92.584998244993002</v>
      </c>
      <c r="AN1782">
        <v>0.99999997732536205</v>
      </c>
    </row>
    <row r="1783" spans="1:40" x14ac:dyDescent="0.25">
      <c r="A1783" t="str">
        <f>"20190312151020113"</f>
        <v>20190312151020113</v>
      </c>
      <c r="B1783" t="str">
        <f>"1552374620102852"</f>
        <v>1552374620102852</v>
      </c>
      <c r="C1783" t="s">
        <v>40</v>
      </c>
      <c r="D1783">
        <v>5.581664</v>
      </c>
      <c r="E1783">
        <v>0.49586760000000002</v>
      </c>
      <c r="F1783" t="s">
        <v>64</v>
      </c>
      <c r="G1783">
        <v>-511.8236</v>
      </c>
      <c r="H1783">
        <v>10.39181</v>
      </c>
      <c r="I1783">
        <v>299.86360000000002</v>
      </c>
      <c r="J1783">
        <v>-220.0472</v>
      </c>
      <c r="K1783">
        <v>1.112017</v>
      </c>
      <c r="L1783">
        <v>282.2423</v>
      </c>
      <c r="M1783">
        <v>-0.99355039999999994</v>
      </c>
      <c r="N1783">
        <v>0</v>
      </c>
      <c r="O1783">
        <v>0.1125868</v>
      </c>
      <c r="P1783">
        <v>-0.99686549999999996</v>
      </c>
      <c r="Q1783">
        <v>3.6963580000000003E-2</v>
      </c>
      <c r="R1783">
        <v>6.9951849999999996E-2</v>
      </c>
      <c r="S1783">
        <v>-2.993271</v>
      </c>
      <c r="T1783">
        <v>9.5136760000000001E-2</v>
      </c>
      <c r="U1783">
        <v>0.18084720000000001</v>
      </c>
      <c r="V1783">
        <v>-4.2942000000000001E-2</v>
      </c>
      <c r="W1783">
        <v>5.0251599999999903E-2</v>
      </c>
      <c r="X1783">
        <v>0.99781299999999995</v>
      </c>
      <c r="Y1783">
        <v>-5.238495E-2</v>
      </c>
      <c r="Z1783">
        <v>4.3973609999999998E-3</v>
      </c>
      <c r="AA1783">
        <v>0.99861730000000004</v>
      </c>
      <c r="AB1783">
        <v>20</v>
      </c>
      <c r="AC1783">
        <v>-291.77640000000002</v>
      </c>
      <c r="AD1783">
        <v>9.2797929999999997</v>
      </c>
      <c r="AE1783">
        <v>17.621300000000002</v>
      </c>
      <c r="AF1783">
        <v>-15.328467701076899</v>
      </c>
      <c r="AG1783">
        <v>9.2797929999999997</v>
      </c>
      <c r="AH1783">
        <v>291.61112254867601</v>
      </c>
      <c r="AI1783">
        <v>88.179831714133002</v>
      </c>
      <c r="AJ1783">
        <v>93.008969433065403</v>
      </c>
      <c r="AK1783">
        <v>292.16112553569599</v>
      </c>
      <c r="AL1783">
        <v>87.119582285912699</v>
      </c>
      <c r="AM1783">
        <v>92.464267430133404</v>
      </c>
      <c r="AN1783">
        <v>1.00000001081778</v>
      </c>
    </row>
    <row r="1784" spans="1:40" x14ac:dyDescent="0.25">
      <c r="A1784" t="str">
        <f>"20190312151020136"</f>
        <v>20190312151020136</v>
      </c>
      <c r="B1784" t="str">
        <f>"1552374620132132"</f>
        <v>1552374620132132</v>
      </c>
      <c r="C1784" t="s">
        <v>40</v>
      </c>
      <c r="D1784">
        <v>5.3361850000000004</v>
      </c>
      <c r="E1784">
        <v>0.49561549999999999</v>
      </c>
      <c r="F1784" t="s">
        <v>64</v>
      </c>
      <c r="G1784">
        <v>-511.8236</v>
      </c>
      <c r="H1784">
        <v>10.539899999999999</v>
      </c>
      <c r="I1784">
        <v>299.4742</v>
      </c>
      <c r="J1784">
        <v>-220.2355</v>
      </c>
      <c r="K1784">
        <v>1.1119810000000001</v>
      </c>
      <c r="L1784">
        <v>282.26</v>
      </c>
      <c r="M1784">
        <v>-0.99389340000000004</v>
      </c>
      <c r="N1784">
        <v>0</v>
      </c>
      <c r="O1784">
        <v>0.1095228</v>
      </c>
      <c r="P1784">
        <v>-0.99694939999999999</v>
      </c>
      <c r="Q1784">
        <v>3.5689199999999997E-2</v>
      </c>
      <c r="R1784">
        <v>6.9416859999999997E-2</v>
      </c>
      <c r="S1784">
        <v>-2.993439</v>
      </c>
      <c r="T1784">
        <v>9.6724870000000004E-2</v>
      </c>
      <c r="U1784">
        <v>0.17678829999999901</v>
      </c>
      <c r="V1784">
        <v>-4.0398030000000001E-2</v>
      </c>
      <c r="W1784">
        <v>4.8952860000000001E-2</v>
      </c>
      <c r="X1784">
        <v>0.99798379999999998</v>
      </c>
      <c r="Y1784">
        <v>-5.0658000000000002E-2</v>
      </c>
      <c r="Z1784">
        <v>4.3445790000000003E-3</v>
      </c>
      <c r="AA1784">
        <v>0.9987066</v>
      </c>
      <c r="AB1784">
        <v>20</v>
      </c>
      <c r="AC1784">
        <v>-291.5881</v>
      </c>
      <c r="AD1784">
        <v>9.4279189999999993</v>
      </c>
      <c r="AE1784">
        <v>17.214200000000002</v>
      </c>
      <c r="AF1784">
        <v>-14.812373475826</v>
      </c>
      <c r="AG1784">
        <v>9.4279189999999993</v>
      </c>
      <c r="AH1784">
        <v>291.41559401942101</v>
      </c>
      <c r="AI1784">
        <v>88.149392447434295</v>
      </c>
      <c r="AJ1784">
        <v>92.909785017809497</v>
      </c>
      <c r="AK1784">
        <v>291.94407084636902</v>
      </c>
      <c r="AL1784">
        <v>87.1940863592515</v>
      </c>
      <c r="AM1784">
        <v>92.318047252221106</v>
      </c>
      <c r="AN1784">
        <v>1.0000000241962499</v>
      </c>
    </row>
    <row r="1785" spans="1:40" x14ac:dyDescent="0.25">
      <c r="A1785" t="str">
        <f>"20190312151020157"</f>
        <v>20190312151020157</v>
      </c>
      <c r="B1785" t="str">
        <f>"1552374620152629"</f>
        <v>1552374620152629</v>
      </c>
      <c r="C1785" t="s">
        <v>40</v>
      </c>
      <c r="D1785">
        <v>5.6304489999999996</v>
      </c>
      <c r="E1785">
        <v>0.4955483</v>
      </c>
      <c r="F1785" t="s">
        <v>64</v>
      </c>
      <c r="G1785">
        <v>-511.82369999999997</v>
      </c>
      <c r="H1785">
        <v>10.72574</v>
      </c>
      <c r="I1785">
        <v>299.13810000000001</v>
      </c>
      <c r="J1785">
        <v>-220.42609999999999</v>
      </c>
      <c r="K1785">
        <v>1.11195</v>
      </c>
      <c r="L1785">
        <v>282.27730000000003</v>
      </c>
      <c r="M1785">
        <v>-0.99423050000000002</v>
      </c>
      <c r="N1785">
        <v>0</v>
      </c>
      <c r="O1785">
        <v>0.1064233</v>
      </c>
      <c r="P1785">
        <v>-0.99708339999999995</v>
      </c>
      <c r="Q1785">
        <v>3.298773E-2</v>
      </c>
      <c r="R1785">
        <v>6.8822430000000004E-2</v>
      </c>
      <c r="S1785">
        <v>-2.9935909999999999</v>
      </c>
      <c r="T1785">
        <v>9.870052E-2</v>
      </c>
      <c r="U1785">
        <v>0.17327879999999901</v>
      </c>
      <c r="V1785">
        <v>-3.7878299999999997E-2</v>
      </c>
      <c r="W1785">
        <v>4.6226059999999999E-2</v>
      </c>
      <c r="X1785">
        <v>0.99821260000000001</v>
      </c>
      <c r="Y1785">
        <v>-4.871296E-2</v>
      </c>
      <c r="Z1785">
        <v>4.2997449999999998E-3</v>
      </c>
      <c r="AA1785">
        <v>0.99880360000000001</v>
      </c>
      <c r="AB1785">
        <v>20</v>
      </c>
      <c r="AC1785">
        <v>-291.39760000000001</v>
      </c>
      <c r="AD1785">
        <v>9.6137899999999998</v>
      </c>
      <c r="AE1785">
        <v>16.860799999999902</v>
      </c>
      <c r="AF1785">
        <v>-14.233812202578299</v>
      </c>
      <c r="AG1785">
        <v>9.6137899999999998</v>
      </c>
      <c r="AH1785">
        <v>291.221044742061</v>
      </c>
      <c r="AI1785">
        <v>88.111490945208999</v>
      </c>
      <c r="AJ1785">
        <v>92.798179934657597</v>
      </c>
      <c r="AK1785">
        <v>291.72713838215299</v>
      </c>
      <c r="AL1785">
        <v>87.350497700974799</v>
      </c>
      <c r="AM1785">
        <v>92.173110179520094</v>
      </c>
      <c r="AN1785">
        <v>1.0000000045163799</v>
      </c>
    </row>
    <row r="1786" spans="1:40" x14ac:dyDescent="0.25">
      <c r="A1786" t="str">
        <f>"20190312151020180"</f>
        <v>20190312151020180</v>
      </c>
      <c r="B1786" t="str">
        <f>"1552374620172151"</f>
        <v>1552374620172151</v>
      </c>
      <c r="C1786" t="s">
        <v>40</v>
      </c>
      <c r="D1786">
        <v>5.350041</v>
      </c>
      <c r="E1786">
        <v>0.49543730000000002</v>
      </c>
      <c r="F1786" t="s">
        <v>64</v>
      </c>
      <c r="G1786">
        <v>-511.82350000000002</v>
      </c>
      <c r="H1786">
        <v>10.15288</v>
      </c>
      <c r="I1786">
        <v>298.92270000000002</v>
      </c>
      <c r="J1786">
        <v>-220.61869999999999</v>
      </c>
      <c r="K1786">
        <v>1.1119270000000001</v>
      </c>
      <c r="L1786">
        <v>282.29419999999999</v>
      </c>
      <c r="M1786">
        <v>-0.99456129999999998</v>
      </c>
      <c r="N1786">
        <v>0</v>
      </c>
      <c r="O1786">
        <v>0.1032906</v>
      </c>
      <c r="P1786">
        <v>-0.99719749999999996</v>
      </c>
      <c r="Q1786">
        <v>3.240813E-2</v>
      </c>
      <c r="R1786">
        <v>6.7431749999999999E-2</v>
      </c>
      <c r="S1786">
        <v>-2.9939119999999999</v>
      </c>
      <c r="T1786">
        <v>9.2890260000000002E-2</v>
      </c>
      <c r="U1786">
        <v>0.17102049999999999</v>
      </c>
      <c r="V1786">
        <v>-3.6122870000000001E-2</v>
      </c>
      <c r="W1786">
        <v>4.561635E-2</v>
      </c>
      <c r="X1786">
        <v>0.99830569999999996</v>
      </c>
      <c r="Y1786">
        <v>-4.633549E-2</v>
      </c>
      <c r="Z1786">
        <v>3.9130459999999999E-3</v>
      </c>
      <c r="AA1786">
        <v>0.99891830000000004</v>
      </c>
      <c r="AB1786">
        <v>20</v>
      </c>
      <c r="AC1786">
        <v>-291.20479999999998</v>
      </c>
      <c r="AD1786">
        <v>9.040953</v>
      </c>
      <c r="AE1786">
        <v>16.628499999999999</v>
      </c>
      <c r="AF1786">
        <v>-13.528869050033499</v>
      </c>
      <c r="AG1786">
        <v>9.040953</v>
      </c>
      <c r="AH1786">
        <v>291.08498739958901</v>
      </c>
      <c r="AI1786">
        <v>88.222911002703796</v>
      </c>
      <c r="AJ1786">
        <v>92.661043028652799</v>
      </c>
      <c r="AK1786">
        <v>291.53942961174198</v>
      </c>
      <c r="AL1786">
        <v>87.385468369866899</v>
      </c>
      <c r="AM1786">
        <v>92.072296518679295</v>
      </c>
      <c r="AN1786">
        <v>0.99999999188842403</v>
      </c>
    </row>
    <row r="1787" spans="1:40" x14ac:dyDescent="0.25">
      <c r="A1787" t="str">
        <f>"20190312151020203"</f>
        <v>20190312151020203</v>
      </c>
      <c r="B1787" t="str">
        <f>"1552374620192644"</f>
        <v>1552374620192644</v>
      </c>
      <c r="C1787" t="s">
        <v>40</v>
      </c>
      <c r="D1787">
        <v>5.5708120000000001</v>
      </c>
      <c r="E1787">
        <v>0.49536580000000002</v>
      </c>
      <c r="F1787" t="s">
        <v>64</v>
      </c>
      <c r="G1787">
        <v>-511.82350000000002</v>
      </c>
      <c r="H1787">
        <v>10.269920000000001</v>
      </c>
      <c r="I1787">
        <v>298.42270000000002</v>
      </c>
      <c r="J1787">
        <v>-220.81989999999999</v>
      </c>
      <c r="K1787">
        <v>1.111909</v>
      </c>
      <c r="L1787">
        <v>282.31110000000001</v>
      </c>
      <c r="M1787">
        <v>-0.99489559999999999</v>
      </c>
      <c r="N1787">
        <v>0</v>
      </c>
      <c r="O1787">
        <v>0.1000255</v>
      </c>
      <c r="P1787">
        <v>-0.99732229999999999</v>
      </c>
      <c r="Q1787">
        <v>3.2210900000000001E-2</v>
      </c>
      <c r="R1787">
        <v>6.5658869999999994E-2</v>
      </c>
      <c r="S1787">
        <v>-2.9941559999999998</v>
      </c>
      <c r="T1787">
        <v>9.4162940000000001E-2</v>
      </c>
      <c r="U1787">
        <v>0.16583249999999999</v>
      </c>
      <c r="V1787">
        <v>-3.4618940000000001E-2</v>
      </c>
      <c r="W1787">
        <v>4.5388659999999997E-2</v>
      </c>
      <c r="X1787">
        <v>0.99836939999999996</v>
      </c>
      <c r="Y1787">
        <v>-4.4786890000000003E-2</v>
      </c>
      <c r="Z1787">
        <v>3.840202E-3</v>
      </c>
      <c r="AA1787">
        <v>0.99898920000000002</v>
      </c>
      <c r="AB1787">
        <v>19</v>
      </c>
      <c r="AC1787">
        <v>-291.00360000000001</v>
      </c>
      <c r="AD1787">
        <v>9.1580109999999895</v>
      </c>
      <c r="AE1787">
        <v>16.111599999999999</v>
      </c>
      <c r="AF1787">
        <v>-13.0666809090641</v>
      </c>
      <c r="AG1787">
        <v>9.1580109999999895</v>
      </c>
      <c r="AH1787">
        <v>290.86844189014101</v>
      </c>
      <c r="AI1787">
        <v>88.198450271536899</v>
      </c>
      <c r="AJ1787">
        <v>92.572168541818201</v>
      </c>
      <c r="AK1787">
        <v>291.30578058640401</v>
      </c>
      <c r="AL1787">
        <v>87.398527672069903</v>
      </c>
      <c r="AM1787">
        <v>91.985963050373996</v>
      </c>
      <c r="AN1787">
        <v>1.00000003015983</v>
      </c>
    </row>
    <row r="1788" spans="1:40" x14ac:dyDescent="0.25">
      <c r="A1788" t="str">
        <f>"20190312151020227"</f>
        <v>20190312151020227</v>
      </c>
      <c r="B1788" t="str">
        <f>"1552374620222902"</f>
        <v>1552374620222902</v>
      </c>
      <c r="C1788" t="s">
        <v>40</v>
      </c>
      <c r="D1788">
        <v>5.3441179999999999</v>
      </c>
      <c r="E1788">
        <v>0.4951933</v>
      </c>
      <c r="F1788" t="s">
        <v>64</v>
      </c>
      <c r="G1788">
        <v>-511.8236</v>
      </c>
      <c r="H1788">
        <v>10.38672</v>
      </c>
      <c r="I1788">
        <v>297.8664</v>
      </c>
      <c r="J1788">
        <v>-221.01410000000001</v>
      </c>
      <c r="K1788">
        <v>1.1118859999999999</v>
      </c>
      <c r="L1788">
        <v>282.32690000000002</v>
      </c>
      <c r="M1788">
        <v>-0.99520699999999995</v>
      </c>
      <c r="N1788">
        <v>0</v>
      </c>
      <c r="O1788">
        <v>9.6882979999999994E-2</v>
      </c>
      <c r="P1788">
        <v>-0.99740269999999998</v>
      </c>
      <c r="Q1788">
        <v>3.337611E-2</v>
      </c>
      <c r="R1788">
        <v>6.3827199999999903E-2</v>
      </c>
      <c r="S1788">
        <v>-2.9944459999999999</v>
      </c>
      <c r="T1788">
        <v>9.5439200000000002E-2</v>
      </c>
      <c r="U1788">
        <v>0.1600647</v>
      </c>
      <c r="V1788">
        <v>-3.3298010000000003E-2</v>
      </c>
      <c r="W1788">
        <v>4.6524240000000001E-2</v>
      </c>
      <c r="X1788">
        <v>0.99836199999999997</v>
      </c>
      <c r="Y1788">
        <v>-4.3555999999999997E-2</v>
      </c>
      <c r="Z1788">
        <v>3.7729579999999999E-3</v>
      </c>
      <c r="AA1788">
        <v>0.99904389999999998</v>
      </c>
      <c r="AB1788">
        <v>19</v>
      </c>
      <c r="AC1788">
        <v>-290.80950000000001</v>
      </c>
      <c r="AD1788">
        <v>9.2748340000000002</v>
      </c>
      <c r="AE1788">
        <v>15.539499999999901</v>
      </c>
      <c r="AF1788">
        <v>-12.697715915487599</v>
      </c>
      <c r="AG1788">
        <v>9.2748340000000002</v>
      </c>
      <c r="AH1788">
        <v>290.65206978147103</v>
      </c>
      <c r="AI1788">
        <v>88.1740274238512</v>
      </c>
      <c r="AJ1788">
        <v>92.501489911113097</v>
      </c>
      <c r="AK1788">
        <v>291.07710353693398</v>
      </c>
      <c r="AL1788">
        <v>87.333394759511805</v>
      </c>
      <c r="AM1788">
        <v>91.910257488181699</v>
      </c>
      <c r="AN1788">
        <v>0.99999997271076801</v>
      </c>
    </row>
    <row r="1789" spans="1:40" x14ac:dyDescent="0.25">
      <c r="A1789" t="str">
        <f>"20190312151020247"</f>
        <v>20190312151020247</v>
      </c>
      <c r="B1789" t="str">
        <f>"1552374620242420"</f>
        <v>1552374620242420</v>
      </c>
      <c r="C1789" t="s">
        <v>40</v>
      </c>
      <c r="D1789">
        <v>5.5738969999999997</v>
      </c>
      <c r="E1789">
        <v>0.4951352</v>
      </c>
      <c r="F1789" t="s">
        <v>64</v>
      </c>
      <c r="G1789">
        <v>-510.95729999999998</v>
      </c>
      <c r="H1789">
        <v>10.99179</v>
      </c>
      <c r="I1789">
        <v>297.18369999999999</v>
      </c>
      <c r="J1789">
        <v>-221.19579999999999</v>
      </c>
      <c r="K1789">
        <v>1.1118650000000001</v>
      </c>
      <c r="L1789">
        <v>282.34120000000001</v>
      </c>
      <c r="M1789">
        <v>-0.99548780000000003</v>
      </c>
      <c r="N1789">
        <v>0</v>
      </c>
      <c r="O1789">
        <v>9.3958390000000003E-2</v>
      </c>
      <c r="P1789">
        <v>-0.99742839999999999</v>
      </c>
      <c r="Q1789">
        <v>3.51256E-2</v>
      </c>
      <c r="R1789">
        <v>6.2475889999999999E-2</v>
      </c>
      <c r="S1789">
        <v>-2.9945680000000001</v>
      </c>
      <c r="T1789">
        <v>0.1020416</v>
      </c>
      <c r="U1789">
        <v>0.15344240000000001</v>
      </c>
      <c r="V1789">
        <v>-3.1715340000000002E-2</v>
      </c>
      <c r="W1789">
        <v>4.8242739999999999E-2</v>
      </c>
      <c r="X1789">
        <v>0.998332</v>
      </c>
      <c r="Y1789">
        <v>-4.2817880000000003E-2</v>
      </c>
      <c r="Z1789">
        <v>3.9223050000000001E-3</v>
      </c>
      <c r="AA1789">
        <v>0.99907520000000005</v>
      </c>
      <c r="AB1789">
        <v>19</v>
      </c>
      <c r="AC1789">
        <v>-289.76150000000001</v>
      </c>
      <c r="AD1789">
        <v>9.8799250000000001</v>
      </c>
      <c r="AE1789">
        <v>14.8424999999999</v>
      </c>
      <c r="AF1789">
        <v>-12.436670342065799</v>
      </c>
      <c r="AG1789">
        <v>9.8799250000000001</v>
      </c>
      <c r="AH1789">
        <v>289.53837244660099</v>
      </c>
      <c r="AI1789">
        <v>88.047452005019494</v>
      </c>
      <c r="AJ1789">
        <v>92.459539199871202</v>
      </c>
      <c r="AK1789">
        <v>289.97371054326601</v>
      </c>
      <c r="AL1789">
        <v>87.234821312084094</v>
      </c>
      <c r="AM1789">
        <v>91.819579248714803</v>
      </c>
      <c r="AN1789">
        <v>1.00000000348901</v>
      </c>
    </row>
    <row r="1790" spans="1:40" x14ac:dyDescent="0.25">
      <c r="A1790" t="str">
        <f>"20190312151020270"</f>
        <v>20190312151020270</v>
      </c>
      <c r="B1790" t="str">
        <f>"1552374620262917"</f>
        <v>1552374620262917</v>
      </c>
      <c r="C1790" t="s">
        <v>40</v>
      </c>
      <c r="D1790">
        <v>5.5809540000000002</v>
      </c>
      <c r="E1790">
        <v>0.4950579</v>
      </c>
      <c r="F1790" t="s">
        <v>64</v>
      </c>
      <c r="G1790">
        <v>-510.95749999999998</v>
      </c>
      <c r="H1790">
        <v>11.682740000000001</v>
      </c>
      <c r="I1790">
        <v>296.71019999999999</v>
      </c>
      <c r="J1790">
        <v>-221.4025</v>
      </c>
      <c r="K1790">
        <v>1.1118239999999999</v>
      </c>
      <c r="L1790">
        <v>282.35669999999999</v>
      </c>
      <c r="M1790">
        <v>-0.99579419999999996</v>
      </c>
      <c r="N1790">
        <v>0</v>
      </c>
      <c r="O1790">
        <v>9.0661829999999999E-2</v>
      </c>
      <c r="P1790">
        <v>-0.99742900000000001</v>
      </c>
      <c r="Q1790">
        <v>3.5842859999999997E-2</v>
      </c>
      <c r="R1790">
        <v>6.2055600000000002E-2</v>
      </c>
      <c r="S1790">
        <v>-2.9945680000000001</v>
      </c>
      <c r="T1790">
        <v>0.1092465</v>
      </c>
      <c r="U1790">
        <v>0.14849849999999901</v>
      </c>
      <c r="V1790">
        <v>-2.882707E-2</v>
      </c>
      <c r="W1790">
        <v>4.8919520000000001E-2</v>
      </c>
      <c r="X1790">
        <v>0.99838660000000001</v>
      </c>
      <c r="Y1790">
        <v>-4.1146769999999999E-2</v>
      </c>
      <c r="Z1790">
        <v>4.0492189999999997E-3</v>
      </c>
      <c r="AA1790">
        <v>0.9991449</v>
      </c>
      <c r="AB1790">
        <v>19</v>
      </c>
      <c r="AC1790">
        <v>-289.55499999999898</v>
      </c>
      <c r="AD1790">
        <v>10.570916</v>
      </c>
      <c r="AE1790">
        <v>14.353499999999899</v>
      </c>
      <c r="AF1790">
        <v>-11.943617349176099</v>
      </c>
      <c r="AG1790">
        <v>10.570916</v>
      </c>
      <c r="AH1790">
        <v>289.279151295166</v>
      </c>
      <c r="AI1790">
        <v>87.908993401956096</v>
      </c>
      <c r="AJ1790">
        <v>92.364257558732206</v>
      </c>
      <c r="AK1790">
        <v>289.71852138673103</v>
      </c>
      <c r="AL1790">
        <v>87.195998715189702</v>
      </c>
      <c r="AM1790">
        <v>91.653879052349495</v>
      </c>
      <c r="AN1790">
        <v>0.99999996123068602</v>
      </c>
    </row>
    <row r="1791" spans="1:40" x14ac:dyDescent="0.25">
      <c r="A1791" t="str">
        <f>"20190312151020292"</f>
        <v>20190312151020292</v>
      </c>
      <c r="B1791" t="str">
        <f>"1552374620282436"</f>
        <v>1552374620282436</v>
      </c>
      <c r="C1791" t="s">
        <v>40</v>
      </c>
      <c r="D1791">
        <v>5.5804900000000002</v>
      </c>
      <c r="E1791">
        <v>0.49497340000000001</v>
      </c>
      <c r="F1791" t="s">
        <v>64</v>
      </c>
      <c r="G1791">
        <v>-510.95760000000001</v>
      </c>
      <c r="H1791">
        <v>12.074210000000001</v>
      </c>
      <c r="I1791">
        <v>296.55930000000001</v>
      </c>
      <c r="J1791">
        <v>-221.5847</v>
      </c>
      <c r="K1791">
        <v>1.1117779999999999</v>
      </c>
      <c r="L1791">
        <v>282.36989999999997</v>
      </c>
      <c r="M1791">
        <v>-0.99605140000000003</v>
      </c>
      <c r="N1791">
        <v>0</v>
      </c>
      <c r="O1791">
        <v>8.7799619999999995E-2</v>
      </c>
      <c r="P1791">
        <v>-0.9974556</v>
      </c>
      <c r="Q1791">
        <v>3.5958070000000002E-2</v>
      </c>
      <c r="R1791">
        <v>6.1560459999999997E-2</v>
      </c>
      <c r="S1791">
        <v>-2.9945219999999999</v>
      </c>
      <c r="T1791">
        <v>0.1133716</v>
      </c>
      <c r="U1791">
        <v>0.14688109999999999</v>
      </c>
      <c r="V1791">
        <v>-2.6447999999999999E-2</v>
      </c>
      <c r="W1791">
        <v>4.8990010000000001E-2</v>
      </c>
      <c r="X1791">
        <v>0.99844900000000003</v>
      </c>
      <c r="Y1791">
        <v>-3.8809700000000003E-2</v>
      </c>
      <c r="Z1791">
        <v>4.0501259999999898E-3</v>
      </c>
      <c r="AA1791">
        <v>0.99923839999999997</v>
      </c>
      <c r="AB1791">
        <v>19</v>
      </c>
      <c r="AC1791">
        <v>-289.37290000000002</v>
      </c>
      <c r="AD1791">
        <v>10.962432</v>
      </c>
      <c r="AE1791">
        <v>14.189399999999999</v>
      </c>
      <c r="AF1791">
        <v>-11.2583146307513</v>
      </c>
      <c r="AG1791">
        <v>10.962432</v>
      </c>
      <c r="AH1791">
        <v>289.08723602251001</v>
      </c>
      <c r="AI1791">
        <v>87.829979620520206</v>
      </c>
      <c r="AJ1791">
        <v>92.230219875502797</v>
      </c>
      <c r="AK1791">
        <v>289.51399723470001</v>
      </c>
      <c r="AL1791">
        <v>87.191955088508294</v>
      </c>
      <c r="AM1791">
        <v>91.517357919762901</v>
      </c>
      <c r="AN1791">
        <v>0.99999996169239902</v>
      </c>
    </row>
    <row r="1792" spans="1:40" x14ac:dyDescent="0.25">
      <c r="A1792" t="str">
        <f>"20190312151020314"</f>
        <v>20190312151020314</v>
      </c>
      <c r="B1792" t="str">
        <f>"1552374620302932"</f>
        <v>1552374620302932</v>
      </c>
      <c r="C1792" t="s">
        <v>40</v>
      </c>
      <c r="D1792">
        <v>5.7072929999999999</v>
      </c>
      <c r="E1792">
        <v>0.4948958</v>
      </c>
      <c r="F1792" t="s">
        <v>64</v>
      </c>
      <c r="G1792">
        <v>-510.95769999999999</v>
      </c>
      <c r="H1792">
        <v>12.297890000000001</v>
      </c>
      <c r="I1792">
        <v>296.35120000000001</v>
      </c>
      <c r="J1792">
        <v>-221.77670000000001</v>
      </c>
      <c r="K1792">
        <v>1.1117239999999999</v>
      </c>
      <c r="L1792">
        <v>282.38330000000002</v>
      </c>
      <c r="M1792">
        <v>-0.99630890000000005</v>
      </c>
      <c r="N1792">
        <v>0</v>
      </c>
      <c r="O1792">
        <v>8.4837880000000004E-2</v>
      </c>
      <c r="P1792">
        <v>-0.99750779999999994</v>
      </c>
      <c r="Q1792">
        <v>3.656206E-2</v>
      </c>
      <c r="R1792">
        <v>6.0343679999999997E-2</v>
      </c>
      <c r="S1792">
        <v>-2.9945369999999998</v>
      </c>
      <c r="T1792">
        <v>0.1157588</v>
      </c>
      <c r="U1792">
        <v>0.1446838</v>
      </c>
      <c r="V1792">
        <v>-2.4691910000000001E-2</v>
      </c>
      <c r="W1792">
        <v>4.9538190000000003E-2</v>
      </c>
      <c r="X1792">
        <v>0.99846699999999999</v>
      </c>
      <c r="Y1792">
        <v>-3.6570409999999998E-2</v>
      </c>
      <c r="Z1792">
        <v>3.9782289999999998E-3</v>
      </c>
      <c r="AA1792">
        <v>0.99932319999999997</v>
      </c>
      <c r="AB1792">
        <v>19</v>
      </c>
      <c r="AC1792">
        <v>-289.18099999999998</v>
      </c>
      <c r="AD1792">
        <v>11.186165999999901</v>
      </c>
      <c r="AE1792">
        <v>13.967899999999901</v>
      </c>
      <c r="AF1792">
        <v>-10.6022409935607</v>
      </c>
      <c r="AG1792">
        <v>11.186165999999901</v>
      </c>
      <c r="AH1792">
        <v>288.89209774591001</v>
      </c>
      <c r="AI1792">
        <v>87.784053128101704</v>
      </c>
      <c r="AJ1792">
        <v>92.101792203431302</v>
      </c>
      <c r="AK1792">
        <v>289.30292422285999</v>
      </c>
      <c r="AL1792">
        <v>87.160508715914204</v>
      </c>
      <c r="AM1792">
        <v>91.4166256221514</v>
      </c>
      <c r="AN1792">
        <v>1.00000003638846</v>
      </c>
    </row>
    <row r="1793" spans="1:40" x14ac:dyDescent="0.25">
      <c r="A1793" t="str">
        <f>"20190312151020337"</f>
        <v>20190312151020337</v>
      </c>
      <c r="B1793" t="str">
        <f>"1552374620332212"</f>
        <v>1552374620332212</v>
      </c>
      <c r="C1793" t="s">
        <v>40</v>
      </c>
      <c r="D1793">
        <v>5.6474900000000003</v>
      </c>
      <c r="E1793">
        <v>0.49475829999999998</v>
      </c>
      <c r="F1793" t="s">
        <v>64</v>
      </c>
      <c r="G1793">
        <v>-510.95780000000002</v>
      </c>
      <c r="H1793">
        <v>12.640689999999999</v>
      </c>
      <c r="I1793">
        <v>295.9513</v>
      </c>
      <c r="J1793">
        <v>-221.9648</v>
      </c>
      <c r="K1793">
        <v>1.1116680000000001</v>
      </c>
      <c r="L1793">
        <v>282.39589999999998</v>
      </c>
      <c r="M1793">
        <v>-0.99654699999999996</v>
      </c>
      <c r="N1793">
        <v>0</v>
      </c>
      <c r="O1793">
        <v>8.2004800000000003E-2</v>
      </c>
      <c r="P1793">
        <v>-0.99752529999999995</v>
      </c>
      <c r="Q1793">
        <v>3.736598E-2</v>
      </c>
      <c r="R1793">
        <v>5.9558E-2</v>
      </c>
      <c r="S1793">
        <v>-2.9945979999999999</v>
      </c>
      <c r="T1793">
        <v>0.1193883</v>
      </c>
      <c r="U1793">
        <v>0.14050289999999999</v>
      </c>
      <c r="V1793">
        <v>-2.263281E-2</v>
      </c>
      <c r="W1793">
        <v>5.0286360000000002E-2</v>
      </c>
      <c r="X1793">
        <v>0.99847839999999999</v>
      </c>
      <c r="Y1793">
        <v>-3.5119619999999997E-2</v>
      </c>
      <c r="Z1793">
        <v>3.9616290000000004E-3</v>
      </c>
      <c r="AA1793">
        <v>0.99937529999999997</v>
      </c>
      <c r="AB1793">
        <v>19</v>
      </c>
      <c r="AC1793">
        <v>-288.99299999999999</v>
      </c>
      <c r="AD1793">
        <v>11.529021999999999</v>
      </c>
      <c r="AE1793">
        <v>13.555400000000001</v>
      </c>
      <c r="AF1793">
        <v>-10.1749246423699</v>
      </c>
      <c r="AG1793">
        <v>11.529021999999999</v>
      </c>
      <c r="AH1793">
        <v>288.67277152997002</v>
      </c>
      <c r="AI1793">
        <v>87.714352737617901</v>
      </c>
      <c r="AJ1793">
        <v>92.018683611816797</v>
      </c>
      <c r="AK1793">
        <v>289.08202376237199</v>
      </c>
      <c r="AL1793">
        <v>87.117588243874494</v>
      </c>
      <c r="AM1793">
        <v>91.2985182900469</v>
      </c>
      <c r="AN1793">
        <v>1.0000000386785499</v>
      </c>
    </row>
    <row r="1794" spans="1:40" x14ac:dyDescent="0.25">
      <c r="A1794" t="str">
        <f>"20190312151020358"</f>
        <v>20190312151020358</v>
      </c>
      <c r="B1794" t="str">
        <f>"1552374620352708"</f>
        <v>1552374620352708</v>
      </c>
      <c r="C1794" t="s">
        <v>40</v>
      </c>
      <c r="D1794">
        <v>5.6594689999999996</v>
      </c>
      <c r="E1794">
        <v>0.49465550000000003</v>
      </c>
      <c r="F1794" t="s">
        <v>64</v>
      </c>
      <c r="G1794">
        <v>-510.9579</v>
      </c>
      <c r="H1794">
        <v>13.097720000000001</v>
      </c>
      <c r="I1794">
        <v>295.6311</v>
      </c>
      <c r="J1794">
        <v>-222.15090000000001</v>
      </c>
      <c r="K1794">
        <v>1.111604</v>
      </c>
      <c r="L1794">
        <v>282.40800000000002</v>
      </c>
      <c r="M1794">
        <v>-0.99676849999999995</v>
      </c>
      <c r="N1794">
        <v>0</v>
      </c>
      <c r="O1794">
        <v>7.92768999999999E-2</v>
      </c>
      <c r="P1794">
        <v>-0.99753910000000001</v>
      </c>
      <c r="Q1794">
        <v>3.9111310000000003E-2</v>
      </c>
      <c r="R1794">
        <v>5.818769E-2</v>
      </c>
      <c r="S1794">
        <v>-2.9945979999999999</v>
      </c>
      <c r="T1794">
        <v>0.1242024</v>
      </c>
      <c r="U1794">
        <v>0.13714599999999999</v>
      </c>
      <c r="V1794">
        <v>-2.126451E-2</v>
      </c>
      <c r="W1794">
        <v>5.1972640000000001E-2</v>
      </c>
      <c r="X1794">
        <v>0.99842209999999998</v>
      </c>
      <c r="Y1794">
        <v>-3.3498149999999997E-2</v>
      </c>
      <c r="Z1794">
        <v>3.9751250000000004E-3</v>
      </c>
      <c r="AA1794">
        <v>0.99943090000000001</v>
      </c>
      <c r="AB1794">
        <v>19</v>
      </c>
      <c r="AC1794">
        <v>-288.80700000000002</v>
      </c>
      <c r="AD1794">
        <v>11.986116000000001</v>
      </c>
      <c r="AE1794">
        <v>13.223099999999899</v>
      </c>
      <c r="AF1794">
        <v>-9.6994972352823208</v>
      </c>
      <c r="AG1794">
        <v>11.986116000000001</v>
      </c>
      <c r="AH1794">
        <v>288.45044382734199</v>
      </c>
      <c r="AI1794">
        <v>87.621873198646497</v>
      </c>
      <c r="AJ1794">
        <v>91.925914645635004</v>
      </c>
      <c r="AK1794">
        <v>288.86226089188898</v>
      </c>
      <c r="AL1794">
        <v>87.020844892984101</v>
      </c>
      <c r="AM1794">
        <v>91.220107713492894</v>
      </c>
      <c r="AN1794">
        <v>1.00000001223125</v>
      </c>
    </row>
    <row r="1795" spans="1:40" x14ac:dyDescent="0.25">
      <c r="A1795" t="str">
        <f>"20190312151020381"</f>
        <v>20190312151020381</v>
      </c>
      <c r="B1795" t="str">
        <f>"1552374620372229"</f>
        <v>1552374620372229</v>
      </c>
      <c r="C1795" t="s">
        <v>40</v>
      </c>
      <c r="D1795">
        <v>5.6548870000000004</v>
      </c>
      <c r="E1795">
        <v>0.49456149999999999</v>
      </c>
      <c r="F1795" t="s">
        <v>64</v>
      </c>
      <c r="G1795">
        <v>-510.95819999999998</v>
      </c>
      <c r="H1795">
        <v>13.751939999999999</v>
      </c>
      <c r="I1795">
        <v>295.16109999999998</v>
      </c>
      <c r="J1795">
        <v>-222.3492</v>
      </c>
      <c r="K1795">
        <v>1.111537</v>
      </c>
      <c r="L1795">
        <v>282.4203</v>
      </c>
      <c r="M1795">
        <v>-0.99698880000000001</v>
      </c>
      <c r="N1795">
        <v>0</v>
      </c>
      <c r="O1795">
        <v>7.6471220000000006E-2</v>
      </c>
      <c r="P1795">
        <v>-0.99760930000000003</v>
      </c>
      <c r="Q1795">
        <v>4.0266469999999999E-2</v>
      </c>
      <c r="R1795">
        <v>5.6165350000000003E-2</v>
      </c>
      <c r="S1795">
        <v>-2.9945369999999998</v>
      </c>
      <c r="T1795">
        <v>0.13106379999999901</v>
      </c>
      <c r="U1795">
        <v>0.13223270000000001</v>
      </c>
      <c r="V1795">
        <v>-2.0470189999999999E-2</v>
      </c>
      <c r="W1795">
        <v>5.3051180000000003E-2</v>
      </c>
      <c r="X1795">
        <v>0.99838199999999999</v>
      </c>
      <c r="Y1795">
        <v>-3.231357E-2</v>
      </c>
      <c r="Z1795">
        <v>4.0466130000000001E-3</v>
      </c>
      <c r="AA1795">
        <v>0.99946959999999996</v>
      </c>
      <c r="AB1795">
        <v>19</v>
      </c>
      <c r="AC1795">
        <v>-288.60899999999998</v>
      </c>
      <c r="AD1795">
        <v>12.640402999999999</v>
      </c>
      <c r="AE1795">
        <v>12.740799999999901</v>
      </c>
      <c r="AF1795">
        <v>-9.3507206425062908</v>
      </c>
      <c r="AG1795">
        <v>12.640402999999999</v>
      </c>
      <c r="AH1795">
        <v>288.18640265257801</v>
      </c>
      <c r="AI1795">
        <v>87.4898273574276</v>
      </c>
      <c r="AJ1795">
        <v>91.858411528782895</v>
      </c>
      <c r="AK1795">
        <v>288.61500036964497</v>
      </c>
      <c r="AL1795">
        <v>86.958963798948602</v>
      </c>
      <c r="AM1795">
        <v>91.174591672158698</v>
      </c>
      <c r="AN1795">
        <v>1.00000003715101</v>
      </c>
    </row>
    <row r="1796" spans="1:40" x14ac:dyDescent="0.25">
      <c r="A1796" t="str">
        <f>"20190312151020403"</f>
        <v>20190312151020403</v>
      </c>
      <c r="B1796" t="str">
        <f>"1552374620392726"</f>
        <v>1552374620392726</v>
      </c>
      <c r="C1796" t="s">
        <v>40</v>
      </c>
      <c r="D1796">
        <v>5.599926</v>
      </c>
      <c r="E1796">
        <v>0.49447469999999999</v>
      </c>
      <c r="F1796" t="s">
        <v>64</v>
      </c>
      <c r="G1796">
        <v>-510.95830000000001</v>
      </c>
      <c r="H1796">
        <v>14.225989999999999</v>
      </c>
      <c r="I1796">
        <v>294.49959999999999</v>
      </c>
      <c r="J1796">
        <v>-222.54470000000001</v>
      </c>
      <c r="K1796">
        <v>1.111475</v>
      </c>
      <c r="L1796">
        <v>282.43209999999999</v>
      </c>
      <c r="M1796">
        <v>-0.99719210000000003</v>
      </c>
      <c r="N1796">
        <v>0</v>
      </c>
      <c r="O1796">
        <v>7.378825E-2</v>
      </c>
      <c r="P1796">
        <v>-0.99770499999999995</v>
      </c>
      <c r="Q1796">
        <v>4.0320880000000003E-2</v>
      </c>
      <c r="R1796">
        <v>5.4399099999999999E-2</v>
      </c>
      <c r="S1796">
        <v>-2.9946290000000002</v>
      </c>
      <c r="T1796">
        <v>0.13607729999999901</v>
      </c>
      <c r="U1796">
        <v>0.12533569999999999</v>
      </c>
      <c r="V1796">
        <v>-1.9543310000000001E-2</v>
      </c>
      <c r="W1796">
        <v>5.3022140000000002E-2</v>
      </c>
      <c r="X1796">
        <v>0.99840209999999996</v>
      </c>
      <c r="Y1796">
        <v>-3.1918149999999999E-2</v>
      </c>
      <c r="Z1796">
        <v>4.0709700000000001E-3</v>
      </c>
      <c r="AA1796">
        <v>0.99948219999999999</v>
      </c>
      <c r="AB1796">
        <v>19</v>
      </c>
      <c r="AC1796">
        <v>-288.41359999999997</v>
      </c>
      <c r="AD1796">
        <v>13.114515000000001</v>
      </c>
      <c r="AE1796">
        <v>12.0674999999999</v>
      </c>
      <c r="AF1796">
        <v>-9.2296238173167797</v>
      </c>
      <c r="AG1796">
        <v>13.114515000000001</v>
      </c>
      <c r="AH1796">
        <v>287.92346953474498</v>
      </c>
      <c r="AI1796">
        <v>87.393396247326706</v>
      </c>
      <c r="AJ1796">
        <v>91.836034658726902</v>
      </c>
      <c r="AK1796">
        <v>288.36972928589398</v>
      </c>
      <c r="AL1796">
        <v>86.960629963637402</v>
      </c>
      <c r="AM1796">
        <v>91.121398079530593</v>
      </c>
      <c r="AN1796">
        <v>1.00000002079017</v>
      </c>
    </row>
    <row r="1797" spans="1:40" x14ac:dyDescent="0.25">
      <c r="A1797" t="str">
        <f>"20190312151020426"</f>
        <v>20190312151020426</v>
      </c>
      <c r="B1797" t="str">
        <f>"1552374620422980"</f>
        <v>1552374620422980</v>
      </c>
      <c r="C1797" t="s">
        <v>40</v>
      </c>
      <c r="D1797">
        <v>5.7247940000000002</v>
      </c>
      <c r="E1797">
        <v>0.49435590000000001</v>
      </c>
      <c r="F1797" t="s">
        <v>64</v>
      </c>
      <c r="G1797">
        <v>-510.95839999999998</v>
      </c>
      <c r="H1797">
        <v>14.38369</v>
      </c>
      <c r="I1797">
        <v>293.94409999999999</v>
      </c>
      <c r="J1797">
        <v>-222.74119999999999</v>
      </c>
      <c r="K1797">
        <v>1.111421</v>
      </c>
      <c r="L1797">
        <v>282.44349999999997</v>
      </c>
      <c r="M1797">
        <v>-0.99738320000000003</v>
      </c>
      <c r="N1797">
        <v>0</v>
      </c>
      <c r="O1797">
        <v>7.1175130000000003E-2</v>
      </c>
      <c r="P1797">
        <v>-0.99775979999999997</v>
      </c>
      <c r="Q1797">
        <v>4.086592E-2</v>
      </c>
      <c r="R1797">
        <v>5.296754E-2</v>
      </c>
      <c r="S1797">
        <v>-2.994812</v>
      </c>
      <c r="T1797">
        <v>0.13781599999999999</v>
      </c>
      <c r="U1797">
        <v>0.1195374</v>
      </c>
      <c r="V1797">
        <v>-1.835314E-2</v>
      </c>
      <c r="W1797">
        <v>5.3474960000000002E-2</v>
      </c>
      <c r="X1797">
        <v>0.99840050000000002</v>
      </c>
      <c r="Y1797">
        <v>-3.1234290000000001E-2</v>
      </c>
      <c r="Z1797">
        <v>3.9873520000000004E-3</v>
      </c>
      <c r="AA1797">
        <v>0.99950410000000001</v>
      </c>
      <c r="AB1797">
        <v>19</v>
      </c>
      <c r="AC1797">
        <v>-288.21719999999999</v>
      </c>
      <c r="AD1797">
        <v>13.272269</v>
      </c>
      <c r="AE1797">
        <v>11.5006</v>
      </c>
      <c r="AF1797">
        <v>-9.0250112112799101</v>
      </c>
      <c r="AG1797">
        <v>13.272269</v>
      </c>
      <c r="AH1797">
        <v>287.69563221969901</v>
      </c>
      <c r="AI1797">
        <v>87.359942144744196</v>
      </c>
      <c r="AJ1797">
        <v>91.796779214736503</v>
      </c>
      <c r="AK1797">
        <v>288.14298664042502</v>
      </c>
      <c r="AL1797">
        <v>86.934648315144003</v>
      </c>
      <c r="AM1797">
        <v>91.053123511187806</v>
      </c>
      <c r="AN1797">
        <v>0.99999998374755505</v>
      </c>
    </row>
    <row r="1798" spans="1:40" x14ac:dyDescent="0.25">
      <c r="A1798" t="str">
        <f>"20190312151020449"</f>
        <v>20190312151020449</v>
      </c>
      <c r="B1798" t="str">
        <f>"1552374620442502"</f>
        <v>1552374620442502</v>
      </c>
      <c r="C1798" t="s">
        <v>40</v>
      </c>
      <c r="D1798">
        <v>5.4564440000000003</v>
      </c>
      <c r="E1798">
        <v>0.49433909999999998</v>
      </c>
      <c r="F1798" t="s">
        <v>64</v>
      </c>
      <c r="G1798">
        <v>-539.98820000000001</v>
      </c>
      <c r="H1798">
        <v>16.10069</v>
      </c>
      <c r="I1798">
        <v>294.55</v>
      </c>
      <c r="J1798">
        <v>-222.93369999999999</v>
      </c>
      <c r="K1798">
        <v>1.111362</v>
      </c>
      <c r="L1798">
        <v>282.45420000000001</v>
      </c>
      <c r="M1798">
        <v>-0.9975581</v>
      </c>
      <c r="N1798">
        <v>0</v>
      </c>
      <c r="O1798">
        <v>6.8701699999999893E-2</v>
      </c>
      <c r="P1798">
        <v>-0.99778040000000001</v>
      </c>
      <c r="Q1798">
        <v>4.1972750000000003E-2</v>
      </c>
      <c r="R1798">
        <v>5.1694209999999997E-2</v>
      </c>
      <c r="S1798">
        <v>-2.9948730000000001</v>
      </c>
      <c r="T1798">
        <v>0.1415024</v>
      </c>
      <c r="U1798">
        <v>0.1142883</v>
      </c>
      <c r="V1798">
        <v>-1.714535E-2</v>
      </c>
      <c r="W1798">
        <v>5.4473439999999998E-2</v>
      </c>
      <c r="X1798">
        <v>0.99836800000000003</v>
      </c>
      <c r="Y1798">
        <v>-3.0503329999999999E-2</v>
      </c>
      <c r="Z1798">
        <v>3.9602700000000001E-3</v>
      </c>
      <c r="AA1798">
        <v>0.99952680000000005</v>
      </c>
      <c r="AB1798">
        <v>19</v>
      </c>
      <c r="AC1798">
        <v>-317.05450000000002</v>
      </c>
      <c r="AD1798">
        <v>14.989328</v>
      </c>
      <c r="AE1798">
        <v>12.095799999999899</v>
      </c>
      <c r="AF1798">
        <v>-9.6950492175793102</v>
      </c>
      <c r="AG1798">
        <v>14.989328</v>
      </c>
      <c r="AH1798">
        <v>316.43010342235601</v>
      </c>
      <c r="AI1798">
        <v>87.289190298245799</v>
      </c>
      <c r="AJ1798">
        <v>91.754926840809901</v>
      </c>
      <c r="AK1798">
        <v>316.93324894227402</v>
      </c>
      <c r="AL1798">
        <v>86.877356131625902</v>
      </c>
      <c r="AM1798">
        <v>90.983865304778107</v>
      </c>
      <c r="AN1798">
        <v>0.99999999105802795</v>
      </c>
    </row>
    <row r="1799" spans="1:40" x14ac:dyDescent="0.25">
      <c r="A1799" t="str">
        <f>"20190312151020471"</f>
        <v>20190312151020471</v>
      </c>
      <c r="B1799" t="str">
        <f>"1552374620462999"</f>
        <v>1552374620462999</v>
      </c>
      <c r="C1799" t="s">
        <v>40</v>
      </c>
      <c r="D1799">
        <v>5.7131080000000001</v>
      </c>
      <c r="E1799">
        <v>0.49427549999999998</v>
      </c>
      <c r="F1799" t="s">
        <v>64</v>
      </c>
      <c r="G1799">
        <v>-550.0625</v>
      </c>
      <c r="H1799">
        <v>16.978529999999999</v>
      </c>
      <c r="I1799">
        <v>294.5213</v>
      </c>
      <c r="J1799">
        <v>-223.1275</v>
      </c>
      <c r="K1799">
        <v>1.111307</v>
      </c>
      <c r="L1799">
        <v>282.46460000000002</v>
      </c>
      <c r="M1799">
        <v>-0.99772249999999996</v>
      </c>
      <c r="N1799">
        <v>0</v>
      </c>
      <c r="O1799">
        <v>6.6297190000000006E-2</v>
      </c>
      <c r="P1799">
        <v>-0.99780800000000003</v>
      </c>
      <c r="Q1799">
        <v>4.2752129999999999E-2</v>
      </c>
      <c r="R1799">
        <v>5.0511739999999999E-2</v>
      </c>
      <c r="S1799">
        <v>-2.9948429999999999</v>
      </c>
      <c r="T1799">
        <v>0.1452637</v>
      </c>
      <c r="U1799">
        <v>0.11047360000000001</v>
      </c>
      <c r="V1799">
        <v>-1.5914629999999999E-2</v>
      </c>
      <c r="W1799">
        <v>5.512239E-2</v>
      </c>
      <c r="X1799">
        <v>0.99835280000000004</v>
      </c>
      <c r="Y1799">
        <v>-2.9363299999999998E-2</v>
      </c>
      <c r="Z1799">
        <v>3.9217039999999998E-3</v>
      </c>
      <c r="AA1799">
        <v>0.99956109999999998</v>
      </c>
      <c r="AB1799">
        <v>19</v>
      </c>
      <c r="AC1799">
        <v>-326.935</v>
      </c>
      <c r="AD1799">
        <v>15.867222999999999</v>
      </c>
      <c r="AE1799">
        <v>12.0566999999999</v>
      </c>
      <c r="AF1799">
        <v>-9.6237384215919892</v>
      </c>
      <c r="AG1799">
        <v>15.867222999999999</v>
      </c>
      <c r="AH1799">
        <v>326.24756781031698</v>
      </c>
      <c r="AI1799">
        <v>87.216792245016407</v>
      </c>
      <c r="AJ1799">
        <v>91.689636335938701</v>
      </c>
      <c r="AK1799">
        <v>326.77493877145201</v>
      </c>
      <c r="AL1799">
        <v>86.840118216670106</v>
      </c>
      <c r="AM1799">
        <v>90.913268242172407</v>
      </c>
      <c r="AN1799">
        <v>1.00000003329759</v>
      </c>
    </row>
    <row r="1800" spans="1:40" x14ac:dyDescent="0.25">
      <c r="A1800" t="str">
        <f>"20190312151020495"</f>
        <v>20190312151020495</v>
      </c>
      <c r="B1800" t="str">
        <f>"1552374620482517"</f>
        <v>1552374620482517</v>
      </c>
      <c r="C1800" t="s">
        <v>40</v>
      </c>
      <c r="D1800">
        <v>4.9509530000000002</v>
      </c>
      <c r="E1800">
        <v>0.4942086</v>
      </c>
      <c r="F1800" t="s">
        <v>64</v>
      </c>
      <c r="G1800">
        <v>-550.06259999999997</v>
      </c>
      <c r="H1800">
        <v>17.399789999999999</v>
      </c>
      <c r="I1800">
        <v>294.0616</v>
      </c>
      <c r="J1800">
        <v>-223.32470000000001</v>
      </c>
      <c r="K1800">
        <v>1.1112379999999999</v>
      </c>
      <c r="L1800">
        <v>282.47489999999999</v>
      </c>
      <c r="M1800">
        <v>-0.99787910000000002</v>
      </c>
      <c r="N1800">
        <v>0</v>
      </c>
      <c r="O1800">
        <v>6.3928849999999995E-2</v>
      </c>
      <c r="P1800">
        <v>-0.99780150000000001</v>
      </c>
      <c r="Q1800">
        <v>4.4275509999999997E-2</v>
      </c>
      <c r="R1800">
        <v>4.9316569999999997E-2</v>
      </c>
      <c r="S1800">
        <v>-2.994812</v>
      </c>
      <c r="T1800">
        <v>0.14920749999999999</v>
      </c>
      <c r="U1800">
        <v>0.1062317</v>
      </c>
      <c r="V1800">
        <v>-1.4732399999999901E-2</v>
      </c>
      <c r="W1800">
        <v>5.6495440000000001E-2</v>
      </c>
      <c r="X1800">
        <v>0.99829420000000002</v>
      </c>
      <c r="Y1800">
        <v>-2.8402150000000001E-2</v>
      </c>
      <c r="Z1800">
        <v>3.8866629999999998E-3</v>
      </c>
      <c r="AA1800">
        <v>0.99958899999999995</v>
      </c>
      <c r="AB1800">
        <v>19</v>
      </c>
      <c r="AC1800">
        <v>-326.73790000000002</v>
      </c>
      <c r="AD1800">
        <v>16.288551999999999</v>
      </c>
      <c r="AE1800">
        <v>11.5867</v>
      </c>
      <c r="AF1800">
        <v>-9.3034616641387693</v>
      </c>
      <c r="AG1800">
        <v>16.288551999999999</v>
      </c>
      <c r="AH1800">
        <v>326.00105487114701</v>
      </c>
      <c r="AI1800">
        <v>87.140773174303902</v>
      </c>
      <c r="AJ1800">
        <v>91.634670935606906</v>
      </c>
      <c r="AK1800">
        <v>326.540287104507</v>
      </c>
      <c r="AL1800">
        <v>86.761325476786297</v>
      </c>
      <c r="AM1800">
        <v>90.845485300901899</v>
      </c>
      <c r="AN1800">
        <v>1.00000004405209</v>
      </c>
    </row>
    <row r="1801" spans="1:40" x14ac:dyDescent="0.25">
      <c r="A1801" t="str">
        <f>"20190312151020516"</f>
        <v>20190312151020516</v>
      </c>
      <c r="B1801" t="str">
        <f>"1552374620512773"</f>
        <v>1552374620512773</v>
      </c>
      <c r="C1801" t="s">
        <v>40</v>
      </c>
      <c r="D1801">
        <v>5.6263610000000002</v>
      </c>
      <c r="E1801">
        <v>0.4941719</v>
      </c>
      <c r="F1801" t="s">
        <v>64</v>
      </c>
      <c r="G1801">
        <v>-551.64179999999999</v>
      </c>
      <c r="H1801">
        <v>18.193480000000001</v>
      </c>
      <c r="I1801">
        <v>293.69319999999999</v>
      </c>
      <c r="J1801">
        <v>-223.51060000000001</v>
      </c>
      <c r="K1801">
        <v>1.1111719999999901</v>
      </c>
      <c r="L1801">
        <v>282.48419999999999</v>
      </c>
      <c r="M1801">
        <v>-0.99801680000000004</v>
      </c>
      <c r="N1801">
        <v>0</v>
      </c>
      <c r="O1801">
        <v>6.1770970000000001E-2</v>
      </c>
      <c r="P1801">
        <v>-0.99784680000000003</v>
      </c>
      <c r="Q1801">
        <v>4.5056850000000002E-2</v>
      </c>
      <c r="R1801">
        <v>4.766637E-2</v>
      </c>
      <c r="S1801">
        <v>-2.994659</v>
      </c>
      <c r="T1801">
        <v>0.1558119</v>
      </c>
      <c r="U1801">
        <v>0.1023254</v>
      </c>
      <c r="V1801">
        <v>-1.4217779999999999E-2</v>
      </c>
      <c r="W1801">
        <v>5.7132420000000003E-2</v>
      </c>
      <c r="X1801">
        <v>0.99826539999999997</v>
      </c>
      <c r="Y1801">
        <v>-2.7534800000000002E-2</v>
      </c>
      <c r="Z1801">
        <v>3.9243100000000003E-3</v>
      </c>
      <c r="AA1801">
        <v>0.99961319999999998</v>
      </c>
      <c r="AB1801">
        <v>19</v>
      </c>
      <c r="AC1801">
        <v>-328.13119999999998</v>
      </c>
      <c r="AD1801">
        <v>17.082307999999902</v>
      </c>
      <c r="AE1801">
        <v>11.209</v>
      </c>
      <c r="AF1801">
        <v>-9.0583578114479799</v>
      </c>
      <c r="AG1801">
        <v>17.082307999999902</v>
      </c>
      <c r="AH1801">
        <v>327.31089654774701</v>
      </c>
      <c r="AI1801">
        <v>87.013593493478993</v>
      </c>
      <c r="AJ1801">
        <v>91.585261090553999</v>
      </c>
      <c r="AK1801">
        <v>327.88150617523002</v>
      </c>
      <c r="AL1801">
        <v>86.724770133682199</v>
      </c>
      <c r="AM1801">
        <v>90.815979110746895</v>
      </c>
      <c r="AN1801">
        <v>1.00000003376017</v>
      </c>
    </row>
    <row r="1802" spans="1:40" x14ac:dyDescent="0.25">
      <c r="A1802" t="str">
        <f>"20190312151020540"</f>
        <v>20190312151020540</v>
      </c>
      <c r="B1802" t="str">
        <f>"1552374620532293"</f>
        <v>1552374620532293</v>
      </c>
      <c r="C1802" t="s">
        <v>40</v>
      </c>
      <c r="D1802">
        <v>5.6267180000000003</v>
      </c>
      <c r="E1802">
        <v>0.49417280000000002</v>
      </c>
      <c r="F1802" t="s">
        <v>44</v>
      </c>
      <c r="G1802">
        <v>0</v>
      </c>
      <c r="H1802">
        <v>0</v>
      </c>
      <c r="I1802">
        <v>0</v>
      </c>
      <c r="J1802">
        <v>-223.70779999999999</v>
      </c>
      <c r="K1802">
        <v>1.1110979999999999</v>
      </c>
      <c r="L1802">
        <v>282.49369999999999</v>
      </c>
      <c r="M1802">
        <v>-0.99815240000000005</v>
      </c>
      <c r="N1802">
        <v>0</v>
      </c>
      <c r="O1802">
        <v>5.9566689999999999E-2</v>
      </c>
      <c r="P1802">
        <v>-0.99791680000000005</v>
      </c>
      <c r="Q1802">
        <v>4.5517439999999999E-2</v>
      </c>
      <c r="R1802">
        <v>4.5722060000000002E-2</v>
      </c>
      <c r="S1802">
        <v>-2.994583</v>
      </c>
      <c r="T1802">
        <v>0.16065370000000001</v>
      </c>
      <c r="U1802">
        <v>9.7015379999999998E-2</v>
      </c>
      <c r="V1802">
        <v>-1.3950010000000001E-2</v>
      </c>
      <c r="W1802">
        <v>5.7447560000000002E-2</v>
      </c>
      <c r="X1802">
        <v>0.99825109999999995</v>
      </c>
      <c r="Y1802">
        <v>-2.7092910000000001E-2</v>
      </c>
      <c r="Z1802">
        <v>3.9165780000000004E-3</v>
      </c>
      <c r="AA1802">
        <v>0.99962530000000005</v>
      </c>
      <c r="AB1802">
        <v>19</v>
      </c>
      <c r="AC1802">
        <v>-2.994583</v>
      </c>
      <c r="AD1802">
        <v>0.16065370000000001</v>
      </c>
      <c r="AE1802">
        <v>9.7015379999999998E-2</v>
      </c>
      <c r="AF1802">
        <v>-8.1313333894462797E-2</v>
      </c>
      <c r="AG1802">
        <v>0.16065370000000001</v>
      </c>
      <c r="AH1802">
        <v>2.9864577700594199</v>
      </c>
      <c r="AI1802">
        <v>86.921933614987495</v>
      </c>
      <c r="AJ1802">
        <v>91.559626975959006</v>
      </c>
      <c r="AK1802">
        <v>2.9918809270993698</v>
      </c>
      <c r="AL1802">
        <v>86.706684264094605</v>
      </c>
      <c r="AM1802">
        <v>90.800624887142504</v>
      </c>
      <c r="AN1802">
        <v>1.0000000417900801</v>
      </c>
    </row>
    <row r="1803" spans="1:40" x14ac:dyDescent="0.25">
      <c r="A1803" t="str">
        <f>"20190312151020560"</f>
        <v>20190312151020560</v>
      </c>
      <c r="B1803" t="str">
        <f>"1552374620552789"</f>
        <v>1552374620552789</v>
      </c>
      <c r="C1803" t="s">
        <v>40</v>
      </c>
      <c r="D1803">
        <v>5.6181859999999997</v>
      </c>
      <c r="E1803">
        <v>0.49415769999999998</v>
      </c>
      <c r="F1803" t="s">
        <v>44</v>
      </c>
      <c r="G1803">
        <v>0</v>
      </c>
      <c r="H1803">
        <v>0</v>
      </c>
      <c r="I1803">
        <v>0</v>
      </c>
      <c r="J1803">
        <v>-223.89840000000001</v>
      </c>
      <c r="K1803">
        <v>1.11104</v>
      </c>
      <c r="L1803">
        <v>282.50259999999997</v>
      </c>
      <c r="M1803">
        <v>-0.99827339999999998</v>
      </c>
      <c r="N1803">
        <v>0</v>
      </c>
      <c r="O1803">
        <v>5.7533279999999999E-2</v>
      </c>
      <c r="P1803">
        <v>-0.99797210000000003</v>
      </c>
      <c r="Q1803">
        <v>4.658466E-2</v>
      </c>
      <c r="R1803">
        <v>4.3382179999999999E-2</v>
      </c>
      <c r="S1803">
        <v>-2.9946139999999999</v>
      </c>
      <c r="T1803">
        <v>0.16361579999999901</v>
      </c>
      <c r="U1803">
        <v>9.1400149999999999E-2</v>
      </c>
      <c r="V1803">
        <v>-1.4249589999999999E-2</v>
      </c>
      <c r="W1803">
        <v>5.8380120000000001E-2</v>
      </c>
      <c r="X1803">
        <v>0.99819270000000004</v>
      </c>
      <c r="Y1803">
        <v>-2.6928029999999999E-2</v>
      </c>
      <c r="Z1803">
        <v>3.8734970000000001E-3</v>
      </c>
      <c r="AA1803">
        <v>0.99962989999999996</v>
      </c>
      <c r="AB1803">
        <v>19</v>
      </c>
      <c r="AC1803">
        <v>-2.9946139999999999</v>
      </c>
      <c r="AD1803">
        <v>0.16361579999999901</v>
      </c>
      <c r="AE1803">
        <v>9.1400149999999999E-2</v>
      </c>
      <c r="AF1803">
        <v>-8.0812293126267504E-2</v>
      </c>
      <c r="AG1803">
        <v>0.16361579999999901</v>
      </c>
      <c r="AH1803">
        <v>2.9860064764921601</v>
      </c>
      <c r="AI1803">
        <v>86.864806305420004</v>
      </c>
      <c r="AJ1803">
        <v>91.550255637337699</v>
      </c>
      <c r="AK1803">
        <v>2.99157741574292</v>
      </c>
      <c r="AL1803">
        <v>86.653162466327501</v>
      </c>
      <c r="AM1803">
        <v>90.817864039270702</v>
      </c>
      <c r="AN1803">
        <v>0.99999997777983596</v>
      </c>
    </row>
    <row r="1804" spans="1:40" x14ac:dyDescent="0.25">
      <c r="A1804" t="str">
        <f>"20190312151020584"</f>
        <v>20190312151020584</v>
      </c>
      <c r="B1804" t="str">
        <f>"1552374620572309"</f>
        <v>1552374620572309</v>
      </c>
      <c r="C1804" t="s">
        <v>40</v>
      </c>
      <c r="D1804">
        <v>5.6324529999999999</v>
      </c>
      <c r="E1804">
        <v>0.49415120000000001</v>
      </c>
      <c r="F1804" t="s">
        <v>44</v>
      </c>
      <c r="G1804">
        <v>0</v>
      </c>
      <c r="H1804">
        <v>0</v>
      </c>
      <c r="I1804">
        <v>0</v>
      </c>
      <c r="J1804">
        <v>-224.09819999999999</v>
      </c>
      <c r="K1804">
        <v>1.1109910000000001</v>
      </c>
      <c r="L1804">
        <v>282.51170000000002</v>
      </c>
      <c r="M1804">
        <v>-0.99839100000000003</v>
      </c>
      <c r="N1804">
        <v>0</v>
      </c>
      <c r="O1804">
        <v>5.5482410000000003E-2</v>
      </c>
      <c r="P1804">
        <v>-0.99795029999999996</v>
      </c>
      <c r="Q1804">
        <v>4.843165E-2</v>
      </c>
      <c r="R1804">
        <v>4.183009E-2</v>
      </c>
      <c r="S1804">
        <v>-2.9945680000000001</v>
      </c>
      <c r="T1804">
        <v>0.16821849999999999</v>
      </c>
      <c r="U1804">
        <v>8.4228520000000001E-2</v>
      </c>
      <c r="V1804">
        <v>-1.374508E-2</v>
      </c>
      <c r="W1804">
        <v>6.0097999999999999E-2</v>
      </c>
      <c r="X1804">
        <v>0.99809780000000003</v>
      </c>
      <c r="Y1804">
        <v>-2.7261380000000002E-2</v>
      </c>
      <c r="Z1804">
        <v>3.8769799999999999E-3</v>
      </c>
      <c r="AA1804">
        <v>0.99962079999999998</v>
      </c>
      <c r="AB1804">
        <v>19</v>
      </c>
      <c r="AC1804">
        <v>-2.9945680000000001</v>
      </c>
      <c r="AD1804">
        <v>0.16821849999999999</v>
      </c>
      <c r="AE1804">
        <v>8.4228520000000001E-2</v>
      </c>
      <c r="AF1804">
        <v>-8.18005549667635E-2</v>
      </c>
      <c r="AG1804">
        <v>0.16821849999999999</v>
      </c>
      <c r="AH1804">
        <v>2.9852156109668702</v>
      </c>
      <c r="AI1804">
        <v>86.775970632553296</v>
      </c>
      <c r="AJ1804">
        <v>91.569619968647402</v>
      </c>
      <c r="AK1804">
        <v>2.9910702162429099</v>
      </c>
      <c r="AL1804">
        <v>86.554561948864304</v>
      </c>
      <c r="AM1804">
        <v>90.788986103273103</v>
      </c>
      <c r="AN1804">
        <v>0.99999995759652205</v>
      </c>
    </row>
    <row r="1805" spans="1:40" x14ac:dyDescent="0.25">
      <c r="A1805" t="str">
        <f>"20190312151020617"</f>
        <v>20190312151020617</v>
      </c>
      <c r="B1805" t="str">
        <f>"1552374620612325"</f>
        <v>1552374620612325</v>
      </c>
      <c r="C1805" t="s">
        <v>40</v>
      </c>
      <c r="D1805">
        <v>5.5849909999999996</v>
      </c>
      <c r="E1805">
        <v>0.49420029999999998</v>
      </c>
      <c r="F1805" t="s">
        <v>44</v>
      </c>
      <c r="G1805">
        <v>0</v>
      </c>
      <c r="H1805">
        <v>0</v>
      </c>
      <c r="I1805">
        <v>0</v>
      </c>
      <c r="J1805">
        <v>-224.39019999999999</v>
      </c>
      <c r="K1805">
        <v>1.110935</v>
      </c>
      <c r="L1805">
        <v>282.52440000000001</v>
      </c>
      <c r="M1805">
        <v>-0.99854739999999997</v>
      </c>
      <c r="N1805">
        <v>0</v>
      </c>
      <c r="O1805">
        <v>5.2630799999999998E-2</v>
      </c>
      <c r="P1805">
        <v>-0.99793169999999998</v>
      </c>
      <c r="Q1805">
        <v>4.9079909999999997E-2</v>
      </c>
      <c r="R1805">
        <v>4.1514379999999997E-2</v>
      </c>
      <c r="S1805">
        <v>-2.9943390000000001</v>
      </c>
      <c r="T1805">
        <v>0.17512710000000001</v>
      </c>
      <c r="U1805">
        <v>7.9559329999999998E-2</v>
      </c>
      <c r="V1805">
        <v>-1.1200389999999999E-2</v>
      </c>
      <c r="W1805">
        <v>6.058301E-2</v>
      </c>
      <c r="X1805">
        <v>0.99810030000000005</v>
      </c>
      <c r="Y1805">
        <v>-2.5957910000000001E-2</v>
      </c>
      <c r="Z1805">
        <v>3.8319080000000002E-3</v>
      </c>
      <c r="AA1805">
        <v>0.99965570000000004</v>
      </c>
      <c r="AB1805">
        <v>20</v>
      </c>
      <c r="AC1805">
        <v>-2.9943390000000001</v>
      </c>
      <c r="AD1805">
        <v>0.17512710000000001</v>
      </c>
      <c r="AE1805">
        <v>7.9559329999999998E-2</v>
      </c>
      <c r="AF1805">
        <v>-7.7889653020011704E-2</v>
      </c>
      <c r="AG1805">
        <v>0.17512710000000001</v>
      </c>
      <c r="AH1805">
        <v>2.9841754322307499</v>
      </c>
      <c r="AI1805">
        <v>86.642575371395296</v>
      </c>
      <c r="AJ1805">
        <v>91.495131729110895</v>
      </c>
      <c r="AK1805">
        <v>2.99032428166772</v>
      </c>
      <c r="AL1805">
        <v>86.526722268861107</v>
      </c>
      <c r="AM1805">
        <v>90.642929513933794</v>
      </c>
      <c r="AN1805">
        <v>0.99999997934845097</v>
      </c>
    </row>
    <row r="1806" spans="1:40" x14ac:dyDescent="0.25">
      <c r="A1806" t="str">
        <f>"20190312151020639"</f>
        <v>20190312151020639</v>
      </c>
      <c r="B1806" t="str">
        <f>"1552374620632821"</f>
        <v>1552374620632821</v>
      </c>
      <c r="C1806" t="s">
        <v>40</v>
      </c>
      <c r="D1806">
        <v>5.6385239999999897</v>
      </c>
      <c r="E1806">
        <v>0.49421850000000001</v>
      </c>
      <c r="F1806" t="s">
        <v>44</v>
      </c>
      <c r="G1806">
        <v>0</v>
      </c>
      <c r="H1806">
        <v>0</v>
      </c>
      <c r="I1806">
        <v>0</v>
      </c>
      <c r="J1806">
        <v>-224.57470000000001</v>
      </c>
      <c r="K1806">
        <v>1.110903</v>
      </c>
      <c r="L1806">
        <v>282.53199999999998</v>
      </c>
      <c r="M1806">
        <v>-0.99863630000000003</v>
      </c>
      <c r="N1806">
        <v>0</v>
      </c>
      <c r="O1806">
        <v>5.0937860000000001E-2</v>
      </c>
      <c r="P1806">
        <v>-0.99784530000000005</v>
      </c>
      <c r="Q1806">
        <v>5.0923620000000003E-2</v>
      </c>
      <c r="R1806">
        <v>4.1375259999999997E-2</v>
      </c>
      <c r="S1806">
        <v>-2.9941249999999999</v>
      </c>
      <c r="T1806">
        <v>0.17905570000000001</v>
      </c>
      <c r="U1806">
        <v>7.9101560000000001E-2</v>
      </c>
      <c r="V1806">
        <v>-9.6392300000000004E-3</v>
      </c>
      <c r="W1806">
        <v>6.233731E-2</v>
      </c>
      <c r="X1806">
        <v>0.99800860000000002</v>
      </c>
      <c r="Y1806">
        <v>-2.4413580000000001E-2</v>
      </c>
      <c r="Z1806">
        <v>3.77087E-3</v>
      </c>
      <c r="AA1806">
        <v>0.99969479999999999</v>
      </c>
      <c r="AB1806">
        <v>20</v>
      </c>
      <c r="AC1806">
        <v>-2.9941249999999999</v>
      </c>
      <c r="AD1806">
        <v>0.17905570000000001</v>
      </c>
      <c r="AE1806">
        <v>7.9101560000000001E-2</v>
      </c>
      <c r="AF1806">
        <v>-7.3263610924317296E-2</v>
      </c>
      <c r="AG1806">
        <v>0.17905570000000001</v>
      </c>
      <c r="AH1806">
        <v>2.9836042362183601</v>
      </c>
      <c r="AI1806">
        <v>86.566647323555699</v>
      </c>
      <c r="AJ1806">
        <v>91.406638407350698</v>
      </c>
      <c r="AK1806">
        <v>2.9898700203802</v>
      </c>
      <c r="AL1806">
        <v>86.426018000682603</v>
      </c>
      <c r="AM1806">
        <v>90.553372009195598</v>
      </c>
      <c r="AN1806">
        <v>1.0000000103234901</v>
      </c>
    </row>
    <row r="1807" spans="1:40" x14ac:dyDescent="0.25">
      <c r="A1807" t="str">
        <f>"20190312151020662"</f>
        <v>20190312151020662</v>
      </c>
      <c r="B1807" t="str">
        <f>"1552374620652341"</f>
        <v>1552374620652341</v>
      </c>
      <c r="C1807" t="s">
        <v>40</v>
      </c>
      <c r="D1807">
        <v>5.6382719999999997</v>
      </c>
      <c r="E1807">
        <v>0.49426930000000002</v>
      </c>
      <c r="F1807" t="s">
        <v>44</v>
      </c>
      <c r="G1807">
        <v>0</v>
      </c>
      <c r="H1807">
        <v>0</v>
      </c>
      <c r="I1807">
        <v>0</v>
      </c>
      <c r="J1807">
        <v>-224.77269999999999</v>
      </c>
      <c r="K1807">
        <v>1.1108480000000001</v>
      </c>
      <c r="L1807">
        <v>282.54000000000002</v>
      </c>
      <c r="M1807">
        <v>-0.99872249999999996</v>
      </c>
      <c r="N1807">
        <v>0</v>
      </c>
      <c r="O1807">
        <v>4.9237660000000003E-2</v>
      </c>
      <c r="P1807">
        <v>-0.99779980000000001</v>
      </c>
      <c r="Q1807">
        <v>5.1898319999999998E-2</v>
      </c>
      <c r="R1807">
        <v>4.1257210000000002E-2</v>
      </c>
      <c r="S1807">
        <v>-2.9937589999999998</v>
      </c>
      <c r="T1807">
        <v>0.1854336</v>
      </c>
      <c r="U1807">
        <v>7.8796389999999994E-2</v>
      </c>
      <c r="V1807">
        <v>-8.047874E-3</v>
      </c>
      <c r="W1807">
        <v>6.3227710000000006E-2</v>
      </c>
      <c r="X1807">
        <v>0.99796669999999998</v>
      </c>
      <c r="Y1807">
        <v>-2.2806730000000001E-2</v>
      </c>
      <c r="Z1807">
        <v>3.750644E-3</v>
      </c>
      <c r="AA1807">
        <v>0.99973290000000004</v>
      </c>
      <c r="AB1807">
        <v>20</v>
      </c>
      <c r="AC1807">
        <v>-2.9937589999999998</v>
      </c>
      <c r="AD1807">
        <v>0.1854336</v>
      </c>
      <c r="AE1807">
        <v>7.8796389999999994E-2</v>
      </c>
      <c r="AF1807">
        <v>-6.84519541446406E-2</v>
      </c>
      <c r="AG1807">
        <v>0.1854336</v>
      </c>
      <c r="AH1807">
        <v>2.9825724456623202</v>
      </c>
      <c r="AI1807">
        <v>86.443298920457806</v>
      </c>
      <c r="AJ1807">
        <v>91.314744149618306</v>
      </c>
      <c r="AK1807">
        <v>2.9891152008009501</v>
      </c>
      <c r="AL1807">
        <v>86.374901041272096</v>
      </c>
      <c r="AM1807">
        <v>90.462038682205502</v>
      </c>
      <c r="AN1807">
        <v>1.0000000229483199</v>
      </c>
    </row>
    <row r="1808" spans="1:40" x14ac:dyDescent="0.25">
      <c r="A1808" t="str">
        <f>"20190312151020685"</f>
        <v>20190312151020685</v>
      </c>
      <c r="B1808" t="str">
        <f>"1552374620672837"</f>
        <v>1552374620672837</v>
      </c>
      <c r="C1808" t="s">
        <v>40</v>
      </c>
      <c r="D1808">
        <v>5.6526930000000002</v>
      </c>
      <c r="E1808">
        <v>0.49431370000000002</v>
      </c>
      <c r="F1808" t="s">
        <v>44</v>
      </c>
      <c r="G1808">
        <v>0</v>
      </c>
      <c r="H1808">
        <v>0</v>
      </c>
      <c r="I1808">
        <v>0</v>
      </c>
      <c r="J1808">
        <v>-224.97790000000001</v>
      </c>
      <c r="K1808">
        <v>1.1107910000000001</v>
      </c>
      <c r="L1808">
        <v>282.54809999999998</v>
      </c>
      <c r="M1808">
        <v>-0.99880360000000001</v>
      </c>
      <c r="N1808">
        <v>0</v>
      </c>
      <c r="O1808">
        <v>4.7580949999999997E-2</v>
      </c>
      <c r="P1808">
        <v>-0.99778389999999995</v>
      </c>
      <c r="Q1808">
        <v>5.2360690000000001E-2</v>
      </c>
      <c r="R1808">
        <v>4.1058089999999998E-2</v>
      </c>
      <c r="S1808">
        <v>-2.9935149999999999</v>
      </c>
      <c r="T1808">
        <v>0.18903980000000001</v>
      </c>
      <c r="U1808">
        <v>7.9010010000000006E-2</v>
      </c>
      <c r="V1808">
        <v>-6.580603E-3</v>
      </c>
      <c r="W1808">
        <v>6.3613180000000005E-2</v>
      </c>
      <c r="X1808">
        <v>0.99795290000000003</v>
      </c>
      <c r="Y1808">
        <v>-2.1076190000000002E-2</v>
      </c>
      <c r="Z1808">
        <v>3.6647870000000001E-3</v>
      </c>
      <c r="AA1808">
        <v>0.99977119999999997</v>
      </c>
      <c r="AB1808">
        <v>20</v>
      </c>
      <c r="AC1808">
        <v>-2.9935149999999999</v>
      </c>
      <c r="AD1808">
        <v>0.18903980000000001</v>
      </c>
      <c r="AE1808">
        <v>7.9010010000000006E-2</v>
      </c>
      <c r="AF1808">
        <v>-6.3270711094015594E-2</v>
      </c>
      <c r="AG1808">
        <v>0.18903980000000001</v>
      </c>
      <c r="AH1808">
        <v>2.9820000570537002</v>
      </c>
      <c r="AI1808">
        <v>86.373480663163207</v>
      </c>
      <c r="AJ1808">
        <v>91.215493224638394</v>
      </c>
      <c r="AK1808">
        <v>2.9886558130930099</v>
      </c>
      <c r="AL1808">
        <v>86.352770478165297</v>
      </c>
      <c r="AM1808">
        <v>90.377808726085405</v>
      </c>
      <c r="AN1808">
        <v>0.99999996581198203</v>
      </c>
    </row>
    <row r="1809" spans="1:40" x14ac:dyDescent="0.25">
      <c r="A1809" t="str">
        <f>"20190312151020706"</f>
        <v>20190312151020706</v>
      </c>
      <c r="B1809" t="str">
        <f>"1552374620702117"</f>
        <v>1552374620702117</v>
      </c>
      <c r="C1809" t="s">
        <v>40</v>
      </c>
      <c r="D1809">
        <v>5.5342779999999996</v>
      </c>
      <c r="E1809">
        <v>0.49435790000000002</v>
      </c>
      <c r="F1809" t="s">
        <v>44</v>
      </c>
      <c r="G1809">
        <v>0</v>
      </c>
      <c r="H1809">
        <v>0</v>
      </c>
      <c r="I1809">
        <v>0</v>
      </c>
      <c r="J1809">
        <v>-225.16800000000001</v>
      </c>
      <c r="K1809">
        <v>1.1107279999999999</v>
      </c>
      <c r="L1809">
        <v>282.55540000000002</v>
      </c>
      <c r="M1809">
        <v>-0.99887170000000003</v>
      </c>
      <c r="N1809">
        <v>0</v>
      </c>
      <c r="O1809">
        <v>4.6143589999999998E-2</v>
      </c>
      <c r="P1809">
        <v>-0.99783370000000005</v>
      </c>
      <c r="Q1809">
        <v>5.1516239999999998E-2</v>
      </c>
      <c r="R1809">
        <v>4.0911280000000001E-2</v>
      </c>
      <c r="S1809">
        <v>-2.9933930000000002</v>
      </c>
      <c r="T1809">
        <v>0.19087870000000001</v>
      </c>
      <c r="U1809">
        <v>7.8674320000000006E-2</v>
      </c>
      <c r="V1809">
        <v>-5.281801E-3</v>
      </c>
      <c r="W1809">
        <v>6.2706609999999996E-2</v>
      </c>
      <c r="X1809">
        <v>0.99801799999999996</v>
      </c>
      <c r="Y1809">
        <v>-1.9751310000000001E-2</v>
      </c>
      <c r="Z1809">
        <v>3.5668800000000001E-3</v>
      </c>
      <c r="AA1809">
        <v>0.99979850000000003</v>
      </c>
      <c r="AB1809">
        <v>20</v>
      </c>
      <c r="AC1809">
        <v>-2.9933930000000002</v>
      </c>
      <c r="AD1809">
        <v>0.19087870000000001</v>
      </c>
      <c r="AE1809">
        <v>7.8674320000000006E-2</v>
      </c>
      <c r="AF1809">
        <v>-5.9303130569067601E-2</v>
      </c>
      <c r="AG1809">
        <v>0.19087870000000001</v>
      </c>
      <c r="AH1809">
        <v>2.9817187716765501</v>
      </c>
      <c r="AI1809">
        <v>86.337854737239596</v>
      </c>
      <c r="AJ1809">
        <v>91.139400270914194</v>
      </c>
      <c r="AK1809">
        <v>2.9884106767272298</v>
      </c>
      <c r="AL1809">
        <v>86.404817055168294</v>
      </c>
      <c r="AM1809">
        <v>90.3032230683568</v>
      </c>
      <c r="AN1809">
        <v>0.99999997234174698</v>
      </c>
    </row>
    <row r="1810" spans="1:40" x14ac:dyDescent="0.25">
      <c r="A1810" t="str">
        <f>"20190312151020729"</f>
        <v>20190312151020729</v>
      </c>
      <c r="B1810" t="str">
        <f>"1552374620722613"</f>
        <v>1552374620722613</v>
      </c>
      <c r="C1810" t="s">
        <v>40</v>
      </c>
      <c r="D1810">
        <v>5.6417299999999999</v>
      </c>
      <c r="E1810">
        <v>0.49440820000000002</v>
      </c>
      <c r="F1810" t="s">
        <v>44</v>
      </c>
      <c r="G1810">
        <v>0</v>
      </c>
      <c r="H1810">
        <v>0</v>
      </c>
      <c r="I1810">
        <v>0</v>
      </c>
      <c r="J1810">
        <v>-225.36359999999999</v>
      </c>
      <c r="K1810">
        <v>1.1106579999999999</v>
      </c>
      <c r="L1810">
        <v>282.56279999999998</v>
      </c>
      <c r="M1810">
        <v>-0.99893460000000001</v>
      </c>
      <c r="N1810">
        <v>0</v>
      </c>
      <c r="O1810">
        <v>4.4780059999999997E-2</v>
      </c>
      <c r="P1810">
        <v>-0.99786109999999995</v>
      </c>
      <c r="Q1810">
        <v>5.1361919999999998E-2</v>
      </c>
      <c r="R1810">
        <v>4.0438010000000003E-2</v>
      </c>
      <c r="S1810">
        <v>-2.9935149999999999</v>
      </c>
      <c r="T1810">
        <v>0.18909219999999999</v>
      </c>
      <c r="U1810">
        <v>7.8521729999999998E-2</v>
      </c>
      <c r="V1810">
        <v>-4.3824210000000001E-3</v>
      </c>
      <c r="W1810">
        <v>6.249627E-2</v>
      </c>
      <c r="X1810">
        <v>0.99803560000000002</v>
      </c>
      <c r="Y1810">
        <v>-1.844631E-2</v>
      </c>
      <c r="Z1810">
        <v>3.4063069999999999E-3</v>
      </c>
      <c r="AA1810">
        <v>0.99982400000000005</v>
      </c>
      <c r="AB1810">
        <v>20</v>
      </c>
      <c r="AC1810">
        <v>-2.9935149999999999</v>
      </c>
      <c r="AD1810">
        <v>0.18909219999999999</v>
      </c>
      <c r="AE1810">
        <v>7.8521729999999998E-2</v>
      </c>
      <c r="AF1810">
        <v>-5.5394290965049997E-2</v>
      </c>
      <c r="AG1810">
        <v>0.18909219999999999</v>
      </c>
      <c r="AH1810">
        <v>2.9821373076411599</v>
      </c>
      <c r="AI1810">
        <v>86.372454508988994</v>
      </c>
      <c r="AJ1810">
        <v>91.064167672049706</v>
      </c>
      <c r="AK1810">
        <v>2.9886397088303598</v>
      </c>
      <c r="AL1810">
        <v>86.416892519942607</v>
      </c>
      <c r="AM1810">
        <v>90.251586830731398</v>
      </c>
      <c r="AN1810">
        <v>1.00000002412254</v>
      </c>
    </row>
    <row r="1811" spans="1:40" x14ac:dyDescent="0.25">
      <c r="A1811" t="str">
        <f>"20190312151020750"</f>
        <v>20190312151020750</v>
      </c>
      <c r="B1811" t="str">
        <f>"1552374620742134"</f>
        <v>1552374620742134</v>
      </c>
      <c r="C1811" t="s">
        <v>40</v>
      </c>
      <c r="D1811">
        <v>5.6489440000000002</v>
      </c>
      <c r="E1811">
        <v>0.49446269999999998</v>
      </c>
      <c r="F1811" t="s">
        <v>44</v>
      </c>
      <c r="G1811">
        <v>0</v>
      </c>
      <c r="H1811">
        <v>0</v>
      </c>
      <c r="I1811">
        <v>0</v>
      </c>
      <c r="J1811">
        <v>-225.5549</v>
      </c>
      <c r="K1811">
        <v>1.110595</v>
      </c>
      <c r="L1811">
        <v>282.56990000000002</v>
      </c>
      <c r="M1811">
        <v>-0.99898880000000001</v>
      </c>
      <c r="N1811">
        <v>0</v>
      </c>
      <c r="O1811">
        <v>4.3569829999999997E-2</v>
      </c>
      <c r="P1811">
        <v>-0.99791180000000002</v>
      </c>
      <c r="Q1811">
        <v>5.0853259999999997E-2</v>
      </c>
      <c r="R1811">
        <v>3.9830560000000001E-2</v>
      </c>
      <c r="S1811">
        <v>-2.9935459999999998</v>
      </c>
      <c r="T1811">
        <v>0.18925500000000001</v>
      </c>
      <c r="U1811">
        <v>7.7575679999999994E-2</v>
      </c>
      <c r="V1811">
        <v>-3.7705429999999999E-3</v>
      </c>
      <c r="W1811">
        <v>6.1938489999999999E-2</v>
      </c>
      <c r="X1811">
        <v>0.99807290000000004</v>
      </c>
      <c r="Y1811">
        <v>-1.7554989999999999E-2</v>
      </c>
      <c r="Z1811">
        <v>3.3047250000000001E-3</v>
      </c>
      <c r="AA1811">
        <v>0.99984039999999996</v>
      </c>
      <c r="AB1811">
        <v>20</v>
      </c>
      <c r="AC1811">
        <v>-2.9935459999999998</v>
      </c>
      <c r="AD1811">
        <v>0.18925500000000001</v>
      </c>
      <c r="AE1811">
        <v>7.7575679999999994E-2</v>
      </c>
      <c r="AF1811">
        <v>-5.2723721846341998E-2</v>
      </c>
      <c r="AG1811">
        <v>0.18925500000000001</v>
      </c>
      <c r="AH1811">
        <v>2.9821716672127101</v>
      </c>
      <c r="AI1811">
        <v>86.369322647855199</v>
      </c>
      <c r="AJ1811">
        <v>91.012863240753504</v>
      </c>
      <c r="AK1811">
        <v>2.98863599299021</v>
      </c>
      <c r="AL1811">
        <v>86.448913100151998</v>
      </c>
      <c r="AM1811">
        <v>90.216452297852001</v>
      </c>
      <c r="AN1811">
        <v>1.0000000536261999</v>
      </c>
    </row>
    <row r="1812" spans="1:40" x14ac:dyDescent="0.25">
      <c r="A1812" t="str">
        <f>"20190312151020771"</f>
        <v>20190312151020771</v>
      </c>
      <c r="B1812" t="str">
        <f>"1552374620762629"</f>
        <v>1552374620762629</v>
      </c>
      <c r="C1812" t="s">
        <v>40</v>
      </c>
      <c r="D1812">
        <v>5.6507300000000003</v>
      </c>
      <c r="E1812">
        <v>0.4945312</v>
      </c>
      <c r="F1812" t="s">
        <v>44</v>
      </c>
      <c r="G1812">
        <v>0</v>
      </c>
      <c r="H1812">
        <v>0</v>
      </c>
      <c r="I1812">
        <v>0</v>
      </c>
      <c r="J1812">
        <v>-225.7379</v>
      </c>
      <c r="K1812">
        <v>1.1105149999999999</v>
      </c>
      <c r="L1812">
        <v>282.57650000000001</v>
      </c>
      <c r="M1812">
        <v>-0.99903390000000003</v>
      </c>
      <c r="N1812">
        <v>0</v>
      </c>
      <c r="O1812">
        <v>4.2530159999999997E-2</v>
      </c>
      <c r="P1812">
        <v>-0.99796549999999995</v>
      </c>
      <c r="Q1812">
        <v>5.0707839999999997E-2</v>
      </c>
      <c r="R1812">
        <v>3.8648189999999999E-2</v>
      </c>
      <c r="S1812">
        <v>-2.9936829999999999</v>
      </c>
      <c r="T1812">
        <v>0.1880145</v>
      </c>
      <c r="U1812">
        <v>7.6080320000000007E-2</v>
      </c>
      <c r="V1812">
        <v>-3.9052729999999999E-3</v>
      </c>
      <c r="W1812">
        <v>6.1751460000000001E-2</v>
      </c>
      <c r="X1812">
        <v>0.99808390000000002</v>
      </c>
      <c r="Y1812">
        <v>-1.701942E-2</v>
      </c>
      <c r="Z1812">
        <v>3.2010239999999998E-3</v>
      </c>
      <c r="AA1812">
        <v>0.99985000000000002</v>
      </c>
      <c r="AB1812">
        <v>20</v>
      </c>
      <c r="AC1812">
        <v>-2.9936829999999999</v>
      </c>
      <c r="AD1812">
        <v>0.1880145</v>
      </c>
      <c r="AE1812">
        <v>7.6080320000000007E-2</v>
      </c>
      <c r="AF1812">
        <v>-5.1116650485916099E-2</v>
      </c>
      <c r="AG1812">
        <v>0.1880145</v>
      </c>
      <c r="AH1812">
        <v>2.9824537103947999</v>
      </c>
      <c r="AI1812">
        <v>86.393363790643406</v>
      </c>
      <c r="AJ1812">
        <v>90.981903457923593</v>
      </c>
      <c r="AK1812">
        <v>2.9888112183299298</v>
      </c>
      <c r="AL1812">
        <v>86.459649430138995</v>
      </c>
      <c r="AM1812">
        <v>90.224184077985996</v>
      </c>
      <c r="AN1812">
        <v>0.99999998270427204</v>
      </c>
    </row>
    <row r="1813" spans="1:40" x14ac:dyDescent="0.25">
      <c r="A1813" t="str">
        <f>"20190312151020794"</f>
        <v>20190312151020794</v>
      </c>
      <c r="B1813" t="str">
        <f>"1552374620782149"</f>
        <v>1552374620782149</v>
      </c>
      <c r="C1813" t="s">
        <v>40</v>
      </c>
      <c r="D1813">
        <v>5.5145629999999999</v>
      </c>
      <c r="E1813">
        <v>0.49455830000000001</v>
      </c>
      <c r="F1813" t="s">
        <v>44</v>
      </c>
      <c r="G1813">
        <v>0</v>
      </c>
      <c r="H1813">
        <v>0</v>
      </c>
      <c r="I1813">
        <v>0</v>
      </c>
      <c r="J1813">
        <v>-225.94239999999999</v>
      </c>
      <c r="K1813">
        <v>1.11043799999999</v>
      </c>
      <c r="L1813">
        <v>282.584</v>
      </c>
      <c r="M1813">
        <v>-0.99907800000000002</v>
      </c>
      <c r="N1813">
        <v>0</v>
      </c>
      <c r="O1813">
        <v>4.149361E-2</v>
      </c>
      <c r="P1813">
        <v>-0.99801019999999896</v>
      </c>
      <c r="Q1813">
        <v>5.0320919999999998E-2</v>
      </c>
      <c r="R1813">
        <v>3.7994229999999997E-2</v>
      </c>
      <c r="S1813">
        <v>-2.993744</v>
      </c>
      <c r="T1813">
        <v>0.18793380000000001</v>
      </c>
      <c r="U1813">
        <v>7.3211670000000006E-2</v>
      </c>
      <c r="V1813">
        <v>-3.5132050000000001E-3</v>
      </c>
      <c r="W1813">
        <v>6.1324070000000001E-2</v>
      </c>
      <c r="X1813">
        <v>0.99811170000000005</v>
      </c>
      <c r="Y1813">
        <v>-1.6942309999999999E-2</v>
      </c>
      <c r="Z1813">
        <v>3.132279E-3</v>
      </c>
      <c r="AA1813">
        <v>0.99985159999999995</v>
      </c>
      <c r="AB1813">
        <v>20</v>
      </c>
      <c r="AC1813">
        <v>-2.993744</v>
      </c>
      <c r="AD1813">
        <v>0.18793380000000001</v>
      </c>
      <c r="AE1813">
        <v>7.3211670000000006E-2</v>
      </c>
      <c r="AF1813">
        <v>-5.0879793131054799E-2</v>
      </c>
      <c r="AG1813">
        <v>0.18793380000000001</v>
      </c>
      <c r="AH1813">
        <v>2.9824572468319901</v>
      </c>
      <c r="AI1813">
        <v>86.394907136445198</v>
      </c>
      <c r="AJ1813">
        <v>90.977353373689496</v>
      </c>
      <c r="AK1813">
        <v>2.98880563029986</v>
      </c>
      <c r="AL1813">
        <v>86.484183544761606</v>
      </c>
      <c r="AM1813">
        <v>90.201671804647205</v>
      </c>
      <c r="AN1813">
        <v>0.99999997492381298</v>
      </c>
    </row>
    <row r="1814" spans="1:40" x14ac:dyDescent="0.25">
      <c r="A1814" t="str">
        <f>"20190312151020816"</f>
        <v>20190312151020816</v>
      </c>
      <c r="B1814" t="str">
        <f>"1552374620812406"</f>
        <v>1552374620812406</v>
      </c>
      <c r="C1814" t="s">
        <v>40</v>
      </c>
      <c r="D1814">
        <v>5.6586600000000002</v>
      </c>
      <c r="E1814">
        <v>0.49462869999999998</v>
      </c>
      <c r="F1814" t="s">
        <v>44</v>
      </c>
      <c r="G1814">
        <v>0</v>
      </c>
      <c r="H1814">
        <v>0</v>
      </c>
      <c r="I1814">
        <v>0</v>
      </c>
      <c r="J1814">
        <v>-226.13229999999999</v>
      </c>
      <c r="K1814">
        <v>1.110376</v>
      </c>
      <c r="L1814">
        <v>282.5908</v>
      </c>
      <c r="M1814">
        <v>-0.99911340000000004</v>
      </c>
      <c r="N1814">
        <v>0</v>
      </c>
      <c r="O1814">
        <v>4.0643779999999997E-2</v>
      </c>
      <c r="P1814">
        <v>-0.99805829999999995</v>
      </c>
      <c r="Q1814">
        <v>4.9970359999999998E-2</v>
      </c>
      <c r="R1814">
        <v>3.7187190000000002E-2</v>
      </c>
      <c r="S1814">
        <v>-2.9938509999999998</v>
      </c>
      <c r="T1814">
        <v>0.18700030000000001</v>
      </c>
      <c r="U1814">
        <v>7.1380620000000006E-2</v>
      </c>
      <c r="V1814">
        <v>-3.461885E-3</v>
      </c>
      <c r="W1814">
        <v>6.0940460000000002E-2</v>
      </c>
      <c r="X1814">
        <v>0.99813540000000001</v>
      </c>
      <c r="Y1814">
        <v>-1.6707090000000001E-2</v>
      </c>
      <c r="Z1814">
        <v>3.0563529999999999E-3</v>
      </c>
      <c r="AA1814">
        <v>0.99985579999999996</v>
      </c>
      <c r="AB1814">
        <v>20</v>
      </c>
      <c r="AC1814">
        <v>-2.9938509999999998</v>
      </c>
      <c r="AD1814">
        <v>0.18700030000000001</v>
      </c>
      <c r="AE1814">
        <v>7.1380620000000006E-2</v>
      </c>
      <c r="AF1814">
        <v>-5.01714925426043E-2</v>
      </c>
      <c r="AG1814">
        <v>0.18700030000000001</v>
      </c>
      <c r="AH1814">
        <v>2.9826482427860901</v>
      </c>
      <c r="AI1814">
        <v>86.412982043266695</v>
      </c>
      <c r="AJ1814">
        <v>90.963688461515403</v>
      </c>
      <c r="AK1814">
        <v>2.9889256984841599</v>
      </c>
      <c r="AL1814">
        <v>86.506204054343399</v>
      </c>
      <c r="AM1814">
        <v>90.198721139748699</v>
      </c>
      <c r="AN1814">
        <v>1.0000000005229599</v>
      </c>
    </row>
    <row r="1815" spans="1:40" x14ac:dyDescent="0.25">
      <c r="A1815" t="str">
        <f>"20190312151020837"</f>
        <v>20190312151020837</v>
      </c>
      <c r="B1815" t="str">
        <f>"1552374620832901"</f>
        <v>1552374620832901</v>
      </c>
      <c r="C1815" t="s">
        <v>40</v>
      </c>
      <c r="D1815">
        <v>5.6483239999999997</v>
      </c>
      <c r="E1815">
        <v>0.49469299999999999</v>
      </c>
      <c r="F1815" t="s">
        <v>44</v>
      </c>
      <c r="G1815">
        <v>0</v>
      </c>
      <c r="H1815">
        <v>0</v>
      </c>
      <c r="I1815">
        <v>0</v>
      </c>
      <c r="J1815">
        <v>-226.3218</v>
      </c>
      <c r="K1815">
        <v>1.11032999999999</v>
      </c>
      <c r="L1815">
        <v>282.59750000000003</v>
      </c>
      <c r="M1815">
        <v>-0.99914380000000003</v>
      </c>
      <c r="N1815">
        <v>0</v>
      </c>
      <c r="O1815">
        <v>3.9894470000000001E-2</v>
      </c>
      <c r="P1815">
        <v>-0.99801550000000006</v>
      </c>
      <c r="Q1815">
        <v>5.0783130000000003E-2</v>
      </c>
      <c r="R1815">
        <v>3.7233370000000002E-2</v>
      </c>
      <c r="S1815">
        <v>-2.9939269999999998</v>
      </c>
      <c r="T1815">
        <v>0.18636359999999999</v>
      </c>
      <c r="U1815">
        <v>6.9824220000000006E-2</v>
      </c>
      <c r="V1815">
        <v>-2.6574039999999999E-3</v>
      </c>
      <c r="W1815">
        <v>6.1725290000000002E-2</v>
      </c>
      <c r="X1815">
        <v>0.99808960000000002</v>
      </c>
      <c r="Y1815">
        <v>-1.647997E-2</v>
      </c>
      <c r="Z1815">
        <v>2.992298E-3</v>
      </c>
      <c r="AA1815">
        <v>0.99985970000000002</v>
      </c>
      <c r="AB1815">
        <v>20</v>
      </c>
      <c r="AC1815">
        <v>-2.9939269999999998</v>
      </c>
      <c r="AD1815">
        <v>0.18636359999999999</v>
      </c>
      <c r="AE1815">
        <v>6.9824220000000006E-2</v>
      </c>
      <c r="AF1815">
        <v>-4.9488029915931701E-2</v>
      </c>
      <c r="AG1815">
        <v>0.18636359999999999</v>
      </c>
      <c r="AH1815">
        <v>2.9827778805895901</v>
      </c>
      <c r="AI1815">
        <v>86.425304702333406</v>
      </c>
      <c r="AJ1815">
        <v>90.950521706734307</v>
      </c>
      <c r="AK1815">
        <v>2.9890039045549002</v>
      </c>
      <c r="AL1815">
        <v>86.461151651144704</v>
      </c>
      <c r="AM1815">
        <v>90.152549103691996</v>
      </c>
      <c r="AN1815">
        <v>0.99999996142488001</v>
      </c>
    </row>
    <row r="1816" spans="1:40" x14ac:dyDescent="0.25">
      <c r="A1816" t="str">
        <f>"20190312151020861"</f>
        <v>20190312151020861</v>
      </c>
      <c r="B1816" t="str">
        <f>"1552374620852421"</f>
        <v>1552374620852421</v>
      </c>
      <c r="C1816" t="s">
        <v>40</v>
      </c>
      <c r="D1816">
        <v>5.6512089999999997</v>
      </c>
      <c r="E1816">
        <v>0.49475170000000002</v>
      </c>
      <c r="F1816" t="s">
        <v>44</v>
      </c>
      <c r="G1816">
        <v>0</v>
      </c>
      <c r="H1816">
        <v>0</v>
      </c>
      <c r="I1816">
        <v>0</v>
      </c>
      <c r="J1816">
        <v>-226.524</v>
      </c>
      <c r="K1816">
        <v>1.1102879999999999</v>
      </c>
      <c r="L1816">
        <v>282.60469999999998</v>
      </c>
      <c r="M1816">
        <v>-0.99917160000000005</v>
      </c>
      <c r="N1816">
        <v>0</v>
      </c>
      <c r="O1816">
        <v>3.920059E-2</v>
      </c>
      <c r="P1816">
        <v>-0.99790610000000002</v>
      </c>
      <c r="Q1816">
        <v>5.2674390000000001E-2</v>
      </c>
      <c r="R1816">
        <v>3.7532780000000002E-2</v>
      </c>
      <c r="S1816">
        <v>-2.993744</v>
      </c>
      <c r="T1816">
        <v>0.1892095</v>
      </c>
      <c r="U1816">
        <v>7.0404049999999996E-2</v>
      </c>
      <c r="V1816">
        <v>-1.654432E-3</v>
      </c>
      <c r="W1816">
        <v>6.3590350000000004E-2</v>
      </c>
      <c r="X1816">
        <v>0.99797469999999999</v>
      </c>
      <c r="Y1816">
        <v>-1.5590410000000001E-2</v>
      </c>
      <c r="Z1816">
        <v>2.966228E-3</v>
      </c>
      <c r="AA1816">
        <v>0.99987409999999999</v>
      </c>
      <c r="AB1816">
        <v>20</v>
      </c>
      <c r="AC1816">
        <v>-2.993744</v>
      </c>
      <c r="AD1816">
        <v>0.1892095</v>
      </c>
      <c r="AE1816">
        <v>7.0404049999999996E-2</v>
      </c>
      <c r="AF1816">
        <v>-4.6826668058728101E-2</v>
      </c>
      <c r="AG1816">
        <v>0.1892095</v>
      </c>
      <c r="AH1816">
        <v>2.9822966249785599</v>
      </c>
      <c r="AI1816">
        <v>86.370225386658902</v>
      </c>
      <c r="AJ1816">
        <v>90.899558405206506</v>
      </c>
      <c r="AK1816">
        <v>2.9886595876898201</v>
      </c>
      <c r="AL1816">
        <v>86.3540812675582</v>
      </c>
      <c r="AM1816">
        <v>90.094984255867104</v>
      </c>
      <c r="AN1816">
        <v>0.999999985799227</v>
      </c>
    </row>
    <row r="1817" spans="1:40" x14ac:dyDescent="0.25">
      <c r="A1817" t="str">
        <f>"20190312151020883"</f>
        <v>20190312151020883</v>
      </c>
      <c r="B1817" t="str">
        <f>"1552374620872917"</f>
        <v>1552374620872917</v>
      </c>
      <c r="C1817" t="s">
        <v>40</v>
      </c>
      <c r="D1817">
        <v>5.6460100000000004</v>
      </c>
      <c r="E1817">
        <v>0.4947858</v>
      </c>
      <c r="F1817" t="s">
        <v>44</v>
      </c>
      <c r="G1817">
        <v>0</v>
      </c>
      <c r="H1817">
        <v>0</v>
      </c>
      <c r="I1817">
        <v>0</v>
      </c>
      <c r="J1817">
        <v>-226.72800000000001</v>
      </c>
      <c r="K1817">
        <v>1.1102590000000001</v>
      </c>
      <c r="L1817">
        <v>282.61200000000002</v>
      </c>
      <c r="M1817">
        <v>-0.99919579999999997</v>
      </c>
      <c r="N1817">
        <v>0</v>
      </c>
      <c r="O1817">
        <v>3.8587129999999997E-2</v>
      </c>
      <c r="P1817">
        <v>-0.9977646</v>
      </c>
      <c r="Q1817">
        <v>5.4334239999999999E-2</v>
      </c>
      <c r="R1817">
        <v>3.8906929999999999E-2</v>
      </c>
      <c r="S1817">
        <v>-2.9932859999999999</v>
      </c>
      <c r="T1817">
        <v>0.19523840000000001</v>
      </c>
      <c r="U1817">
        <v>7.1960449999999995E-2</v>
      </c>
      <c r="V1817">
        <v>3.429296E-4</v>
      </c>
      <c r="W1817">
        <v>6.5226779999999998E-2</v>
      </c>
      <c r="X1817">
        <v>0.99787040000000005</v>
      </c>
      <c r="Y1817">
        <v>-1.444993E-2</v>
      </c>
      <c r="Z1817">
        <v>2.9839020000000001E-3</v>
      </c>
      <c r="AA1817">
        <v>0.99989119999999998</v>
      </c>
      <c r="AB1817">
        <v>20</v>
      </c>
      <c r="AC1817">
        <v>-2.9932859999999999</v>
      </c>
      <c r="AD1817">
        <v>0.19523840000000001</v>
      </c>
      <c r="AE1817">
        <v>7.1960449999999995E-2</v>
      </c>
      <c r="AF1817">
        <v>-4.3417718535686101E-2</v>
      </c>
      <c r="AG1817">
        <v>0.19523840000000001</v>
      </c>
      <c r="AH1817">
        <v>2.9811577785440901</v>
      </c>
      <c r="AI1817">
        <v>86.253400805868395</v>
      </c>
      <c r="AJ1817">
        <v>90.834399367248594</v>
      </c>
      <c r="AK1817">
        <v>2.9878595736231199</v>
      </c>
      <c r="AL1817">
        <v>86.260125661100105</v>
      </c>
      <c r="AM1817">
        <v>89.980309649452806</v>
      </c>
      <c r="AN1817">
        <v>0.99999999281301899</v>
      </c>
    </row>
    <row r="1818" spans="1:40" x14ac:dyDescent="0.25">
      <c r="A1818" t="str">
        <f>"20190312151020907"</f>
        <v>20190312151020907</v>
      </c>
      <c r="B1818" t="str">
        <f>"1552374620902197"</f>
        <v>1552374620902197</v>
      </c>
      <c r="C1818" t="s">
        <v>40</v>
      </c>
      <c r="D1818">
        <v>5.5962670000000001</v>
      </c>
      <c r="E1818">
        <v>0.49485109999999899</v>
      </c>
      <c r="F1818" t="s">
        <v>44</v>
      </c>
      <c r="G1818">
        <v>0</v>
      </c>
      <c r="H1818">
        <v>0</v>
      </c>
      <c r="I1818">
        <v>0</v>
      </c>
      <c r="J1818">
        <v>-226.92959999999999</v>
      </c>
      <c r="K1818">
        <v>1.110239</v>
      </c>
      <c r="L1818">
        <v>282.6191</v>
      </c>
      <c r="M1818">
        <v>-0.99921689999999996</v>
      </c>
      <c r="N1818">
        <v>0</v>
      </c>
      <c r="O1818">
        <v>3.8042729999999997E-2</v>
      </c>
      <c r="P1818">
        <v>-0.99766710000000003</v>
      </c>
      <c r="Q1818">
        <v>5.574701E-2</v>
      </c>
      <c r="R1818">
        <v>3.9407110000000002E-2</v>
      </c>
      <c r="S1818">
        <v>-2.9928439999999998</v>
      </c>
      <c r="T1818">
        <v>0.2006106</v>
      </c>
      <c r="U1818">
        <v>7.6416020000000001E-2</v>
      </c>
      <c r="V1818">
        <v>1.394209E-3</v>
      </c>
      <c r="W1818">
        <v>6.6619919999999999E-2</v>
      </c>
      <c r="X1818">
        <v>0.99777749999999998</v>
      </c>
      <c r="Y1818">
        <v>-1.241338E-2</v>
      </c>
      <c r="Z1818">
        <v>2.961619E-3</v>
      </c>
      <c r="AA1818">
        <v>0.99991859999999999</v>
      </c>
      <c r="AB1818">
        <v>20</v>
      </c>
      <c r="AC1818">
        <v>-2.9928439999999998</v>
      </c>
      <c r="AD1818">
        <v>0.2006106</v>
      </c>
      <c r="AE1818">
        <v>7.6416020000000001E-2</v>
      </c>
      <c r="AF1818">
        <v>-3.7334361394673603E-2</v>
      </c>
      <c r="AG1818">
        <v>0.2006106</v>
      </c>
      <c r="AH1818">
        <v>2.98020308310572</v>
      </c>
      <c r="AI1818">
        <v>86.149279490093605</v>
      </c>
      <c r="AJ1818">
        <v>90.717732781336196</v>
      </c>
      <c r="AK1818">
        <v>2.9871807584955299</v>
      </c>
      <c r="AL1818">
        <v>86.18013081078</v>
      </c>
      <c r="AM1818">
        <v>89.919939826795499</v>
      </c>
      <c r="AN1818">
        <v>1.0000000485328899</v>
      </c>
    </row>
    <row r="1819" spans="1:40" x14ac:dyDescent="0.25">
      <c r="A1819" t="str">
        <f>"20190312151020927"</f>
        <v>20190312151020927</v>
      </c>
      <c r="B1819" t="str">
        <f>"1552374620922693"</f>
        <v>1552374620922693</v>
      </c>
      <c r="C1819" t="s">
        <v>40</v>
      </c>
      <c r="D1819">
        <v>5.5237170000000004</v>
      </c>
      <c r="E1819">
        <v>0.49488470000000001</v>
      </c>
      <c r="F1819" t="s">
        <v>44</v>
      </c>
      <c r="G1819">
        <v>0</v>
      </c>
      <c r="H1819">
        <v>0</v>
      </c>
      <c r="I1819">
        <v>0</v>
      </c>
      <c r="J1819">
        <v>-227.11259999999999</v>
      </c>
      <c r="K1819">
        <v>1.1102270000000001</v>
      </c>
      <c r="L1819">
        <v>282.62540000000001</v>
      </c>
      <c r="M1819">
        <v>-0.99923390000000001</v>
      </c>
      <c r="N1819">
        <v>0</v>
      </c>
      <c r="O1819">
        <v>3.7595759999999999E-2</v>
      </c>
      <c r="P1819">
        <v>-0.99749900000000002</v>
      </c>
      <c r="Q1819">
        <v>5.795376E-2</v>
      </c>
      <c r="R1819">
        <v>4.0463489999999998E-2</v>
      </c>
      <c r="S1819">
        <v>-2.992432</v>
      </c>
      <c r="T1819">
        <v>0.2053268</v>
      </c>
      <c r="U1819">
        <v>7.8399659999999996E-2</v>
      </c>
      <c r="V1819">
        <v>2.9050830000000001E-3</v>
      </c>
      <c r="W1819">
        <v>6.881023E-2</v>
      </c>
      <c r="X1819">
        <v>0.99762550000000005</v>
      </c>
      <c r="Y1819">
        <v>-1.129844E-2</v>
      </c>
      <c r="Z1819">
        <v>2.9626589999999999E-3</v>
      </c>
      <c r="AA1819">
        <v>0.99993180000000004</v>
      </c>
      <c r="AB1819">
        <v>20</v>
      </c>
      <c r="AC1819">
        <v>-2.992432</v>
      </c>
      <c r="AD1819">
        <v>0.2053268</v>
      </c>
      <c r="AE1819">
        <v>7.8399659999999996E-2</v>
      </c>
      <c r="AF1819">
        <v>-3.4005187104524499E-2</v>
      </c>
      <c r="AG1819">
        <v>0.2053268</v>
      </c>
      <c r="AH1819">
        <v>2.9792469825629602</v>
      </c>
      <c r="AI1819">
        <v>86.057720908334801</v>
      </c>
      <c r="AJ1819">
        <v>90.653946822883299</v>
      </c>
      <c r="AK1819">
        <v>2.9865076645906599</v>
      </c>
      <c r="AL1819">
        <v>86.054346220960795</v>
      </c>
      <c r="AM1819">
        <v>89.8331553027095</v>
      </c>
      <c r="AN1819">
        <v>0.99999996275506897</v>
      </c>
    </row>
    <row r="1820" spans="1:40" x14ac:dyDescent="0.25">
      <c r="A1820" t="str">
        <f>"20190312151020950"</f>
        <v>20190312151020950</v>
      </c>
      <c r="B1820" t="str">
        <f>"1552374620942213"</f>
        <v>1552374620942213</v>
      </c>
      <c r="C1820" t="s">
        <v>40</v>
      </c>
      <c r="D1820">
        <v>5.5303690000000003</v>
      </c>
      <c r="E1820">
        <v>0.49493090000000001</v>
      </c>
      <c r="F1820" t="s">
        <v>44</v>
      </c>
      <c r="G1820">
        <v>0</v>
      </c>
      <c r="H1820">
        <v>0</v>
      </c>
      <c r="I1820">
        <v>0</v>
      </c>
      <c r="J1820">
        <v>-227.3158</v>
      </c>
      <c r="K1820">
        <v>1.110215</v>
      </c>
      <c r="L1820">
        <v>282.63249999999999</v>
      </c>
      <c r="M1820">
        <v>-0.99925050000000004</v>
      </c>
      <c r="N1820">
        <v>0</v>
      </c>
      <c r="O1820">
        <v>3.715454E-2</v>
      </c>
      <c r="P1820">
        <v>-0.99734599999999995</v>
      </c>
      <c r="Q1820">
        <v>5.9429599999999902E-2</v>
      </c>
      <c r="R1820">
        <v>4.2061149999999999E-2</v>
      </c>
      <c r="S1820">
        <v>-2.9918670000000001</v>
      </c>
      <c r="T1820">
        <v>0.21210129999999999</v>
      </c>
      <c r="U1820">
        <v>8.1909179999999998E-2</v>
      </c>
      <c r="V1820">
        <v>4.9510810000000004E-3</v>
      </c>
      <c r="W1820">
        <v>7.0271059999999996E-2</v>
      </c>
      <c r="X1820">
        <v>0.99751559999999995</v>
      </c>
      <c r="Y1820">
        <v>-9.6772980000000008E-3</v>
      </c>
      <c r="Z1820">
        <v>2.9720879999999999E-3</v>
      </c>
      <c r="AA1820">
        <v>0.99994870000000002</v>
      </c>
      <c r="AB1820">
        <v>20</v>
      </c>
      <c r="AC1820">
        <v>-2.9918670000000001</v>
      </c>
      <c r="AD1820">
        <v>0.21210129999999999</v>
      </c>
      <c r="AE1820">
        <v>8.1909179999999998E-2</v>
      </c>
      <c r="AF1820">
        <v>-2.9168896203018001E-2</v>
      </c>
      <c r="AG1820">
        <v>0.21210129999999999</v>
      </c>
      <c r="AH1820">
        <v>2.9778894834314702</v>
      </c>
      <c r="AI1820">
        <v>85.926161264133498</v>
      </c>
      <c r="AJ1820">
        <v>90.561203230775902</v>
      </c>
      <c r="AK1820">
        <v>2.9855759178924099</v>
      </c>
      <c r="AL1820">
        <v>85.970443661923994</v>
      </c>
      <c r="AM1820">
        <v>89.715619769891006</v>
      </c>
      <c r="AN1820">
        <v>0.99999995365997396</v>
      </c>
    </row>
    <row r="1821" spans="1:40" x14ac:dyDescent="0.25">
      <c r="A1821" t="str">
        <f>"20190312151020972"</f>
        <v>20190312151020972</v>
      </c>
      <c r="B1821" t="str">
        <f>"1552374620962709"</f>
        <v>1552374620962709</v>
      </c>
      <c r="C1821" t="s">
        <v>40</v>
      </c>
      <c r="D1821">
        <v>5.5722839999999998</v>
      </c>
      <c r="E1821">
        <v>0.49497160000000001</v>
      </c>
      <c r="F1821" t="s">
        <v>44</v>
      </c>
      <c r="G1821">
        <v>0</v>
      </c>
      <c r="H1821">
        <v>0</v>
      </c>
      <c r="I1821">
        <v>0</v>
      </c>
      <c r="J1821">
        <v>-227.5095</v>
      </c>
      <c r="K1821">
        <v>1.1101890000000001</v>
      </c>
      <c r="L1821">
        <v>282.63929999999999</v>
      </c>
      <c r="M1821">
        <v>-0.99926440000000005</v>
      </c>
      <c r="N1821">
        <v>0</v>
      </c>
      <c r="O1821">
        <v>3.6786350000000002E-2</v>
      </c>
      <c r="P1821">
        <v>-0.99732589999999999</v>
      </c>
      <c r="Q1821">
        <v>5.922591E-2</v>
      </c>
      <c r="R1821">
        <v>4.2823699999999999E-2</v>
      </c>
      <c r="S1821">
        <v>-2.9913789999999998</v>
      </c>
      <c r="T1821">
        <v>0.21686430000000001</v>
      </c>
      <c r="U1821">
        <v>8.7158200000000005E-2</v>
      </c>
      <c r="V1821">
        <v>6.0860630000000001E-3</v>
      </c>
      <c r="W1821">
        <v>7.0055099999999995E-2</v>
      </c>
      <c r="X1821">
        <v>0.99752459999999998</v>
      </c>
      <c r="Y1821">
        <v>-7.5523069999999899E-3</v>
      </c>
      <c r="Z1821">
        <v>2.9355119999999999E-3</v>
      </c>
      <c r="AA1821">
        <v>0.99996719999999895</v>
      </c>
      <c r="AB1821">
        <v>20</v>
      </c>
      <c r="AC1821">
        <v>-2.9913789999999998</v>
      </c>
      <c r="AD1821">
        <v>0.21686430000000001</v>
      </c>
      <c r="AE1821">
        <v>8.7158200000000005E-2</v>
      </c>
      <c r="AF1821">
        <v>-2.28292929893343E-2</v>
      </c>
      <c r="AG1821">
        <v>0.21686430000000001</v>
      </c>
      <c r="AH1821">
        <v>2.9769278120484701</v>
      </c>
      <c r="AI1821">
        <v>85.833578730608593</v>
      </c>
      <c r="AJ1821">
        <v>90.439377969375798</v>
      </c>
      <c r="AK1821">
        <v>2.98490376718925</v>
      </c>
      <c r="AL1821">
        <v>85.982848185787304</v>
      </c>
      <c r="AM1821">
        <v>89.650433285474193</v>
      </c>
      <c r="AN1821">
        <v>1.0000000424019999</v>
      </c>
    </row>
    <row r="1822" spans="1:40" x14ac:dyDescent="0.25">
      <c r="A1822" t="str">
        <f>"20190312151020995"</f>
        <v>20190312151020995</v>
      </c>
      <c r="B1822" t="str">
        <f>"1552374620991989"</f>
        <v>1552374620991989</v>
      </c>
      <c r="C1822" t="s">
        <v>40</v>
      </c>
      <c r="D1822">
        <v>5.5169160000000002</v>
      </c>
      <c r="E1822">
        <v>0.49499749999999998</v>
      </c>
      <c r="F1822" t="s">
        <v>44</v>
      </c>
      <c r="G1822">
        <v>0</v>
      </c>
      <c r="H1822">
        <v>0</v>
      </c>
      <c r="I1822">
        <v>0</v>
      </c>
      <c r="J1822">
        <v>-227.71619999999999</v>
      </c>
      <c r="K1822">
        <v>1.110155</v>
      </c>
      <c r="L1822">
        <v>282.6465</v>
      </c>
      <c r="M1822">
        <v>-0.99927679999999997</v>
      </c>
      <c r="N1822">
        <v>0</v>
      </c>
      <c r="O1822">
        <v>3.6448920000000003E-2</v>
      </c>
      <c r="P1822">
        <v>-0.99737070000000005</v>
      </c>
      <c r="Q1822">
        <v>5.8660900000000002E-2</v>
      </c>
      <c r="R1822">
        <v>4.2554990000000001E-2</v>
      </c>
      <c r="S1822">
        <v>-2.9913479999999999</v>
      </c>
      <c r="T1822">
        <v>0.21636610000000001</v>
      </c>
      <c r="U1822">
        <v>8.966064E-2</v>
      </c>
      <c r="V1822">
        <v>6.1579989999999999E-3</v>
      </c>
      <c r="W1822">
        <v>6.9479540000000006E-2</v>
      </c>
      <c r="X1822">
        <v>0.99756440000000002</v>
      </c>
      <c r="Y1822">
        <v>-6.3830010000000001E-3</v>
      </c>
      <c r="Z1822">
        <v>2.8621929999999999E-3</v>
      </c>
      <c r="AA1822">
        <v>0.99997550000000002</v>
      </c>
      <c r="AB1822">
        <v>20</v>
      </c>
      <c r="AC1822">
        <v>-2.9913479999999999</v>
      </c>
      <c r="AD1822">
        <v>0.21636610000000001</v>
      </c>
      <c r="AE1822">
        <v>8.966064E-2</v>
      </c>
      <c r="AF1822">
        <v>-1.9335678961690299E-2</v>
      </c>
      <c r="AG1822">
        <v>0.21636610000000001</v>
      </c>
      <c r="AH1822">
        <v>2.9770670895865399</v>
      </c>
      <c r="AI1822">
        <v>85.843275973820397</v>
      </c>
      <c r="AJ1822">
        <v>90.372123700244103</v>
      </c>
      <c r="AK1822">
        <v>2.9849818447704801</v>
      </c>
      <c r="AL1822">
        <v>86.015905845363903</v>
      </c>
      <c r="AM1822">
        <v>89.646315695112904</v>
      </c>
      <c r="AN1822">
        <v>1.0000000297888201</v>
      </c>
    </row>
    <row r="1823" spans="1:40" x14ac:dyDescent="0.25">
      <c r="A1823" t="str">
        <f>"20190312151021016"</f>
        <v>20190312151021016</v>
      </c>
      <c r="B1823" t="str">
        <f>"1552374621012486"</f>
        <v>1552374621012486</v>
      </c>
      <c r="C1823" t="s">
        <v>40</v>
      </c>
      <c r="D1823">
        <v>5.5769440000000001</v>
      </c>
      <c r="E1823">
        <v>0.49501119999999998</v>
      </c>
      <c r="F1823" t="s">
        <v>44</v>
      </c>
      <c r="G1823">
        <v>0</v>
      </c>
      <c r="H1823">
        <v>0</v>
      </c>
      <c r="I1823">
        <v>0</v>
      </c>
      <c r="J1823">
        <v>-227.90440000000001</v>
      </c>
      <c r="K1823">
        <v>1.1101219999999901</v>
      </c>
      <c r="L1823">
        <v>282.65300000000002</v>
      </c>
      <c r="M1823">
        <v>-0.99928609999999896</v>
      </c>
      <c r="N1823">
        <v>0</v>
      </c>
      <c r="O1823">
        <v>3.6192149999999999E-2</v>
      </c>
      <c r="P1823">
        <v>-0.99740450000000003</v>
      </c>
      <c r="Q1823">
        <v>5.7952879999999998E-2</v>
      </c>
      <c r="R1823">
        <v>4.272898E-2</v>
      </c>
      <c r="S1823">
        <v>-2.9914860000000001</v>
      </c>
      <c r="T1823">
        <v>0.21463740000000001</v>
      </c>
      <c r="U1823">
        <v>8.9141849999999995E-2</v>
      </c>
      <c r="V1823">
        <v>6.5919330000000003E-3</v>
      </c>
      <c r="W1823">
        <v>6.8762669999999998E-2</v>
      </c>
      <c r="X1823">
        <v>0.99761129999999998</v>
      </c>
      <c r="Y1823">
        <v>-6.3033430000000003E-3</v>
      </c>
      <c r="Z1823">
        <v>2.8180280000000002E-3</v>
      </c>
      <c r="AA1823">
        <v>0.99997619999999998</v>
      </c>
      <c r="AB1823">
        <v>20</v>
      </c>
      <c r="AC1823">
        <v>-2.9914860000000001</v>
      </c>
      <c r="AD1823">
        <v>0.21463740000000001</v>
      </c>
      <c r="AE1823">
        <v>8.9141849999999995E-2</v>
      </c>
      <c r="AF1823">
        <v>-1.9093021844108701E-2</v>
      </c>
      <c r="AG1823">
        <v>0.21463740000000001</v>
      </c>
      <c r="AH1823">
        <v>2.9774381273663799</v>
      </c>
      <c r="AI1823">
        <v>85.876881840044305</v>
      </c>
      <c r="AJ1823">
        <v>90.367407995941505</v>
      </c>
      <c r="AK1823">
        <v>2.9852255457933001</v>
      </c>
      <c r="AL1823">
        <v>86.057077952007305</v>
      </c>
      <c r="AM1823">
        <v>89.6214112219985</v>
      </c>
      <c r="AN1823">
        <v>1.00000003212694</v>
      </c>
    </row>
    <row r="1824" spans="1:40" x14ac:dyDescent="0.25">
      <c r="A1824" t="str">
        <f>"20190312151021038"</f>
        <v>20190312151021038</v>
      </c>
      <c r="B1824" t="str">
        <f>"1552374621032154"</f>
        <v>1552374621032154</v>
      </c>
      <c r="C1824" t="s">
        <v>40</v>
      </c>
      <c r="D1824">
        <v>5.5788440000000001</v>
      </c>
      <c r="E1824">
        <v>0.49503249999999999</v>
      </c>
      <c r="F1824" t="s">
        <v>44</v>
      </c>
      <c r="G1824">
        <v>0</v>
      </c>
      <c r="H1824">
        <v>0</v>
      </c>
      <c r="I1824">
        <v>0</v>
      </c>
      <c r="J1824">
        <v>-228.1044</v>
      </c>
      <c r="K1824">
        <v>1.110096</v>
      </c>
      <c r="L1824">
        <v>282.66000000000003</v>
      </c>
      <c r="M1824">
        <v>-0.99929449999999997</v>
      </c>
      <c r="N1824">
        <v>0</v>
      </c>
      <c r="O1824">
        <v>3.596999E-2</v>
      </c>
      <c r="P1824">
        <v>-0.99740490000000004</v>
      </c>
      <c r="Q1824">
        <v>5.7977939999999999E-2</v>
      </c>
      <c r="R1824">
        <v>4.2691819999999998E-2</v>
      </c>
      <c r="S1824">
        <v>-2.991638</v>
      </c>
      <c r="T1824">
        <v>0.21227460000000001</v>
      </c>
      <c r="U1824">
        <v>8.966064E-2</v>
      </c>
      <c r="V1824">
        <v>6.7814299999999997E-3</v>
      </c>
      <c r="W1824">
        <v>6.8779789999999993E-2</v>
      </c>
      <c r="X1824">
        <v>0.99760879999999996</v>
      </c>
      <c r="Y1824">
        <v>-5.913214E-3</v>
      </c>
      <c r="Z1824">
        <v>2.7573820000000001E-3</v>
      </c>
      <c r="AA1824">
        <v>0.9999787</v>
      </c>
      <c r="AB1824">
        <v>20</v>
      </c>
      <c r="AC1824">
        <v>-2.991638</v>
      </c>
      <c r="AD1824">
        <v>0.21227460000000001</v>
      </c>
      <c r="AE1824">
        <v>8.966064E-2</v>
      </c>
      <c r="AF1824">
        <v>-1.7922699916423701E-2</v>
      </c>
      <c r="AG1824">
        <v>0.21227460000000001</v>
      </c>
      <c r="AH1824">
        <v>2.9779473099586</v>
      </c>
      <c r="AI1824">
        <v>85.9228014776034</v>
      </c>
      <c r="AJ1824">
        <v>90.344829023933002</v>
      </c>
      <c r="AK1824">
        <v>2.9855572193255902</v>
      </c>
      <c r="AL1824">
        <v>86.056094524698196</v>
      </c>
      <c r="AM1824">
        <v>89.610527359524397</v>
      </c>
      <c r="AN1824">
        <v>0.99999998257136402</v>
      </c>
    </row>
    <row r="1825" spans="1:40" x14ac:dyDescent="0.25">
      <c r="A1825" t="str">
        <f>"20190312151021061"</f>
        <v>20190312151021061</v>
      </c>
      <c r="B1825" t="str">
        <f>"1552374621052650"</f>
        <v>1552374621052650</v>
      </c>
      <c r="C1825" t="s">
        <v>40</v>
      </c>
      <c r="D1825">
        <v>5.5795379999999897</v>
      </c>
      <c r="E1825">
        <v>0.49504969999999998</v>
      </c>
      <c r="F1825" t="s">
        <v>44</v>
      </c>
      <c r="G1825">
        <v>0</v>
      </c>
      <c r="H1825">
        <v>0</v>
      </c>
      <c r="I1825">
        <v>0</v>
      </c>
      <c r="J1825">
        <v>-228.3064</v>
      </c>
      <c r="K1825">
        <v>1.1100779999999999</v>
      </c>
      <c r="L1825">
        <v>282.66699999999997</v>
      </c>
      <c r="M1825">
        <v>-0.99930059999999998</v>
      </c>
      <c r="N1825">
        <v>0</v>
      </c>
      <c r="O1825">
        <v>3.5794270000000003E-2</v>
      </c>
      <c r="P1825">
        <v>-0.9974208</v>
      </c>
      <c r="Q1825">
        <v>5.7873849999999998E-2</v>
      </c>
      <c r="R1825">
        <v>4.245343E-2</v>
      </c>
      <c r="S1825">
        <v>-2.991638</v>
      </c>
      <c r="T1825">
        <v>0.21209030000000001</v>
      </c>
      <c r="U1825">
        <v>8.9752199999999893E-2</v>
      </c>
      <c r="V1825">
        <v>6.7211170000000004E-3</v>
      </c>
      <c r="W1825">
        <v>6.8669419999999995E-2</v>
      </c>
      <c r="X1825">
        <v>0.99761679999999997</v>
      </c>
      <c r="Y1825">
        <v>-5.7079339999999996E-3</v>
      </c>
      <c r="Z1825">
        <v>2.7352969999999998E-3</v>
      </c>
      <c r="AA1825">
        <v>0.99997999999999998</v>
      </c>
      <c r="AB1825">
        <v>20</v>
      </c>
      <c r="AC1825">
        <v>-2.991638</v>
      </c>
      <c r="AD1825">
        <v>0.21209030000000001</v>
      </c>
      <c r="AE1825">
        <v>8.9752199999999893E-2</v>
      </c>
      <c r="AF1825">
        <v>-1.7308176472976999E-2</v>
      </c>
      <c r="AG1825">
        <v>0.21209030000000001</v>
      </c>
      <c r="AH1825">
        <v>2.9779795739498001</v>
      </c>
      <c r="AI1825">
        <v>85.926368469225196</v>
      </c>
      <c r="AJ1825">
        <v>90.333002383731298</v>
      </c>
      <c r="AK1825">
        <v>2.9855726772579301</v>
      </c>
      <c r="AL1825">
        <v>86.0624332017873</v>
      </c>
      <c r="AM1825">
        <v>89.613994259619503</v>
      </c>
      <c r="AN1825">
        <v>0.99999997114955097</v>
      </c>
    </row>
    <row r="1826" spans="1:40" x14ac:dyDescent="0.25">
      <c r="A1826" t="str">
        <f>"20190312151021083"</f>
        <v>20190312151021083</v>
      </c>
      <c r="B1826" t="str">
        <f>"1552374621072174"</f>
        <v>1552374621072174</v>
      </c>
      <c r="C1826" t="s">
        <v>40</v>
      </c>
      <c r="D1826">
        <v>5.5783930000000002</v>
      </c>
      <c r="E1826">
        <v>0.49505569999999999</v>
      </c>
      <c r="F1826" t="s">
        <v>44</v>
      </c>
      <c r="G1826">
        <v>0</v>
      </c>
      <c r="H1826">
        <v>0</v>
      </c>
      <c r="I1826">
        <v>0</v>
      </c>
      <c r="J1826">
        <v>-228.5069</v>
      </c>
      <c r="K1826">
        <v>1.1100650000000001</v>
      </c>
      <c r="L1826">
        <v>282.67399999999998</v>
      </c>
      <c r="M1826">
        <v>-0.99930580000000002</v>
      </c>
      <c r="N1826">
        <v>0</v>
      </c>
      <c r="O1826">
        <v>3.5652070000000001E-2</v>
      </c>
      <c r="P1826">
        <v>-0.99743709999999997</v>
      </c>
      <c r="Q1826">
        <v>5.7257629999999997E-2</v>
      </c>
      <c r="R1826">
        <v>4.2906029999999998E-2</v>
      </c>
      <c r="S1826">
        <v>-2.9916689999999999</v>
      </c>
      <c r="T1826">
        <v>0.21151600000000001</v>
      </c>
      <c r="U1826">
        <v>8.9263919999999997E-2</v>
      </c>
      <c r="V1826">
        <v>7.3162440000000004E-3</v>
      </c>
      <c r="W1826">
        <v>6.8048129999999998E-2</v>
      </c>
      <c r="X1826">
        <v>0.99765519999999996</v>
      </c>
      <c r="Y1826">
        <v>-5.7298760000000001E-3</v>
      </c>
      <c r="Z1826">
        <v>2.7186319999999999E-3</v>
      </c>
      <c r="AA1826">
        <v>0.99997990000000003</v>
      </c>
      <c r="AB1826">
        <v>20</v>
      </c>
      <c r="AC1826">
        <v>-2.9916689999999999</v>
      </c>
      <c r="AD1826">
        <v>0.21151600000000001</v>
      </c>
      <c r="AE1826">
        <v>8.9263919999999997E-2</v>
      </c>
      <c r="AF1826">
        <v>-1.7371501484711699E-2</v>
      </c>
      <c r="AG1826">
        <v>0.21151600000000001</v>
      </c>
      <c r="AH1826">
        <v>2.97807614560059</v>
      </c>
      <c r="AI1826">
        <v>85.937493896670006</v>
      </c>
      <c r="AJ1826">
        <v>90.334209866303695</v>
      </c>
      <c r="AK1826">
        <v>2.9856286300065999</v>
      </c>
      <c r="AL1826">
        <v>86.098114023568698</v>
      </c>
      <c r="AM1826">
        <v>89.579832402271094</v>
      </c>
      <c r="AN1826">
        <v>0.99999998675490198</v>
      </c>
    </row>
    <row r="1827" spans="1:40" x14ac:dyDescent="0.25">
      <c r="A1827" t="str">
        <f>"20190312151021107"</f>
        <v>20190312151021107</v>
      </c>
      <c r="B1827" t="str">
        <f>"1552374621102427"</f>
        <v>1552374621102427</v>
      </c>
      <c r="C1827" t="s">
        <v>40</v>
      </c>
      <c r="D1827">
        <v>5.5823359999999997</v>
      </c>
      <c r="E1827">
        <v>0.49505169999999998</v>
      </c>
      <c r="F1827" t="s">
        <v>44</v>
      </c>
      <c r="G1827">
        <v>0</v>
      </c>
      <c r="H1827">
        <v>0</v>
      </c>
      <c r="I1827">
        <v>0</v>
      </c>
      <c r="J1827">
        <v>-228.7131</v>
      </c>
      <c r="K1827">
        <v>1.110058</v>
      </c>
      <c r="L1827">
        <v>282.68119999999999</v>
      </c>
      <c r="M1827">
        <v>-0.99931040000000004</v>
      </c>
      <c r="N1827">
        <v>0</v>
      </c>
      <c r="O1827">
        <v>3.5525260000000003E-2</v>
      </c>
      <c r="P1827">
        <v>-0.99748380000000003</v>
      </c>
      <c r="Q1827">
        <v>5.6240060000000001E-2</v>
      </c>
      <c r="R1827">
        <v>4.3161770000000002E-2</v>
      </c>
      <c r="S1827">
        <v>-2.9918209999999998</v>
      </c>
      <c r="T1827">
        <v>0.2092918</v>
      </c>
      <c r="U1827">
        <v>9.0606690000000004E-2</v>
      </c>
      <c r="V1827">
        <v>7.69653E-3</v>
      </c>
      <c r="W1827">
        <v>6.7024319999999998E-2</v>
      </c>
      <c r="X1827">
        <v>0.99772169999999905</v>
      </c>
      <c r="Y1827">
        <v>-5.1599619999999997E-3</v>
      </c>
      <c r="Z1827">
        <v>2.6611970000000001E-3</v>
      </c>
      <c r="AA1827">
        <v>0.99998310000000001</v>
      </c>
      <c r="AB1827">
        <v>20</v>
      </c>
      <c r="AC1827">
        <v>-2.9918209999999998</v>
      </c>
      <c r="AD1827">
        <v>0.2092918</v>
      </c>
      <c r="AE1827">
        <v>9.0606690000000004E-2</v>
      </c>
      <c r="AF1827">
        <v>-1.5665339190391699E-2</v>
      </c>
      <c r="AG1827">
        <v>0.2092918</v>
      </c>
      <c r="AH1827">
        <v>2.9785884692646598</v>
      </c>
      <c r="AI1827">
        <v>85.980748873199005</v>
      </c>
      <c r="AJ1827">
        <v>90.301333854624005</v>
      </c>
      <c r="AK1827">
        <v>2.9859734978119898</v>
      </c>
      <c r="AL1827">
        <v>86.156908474459399</v>
      </c>
      <c r="AM1827">
        <v>89.558023104999407</v>
      </c>
      <c r="AN1827">
        <v>1.0000000433481899</v>
      </c>
    </row>
    <row r="1828" spans="1:40" x14ac:dyDescent="0.25">
      <c r="A1828" t="str">
        <f>"20190312151021129"</f>
        <v>20190312151021129</v>
      </c>
      <c r="B1828" t="str">
        <f>"1552374621122549"</f>
        <v>1552374621122549</v>
      </c>
      <c r="C1828" t="s">
        <v>40</v>
      </c>
      <c r="D1828">
        <v>5.6407629999999997</v>
      </c>
      <c r="E1828">
        <v>0.49503200000000003</v>
      </c>
      <c r="F1828" t="s">
        <v>44</v>
      </c>
      <c r="G1828">
        <v>0</v>
      </c>
      <c r="H1828">
        <v>0</v>
      </c>
      <c r="I1828">
        <v>0</v>
      </c>
      <c r="J1828">
        <v>-228.90989999999999</v>
      </c>
      <c r="K1828">
        <v>1.110058</v>
      </c>
      <c r="L1828">
        <v>282.68799999999999</v>
      </c>
      <c r="M1828">
        <v>-0.9993147</v>
      </c>
      <c r="N1828">
        <v>0</v>
      </c>
      <c r="O1828">
        <v>3.5410200000000003E-2</v>
      </c>
      <c r="P1828">
        <v>-0.99752039999999997</v>
      </c>
      <c r="Q1828">
        <v>5.4691330000000003E-2</v>
      </c>
      <c r="R1828">
        <v>4.4295510000000003E-2</v>
      </c>
      <c r="S1828">
        <v>-2.992035</v>
      </c>
      <c r="T1828">
        <v>0.20565120000000001</v>
      </c>
      <c r="U1828">
        <v>9.1339110000000001E-2</v>
      </c>
      <c r="V1828">
        <v>8.9419879999999997E-3</v>
      </c>
      <c r="W1828">
        <v>6.5462309999999996E-2</v>
      </c>
      <c r="X1828">
        <v>0.99781500000000001</v>
      </c>
      <c r="Y1828">
        <v>-4.806945E-3</v>
      </c>
      <c r="Z1828">
        <v>2.594809E-3</v>
      </c>
      <c r="AA1828">
        <v>0.99998509999999996</v>
      </c>
      <c r="AB1828">
        <v>20</v>
      </c>
      <c r="AC1828">
        <v>-2.992035</v>
      </c>
      <c r="AD1828">
        <v>0.20565120000000001</v>
      </c>
      <c r="AE1828">
        <v>9.1339110000000001E-2</v>
      </c>
      <c r="AF1828">
        <v>-1.4603967354895501E-2</v>
      </c>
      <c r="AG1828">
        <v>0.20565120000000001</v>
      </c>
      <c r="AH1828">
        <v>2.9793310082094999</v>
      </c>
      <c r="AI1828">
        <v>86.051414024852903</v>
      </c>
      <c r="AJ1828">
        <v>90.2808479453291</v>
      </c>
      <c r="AK1828">
        <v>2.98645591770623</v>
      </c>
      <c r="AL1828">
        <v>86.246601998586002</v>
      </c>
      <c r="AM1828">
        <v>89.486553661477799</v>
      </c>
      <c r="AN1828">
        <v>1.00000002370246</v>
      </c>
    </row>
    <row r="1829" spans="1:40" x14ac:dyDescent="0.25">
      <c r="A1829" t="str">
        <f>"20190312151021150"</f>
        <v>20190312151021150</v>
      </c>
      <c r="B1829" t="str">
        <f>"1552374621142069"</f>
        <v>1552374621142069</v>
      </c>
      <c r="C1829" t="s">
        <v>40</v>
      </c>
      <c r="D1829">
        <v>4.9263479999999999</v>
      </c>
      <c r="E1829">
        <v>0.49504880000000001</v>
      </c>
      <c r="F1829" t="s">
        <v>44</v>
      </c>
      <c r="G1829">
        <v>0</v>
      </c>
      <c r="H1829">
        <v>0</v>
      </c>
      <c r="I1829">
        <v>0</v>
      </c>
      <c r="J1829">
        <v>-229.10769999999999</v>
      </c>
      <c r="K1829">
        <v>1.110052</v>
      </c>
      <c r="L1829">
        <v>282.69490000000002</v>
      </c>
      <c r="M1829">
        <v>-0.99931910000000002</v>
      </c>
      <c r="N1829">
        <v>0</v>
      </c>
      <c r="O1829">
        <v>3.5291450000000002E-2</v>
      </c>
      <c r="P1829">
        <v>-0.99755249999999995</v>
      </c>
      <c r="Q1829">
        <v>5.3239880000000003E-2</v>
      </c>
      <c r="R1829">
        <v>4.5332039999999997E-2</v>
      </c>
      <c r="S1829">
        <v>-2.992264</v>
      </c>
      <c r="T1829">
        <v>0.20063510000000001</v>
      </c>
      <c r="U1829">
        <v>9.4543459999999996E-2</v>
      </c>
      <c r="V1829">
        <v>1.009379E-2</v>
      </c>
      <c r="W1829">
        <v>6.3987199999999994E-2</v>
      </c>
      <c r="X1829">
        <v>0.99789969999999995</v>
      </c>
      <c r="Y1829">
        <v>-3.628109E-3</v>
      </c>
      <c r="Z1829">
        <v>2.4840029999999998E-3</v>
      </c>
      <c r="AA1829">
        <v>0.9999903</v>
      </c>
      <c r="AB1829">
        <v>20</v>
      </c>
      <c r="AC1829">
        <v>-2.992264</v>
      </c>
      <c r="AD1829">
        <v>0.20063510000000001</v>
      </c>
      <c r="AE1829">
        <v>9.4543459999999996E-2</v>
      </c>
      <c r="AF1829">
        <v>-1.10731604260304E-2</v>
      </c>
      <c r="AG1829">
        <v>0.20063510000000001</v>
      </c>
      <c r="AH1829">
        <v>2.9803506463204399</v>
      </c>
      <c r="AI1829">
        <v>86.148725974535395</v>
      </c>
      <c r="AJ1829">
        <v>90.212875099033099</v>
      </c>
      <c r="AK1829">
        <v>2.9871168429200301</v>
      </c>
      <c r="AL1829">
        <v>86.331297193132798</v>
      </c>
      <c r="AM1829">
        <v>89.420470971470095</v>
      </c>
      <c r="AN1829">
        <v>1.00000002881024</v>
      </c>
    </row>
    <row r="1830" spans="1:40" x14ac:dyDescent="0.25">
      <c r="A1830" t="str">
        <f>"20190312151021164"</f>
        <v>20190312151021164</v>
      </c>
      <c r="B1830" t="str">
        <f>"1552374621152805"</f>
        <v>1552374621152805</v>
      </c>
      <c r="C1830" t="s">
        <v>40</v>
      </c>
      <c r="D1830">
        <v>5.3881680000000003</v>
      </c>
      <c r="E1830">
        <v>0.49505339999999998</v>
      </c>
      <c r="F1830" t="s">
        <v>44</v>
      </c>
      <c r="G1830">
        <v>0</v>
      </c>
      <c r="H1830">
        <v>0</v>
      </c>
      <c r="I1830">
        <v>0</v>
      </c>
      <c r="J1830">
        <v>-229.22309999999999</v>
      </c>
      <c r="K1830">
        <v>1.1100460000000001</v>
      </c>
      <c r="L1830">
        <v>282.69889999999998</v>
      </c>
      <c r="M1830">
        <v>-0.99932189999999999</v>
      </c>
      <c r="N1830">
        <v>0</v>
      </c>
      <c r="O1830">
        <v>3.5217270000000002E-2</v>
      </c>
      <c r="P1830">
        <v>-0.99757280000000004</v>
      </c>
      <c r="Q1830">
        <v>5.238549E-2</v>
      </c>
      <c r="R1830">
        <v>4.5870319999999999E-2</v>
      </c>
      <c r="S1830">
        <v>-2.9924930000000001</v>
      </c>
      <c r="T1830">
        <v>0.1957151</v>
      </c>
      <c r="U1830">
        <v>9.7747799999999996E-2</v>
      </c>
      <c r="V1830">
        <v>1.070375E-2</v>
      </c>
      <c r="W1830">
        <v>6.3113030000000001E-2</v>
      </c>
      <c r="X1830">
        <v>0.99794899999999997</v>
      </c>
      <c r="Y1830">
        <v>-2.4934190000000002E-3</v>
      </c>
      <c r="Z1830">
        <v>2.3810860000000001E-3</v>
      </c>
      <c r="AA1830">
        <v>0.99999400000000005</v>
      </c>
      <c r="AB1830">
        <v>20</v>
      </c>
      <c r="AC1830">
        <v>-2.9924930000000001</v>
      </c>
      <c r="AD1830">
        <v>0.1957151</v>
      </c>
      <c r="AE1830">
        <v>9.7747799999999996E-2</v>
      </c>
      <c r="AF1830">
        <v>-7.6735735809337E-3</v>
      </c>
      <c r="AG1830">
        <v>0.1957151</v>
      </c>
      <c r="AH1830">
        <v>2.9813402236556699</v>
      </c>
      <c r="AI1830">
        <v>86.244123596461094</v>
      </c>
      <c r="AJ1830">
        <v>90.147471397458403</v>
      </c>
      <c r="AK1830">
        <v>2.9877671952959801</v>
      </c>
      <c r="AL1830">
        <v>86.381484844396198</v>
      </c>
      <c r="AM1830">
        <v>89.385483442530202</v>
      </c>
      <c r="AN1830">
        <v>1.0000000157104201</v>
      </c>
    </row>
    <row r="1831" spans="1:40" x14ac:dyDescent="0.25">
      <c r="A1831" t="str">
        <f>"20190312151021176"</f>
        <v>20190312151021176</v>
      </c>
      <c r="B1831" t="str">
        <f>"1552374621172325"</f>
        <v>1552374621172325</v>
      </c>
      <c r="C1831" t="s">
        <v>40</v>
      </c>
      <c r="D1831">
        <v>5.4994620000000003</v>
      </c>
      <c r="E1831">
        <v>0.49505280000000002</v>
      </c>
      <c r="F1831" t="s">
        <v>44</v>
      </c>
      <c r="G1831">
        <v>0</v>
      </c>
      <c r="H1831">
        <v>0</v>
      </c>
      <c r="I1831">
        <v>0</v>
      </c>
      <c r="J1831">
        <v>-229.33510000000001</v>
      </c>
      <c r="K1831">
        <v>1.1100410000000001</v>
      </c>
      <c r="L1831">
        <v>282.70280000000002</v>
      </c>
      <c r="M1831">
        <v>-0.99932489999999996</v>
      </c>
      <c r="N1831">
        <v>0</v>
      </c>
      <c r="O1831">
        <v>3.5142159999999999E-2</v>
      </c>
      <c r="P1831">
        <v>-0.99758329999999995</v>
      </c>
      <c r="Q1831">
        <v>5.1785329999999997E-2</v>
      </c>
      <c r="R1831">
        <v>4.632588E-2</v>
      </c>
      <c r="S1831">
        <v>-2.9926149999999998</v>
      </c>
      <c r="T1831">
        <v>0.19263050000000001</v>
      </c>
      <c r="U1831">
        <v>9.9273680000000003E-2</v>
      </c>
      <c r="V1831">
        <v>1.123294E-2</v>
      </c>
      <c r="W1831">
        <v>6.248865E-2</v>
      </c>
      <c r="X1831">
        <v>0.99798240000000005</v>
      </c>
      <c r="Y1831">
        <v>-1.914125E-3</v>
      </c>
      <c r="Z1831">
        <v>2.3200719999999998E-3</v>
      </c>
      <c r="AA1831">
        <v>0.99999550000000004</v>
      </c>
      <c r="AB1831">
        <v>20</v>
      </c>
      <c r="AC1831">
        <v>-2.9926149999999998</v>
      </c>
      <c r="AD1831">
        <v>0.19263050000000001</v>
      </c>
      <c r="AE1831">
        <v>9.9273680000000003E-2</v>
      </c>
      <c r="AF1831">
        <v>-5.9360688857748398E-3</v>
      </c>
      <c r="AG1831">
        <v>0.19263050000000001</v>
      </c>
      <c r="AH1831">
        <v>2.98191377168909</v>
      </c>
      <c r="AI1831">
        <v>86.303857424568093</v>
      </c>
      <c r="AJ1831">
        <v>90.114058041521304</v>
      </c>
      <c r="AK1831">
        <v>2.9881351188045602</v>
      </c>
      <c r="AL1831">
        <v>86.417329668863701</v>
      </c>
      <c r="AM1831">
        <v>89.355126025833997</v>
      </c>
      <c r="AN1831">
        <v>0.999999940514811</v>
      </c>
    </row>
    <row r="1832" spans="1:40" x14ac:dyDescent="0.25">
      <c r="A1832" t="str">
        <f>"20190312151021308"</f>
        <v>20190312151021308</v>
      </c>
      <c r="B1832" t="str">
        <f>"1552374621302638"</f>
        <v>1552374621302638</v>
      </c>
      <c r="C1832" t="s">
        <v>40</v>
      </c>
      <c r="D1832">
        <v>5.3589710000000004</v>
      </c>
      <c r="E1832">
        <v>0.49500379999999999</v>
      </c>
      <c r="F1832" t="s">
        <v>44</v>
      </c>
      <c r="G1832">
        <v>0</v>
      </c>
      <c r="H1832">
        <v>0</v>
      </c>
      <c r="I1832">
        <v>0</v>
      </c>
      <c r="J1832">
        <v>-230.5249</v>
      </c>
      <c r="K1832">
        <v>1.109934</v>
      </c>
      <c r="L1832">
        <v>282.74310000000003</v>
      </c>
      <c r="M1832">
        <v>-0.99936499999999995</v>
      </c>
      <c r="N1832">
        <v>0</v>
      </c>
      <c r="O1832">
        <v>3.4183320000000003E-2</v>
      </c>
      <c r="P1832">
        <v>-0.99774249999999998</v>
      </c>
      <c r="Q1832">
        <v>4.9784219999999997E-2</v>
      </c>
      <c r="R1832">
        <v>4.5071319999999998E-2</v>
      </c>
      <c r="S1832">
        <v>-2.9927060000000001</v>
      </c>
      <c r="T1832">
        <v>0.19072339999999999</v>
      </c>
      <c r="U1832">
        <v>0.10058590000000001</v>
      </c>
      <c r="V1832">
        <v>1.0926669999999999E-2</v>
      </c>
      <c r="W1832">
        <v>5.9822409999999999E-2</v>
      </c>
      <c r="X1832">
        <v>0.99814919999999996</v>
      </c>
      <c r="Y1832">
        <v>-5.2369929999999997E-4</v>
      </c>
      <c r="Z1832">
        <v>2.1918089999999999E-3</v>
      </c>
      <c r="AA1832">
        <v>0.99999740000000004</v>
      </c>
      <c r="AB1832">
        <v>20</v>
      </c>
      <c r="AC1832">
        <v>-2.9927060000000001</v>
      </c>
      <c r="AD1832">
        <v>0.19072339999999999</v>
      </c>
      <c r="AE1832">
        <v>0.10058590000000001</v>
      </c>
      <c r="AF1832">
        <v>-1.77150209531327E-3</v>
      </c>
      <c r="AG1832">
        <v>0.19072339999999999</v>
      </c>
      <c r="AH1832">
        <v>2.9822966122913699</v>
      </c>
      <c r="AI1832">
        <v>86.340812339150204</v>
      </c>
      <c r="AJ1832">
        <v>90.034034033068295</v>
      </c>
      <c r="AK1832">
        <v>2.9883894721424502</v>
      </c>
      <c r="AL1832">
        <v>86.570380594499596</v>
      </c>
      <c r="AM1832">
        <v>89.372812131473196</v>
      </c>
      <c r="AN1832">
        <v>0.99999996915806799</v>
      </c>
    </row>
    <row r="1833" spans="1:40" x14ac:dyDescent="0.25">
      <c r="A1833" t="str">
        <f>"20190312151021330"</f>
        <v>20190312151021330</v>
      </c>
      <c r="B1833" t="str">
        <f>"1552374621322665"</f>
        <v>1552374621322665</v>
      </c>
      <c r="C1833" t="s">
        <v>40</v>
      </c>
      <c r="D1833">
        <v>5.4138909999999996</v>
      </c>
      <c r="E1833">
        <v>0.4950138</v>
      </c>
      <c r="F1833" t="s">
        <v>44</v>
      </c>
      <c r="G1833">
        <v>0</v>
      </c>
      <c r="H1833">
        <v>0</v>
      </c>
      <c r="I1833">
        <v>0</v>
      </c>
      <c r="J1833">
        <v>-230.7304</v>
      </c>
      <c r="K1833">
        <v>1.1099239999999999</v>
      </c>
      <c r="L1833">
        <v>282.74990000000003</v>
      </c>
      <c r="M1833">
        <v>-0.99937240000000005</v>
      </c>
      <c r="N1833">
        <v>0</v>
      </c>
      <c r="O1833">
        <v>3.4013250000000002E-2</v>
      </c>
      <c r="P1833">
        <v>-0.99781030000000004</v>
      </c>
      <c r="Q1833">
        <v>4.9631410000000001E-2</v>
      </c>
      <c r="R1833">
        <v>4.3718890000000003E-2</v>
      </c>
      <c r="S1833">
        <v>-2.993271</v>
      </c>
      <c r="T1833">
        <v>0.18355479999999999</v>
      </c>
      <c r="U1833">
        <v>9.6313480000000007E-2</v>
      </c>
      <c r="V1833">
        <v>9.7423360000000007E-3</v>
      </c>
      <c r="W1833">
        <v>5.9520160000000003E-2</v>
      </c>
      <c r="X1833">
        <v>0.99817959999999994</v>
      </c>
      <c r="Y1833">
        <v>-1.7887529999999999E-3</v>
      </c>
      <c r="Z1833">
        <v>2.1375769999999999E-3</v>
      </c>
      <c r="AA1833">
        <v>0.99999610000000005</v>
      </c>
      <c r="AB1833">
        <v>20</v>
      </c>
      <c r="AC1833">
        <v>-2.993271</v>
      </c>
      <c r="AD1833">
        <v>0.18355479999999999</v>
      </c>
      <c r="AE1833">
        <v>9.6313480000000007E-2</v>
      </c>
      <c r="AF1833">
        <v>-5.5373120413910702E-3</v>
      </c>
      <c r="AG1833">
        <v>0.18355479999999999</v>
      </c>
      <c r="AH1833">
        <v>2.9836068748724598</v>
      </c>
      <c r="AI1833">
        <v>86.479543220101704</v>
      </c>
      <c r="AJ1833">
        <v>90.106335807250005</v>
      </c>
      <c r="AK1833">
        <v>2.9892529184085199</v>
      </c>
      <c r="AL1833">
        <v>86.587729394082501</v>
      </c>
      <c r="AM1833">
        <v>89.440805029536506</v>
      </c>
      <c r="AN1833">
        <v>1.0000000382066601</v>
      </c>
    </row>
    <row r="1834" spans="1:40" x14ac:dyDescent="0.25">
      <c r="A1834" t="str">
        <f>"20190312151021352"</f>
        <v>20190312151021352</v>
      </c>
      <c r="B1834" t="str">
        <f>"1552374621342188"</f>
        <v>1552374621342188</v>
      </c>
      <c r="C1834" t="s">
        <v>40</v>
      </c>
      <c r="D1834">
        <v>4.9608600000000003</v>
      </c>
      <c r="E1834">
        <v>0.50031949999999903</v>
      </c>
      <c r="F1834" t="s">
        <v>44</v>
      </c>
      <c r="G1834">
        <v>0</v>
      </c>
      <c r="H1834">
        <v>0</v>
      </c>
      <c r="I1834">
        <v>0</v>
      </c>
      <c r="J1834">
        <v>-230.93119999999999</v>
      </c>
      <c r="K1834">
        <v>1.1099049999999999</v>
      </c>
      <c r="L1834">
        <v>282.75650000000002</v>
      </c>
      <c r="M1834">
        <v>-0.99937949999999998</v>
      </c>
      <c r="N1834">
        <v>0</v>
      </c>
      <c r="O1834">
        <v>3.3848740000000002E-2</v>
      </c>
      <c r="P1834">
        <v>-0.99787400000000004</v>
      </c>
      <c r="Q1834">
        <v>4.9433940000000003E-2</v>
      </c>
      <c r="R1834">
        <v>4.2473509999999999E-2</v>
      </c>
      <c r="S1834">
        <v>-2.9933779999999999</v>
      </c>
      <c r="T1834">
        <v>0.18395449999999999</v>
      </c>
      <c r="U1834">
        <v>9.2529299999999995E-2</v>
      </c>
      <c r="V1834">
        <v>8.6597029999999995E-3</v>
      </c>
      <c r="W1834">
        <v>5.9180299999999998E-2</v>
      </c>
      <c r="X1834">
        <v>0.99820980000000004</v>
      </c>
      <c r="Y1834">
        <v>-2.886118E-3</v>
      </c>
      <c r="Z1834">
        <v>2.1657859999999998E-3</v>
      </c>
      <c r="AA1834">
        <v>0.99999349999999998</v>
      </c>
      <c r="AB1834">
        <v>20</v>
      </c>
      <c r="AC1834">
        <v>-2.9933779999999999</v>
      </c>
      <c r="AD1834">
        <v>0.18395449999999999</v>
      </c>
      <c r="AE1834">
        <v>9.2529299999999995E-2</v>
      </c>
      <c r="AF1834">
        <v>-8.8173404185789804E-3</v>
      </c>
      <c r="AG1834">
        <v>0.18395449999999999</v>
      </c>
      <c r="AH1834">
        <v>2.9835378941717199</v>
      </c>
      <c r="AI1834">
        <v>86.471824529700299</v>
      </c>
      <c r="AJ1834">
        <v>90.169327469484401</v>
      </c>
      <c r="AK1834">
        <v>2.9892165143262699</v>
      </c>
      <c r="AL1834">
        <v>86.607236368913803</v>
      </c>
      <c r="AM1834">
        <v>89.502958208544001</v>
      </c>
      <c r="AN1834">
        <v>1.00000005159008</v>
      </c>
    </row>
    <row r="1835" spans="1:40" x14ac:dyDescent="0.25">
      <c r="A1835" t="str">
        <f>"20190312151021374"</f>
        <v>20190312151021374</v>
      </c>
      <c r="B1835" t="str">
        <f>"1552374621372441"</f>
        <v>1552374621372441</v>
      </c>
      <c r="C1835" t="s">
        <v>40</v>
      </c>
      <c r="D1835">
        <v>5.5204399999999998</v>
      </c>
      <c r="E1835">
        <v>0.49775789999999998</v>
      </c>
      <c r="F1835" t="s">
        <v>64</v>
      </c>
      <c r="G1835">
        <v>-510.96640000000002</v>
      </c>
      <c r="H1835">
        <v>38.63561</v>
      </c>
      <c r="I1835">
        <v>295.63819999999998</v>
      </c>
      <c r="J1835">
        <v>-231.13210000000001</v>
      </c>
      <c r="K1835">
        <v>1.109888</v>
      </c>
      <c r="L1835">
        <v>282.76319999999998</v>
      </c>
      <c r="M1835">
        <v>-0.99938610000000005</v>
      </c>
      <c r="N1835">
        <v>0</v>
      </c>
      <c r="O1835">
        <v>3.3686210000000001E-2</v>
      </c>
      <c r="P1835">
        <v>-0.99791969999999997</v>
      </c>
      <c r="Q1835">
        <v>4.9350289999999998E-2</v>
      </c>
      <c r="R1835">
        <v>4.1485939999999999E-2</v>
      </c>
      <c r="S1835">
        <v>-2.9807589999999999</v>
      </c>
      <c r="T1835">
        <v>0.39943269999999997</v>
      </c>
      <c r="U1835">
        <v>0.1371155</v>
      </c>
      <c r="V1835">
        <v>7.8337040000000004E-3</v>
      </c>
      <c r="W1835">
        <v>5.8963710000000003E-2</v>
      </c>
      <c r="X1835">
        <v>0.99822940000000004</v>
      </c>
      <c r="Y1835">
        <v>1.24625E-2</v>
      </c>
      <c r="Z1835">
        <v>3.6594890000000001E-3</v>
      </c>
      <c r="AA1835">
        <v>0.99991569999999996</v>
      </c>
      <c r="AB1835">
        <v>20</v>
      </c>
      <c r="AC1835">
        <v>-279.83429999999998</v>
      </c>
      <c r="AD1835">
        <v>37.525721999999902</v>
      </c>
      <c r="AE1835">
        <v>12.875</v>
      </c>
      <c r="AF1835">
        <v>3.3800443456778302</v>
      </c>
      <c r="AG1835">
        <v>37.525721999999902</v>
      </c>
      <c r="AH1835">
        <v>275.171312364416</v>
      </c>
      <c r="AI1835">
        <v>82.234929943622802</v>
      </c>
      <c r="AJ1835">
        <v>89.296247364167499</v>
      </c>
      <c r="AK1835">
        <v>277.738826345463</v>
      </c>
      <c r="AL1835">
        <v>86.619667630840695</v>
      </c>
      <c r="AM1835">
        <v>89.550374930227406</v>
      </c>
      <c r="AN1835">
        <v>1.0000000105198401</v>
      </c>
    </row>
    <row r="1836" spans="1:40" x14ac:dyDescent="0.25">
      <c r="A1836" t="str">
        <f>"20190312151021396"</f>
        <v>20190312151021396</v>
      </c>
      <c r="B1836" t="str">
        <f>"1552374621392937"</f>
        <v>1552374621392937</v>
      </c>
      <c r="C1836" t="s">
        <v>40</v>
      </c>
      <c r="D1836">
        <v>5.5198260000000001</v>
      </c>
      <c r="E1836">
        <v>0.4972839</v>
      </c>
      <c r="F1836" t="s">
        <v>64</v>
      </c>
      <c r="G1836">
        <v>-550.06560000000002</v>
      </c>
      <c r="H1836">
        <v>26.324839999999998</v>
      </c>
      <c r="I1836">
        <v>294.3972</v>
      </c>
      <c r="J1836">
        <v>-231.3365</v>
      </c>
      <c r="K1836">
        <v>1.1098699999999999</v>
      </c>
      <c r="L1836">
        <v>282.76979999999998</v>
      </c>
      <c r="M1836">
        <v>-0.99939299999999998</v>
      </c>
      <c r="N1836">
        <v>0</v>
      </c>
      <c r="O1836">
        <v>3.3521750000000003E-2</v>
      </c>
      <c r="P1836">
        <v>-0.99797499999999995</v>
      </c>
      <c r="Q1836">
        <v>4.8914829999999999E-2</v>
      </c>
      <c r="R1836">
        <v>4.066438E-2</v>
      </c>
      <c r="S1836">
        <v>-2.990021</v>
      </c>
      <c r="T1836">
        <v>0.2363924</v>
      </c>
      <c r="U1836">
        <v>0.10906979999999999</v>
      </c>
      <c r="V1836">
        <v>7.1750310000000001E-3</v>
      </c>
      <c r="W1836">
        <v>5.8399640000000003E-2</v>
      </c>
      <c r="X1836">
        <v>0.99826749999999997</v>
      </c>
      <c r="Y1836">
        <v>3.0272160000000001E-3</v>
      </c>
      <c r="Z1836">
        <v>2.5251430000000001E-3</v>
      </c>
      <c r="AA1836">
        <v>0.99999229999999995</v>
      </c>
      <c r="AB1836">
        <v>21</v>
      </c>
      <c r="AC1836">
        <v>-318.72910000000002</v>
      </c>
      <c r="AD1836">
        <v>25.214970000000001</v>
      </c>
      <c r="AE1836">
        <v>11.6274</v>
      </c>
      <c r="AF1836">
        <v>0.93021300300573195</v>
      </c>
      <c r="AG1836">
        <v>25.214970000000001</v>
      </c>
      <c r="AH1836">
        <v>316.95867854340401</v>
      </c>
      <c r="AI1836">
        <v>85.451555352197204</v>
      </c>
      <c r="AJ1836">
        <v>89.831848345822607</v>
      </c>
      <c r="AK1836">
        <v>317.96141890536501</v>
      </c>
      <c r="AL1836">
        <v>86.652042216696003</v>
      </c>
      <c r="AM1836">
        <v>89.588194631918</v>
      </c>
      <c r="AN1836">
        <v>1.0000000002891101</v>
      </c>
    </row>
    <row r="1837" spans="1:40" x14ac:dyDescent="0.25">
      <c r="A1837" t="str">
        <f>"20190312151021409"</f>
        <v>20190312151021409</v>
      </c>
      <c r="B1837" t="str">
        <f>"1552374621402697"</f>
        <v>1552374621402697</v>
      </c>
      <c r="C1837" t="s">
        <v>40</v>
      </c>
      <c r="D1837">
        <v>5.5193949999999896</v>
      </c>
      <c r="E1837">
        <v>0.4971566</v>
      </c>
      <c r="F1837" t="s">
        <v>64</v>
      </c>
      <c r="G1837">
        <v>-553.07860000000005</v>
      </c>
      <c r="H1837">
        <v>22.11871</v>
      </c>
      <c r="I1837">
        <v>293.69319999999999</v>
      </c>
      <c r="J1837">
        <v>-231.4537</v>
      </c>
      <c r="K1837">
        <v>1.1098589999999999</v>
      </c>
      <c r="L1837">
        <v>282.77370000000002</v>
      </c>
      <c r="M1837">
        <v>-0.99939670000000003</v>
      </c>
      <c r="N1837">
        <v>0</v>
      </c>
      <c r="O1837">
        <v>3.3427819999999997E-2</v>
      </c>
      <c r="P1837">
        <v>-0.99801620000000002</v>
      </c>
      <c r="Q1837">
        <v>4.8489350000000001E-2</v>
      </c>
      <c r="R1837">
        <v>4.0158630000000001E-2</v>
      </c>
      <c r="S1837">
        <v>-2.9923549999999999</v>
      </c>
      <c r="T1837">
        <v>0.19539280000000001</v>
      </c>
      <c r="U1837">
        <v>0.101593</v>
      </c>
      <c r="V1837">
        <v>6.762194E-3</v>
      </c>
      <c r="W1837">
        <v>5.7901710000000002E-2</v>
      </c>
      <c r="X1837">
        <v>0.99829939999999995</v>
      </c>
      <c r="Y1837">
        <v>5.721379E-4</v>
      </c>
      <c r="Z1837">
        <v>2.1606289999999998E-3</v>
      </c>
      <c r="AA1837">
        <v>0.99999749999999998</v>
      </c>
      <c r="AB1837">
        <v>21</v>
      </c>
      <c r="AC1837">
        <v>-321.62490000000003</v>
      </c>
      <c r="AD1837">
        <v>21.008851</v>
      </c>
      <c r="AE1837">
        <v>10.9194999999999</v>
      </c>
      <c r="AF1837">
        <v>0.161013953877091</v>
      </c>
      <c r="AG1837">
        <v>21.008851</v>
      </c>
      <c r="AH1837">
        <v>320.44446256055699</v>
      </c>
      <c r="AI1837">
        <v>86.2489658549014</v>
      </c>
      <c r="AJ1837">
        <v>89.971210551901095</v>
      </c>
      <c r="AK1837">
        <v>321.13245138347202</v>
      </c>
      <c r="AL1837">
        <v>86.680619907512806</v>
      </c>
      <c r="AM1837">
        <v>89.611900747540005</v>
      </c>
      <c r="AN1837">
        <v>1.00000001366448</v>
      </c>
    </row>
    <row r="1838" spans="1:40" x14ac:dyDescent="0.25">
      <c r="A1838" t="str">
        <f>"20190312151021430"</f>
        <v>20190312151021430</v>
      </c>
      <c r="B1838" t="str">
        <f>"1552374621422217"</f>
        <v>1552374621422217</v>
      </c>
      <c r="C1838" t="s">
        <v>40</v>
      </c>
      <c r="D1838">
        <v>5.5089040000000002</v>
      </c>
      <c r="E1838">
        <v>0.49699500000000002</v>
      </c>
      <c r="F1838" t="s">
        <v>44</v>
      </c>
      <c r="G1838">
        <v>0</v>
      </c>
      <c r="H1838">
        <v>0</v>
      </c>
      <c r="I1838">
        <v>0</v>
      </c>
      <c r="J1838">
        <v>-231.64689999999999</v>
      </c>
      <c r="K1838">
        <v>1.1098399999999999</v>
      </c>
      <c r="L1838">
        <v>282.7799</v>
      </c>
      <c r="M1838">
        <v>-0.99940309999999999</v>
      </c>
      <c r="N1838">
        <v>0</v>
      </c>
      <c r="O1838">
        <v>3.3273440000000001E-2</v>
      </c>
      <c r="P1838">
        <v>-0.99809340000000002</v>
      </c>
      <c r="Q1838">
        <v>4.7693140000000002E-2</v>
      </c>
      <c r="R1838">
        <v>3.9184419999999998E-2</v>
      </c>
      <c r="S1838">
        <v>-2.993134</v>
      </c>
      <c r="T1838">
        <v>0.1820319</v>
      </c>
      <c r="U1838">
        <v>9.8907469999999997E-2</v>
      </c>
      <c r="V1838">
        <v>5.9404310000000004E-3</v>
      </c>
      <c r="W1838">
        <v>5.6985319999999999E-2</v>
      </c>
      <c r="X1838">
        <v>0.99835739999999995</v>
      </c>
      <c r="Y1838">
        <v>-1.865263E-4</v>
      </c>
      <c r="Z1838">
        <v>2.026351E-3</v>
      </c>
      <c r="AA1838">
        <v>0.9999979</v>
      </c>
      <c r="AB1838">
        <v>21</v>
      </c>
      <c r="AC1838">
        <v>-2.993134</v>
      </c>
      <c r="AD1838">
        <v>0.1820319</v>
      </c>
      <c r="AE1838">
        <v>9.8907469999999997E-2</v>
      </c>
      <c r="AF1838">
        <v>-7.4072781803455302E-4</v>
      </c>
      <c r="AG1838">
        <v>0.1820319</v>
      </c>
      <c r="AH1838">
        <v>2.9837438771364502</v>
      </c>
      <c r="AI1838">
        <v>86.508832883534495</v>
      </c>
      <c r="AJ1838">
        <v>90.014223934297604</v>
      </c>
      <c r="AK1838">
        <v>2.9892915022868798</v>
      </c>
      <c r="AL1838">
        <v>86.733212171351894</v>
      </c>
      <c r="AM1838">
        <v>89.659082400704705</v>
      </c>
      <c r="AN1838">
        <v>1.00000005677536</v>
      </c>
    </row>
    <row r="1839" spans="1:40" x14ac:dyDescent="0.25">
      <c r="A1839" t="str">
        <f>"20190312151021452"</f>
        <v>20190312151021452</v>
      </c>
      <c r="B1839" t="str">
        <f>"1552374621442713"</f>
        <v>1552374621442713</v>
      </c>
      <c r="C1839" t="s">
        <v>40</v>
      </c>
      <c r="D1839">
        <v>5.4440480000000004</v>
      </c>
      <c r="E1839">
        <v>0.4967702</v>
      </c>
      <c r="F1839" t="s">
        <v>44</v>
      </c>
      <c r="G1839">
        <v>0</v>
      </c>
      <c r="H1839">
        <v>0</v>
      </c>
      <c r="I1839">
        <v>0</v>
      </c>
      <c r="J1839">
        <v>-231.85319999999999</v>
      </c>
      <c r="K1839">
        <v>1.1098250000000001</v>
      </c>
      <c r="L1839">
        <v>282.78660000000002</v>
      </c>
      <c r="M1839">
        <v>-0.99940960000000001</v>
      </c>
      <c r="N1839">
        <v>0</v>
      </c>
      <c r="O1839">
        <v>3.31095E-2</v>
      </c>
      <c r="P1839">
        <v>-0.99814119999999995</v>
      </c>
      <c r="Q1839">
        <v>4.728305E-2</v>
      </c>
      <c r="R1839">
        <v>3.8454839999999997E-2</v>
      </c>
      <c r="S1839">
        <v>-2.9942630000000001</v>
      </c>
      <c r="T1839">
        <v>0.16318199999999999</v>
      </c>
      <c r="U1839">
        <v>9.408569E-2</v>
      </c>
      <c r="V1839">
        <v>5.3737159999999997E-3</v>
      </c>
      <c r="W1839">
        <v>5.64483E-2</v>
      </c>
      <c r="X1839">
        <v>0.99839100000000003</v>
      </c>
      <c r="Y1839">
        <v>-1.6537769999999999E-3</v>
      </c>
      <c r="Z1839">
        <v>1.8472409999999999E-3</v>
      </c>
      <c r="AA1839">
        <v>0.99999689999999997</v>
      </c>
      <c r="AB1839">
        <v>21</v>
      </c>
      <c r="AC1839">
        <v>-2.9942630000000001</v>
      </c>
      <c r="AD1839">
        <v>0.16318199999999999</v>
      </c>
      <c r="AE1839">
        <v>9.408569E-2</v>
      </c>
      <c r="AF1839">
        <v>-5.0935110088667496E-3</v>
      </c>
      <c r="AG1839">
        <v>0.16318199999999999</v>
      </c>
      <c r="AH1839">
        <v>2.98687402664285</v>
      </c>
      <c r="AI1839">
        <v>86.872870865145501</v>
      </c>
      <c r="AJ1839">
        <v>90.097706297024104</v>
      </c>
      <c r="AK1839">
        <v>2.99133260604903</v>
      </c>
      <c r="AL1839">
        <v>86.764030373663502</v>
      </c>
      <c r="AM1839">
        <v>89.691615535443404</v>
      </c>
      <c r="AN1839">
        <v>0.99999993813876698</v>
      </c>
    </row>
    <row r="1840" spans="1:40" x14ac:dyDescent="0.25">
      <c r="A1840" t="str">
        <f>"20190312151021475"</f>
        <v>20190312151021475</v>
      </c>
      <c r="B1840" t="str">
        <f>"1552374621472970"</f>
        <v>1552374621472970</v>
      </c>
      <c r="C1840" t="s">
        <v>40</v>
      </c>
      <c r="D1840">
        <v>5.5744610000000003</v>
      </c>
      <c r="E1840">
        <v>0.49676759999999898</v>
      </c>
      <c r="F1840" t="s">
        <v>44</v>
      </c>
      <c r="G1840">
        <v>0</v>
      </c>
      <c r="H1840">
        <v>0</v>
      </c>
      <c r="I1840">
        <v>0</v>
      </c>
      <c r="J1840">
        <v>-232.06729999999999</v>
      </c>
      <c r="K1840">
        <v>1.109799</v>
      </c>
      <c r="L1840">
        <v>282.79349999999999</v>
      </c>
      <c r="M1840">
        <v>-0.99941659999999999</v>
      </c>
      <c r="N1840">
        <v>0</v>
      </c>
      <c r="O1840">
        <v>3.2938509999999997E-2</v>
      </c>
      <c r="P1840">
        <v>-0.99819270000000004</v>
      </c>
      <c r="Q1840">
        <v>4.6799689999999998E-2</v>
      </c>
      <c r="R1840">
        <v>3.7700249999999998E-2</v>
      </c>
      <c r="S1840">
        <v>-2.9949189999999999</v>
      </c>
      <c r="T1840">
        <v>0.15201389999999901</v>
      </c>
      <c r="U1840">
        <v>8.9874270000000006E-2</v>
      </c>
      <c r="V1840">
        <v>4.7884679999999997E-3</v>
      </c>
      <c r="W1840">
        <v>5.5834630000000003E-2</v>
      </c>
      <c r="X1840">
        <v>0.99842850000000005</v>
      </c>
      <c r="Y1840">
        <v>-2.8998219999999998E-3</v>
      </c>
      <c r="Z1840">
        <v>1.7435829999999999E-3</v>
      </c>
      <c r="AA1840">
        <v>0.9999943</v>
      </c>
      <c r="AB1840">
        <v>21</v>
      </c>
      <c r="AC1840">
        <v>-2.9949189999999999</v>
      </c>
      <c r="AD1840">
        <v>0.15201389999999901</v>
      </c>
      <c r="AE1840">
        <v>8.9874270000000006E-2</v>
      </c>
      <c r="AF1840">
        <v>-8.8040304209841894E-3</v>
      </c>
      <c r="AG1840">
        <v>0.15201389999999901</v>
      </c>
      <c r="AH1840">
        <v>2.9885617056485598</v>
      </c>
      <c r="AI1840">
        <v>87.0881587213796</v>
      </c>
      <c r="AJ1840">
        <v>90.168787656503397</v>
      </c>
      <c r="AK1840">
        <v>2.9924382709111801</v>
      </c>
      <c r="AL1840">
        <v>86.799246665555401</v>
      </c>
      <c r="AM1840">
        <v>89.725211266313593</v>
      </c>
      <c r="AN1840">
        <v>0.99999995247263596</v>
      </c>
    </row>
    <row r="1841" spans="1:40" x14ac:dyDescent="0.25">
      <c r="A1841" t="str">
        <f>"20190312151021497"</f>
        <v>20190312151021497</v>
      </c>
      <c r="B1841" t="str">
        <f>"1552374621492489"</f>
        <v>1552374621492489</v>
      </c>
      <c r="C1841" t="s">
        <v>40</v>
      </c>
      <c r="D1841">
        <v>5.4638419999999996</v>
      </c>
      <c r="E1841">
        <v>0.49647809999999998</v>
      </c>
      <c r="F1841" t="s">
        <v>44</v>
      </c>
      <c r="G1841">
        <v>0</v>
      </c>
      <c r="H1841">
        <v>0</v>
      </c>
      <c r="I1841">
        <v>0</v>
      </c>
      <c r="J1841">
        <v>-232.26830000000001</v>
      </c>
      <c r="K1841">
        <v>1.109788</v>
      </c>
      <c r="L1841">
        <v>282.79989999999998</v>
      </c>
      <c r="M1841">
        <v>-0.99942299999999995</v>
      </c>
      <c r="N1841">
        <v>0</v>
      </c>
      <c r="O1841">
        <v>3.2774440000000002E-2</v>
      </c>
      <c r="P1841">
        <v>-0.99823740000000005</v>
      </c>
      <c r="Q1841">
        <v>4.6229079999999999E-2</v>
      </c>
      <c r="R1841">
        <v>3.7215140000000001E-2</v>
      </c>
      <c r="S1841">
        <v>-2.9955440000000002</v>
      </c>
      <c r="T1841">
        <v>0.1406114</v>
      </c>
      <c r="U1841">
        <v>8.7280269999999993E-2</v>
      </c>
      <c r="V1841">
        <v>4.4662080000000002E-3</v>
      </c>
      <c r="W1841">
        <v>5.5144289999999999E-2</v>
      </c>
      <c r="X1841">
        <v>0.99846840000000003</v>
      </c>
      <c r="Y1841">
        <v>-3.6131409999999998E-3</v>
      </c>
      <c r="Z1841">
        <v>1.621674E-3</v>
      </c>
      <c r="AA1841">
        <v>0.99999210000000005</v>
      </c>
      <c r="AB1841">
        <v>21</v>
      </c>
      <c r="AC1841">
        <v>-2.9955440000000002</v>
      </c>
      <c r="AD1841">
        <v>0.1406114</v>
      </c>
      <c r="AE1841">
        <v>8.7280269999999993E-2</v>
      </c>
      <c r="AF1841">
        <v>-1.09237542326245E-2</v>
      </c>
      <c r="AG1841">
        <v>0.1406114</v>
      </c>
      <c r="AH1841">
        <v>2.9902122736064198</v>
      </c>
      <c r="AI1841">
        <v>87.307731022209595</v>
      </c>
      <c r="AJ1841">
        <v>90.209310300553895</v>
      </c>
      <c r="AK1841">
        <v>2.9935364262762798</v>
      </c>
      <c r="AL1841">
        <v>86.838861399461607</v>
      </c>
      <c r="AM1841">
        <v>89.743714310660096</v>
      </c>
      <c r="AN1841">
        <v>0.99999999276603102</v>
      </c>
    </row>
    <row r="1842" spans="1:40" x14ac:dyDescent="0.25">
      <c r="A1842" t="str">
        <f>"20190312151021520"</f>
        <v>20190312151021520</v>
      </c>
      <c r="B1842" t="str">
        <f>"1552374621512985"</f>
        <v>1552374621512985</v>
      </c>
      <c r="C1842" t="s">
        <v>40</v>
      </c>
      <c r="D1842">
        <v>5.4666180000000004</v>
      </c>
      <c r="E1842">
        <v>0.49636219999999998</v>
      </c>
      <c r="F1842" t="s">
        <v>44</v>
      </c>
      <c r="G1842">
        <v>0</v>
      </c>
      <c r="H1842">
        <v>0</v>
      </c>
      <c r="I1842">
        <v>0</v>
      </c>
      <c r="J1842">
        <v>-232.4888</v>
      </c>
      <c r="K1842">
        <v>1.109774</v>
      </c>
      <c r="L1842">
        <v>282.80689999999998</v>
      </c>
      <c r="M1842">
        <v>-0.99943020000000005</v>
      </c>
      <c r="N1842">
        <v>0</v>
      </c>
      <c r="O1842">
        <v>3.258863E-2</v>
      </c>
      <c r="P1842">
        <v>-0.99829369999999995</v>
      </c>
      <c r="Q1842">
        <v>4.5520709999999999E-2</v>
      </c>
      <c r="R1842">
        <v>3.6576459999999998E-2</v>
      </c>
      <c r="S1842">
        <v>-2.9960019999999998</v>
      </c>
      <c r="T1842">
        <v>0.13338179999999999</v>
      </c>
      <c r="U1842">
        <v>8.3496089999999995E-2</v>
      </c>
      <c r="V1842">
        <v>4.0114649999999996E-3</v>
      </c>
      <c r="W1842">
        <v>5.430488E-2</v>
      </c>
      <c r="X1842">
        <v>0.99851630000000002</v>
      </c>
      <c r="Y1842">
        <v>-4.6967989999999998E-3</v>
      </c>
      <c r="Z1842">
        <v>1.554022E-3</v>
      </c>
      <c r="AA1842">
        <v>0.99998779999999998</v>
      </c>
      <c r="AB1842">
        <v>21</v>
      </c>
      <c r="AC1842">
        <v>-2.9960019999999998</v>
      </c>
      <c r="AD1842">
        <v>0.13338179999999999</v>
      </c>
      <c r="AE1842">
        <v>8.3496089999999995E-2</v>
      </c>
      <c r="AF1842">
        <v>-1.4159591910578201E-2</v>
      </c>
      <c r="AG1842">
        <v>0.13338179999999999</v>
      </c>
      <c r="AH1842">
        <v>2.9912076327382202</v>
      </c>
      <c r="AI1842">
        <v>87.446827333048006</v>
      </c>
      <c r="AJ1842">
        <v>90.271221157460104</v>
      </c>
      <c r="AK1842">
        <v>2.9942134694716902</v>
      </c>
      <c r="AL1842">
        <v>86.8870281174556</v>
      </c>
      <c r="AM1842">
        <v>89.769819703835097</v>
      </c>
      <c r="AN1842">
        <v>0.99999995660447405</v>
      </c>
    </row>
    <row r="1843" spans="1:40" x14ac:dyDescent="0.25">
      <c r="A1843" t="str">
        <f>"20190312151021542"</f>
        <v>20190312151021542</v>
      </c>
      <c r="B1843" t="str">
        <f>"1552374621532505"</f>
        <v>1552374621532505</v>
      </c>
      <c r="C1843" t="s">
        <v>40</v>
      </c>
      <c r="D1843">
        <v>5.5793689999999998</v>
      </c>
      <c r="E1843">
        <v>0.49628349999999999</v>
      </c>
      <c r="F1843" t="s">
        <v>44</v>
      </c>
      <c r="G1843">
        <v>0</v>
      </c>
      <c r="H1843">
        <v>0</v>
      </c>
      <c r="I1843">
        <v>0</v>
      </c>
      <c r="J1843">
        <v>-232.6977</v>
      </c>
      <c r="K1843">
        <v>1.1097549999999901</v>
      </c>
      <c r="L1843">
        <v>282.81349999999998</v>
      </c>
      <c r="M1843">
        <v>-0.99943729999999997</v>
      </c>
      <c r="N1843">
        <v>0</v>
      </c>
      <c r="O1843">
        <v>3.2403769999999998E-2</v>
      </c>
      <c r="P1843">
        <v>-0.99835160000000001</v>
      </c>
      <c r="Q1843">
        <v>4.4867410000000003E-2</v>
      </c>
      <c r="R1843">
        <v>3.5796660000000001E-2</v>
      </c>
      <c r="S1843">
        <v>-2.9964599999999999</v>
      </c>
      <c r="T1843">
        <v>0.12558219999999901</v>
      </c>
      <c r="U1843">
        <v>8.0291749999999995E-2</v>
      </c>
      <c r="V1843">
        <v>3.4145719999999998E-3</v>
      </c>
      <c r="W1843">
        <v>5.35302E-2</v>
      </c>
      <c r="X1843">
        <v>0.99856040000000001</v>
      </c>
      <c r="Y1843">
        <v>-5.5881899999999998E-3</v>
      </c>
      <c r="Z1843">
        <v>1.47396299999999E-3</v>
      </c>
      <c r="AA1843">
        <v>0.99998330000000002</v>
      </c>
      <c r="AB1843">
        <v>21</v>
      </c>
      <c r="AC1843">
        <v>-2.9964599999999999</v>
      </c>
      <c r="AD1843">
        <v>0.12558219999999901</v>
      </c>
      <c r="AE1843">
        <v>8.0291749999999995E-2</v>
      </c>
      <c r="AF1843">
        <v>-1.6821138876818201E-2</v>
      </c>
      <c r="AG1843">
        <v>0.12558219999999901</v>
      </c>
      <c r="AH1843">
        <v>2.9922361901317802</v>
      </c>
      <c r="AI1843">
        <v>87.596781847563904</v>
      </c>
      <c r="AJ1843">
        <v>90.322090253119001</v>
      </c>
      <c r="AK1843">
        <v>2.9949175710199998</v>
      </c>
      <c r="AL1843">
        <v>86.931478828022804</v>
      </c>
      <c r="AM1843">
        <v>89.804078148992403</v>
      </c>
      <c r="AN1843">
        <v>1.0000000070310699</v>
      </c>
    </row>
    <row r="1844" spans="1:40" x14ac:dyDescent="0.25">
      <c r="A1844" t="str">
        <f>"20190312151021554"</f>
        <v>20190312151021554</v>
      </c>
      <c r="B1844" t="str">
        <f>"1552374621552025"</f>
        <v>1552374621552025</v>
      </c>
      <c r="C1844" t="s">
        <v>40</v>
      </c>
      <c r="D1844">
        <v>5.580165</v>
      </c>
      <c r="E1844">
        <v>0.49636970000000002</v>
      </c>
      <c r="F1844" t="s">
        <v>44</v>
      </c>
      <c r="G1844">
        <v>0</v>
      </c>
      <c r="H1844">
        <v>0</v>
      </c>
      <c r="I1844">
        <v>0</v>
      </c>
      <c r="J1844">
        <v>-232.8219</v>
      </c>
      <c r="K1844">
        <v>1.10975</v>
      </c>
      <c r="L1844">
        <v>282.81740000000002</v>
      </c>
      <c r="M1844">
        <v>-0.99944149999999998</v>
      </c>
      <c r="N1844">
        <v>0</v>
      </c>
      <c r="O1844">
        <v>3.2291269999999997E-2</v>
      </c>
      <c r="P1844">
        <v>-0.99839909999999998</v>
      </c>
      <c r="Q1844">
        <v>4.418122E-2</v>
      </c>
      <c r="R1844">
        <v>3.5317399999999999E-2</v>
      </c>
      <c r="S1844">
        <v>-2.9968409999999999</v>
      </c>
      <c r="T1844">
        <v>0.1185797</v>
      </c>
      <c r="U1844">
        <v>7.7362059999999996E-2</v>
      </c>
      <c r="V1844">
        <v>3.0460830000000002E-3</v>
      </c>
      <c r="W1844">
        <v>5.2774519999999998E-2</v>
      </c>
      <c r="X1844">
        <v>0.99860179999999998</v>
      </c>
      <c r="Y1844">
        <v>-6.4589469999999996E-3</v>
      </c>
      <c r="Z1844">
        <v>1.4044579999999999E-3</v>
      </c>
      <c r="AA1844">
        <v>0.99997809999999998</v>
      </c>
      <c r="AB1844">
        <v>21</v>
      </c>
      <c r="AC1844">
        <v>-2.9968409999999999</v>
      </c>
      <c r="AD1844">
        <v>0.1185797</v>
      </c>
      <c r="AE1844">
        <v>7.7362059999999996E-2</v>
      </c>
      <c r="AF1844">
        <v>-1.9423278310715799E-2</v>
      </c>
      <c r="AG1844">
        <v>0.1185797</v>
      </c>
      <c r="AH1844">
        <v>2.9930932454986601</v>
      </c>
      <c r="AI1844">
        <v>87.731302804420295</v>
      </c>
      <c r="AJ1844">
        <v>90.371808079107893</v>
      </c>
      <c r="AK1844">
        <v>2.9955042288807001</v>
      </c>
      <c r="AL1844">
        <v>86.974837348274804</v>
      </c>
      <c r="AM1844">
        <v>89.825228475810107</v>
      </c>
      <c r="AN1844">
        <v>0.99999999177305599</v>
      </c>
    </row>
    <row r="1845" spans="1:40" x14ac:dyDescent="0.25">
      <c r="A1845" t="str">
        <f>"20190312151021575"</f>
        <v>20190312151021575</v>
      </c>
      <c r="B1845" t="str">
        <f>"1552374621572521"</f>
        <v>1552374621572521</v>
      </c>
      <c r="C1845" t="s">
        <v>40</v>
      </c>
      <c r="D1845">
        <v>5.5254240000000001</v>
      </c>
      <c r="E1845">
        <v>0.49635200000000002</v>
      </c>
      <c r="F1845" t="s">
        <v>44</v>
      </c>
      <c r="G1845">
        <v>0</v>
      </c>
      <c r="H1845">
        <v>0</v>
      </c>
      <c r="I1845">
        <v>0</v>
      </c>
      <c r="J1845">
        <v>-233.00630000000001</v>
      </c>
      <c r="K1845">
        <v>1.1097379999999999</v>
      </c>
      <c r="L1845">
        <v>282.82319999999999</v>
      </c>
      <c r="M1845">
        <v>-0.999448</v>
      </c>
      <c r="N1845">
        <v>0</v>
      </c>
      <c r="O1845">
        <v>3.2117659999999999E-2</v>
      </c>
      <c r="P1845">
        <v>-0.99842310000000001</v>
      </c>
      <c r="Q1845">
        <v>4.3864599999999997E-2</v>
      </c>
      <c r="R1845">
        <v>3.503738E-2</v>
      </c>
      <c r="S1845">
        <v>-2.9971160000000001</v>
      </c>
      <c r="T1845">
        <v>0.1132309</v>
      </c>
      <c r="U1845">
        <v>7.6538090000000003E-2</v>
      </c>
      <c r="V1845">
        <v>2.9383819999999998E-3</v>
      </c>
      <c r="W1845">
        <v>5.2361680000000001E-2</v>
      </c>
      <c r="X1845">
        <v>0.99862379999999995</v>
      </c>
      <c r="Y1845">
        <v>-6.5650350000000003E-3</v>
      </c>
      <c r="Z1845">
        <v>1.336486E-3</v>
      </c>
      <c r="AA1845">
        <v>0.99997749999999996</v>
      </c>
      <c r="AB1845">
        <v>21</v>
      </c>
      <c r="AC1845">
        <v>-2.9971160000000001</v>
      </c>
      <c r="AD1845">
        <v>0.1132309</v>
      </c>
      <c r="AE1845">
        <v>7.6538090000000003E-2</v>
      </c>
      <c r="AF1845">
        <v>-1.9737071897118499E-2</v>
      </c>
      <c r="AG1845">
        <v>0.1132309</v>
      </c>
      <c r="AH1845">
        <v>2.9937576941879001</v>
      </c>
      <c r="AI1845">
        <v>87.834019443296697</v>
      </c>
      <c r="AJ1845">
        <v>90.377730815828102</v>
      </c>
      <c r="AK1845">
        <v>2.9959632708414698</v>
      </c>
      <c r="AL1845">
        <v>86.998523923695799</v>
      </c>
      <c r="AM1845">
        <v>89.831411587299201</v>
      </c>
      <c r="AN1845">
        <v>0.99999993677381804</v>
      </c>
    </row>
    <row r="1846" spans="1:40" x14ac:dyDescent="0.25">
      <c r="A1846" t="str">
        <f>"20190312151021597"</f>
        <v>20190312151021597</v>
      </c>
      <c r="B1846" t="str">
        <f>"1552374621592042"</f>
        <v>1552374621592042</v>
      </c>
      <c r="C1846" t="s">
        <v>40</v>
      </c>
      <c r="D1846">
        <v>5.5227269999999997</v>
      </c>
      <c r="E1846">
        <v>0.496369</v>
      </c>
      <c r="F1846" t="s">
        <v>44</v>
      </c>
      <c r="G1846">
        <v>0</v>
      </c>
      <c r="H1846">
        <v>0</v>
      </c>
      <c r="I1846">
        <v>0</v>
      </c>
      <c r="J1846">
        <v>-233.21629999999999</v>
      </c>
      <c r="K1846">
        <v>1.109734</v>
      </c>
      <c r="L1846">
        <v>282.8297</v>
      </c>
      <c r="M1846">
        <v>-0.9994556</v>
      </c>
      <c r="N1846">
        <v>0</v>
      </c>
      <c r="O1846">
        <v>3.1909529999999998E-2</v>
      </c>
      <c r="P1846">
        <v>-0.99849880000000002</v>
      </c>
      <c r="Q1846">
        <v>4.231219E-2</v>
      </c>
      <c r="R1846">
        <v>3.4786810000000001E-2</v>
      </c>
      <c r="S1846">
        <v>-2.9972840000000001</v>
      </c>
      <c r="T1846">
        <v>0.10947</v>
      </c>
      <c r="U1846">
        <v>7.5347899999999995E-2</v>
      </c>
      <c r="V1846">
        <v>2.8929429999999998E-3</v>
      </c>
      <c r="W1846">
        <v>5.0711630000000001E-2</v>
      </c>
      <c r="X1846">
        <v>0.99870910000000002</v>
      </c>
      <c r="Y1846">
        <v>-6.7568280000000003E-3</v>
      </c>
      <c r="Z1846">
        <v>1.2879670000000001E-3</v>
      </c>
      <c r="AA1846">
        <v>0.99997630000000004</v>
      </c>
      <c r="AB1846">
        <v>21</v>
      </c>
      <c r="AC1846">
        <v>-2.9972840000000001</v>
      </c>
      <c r="AD1846">
        <v>0.10947</v>
      </c>
      <c r="AE1846">
        <v>7.5347899999999995E-2</v>
      </c>
      <c r="AF1846">
        <v>-2.0308684438572599E-2</v>
      </c>
      <c r="AG1846">
        <v>0.10947</v>
      </c>
      <c r="AH1846">
        <v>2.9941704559400999</v>
      </c>
      <c r="AI1846">
        <v>87.906187191184102</v>
      </c>
      <c r="AJ1846">
        <v>90.388616506423602</v>
      </c>
      <c r="AK1846">
        <v>2.9962397839272099</v>
      </c>
      <c r="AL1846">
        <v>87.093190689469694</v>
      </c>
      <c r="AM1846">
        <v>89.834032792256806</v>
      </c>
      <c r="AN1846">
        <v>0.99999995247963203</v>
      </c>
    </row>
    <row r="1847" spans="1:40" x14ac:dyDescent="0.25">
      <c r="A1847" t="str">
        <f>"20190312151021621"</f>
        <v>20190312151021621</v>
      </c>
      <c r="B1847" t="str">
        <f>"1552374621612539"</f>
        <v>1552374621612539</v>
      </c>
      <c r="C1847" t="s">
        <v>40</v>
      </c>
      <c r="D1847">
        <v>5.5779170000000002</v>
      </c>
      <c r="E1847">
        <v>0.49649929999999898</v>
      </c>
      <c r="F1847" t="s">
        <v>44</v>
      </c>
      <c r="G1847">
        <v>0</v>
      </c>
      <c r="H1847">
        <v>0</v>
      </c>
      <c r="I1847">
        <v>0</v>
      </c>
      <c r="J1847">
        <v>-233.43709999999999</v>
      </c>
      <c r="K1847">
        <v>1.1097360000000001</v>
      </c>
      <c r="L1847">
        <v>282.8365</v>
      </c>
      <c r="M1847">
        <v>-0.99946389999999996</v>
      </c>
      <c r="N1847">
        <v>0</v>
      </c>
      <c r="O1847">
        <v>3.1671289999999998E-2</v>
      </c>
      <c r="P1847">
        <v>-0.99854169999999998</v>
      </c>
      <c r="Q1847">
        <v>4.1827780000000002E-2</v>
      </c>
      <c r="R1847">
        <v>3.4131359999999999E-2</v>
      </c>
      <c r="S1847">
        <v>-2.9975130000000001</v>
      </c>
      <c r="T1847">
        <v>0.1039655</v>
      </c>
      <c r="U1847">
        <v>7.4920650000000005E-2</v>
      </c>
      <c r="V1847">
        <v>2.4733170000000001E-3</v>
      </c>
      <c r="W1847">
        <v>5.0135869999999999E-2</v>
      </c>
      <c r="X1847">
        <v>0.99873940000000005</v>
      </c>
      <c r="Y1847">
        <v>-6.6655269999999897E-3</v>
      </c>
      <c r="Z1847">
        <v>1.213315E-3</v>
      </c>
      <c r="AA1847">
        <v>0.99997709999999995</v>
      </c>
      <c r="AB1847">
        <v>21</v>
      </c>
      <c r="AC1847">
        <v>-2.9975130000000001</v>
      </c>
      <c r="AD1847">
        <v>0.1039655</v>
      </c>
      <c r="AE1847">
        <v>7.4920650000000005E-2</v>
      </c>
      <c r="AF1847">
        <v>-2.0031226791467301E-2</v>
      </c>
      <c r="AG1847">
        <v>0.1039655</v>
      </c>
      <c r="AH1847">
        <v>2.9947816798565698</v>
      </c>
      <c r="AI1847">
        <v>88.011788281426206</v>
      </c>
      <c r="AJ1847">
        <v>90.383229150270907</v>
      </c>
      <c r="AK1847">
        <v>2.9966526968004801</v>
      </c>
      <c r="AL1847">
        <v>87.126221624896104</v>
      </c>
      <c r="AM1847">
        <v>89.858110798665606</v>
      </c>
      <c r="AN1847">
        <v>1.00000005593499</v>
      </c>
    </row>
    <row r="1848" spans="1:40" x14ac:dyDescent="0.25">
      <c r="A1848" t="str">
        <f>"20190312151021642"</f>
        <v>20190312151021642</v>
      </c>
      <c r="B1848" t="str">
        <f>"1552374621632057"</f>
        <v>1552374621632057</v>
      </c>
      <c r="C1848" t="s">
        <v>40</v>
      </c>
      <c r="D1848">
        <v>5.5167199999999896</v>
      </c>
      <c r="E1848">
        <v>0.49651050000000002</v>
      </c>
      <c r="F1848" t="s">
        <v>44</v>
      </c>
      <c r="G1848">
        <v>0</v>
      </c>
      <c r="H1848">
        <v>0</v>
      </c>
      <c r="I1848">
        <v>0</v>
      </c>
      <c r="J1848">
        <v>-233.65360000000001</v>
      </c>
      <c r="K1848">
        <v>1.109734</v>
      </c>
      <c r="L1848">
        <v>282.84300000000002</v>
      </c>
      <c r="M1848">
        <v>-0.99947249999999999</v>
      </c>
      <c r="N1848">
        <v>0</v>
      </c>
      <c r="O1848">
        <v>3.1417830000000001E-2</v>
      </c>
      <c r="P1848">
        <v>-0.9985887</v>
      </c>
      <c r="Q1848">
        <v>4.1087199999999997E-2</v>
      </c>
      <c r="R1848">
        <v>3.3657279999999998E-2</v>
      </c>
      <c r="S1848">
        <v>-2.9976039999999999</v>
      </c>
      <c r="T1848">
        <v>0.10157430000000001</v>
      </c>
      <c r="U1848">
        <v>7.3913569999999998E-2</v>
      </c>
      <c r="V1848">
        <v>2.2502640000000001E-3</v>
      </c>
      <c r="W1848">
        <v>4.9316249999999999E-2</v>
      </c>
      <c r="X1848">
        <v>0.99878069999999997</v>
      </c>
      <c r="Y1848">
        <v>-6.749573E-3</v>
      </c>
      <c r="Z1848">
        <v>1.1782380000000001E-3</v>
      </c>
      <c r="AA1848">
        <v>0.99997650000000005</v>
      </c>
      <c r="AB1848">
        <v>21</v>
      </c>
      <c r="AC1848">
        <v>-2.9976039999999999</v>
      </c>
      <c r="AD1848">
        <v>0.10157430000000001</v>
      </c>
      <c r="AE1848">
        <v>7.3913569999999998E-2</v>
      </c>
      <c r="AF1848">
        <v>-2.02810463740845E-2</v>
      </c>
      <c r="AG1848">
        <v>0.10157430000000001</v>
      </c>
      <c r="AH1848">
        <v>2.9950095863519599</v>
      </c>
      <c r="AI1848">
        <v>88.0576303677026</v>
      </c>
      <c r="AJ1848">
        <v>90.3879789252682</v>
      </c>
      <c r="AK1848">
        <v>2.9968001404168798</v>
      </c>
      <c r="AL1848">
        <v>87.173240460218906</v>
      </c>
      <c r="AM1848">
        <v>89.870912191397196</v>
      </c>
      <c r="AN1848">
        <v>1.0000000214473099</v>
      </c>
    </row>
    <row r="1849" spans="1:40" x14ac:dyDescent="0.25">
      <c r="A1849" t="str">
        <f>"20190312151021665"</f>
        <v>20190312151021665</v>
      </c>
      <c r="B1849" t="str">
        <f>"1552374621662313"</f>
        <v>1552374621662313</v>
      </c>
      <c r="C1849" t="s">
        <v>40</v>
      </c>
      <c r="D1849">
        <v>5.5810789999999999</v>
      </c>
      <c r="E1849">
        <v>0.49643130000000002</v>
      </c>
      <c r="F1849" t="s">
        <v>44</v>
      </c>
      <c r="G1849">
        <v>0</v>
      </c>
      <c r="H1849">
        <v>0</v>
      </c>
      <c r="I1849">
        <v>0</v>
      </c>
      <c r="J1849">
        <v>-233.86670000000001</v>
      </c>
      <c r="K1849">
        <v>1.1097379999999999</v>
      </c>
      <c r="L1849">
        <v>282.84949999999998</v>
      </c>
      <c r="M1849">
        <v>-0.99948139999999996</v>
      </c>
      <c r="N1849">
        <v>0</v>
      </c>
      <c r="O1849">
        <v>3.115037E-2</v>
      </c>
      <c r="P1849">
        <v>-0.99861009999999995</v>
      </c>
      <c r="Q1849">
        <v>4.0432839999999998E-2</v>
      </c>
      <c r="R1849">
        <v>3.3810920000000001E-2</v>
      </c>
      <c r="S1849">
        <v>-2.9977719999999999</v>
      </c>
      <c r="T1849">
        <v>9.8463060000000005E-2</v>
      </c>
      <c r="U1849">
        <v>7.2448730000000003E-2</v>
      </c>
      <c r="V1849">
        <v>2.66906E-3</v>
      </c>
      <c r="W1849">
        <v>4.8591370000000002E-2</v>
      </c>
      <c r="X1849">
        <v>0.99881520000000001</v>
      </c>
      <c r="Y1849">
        <v>-6.9730349999999998E-3</v>
      </c>
      <c r="Z1849">
        <v>1.1370039999999901E-3</v>
      </c>
      <c r="AA1849">
        <v>0.99997499999999995</v>
      </c>
      <c r="AB1849">
        <v>21</v>
      </c>
      <c r="AC1849">
        <v>-2.9977719999999999</v>
      </c>
      <c r="AD1849">
        <v>9.8463060000000005E-2</v>
      </c>
      <c r="AE1849">
        <v>7.2448730000000003E-2</v>
      </c>
      <c r="AF1849">
        <v>-2.09486604230327E-2</v>
      </c>
      <c r="AG1849">
        <v>9.8463060000000005E-2</v>
      </c>
      <c r="AH1849">
        <v>2.99534443792585</v>
      </c>
      <c r="AI1849">
        <v>88.117295231366498</v>
      </c>
      <c r="AJ1849">
        <v>90.400705256033405</v>
      </c>
      <c r="AK1849">
        <v>2.9970355557402701</v>
      </c>
      <c r="AL1849">
        <v>87.214822888739604</v>
      </c>
      <c r="AM1849">
        <v>89.846893089667802</v>
      </c>
      <c r="AN1849">
        <v>1.0000000244353999</v>
      </c>
    </row>
    <row r="1850" spans="1:40" x14ac:dyDescent="0.25">
      <c r="A1850" t="str">
        <f>"20190312151021685"</f>
        <v>20190312151021685</v>
      </c>
      <c r="B1850" t="str">
        <f>"1552374621682811"</f>
        <v>1552374621682811</v>
      </c>
      <c r="C1850" t="s">
        <v>40</v>
      </c>
      <c r="D1850">
        <v>5.4664769999999896</v>
      </c>
      <c r="E1850">
        <v>0.49642419999999998</v>
      </c>
      <c r="F1850" t="s">
        <v>44</v>
      </c>
      <c r="G1850">
        <v>0</v>
      </c>
      <c r="H1850">
        <v>0</v>
      </c>
      <c r="I1850">
        <v>0</v>
      </c>
      <c r="J1850">
        <v>-234.06209999999999</v>
      </c>
      <c r="K1850">
        <v>1.109739</v>
      </c>
      <c r="L1850">
        <v>282.8553</v>
      </c>
      <c r="M1850">
        <v>-0.99949010000000005</v>
      </c>
      <c r="N1850">
        <v>0</v>
      </c>
      <c r="O1850">
        <v>3.088598E-2</v>
      </c>
      <c r="P1850">
        <v>-0.9986216</v>
      </c>
      <c r="Q1850">
        <v>4.0348269999999999E-2</v>
      </c>
      <c r="R1850">
        <v>3.3576439999999999E-2</v>
      </c>
      <c r="S1850">
        <v>-2.9978180000000001</v>
      </c>
      <c r="T1850">
        <v>9.6214060000000004E-2</v>
      </c>
      <c r="U1850">
        <v>7.2296139999999995E-2</v>
      </c>
      <c r="V1850">
        <v>2.697213E-3</v>
      </c>
      <c r="W1850">
        <v>4.8445160000000001E-2</v>
      </c>
      <c r="X1850">
        <v>0.99882219999999999</v>
      </c>
      <c r="Y1850">
        <v>-6.7609089999999998E-3</v>
      </c>
      <c r="Z1850">
        <v>1.0991499999999999E-3</v>
      </c>
      <c r="AA1850">
        <v>0.99997650000000005</v>
      </c>
      <c r="AB1850">
        <v>22</v>
      </c>
      <c r="AC1850">
        <v>-2.9978180000000001</v>
      </c>
      <c r="AD1850">
        <v>9.6214060000000004E-2</v>
      </c>
      <c r="AE1850">
        <v>7.2296139999999995E-2</v>
      </c>
      <c r="AF1850">
        <v>-2.0311027842931699E-2</v>
      </c>
      <c r="AG1850">
        <v>9.6214060000000004E-2</v>
      </c>
      <c r="AH1850">
        <v>2.99553688262022</v>
      </c>
      <c r="AI1850">
        <v>88.160383704282395</v>
      </c>
      <c r="AJ1850">
        <v>90.388484063160206</v>
      </c>
      <c r="AK1850">
        <v>2.99715046307852</v>
      </c>
      <c r="AL1850">
        <v>87.223209908099804</v>
      </c>
      <c r="AM1850">
        <v>89.845279224159796</v>
      </c>
      <c r="AN1850">
        <v>0.99999999784911597</v>
      </c>
    </row>
    <row r="1851" spans="1:40" x14ac:dyDescent="0.25">
      <c r="A1851" t="str">
        <f>"20190312151021711"</f>
        <v>20190312151021711</v>
      </c>
      <c r="B1851" t="str">
        <f>"1552374621702330"</f>
        <v>1552374621702330</v>
      </c>
      <c r="C1851" t="s">
        <v>40</v>
      </c>
      <c r="D1851">
        <v>5.464378</v>
      </c>
      <c r="E1851">
        <v>0.49627710000000003</v>
      </c>
      <c r="F1851" t="s">
        <v>44</v>
      </c>
      <c r="G1851">
        <v>0</v>
      </c>
      <c r="H1851">
        <v>0</v>
      </c>
      <c r="I1851">
        <v>0</v>
      </c>
      <c r="J1851">
        <v>-234.30760000000001</v>
      </c>
      <c r="K1851">
        <v>1.1097509999999999</v>
      </c>
      <c r="L1851">
        <v>282.86250000000001</v>
      </c>
      <c r="M1851">
        <v>-0.99950170000000005</v>
      </c>
      <c r="N1851">
        <v>0</v>
      </c>
      <c r="O1851">
        <v>3.0525259999999999E-2</v>
      </c>
      <c r="P1851">
        <v>-0.99863480000000004</v>
      </c>
      <c r="Q1851">
        <v>4.0071389999999998E-2</v>
      </c>
      <c r="R1851">
        <v>3.3510959999999999E-2</v>
      </c>
      <c r="S1851">
        <v>-2.9978940000000001</v>
      </c>
      <c r="T1851">
        <v>9.5458150000000005E-2</v>
      </c>
      <c r="U1851">
        <v>7.1685789999999999E-2</v>
      </c>
      <c r="V1851">
        <v>2.9896499999999999E-3</v>
      </c>
      <c r="W1851">
        <v>4.8096989999999999E-2</v>
      </c>
      <c r="X1851">
        <v>0.99883820000000001</v>
      </c>
      <c r="Y1851">
        <v>-6.6046450000000001E-3</v>
      </c>
      <c r="Z1851">
        <v>1.0765320000000001E-3</v>
      </c>
      <c r="AA1851">
        <v>0.99997760000000002</v>
      </c>
      <c r="AB1851">
        <v>22</v>
      </c>
      <c r="AC1851">
        <v>-2.9978940000000001</v>
      </c>
      <c r="AD1851">
        <v>9.5458150000000005E-2</v>
      </c>
      <c r="AE1851">
        <v>7.1685789999999999E-2</v>
      </c>
      <c r="AF1851">
        <v>-1.98419598008794E-2</v>
      </c>
      <c r="AG1851">
        <v>9.5458150000000005E-2</v>
      </c>
      <c r="AH1851">
        <v>2.9956496342172598</v>
      </c>
      <c r="AI1851">
        <v>88.174893649670594</v>
      </c>
      <c r="AJ1851">
        <v>90.379498295085995</v>
      </c>
      <c r="AK1851">
        <v>2.99723584203115</v>
      </c>
      <c r="AL1851">
        <v>87.243181878951006</v>
      </c>
      <c r="AM1851">
        <v>89.828506943674299</v>
      </c>
      <c r="AN1851">
        <v>1.0000000041167101</v>
      </c>
    </row>
    <row r="1852" spans="1:40" x14ac:dyDescent="0.25">
      <c r="A1852" t="str">
        <f>"20190312151021733"</f>
        <v>20190312151021733</v>
      </c>
      <c r="B1852" t="str">
        <f>"1552374621722825"</f>
        <v>1552374621722825</v>
      </c>
      <c r="C1852" t="s">
        <v>40</v>
      </c>
      <c r="D1852">
        <v>5.5302499999999997</v>
      </c>
      <c r="E1852">
        <v>0.49607859999999998</v>
      </c>
      <c r="F1852" t="s">
        <v>44</v>
      </c>
      <c r="G1852">
        <v>0</v>
      </c>
      <c r="H1852">
        <v>0</v>
      </c>
      <c r="I1852">
        <v>0</v>
      </c>
      <c r="J1852">
        <v>-234.52959999999999</v>
      </c>
      <c r="K1852">
        <v>1.1097649999999999</v>
      </c>
      <c r="L1852">
        <v>282.86880000000002</v>
      </c>
      <c r="M1852">
        <v>-0.99951290000000004</v>
      </c>
      <c r="N1852">
        <v>0</v>
      </c>
      <c r="O1852">
        <v>3.0172230000000001E-2</v>
      </c>
      <c r="P1852">
        <v>-0.99863270000000004</v>
      </c>
      <c r="Q1852">
        <v>3.9896260000000003E-2</v>
      </c>
      <c r="R1852">
        <v>3.3781499999999999E-2</v>
      </c>
      <c r="S1852">
        <v>-2.9979550000000001</v>
      </c>
      <c r="T1852">
        <v>9.4531299999999999E-2</v>
      </c>
      <c r="U1852">
        <v>7.03125E-2</v>
      </c>
      <c r="V1852">
        <v>3.6111559999999999E-3</v>
      </c>
      <c r="W1852">
        <v>4.7865520000000002E-2</v>
      </c>
      <c r="X1852">
        <v>0.99884720000000005</v>
      </c>
      <c r="Y1852">
        <v>-6.7102209999999997E-3</v>
      </c>
      <c r="Z1852">
        <v>1.056612E-3</v>
      </c>
      <c r="AA1852">
        <v>0.99997689999999995</v>
      </c>
      <c r="AB1852">
        <v>22</v>
      </c>
      <c r="AC1852">
        <v>-2.9979550000000001</v>
      </c>
      <c r="AD1852">
        <v>9.4531299999999999E-2</v>
      </c>
      <c r="AE1852">
        <v>7.03125E-2</v>
      </c>
      <c r="AF1852">
        <v>-2.0157347975733E-2</v>
      </c>
      <c r="AG1852">
        <v>9.4531299999999999E-2</v>
      </c>
      <c r="AH1852">
        <v>2.99573463150907</v>
      </c>
      <c r="AI1852">
        <v>88.192655205324797</v>
      </c>
      <c r="AJ1852">
        <v>90.385519305886703</v>
      </c>
      <c r="AK1852">
        <v>2.9972935237943998</v>
      </c>
      <c r="AL1852">
        <v>87.256459245996098</v>
      </c>
      <c r="AM1852">
        <v>89.792858110309894</v>
      </c>
      <c r="AN1852">
        <v>0.999999938700181</v>
      </c>
    </row>
    <row r="1853" spans="1:40" x14ac:dyDescent="0.25">
      <c r="A1853" t="str">
        <f>"20190312151021754"</f>
        <v>20190312151021754</v>
      </c>
      <c r="B1853" t="str">
        <f>"1552374621742345"</f>
        <v>1552374621742345</v>
      </c>
      <c r="C1853" t="s">
        <v>40</v>
      </c>
      <c r="D1853">
        <v>5.4728560000000002</v>
      </c>
      <c r="E1853">
        <v>0.48485669999999997</v>
      </c>
      <c r="F1853" t="s">
        <v>44</v>
      </c>
      <c r="G1853">
        <v>0</v>
      </c>
      <c r="H1853">
        <v>0</v>
      </c>
      <c r="I1853">
        <v>0</v>
      </c>
      <c r="J1853">
        <v>-234.72649999999999</v>
      </c>
      <c r="K1853">
        <v>1.1097760000000001</v>
      </c>
      <c r="L1853">
        <v>282.87439999999998</v>
      </c>
      <c r="M1853">
        <v>-0.99952319999999995</v>
      </c>
      <c r="N1853">
        <v>0</v>
      </c>
      <c r="O1853">
        <v>2.9838369999999999E-2</v>
      </c>
      <c r="P1853">
        <v>-0.99864319999999895</v>
      </c>
      <c r="Q1853">
        <v>3.9483570000000003E-2</v>
      </c>
      <c r="R1853">
        <v>3.3955850000000003E-2</v>
      </c>
      <c r="S1853">
        <v>-2.997986</v>
      </c>
      <c r="T1853">
        <v>9.4829559999999993E-2</v>
      </c>
      <c r="U1853">
        <v>6.9366460000000005E-2</v>
      </c>
      <c r="V1853">
        <v>4.1174219999999999E-3</v>
      </c>
      <c r="W1853">
        <v>4.7409239999999998E-2</v>
      </c>
      <c r="X1853">
        <v>0.99886699999999995</v>
      </c>
      <c r="Y1853">
        <v>-6.6918759999999898E-3</v>
      </c>
      <c r="Z1853">
        <v>1.0490969999999999E-3</v>
      </c>
      <c r="AA1853">
        <v>0.99997709999999995</v>
      </c>
      <c r="AB1853">
        <v>22</v>
      </c>
      <c r="AC1853">
        <v>-2.997986</v>
      </c>
      <c r="AD1853">
        <v>9.4829559999999993E-2</v>
      </c>
      <c r="AE1853">
        <v>6.9366460000000005E-2</v>
      </c>
      <c r="AF1853">
        <v>-2.0102161789490199E-2</v>
      </c>
      <c r="AG1853">
        <v>9.4829559999999993E-2</v>
      </c>
      <c r="AH1853">
        <v>2.9957251736287702</v>
      </c>
      <c r="AI1853">
        <v>88.1869506253324</v>
      </c>
      <c r="AJ1853">
        <v>90.384465088116201</v>
      </c>
      <c r="AK1853">
        <v>2.99729312184704</v>
      </c>
      <c r="AL1853">
        <v>87.282631873882707</v>
      </c>
      <c r="AM1853">
        <v>89.763822844366103</v>
      </c>
      <c r="AN1853">
        <v>0.99999993644514895</v>
      </c>
    </row>
    <row r="1854" spans="1:40" x14ac:dyDescent="0.25">
      <c r="A1854" t="str">
        <f>"20190312151021776"</f>
        <v>20190312151021776</v>
      </c>
      <c r="B1854" t="str">
        <f>"1552374621772602"</f>
        <v>1552374621772602</v>
      </c>
      <c r="C1854" t="s">
        <v>40</v>
      </c>
      <c r="D1854">
        <v>5.4121790000000001</v>
      </c>
      <c r="E1854">
        <v>0.4853362</v>
      </c>
      <c r="F1854" t="s">
        <v>44</v>
      </c>
      <c r="G1854">
        <v>0</v>
      </c>
      <c r="H1854">
        <v>0</v>
      </c>
      <c r="I1854">
        <v>0</v>
      </c>
      <c r="J1854">
        <v>-234.9434</v>
      </c>
      <c r="K1854">
        <v>1.1097870000000001</v>
      </c>
      <c r="L1854">
        <v>282.88049999999998</v>
      </c>
      <c r="M1854">
        <v>-0.99953510000000001</v>
      </c>
      <c r="N1854">
        <v>0</v>
      </c>
      <c r="O1854">
        <v>2.9451640000000001E-2</v>
      </c>
      <c r="P1854">
        <v>-0.99863519999999995</v>
      </c>
      <c r="Q1854">
        <v>3.9707869999999999E-2</v>
      </c>
      <c r="R1854">
        <v>3.3927369999999998E-2</v>
      </c>
      <c r="S1854">
        <v>-3.0003510000000002</v>
      </c>
      <c r="T1854">
        <v>0.110388</v>
      </c>
      <c r="U1854">
        <v>-1.9073489999999999E-2</v>
      </c>
      <c r="V1854">
        <v>4.4741299999999998E-3</v>
      </c>
      <c r="W1854">
        <v>4.7592130000000003E-2</v>
      </c>
      <c r="X1854">
        <v>0.99885679999999999</v>
      </c>
      <c r="Y1854">
        <v>-3.5762049999999997E-2</v>
      </c>
      <c r="Z1854">
        <v>1.7407849999999999E-3</v>
      </c>
      <c r="AA1854">
        <v>0.99935879999999999</v>
      </c>
      <c r="AB1854">
        <v>22</v>
      </c>
      <c r="AC1854">
        <v>-3.0003510000000002</v>
      </c>
      <c r="AD1854">
        <v>0.110388</v>
      </c>
      <c r="AE1854">
        <v>-1.9073489999999999E-2</v>
      </c>
      <c r="AF1854">
        <v>-0.107287998406171</v>
      </c>
      <c r="AG1854">
        <v>0.110388</v>
      </c>
      <c r="AH1854">
        <v>2.99443443380471</v>
      </c>
      <c r="AI1854">
        <v>87.890134625803796</v>
      </c>
      <c r="AJ1854">
        <v>92.051980512694598</v>
      </c>
      <c r="AK1854">
        <v>2.9983885344466898</v>
      </c>
      <c r="AL1854">
        <v>87.272141291849806</v>
      </c>
      <c r="AM1854">
        <v>89.743359557065901</v>
      </c>
      <c r="AN1854">
        <v>0.99999996779171596</v>
      </c>
    </row>
    <row r="1855" spans="1:40" x14ac:dyDescent="0.25">
      <c r="A1855" t="str">
        <f>"20190312151021798"</f>
        <v>20190312151021798</v>
      </c>
      <c r="B1855" t="str">
        <f>"1552374621792122"</f>
        <v>1552374621792122</v>
      </c>
      <c r="C1855" t="s">
        <v>40</v>
      </c>
      <c r="D1855">
        <v>5.4134630000000001</v>
      </c>
      <c r="E1855">
        <v>0.48541190000000001</v>
      </c>
      <c r="F1855" t="s">
        <v>44</v>
      </c>
      <c r="G1855">
        <v>0</v>
      </c>
      <c r="H1855">
        <v>0</v>
      </c>
      <c r="I1855">
        <v>0</v>
      </c>
      <c r="J1855">
        <v>-235.1634</v>
      </c>
      <c r="K1855">
        <v>1.1097889999999999</v>
      </c>
      <c r="L1855">
        <v>282.88650000000001</v>
      </c>
      <c r="M1855">
        <v>-0.99954719999999997</v>
      </c>
      <c r="N1855">
        <v>0</v>
      </c>
      <c r="O1855">
        <v>2.9045089999999999E-2</v>
      </c>
      <c r="P1855">
        <v>-0.99860970000000004</v>
      </c>
      <c r="Q1855">
        <v>4.0483779999999997E-2</v>
      </c>
      <c r="R1855">
        <v>3.3762430000000003E-2</v>
      </c>
      <c r="S1855">
        <v>-3.000229</v>
      </c>
      <c r="T1855">
        <v>0.10989790000000001</v>
      </c>
      <c r="U1855">
        <v>-1.528931E-2</v>
      </c>
      <c r="V1855">
        <v>4.7148240000000003E-3</v>
      </c>
      <c r="W1855">
        <v>4.8329900000000002E-2</v>
      </c>
      <c r="X1855">
        <v>0.99882029999999999</v>
      </c>
      <c r="Y1855">
        <v>-3.4097089999999997E-2</v>
      </c>
      <c r="Z1855">
        <v>1.6877649999999999E-3</v>
      </c>
      <c r="AA1855">
        <v>0.99941709999999995</v>
      </c>
      <c r="AB1855">
        <v>22</v>
      </c>
      <c r="AC1855">
        <v>-3.000229</v>
      </c>
      <c r="AD1855">
        <v>0.10989790000000001</v>
      </c>
      <c r="AE1855">
        <v>-1.528931E-2</v>
      </c>
      <c r="AF1855">
        <v>-0.10229022840669</v>
      </c>
      <c r="AG1855">
        <v>0.10989790000000001</v>
      </c>
      <c r="AH1855">
        <v>2.99450128646667</v>
      </c>
      <c r="AI1855">
        <v>87.899417957022706</v>
      </c>
      <c r="AJ1855">
        <v>91.956426071471299</v>
      </c>
      <c r="AK1855">
        <v>2.9982626292408798</v>
      </c>
      <c r="AL1855">
        <v>87.229821570955195</v>
      </c>
      <c r="AM1855">
        <v>89.7295434324393</v>
      </c>
      <c r="AN1855">
        <v>1.0000000002457201</v>
      </c>
    </row>
    <row r="1856" spans="1:40" x14ac:dyDescent="0.25">
      <c r="A1856" t="str">
        <f>"20190312151021821"</f>
        <v>20190312151021821</v>
      </c>
      <c r="B1856" t="str">
        <f>"1552374621812617"</f>
        <v>1552374621812617</v>
      </c>
      <c r="C1856" t="s">
        <v>40</v>
      </c>
      <c r="D1856">
        <v>5.4671719999999997</v>
      </c>
      <c r="E1856">
        <v>0.4855023</v>
      </c>
      <c r="F1856" t="s">
        <v>46</v>
      </c>
      <c r="G1856">
        <v>-455.14760000000001</v>
      </c>
      <c r="H1856">
        <v>9.0674130000000002</v>
      </c>
      <c r="I1856">
        <v>281.76100000000002</v>
      </c>
      <c r="J1856">
        <v>-235.3836</v>
      </c>
      <c r="K1856">
        <v>1.109791</v>
      </c>
      <c r="L1856">
        <v>282.89249999999998</v>
      </c>
      <c r="M1856">
        <v>-0.99955959999999999</v>
      </c>
      <c r="N1856">
        <v>0</v>
      </c>
      <c r="O1856">
        <v>2.8627159999999999E-2</v>
      </c>
      <c r="P1856">
        <v>-0.99861599999999995</v>
      </c>
      <c r="Q1856">
        <v>4.0681479999999999E-2</v>
      </c>
      <c r="R1856">
        <v>3.3335379999999998E-2</v>
      </c>
      <c r="S1856">
        <v>-3.0002900000000001</v>
      </c>
      <c r="T1856">
        <v>0.1085322</v>
      </c>
      <c r="U1856">
        <v>-1.5350340000000001E-2</v>
      </c>
      <c r="V1856">
        <v>4.7046309999999999E-3</v>
      </c>
      <c r="W1856">
        <v>4.8495169999999997E-2</v>
      </c>
      <c r="X1856">
        <v>0.99881229999999999</v>
      </c>
      <c r="Y1856">
        <v>-3.3701019999999998E-2</v>
      </c>
      <c r="Z1856">
        <v>1.644501E-3</v>
      </c>
      <c r="AA1856">
        <v>0.99943059999999995</v>
      </c>
      <c r="AB1856">
        <v>22</v>
      </c>
      <c r="AC1856">
        <v>-219.76400000000001</v>
      </c>
      <c r="AD1856">
        <v>7.9576219999999998</v>
      </c>
      <c r="AE1856">
        <v>-1.1315000000000099</v>
      </c>
      <c r="AF1856">
        <v>-7.4127286394993499</v>
      </c>
      <c r="AG1856">
        <v>7.9576219999999998</v>
      </c>
      <c r="AH1856">
        <v>219.35393451385499</v>
      </c>
      <c r="AI1856">
        <v>87.923545230395604</v>
      </c>
      <c r="AJ1856">
        <v>91.935486143074002</v>
      </c>
      <c r="AK1856">
        <v>219.623361417875</v>
      </c>
      <c r="AL1856">
        <v>87.220341076973</v>
      </c>
      <c r="AM1856">
        <v>89.730125963586801</v>
      </c>
      <c r="AN1856">
        <v>0.99999996284873105</v>
      </c>
    </row>
    <row r="1857" spans="1:40" x14ac:dyDescent="0.25">
      <c r="A1857" t="str">
        <f>"20190312151021842"</f>
        <v>20190312151021842</v>
      </c>
      <c r="B1857" t="str">
        <f>"1552374621832141"</f>
        <v>1552374621832141</v>
      </c>
      <c r="C1857" t="s">
        <v>40</v>
      </c>
      <c r="D1857">
        <v>5.4096729999999997</v>
      </c>
      <c r="E1857">
        <v>0.4855315</v>
      </c>
      <c r="F1857" t="s">
        <v>46</v>
      </c>
      <c r="G1857">
        <v>-455.33569999999997</v>
      </c>
      <c r="H1857">
        <v>8.699052</v>
      </c>
      <c r="I1857">
        <v>281.72480000000002</v>
      </c>
      <c r="J1857">
        <v>-235.60120000000001</v>
      </c>
      <c r="K1857">
        <v>1.1097919999999999</v>
      </c>
      <c r="L1857">
        <v>282.89830000000001</v>
      </c>
      <c r="M1857">
        <v>-0.99957169999999895</v>
      </c>
      <c r="N1857">
        <v>0</v>
      </c>
      <c r="O1857">
        <v>2.8208359999999998E-2</v>
      </c>
      <c r="P1857">
        <v>-0.99864889999999995</v>
      </c>
      <c r="Q1857">
        <v>4.0299090000000003E-2</v>
      </c>
      <c r="R1857">
        <v>3.2813519999999999E-2</v>
      </c>
      <c r="S1857">
        <v>-3.0004879999999998</v>
      </c>
      <c r="T1857">
        <v>0.1035302</v>
      </c>
      <c r="U1857">
        <v>-1.5930179999999999E-2</v>
      </c>
      <c r="V1857">
        <v>4.6007349999999999E-3</v>
      </c>
      <c r="W1857">
        <v>4.8085089999999997E-2</v>
      </c>
      <c r="X1857">
        <v>0.99883259999999996</v>
      </c>
      <c r="Y1857">
        <v>-3.3479120000000001E-2</v>
      </c>
      <c r="Z1857">
        <v>1.5503820000000001E-3</v>
      </c>
      <c r="AA1857">
        <v>0.99943820000000005</v>
      </c>
      <c r="AB1857">
        <v>22</v>
      </c>
      <c r="AC1857">
        <v>-219.7345</v>
      </c>
      <c r="AD1857">
        <v>7.5892599999999897</v>
      </c>
      <c r="AE1857">
        <v>-1.17349999999999</v>
      </c>
      <c r="AF1857">
        <v>-7.3627882336112602</v>
      </c>
      <c r="AG1857">
        <v>7.5892599999999897</v>
      </c>
      <c r="AH1857">
        <v>219.352294255457</v>
      </c>
      <c r="AI1857">
        <v>88.019556949882201</v>
      </c>
      <c r="AJ1857">
        <v>91.922470732763401</v>
      </c>
      <c r="AK1857">
        <v>219.607004699425</v>
      </c>
      <c r="AL1857">
        <v>87.243864346802994</v>
      </c>
      <c r="AM1857">
        <v>89.736091078765398</v>
      </c>
      <c r="AN1857">
        <v>0.99999995273280295</v>
      </c>
    </row>
    <row r="1858" spans="1:40" x14ac:dyDescent="0.25">
      <c r="A1858" t="str">
        <f>"20190312151021866"</f>
        <v>20190312151021866</v>
      </c>
      <c r="B1858" t="str">
        <f>"1552374621862394"</f>
        <v>1552374621862394</v>
      </c>
      <c r="C1858" t="s">
        <v>40</v>
      </c>
      <c r="D1858">
        <v>5.4059929999999996</v>
      </c>
      <c r="E1858">
        <v>0.48549619999999999</v>
      </c>
      <c r="F1858" t="s">
        <v>44</v>
      </c>
      <c r="G1858">
        <v>0</v>
      </c>
      <c r="H1858">
        <v>0</v>
      </c>
      <c r="I1858">
        <v>0</v>
      </c>
      <c r="J1858">
        <v>-235.82849999999999</v>
      </c>
      <c r="K1858">
        <v>1.109782</v>
      </c>
      <c r="L1858">
        <v>282.9042</v>
      </c>
      <c r="M1858">
        <v>-0.99958429999999998</v>
      </c>
      <c r="N1858">
        <v>0</v>
      </c>
      <c r="O1858">
        <v>2.7767320000000002E-2</v>
      </c>
      <c r="P1858">
        <v>-0.99867490000000003</v>
      </c>
      <c r="Q1858">
        <v>4.0017469999999999E-2</v>
      </c>
      <c r="R1858">
        <v>3.2358930000000001E-2</v>
      </c>
      <c r="S1858">
        <v>-3.0006710000000001</v>
      </c>
      <c r="T1858">
        <v>9.8344329999999994E-2</v>
      </c>
      <c r="U1858">
        <v>-1.7456050000000001E-2</v>
      </c>
      <c r="V1858">
        <v>4.5862439999999997E-3</v>
      </c>
      <c r="W1858">
        <v>4.7777409999999999E-2</v>
      </c>
      <c r="X1858">
        <v>0.9988475</v>
      </c>
      <c r="Y1858">
        <v>-3.3549820000000001E-2</v>
      </c>
      <c r="Z1858">
        <v>1.459386E-3</v>
      </c>
      <c r="AA1858">
        <v>0.99943599999999999</v>
      </c>
      <c r="AB1858">
        <v>22</v>
      </c>
      <c r="AC1858">
        <v>-3.0006710000000001</v>
      </c>
      <c r="AD1858">
        <v>9.8344329999999994E-2</v>
      </c>
      <c r="AE1858">
        <v>-1.7456050000000001E-2</v>
      </c>
      <c r="AF1858">
        <v>-0.100664294709697</v>
      </c>
      <c r="AG1858">
        <v>9.8344329999999994E-2</v>
      </c>
      <c r="AH1858">
        <v>2.9958113708362402</v>
      </c>
      <c r="AI1858">
        <v>88.120870535141606</v>
      </c>
      <c r="AJ1858">
        <v>91.924510356344499</v>
      </c>
      <c r="AK1858">
        <v>2.9991149823079901</v>
      </c>
      <c r="AL1858">
        <v>87.261513586496505</v>
      </c>
      <c r="AM1858">
        <v>89.736926229045395</v>
      </c>
      <c r="AN1858">
        <v>1.00000002139829</v>
      </c>
    </row>
    <row r="1859" spans="1:40" x14ac:dyDescent="0.25">
      <c r="A1859" t="str">
        <f>"20190312151021886"</f>
        <v>20190312151021886</v>
      </c>
      <c r="B1859" t="str">
        <f>"1552374621882891"</f>
        <v>1552374621882891</v>
      </c>
      <c r="C1859" t="s">
        <v>40</v>
      </c>
      <c r="D1859">
        <v>5.399235</v>
      </c>
      <c r="E1859">
        <v>0.48551129999999998</v>
      </c>
      <c r="F1859" t="s">
        <v>44</v>
      </c>
      <c r="G1859">
        <v>0</v>
      </c>
      <c r="H1859">
        <v>0</v>
      </c>
      <c r="I1859">
        <v>0</v>
      </c>
      <c r="J1859">
        <v>-236.03880000000001</v>
      </c>
      <c r="K1859">
        <v>1.109782</v>
      </c>
      <c r="L1859">
        <v>282.90960000000001</v>
      </c>
      <c r="M1859">
        <v>-0.99959589999999998</v>
      </c>
      <c r="N1859">
        <v>0</v>
      </c>
      <c r="O1859">
        <v>2.7353269999999999E-2</v>
      </c>
      <c r="P1859">
        <v>-0.99868239999999997</v>
      </c>
      <c r="Q1859">
        <v>3.9993269999999997E-2</v>
      </c>
      <c r="R1859">
        <v>3.2156360000000002E-2</v>
      </c>
      <c r="S1859">
        <v>-3.0007779999999999</v>
      </c>
      <c r="T1859">
        <v>9.580553E-2</v>
      </c>
      <c r="U1859">
        <v>-1.9378659999999999E-2</v>
      </c>
      <c r="V1859">
        <v>4.7970360000000002E-3</v>
      </c>
      <c r="W1859">
        <v>4.7727400000000003E-2</v>
      </c>
      <c r="X1859">
        <v>0.99884890000000004</v>
      </c>
      <c r="Y1859">
        <v>-3.3777700000000001E-2</v>
      </c>
      <c r="Z1859">
        <v>1.4121029999999901E-3</v>
      </c>
      <c r="AA1859">
        <v>0.99942839999999999</v>
      </c>
      <c r="AB1859">
        <v>22</v>
      </c>
      <c r="AC1859">
        <v>-3.0007779999999999</v>
      </c>
      <c r="AD1859">
        <v>9.580553E-2</v>
      </c>
      <c r="AE1859">
        <v>-1.9378659999999999E-2</v>
      </c>
      <c r="AF1859">
        <v>-0.10135164912924299</v>
      </c>
      <c r="AG1859">
        <v>9.580553E-2</v>
      </c>
      <c r="AH1859">
        <v>2.9960711958871298</v>
      </c>
      <c r="AI1859">
        <v>88.169520205878499</v>
      </c>
      <c r="AJ1859">
        <v>91.937473377998302</v>
      </c>
      <c r="AK1859">
        <v>2.9993154997739602</v>
      </c>
      <c r="AL1859">
        <v>87.264382218844105</v>
      </c>
      <c r="AM1859">
        <v>89.724835454192998</v>
      </c>
      <c r="AN1859">
        <v>1.0000000206481701</v>
      </c>
    </row>
    <row r="1860" spans="1:40" x14ac:dyDescent="0.25">
      <c r="A1860" t="str">
        <f>"20190312151021911"</f>
        <v>20190312151021911</v>
      </c>
      <c r="B1860" t="str">
        <f>"1552374621902409"</f>
        <v>1552374621902409</v>
      </c>
      <c r="C1860" t="s">
        <v>40</v>
      </c>
      <c r="D1860">
        <v>5.1828089999999998</v>
      </c>
      <c r="E1860">
        <v>0.48541879999999998</v>
      </c>
      <c r="F1860" t="s">
        <v>44</v>
      </c>
      <c r="G1860">
        <v>0</v>
      </c>
      <c r="H1860">
        <v>0</v>
      </c>
      <c r="I1860">
        <v>0</v>
      </c>
      <c r="J1860">
        <v>-236.2825</v>
      </c>
      <c r="K1860">
        <v>1.1097859999999999</v>
      </c>
      <c r="L1860">
        <v>282.91570000000002</v>
      </c>
      <c r="M1860">
        <v>-0.99960970000000005</v>
      </c>
      <c r="N1860">
        <v>0</v>
      </c>
      <c r="O1860">
        <v>2.685763E-2</v>
      </c>
      <c r="P1860">
        <v>-0.99866489999999997</v>
      </c>
      <c r="Q1860">
        <v>4.0680859999999999E-2</v>
      </c>
      <c r="R1860">
        <v>3.1840569999999999E-2</v>
      </c>
      <c r="S1860">
        <v>-3.0008089999999998</v>
      </c>
      <c r="T1860">
        <v>9.4795699999999997E-2</v>
      </c>
      <c r="U1860">
        <v>-1.977539E-2</v>
      </c>
      <c r="V1860">
        <v>4.9757300000000003E-3</v>
      </c>
      <c r="W1860">
        <v>4.8385150000000002E-2</v>
      </c>
      <c r="X1860">
        <v>0.99881640000000005</v>
      </c>
      <c r="Y1860">
        <v>-3.3415279999999999E-2</v>
      </c>
      <c r="Z1860">
        <v>1.3758380000000001E-3</v>
      </c>
      <c r="AA1860">
        <v>0.99944060000000001</v>
      </c>
      <c r="AB1860">
        <v>22</v>
      </c>
      <c r="AC1860">
        <v>-3.0008089999999998</v>
      </c>
      <c r="AD1860">
        <v>9.4795699999999997E-2</v>
      </c>
      <c r="AE1860">
        <v>-1.977539E-2</v>
      </c>
      <c r="AF1860">
        <v>-0.100265202675378</v>
      </c>
      <c r="AG1860">
        <v>9.4795699999999997E-2</v>
      </c>
      <c r="AH1860">
        <v>2.9962054379113101</v>
      </c>
      <c r="AI1860">
        <v>88.188860248512697</v>
      </c>
      <c r="AJ1860">
        <v>91.916634252441995</v>
      </c>
      <c r="AK1860">
        <v>2.9993809964349798</v>
      </c>
      <c r="AL1860">
        <v>87.226652383817594</v>
      </c>
      <c r="AM1860">
        <v>89.714576201668194</v>
      </c>
      <c r="AN1860">
        <v>1.00000004076925</v>
      </c>
    </row>
    <row r="1861" spans="1:40" x14ac:dyDescent="0.25">
      <c r="A1861" t="str">
        <f>"20190312151021934"</f>
        <v>20190312151021934</v>
      </c>
      <c r="B1861" t="str">
        <f>"1552374621922905"</f>
        <v>1552374621922905</v>
      </c>
      <c r="C1861" t="s">
        <v>40</v>
      </c>
      <c r="D1861">
        <v>5.3457220000000003</v>
      </c>
      <c r="E1861">
        <v>0.48546149999999999</v>
      </c>
      <c r="F1861" t="s">
        <v>44</v>
      </c>
      <c r="G1861">
        <v>0</v>
      </c>
      <c r="H1861">
        <v>0</v>
      </c>
      <c r="I1861">
        <v>0</v>
      </c>
      <c r="J1861">
        <v>-236.51509999999999</v>
      </c>
      <c r="K1861">
        <v>1.1097969999999999</v>
      </c>
      <c r="L1861">
        <v>282.92140000000001</v>
      </c>
      <c r="M1861">
        <v>-0.99962309999999999</v>
      </c>
      <c r="N1861">
        <v>0</v>
      </c>
      <c r="O1861">
        <v>2.6358070000000001E-2</v>
      </c>
      <c r="P1861">
        <v>-0.998668</v>
      </c>
      <c r="Q1861">
        <v>4.0581619999999999E-2</v>
      </c>
      <c r="R1861">
        <v>3.1865860000000003E-2</v>
      </c>
      <c r="S1861">
        <v>-3.0008539999999999</v>
      </c>
      <c r="T1861">
        <v>9.4180230000000004E-2</v>
      </c>
      <c r="U1861">
        <v>-2.133179E-2</v>
      </c>
      <c r="V1861">
        <v>5.4981650000000002E-3</v>
      </c>
      <c r="W1861">
        <v>4.8261310000000002E-2</v>
      </c>
      <c r="X1861">
        <v>0.99881960000000003</v>
      </c>
      <c r="Y1861">
        <v>-3.343467E-2</v>
      </c>
      <c r="Z1861">
        <v>1.3515210000000001E-3</v>
      </c>
      <c r="AA1861">
        <v>0.99944</v>
      </c>
      <c r="AB1861">
        <v>22</v>
      </c>
      <c r="AC1861">
        <v>-3.0008539999999999</v>
      </c>
      <c r="AD1861">
        <v>9.4180230000000004E-2</v>
      </c>
      <c r="AE1861">
        <v>-2.133179E-2</v>
      </c>
      <c r="AF1861">
        <v>-0.100324614580346</v>
      </c>
      <c r="AG1861">
        <v>9.4180230000000004E-2</v>
      </c>
      <c r="AH1861">
        <v>2.9962978972982399</v>
      </c>
      <c r="AI1861">
        <v>88.200668107034005</v>
      </c>
      <c r="AJ1861">
        <v>91.917709967572705</v>
      </c>
      <c r="AK1861">
        <v>2.99945595623063</v>
      </c>
      <c r="AL1861">
        <v>87.233756047471104</v>
      </c>
      <c r="AM1861">
        <v>89.684609244984699</v>
      </c>
      <c r="AN1861">
        <v>0.99999998860272099</v>
      </c>
    </row>
    <row r="1862" spans="1:40" x14ac:dyDescent="0.25">
      <c r="A1862" t="str">
        <f>"20190312151021954"</f>
        <v>20190312151021954</v>
      </c>
      <c r="B1862" t="str">
        <f>"1552374621942426"</f>
        <v>1552374621942426</v>
      </c>
      <c r="C1862" t="s">
        <v>40</v>
      </c>
      <c r="D1862">
        <v>5.2932240000000004</v>
      </c>
      <c r="E1862">
        <v>0.4854078</v>
      </c>
      <c r="F1862" t="s">
        <v>44</v>
      </c>
      <c r="G1862">
        <v>0</v>
      </c>
      <c r="H1862">
        <v>0</v>
      </c>
      <c r="I1862">
        <v>0</v>
      </c>
      <c r="J1862">
        <v>-236.7176</v>
      </c>
      <c r="K1862">
        <v>1.109818</v>
      </c>
      <c r="L1862">
        <v>282.92619999999999</v>
      </c>
      <c r="M1862">
        <v>-0.99963559999999996</v>
      </c>
      <c r="N1862">
        <v>0</v>
      </c>
      <c r="O1862">
        <v>2.588642E-2</v>
      </c>
      <c r="P1862">
        <v>-0.9987163</v>
      </c>
      <c r="Q1862">
        <v>3.9785870000000001E-2</v>
      </c>
      <c r="R1862">
        <v>3.1357589999999998E-2</v>
      </c>
      <c r="S1862">
        <v>-3.000931</v>
      </c>
      <c r="T1862">
        <v>9.1824050000000004E-2</v>
      </c>
      <c r="U1862">
        <v>-2.105713E-2</v>
      </c>
      <c r="V1862">
        <v>5.4578639999999998E-3</v>
      </c>
      <c r="W1862">
        <v>4.7447799999999998E-2</v>
      </c>
      <c r="X1862">
        <v>0.99885880000000005</v>
      </c>
      <c r="Y1862">
        <v>-3.2873390000000002E-2</v>
      </c>
      <c r="Z1862">
        <v>1.294681E-3</v>
      </c>
      <c r="AA1862">
        <v>0.99945870000000003</v>
      </c>
      <c r="AB1862">
        <v>22</v>
      </c>
      <c r="AC1862">
        <v>-3.000931</v>
      </c>
      <c r="AD1862">
        <v>9.1824050000000004E-2</v>
      </c>
      <c r="AE1862">
        <v>-2.105713E-2</v>
      </c>
      <c r="AF1862">
        <v>-9.8643355869325197E-2</v>
      </c>
      <c r="AG1862">
        <v>9.1824050000000004E-2</v>
      </c>
      <c r="AH1862">
        <v>2.9965747275388601</v>
      </c>
      <c r="AI1862">
        <v>88.245784069531496</v>
      </c>
      <c r="AJ1862">
        <v>91.885421951235699</v>
      </c>
      <c r="AK1862">
        <v>2.9996036847457299</v>
      </c>
      <c r="AL1862">
        <v>87.280420211048593</v>
      </c>
      <c r="AM1862">
        <v>89.686933267988906</v>
      </c>
      <c r="AN1862">
        <v>0.999999992170861</v>
      </c>
    </row>
    <row r="1863" spans="1:40" x14ac:dyDescent="0.25">
      <c r="A1863" t="str">
        <f>"20190312151021976"</f>
        <v>20190312151021976</v>
      </c>
      <c r="B1863" t="str">
        <f>"1552374621972681"</f>
        <v>1552374621972681</v>
      </c>
      <c r="C1863" t="s">
        <v>40</v>
      </c>
      <c r="D1863">
        <v>5.2849740000000001</v>
      </c>
      <c r="E1863">
        <v>0.48538930000000002</v>
      </c>
      <c r="F1863" t="s">
        <v>44</v>
      </c>
      <c r="G1863">
        <v>0</v>
      </c>
      <c r="H1863">
        <v>0</v>
      </c>
      <c r="I1863">
        <v>0</v>
      </c>
      <c r="J1863">
        <v>-236.94579999999999</v>
      </c>
      <c r="K1863">
        <v>1.1098539999999999</v>
      </c>
      <c r="L1863">
        <v>282.93150000000003</v>
      </c>
      <c r="M1863">
        <v>-0.9996507</v>
      </c>
      <c r="N1863">
        <v>0</v>
      </c>
      <c r="O1863">
        <v>2.53016E-2</v>
      </c>
      <c r="P1863">
        <v>-0.99875199999999997</v>
      </c>
      <c r="Q1863">
        <v>3.9243739999999999E-2</v>
      </c>
      <c r="R1863">
        <v>3.0898129999999999E-2</v>
      </c>
      <c r="S1863">
        <v>-3.001099</v>
      </c>
      <c r="T1863">
        <v>8.7134719999999999E-2</v>
      </c>
      <c r="U1863">
        <v>-2.3132320000000001E-2</v>
      </c>
      <c r="V1863">
        <v>5.577884E-3</v>
      </c>
      <c r="W1863">
        <v>4.6888150000000003E-2</v>
      </c>
      <c r="X1863">
        <v>0.99888460000000001</v>
      </c>
      <c r="Y1863">
        <v>-3.2982289999999997E-2</v>
      </c>
      <c r="Z1863">
        <v>1.2131290000000001E-3</v>
      </c>
      <c r="AA1863">
        <v>0.99945519999999999</v>
      </c>
      <c r="AB1863">
        <v>23</v>
      </c>
      <c r="AC1863">
        <v>-3.001099</v>
      </c>
      <c r="AD1863">
        <v>8.7134719999999999E-2</v>
      </c>
      <c r="AE1863">
        <v>-2.3132320000000001E-2</v>
      </c>
      <c r="AF1863">
        <v>-9.8976303356098805E-2</v>
      </c>
      <c r="AG1863">
        <v>8.7134719999999999E-2</v>
      </c>
      <c r="AH1863">
        <v>2.9970265702732002</v>
      </c>
      <c r="AI1863">
        <v>88.335574388849196</v>
      </c>
      <c r="AJ1863">
        <v>91.891496129337796</v>
      </c>
      <c r="AK1863">
        <v>2.9999261709213898</v>
      </c>
      <c r="AL1863">
        <v>87.312521620110601</v>
      </c>
      <c r="AM1863">
        <v>89.680057245819796</v>
      </c>
      <c r="AN1863">
        <v>1.00000002775874</v>
      </c>
    </row>
    <row r="1864" spans="1:40" x14ac:dyDescent="0.25">
      <c r="A1864" t="str">
        <f>"20190312151022000"</f>
        <v>20190312151022000</v>
      </c>
      <c r="B1864" t="str">
        <f>"1552374621992201"</f>
        <v>1552374621992201</v>
      </c>
      <c r="C1864" t="s">
        <v>40</v>
      </c>
      <c r="D1864">
        <v>5.2792379999999897</v>
      </c>
      <c r="E1864">
        <v>0.48531809999999997</v>
      </c>
      <c r="F1864" t="s">
        <v>44</v>
      </c>
      <c r="G1864">
        <v>0</v>
      </c>
      <c r="H1864">
        <v>0</v>
      </c>
      <c r="I1864">
        <v>0</v>
      </c>
      <c r="J1864">
        <v>-237.17509999999999</v>
      </c>
      <c r="K1864">
        <v>1.109899</v>
      </c>
      <c r="L1864">
        <v>282.9366</v>
      </c>
      <c r="M1864">
        <v>-0.99966739999999998</v>
      </c>
      <c r="N1864">
        <v>0</v>
      </c>
      <c r="O1864">
        <v>2.4638650000000002E-2</v>
      </c>
      <c r="P1864">
        <v>-0.99877110000000002</v>
      </c>
      <c r="Q1864">
        <v>3.9246969999999999E-2</v>
      </c>
      <c r="R1864">
        <v>3.0270829999999999E-2</v>
      </c>
      <c r="S1864">
        <v>-3.001328</v>
      </c>
      <c r="T1864">
        <v>8.0657839999999995E-2</v>
      </c>
      <c r="U1864">
        <v>-2.4810789999999999E-2</v>
      </c>
      <c r="V1864">
        <v>5.6071970000000004E-3</v>
      </c>
      <c r="W1864">
        <v>4.6876229999999998E-2</v>
      </c>
      <c r="X1864">
        <v>0.99888500000000002</v>
      </c>
      <c r="Y1864">
        <v>-3.2881569999999999E-2</v>
      </c>
      <c r="Z1864">
        <v>1.1037389999999901E-3</v>
      </c>
      <c r="AA1864">
        <v>0.99945870000000003</v>
      </c>
      <c r="AB1864">
        <v>23</v>
      </c>
      <c r="AC1864">
        <v>-3.001328</v>
      </c>
      <c r="AD1864">
        <v>8.0657839999999995E-2</v>
      </c>
      <c r="AE1864">
        <v>-2.4810789999999999E-2</v>
      </c>
      <c r="AF1864">
        <v>-9.8682807973652795E-2</v>
      </c>
      <c r="AG1864">
        <v>8.0657839999999995E-2</v>
      </c>
      <c r="AH1864">
        <v>2.99764069711031</v>
      </c>
      <c r="AI1864">
        <v>88.459542296942104</v>
      </c>
      <c r="AJ1864">
        <v>91.885505230179305</v>
      </c>
      <c r="AK1864">
        <v>3.00034893515988</v>
      </c>
      <c r="AL1864">
        <v>87.313205350090698</v>
      </c>
      <c r="AM1864">
        <v>89.678376040710702</v>
      </c>
      <c r="AN1864">
        <v>1.0000000324111</v>
      </c>
    </row>
    <row r="1865" spans="1:40" x14ac:dyDescent="0.25">
      <c r="A1865" t="str">
        <f>"20190312151022022"</f>
        <v>20190312151022022</v>
      </c>
      <c r="B1865" t="str">
        <f>"1552374622012698"</f>
        <v>1552374622012698</v>
      </c>
      <c r="C1865" t="s">
        <v>40</v>
      </c>
      <c r="D1865">
        <v>5.1168990000000001</v>
      </c>
      <c r="E1865">
        <v>0.48530079999999998</v>
      </c>
      <c r="F1865" t="s">
        <v>44</v>
      </c>
      <c r="G1865">
        <v>0</v>
      </c>
      <c r="H1865">
        <v>0</v>
      </c>
      <c r="I1865">
        <v>0</v>
      </c>
      <c r="J1865">
        <v>-237.4128</v>
      </c>
      <c r="K1865">
        <v>1.109953</v>
      </c>
      <c r="L1865">
        <v>282.94159999999999</v>
      </c>
      <c r="M1865">
        <v>-0.99968619999999997</v>
      </c>
      <c r="N1865">
        <v>0</v>
      </c>
      <c r="O1865">
        <v>2.3867909999999999E-2</v>
      </c>
      <c r="P1865">
        <v>-0.9987819</v>
      </c>
      <c r="Q1865">
        <v>3.9170660000000003E-2</v>
      </c>
      <c r="R1865">
        <v>3.000879E-2</v>
      </c>
      <c r="S1865">
        <v>-3.0014189999999998</v>
      </c>
      <c r="T1865">
        <v>7.8386659999999997E-2</v>
      </c>
      <c r="U1865">
        <v>-2.7252200000000001E-2</v>
      </c>
      <c r="V1865">
        <v>6.1089209999999998E-3</v>
      </c>
      <c r="W1865">
        <v>4.6788120000000002E-2</v>
      </c>
      <c r="X1865">
        <v>0.99888619999999995</v>
      </c>
      <c r="Y1865">
        <v>-3.2925059999999999E-2</v>
      </c>
      <c r="Z1865">
        <v>1.053081E-3</v>
      </c>
      <c r="AA1865">
        <v>0.99945720000000005</v>
      </c>
      <c r="AB1865">
        <v>23</v>
      </c>
      <c r="AC1865">
        <v>-3.0014189999999998</v>
      </c>
      <c r="AD1865">
        <v>7.8386659999999997E-2</v>
      </c>
      <c r="AE1865">
        <v>-2.7252200000000001E-2</v>
      </c>
      <c r="AF1865">
        <v>-9.8816711135885499E-2</v>
      </c>
      <c r="AG1865">
        <v>7.8386659999999997E-2</v>
      </c>
      <c r="AH1865">
        <v>2.99786883921049</v>
      </c>
      <c r="AI1865">
        <v>88.5030147500091</v>
      </c>
      <c r="AJ1865">
        <v>91.887918250316801</v>
      </c>
      <c r="AK1865">
        <v>3.0005210860740399</v>
      </c>
      <c r="AL1865">
        <v>87.318259256934297</v>
      </c>
      <c r="AM1865">
        <v>89.649598696031106</v>
      </c>
      <c r="AN1865">
        <v>1.0000000438196699</v>
      </c>
    </row>
    <row r="1866" spans="1:40" x14ac:dyDescent="0.25">
      <c r="A1866" t="str">
        <f>"20190312151022044"</f>
        <v>20190312151022044</v>
      </c>
      <c r="B1866" t="str">
        <f>"1552374622042953"</f>
        <v>1552374622042953</v>
      </c>
      <c r="C1866" t="s">
        <v>40</v>
      </c>
      <c r="D1866">
        <v>5.2227489999999896</v>
      </c>
      <c r="E1866">
        <v>0.48572660000000001</v>
      </c>
      <c r="F1866" t="s">
        <v>44</v>
      </c>
      <c r="G1866">
        <v>0</v>
      </c>
      <c r="H1866">
        <v>0</v>
      </c>
      <c r="I1866">
        <v>0</v>
      </c>
      <c r="J1866">
        <v>-237.6343</v>
      </c>
      <c r="K1866">
        <v>1.109998</v>
      </c>
      <c r="L1866">
        <v>282.94600000000003</v>
      </c>
      <c r="M1866">
        <v>-0.9997047</v>
      </c>
      <c r="N1866">
        <v>0</v>
      </c>
      <c r="O1866">
        <v>2.308497E-2</v>
      </c>
      <c r="P1866">
        <v>-0.99878789999999995</v>
      </c>
      <c r="Q1866">
        <v>3.8943680000000001E-2</v>
      </c>
      <c r="R1866">
        <v>3.0108179999999998E-2</v>
      </c>
      <c r="S1866">
        <v>-3.001541</v>
      </c>
      <c r="T1866">
        <v>7.5181600000000001E-2</v>
      </c>
      <c r="U1866">
        <v>-2.8198239999999999E-2</v>
      </c>
      <c r="V1866">
        <v>6.9855890000000004E-3</v>
      </c>
      <c r="W1866">
        <v>4.6552339999999998E-2</v>
      </c>
      <c r="X1866">
        <v>0.99889139999999998</v>
      </c>
      <c r="Y1866">
        <v>-3.2458859999999999E-2</v>
      </c>
      <c r="Z1866">
        <v>9.8455190000000005E-4</v>
      </c>
      <c r="AA1866">
        <v>0.99947260000000004</v>
      </c>
      <c r="AB1866">
        <v>23</v>
      </c>
      <c r="AC1866">
        <v>-3.001541</v>
      </c>
      <c r="AD1866">
        <v>7.5181600000000001E-2</v>
      </c>
      <c r="AE1866">
        <v>-2.8198239999999999E-2</v>
      </c>
      <c r="AF1866">
        <v>-9.7422088582373806E-2</v>
      </c>
      <c r="AG1866">
        <v>7.5181600000000001E-2</v>
      </c>
      <c r="AH1866">
        <v>2.9982092213109799</v>
      </c>
      <c r="AI1866">
        <v>88.564337990364194</v>
      </c>
      <c r="AJ1866">
        <v>91.861081348509003</v>
      </c>
      <c r="AK1866">
        <v>3.0007335554954802</v>
      </c>
      <c r="AL1866">
        <v>87.331783004919799</v>
      </c>
      <c r="AM1866">
        <v>89.5993175610446</v>
      </c>
      <c r="AN1866">
        <v>0.999999973903555</v>
      </c>
    </row>
    <row r="1867" spans="1:40" x14ac:dyDescent="0.25">
      <c r="A1867" t="str">
        <f>"20190312151022067"</f>
        <v>20190312151022067</v>
      </c>
      <c r="B1867" t="str">
        <f>"1552374622062474"</f>
        <v>1552374622062474</v>
      </c>
      <c r="C1867" t="s">
        <v>40</v>
      </c>
      <c r="D1867">
        <v>5.3331749999999998</v>
      </c>
      <c r="E1867">
        <v>0.51931709999999998</v>
      </c>
      <c r="F1867" t="s">
        <v>44</v>
      </c>
      <c r="G1867">
        <v>0</v>
      </c>
      <c r="H1867">
        <v>0</v>
      </c>
      <c r="I1867">
        <v>0</v>
      </c>
      <c r="J1867">
        <v>-237.86949999999999</v>
      </c>
      <c r="K1867">
        <v>1.1100410000000001</v>
      </c>
      <c r="L1867">
        <v>282.95049999999998</v>
      </c>
      <c r="M1867">
        <v>-0.99972510000000003</v>
      </c>
      <c r="N1867">
        <v>0</v>
      </c>
      <c r="O1867">
        <v>2.2183189999999998E-2</v>
      </c>
      <c r="P1867">
        <v>-0.99883670000000002</v>
      </c>
      <c r="Q1867">
        <v>3.8237630000000002E-2</v>
      </c>
      <c r="R1867">
        <v>2.9378140000000001E-2</v>
      </c>
      <c r="S1867">
        <v>-3.0015869999999998</v>
      </c>
      <c r="T1867">
        <v>7.1236010000000002E-2</v>
      </c>
      <c r="U1867">
        <v>-2.4566649999999999E-2</v>
      </c>
      <c r="V1867">
        <v>7.1516310000000003E-3</v>
      </c>
      <c r="W1867">
        <v>4.5838329999999997E-2</v>
      </c>
      <c r="X1867">
        <v>0.99892320000000001</v>
      </c>
      <c r="Y1867">
        <v>-3.0350559999999999E-2</v>
      </c>
      <c r="Z1867">
        <v>8.8647569999999998E-4</v>
      </c>
      <c r="AA1867">
        <v>0.99953890000000001</v>
      </c>
      <c r="AB1867">
        <v>23</v>
      </c>
      <c r="AC1867">
        <v>-3.0015869999999998</v>
      </c>
      <c r="AD1867">
        <v>7.1236010000000002E-2</v>
      </c>
      <c r="AE1867">
        <v>-2.4566649999999999E-2</v>
      </c>
      <c r="AF1867">
        <v>-9.1095991901072398E-2</v>
      </c>
      <c r="AG1867">
        <v>7.1236010000000002E-2</v>
      </c>
      <c r="AH1867">
        <v>2.99861451149477</v>
      </c>
      <c r="AI1867">
        <v>88.639747096073904</v>
      </c>
      <c r="AJ1867">
        <v>91.740073977186398</v>
      </c>
      <c r="AK1867">
        <v>3.0008435543040499</v>
      </c>
      <c r="AL1867">
        <v>87.372736368992307</v>
      </c>
      <c r="AM1867">
        <v>89.589807031939102</v>
      </c>
      <c r="AN1867">
        <v>0.999999928910691</v>
      </c>
    </row>
    <row r="1868" spans="1:40" x14ac:dyDescent="0.25">
      <c r="A1868" t="str">
        <f>"20190312151022087"</f>
        <v>20190312151022087</v>
      </c>
      <c r="B1868" t="str">
        <f>"1552374622082969"</f>
        <v>1552374622082969</v>
      </c>
      <c r="C1868" t="s">
        <v>40</v>
      </c>
      <c r="D1868">
        <v>5.3874930000000001</v>
      </c>
      <c r="E1868">
        <v>0.52482890000000004</v>
      </c>
      <c r="F1868" t="s">
        <v>61</v>
      </c>
      <c r="G1868">
        <v>-306.97199999999998</v>
      </c>
      <c r="H1868" s="1">
        <v>2.3930950000000001E-6</v>
      </c>
      <c r="I1868">
        <v>288.44580000000002</v>
      </c>
      <c r="J1868">
        <v>-238.07759999999999</v>
      </c>
      <c r="K1868">
        <v>1.110077</v>
      </c>
      <c r="L1868">
        <v>282.95420000000001</v>
      </c>
      <c r="M1868">
        <v>-0.99974379999999996</v>
      </c>
      <c r="N1868">
        <v>0</v>
      </c>
      <c r="O1868">
        <v>2.1325779999999999E-2</v>
      </c>
      <c r="P1868">
        <v>-0.99885000000000002</v>
      </c>
      <c r="Q1868">
        <v>3.7704029999999999E-2</v>
      </c>
      <c r="R1868">
        <v>2.961368E-2</v>
      </c>
      <c r="S1868">
        <v>-2.9983059999999999</v>
      </c>
      <c r="T1868">
        <v>-4.8163770000000002E-2</v>
      </c>
      <c r="U1868">
        <v>0.2384338</v>
      </c>
      <c r="V1868">
        <v>8.2404790000000002E-3</v>
      </c>
      <c r="W1868">
        <v>4.5298150000000002E-2</v>
      </c>
      <c r="X1868">
        <v>0.99893949999999998</v>
      </c>
      <c r="Y1868">
        <v>5.7990590000000002E-2</v>
      </c>
      <c r="Z1868">
        <v>1.2308029999999999E-4</v>
      </c>
      <c r="AA1868">
        <v>0.99831709999999996</v>
      </c>
      <c r="AB1868">
        <v>23</v>
      </c>
      <c r="AC1868">
        <v>-68.894399999999905</v>
      </c>
      <c r="AD1868">
        <v>-1.110074606905</v>
      </c>
      <c r="AE1868">
        <v>5.4916</v>
      </c>
      <c r="AF1868">
        <v>4.02004484297911</v>
      </c>
      <c r="AG1868">
        <v>-1.110074606905</v>
      </c>
      <c r="AH1868">
        <v>68.978052186807204</v>
      </c>
      <c r="AI1868">
        <v>90.920428817866707</v>
      </c>
      <c r="AJ1868">
        <v>86.664571598262697</v>
      </c>
      <c r="AK1868">
        <v>69.104013701509103</v>
      </c>
      <c r="AL1868">
        <v>87.403718712262204</v>
      </c>
      <c r="AM1868">
        <v>89.527364811855193</v>
      </c>
      <c r="AN1868">
        <v>0.99999997627391002</v>
      </c>
    </row>
    <row r="1869" spans="1:40" x14ac:dyDescent="0.25">
      <c r="A1869" t="str">
        <f>"20190312151022113"</f>
        <v>20190312151022113</v>
      </c>
      <c r="B1869" t="str">
        <f>"1552374622102490"</f>
        <v>1552374622102490</v>
      </c>
      <c r="C1869" t="s">
        <v>40</v>
      </c>
      <c r="D1869">
        <v>5.2665199999999999</v>
      </c>
      <c r="E1869">
        <v>0.52699449999999903</v>
      </c>
      <c r="F1869" t="s">
        <v>63</v>
      </c>
      <c r="G1869">
        <v>-440.8716</v>
      </c>
      <c r="H1869">
        <v>1.5560240000000001</v>
      </c>
      <c r="I1869">
        <v>302.20800000000003</v>
      </c>
      <c r="J1869">
        <v>-238.3339</v>
      </c>
      <c r="K1869">
        <v>1.110114</v>
      </c>
      <c r="L1869">
        <v>282.95850000000002</v>
      </c>
      <c r="M1869">
        <v>-0.99976730000000003</v>
      </c>
      <c r="N1869">
        <v>0</v>
      </c>
      <c r="O1869">
        <v>2.0203820000000001E-2</v>
      </c>
      <c r="P1869">
        <v>-0.99885389999999996</v>
      </c>
      <c r="Q1869">
        <v>3.786229E-2</v>
      </c>
      <c r="R1869">
        <v>2.9280770000000001E-2</v>
      </c>
      <c r="S1869">
        <v>-2.9947810000000001</v>
      </c>
      <c r="T1869">
        <v>6.5857169999999996E-3</v>
      </c>
      <c r="U1869">
        <v>0.28433229999999998</v>
      </c>
      <c r="V1869">
        <v>9.0239780000000002E-3</v>
      </c>
      <c r="W1869">
        <v>4.5443450000000003E-2</v>
      </c>
      <c r="X1869">
        <v>0.99892619999999999</v>
      </c>
      <c r="Y1869">
        <v>7.4384190000000003E-2</v>
      </c>
      <c r="Z1869" s="1">
        <v>-3.7286039999999998E-5</v>
      </c>
      <c r="AA1869">
        <v>0.99722960000000005</v>
      </c>
      <c r="AB1869">
        <v>23</v>
      </c>
      <c r="AC1869">
        <v>-202.5377</v>
      </c>
      <c r="AD1869">
        <v>0.44590999999999997</v>
      </c>
      <c r="AE1869">
        <v>19.249499999999902</v>
      </c>
      <c r="AF1869">
        <v>15.153345641508</v>
      </c>
      <c r="AG1869">
        <v>0.44590999999999997</v>
      </c>
      <c r="AH1869">
        <v>202.884305994372</v>
      </c>
      <c r="AI1869">
        <v>89.874422249815495</v>
      </c>
      <c r="AJ1869">
        <v>85.728532778286393</v>
      </c>
      <c r="AK1869">
        <v>203.44990621447101</v>
      </c>
      <c r="AL1869">
        <v>87.395385235638201</v>
      </c>
      <c r="AM1869">
        <v>89.482422435344603</v>
      </c>
      <c r="AN1869">
        <v>1.0000000461866401</v>
      </c>
    </row>
    <row r="1870" spans="1:40" x14ac:dyDescent="0.25">
      <c r="A1870" t="str">
        <f>"20190312151022134"</f>
        <v>20190312151022134</v>
      </c>
      <c r="B1870" t="str">
        <f>"1552374622132746"</f>
        <v>1552374622132746</v>
      </c>
      <c r="C1870" t="s">
        <v>40</v>
      </c>
      <c r="D1870">
        <v>5.2679729999999996</v>
      </c>
      <c r="E1870">
        <v>0.528161199999999</v>
      </c>
      <c r="F1870" t="s">
        <v>63</v>
      </c>
      <c r="G1870">
        <v>-440.87220000000002</v>
      </c>
      <c r="H1870">
        <v>3.2546360000000001</v>
      </c>
      <c r="I1870">
        <v>303.34910000000002</v>
      </c>
      <c r="J1870">
        <v>-238.56659999999999</v>
      </c>
      <c r="K1870">
        <v>1.1101460000000001</v>
      </c>
      <c r="L1870">
        <v>282.96210000000002</v>
      </c>
      <c r="M1870">
        <v>-0.99978849999999997</v>
      </c>
      <c r="N1870">
        <v>0</v>
      </c>
      <c r="O1870">
        <v>1.913933E-2</v>
      </c>
      <c r="P1870">
        <v>-0.99886090000000005</v>
      </c>
      <c r="Q1870">
        <v>3.8192799999999999E-2</v>
      </c>
      <c r="R1870">
        <v>2.8615089999999999E-2</v>
      </c>
      <c r="S1870">
        <v>-2.9933930000000002</v>
      </c>
      <c r="T1870">
        <v>3.1694890000000003E-2</v>
      </c>
      <c r="U1870">
        <v>0.30136109999999999</v>
      </c>
      <c r="V1870">
        <v>9.4183240000000005E-3</v>
      </c>
      <c r="W1870">
        <v>4.5753540000000002E-2</v>
      </c>
      <c r="X1870">
        <v>0.99890829999999997</v>
      </c>
      <c r="Y1870">
        <v>8.1103679999999997E-2</v>
      </c>
      <c r="Z1870">
        <v>-2.261958E-4</v>
      </c>
      <c r="AA1870">
        <v>0.99670570000000003</v>
      </c>
      <c r="AB1870">
        <v>23</v>
      </c>
      <c r="AC1870">
        <v>-202.3056</v>
      </c>
      <c r="AD1870">
        <v>2.1444899999999998</v>
      </c>
      <c r="AE1870">
        <v>20.387</v>
      </c>
      <c r="AF1870">
        <v>16.509325697769501</v>
      </c>
      <c r="AG1870">
        <v>2.1444899999999998</v>
      </c>
      <c r="AH1870">
        <v>202.636205020429</v>
      </c>
      <c r="AI1870">
        <v>89.395666192653195</v>
      </c>
      <c r="AJ1870">
        <v>85.342243759928493</v>
      </c>
      <c r="AK1870">
        <v>203.318932363507</v>
      </c>
      <c r="AL1870">
        <v>87.377599614003898</v>
      </c>
      <c r="AM1870">
        <v>89.459796034020897</v>
      </c>
      <c r="AN1870">
        <v>0.99999994152919303</v>
      </c>
    </row>
    <row r="1871" spans="1:40" x14ac:dyDescent="0.25">
      <c r="A1871" t="str">
        <f>"20190312151022157"</f>
        <v>20190312151022157</v>
      </c>
      <c r="B1871" t="str">
        <f>"1552374622152265"</f>
        <v>1552374622152265</v>
      </c>
      <c r="C1871" t="s">
        <v>40</v>
      </c>
      <c r="D1871">
        <v>5.32463</v>
      </c>
      <c r="E1871">
        <v>0.52855010000000002</v>
      </c>
      <c r="F1871" t="s">
        <v>63</v>
      </c>
      <c r="G1871">
        <v>-440.87240000000003</v>
      </c>
      <c r="H1871">
        <v>4.0512589999999999</v>
      </c>
      <c r="I1871">
        <v>303.84030000000001</v>
      </c>
      <c r="J1871">
        <v>-238.79239999999999</v>
      </c>
      <c r="K1871">
        <v>1.11016</v>
      </c>
      <c r="L1871">
        <v>282.96519999999998</v>
      </c>
      <c r="M1871">
        <v>-0.99980829999999998</v>
      </c>
      <c r="N1871">
        <v>0</v>
      </c>
      <c r="O1871">
        <v>1.8081030000000001E-2</v>
      </c>
      <c r="P1871">
        <v>-0.99887269999999995</v>
      </c>
      <c r="Q1871">
        <v>3.84829E-2</v>
      </c>
      <c r="R1871">
        <v>2.7795670000000001E-2</v>
      </c>
      <c r="S1871">
        <v>-2.992874</v>
      </c>
      <c r="T1871">
        <v>4.3510439999999997E-2</v>
      </c>
      <c r="U1871">
        <v>0.30886839999999999</v>
      </c>
      <c r="V1871">
        <v>9.6534610000000003E-3</v>
      </c>
      <c r="W1871">
        <v>4.6011240000000002E-2</v>
      </c>
      <c r="X1871">
        <v>0.99889430000000001</v>
      </c>
      <c r="Y1871">
        <v>8.4646310000000002E-2</v>
      </c>
      <c r="Z1871">
        <v>-3.5154480000000002E-4</v>
      </c>
      <c r="AA1871">
        <v>0.99641100000000005</v>
      </c>
      <c r="AB1871">
        <v>23</v>
      </c>
      <c r="AC1871">
        <v>-202.08</v>
      </c>
      <c r="AD1871">
        <v>2.9410989999999999</v>
      </c>
      <c r="AE1871">
        <v>20.8751</v>
      </c>
      <c r="AF1871">
        <v>17.2141617384668</v>
      </c>
      <c r="AG1871">
        <v>2.9410989999999999</v>
      </c>
      <c r="AH1871">
        <v>202.38200054915799</v>
      </c>
      <c r="AI1871">
        <v>89.170407772906998</v>
      </c>
      <c r="AJ1871">
        <v>85.138250839347094</v>
      </c>
      <c r="AK1871">
        <v>203.134072902517</v>
      </c>
      <c r="AL1871">
        <v>87.362819139534196</v>
      </c>
      <c r="AM1871">
        <v>89.446302421768294</v>
      </c>
      <c r="AN1871">
        <v>1.00000002304405</v>
      </c>
    </row>
    <row r="1872" spans="1:40" x14ac:dyDescent="0.25">
      <c r="A1872" t="str">
        <f>"20190312151022178"</f>
        <v>20190312151022178</v>
      </c>
      <c r="B1872" t="str">
        <f>"1552374622172762"</f>
        <v>1552374622172762</v>
      </c>
      <c r="C1872" t="s">
        <v>40</v>
      </c>
      <c r="D1872">
        <v>5.1413039999999999</v>
      </c>
      <c r="E1872">
        <v>0.52889759999999997</v>
      </c>
      <c r="F1872" t="s">
        <v>63</v>
      </c>
      <c r="G1872">
        <v>-440.87240000000003</v>
      </c>
      <c r="H1872">
        <v>4.1378589999999997</v>
      </c>
      <c r="I1872">
        <v>303.84989999999999</v>
      </c>
      <c r="J1872">
        <v>-239.01679999999999</v>
      </c>
      <c r="K1872">
        <v>1.110161</v>
      </c>
      <c r="L1872">
        <v>282.96809999999999</v>
      </c>
      <c r="M1872">
        <v>-0.99982729999999997</v>
      </c>
      <c r="N1872">
        <v>0</v>
      </c>
      <c r="O1872">
        <v>1.7016369999999999E-2</v>
      </c>
      <c r="P1872">
        <v>-0.99889450000000002</v>
      </c>
      <c r="Q1872">
        <v>3.8881930000000002E-2</v>
      </c>
      <c r="R1872">
        <v>2.6419399999999999E-2</v>
      </c>
      <c r="S1872">
        <v>-2.993042</v>
      </c>
      <c r="T1872">
        <v>4.4843910000000001E-2</v>
      </c>
      <c r="U1872">
        <v>0.3093262</v>
      </c>
      <c r="V1872">
        <v>9.338809E-3</v>
      </c>
      <c r="W1872">
        <v>4.6366579999999998E-2</v>
      </c>
      <c r="X1872">
        <v>0.99888089999999996</v>
      </c>
      <c r="Y1872">
        <v>8.5851650000000002E-2</v>
      </c>
      <c r="Z1872">
        <v>-3.8719930000000001E-4</v>
      </c>
      <c r="AA1872">
        <v>0.99630779999999997</v>
      </c>
      <c r="AB1872">
        <v>23</v>
      </c>
      <c r="AC1872">
        <v>-201.85560000000001</v>
      </c>
      <c r="AD1872">
        <v>3.027698</v>
      </c>
      <c r="AE1872">
        <v>20.881799999999998</v>
      </c>
      <c r="AF1872">
        <v>17.439948851997599</v>
      </c>
      <c r="AG1872">
        <v>3.027698</v>
      </c>
      <c r="AH1872">
        <v>202.136719118748</v>
      </c>
      <c r="AI1872">
        <v>89.1450370307995</v>
      </c>
      <c r="AJ1872">
        <v>85.068847046150395</v>
      </c>
      <c r="AK1872">
        <v>202.91025599321301</v>
      </c>
      <c r="AL1872">
        <v>87.342438010745596</v>
      </c>
      <c r="AM1872">
        <v>89.464341792787295</v>
      </c>
      <c r="AN1872">
        <v>1.0000000627396199</v>
      </c>
    </row>
    <row r="1873" spans="1:40" x14ac:dyDescent="0.25">
      <c r="A1873" t="str">
        <f>"20190312151022201"</f>
        <v>20190312151022201</v>
      </c>
      <c r="B1873" t="str">
        <f>"1552374622192281"</f>
        <v>1552374622192281</v>
      </c>
      <c r="C1873" t="s">
        <v>40</v>
      </c>
      <c r="D1873">
        <v>5.2725929999999996</v>
      </c>
      <c r="E1873">
        <v>0.52956939999999997</v>
      </c>
      <c r="F1873" t="s">
        <v>63</v>
      </c>
      <c r="G1873">
        <v>-440.8725</v>
      </c>
      <c r="H1873">
        <v>4.1536229999999996</v>
      </c>
      <c r="I1873">
        <v>303.73649999999998</v>
      </c>
      <c r="J1873">
        <v>-239.2543</v>
      </c>
      <c r="K1873">
        <v>1.110152</v>
      </c>
      <c r="L1873">
        <v>282.97089999999997</v>
      </c>
      <c r="M1873">
        <v>-0.99984629999999997</v>
      </c>
      <c r="N1873">
        <v>0</v>
      </c>
      <c r="O1873">
        <v>1.5883950000000001E-2</v>
      </c>
      <c r="P1873">
        <v>-0.99891909999999895</v>
      </c>
      <c r="Q1873">
        <v>3.9033470000000001E-2</v>
      </c>
      <c r="R1873">
        <v>2.523939E-2</v>
      </c>
      <c r="S1873">
        <v>-2.9934080000000001</v>
      </c>
      <c r="T1873">
        <v>4.5132989999999998E-2</v>
      </c>
      <c r="U1873">
        <v>0.30798340000000002</v>
      </c>
      <c r="V1873">
        <v>9.2896160000000005E-3</v>
      </c>
      <c r="W1873">
        <v>4.6469940000000001E-2</v>
      </c>
      <c r="X1873">
        <v>0.99887649999999994</v>
      </c>
      <c r="Y1873">
        <v>8.6525099999999994E-2</v>
      </c>
      <c r="Z1873">
        <v>-4.117395E-4</v>
      </c>
      <c r="AA1873">
        <v>0.99624959999999996</v>
      </c>
      <c r="AB1873">
        <v>23</v>
      </c>
      <c r="AC1873">
        <v>-201.6182</v>
      </c>
      <c r="AD1873">
        <v>3.0434709999999998</v>
      </c>
      <c r="AE1873">
        <v>20.765599999999999</v>
      </c>
      <c r="AF1873">
        <v>17.5564399906593</v>
      </c>
      <c r="AG1873">
        <v>3.0434709999999998</v>
      </c>
      <c r="AH1873">
        <v>201.87709370212301</v>
      </c>
      <c r="AI1873">
        <v>89.139529509228396</v>
      </c>
      <c r="AJ1873">
        <v>85.029721224409997</v>
      </c>
      <c r="AK1873">
        <v>202.661916162089</v>
      </c>
      <c r="AL1873">
        <v>87.336509381137105</v>
      </c>
      <c r="AM1873">
        <v>89.467160909536005</v>
      </c>
      <c r="AN1873">
        <v>1.0000000072706401</v>
      </c>
    </row>
    <row r="1874" spans="1:40" x14ac:dyDescent="0.25">
      <c r="A1874" t="str">
        <f>"20190312151022223"</f>
        <v>20190312151022223</v>
      </c>
      <c r="B1874" t="str">
        <f>"1552374622212777"</f>
        <v>1552374622212777</v>
      </c>
      <c r="C1874" t="s">
        <v>40</v>
      </c>
      <c r="D1874">
        <v>5.2582430000000002</v>
      </c>
      <c r="E1874">
        <v>0.5298524</v>
      </c>
      <c r="F1874" t="s">
        <v>63</v>
      </c>
      <c r="G1874">
        <v>-440.87240000000003</v>
      </c>
      <c r="H1874">
        <v>4.1260899999999996</v>
      </c>
      <c r="I1874">
        <v>303.83859999999999</v>
      </c>
      <c r="J1874">
        <v>-239.49010000000001</v>
      </c>
      <c r="K1874">
        <v>1.1101399999999999</v>
      </c>
      <c r="L1874">
        <v>282.97340000000003</v>
      </c>
      <c r="M1874">
        <v>-0.99986370000000002</v>
      </c>
      <c r="N1874">
        <v>0</v>
      </c>
      <c r="O1874">
        <v>1.4762529999999999E-2</v>
      </c>
      <c r="P1874">
        <v>-0.99895089999999997</v>
      </c>
      <c r="Q1874">
        <v>3.8618819999999998E-2</v>
      </c>
      <c r="R1874">
        <v>2.4611939999999999E-2</v>
      </c>
      <c r="S1874">
        <v>-2.993652</v>
      </c>
      <c r="T1874">
        <v>4.4781210000000002E-2</v>
      </c>
      <c r="U1874">
        <v>0.30984499999999998</v>
      </c>
      <c r="V1874">
        <v>9.7832509999999998E-3</v>
      </c>
      <c r="W1874">
        <v>4.6011240000000002E-2</v>
      </c>
      <c r="X1874">
        <v>0.99889300000000003</v>
      </c>
      <c r="Y1874">
        <v>8.8246859999999996E-2</v>
      </c>
      <c r="Z1874">
        <v>-4.3804910000000001E-4</v>
      </c>
      <c r="AA1874">
        <v>0.9960985</v>
      </c>
      <c r="AB1874">
        <v>23</v>
      </c>
      <c r="AC1874">
        <v>-201.38229999999999</v>
      </c>
      <c r="AD1874">
        <v>3.0159500000000001</v>
      </c>
      <c r="AE1874">
        <v>20.865199999999898</v>
      </c>
      <c r="AF1874">
        <v>17.885963672830801</v>
      </c>
      <c r="AG1874">
        <v>3.0159500000000001</v>
      </c>
      <c r="AH1874">
        <v>201.62364388275299</v>
      </c>
      <c r="AI1874">
        <v>89.146367297255097</v>
      </c>
      <c r="AJ1874">
        <v>84.930581202752194</v>
      </c>
      <c r="AK1874">
        <v>202.43788534626501</v>
      </c>
      <c r="AL1874">
        <v>87.362819041318602</v>
      </c>
      <c r="AM1874">
        <v>89.438857745371294</v>
      </c>
      <c r="AN1874">
        <v>0.99999998582773297</v>
      </c>
    </row>
    <row r="1875" spans="1:40" x14ac:dyDescent="0.25">
      <c r="A1875" t="str">
        <f>"20190312151022245"</f>
        <v>20190312151022245</v>
      </c>
      <c r="B1875" t="str">
        <f>"1552374622242058"</f>
        <v>1552374622242058</v>
      </c>
      <c r="C1875" t="s">
        <v>40</v>
      </c>
      <c r="D1875">
        <v>5.2508999999999997</v>
      </c>
      <c r="E1875">
        <v>0.52993769999999996</v>
      </c>
      <c r="F1875" t="s">
        <v>63</v>
      </c>
      <c r="G1875">
        <v>-440.87240000000003</v>
      </c>
      <c r="H1875">
        <v>3.9915280000000002</v>
      </c>
      <c r="I1875">
        <v>303.8338</v>
      </c>
      <c r="J1875">
        <v>-239.7251</v>
      </c>
      <c r="K1875">
        <v>1.110134</v>
      </c>
      <c r="L1875">
        <v>282.97570000000002</v>
      </c>
      <c r="M1875">
        <v>-0.99987990000000004</v>
      </c>
      <c r="N1875">
        <v>0</v>
      </c>
      <c r="O1875">
        <v>1.3650499999999999E-2</v>
      </c>
      <c r="P1875">
        <v>-0.99897879999999994</v>
      </c>
      <c r="Q1875">
        <v>3.830186E-2</v>
      </c>
      <c r="R1875">
        <v>2.3965920000000002E-2</v>
      </c>
      <c r="S1875">
        <v>-2.9938509999999998</v>
      </c>
      <c r="T1875">
        <v>4.2836310000000002E-2</v>
      </c>
      <c r="U1875">
        <v>0.3101196</v>
      </c>
      <c r="V1875">
        <v>1.024891E-2</v>
      </c>
      <c r="W1875">
        <v>4.5647319999999998E-2</v>
      </c>
      <c r="X1875">
        <v>0.99890509999999999</v>
      </c>
      <c r="Y1875">
        <v>8.9438740000000003E-2</v>
      </c>
      <c r="Z1875">
        <v>-4.433614E-4</v>
      </c>
      <c r="AA1875">
        <v>0.99599219999999999</v>
      </c>
      <c r="AB1875">
        <v>24</v>
      </c>
      <c r="AC1875">
        <v>-201.1473</v>
      </c>
      <c r="AD1875">
        <v>2.8813939999999998</v>
      </c>
      <c r="AE1875">
        <v>20.858099999999901</v>
      </c>
      <c r="AF1875">
        <v>18.106645392487501</v>
      </c>
      <c r="AG1875">
        <v>2.8813939999999998</v>
      </c>
      <c r="AH1875">
        <v>201.37240679396501</v>
      </c>
      <c r="AI1875">
        <v>89.183516599691004</v>
      </c>
      <c r="AJ1875">
        <v>84.861997215973702</v>
      </c>
      <c r="AK1875">
        <v>202.205339337879</v>
      </c>
      <c r="AL1875">
        <v>87.383692243349998</v>
      </c>
      <c r="AM1875">
        <v>89.412157688174702</v>
      </c>
      <c r="AN1875">
        <v>1.00000005839268</v>
      </c>
    </row>
    <row r="1876" spans="1:40" x14ac:dyDescent="0.25">
      <c r="A1876" t="str">
        <f>"20190312151022267"</f>
        <v>20190312151022267</v>
      </c>
      <c r="B1876" t="str">
        <f>"1552374622262554"</f>
        <v>1552374622262554</v>
      </c>
      <c r="C1876" t="s">
        <v>40</v>
      </c>
      <c r="D1876">
        <v>5.3661139999999996</v>
      </c>
      <c r="E1876">
        <v>0.52989960000000003</v>
      </c>
      <c r="F1876" t="s">
        <v>63</v>
      </c>
      <c r="G1876">
        <v>-440.87240000000003</v>
      </c>
      <c r="H1876">
        <v>3.8878889999999999</v>
      </c>
      <c r="I1876">
        <v>303.72829999999999</v>
      </c>
      <c r="J1876">
        <v>-239.96019999999999</v>
      </c>
      <c r="K1876">
        <v>1.1101190000000001</v>
      </c>
      <c r="L1876">
        <v>282.97770000000003</v>
      </c>
      <c r="M1876">
        <v>-0.99989490000000003</v>
      </c>
      <c r="N1876">
        <v>0</v>
      </c>
      <c r="O1876">
        <v>1.254679E-2</v>
      </c>
      <c r="P1876">
        <v>-0.99898489999999995</v>
      </c>
      <c r="Q1876">
        <v>3.8725170000000003E-2</v>
      </c>
      <c r="R1876">
        <v>2.301311E-2</v>
      </c>
      <c r="S1876">
        <v>-2.994049</v>
      </c>
      <c r="T1876">
        <v>4.1346670000000002E-2</v>
      </c>
      <c r="U1876">
        <v>0.30889889999999998</v>
      </c>
      <c r="V1876">
        <v>1.039868E-2</v>
      </c>
      <c r="W1876">
        <v>4.6015529999999999E-2</v>
      </c>
      <c r="X1876">
        <v>0.99888659999999996</v>
      </c>
      <c r="Y1876">
        <v>9.0129959999999995E-2</v>
      </c>
      <c r="Z1876">
        <v>-4.4788070000000002E-4</v>
      </c>
      <c r="AA1876">
        <v>0.99592990000000003</v>
      </c>
      <c r="AB1876">
        <v>24</v>
      </c>
      <c r="AC1876">
        <v>-200.91220000000001</v>
      </c>
      <c r="AD1876">
        <v>2.7777699999999999</v>
      </c>
      <c r="AE1876">
        <v>20.750599999999899</v>
      </c>
      <c r="AF1876">
        <v>18.2246499392716</v>
      </c>
      <c r="AG1876">
        <v>2.7777699999999999</v>
      </c>
      <c r="AH1876">
        <v>201.118706261851</v>
      </c>
      <c r="AI1876">
        <v>89.211932760156401</v>
      </c>
      <c r="AJ1876">
        <v>84.822204928647807</v>
      </c>
      <c r="AK1876">
        <v>201.961847585187</v>
      </c>
      <c r="AL1876">
        <v>87.362573020797399</v>
      </c>
      <c r="AM1876">
        <v>89.403556965460396</v>
      </c>
      <c r="AN1876">
        <v>1.0000000006032399</v>
      </c>
    </row>
    <row r="1877" spans="1:40" x14ac:dyDescent="0.25">
      <c r="A1877" t="str">
        <f>"20190312151022279"</f>
        <v>20190312151022279</v>
      </c>
      <c r="B1877" t="str">
        <f>"1552374622272314"</f>
        <v>1552374622272314</v>
      </c>
      <c r="C1877" t="s">
        <v>40</v>
      </c>
      <c r="D1877">
        <v>5.3246960000000003</v>
      </c>
      <c r="E1877">
        <v>0.5300821</v>
      </c>
      <c r="F1877" t="s">
        <v>63</v>
      </c>
      <c r="G1877">
        <v>-440.87240000000003</v>
      </c>
      <c r="H1877">
        <v>3.9754450000000001</v>
      </c>
      <c r="I1877">
        <v>303.48860000000002</v>
      </c>
      <c r="J1877">
        <v>-240.0872</v>
      </c>
      <c r="K1877">
        <v>1.1101160000000001</v>
      </c>
      <c r="L1877">
        <v>282.9787</v>
      </c>
      <c r="M1877">
        <v>-0.99990230000000002</v>
      </c>
      <c r="N1877">
        <v>0</v>
      </c>
      <c r="O1877">
        <v>1.195382E-2</v>
      </c>
      <c r="P1877">
        <v>-0.99899249999999995</v>
      </c>
      <c r="Q1877">
        <v>3.8800349999999997E-2</v>
      </c>
      <c r="R1877">
        <v>2.255188E-2</v>
      </c>
      <c r="S1877">
        <v>-2.9943849999999999</v>
      </c>
      <c r="T1877">
        <v>4.2704819999999998E-2</v>
      </c>
      <c r="U1877">
        <v>0.30569459999999998</v>
      </c>
      <c r="V1877">
        <v>1.052996E-2</v>
      </c>
      <c r="W1877">
        <v>4.6058399999999999E-2</v>
      </c>
      <c r="X1877">
        <v>0.99888319999999997</v>
      </c>
      <c r="Y1877">
        <v>8.9654010000000006E-2</v>
      </c>
      <c r="Z1877">
        <v>-4.6761099999999999E-4</v>
      </c>
      <c r="AA1877">
        <v>0.99597290000000005</v>
      </c>
      <c r="AB1877">
        <v>24</v>
      </c>
      <c r="AC1877">
        <v>-200.7852</v>
      </c>
      <c r="AD1877">
        <v>2.865329</v>
      </c>
      <c r="AE1877">
        <v>20.509899999999998</v>
      </c>
      <c r="AF1877">
        <v>18.104572427835201</v>
      </c>
      <c r="AG1877">
        <v>2.865329</v>
      </c>
      <c r="AH1877">
        <v>200.97552521774301</v>
      </c>
      <c r="AI1877">
        <v>89.186477209398006</v>
      </c>
      <c r="AJ1877">
        <v>84.852491501612505</v>
      </c>
      <c r="AK1877">
        <v>201.809681109754</v>
      </c>
      <c r="AL1877">
        <v>87.360114014629502</v>
      </c>
      <c r="AM1877">
        <v>89.396025562108804</v>
      </c>
      <c r="AN1877">
        <v>0.99999995175519896</v>
      </c>
    </row>
    <row r="1878" spans="1:40" x14ac:dyDescent="0.25">
      <c r="A1878" t="str">
        <f>"20190312151022301"</f>
        <v>20190312151022301</v>
      </c>
      <c r="B1878" t="str">
        <f>"1552374622292810"</f>
        <v>1552374622292810</v>
      </c>
      <c r="C1878" t="s">
        <v>40</v>
      </c>
      <c r="D1878">
        <v>5.6778409999999999</v>
      </c>
      <c r="E1878">
        <v>0.52986009999999995</v>
      </c>
      <c r="F1878" t="s">
        <v>63</v>
      </c>
      <c r="G1878">
        <v>-440.8723</v>
      </c>
      <c r="H1878">
        <v>3.6837759999999999</v>
      </c>
      <c r="I1878">
        <v>303.47300000000001</v>
      </c>
      <c r="J1878">
        <v>-240.31809999999999</v>
      </c>
      <c r="K1878">
        <v>1.110106</v>
      </c>
      <c r="L1878">
        <v>282.9803</v>
      </c>
      <c r="M1878">
        <v>-0.99991509999999995</v>
      </c>
      <c r="N1878">
        <v>0</v>
      </c>
      <c r="O1878">
        <v>1.0883200000000001E-2</v>
      </c>
      <c r="P1878">
        <v>-0.99899910000000003</v>
      </c>
      <c r="Q1878">
        <v>3.8982820000000001E-2</v>
      </c>
      <c r="R1878">
        <v>2.1936489999999999E-2</v>
      </c>
      <c r="S1878">
        <v>-2.9946290000000002</v>
      </c>
      <c r="T1878">
        <v>3.8385269999999999E-2</v>
      </c>
      <c r="U1878">
        <v>0.30566409999999899</v>
      </c>
      <c r="V1878">
        <v>1.098408E-2</v>
      </c>
      <c r="W1878">
        <v>4.6177000000000003E-2</v>
      </c>
      <c r="X1878">
        <v>0.99887289999999995</v>
      </c>
      <c r="Y1878">
        <v>9.0703439999999996E-2</v>
      </c>
      <c r="Z1878">
        <v>-4.4067379999999999E-4</v>
      </c>
      <c r="AA1878">
        <v>0.99587789999999998</v>
      </c>
      <c r="AB1878">
        <v>24</v>
      </c>
      <c r="AC1878">
        <v>-200.55420000000001</v>
      </c>
      <c r="AD1878">
        <v>2.5736699999999999</v>
      </c>
      <c r="AE1878">
        <v>20.492699999999999</v>
      </c>
      <c r="AF1878">
        <v>18.305775317654302</v>
      </c>
      <c r="AG1878">
        <v>2.5736699999999999</v>
      </c>
      <c r="AH1878">
        <v>200.732638512812</v>
      </c>
      <c r="AI1878">
        <v>89.268464402806202</v>
      </c>
      <c r="AJ1878">
        <v>84.789335059284497</v>
      </c>
      <c r="AK1878">
        <v>201.58203628191799</v>
      </c>
      <c r="AL1878">
        <v>87.353311672108106</v>
      </c>
      <c r="AM1878">
        <v>89.369973837004906</v>
      </c>
      <c r="AN1878">
        <v>1.0000000178484201</v>
      </c>
    </row>
    <row r="1879" spans="1:40" x14ac:dyDescent="0.25">
      <c r="A1879" t="str">
        <f>"20190312151022325"</f>
        <v>20190312151022325</v>
      </c>
      <c r="B1879" t="str">
        <f>"1552374622312330"</f>
        <v>1552374622312330</v>
      </c>
      <c r="C1879" t="s">
        <v>40</v>
      </c>
      <c r="D1879">
        <v>5.3859979999999998</v>
      </c>
      <c r="E1879">
        <v>0.52988800000000003</v>
      </c>
      <c r="F1879" t="s">
        <v>63</v>
      </c>
      <c r="G1879">
        <v>-440.8723</v>
      </c>
      <c r="H1879">
        <v>3.6907770000000002</v>
      </c>
      <c r="I1879">
        <v>303.20819999999998</v>
      </c>
      <c r="J1879">
        <v>-240.5676</v>
      </c>
      <c r="K1879">
        <v>1.1100939999999999</v>
      </c>
      <c r="L1879">
        <v>282.98169999999999</v>
      </c>
      <c r="M1879">
        <v>-0.99992749999999997</v>
      </c>
      <c r="N1879">
        <v>0</v>
      </c>
      <c r="O1879">
        <v>9.7318160000000008E-3</v>
      </c>
      <c r="P1879">
        <v>-0.99902840000000004</v>
      </c>
      <c r="Q1879">
        <v>3.8837969999999999E-2</v>
      </c>
      <c r="R1879">
        <v>2.083142E-2</v>
      </c>
      <c r="S1879">
        <v>-2.9948730000000001</v>
      </c>
      <c r="T1879">
        <v>3.8537259999999997E-2</v>
      </c>
      <c r="U1879">
        <v>0.30206300000000003</v>
      </c>
      <c r="V1879">
        <v>1.1029550000000001E-2</v>
      </c>
      <c r="W1879">
        <v>4.5952649999999998E-2</v>
      </c>
      <c r="X1879">
        <v>0.99888270000000001</v>
      </c>
      <c r="Y1879">
        <v>9.0656589999999995E-2</v>
      </c>
      <c r="Z1879">
        <v>-4.5688219999999999E-4</v>
      </c>
      <c r="AA1879">
        <v>0.99588209999999999</v>
      </c>
      <c r="AB1879">
        <v>24</v>
      </c>
      <c r="AC1879">
        <v>-200.3047</v>
      </c>
      <c r="AD1879">
        <v>2.5806830000000001</v>
      </c>
      <c r="AE1879">
        <v>20.226499999999898</v>
      </c>
      <c r="AF1879">
        <v>18.273162040862001</v>
      </c>
      <c r="AG1879">
        <v>2.5806830000000001</v>
      </c>
      <c r="AH1879">
        <v>200.459120835551</v>
      </c>
      <c r="AI1879">
        <v>89.265467957852195</v>
      </c>
      <c r="AJ1879">
        <v>84.791509212823797</v>
      </c>
      <c r="AK1879">
        <v>201.306799442742</v>
      </c>
      <c r="AL1879">
        <v>87.366179520967904</v>
      </c>
      <c r="AM1879">
        <v>89.367372181132197</v>
      </c>
      <c r="AN1879">
        <v>0.99999997268725704</v>
      </c>
    </row>
    <row r="1880" spans="1:40" x14ac:dyDescent="0.25">
      <c r="A1880" t="str">
        <f>"20190312151022347"</f>
        <v>20190312151022347</v>
      </c>
      <c r="B1880" t="str">
        <f>"1552374622342587"</f>
        <v>1552374622342587</v>
      </c>
      <c r="C1880" t="s">
        <v>40</v>
      </c>
      <c r="D1880">
        <v>5.5736230000000004</v>
      </c>
      <c r="E1880">
        <v>0.53014989999999995</v>
      </c>
      <c r="F1880" t="s">
        <v>63</v>
      </c>
      <c r="G1880">
        <v>-440.8723</v>
      </c>
      <c r="H1880">
        <v>3.745911</v>
      </c>
      <c r="I1880">
        <v>302.97039999999998</v>
      </c>
      <c r="J1880">
        <v>-240.81540000000001</v>
      </c>
      <c r="K1880">
        <v>1.1100829999999999</v>
      </c>
      <c r="L1880">
        <v>282.9828</v>
      </c>
      <c r="M1880">
        <v>-0.99993860000000001</v>
      </c>
      <c r="N1880">
        <v>0</v>
      </c>
      <c r="O1880">
        <v>8.5909439999999997E-3</v>
      </c>
      <c r="P1880">
        <v>-0.99904939999999998</v>
      </c>
      <c r="Q1880">
        <v>3.890014E-2</v>
      </c>
      <c r="R1880">
        <v>1.9687630000000001E-2</v>
      </c>
      <c r="S1880">
        <v>-2.9951319999999999</v>
      </c>
      <c r="T1880">
        <v>3.9413209999999997E-2</v>
      </c>
      <c r="U1880">
        <v>0.29888920000000002</v>
      </c>
      <c r="V1880">
        <v>1.1025510000000001E-2</v>
      </c>
      <c r="W1880">
        <v>4.5926450000000001E-2</v>
      </c>
      <c r="X1880">
        <v>0.99888399999999999</v>
      </c>
      <c r="Y1880">
        <v>9.0739040000000007E-2</v>
      </c>
      <c r="Z1880">
        <v>-4.827632E-4</v>
      </c>
      <c r="AA1880">
        <v>0.99587460000000005</v>
      </c>
      <c r="AB1880">
        <v>24</v>
      </c>
      <c r="AC1880">
        <v>-200.05690000000001</v>
      </c>
      <c r="AD1880">
        <v>2.6358280000000001</v>
      </c>
      <c r="AE1880">
        <v>19.987599999999901</v>
      </c>
      <c r="AF1880">
        <v>18.265003334851102</v>
      </c>
      <c r="AG1880">
        <v>2.6358280000000001</v>
      </c>
      <c r="AH1880">
        <v>200.18682635876101</v>
      </c>
      <c r="AI1880">
        <v>89.248759290605506</v>
      </c>
      <c r="AJ1880">
        <v>84.786779487925003</v>
      </c>
      <c r="AK1880">
        <v>201.03562715016599</v>
      </c>
      <c r="AL1880">
        <v>87.367682389700605</v>
      </c>
      <c r="AM1880">
        <v>89.367604709724304</v>
      </c>
      <c r="AN1880">
        <v>1.00000002306818</v>
      </c>
    </row>
    <row r="1881" spans="1:40" x14ac:dyDescent="0.25">
      <c r="A1881" t="str">
        <f>"20190312151022368"</f>
        <v>20190312151022368</v>
      </c>
      <c r="B1881" t="str">
        <f>"1552374622363082"</f>
        <v>1552374622363082</v>
      </c>
      <c r="C1881" t="s">
        <v>40</v>
      </c>
      <c r="D1881">
        <v>5.3961880000000004</v>
      </c>
      <c r="E1881">
        <v>0.53030180000000005</v>
      </c>
      <c r="F1881" t="s">
        <v>63</v>
      </c>
      <c r="G1881">
        <v>-440.87240000000003</v>
      </c>
      <c r="H1881">
        <v>4.0307649999999997</v>
      </c>
      <c r="I1881">
        <v>302.87650000000002</v>
      </c>
      <c r="J1881">
        <v>-241.04159999999999</v>
      </c>
      <c r="K1881">
        <v>1.1100669999999999</v>
      </c>
      <c r="L1881">
        <v>282.98360000000002</v>
      </c>
      <c r="M1881">
        <v>-0.99994760000000005</v>
      </c>
      <c r="N1881">
        <v>0</v>
      </c>
      <c r="O1881">
        <v>7.5504150000000004E-3</v>
      </c>
      <c r="P1881">
        <v>-0.99906989999999996</v>
      </c>
      <c r="Q1881">
        <v>3.8796049999999999E-2</v>
      </c>
      <c r="R1881">
        <v>1.8828359999999999E-2</v>
      </c>
      <c r="S1881">
        <v>-2.995285</v>
      </c>
      <c r="T1881">
        <v>4.3729070000000002E-2</v>
      </c>
      <c r="U1881">
        <v>0.29785159999999899</v>
      </c>
      <c r="V1881">
        <v>1.120587E-2</v>
      </c>
      <c r="W1881">
        <v>4.5739729999999999E-2</v>
      </c>
      <c r="X1881">
        <v>0.99889050000000001</v>
      </c>
      <c r="Y1881">
        <v>9.142691E-2</v>
      </c>
      <c r="Z1881">
        <v>-5.5576219999999997E-4</v>
      </c>
      <c r="AA1881">
        <v>0.99581160000000002</v>
      </c>
      <c r="AB1881">
        <v>24</v>
      </c>
      <c r="AC1881">
        <v>-199.83080000000001</v>
      </c>
      <c r="AD1881">
        <v>2.9206979999999998</v>
      </c>
      <c r="AE1881">
        <v>19.892900000000001</v>
      </c>
      <c r="AF1881">
        <v>18.379603624781801</v>
      </c>
      <c r="AG1881">
        <v>2.9206979999999998</v>
      </c>
      <c r="AH1881">
        <v>199.93301560218501</v>
      </c>
      <c r="AI1881">
        <v>89.166574551969603</v>
      </c>
      <c r="AJ1881">
        <v>84.7476299020243</v>
      </c>
      <c r="AK1881">
        <v>200.79728841295301</v>
      </c>
      <c r="AL1881">
        <v>87.378391753575798</v>
      </c>
      <c r="AM1881">
        <v>89.357264760538698</v>
      </c>
      <c r="AN1881">
        <v>0.99999996270658897</v>
      </c>
    </row>
    <row r="1882" spans="1:40" x14ac:dyDescent="0.25">
      <c r="A1882" t="str">
        <f>"20190312151022390"</f>
        <v>20190312151022390</v>
      </c>
      <c r="B1882" t="str">
        <f>"1552374622382602"</f>
        <v>1552374622382602</v>
      </c>
      <c r="C1882" t="s">
        <v>40</v>
      </c>
      <c r="D1882">
        <v>5.2372709999999998</v>
      </c>
      <c r="E1882">
        <v>0.53047349999999904</v>
      </c>
      <c r="F1882" t="s">
        <v>63</v>
      </c>
      <c r="G1882">
        <v>-440.8725</v>
      </c>
      <c r="H1882">
        <v>4.1998800000000003</v>
      </c>
      <c r="I1882">
        <v>302.76839999999999</v>
      </c>
      <c r="J1882">
        <v>-241.28200000000001</v>
      </c>
      <c r="K1882">
        <v>1.1100540000000001</v>
      </c>
      <c r="L1882">
        <v>282.98419999999999</v>
      </c>
      <c r="M1882">
        <v>-0.99995579999999995</v>
      </c>
      <c r="N1882">
        <v>0</v>
      </c>
      <c r="O1882">
        <v>6.4452190000000003E-3</v>
      </c>
      <c r="P1882">
        <v>-0.99910399999999999</v>
      </c>
      <c r="Q1882">
        <v>3.8593710000000003E-2</v>
      </c>
      <c r="R1882">
        <v>1.7371810000000001E-2</v>
      </c>
      <c r="S1882">
        <v>-2.995422</v>
      </c>
      <c r="T1882">
        <v>4.6315790000000003E-2</v>
      </c>
      <c r="U1882">
        <v>0.29656979999999999</v>
      </c>
      <c r="V1882">
        <v>1.085356E-2</v>
      </c>
      <c r="W1882">
        <v>4.5451060000000001E-2</v>
      </c>
      <c r="X1882">
        <v>0.99890760000000001</v>
      </c>
      <c r="Y1882">
        <v>9.2099780000000006E-2</v>
      </c>
      <c r="Z1882">
        <v>-6.1085139999999996E-4</v>
      </c>
      <c r="AA1882">
        <v>0.99574960000000001</v>
      </c>
      <c r="AB1882">
        <v>24</v>
      </c>
      <c r="AC1882">
        <v>-199.59049999999999</v>
      </c>
      <c r="AD1882">
        <v>3.089826</v>
      </c>
      <c r="AE1882">
        <v>19.784199999999998</v>
      </c>
      <c r="AF1882">
        <v>18.492965600158101</v>
      </c>
      <c r="AG1882">
        <v>3.089826</v>
      </c>
      <c r="AH1882">
        <v>199.66648499147101</v>
      </c>
      <c r="AI1882">
        <v>89.117200054402105</v>
      </c>
      <c r="AJ1882">
        <v>84.708402856991896</v>
      </c>
      <c r="AK1882">
        <v>200.54486288670699</v>
      </c>
      <c r="AL1882">
        <v>87.394948632902995</v>
      </c>
      <c r="AM1882">
        <v>89.377481249974494</v>
      </c>
      <c r="AN1882">
        <v>0.99999999597877798</v>
      </c>
    </row>
    <row r="1883" spans="1:40" x14ac:dyDescent="0.25">
      <c r="A1883" t="str">
        <f>"20190312151022413"</f>
        <v>20190312151022413</v>
      </c>
      <c r="B1883" t="str">
        <f>"1552374622403097"</f>
        <v>1552374622403097</v>
      </c>
      <c r="C1883" t="s">
        <v>40</v>
      </c>
      <c r="D1883">
        <v>5.1090549999999997</v>
      </c>
      <c r="E1883">
        <v>0.53036079999999997</v>
      </c>
      <c r="F1883" t="s">
        <v>63</v>
      </c>
      <c r="G1883">
        <v>-440.8725</v>
      </c>
      <c r="H1883">
        <v>4.3613249999999999</v>
      </c>
      <c r="I1883">
        <v>302.55650000000003</v>
      </c>
      <c r="J1883">
        <v>-241.53989999999999</v>
      </c>
      <c r="K1883">
        <v>1.1100380000000001</v>
      </c>
      <c r="L1883">
        <v>282.9846</v>
      </c>
      <c r="M1883">
        <v>-0.99996339999999995</v>
      </c>
      <c r="N1883">
        <v>0</v>
      </c>
      <c r="O1883">
        <v>5.2592009999999998E-3</v>
      </c>
      <c r="P1883">
        <v>-0.99913160000000001</v>
      </c>
      <c r="Q1883">
        <v>3.8569800000000001E-2</v>
      </c>
      <c r="R1883">
        <v>1.5766499999999999E-2</v>
      </c>
      <c r="S1883">
        <v>-2.995682</v>
      </c>
      <c r="T1883">
        <v>4.8798920000000003E-2</v>
      </c>
      <c r="U1883">
        <v>0.29376219999999997</v>
      </c>
      <c r="V1883">
        <v>1.043296E-2</v>
      </c>
      <c r="W1883">
        <v>4.5337219999999998E-2</v>
      </c>
      <c r="X1883">
        <v>0.99891730000000001</v>
      </c>
      <c r="Y1883">
        <v>9.2346769999999995E-2</v>
      </c>
      <c r="Z1883">
        <v>-6.6484750000000005E-4</v>
      </c>
      <c r="AA1883">
        <v>0.99572669999999996</v>
      </c>
      <c r="AB1883">
        <v>24</v>
      </c>
      <c r="AC1883">
        <v>-199.33260000000001</v>
      </c>
      <c r="AD1883">
        <v>3.251287</v>
      </c>
      <c r="AE1883">
        <v>19.571899999999999</v>
      </c>
      <c r="AF1883">
        <v>18.518395564038499</v>
      </c>
      <c r="AG1883">
        <v>3.251287</v>
      </c>
      <c r="AH1883">
        <v>199.38024058880799</v>
      </c>
      <c r="AI1883">
        <v>89.069765501516002</v>
      </c>
      <c r="AJ1883">
        <v>84.693603707469194</v>
      </c>
      <c r="AK1883">
        <v>200.264780175331</v>
      </c>
      <c r="AL1883">
        <v>87.401478032755705</v>
      </c>
      <c r="AM1883">
        <v>89.401609280381393</v>
      </c>
      <c r="AN1883">
        <v>1.0000000412054799</v>
      </c>
    </row>
    <row r="1884" spans="1:40" x14ac:dyDescent="0.25">
      <c r="A1884" t="str">
        <f>"20190312151022435"</f>
        <v>20190312151022435</v>
      </c>
      <c r="B1884" t="str">
        <f>"1552374622432378"</f>
        <v>1552374622432378</v>
      </c>
      <c r="C1884" t="s">
        <v>40</v>
      </c>
      <c r="D1884">
        <v>5.1418089999999896</v>
      </c>
      <c r="E1884">
        <v>0.49568810000000002</v>
      </c>
      <c r="F1884" t="s">
        <v>63</v>
      </c>
      <c r="G1884">
        <v>-440.8725</v>
      </c>
      <c r="H1884">
        <v>4.3909840000000004</v>
      </c>
      <c r="I1884">
        <v>302.15089999999998</v>
      </c>
      <c r="J1884">
        <v>-241.77199999999999</v>
      </c>
      <c r="K1884">
        <v>1.1100289999999999</v>
      </c>
      <c r="L1884">
        <v>282.9846</v>
      </c>
      <c r="M1884">
        <v>-0.99996910000000006</v>
      </c>
      <c r="N1884">
        <v>0</v>
      </c>
      <c r="O1884">
        <v>4.1915049999999999E-3</v>
      </c>
      <c r="P1884">
        <v>-0.99917610000000001</v>
      </c>
      <c r="Q1884">
        <v>3.7971640000000001E-2</v>
      </c>
      <c r="R1884">
        <v>1.4351020000000001E-2</v>
      </c>
      <c r="S1884">
        <v>-2.99614</v>
      </c>
      <c r="T1884">
        <v>4.9315570000000003E-2</v>
      </c>
      <c r="U1884">
        <v>0.28808590000000001</v>
      </c>
      <c r="V1884">
        <v>1.008498E-2</v>
      </c>
      <c r="W1884">
        <v>4.4659839999999999E-2</v>
      </c>
      <c r="X1884">
        <v>0.99895140000000004</v>
      </c>
      <c r="Y1884">
        <v>9.1526049999999998E-2</v>
      </c>
      <c r="Z1884">
        <v>-6.8263669999999897E-4</v>
      </c>
      <c r="AA1884">
        <v>0.99580250000000003</v>
      </c>
      <c r="AB1884">
        <v>24</v>
      </c>
      <c r="AC1884">
        <v>-199.10050000000001</v>
      </c>
      <c r="AD1884">
        <v>3.2809550000000001</v>
      </c>
      <c r="AE1884">
        <v>19.1662999999999</v>
      </c>
      <c r="AF1884">
        <v>18.326651453727202</v>
      </c>
      <c r="AG1884">
        <v>3.2809550000000001</v>
      </c>
      <c r="AH1884">
        <v>199.12551156727801</v>
      </c>
      <c r="AI1884">
        <v>89.060005264591396</v>
      </c>
      <c r="AJ1884">
        <v>84.741558026200394</v>
      </c>
      <c r="AK1884">
        <v>199.99400035038201</v>
      </c>
      <c r="AL1884">
        <v>87.440328432764204</v>
      </c>
      <c r="AM1884">
        <v>89.421586314525399</v>
      </c>
      <c r="AN1884">
        <v>1.00000005384619</v>
      </c>
    </row>
    <row r="1885" spans="1:40" x14ac:dyDescent="0.25">
      <c r="A1885" t="str">
        <f>"20190312151022457"</f>
        <v>20190312151022457</v>
      </c>
      <c r="B1885" t="str">
        <f>"1552374622452874"</f>
        <v>1552374622452874</v>
      </c>
      <c r="C1885" t="s">
        <v>40</v>
      </c>
      <c r="D1885">
        <v>5.2011079999999996</v>
      </c>
      <c r="E1885">
        <v>0.49131770000000002</v>
      </c>
      <c r="F1885" t="s">
        <v>44</v>
      </c>
      <c r="G1885">
        <v>0</v>
      </c>
      <c r="H1885">
        <v>0</v>
      </c>
      <c r="I1885">
        <v>0</v>
      </c>
      <c r="J1885">
        <v>-242.01259999999999</v>
      </c>
      <c r="K1885">
        <v>1.1100209999999999</v>
      </c>
      <c r="L1885">
        <v>282.98450000000003</v>
      </c>
      <c r="M1885">
        <v>-0.99997349999999996</v>
      </c>
      <c r="N1885">
        <v>0</v>
      </c>
      <c r="O1885">
        <v>3.0855259999999999E-3</v>
      </c>
      <c r="P1885">
        <v>-0.99922330000000004</v>
      </c>
      <c r="Q1885">
        <v>3.7340310000000002E-2</v>
      </c>
      <c r="R1885">
        <v>1.259975E-2</v>
      </c>
      <c r="S1885">
        <v>-3.0001530000000001</v>
      </c>
      <c r="T1885">
        <v>5.84842E-2</v>
      </c>
      <c r="U1885">
        <v>7.4768069999999898E-3</v>
      </c>
      <c r="V1885">
        <v>9.4393900000000006E-3</v>
      </c>
      <c r="W1885">
        <v>4.394957E-2</v>
      </c>
      <c r="X1885">
        <v>0.99898920000000002</v>
      </c>
      <c r="Y1885">
        <v>-5.9276239999999996E-4</v>
      </c>
      <c r="Z1885" s="1">
        <v>6.5920849999999998E-5</v>
      </c>
      <c r="AA1885">
        <v>0.99999979999999999</v>
      </c>
      <c r="AB1885">
        <v>25</v>
      </c>
      <c r="AC1885">
        <v>-3.0001530000000001</v>
      </c>
      <c r="AD1885">
        <v>5.84842E-2</v>
      </c>
      <c r="AE1885">
        <v>7.4768069999999898E-3</v>
      </c>
      <c r="AF1885">
        <v>-1.77980359626703E-3</v>
      </c>
      <c r="AG1885">
        <v>5.84842E-2</v>
      </c>
      <c r="AH1885">
        <v>2.9990221493631699</v>
      </c>
      <c r="AI1885">
        <v>88.882811665071003</v>
      </c>
      <c r="AJ1885">
        <v>90.034002824046496</v>
      </c>
      <c r="AK1885">
        <v>2.9995928759952402</v>
      </c>
      <c r="AL1885">
        <v>87.481063880169401</v>
      </c>
      <c r="AM1885">
        <v>89.458631671616899</v>
      </c>
      <c r="AN1885">
        <v>1.0000000442516901</v>
      </c>
    </row>
    <row r="1886" spans="1:40" x14ac:dyDescent="0.25">
      <c r="A1886" t="str">
        <f>"20190312151022481"</f>
        <v>20190312151022481</v>
      </c>
      <c r="B1886" t="str">
        <f>"1552374622472394"</f>
        <v>1552374622472394</v>
      </c>
      <c r="C1886" t="s">
        <v>40</v>
      </c>
      <c r="D1886">
        <v>5.1341910000000004</v>
      </c>
      <c r="E1886">
        <v>0.48976180000000002</v>
      </c>
      <c r="F1886" t="s">
        <v>60</v>
      </c>
      <c r="G1886">
        <v>-511.07560000000001</v>
      </c>
      <c r="H1886">
        <v>5.5399500000000002</v>
      </c>
      <c r="I1886">
        <v>280.05950000000001</v>
      </c>
      <c r="J1886">
        <v>-242.27160000000001</v>
      </c>
      <c r="K1886">
        <v>1.11002</v>
      </c>
      <c r="L1886">
        <v>282.98390000000001</v>
      </c>
      <c r="M1886">
        <v>-0.99997709999999995</v>
      </c>
      <c r="N1886">
        <v>0</v>
      </c>
      <c r="O1886">
        <v>1.8945349999999999E-3</v>
      </c>
      <c r="P1886">
        <v>-0.999255</v>
      </c>
      <c r="Q1886">
        <v>3.7049970000000002E-2</v>
      </c>
      <c r="R1886">
        <v>1.081992E-2</v>
      </c>
      <c r="S1886">
        <v>-3.0009160000000001</v>
      </c>
      <c r="T1886">
        <v>4.9408790000000001E-2</v>
      </c>
      <c r="U1886">
        <v>-3.2623289999999999E-2</v>
      </c>
      <c r="V1886">
        <v>8.8494819999999901E-3</v>
      </c>
      <c r="W1886">
        <v>4.3581809999999999E-2</v>
      </c>
      <c r="X1886">
        <v>0.99901070000000003</v>
      </c>
      <c r="Y1886">
        <v>-1.276293E-2</v>
      </c>
      <c r="Z1886">
        <v>1.3624819999999999E-4</v>
      </c>
      <c r="AA1886">
        <v>0.99991850000000004</v>
      </c>
      <c r="AB1886">
        <v>25</v>
      </c>
      <c r="AC1886">
        <v>-268.80399999999997</v>
      </c>
      <c r="AD1886">
        <v>4.4299299999999997</v>
      </c>
      <c r="AE1886">
        <v>-2.9243999999999901</v>
      </c>
      <c r="AF1886">
        <v>-3.4327318824300801</v>
      </c>
      <c r="AG1886">
        <v>4.4299299999999997</v>
      </c>
      <c r="AH1886">
        <v>268.72500126612999</v>
      </c>
      <c r="AI1886">
        <v>89.055642003588702</v>
      </c>
      <c r="AJ1886">
        <v>90.731864735798794</v>
      </c>
      <c r="AK1886">
        <v>268.78343370353599</v>
      </c>
      <c r="AL1886">
        <v>87.502155156566701</v>
      </c>
      <c r="AM1886">
        <v>89.492473195803001</v>
      </c>
      <c r="AN1886">
        <v>1.00000003310451</v>
      </c>
    </row>
    <row r="1887" spans="1:40" x14ac:dyDescent="0.25">
      <c r="A1887" t="str">
        <f>"20190312151022502"</f>
        <v>20190312151022502</v>
      </c>
      <c r="B1887" t="str">
        <f>"1552374622492889"</f>
        <v>1552374622492889</v>
      </c>
      <c r="C1887" t="s">
        <v>40</v>
      </c>
      <c r="D1887">
        <v>5.1830020000000001</v>
      </c>
      <c r="E1887">
        <v>0.48916660000000001</v>
      </c>
      <c r="F1887" t="s">
        <v>60</v>
      </c>
      <c r="G1887">
        <v>-511.96019999999999</v>
      </c>
      <c r="H1887">
        <v>4.8562649999999996</v>
      </c>
      <c r="I1887">
        <v>278.44540000000001</v>
      </c>
      <c r="J1887">
        <v>-242.5171</v>
      </c>
      <c r="K1887">
        <v>1.1100219999999901</v>
      </c>
      <c r="L1887">
        <v>282.98320000000001</v>
      </c>
      <c r="M1887">
        <v>-0.9999789</v>
      </c>
      <c r="N1887">
        <v>0</v>
      </c>
      <c r="O1887">
        <v>7.6678879999999997E-4</v>
      </c>
      <c r="P1887">
        <v>-0.99927529999999998</v>
      </c>
      <c r="Q1887">
        <v>3.692985E-2</v>
      </c>
      <c r="R1887">
        <v>9.2419809999999998E-3</v>
      </c>
      <c r="S1887">
        <v>-3.0012210000000001</v>
      </c>
      <c r="T1887">
        <v>4.1690829999999998E-2</v>
      </c>
      <c r="U1887">
        <v>-5.0506589999999997E-2</v>
      </c>
      <c r="V1887">
        <v>8.3981179999999996E-3</v>
      </c>
      <c r="W1887">
        <v>4.339697E-2</v>
      </c>
      <c r="X1887">
        <v>0.99902259999999998</v>
      </c>
      <c r="Y1887">
        <v>-1.7591220000000001E-2</v>
      </c>
      <c r="Z1887">
        <v>1.328185E-4</v>
      </c>
      <c r="AA1887">
        <v>0.99984530000000005</v>
      </c>
      <c r="AB1887">
        <v>25</v>
      </c>
      <c r="AC1887">
        <v>-269.44310000000002</v>
      </c>
      <c r="AD1887">
        <v>3.7462430000000002</v>
      </c>
      <c r="AE1887">
        <v>-4.5377999999999998</v>
      </c>
      <c r="AF1887">
        <v>-4.7434922042415701</v>
      </c>
      <c r="AG1887">
        <v>3.7462430000000002</v>
      </c>
      <c r="AH1887">
        <v>269.387480239007</v>
      </c>
      <c r="AI1887">
        <v>89.203389794404799</v>
      </c>
      <c r="AJ1887">
        <v>91.008784814815499</v>
      </c>
      <c r="AK1887">
        <v>269.45528305161901</v>
      </c>
      <c r="AL1887">
        <v>87.512755631037393</v>
      </c>
      <c r="AM1887">
        <v>89.518363865460003</v>
      </c>
      <c r="AN1887">
        <v>0.999999990350941</v>
      </c>
    </row>
    <row r="1888" spans="1:40" x14ac:dyDescent="0.25">
      <c r="A1888" t="str">
        <f>"20190312151022525"</f>
        <v>20190312151022525</v>
      </c>
      <c r="B1888" t="str">
        <f>"1552374622523146"</f>
        <v>1552374622523146</v>
      </c>
      <c r="C1888" t="s">
        <v>40</v>
      </c>
      <c r="D1888">
        <v>5.1792660000000001</v>
      </c>
      <c r="E1888">
        <v>0.48872120000000002</v>
      </c>
      <c r="F1888" t="s">
        <v>60</v>
      </c>
      <c r="G1888">
        <v>-511.96010000000001</v>
      </c>
      <c r="H1888">
        <v>4.5853799999999998</v>
      </c>
      <c r="I1888">
        <v>277.58589999999998</v>
      </c>
      <c r="J1888">
        <v>-242.77010000000001</v>
      </c>
      <c r="K1888">
        <v>1.110023</v>
      </c>
      <c r="L1888">
        <v>282.9821</v>
      </c>
      <c r="M1888">
        <v>-0.99997959999999997</v>
      </c>
      <c r="N1888">
        <v>0</v>
      </c>
      <c r="O1888">
        <v>-3.9448320000000001E-4</v>
      </c>
      <c r="P1888">
        <v>-0.99927410000000005</v>
      </c>
      <c r="Q1888">
        <v>3.7209069999999997E-2</v>
      </c>
      <c r="R1888">
        <v>8.1928799999999996E-3</v>
      </c>
      <c r="S1888">
        <v>-3.0012970000000001</v>
      </c>
      <c r="T1888">
        <v>3.8712499999999997E-2</v>
      </c>
      <c r="U1888">
        <v>-6.011963E-2</v>
      </c>
      <c r="V1888">
        <v>8.5083450000000005E-3</v>
      </c>
      <c r="W1888">
        <v>4.361897E-2</v>
      </c>
      <c r="X1888">
        <v>0.99901200000000001</v>
      </c>
      <c r="Y1888">
        <v>-1.963119E-2</v>
      </c>
      <c r="Z1888">
        <v>1.215017E-4</v>
      </c>
      <c r="AA1888">
        <v>0.99980729999999995</v>
      </c>
      <c r="AB1888">
        <v>25</v>
      </c>
      <c r="AC1888">
        <v>-269.19</v>
      </c>
      <c r="AD1888">
        <v>3.4753569999999998</v>
      </c>
      <c r="AE1888">
        <v>-5.3962000000000199</v>
      </c>
      <c r="AF1888">
        <v>-5.28912525720372</v>
      </c>
      <c r="AG1888">
        <v>3.4753569999999998</v>
      </c>
      <c r="AH1888">
        <v>269.14726461852302</v>
      </c>
      <c r="AI1888">
        <v>89.260353650438006</v>
      </c>
      <c r="AJ1888">
        <v>91.1257983776473</v>
      </c>
      <c r="AK1888">
        <v>269.22166146857001</v>
      </c>
      <c r="AL1888">
        <v>87.500023914318405</v>
      </c>
      <c r="AM1888">
        <v>89.512037420098594</v>
      </c>
      <c r="AN1888">
        <v>0.99999999131124995</v>
      </c>
    </row>
    <row r="1889" spans="1:40" x14ac:dyDescent="0.25">
      <c r="A1889" t="str">
        <f>"20190312151022547"</f>
        <v>20190312151022547</v>
      </c>
      <c r="B1889" t="str">
        <f>"1552374622543072"</f>
        <v>1552374622543072</v>
      </c>
      <c r="C1889" t="s">
        <v>40</v>
      </c>
      <c r="D1889">
        <v>5.3594689999999998</v>
      </c>
      <c r="E1889">
        <v>0.4885176</v>
      </c>
      <c r="F1889" t="s">
        <v>60</v>
      </c>
      <c r="G1889">
        <v>-511.96010000000001</v>
      </c>
      <c r="H1889">
        <v>4.5769260000000003</v>
      </c>
      <c r="I1889">
        <v>276.99040000000002</v>
      </c>
      <c r="J1889">
        <v>-243.01929999999999</v>
      </c>
      <c r="K1889">
        <v>1.1100219999999901</v>
      </c>
      <c r="L1889">
        <v>282.98079999999999</v>
      </c>
      <c r="M1889">
        <v>-0.99997879999999995</v>
      </c>
      <c r="N1889">
        <v>0</v>
      </c>
      <c r="O1889">
        <v>-1.5368279999999901E-3</v>
      </c>
      <c r="P1889">
        <v>-0.99926610000000005</v>
      </c>
      <c r="Q1889">
        <v>3.7612649999999997E-2</v>
      </c>
      <c r="R1889">
        <v>7.2504219999999899E-3</v>
      </c>
      <c r="S1889">
        <v>-3.0012660000000002</v>
      </c>
      <c r="T1889">
        <v>3.8654210000000001E-2</v>
      </c>
      <c r="U1889">
        <v>-6.6802979999999998E-2</v>
      </c>
      <c r="V1889">
        <v>8.7061919999999998E-3</v>
      </c>
      <c r="W1889">
        <v>4.3973390000000001E-2</v>
      </c>
      <c r="X1889">
        <v>0.99899479999999996</v>
      </c>
      <c r="Y1889">
        <v>-2.0714659999999999E-2</v>
      </c>
      <c r="Z1889">
        <v>1.135828E-4</v>
      </c>
      <c r="AA1889">
        <v>0.99978540000000005</v>
      </c>
      <c r="AB1889">
        <v>25</v>
      </c>
      <c r="AC1889">
        <v>-268.94080000000002</v>
      </c>
      <c r="AD1889">
        <v>3.466904</v>
      </c>
      <c r="AE1889">
        <v>-5.9903999999999602</v>
      </c>
      <c r="AF1889">
        <v>-5.5761427336433398</v>
      </c>
      <c r="AG1889">
        <v>3.466904</v>
      </c>
      <c r="AH1889">
        <v>268.90502518560697</v>
      </c>
      <c r="AI1889">
        <v>89.261504036638399</v>
      </c>
      <c r="AJ1889">
        <v>91.187942332236901</v>
      </c>
      <c r="AK1889">
        <v>268.98517684289402</v>
      </c>
      <c r="AL1889">
        <v>87.479697747227505</v>
      </c>
      <c r="AM1889">
        <v>89.5006826571299</v>
      </c>
      <c r="AN1889">
        <v>1.00000003361713</v>
      </c>
    </row>
    <row r="1890" spans="1:40" x14ac:dyDescent="0.25">
      <c r="A1890" t="str">
        <f>"20190312151022570"</f>
        <v>20190312151022570</v>
      </c>
      <c r="B1890" t="str">
        <f>"1552374622562593"</f>
        <v>1552374622562593</v>
      </c>
      <c r="C1890" t="s">
        <v>40</v>
      </c>
      <c r="D1890">
        <v>5.383788</v>
      </c>
      <c r="E1890">
        <v>0.48832799999999998</v>
      </c>
      <c r="F1890" t="s">
        <v>60</v>
      </c>
      <c r="G1890">
        <v>-511.96019999999999</v>
      </c>
      <c r="H1890">
        <v>4.6435199999999996</v>
      </c>
      <c r="I1890">
        <v>276.58170000000001</v>
      </c>
      <c r="J1890">
        <v>-243.27430000000001</v>
      </c>
      <c r="K1890">
        <v>1.11002</v>
      </c>
      <c r="L1890">
        <v>282.97910000000002</v>
      </c>
      <c r="M1890">
        <v>-0.99997650000000005</v>
      </c>
      <c r="N1890">
        <v>0</v>
      </c>
      <c r="O1890">
        <v>-2.7025550000000001E-3</v>
      </c>
      <c r="P1890">
        <v>-0.99926610000000005</v>
      </c>
      <c r="Q1890">
        <v>3.7838990000000003E-2</v>
      </c>
      <c r="R1890">
        <v>5.9573550000000001E-3</v>
      </c>
      <c r="S1890">
        <v>-3.0012509999999999</v>
      </c>
      <c r="T1890">
        <v>3.9433000000000003E-2</v>
      </c>
      <c r="U1890">
        <v>-7.1411130000000003E-2</v>
      </c>
      <c r="V1890">
        <v>8.5771860000000005E-3</v>
      </c>
      <c r="W1890">
        <v>4.4155840000000002E-2</v>
      </c>
      <c r="X1890">
        <v>0.99898790000000004</v>
      </c>
      <c r="Y1890">
        <v>-2.1083540000000001E-2</v>
      </c>
      <c r="Z1890">
        <v>1.029789E-4</v>
      </c>
      <c r="AA1890">
        <v>0.99977769999999999</v>
      </c>
      <c r="AB1890">
        <v>25</v>
      </c>
      <c r="AC1890">
        <v>-268.68589999999898</v>
      </c>
      <c r="AD1890">
        <v>3.5335000000000001</v>
      </c>
      <c r="AE1890">
        <v>-6.3974000000000002</v>
      </c>
      <c r="AF1890">
        <v>-5.6702436884656997</v>
      </c>
      <c r="AG1890">
        <v>3.5335000000000001</v>
      </c>
      <c r="AH1890">
        <v>268.655770737544</v>
      </c>
      <c r="AI1890">
        <v>89.246627409764898</v>
      </c>
      <c r="AJ1890">
        <v>91.209104138693306</v>
      </c>
      <c r="AK1890">
        <v>268.738833137901</v>
      </c>
      <c r="AL1890">
        <v>87.469234049273894</v>
      </c>
      <c r="AM1890">
        <v>89.508077642735302</v>
      </c>
      <c r="AN1890">
        <v>1.0000000653360901</v>
      </c>
    </row>
    <row r="1891" spans="1:40" x14ac:dyDescent="0.25">
      <c r="A1891" t="str">
        <f>"20190312151022591"</f>
        <v>20190312151022591</v>
      </c>
      <c r="B1891" t="str">
        <f>"1552374622583091"</f>
        <v>1552374622583091</v>
      </c>
      <c r="C1891" t="s">
        <v>40</v>
      </c>
      <c r="D1891">
        <v>5.1787530000000004</v>
      </c>
      <c r="E1891">
        <v>0.48831669999999999</v>
      </c>
      <c r="F1891" t="s">
        <v>60</v>
      </c>
      <c r="G1891">
        <v>-511.96010000000001</v>
      </c>
      <c r="H1891">
        <v>4.6128210000000003</v>
      </c>
      <c r="I1891">
        <v>276.1078</v>
      </c>
      <c r="J1891">
        <v>-243.5198</v>
      </c>
      <c r="K1891">
        <v>1.1100159999999999</v>
      </c>
      <c r="L1891">
        <v>282.97730000000001</v>
      </c>
      <c r="M1891">
        <v>-0.99997309999999995</v>
      </c>
      <c r="N1891">
        <v>0</v>
      </c>
      <c r="O1891">
        <v>-3.8182289999999998E-3</v>
      </c>
      <c r="P1891">
        <v>-0.99929429999999997</v>
      </c>
      <c r="Q1891">
        <v>3.7276719999999999E-2</v>
      </c>
      <c r="R1891">
        <v>4.6509450000000001E-3</v>
      </c>
      <c r="S1891">
        <v>-3.0011899999999998</v>
      </c>
      <c r="T1891">
        <v>3.9126750000000002E-2</v>
      </c>
      <c r="U1891">
        <v>-7.6751710000000001E-2</v>
      </c>
      <c r="V1891">
        <v>8.3865339999999993E-3</v>
      </c>
      <c r="W1891">
        <v>4.3557520000000002E-2</v>
      </c>
      <c r="X1891">
        <v>0.99901569999999995</v>
      </c>
      <c r="Y1891">
        <v>-2.1746629999999999E-2</v>
      </c>
      <c r="Z1891" s="1">
        <v>9.1958499999999997E-5</v>
      </c>
      <c r="AA1891">
        <v>0.99976350000000003</v>
      </c>
      <c r="AB1891">
        <v>25</v>
      </c>
      <c r="AC1891">
        <v>-268.44029999999998</v>
      </c>
      <c r="AD1891">
        <v>3.5028049999999999</v>
      </c>
      <c r="AE1891">
        <v>-6.8695000000000102</v>
      </c>
      <c r="AF1891">
        <v>-5.8434689719019302</v>
      </c>
      <c r="AG1891">
        <v>3.5028049999999999</v>
      </c>
      <c r="AH1891">
        <v>268.418899373513</v>
      </c>
      <c r="AI1891">
        <v>89.252522758496696</v>
      </c>
      <c r="AJ1891">
        <v>91.247129892621899</v>
      </c>
      <c r="AK1891">
        <v>268.50534689905498</v>
      </c>
      <c r="AL1891">
        <v>87.503548061622595</v>
      </c>
      <c r="AM1891">
        <v>89.519024860419407</v>
      </c>
      <c r="AN1891">
        <v>0.999999980173786</v>
      </c>
    </row>
    <row r="1892" spans="1:40" x14ac:dyDescent="0.25">
      <c r="A1892" t="str">
        <f>"20190312151022614"</f>
        <v>20190312151022614</v>
      </c>
      <c r="B1892" t="str">
        <f>"1552374622602607"</f>
        <v>1552374622602607</v>
      </c>
      <c r="C1892" t="s">
        <v>40</v>
      </c>
      <c r="D1892">
        <v>5.2378470000000004</v>
      </c>
      <c r="E1892">
        <v>0.4885274</v>
      </c>
      <c r="F1892" t="s">
        <v>60</v>
      </c>
      <c r="G1892">
        <v>-511.96010000000001</v>
      </c>
      <c r="H1892">
        <v>4.3433679999999999</v>
      </c>
      <c r="I1892">
        <v>275.76</v>
      </c>
      <c r="J1892">
        <v>-243.77850000000001</v>
      </c>
      <c r="K1892">
        <v>1.110007</v>
      </c>
      <c r="L1892">
        <v>282.97500000000002</v>
      </c>
      <c r="M1892">
        <v>-0.99996810000000003</v>
      </c>
      <c r="N1892">
        <v>0</v>
      </c>
      <c r="O1892">
        <v>-4.9839609999999899E-3</v>
      </c>
      <c r="P1892">
        <v>-0.99932799999999999</v>
      </c>
      <c r="Q1892">
        <v>3.6404909999999999E-2</v>
      </c>
      <c r="R1892">
        <v>4.2834240000000001E-3</v>
      </c>
      <c r="S1892">
        <v>-3.001144</v>
      </c>
      <c r="T1892">
        <v>3.6149500000000001E-2</v>
      </c>
      <c r="U1892">
        <v>-8.0688480000000007E-2</v>
      </c>
      <c r="V1892">
        <v>9.185581E-3</v>
      </c>
      <c r="W1892">
        <v>4.2655220000000001E-2</v>
      </c>
      <c r="X1892">
        <v>0.99904760000000004</v>
      </c>
      <c r="Y1892">
        <v>-2.1892379999999999E-2</v>
      </c>
      <c r="Z1892" s="1">
        <v>7.1800909999999898E-5</v>
      </c>
      <c r="AA1892">
        <v>0.99976030000000005</v>
      </c>
      <c r="AB1892">
        <v>25</v>
      </c>
      <c r="AC1892">
        <v>-268.1816</v>
      </c>
      <c r="AD1892">
        <v>3.2333609999999999</v>
      </c>
      <c r="AE1892">
        <v>-7.2150000000000301</v>
      </c>
      <c r="AF1892">
        <v>-5.8774239782624997</v>
      </c>
      <c r="AG1892">
        <v>3.2333609999999999</v>
      </c>
      <c r="AH1892">
        <v>268.17527477222302</v>
      </c>
      <c r="AI1892">
        <v>89.309390124374701</v>
      </c>
      <c r="AJ1892">
        <v>91.255513534108204</v>
      </c>
      <c r="AK1892">
        <v>268.25915964815403</v>
      </c>
      <c r="AL1892">
        <v>87.555294131900794</v>
      </c>
      <c r="AM1892">
        <v>89.473218098754401</v>
      </c>
      <c r="AN1892">
        <v>0.99999997487865699</v>
      </c>
    </row>
    <row r="1893" spans="1:40" x14ac:dyDescent="0.25">
      <c r="A1893" t="str">
        <f>"20190312151022649"</f>
        <v>20190312151022649</v>
      </c>
      <c r="B1893" t="str">
        <f>"1552374622642624"</f>
        <v>1552374622642624</v>
      </c>
      <c r="C1893" t="s">
        <v>40</v>
      </c>
      <c r="D1893">
        <v>5.1812829999999996</v>
      </c>
      <c r="E1893">
        <v>0.48856500000000003</v>
      </c>
      <c r="F1893" t="s">
        <v>60</v>
      </c>
      <c r="G1893">
        <v>-511.96</v>
      </c>
      <c r="H1893">
        <v>4.0024739999999897</v>
      </c>
      <c r="I1893">
        <v>275.81659999999999</v>
      </c>
      <c r="J1893">
        <v>-244.16489999999999</v>
      </c>
      <c r="K1893">
        <v>1.10999</v>
      </c>
      <c r="L1893">
        <v>282.97109999999998</v>
      </c>
      <c r="M1893">
        <v>-0.99995840000000003</v>
      </c>
      <c r="N1893">
        <v>0</v>
      </c>
      <c r="O1893">
        <v>-6.6905589999999996E-3</v>
      </c>
      <c r="P1893">
        <v>-0.99939389999999995</v>
      </c>
      <c r="Q1893">
        <v>3.4672929999999998E-2</v>
      </c>
      <c r="R1893">
        <v>3.1254770000000002E-3</v>
      </c>
      <c r="S1893">
        <v>-3.0011749999999999</v>
      </c>
      <c r="T1893">
        <v>3.2369969999999998E-2</v>
      </c>
      <c r="U1893">
        <v>-8.0108639999999995E-2</v>
      </c>
      <c r="V1893">
        <v>9.7376300000000006E-3</v>
      </c>
      <c r="W1893">
        <v>4.0886760000000001E-2</v>
      </c>
      <c r="X1893">
        <v>0.99911640000000002</v>
      </c>
      <c r="Y1893">
        <v>-1.9993250000000001E-2</v>
      </c>
      <c r="Z1893" s="1">
        <v>3.5651690000000002E-5</v>
      </c>
      <c r="AA1893">
        <v>0.99980009999999997</v>
      </c>
      <c r="AB1893">
        <v>25</v>
      </c>
      <c r="AC1893">
        <v>-267.79509999999999</v>
      </c>
      <c r="AD1893">
        <v>2.8924840000000001</v>
      </c>
      <c r="AE1893">
        <v>-7.1544999999999801</v>
      </c>
      <c r="AF1893">
        <v>-5.3619814086300597</v>
      </c>
      <c r="AG1893">
        <v>2.8924840000000001</v>
      </c>
      <c r="AH1893">
        <v>267.80575350037498</v>
      </c>
      <c r="AI1893">
        <v>89.381314720466094</v>
      </c>
      <c r="AJ1893">
        <v>91.147017411312007</v>
      </c>
      <c r="AK1893">
        <v>267.87504347404303</v>
      </c>
      <c r="AL1893">
        <v>87.656708165334805</v>
      </c>
      <c r="AM1893">
        <v>89.441599160176196</v>
      </c>
      <c r="AN1893">
        <v>1.0000000646651299</v>
      </c>
    </row>
    <row r="1894" spans="1:40" x14ac:dyDescent="0.25">
      <c r="A1894" t="str">
        <f>"20190312151022670"</f>
        <v>20190312151022670</v>
      </c>
      <c r="B1894" t="str">
        <f>"1552374622663121"</f>
        <v>1552374622663121</v>
      </c>
      <c r="C1894" t="s">
        <v>40</v>
      </c>
      <c r="D1894">
        <v>5.4897530000000003</v>
      </c>
      <c r="E1894">
        <v>0.488676</v>
      </c>
      <c r="F1894" t="s">
        <v>60</v>
      </c>
      <c r="G1894">
        <v>-511.9597</v>
      </c>
      <c r="H1894">
        <v>3.428096</v>
      </c>
      <c r="I1894">
        <v>275.52620000000002</v>
      </c>
      <c r="J1894">
        <v>-244.4222</v>
      </c>
      <c r="K1894">
        <v>1.10997099999999</v>
      </c>
      <c r="L1894">
        <v>282.96820000000002</v>
      </c>
      <c r="M1894">
        <v>-0.99995049999999996</v>
      </c>
      <c r="N1894">
        <v>0</v>
      </c>
      <c r="O1894">
        <v>-7.800815E-3</v>
      </c>
      <c r="P1894">
        <v>-0.99940879999999999</v>
      </c>
      <c r="Q1894">
        <v>3.4344199999999998E-2</v>
      </c>
      <c r="R1894">
        <v>1.6938000000000001E-3</v>
      </c>
      <c r="S1894">
        <v>-3.0011749999999999</v>
      </c>
      <c r="T1894">
        <v>2.597988E-2</v>
      </c>
      <c r="U1894">
        <v>-8.3435060000000005E-2</v>
      </c>
      <c r="V1894">
        <v>9.4172479999999996E-3</v>
      </c>
      <c r="W1894">
        <v>4.0537509999999999E-2</v>
      </c>
      <c r="X1894">
        <v>0.99913359999999996</v>
      </c>
      <c r="Y1894">
        <v>-1.9990810000000001E-2</v>
      </c>
      <c r="Z1894" s="1">
        <v>1.8994649999999999E-5</v>
      </c>
      <c r="AA1894">
        <v>0.99980009999999997</v>
      </c>
      <c r="AB1894">
        <v>26</v>
      </c>
      <c r="AC1894">
        <v>-267.53750000000002</v>
      </c>
      <c r="AD1894">
        <v>2.3181250000000002</v>
      </c>
      <c r="AE1894">
        <v>-7.4420000000000002</v>
      </c>
      <c r="AF1894">
        <v>-5.3543215331810297</v>
      </c>
      <c r="AG1894">
        <v>2.3181250000000002</v>
      </c>
      <c r="AH1894">
        <v>267.56734164206</v>
      </c>
      <c r="AI1894">
        <v>89.503717935890407</v>
      </c>
      <c r="AJ1894">
        <v>91.146399573540506</v>
      </c>
      <c r="AK1894">
        <v>267.63094883812499</v>
      </c>
      <c r="AL1894">
        <v>87.676735081729007</v>
      </c>
      <c r="AM1894">
        <v>89.459979538534299</v>
      </c>
      <c r="AN1894">
        <v>0.999999962462926</v>
      </c>
    </row>
    <row r="1895" spans="1:40" x14ac:dyDescent="0.25">
      <c r="A1895" t="str">
        <f>"20190312151022692"</f>
        <v>20190312151022692</v>
      </c>
      <c r="B1895" t="str">
        <f>"1552374622682639"</f>
        <v>1552374622682639</v>
      </c>
      <c r="C1895" t="s">
        <v>40</v>
      </c>
      <c r="D1895">
        <v>5.1808370000000004</v>
      </c>
      <c r="E1895">
        <v>0.48875730000000001</v>
      </c>
      <c r="F1895" t="s">
        <v>46</v>
      </c>
      <c r="G1895">
        <v>-455.36989999999997</v>
      </c>
      <c r="H1895">
        <v>2.8257219999999998</v>
      </c>
      <c r="I1895">
        <v>276.85899999999998</v>
      </c>
      <c r="J1895">
        <v>-244.66829999999999</v>
      </c>
      <c r="K1895">
        <v>1.1099570000000001</v>
      </c>
      <c r="L1895">
        <v>282.96510000000001</v>
      </c>
      <c r="M1895">
        <v>-0.999942</v>
      </c>
      <c r="N1895">
        <v>0</v>
      </c>
      <c r="O1895">
        <v>-8.8369190000000004E-3</v>
      </c>
      <c r="P1895">
        <v>-0.99941270000000004</v>
      </c>
      <c r="Q1895">
        <v>3.4269460000000002E-2</v>
      </c>
      <c r="R1895">
        <v>2.7976070000000001E-4</v>
      </c>
      <c r="S1895">
        <v>-3.001099</v>
      </c>
      <c r="T1895">
        <v>2.441049E-2</v>
      </c>
      <c r="U1895">
        <v>-8.6914060000000001E-2</v>
      </c>
      <c r="V1895">
        <v>9.0401579999999995E-3</v>
      </c>
      <c r="W1895">
        <v>4.044652E-2</v>
      </c>
      <c r="X1895">
        <v>0.99914080000000005</v>
      </c>
      <c r="Y1895">
        <v>-2.011373E-2</v>
      </c>
      <c r="Z1895" s="1">
        <v>9.9222229999999992E-6</v>
      </c>
      <c r="AA1895">
        <v>0.99979770000000001</v>
      </c>
      <c r="AB1895">
        <v>26</v>
      </c>
      <c r="AC1895">
        <v>-210.70160000000001</v>
      </c>
      <c r="AD1895">
        <v>1.715765</v>
      </c>
      <c r="AE1895">
        <v>-6.1060999999999597</v>
      </c>
      <c r="AF1895">
        <v>-4.2435921505955898</v>
      </c>
      <c r="AG1895">
        <v>1.715765</v>
      </c>
      <c r="AH1895">
        <v>210.73337066406199</v>
      </c>
      <c r="AI1895">
        <v>89.533609717141701</v>
      </c>
      <c r="AJ1895">
        <v>91.153623948017994</v>
      </c>
      <c r="AK1895">
        <v>210.783076728927</v>
      </c>
      <c r="AL1895">
        <v>87.681952772187898</v>
      </c>
      <c r="AM1895">
        <v>89.4816058298602</v>
      </c>
      <c r="AN1895">
        <v>0.99999999183070698</v>
      </c>
    </row>
    <row r="1896" spans="1:40" x14ac:dyDescent="0.25">
      <c r="A1896" t="str">
        <f>"20190312151022713"</f>
        <v>20190312151022713</v>
      </c>
      <c r="B1896" t="str">
        <f>"1552374622703140"</f>
        <v>1552374622703140</v>
      </c>
      <c r="C1896" t="s">
        <v>40</v>
      </c>
      <c r="D1896">
        <v>5.2399639999999996</v>
      </c>
      <c r="E1896">
        <v>0.48882340000000002</v>
      </c>
      <c r="F1896" t="s">
        <v>60</v>
      </c>
      <c r="G1896">
        <v>-512.82619999999997</v>
      </c>
      <c r="H1896">
        <v>3.1781769999999998</v>
      </c>
      <c r="I1896">
        <v>274.8852</v>
      </c>
      <c r="J1896">
        <v>-244.92359999999999</v>
      </c>
      <c r="K1896">
        <v>1.1099289999999999</v>
      </c>
      <c r="L1896">
        <v>282.96179999999998</v>
      </c>
      <c r="M1896">
        <v>-0.9999323</v>
      </c>
      <c r="N1896">
        <v>0</v>
      </c>
      <c r="O1896">
        <v>-9.8775159999999994E-3</v>
      </c>
      <c r="P1896">
        <v>-0.99940830000000003</v>
      </c>
      <c r="Q1896">
        <v>3.4384699999999997E-2</v>
      </c>
      <c r="R1896">
        <v>-9.3184629999999995E-4</v>
      </c>
      <c r="S1896">
        <v>-3.0009769999999998</v>
      </c>
      <c r="T1896">
        <v>2.3146509999999999E-2</v>
      </c>
      <c r="U1896">
        <v>-9.0423580000000003E-2</v>
      </c>
      <c r="V1896">
        <v>8.8699460000000001E-3</v>
      </c>
      <c r="W1896">
        <v>4.054895E-2</v>
      </c>
      <c r="X1896">
        <v>0.99913819999999998</v>
      </c>
      <c r="Y1896">
        <v>-2.0242719999999999E-2</v>
      </c>
      <c r="Z1896" s="1">
        <v>1.882632E-6</v>
      </c>
      <c r="AA1896">
        <v>0.99979510000000005</v>
      </c>
      <c r="AB1896">
        <v>26</v>
      </c>
      <c r="AC1896">
        <v>-267.90260000000001</v>
      </c>
      <c r="AD1896">
        <v>2.0682480000000001</v>
      </c>
      <c r="AE1896">
        <v>-8.0765999999999796</v>
      </c>
      <c r="AF1896">
        <v>-5.4296203895214097</v>
      </c>
      <c r="AG1896">
        <v>2.0682480000000001</v>
      </c>
      <c r="AH1896">
        <v>267.95335273376202</v>
      </c>
      <c r="AI1896">
        <v>89.557851367408801</v>
      </c>
      <c r="AJ1896">
        <v>91.160842965351605</v>
      </c>
      <c r="AK1896">
        <v>268.01633843597602</v>
      </c>
      <c r="AL1896">
        <v>87.676079207731206</v>
      </c>
      <c r="AM1896">
        <v>89.491364537999601</v>
      </c>
      <c r="AN1896">
        <v>1.0000000179936901</v>
      </c>
    </row>
    <row r="1897" spans="1:40" x14ac:dyDescent="0.25">
      <c r="A1897" t="str">
        <f>"20190312151022738"</f>
        <v>20190312151022738</v>
      </c>
      <c r="B1897" t="str">
        <f>"1552374622732415"</f>
        <v>1552374622732415</v>
      </c>
      <c r="C1897" t="s">
        <v>40</v>
      </c>
      <c r="D1897">
        <v>5.2281219999999999</v>
      </c>
      <c r="E1897">
        <v>0.49783329999999998</v>
      </c>
      <c r="F1897" t="s">
        <v>60</v>
      </c>
      <c r="G1897">
        <v>-512.82619999999997</v>
      </c>
      <c r="H1897">
        <v>3.1414870000000001</v>
      </c>
      <c r="I1897">
        <v>274.5951</v>
      </c>
      <c r="J1897">
        <v>-245.19909999999999</v>
      </c>
      <c r="K1897">
        <v>1.1099060000000001</v>
      </c>
      <c r="L1897">
        <v>282.9579</v>
      </c>
      <c r="M1897">
        <v>-0.99992119999999995</v>
      </c>
      <c r="N1897">
        <v>0</v>
      </c>
      <c r="O1897">
        <v>-1.095525E-2</v>
      </c>
      <c r="P1897">
        <v>-0.99940320000000005</v>
      </c>
      <c r="Q1897">
        <v>3.4439339999999999E-2</v>
      </c>
      <c r="R1897">
        <v>-2.6677649999999999E-3</v>
      </c>
      <c r="S1897">
        <v>-3.0009160000000001</v>
      </c>
      <c r="T1897">
        <v>2.2757409999999999E-2</v>
      </c>
      <c r="U1897">
        <v>-9.3719479999999994E-2</v>
      </c>
      <c r="V1897">
        <v>8.2132999999999998E-3</v>
      </c>
      <c r="W1897">
        <v>4.0591349999999998E-2</v>
      </c>
      <c r="X1897">
        <v>0.99914210000000003</v>
      </c>
      <c r="Y1897">
        <v>-2.0262820000000001E-2</v>
      </c>
      <c r="Z1897" s="1">
        <v>-6.2427130000000001E-6</v>
      </c>
      <c r="AA1897">
        <v>0.99979470000000004</v>
      </c>
      <c r="AB1897">
        <v>26</v>
      </c>
      <c r="AC1897">
        <v>-267.62709999999998</v>
      </c>
      <c r="AD1897">
        <v>2.0315810000000001</v>
      </c>
      <c r="AE1897">
        <v>-8.3627999999999894</v>
      </c>
      <c r="AF1897">
        <v>-5.4300086537216403</v>
      </c>
      <c r="AG1897">
        <v>2.0315810000000001</v>
      </c>
      <c r="AH1897">
        <v>267.687246902624</v>
      </c>
      <c r="AI1897">
        <v>89.565258172729401</v>
      </c>
      <c r="AJ1897">
        <v>91.162079704054094</v>
      </c>
      <c r="AK1897">
        <v>267.75002235227799</v>
      </c>
      <c r="AL1897">
        <v>87.673647883598093</v>
      </c>
      <c r="AM1897">
        <v>89.529019119052506</v>
      </c>
      <c r="AN1897">
        <v>1.0000000259920601</v>
      </c>
    </row>
    <row r="1898" spans="1:40" x14ac:dyDescent="0.25">
      <c r="A1898" t="str">
        <f>"20190312151022761"</f>
        <v>20190312151022761</v>
      </c>
      <c r="B1898" t="str">
        <f>"1552374622752914"</f>
        <v>1552374622752914</v>
      </c>
      <c r="C1898" t="s">
        <v>40</v>
      </c>
      <c r="D1898">
        <v>5.0547449999999996</v>
      </c>
      <c r="E1898">
        <v>0.49962210000000001</v>
      </c>
      <c r="F1898" t="s">
        <v>44</v>
      </c>
      <c r="G1898">
        <v>0</v>
      </c>
      <c r="H1898">
        <v>0</v>
      </c>
      <c r="I1898">
        <v>0</v>
      </c>
      <c r="J1898">
        <v>-245.4659</v>
      </c>
      <c r="K1898">
        <v>1.1098699999999999</v>
      </c>
      <c r="L1898">
        <v>282.95389999999998</v>
      </c>
      <c r="M1898">
        <v>-0.99990990000000002</v>
      </c>
      <c r="N1898">
        <v>0</v>
      </c>
      <c r="O1898">
        <v>-1.194008E-2</v>
      </c>
      <c r="P1898">
        <v>-0.99939319999999998</v>
      </c>
      <c r="Q1898">
        <v>3.4620560000000002E-2</v>
      </c>
      <c r="R1898">
        <v>-3.8386399999999999E-3</v>
      </c>
      <c r="S1898">
        <v>-3.0010829999999999</v>
      </c>
      <c r="T1898">
        <v>1.805973E-2</v>
      </c>
      <c r="U1898">
        <v>-2.7191159999999999E-2</v>
      </c>
      <c r="V1898">
        <v>8.0295179999999994E-3</v>
      </c>
      <c r="W1898">
        <v>4.0764309999999998E-2</v>
      </c>
      <c r="X1898">
        <v>0.99913649999999998</v>
      </c>
      <c r="Y1898">
        <v>2.8801170000000002E-3</v>
      </c>
      <c r="Z1898" s="1">
        <v>-8.0514900000000004E-5</v>
      </c>
      <c r="AA1898">
        <v>0.99999579999999999</v>
      </c>
      <c r="AB1898">
        <v>26</v>
      </c>
      <c r="AC1898">
        <v>-3.0010829999999999</v>
      </c>
      <c r="AD1898">
        <v>1.805973E-2</v>
      </c>
      <c r="AE1898">
        <v>-2.7191159999999999E-2</v>
      </c>
      <c r="AF1898">
        <v>8.6443106524379393E-3</v>
      </c>
      <c r="AG1898">
        <v>1.805973E-2</v>
      </c>
      <c r="AH1898">
        <v>3.0010850597238501</v>
      </c>
      <c r="AI1898">
        <v>89.655214862269005</v>
      </c>
      <c r="AJ1898">
        <v>89.834965974771706</v>
      </c>
      <c r="AK1898">
        <v>3.0011518478164398</v>
      </c>
      <c r="AL1898">
        <v>87.663729674948996</v>
      </c>
      <c r="AM1898">
        <v>89.539554816493094</v>
      </c>
      <c r="AN1898">
        <v>0.99999997388066797</v>
      </c>
    </row>
    <row r="1899" spans="1:40" x14ac:dyDescent="0.25">
      <c r="A1899" t="str">
        <f>"20190312151022782"</f>
        <v>20190312151022782</v>
      </c>
      <c r="B1899" t="str">
        <f>"1552374622772432"</f>
        <v>1552374622772432</v>
      </c>
      <c r="C1899" t="s">
        <v>40</v>
      </c>
      <c r="D1899">
        <v>5.2287439999999998</v>
      </c>
      <c r="E1899">
        <v>0.50038110000000002</v>
      </c>
      <c r="F1899" t="s">
        <v>44</v>
      </c>
      <c r="G1899">
        <v>0</v>
      </c>
      <c r="H1899">
        <v>0</v>
      </c>
      <c r="I1899">
        <v>0</v>
      </c>
      <c r="J1899">
        <v>-245.71809999999999</v>
      </c>
      <c r="K1899">
        <v>1.1098330000000001</v>
      </c>
      <c r="L1899">
        <v>282.94990000000001</v>
      </c>
      <c r="M1899">
        <v>-0.99989910000000004</v>
      </c>
      <c r="N1899">
        <v>0</v>
      </c>
      <c r="O1899">
        <v>-1.282168E-2</v>
      </c>
      <c r="P1899">
        <v>-0.99940370000000001</v>
      </c>
      <c r="Q1899">
        <v>3.4160280000000001E-2</v>
      </c>
      <c r="R1899">
        <v>-5.0638489999999996E-3</v>
      </c>
      <c r="S1899">
        <v>-3.0012050000000001</v>
      </c>
      <c r="T1899">
        <v>1.6228320000000001E-2</v>
      </c>
      <c r="U1899">
        <v>-1.644897E-2</v>
      </c>
      <c r="V1899">
        <v>7.6893839999999996E-3</v>
      </c>
      <c r="W1899">
        <v>4.0298340000000002E-2</v>
      </c>
      <c r="X1899">
        <v>0.99915810000000005</v>
      </c>
      <c r="Y1899">
        <v>7.3411750000000001E-3</v>
      </c>
      <c r="Z1899" s="1">
        <v>-8.9176030000000003E-5</v>
      </c>
      <c r="AA1899">
        <v>0.99997309999999995</v>
      </c>
      <c r="AB1899">
        <v>26</v>
      </c>
      <c r="AC1899">
        <v>-3.0012050000000001</v>
      </c>
      <c r="AD1899">
        <v>1.6228320000000001E-2</v>
      </c>
      <c r="AE1899">
        <v>-1.644897E-2</v>
      </c>
      <c r="AF1899">
        <v>2.2032947603101399E-2</v>
      </c>
      <c r="AG1899">
        <v>1.6228320000000001E-2</v>
      </c>
      <c r="AH1899">
        <v>3.0010814511135702</v>
      </c>
      <c r="AI1899">
        <v>89.690184974913805</v>
      </c>
      <c r="AJ1899">
        <v>89.579360891027605</v>
      </c>
      <c r="AK1899">
        <v>3.0012062050728998</v>
      </c>
      <c r="AL1899">
        <v>87.690449797686895</v>
      </c>
      <c r="AM1899">
        <v>89.5590682267392</v>
      </c>
      <c r="AN1899">
        <v>0.99999999581433197</v>
      </c>
    </row>
    <row r="1900" spans="1:40" x14ac:dyDescent="0.25">
      <c r="A1900" t="str">
        <f>"20190312151022803"</f>
        <v>20190312151022803</v>
      </c>
      <c r="B1900" t="str">
        <f>"1552374622792928"</f>
        <v>1552374622792928</v>
      </c>
      <c r="C1900" t="s">
        <v>40</v>
      </c>
      <c r="D1900">
        <v>5.228809</v>
      </c>
      <c r="E1900">
        <v>0.50093569999999998</v>
      </c>
      <c r="F1900" t="s">
        <v>44</v>
      </c>
      <c r="G1900">
        <v>0</v>
      </c>
      <c r="H1900">
        <v>0</v>
      </c>
      <c r="I1900">
        <v>0</v>
      </c>
      <c r="J1900">
        <v>-245.97720000000001</v>
      </c>
      <c r="K1900">
        <v>1.109802</v>
      </c>
      <c r="L1900">
        <v>282.94569999999999</v>
      </c>
      <c r="M1900">
        <v>-0.99988759999999999</v>
      </c>
      <c r="N1900">
        <v>0</v>
      </c>
      <c r="O1900">
        <v>-1.368279E-2</v>
      </c>
      <c r="P1900">
        <v>-0.99941020000000003</v>
      </c>
      <c r="Q1900">
        <v>3.3748309999999997E-2</v>
      </c>
      <c r="R1900">
        <v>-6.3463110000000003E-3</v>
      </c>
      <c r="S1900">
        <v>-3.0012509999999999</v>
      </c>
      <c r="T1900">
        <v>1.377773E-2</v>
      </c>
      <c r="U1900">
        <v>-1.4190670000000001E-2</v>
      </c>
      <c r="V1900">
        <v>7.2711719999999898E-3</v>
      </c>
      <c r="W1900">
        <v>3.9882399999999998E-2</v>
      </c>
      <c r="X1900">
        <v>0.99917789999999995</v>
      </c>
      <c r="Y1900">
        <v>8.9549E-3</v>
      </c>
      <c r="Z1900" s="1">
        <v>-8.3365859999999896E-5</v>
      </c>
      <c r="AA1900">
        <v>0.99995990000000001</v>
      </c>
      <c r="AB1900">
        <v>26</v>
      </c>
      <c r="AC1900">
        <v>-3.0012509999999999</v>
      </c>
      <c r="AD1900">
        <v>1.377773E-2</v>
      </c>
      <c r="AE1900">
        <v>-1.4190670000000001E-2</v>
      </c>
      <c r="AF1900">
        <v>2.6876350686322201E-2</v>
      </c>
      <c r="AG1900">
        <v>1.377773E-2</v>
      </c>
      <c r="AH1900">
        <v>3.0011009583488799</v>
      </c>
      <c r="AI1900">
        <v>89.736973666525998</v>
      </c>
      <c r="AJ1900">
        <v>89.4869015340647</v>
      </c>
      <c r="AK1900">
        <v>3.0012529260748302</v>
      </c>
      <c r="AL1900">
        <v>87.714300533388695</v>
      </c>
      <c r="AM1900">
        <v>89.583057117399704</v>
      </c>
      <c r="AN1900">
        <v>0.99999997581021105</v>
      </c>
    </row>
    <row r="1901" spans="1:40" x14ac:dyDescent="0.25">
      <c r="A1901" t="str">
        <f>"20190312151022826"</f>
        <v>20190312151022826</v>
      </c>
      <c r="B1901" t="str">
        <f>"1552374622822207"</f>
        <v>1552374622822207</v>
      </c>
      <c r="C1901" t="s">
        <v>40</v>
      </c>
      <c r="D1901">
        <v>5.5727339999999996</v>
      </c>
      <c r="E1901">
        <v>0.50166489999999997</v>
      </c>
      <c r="F1901" t="s">
        <v>44</v>
      </c>
      <c r="G1901">
        <v>0</v>
      </c>
      <c r="H1901">
        <v>0</v>
      </c>
      <c r="I1901">
        <v>0</v>
      </c>
      <c r="J1901">
        <v>-246.23740000000001</v>
      </c>
      <c r="K1901">
        <v>1.109766</v>
      </c>
      <c r="L1901">
        <v>282.94119999999998</v>
      </c>
      <c r="M1901">
        <v>-0.99987610000000005</v>
      </c>
      <c r="N1901">
        <v>0</v>
      </c>
      <c r="O1901">
        <v>-1.449946E-2</v>
      </c>
      <c r="P1901">
        <v>-0.99940560000000001</v>
      </c>
      <c r="Q1901">
        <v>3.3691260000000001E-2</v>
      </c>
      <c r="R1901">
        <v>-7.304886E-3</v>
      </c>
      <c r="S1901">
        <v>-3.0012970000000001</v>
      </c>
      <c r="T1901">
        <v>1.0778899999999999E-2</v>
      </c>
      <c r="U1901">
        <v>-1.3671880000000001E-2</v>
      </c>
      <c r="V1901">
        <v>7.1318609999999998E-3</v>
      </c>
      <c r="W1901">
        <v>3.9822839999999998E-2</v>
      </c>
      <c r="X1901">
        <v>0.99918130000000005</v>
      </c>
      <c r="Y1901">
        <v>9.9446269999999993E-3</v>
      </c>
      <c r="Z1901" s="1">
        <v>-6.9929830000000005E-5</v>
      </c>
      <c r="AA1901">
        <v>0.99995049999999996</v>
      </c>
      <c r="AB1901">
        <v>26</v>
      </c>
      <c r="AC1901">
        <v>-3.0012970000000001</v>
      </c>
      <c r="AD1901">
        <v>1.0778899999999999E-2</v>
      </c>
      <c r="AE1901">
        <v>-1.3671880000000001E-2</v>
      </c>
      <c r="AF1901">
        <v>2.9847175174889402E-2</v>
      </c>
      <c r="AG1901">
        <v>1.0778899999999999E-2</v>
      </c>
      <c r="AH1901">
        <v>3.0011410136431298</v>
      </c>
      <c r="AI1901">
        <v>89.794227502172703</v>
      </c>
      <c r="AJ1901">
        <v>89.430196454692904</v>
      </c>
      <c r="AK1901">
        <v>3.0013087849006901</v>
      </c>
      <c r="AL1901">
        <v>87.717715829722806</v>
      </c>
      <c r="AM1901">
        <v>89.591046593651697</v>
      </c>
      <c r="AN1901">
        <v>0.99999999614833901</v>
      </c>
    </row>
    <row r="1902" spans="1:40" x14ac:dyDescent="0.25">
      <c r="A1902" t="str">
        <f>"20190312151022848"</f>
        <v>20190312151022848</v>
      </c>
      <c r="B1902" t="str">
        <f>"1552374622842704"</f>
        <v>1552374622842704</v>
      </c>
      <c r="C1902" t="s">
        <v>40</v>
      </c>
      <c r="D1902">
        <v>5.2433209999999999</v>
      </c>
      <c r="E1902">
        <v>0.50187709999999996</v>
      </c>
      <c r="F1902" t="s">
        <v>44</v>
      </c>
      <c r="G1902">
        <v>0</v>
      </c>
      <c r="H1902">
        <v>0</v>
      </c>
      <c r="I1902">
        <v>0</v>
      </c>
      <c r="J1902">
        <v>-246.4992</v>
      </c>
      <c r="K1902">
        <v>1.1097269999999999</v>
      </c>
      <c r="L1902">
        <v>282.9366</v>
      </c>
      <c r="M1902">
        <v>-0.99986470000000005</v>
      </c>
      <c r="N1902">
        <v>0</v>
      </c>
      <c r="O1902">
        <v>-1.526808E-2</v>
      </c>
      <c r="P1902">
        <v>-0.99939009999999995</v>
      </c>
      <c r="Q1902">
        <v>3.3986599999999999E-2</v>
      </c>
      <c r="R1902">
        <v>-8.0349180000000003E-3</v>
      </c>
      <c r="S1902">
        <v>-3.0013890000000001</v>
      </c>
      <c r="T1902">
        <v>9.7067360000000005E-3</v>
      </c>
      <c r="U1902">
        <v>-1.089478E-2</v>
      </c>
      <c r="V1902">
        <v>7.1724960000000004E-3</v>
      </c>
      <c r="W1902">
        <v>4.0118239999999999E-2</v>
      </c>
      <c r="X1902">
        <v>0.99916919999999998</v>
      </c>
      <c r="Y1902">
        <v>1.163866E-2</v>
      </c>
      <c r="Z1902" s="1">
        <v>-6.8197169999999996E-5</v>
      </c>
      <c r="AA1902">
        <v>0.9999323</v>
      </c>
      <c r="AB1902">
        <v>26</v>
      </c>
      <c r="AC1902">
        <v>-3.0013890000000001</v>
      </c>
      <c r="AD1902">
        <v>9.7067360000000005E-3</v>
      </c>
      <c r="AE1902">
        <v>-1.089478E-2</v>
      </c>
      <c r="AF1902">
        <v>3.4932430490654302E-2</v>
      </c>
      <c r="AG1902">
        <v>9.7067360000000005E-3</v>
      </c>
      <c r="AH1902">
        <v>3.0011740889793499</v>
      </c>
      <c r="AI1902">
        <v>89.814700720391997</v>
      </c>
      <c r="AJ1902">
        <v>89.333130836007996</v>
      </c>
      <c r="AK1902">
        <v>3.0013930778531499</v>
      </c>
      <c r="AL1902">
        <v>87.700777138090899</v>
      </c>
      <c r="AM1902">
        <v>89.588711610868302</v>
      </c>
      <c r="AN1902">
        <v>1.0000000040540999</v>
      </c>
    </row>
    <row r="1903" spans="1:40" x14ac:dyDescent="0.25">
      <c r="A1903" t="str">
        <f>"20190312151022871"</f>
        <v>20190312151022871</v>
      </c>
      <c r="B1903" t="str">
        <f>"1552374622862227"</f>
        <v>1552374622862227</v>
      </c>
      <c r="C1903" t="s">
        <v>40</v>
      </c>
      <c r="D1903">
        <v>5.3623149999999997</v>
      </c>
      <c r="E1903">
        <v>0.50241880000000005</v>
      </c>
      <c r="F1903" t="s">
        <v>44</v>
      </c>
      <c r="G1903">
        <v>0</v>
      </c>
      <c r="H1903">
        <v>0</v>
      </c>
      <c r="I1903">
        <v>0</v>
      </c>
      <c r="J1903">
        <v>-246.77670000000001</v>
      </c>
      <c r="K1903">
        <v>1.1096999999999999</v>
      </c>
      <c r="L1903">
        <v>282.9316</v>
      </c>
      <c r="M1903">
        <v>-0.99985299999999999</v>
      </c>
      <c r="N1903">
        <v>0</v>
      </c>
      <c r="O1903">
        <v>-1.6020090000000001E-2</v>
      </c>
      <c r="P1903">
        <v>-0.99938369999999999</v>
      </c>
      <c r="Q1903">
        <v>3.3994969999999999E-2</v>
      </c>
      <c r="R1903">
        <v>-8.7713700000000006E-3</v>
      </c>
      <c r="S1903">
        <v>-3.0013890000000001</v>
      </c>
      <c r="T1903">
        <v>1.0300399999999999E-2</v>
      </c>
      <c r="U1903">
        <v>-1.1291499999999999E-2</v>
      </c>
      <c r="V1903">
        <v>7.1910380000000003E-3</v>
      </c>
      <c r="W1903">
        <v>4.0127290000000003E-2</v>
      </c>
      <c r="X1903">
        <v>0.99916870000000002</v>
      </c>
      <c r="Y1903">
        <v>1.225853E-2</v>
      </c>
      <c r="Z1903" s="1">
        <v>-7.6012219999999897E-5</v>
      </c>
      <c r="AA1903">
        <v>0.99992479999999995</v>
      </c>
      <c r="AB1903">
        <v>27</v>
      </c>
      <c r="AC1903">
        <v>-3.0013890000000001</v>
      </c>
      <c r="AD1903">
        <v>1.0300399999999999E-2</v>
      </c>
      <c r="AE1903">
        <v>-1.1291499999999999E-2</v>
      </c>
      <c r="AF1903">
        <v>3.6792935270971702E-2</v>
      </c>
      <c r="AG1903">
        <v>1.0300399999999999E-2</v>
      </c>
      <c r="AH1903">
        <v>3.0011493655724202</v>
      </c>
      <c r="AI1903">
        <v>89.803367739179805</v>
      </c>
      <c r="AJ1903">
        <v>89.297610999598305</v>
      </c>
      <c r="AK1903">
        <v>3.0013925655937999</v>
      </c>
      <c r="AL1903">
        <v>87.700258185797907</v>
      </c>
      <c r="AM1903">
        <v>89.587648197755698</v>
      </c>
      <c r="AN1903">
        <v>1.0000000007449701</v>
      </c>
    </row>
    <row r="1904" spans="1:40" x14ac:dyDescent="0.25">
      <c r="A1904" t="str">
        <f>"20190312151022893"</f>
        <v>20190312151022893</v>
      </c>
      <c r="B1904" t="str">
        <f>"1552374622882720"</f>
        <v>1552374622882720</v>
      </c>
      <c r="C1904" t="s">
        <v>40</v>
      </c>
      <c r="D1904">
        <v>5.3037729999999996</v>
      </c>
      <c r="E1904">
        <v>0.50257099999999999</v>
      </c>
      <c r="F1904" t="s">
        <v>44</v>
      </c>
      <c r="G1904">
        <v>0</v>
      </c>
      <c r="H1904">
        <v>0</v>
      </c>
      <c r="I1904">
        <v>0</v>
      </c>
      <c r="J1904">
        <v>-247.03960000000001</v>
      </c>
      <c r="K1904">
        <v>1.1096520000000001</v>
      </c>
      <c r="L1904">
        <v>282.92660000000001</v>
      </c>
      <c r="M1904">
        <v>-0.99984249999999997</v>
      </c>
      <c r="N1904">
        <v>0</v>
      </c>
      <c r="O1904">
        <v>-1.6664999999999999E-2</v>
      </c>
      <c r="P1904">
        <v>-0.99938179999999999</v>
      </c>
      <c r="Q1904">
        <v>3.394407E-2</v>
      </c>
      <c r="R1904">
        <v>-9.1823449999999997E-3</v>
      </c>
      <c r="S1904">
        <v>-3.0015109999999998</v>
      </c>
      <c r="T1904">
        <v>7.5895789999999999E-3</v>
      </c>
      <c r="U1904">
        <v>-9.4299320000000002E-3</v>
      </c>
      <c r="V1904">
        <v>7.4288640000000003E-3</v>
      </c>
      <c r="W1904">
        <v>4.0077750000000002E-2</v>
      </c>
      <c r="X1904">
        <v>0.99916890000000003</v>
      </c>
      <c r="Y1904">
        <v>1.352386E-2</v>
      </c>
      <c r="Z1904" s="1">
        <v>-5.9235830000000002E-5</v>
      </c>
      <c r="AA1904">
        <v>0.99990860000000004</v>
      </c>
      <c r="AB1904">
        <v>27</v>
      </c>
      <c r="AC1904">
        <v>-3.0015109999999998</v>
      </c>
      <c r="AD1904">
        <v>7.5895789999999999E-3</v>
      </c>
      <c r="AE1904">
        <v>-9.4299320000000002E-3</v>
      </c>
      <c r="AF1904">
        <v>4.0592230597796597E-2</v>
      </c>
      <c r="AG1904">
        <v>7.5895789999999999E-3</v>
      </c>
      <c r="AH1904">
        <v>3.0012321261841199</v>
      </c>
      <c r="AI1904">
        <v>89.855122785684202</v>
      </c>
      <c r="AJ1904">
        <v>89.225111023009404</v>
      </c>
      <c r="AK1904">
        <v>3.00151621786955</v>
      </c>
      <c r="AL1904">
        <v>87.703098792759306</v>
      </c>
      <c r="AM1904">
        <v>89.574011249867695</v>
      </c>
      <c r="AN1904">
        <v>0.99999995239630002</v>
      </c>
    </row>
    <row r="1905" spans="1:40" x14ac:dyDescent="0.25">
      <c r="A1905" t="str">
        <f>"20190312151022914"</f>
        <v>20190312151022914</v>
      </c>
      <c r="B1905" t="str">
        <f>"1552374622912975"</f>
        <v>1552374622912975</v>
      </c>
      <c r="C1905" t="s">
        <v>40</v>
      </c>
      <c r="D1905">
        <v>5.302162</v>
      </c>
      <c r="E1905">
        <v>0.50297190000000003</v>
      </c>
      <c r="F1905" t="s">
        <v>44</v>
      </c>
      <c r="G1905">
        <v>0</v>
      </c>
      <c r="H1905">
        <v>0</v>
      </c>
      <c r="I1905">
        <v>0</v>
      </c>
      <c r="J1905">
        <v>-247.3013</v>
      </c>
      <c r="K1905">
        <v>1.1096090000000001</v>
      </c>
      <c r="L1905">
        <v>282.92160000000001</v>
      </c>
      <c r="M1905">
        <v>-0.99983279999999997</v>
      </c>
      <c r="N1905">
        <v>0</v>
      </c>
      <c r="O1905">
        <v>-1.7236189999999998E-2</v>
      </c>
      <c r="P1905">
        <v>-0.9994151</v>
      </c>
      <c r="Q1905">
        <v>3.2758469999999998E-2</v>
      </c>
      <c r="R1905">
        <v>-9.8435020000000005E-3</v>
      </c>
      <c r="S1905">
        <v>-3.0015869999999998</v>
      </c>
      <c r="T1905">
        <v>5.6017640000000004E-3</v>
      </c>
      <c r="U1905">
        <v>-9.5520020000000004E-3</v>
      </c>
      <c r="V1905">
        <v>7.345145E-3</v>
      </c>
      <c r="W1905">
        <v>3.8894680000000001E-2</v>
      </c>
      <c r="X1905">
        <v>0.99921629999999995</v>
      </c>
      <c r="Y1905">
        <v>1.4054550000000001E-2</v>
      </c>
      <c r="Z1905" s="1">
        <v>-4.5281149999999999E-5</v>
      </c>
      <c r="AA1905">
        <v>0.99990120000000005</v>
      </c>
      <c r="AB1905">
        <v>27</v>
      </c>
      <c r="AC1905">
        <v>-3.0015869999999998</v>
      </c>
      <c r="AD1905">
        <v>5.6017640000000004E-3</v>
      </c>
      <c r="AE1905">
        <v>-9.5520020000000004E-3</v>
      </c>
      <c r="AF1905">
        <v>4.2186158479672303E-2</v>
      </c>
      <c r="AG1905">
        <v>5.6017640000000004E-3</v>
      </c>
      <c r="AH1905">
        <v>3.0012952750690798</v>
      </c>
      <c r="AI1905">
        <v>89.893071047053198</v>
      </c>
      <c r="AJ1905">
        <v>89.194704469189801</v>
      </c>
      <c r="AK1905">
        <v>3.00159697159348</v>
      </c>
      <c r="AL1905">
        <v>87.770936686727694</v>
      </c>
      <c r="AM1905">
        <v>89.578831701996606</v>
      </c>
      <c r="AN1905">
        <v>0.99999998073653096</v>
      </c>
    </row>
    <row r="1906" spans="1:40" x14ac:dyDescent="0.25">
      <c r="A1906" t="str">
        <f>"20190312151022938"</f>
        <v>20190312151022938</v>
      </c>
      <c r="B1906" t="str">
        <f>"1552374622933090"</f>
        <v>1552374622933090</v>
      </c>
      <c r="C1906" t="s">
        <v>40</v>
      </c>
      <c r="D1906">
        <v>5.3033489999999999</v>
      </c>
      <c r="E1906">
        <v>0.50318509999999905</v>
      </c>
      <c r="F1906" t="s">
        <v>44</v>
      </c>
      <c r="G1906">
        <v>0</v>
      </c>
      <c r="H1906">
        <v>0</v>
      </c>
      <c r="I1906">
        <v>0</v>
      </c>
      <c r="J1906">
        <v>-247.58510000000001</v>
      </c>
      <c r="K1906">
        <v>1.1095459999999999</v>
      </c>
      <c r="L1906">
        <v>282.91609999999997</v>
      </c>
      <c r="M1906">
        <v>-0.99982329999999997</v>
      </c>
      <c r="N1906">
        <v>0</v>
      </c>
      <c r="O1906">
        <v>-1.776724E-2</v>
      </c>
      <c r="P1906">
        <v>-0.9994286</v>
      </c>
      <c r="Q1906">
        <v>3.2074390000000001E-2</v>
      </c>
      <c r="R1906">
        <v>-1.068E-2</v>
      </c>
      <c r="S1906">
        <v>-3.0017239999999998</v>
      </c>
      <c r="T1906">
        <v>-1.7501120000000001E-3</v>
      </c>
      <c r="U1906">
        <v>-8.3312990000000003E-3</v>
      </c>
      <c r="V1906">
        <v>7.0462469999999899E-3</v>
      </c>
      <c r="W1906">
        <v>3.821426E-2</v>
      </c>
      <c r="X1906">
        <v>0.99924469999999999</v>
      </c>
      <c r="Y1906">
        <v>1.4992439999999999E-2</v>
      </c>
      <c r="Z1906" s="1">
        <v>1.4729190000000001E-5</v>
      </c>
      <c r="AA1906">
        <v>0.99988759999999999</v>
      </c>
      <c r="AB1906">
        <v>27</v>
      </c>
      <c r="AC1906">
        <v>-3.0017239999999998</v>
      </c>
      <c r="AD1906">
        <v>-1.7501120000000001E-3</v>
      </c>
      <c r="AE1906">
        <v>-8.3312990000000003E-3</v>
      </c>
      <c r="AF1906">
        <v>4.5003356750039698E-2</v>
      </c>
      <c r="AG1906">
        <v>-1.7501120000000001E-3</v>
      </c>
      <c r="AH1906">
        <v>3.0013971671238902</v>
      </c>
      <c r="AI1906">
        <v>90.033405358978499</v>
      </c>
      <c r="AJ1906">
        <v>89.140963674017797</v>
      </c>
      <c r="AK1906">
        <v>3.0017350515710302</v>
      </c>
      <c r="AL1906">
        <v>87.809950876739705</v>
      </c>
      <c r="AM1906">
        <v>89.595981321605606</v>
      </c>
      <c r="AN1906">
        <v>0.99999997487111003</v>
      </c>
    </row>
    <row r="1907" spans="1:40" x14ac:dyDescent="0.25">
      <c r="A1907" t="str">
        <f>"20190312151022962"</f>
        <v>20190312151022962</v>
      </c>
      <c r="B1907" t="str">
        <f>"1552374622952611"</f>
        <v>1552374622952611</v>
      </c>
      <c r="C1907" t="s">
        <v>40</v>
      </c>
      <c r="D1907">
        <v>5.6219939999999999</v>
      </c>
      <c r="E1907">
        <v>0.50322040000000001</v>
      </c>
      <c r="F1907" t="s">
        <v>47</v>
      </c>
      <c r="G1907">
        <v>-1178.0440000000001</v>
      </c>
      <c r="H1907">
        <v>-0.1</v>
      </c>
      <c r="I1907">
        <v>280.10660000000001</v>
      </c>
      <c r="J1907">
        <v>-247.8672</v>
      </c>
      <c r="K1907">
        <v>1.1094790000000001</v>
      </c>
      <c r="L1907">
        <v>282.91059999999999</v>
      </c>
      <c r="M1907">
        <v>-0.99981569999999997</v>
      </c>
      <c r="N1907">
        <v>0</v>
      </c>
      <c r="O1907">
        <v>-1.8190270000000001E-2</v>
      </c>
      <c r="P1907">
        <v>-0.99942109999999995</v>
      </c>
      <c r="Q1907">
        <v>3.2123220000000001E-2</v>
      </c>
      <c r="R1907">
        <v>-1.122863E-2</v>
      </c>
      <c r="S1907">
        <v>-3.0017239999999998</v>
      </c>
      <c r="T1907">
        <v>-3.9020779999999998E-3</v>
      </c>
      <c r="U1907">
        <v>-9.0637210000000003E-3</v>
      </c>
      <c r="V1907">
        <v>6.9265150000000003E-3</v>
      </c>
      <c r="W1907">
        <v>3.8272399999999998E-2</v>
      </c>
      <c r="X1907">
        <v>0.99924329999999995</v>
      </c>
      <c r="Y1907">
        <v>1.5171520000000001E-2</v>
      </c>
      <c r="Z1907" s="1">
        <v>3.3506649999999999E-5</v>
      </c>
      <c r="AA1907">
        <v>0.99988489999999997</v>
      </c>
      <c r="AB1907">
        <v>27</v>
      </c>
      <c r="AC1907">
        <v>-930.17679999999905</v>
      </c>
      <c r="AD1907">
        <v>-1.209479</v>
      </c>
      <c r="AE1907">
        <v>-2.8039999999999701</v>
      </c>
      <c r="AF1907">
        <v>14.1169260163388</v>
      </c>
      <c r="AG1907">
        <v>-1.209479</v>
      </c>
      <c r="AH1907">
        <v>930.07232428591601</v>
      </c>
      <c r="AI1907">
        <v>90.074499606268006</v>
      </c>
      <c r="AJ1907">
        <v>89.130413674222396</v>
      </c>
      <c r="AK1907">
        <v>930.18023997621401</v>
      </c>
      <c r="AL1907">
        <v>87.806617235086307</v>
      </c>
      <c r="AM1907">
        <v>89.602845753247095</v>
      </c>
      <c r="AN1907">
        <v>0.99999996290334603</v>
      </c>
    </row>
    <row r="1908" spans="1:40" x14ac:dyDescent="0.25">
      <c r="A1908" t="str">
        <f>"20190312151022984"</f>
        <v>20190312151022984</v>
      </c>
      <c r="B1908" t="str">
        <f>"1552374622972130"</f>
        <v>1552374622972130</v>
      </c>
      <c r="C1908" t="s">
        <v>40</v>
      </c>
      <c r="D1908">
        <v>5.3594720000000002</v>
      </c>
      <c r="E1908">
        <v>0.50330540000000001</v>
      </c>
      <c r="F1908" t="s">
        <v>47</v>
      </c>
      <c r="G1908">
        <v>-1042.4280000000001</v>
      </c>
      <c r="H1908">
        <v>-0.1</v>
      </c>
      <c r="I1908">
        <v>280.14789999999999</v>
      </c>
      <c r="J1908">
        <v>-248.13820000000001</v>
      </c>
      <c r="K1908">
        <v>1.109415</v>
      </c>
      <c r="L1908">
        <v>282.90519999999998</v>
      </c>
      <c r="M1908">
        <v>-0.99980959999999997</v>
      </c>
      <c r="N1908">
        <v>0</v>
      </c>
      <c r="O1908">
        <v>-1.8517550000000001E-2</v>
      </c>
      <c r="P1908">
        <v>-0.99941559999999896</v>
      </c>
      <c r="Q1908">
        <v>3.2050799999999997E-2</v>
      </c>
      <c r="R1908">
        <v>-1.189899E-2</v>
      </c>
      <c r="S1908">
        <v>-3.00177</v>
      </c>
      <c r="T1908">
        <v>-4.569292E-3</v>
      </c>
      <c r="U1908">
        <v>-1.043701E-2</v>
      </c>
      <c r="V1908">
        <v>6.5886219999999997E-3</v>
      </c>
      <c r="W1908">
        <v>3.821426E-2</v>
      </c>
      <c r="X1908">
        <v>0.99924780000000002</v>
      </c>
      <c r="Y1908">
        <v>1.504141E-2</v>
      </c>
      <c r="Z1908" s="1">
        <v>3.9634369999999999E-5</v>
      </c>
      <c r="AA1908">
        <v>0.99988690000000002</v>
      </c>
      <c r="AB1908">
        <v>27</v>
      </c>
      <c r="AC1908">
        <v>-794.28980000000001</v>
      </c>
      <c r="AD1908">
        <v>-1.2094149999999999</v>
      </c>
      <c r="AE1908">
        <v>-2.7572999999999799</v>
      </c>
      <c r="AF1908">
        <v>11.9517246403414</v>
      </c>
      <c r="AG1908">
        <v>-1.2094149999999999</v>
      </c>
      <c r="AH1908">
        <v>794.20282044723297</v>
      </c>
      <c r="AI1908">
        <v>90.087240280264297</v>
      </c>
      <c r="AJ1908">
        <v>89.137837745770497</v>
      </c>
      <c r="AK1908">
        <v>794.29366509677004</v>
      </c>
      <c r="AL1908">
        <v>87.809950828173399</v>
      </c>
      <c r="AM1908">
        <v>89.622221071788204</v>
      </c>
      <c r="AN1908">
        <v>0.99999995270602204</v>
      </c>
    </row>
    <row r="1909" spans="1:40" x14ac:dyDescent="0.25">
      <c r="A1909" t="str">
        <f>"20190312151023005"</f>
        <v>20190312151023005</v>
      </c>
      <c r="B1909" t="str">
        <f>"1552374623002386"</f>
        <v>1552374623002386</v>
      </c>
      <c r="C1909" t="s">
        <v>40</v>
      </c>
      <c r="D1909">
        <v>5.2979710000000004</v>
      </c>
      <c r="E1909">
        <v>0.50340470000000004</v>
      </c>
      <c r="F1909" t="s">
        <v>47</v>
      </c>
      <c r="G1909">
        <v>-1147.6890000000001</v>
      </c>
      <c r="H1909">
        <v>-0.1</v>
      </c>
      <c r="I1909">
        <v>279.42989999999998</v>
      </c>
      <c r="J1909">
        <v>-248.3954</v>
      </c>
      <c r="K1909">
        <v>1.109361</v>
      </c>
      <c r="L1909">
        <v>282.90019999999998</v>
      </c>
      <c r="M1909">
        <v>-0.9998051</v>
      </c>
      <c r="N1909">
        <v>0</v>
      </c>
      <c r="O1909">
        <v>-1.8750090000000001E-2</v>
      </c>
      <c r="P1909">
        <v>-0.99940629999999997</v>
      </c>
      <c r="Q1909">
        <v>3.2021220000000003E-2</v>
      </c>
      <c r="R1909">
        <v>-1.2710010000000001E-2</v>
      </c>
      <c r="S1909">
        <v>-3.0017239999999998</v>
      </c>
      <c r="T1909">
        <v>-4.035711E-3</v>
      </c>
      <c r="U1909">
        <v>-1.159668E-2</v>
      </c>
      <c r="V1909">
        <v>6.0149380000000001E-3</v>
      </c>
      <c r="W1909">
        <v>3.8199499999999997E-2</v>
      </c>
      <c r="X1909">
        <v>0.99925200000000003</v>
      </c>
      <c r="Y1909">
        <v>1.4887650000000001E-2</v>
      </c>
      <c r="Z1909" s="1">
        <v>3.5215790000000002E-5</v>
      </c>
      <c r="AA1909">
        <v>0.99988920000000003</v>
      </c>
      <c r="AB1909">
        <v>27</v>
      </c>
      <c r="AC1909">
        <v>-899.29359999999895</v>
      </c>
      <c r="AD1909">
        <v>-1.2093609999999999</v>
      </c>
      <c r="AE1909">
        <v>-3.4702999999999999</v>
      </c>
      <c r="AF1909">
        <v>13.392443851283501</v>
      </c>
      <c r="AG1909">
        <v>-1.2093609999999999</v>
      </c>
      <c r="AH1909">
        <v>899.198943132507</v>
      </c>
      <c r="AI1909">
        <v>90.0770503079695</v>
      </c>
      <c r="AJ1909">
        <v>89.146714099175597</v>
      </c>
      <c r="AK1909">
        <v>899.29948261797301</v>
      </c>
      <c r="AL1909">
        <v>87.810797170583598</v>
      </c>
      <c r="AM1909">
        <v>89.655115627375295</v>
      </c>
      <c r="AN1909">
        <v>0.99999997039169597</v>
      </c>
    </row>
    <row r="1910" spans="1:40" x14ac:dyDescent="0.25">
      <c r="A1910" t="str">
        <f>"20190312151023027"</f>
        <v>20190312151023027</v>
      </c>
      <c r="B1910" t="str">
        <f>"1552374623022882"</f>
        <v>1552374623022882</v>
      </c>
      <c r="C1910" t="s">
        <v>40</v>
      </c>
      <c r="D1910">
        <v>5.4161010000000003</v>
      </c>
      <c r="E1910">
        <v>0.50354869999999996</v>
      </c>
      <c r="F1910" t="s">
        <v>47</v>
      </c>
      <c r="G1910">
        <v>-1072.3009999999999</v>
      </c>
      <c r="H1910">
        <v>-0.1</v>
      </c>
      <c r="I1910">
        <v>279.24810000000002</v>
      </c>
      <c r="J1910">
        <v>-248.66739999999999</v>
      </c>
      <c r="K1910">
        <v>1.1093029999999999</v>
      </c>
      <c r="L1910">
        <v>282.89490000000001</v>
      </c>
      <c r="M1910">
        <v>-0.99980199999999997</v>
      </c>
      <c r="N1910">
        <v>0</v>
      </c>
      <c r="O1910">
        <v>-1.8908959999999999E-2</v>
      </c>
      <c r="P1910">
        <v>-0.99940649999999998</v>
      </c>
      <c r="Q1910">
        <v>3.184099E-2</v>
      </c>
      <c r="R1910">
        <v>-1.314297E-2</v>
      </c>
      <c r="S1910">
        <v>-3.0017550000000002</v>
      </c>
      <c r="T1910">
        <v>-4.4060949999999996E-3</v>
      </c>
      <c r="U1910">
        <v>-1.330566E-2</v>
      </c>
      <c r="V1910">
        <v>5.7463449999999999E-3</v>
      </c>
      <c r="W1910">
        <v>3.8040339999999999E-2</v>
      </c>
      <c r="X1910">
        <v>0.99925969999999997</v>
      </c>
      <c r="Y1910">
        <v>1.447731E-2</v>
      </c>
      <c r="Z1910" s="1">
        <v>3.8379310000000001E-5</v>
      </c>
      <c r="AA1910">
        <v>0.99989519999999998</v>
      </c>
      <c r="AB1910">
        <v>27</v>
      </c>
      <c r="AC1910">
        <v>-823.6336</v>
      </c>
      <c r="AD1910">
        <v>-1.209303</v>
      </c>
      <c r="AE1910">
        <v>-3.6467999999999798</v>
      </c>
      <c r="AF1910">
        <v>11.9281802450522</v>
      </c>
      <c r="AG1910">
        <v>-1.209303</v>
      </c>
      <c r="AH1910">
        <v>823.55351975278904</v>
      </c>
      <c r="AI1910">
        <v>90.084124030953305</v>
      </c>
      <c r="AJ1910">
        <v>89.170197704731507</v>
      </c>
      <c r="AK1910">
        <v>823.64078565531895</v>
      </c>
      <c r="AL1910">
        <v>87.819923103873407</v>
      </c>
      <c r="AM1910">
        <v>89.670518397845498</v>
      </c>
      <c r="AN1910">
        <v>1.0000000179961299</v>
      </c>
    </row>
    <row r="1911" spans="1:40" x14ac:dyDescent="0.25">
      <c r="A1911" t="str">
        <f>"20190312151023050"</f>
        <v>20190312151023050</v>
      </c>
      <c r="B1911" t="str">
        <f>"1552374623042437"</f>
        <v>1552374623042437</v>
      </c>
      <c r="C1911" t="s">
        <v>40</v>
      </c>
      <c r="D1911">
        <v>5.3649370000000003</v>
      </c>
      <c r="E1911">
        <v>0.50365559999999998</v>
      </c>
      <c r="F1911" t="s">
        <v>47</v>
      </c>
      <c r="G1911">
        <v>-913.1893</v>
      </c>
      <c r="H1911">
        <v>-0.1</v>
      </c>
      <c r="I1911">
        <v>279.90210000000002</v>
      </c>
      <c r="J1911">
        <v>-248.94139999999999</v>
      </c>
      <c r="K1911">
        <v>1.109243</v>
      </c>
      <c r="L1911">
        <v>282.88959999999997</v>
      </c>
      <c r="M1911">
        <v>-0.99980029999999998</v>
      </c>
      <c r="N1911">
        <v>0</v>
      </c>
      <c r="O1911">
        <v>-1.899313E-2</v>
      </c>
      <c r="P1911">
        <v>-0.99941150000000001</v>
      </c>
      <c r="Q1911">
        <v>3.1527560000000003E-2</v>
      </c>
      <c r="R1911">
        <v>-1.352944E-2</v>
      </c>
      <c r="S1911">
        <v>-3.00177</v>
      </c>
      <c r="T1911">
        <v>-5.4626459999999998E-3</v>
      </c>
      <c r="U1911">
        <v>-1.351929E-2</v>
      </c>
      <c r="V1911">
        <v>5.4494779999999998E-3</v>
      </c>
      <c r="W1911">
        <v>3.7751119999999999E-2</v>
      </c>
      <c r="X1911">
        <v>0.9992723</v>
      </c>
      <c r="Y1911">
        <v>1.4490329999999999E-2</v>
      </c>
      <c r="Z1911" s="1">
        <v>4.7747139999999998E-5</v>
      </c>
      <c r="AA1911">
        <v>0.99989499999999998</v>
      </c>
      <c r="AB1911">
        <v>27</v>
      </c>
      <c r="AC1911">
        <v>-664.24789999999996</v>
      </c>
      <c r="AD1911">
        <v>-1.2092430000000001</v>
      </c>
      <c r="AE1911">
        <v>-2.9874999999999501</v>
      </c>
      <c r="AF1911">
        <v>9.6293973599787908</v>
      </c>
      <c r="AG1911">
        <v>-1.2092430000000001</v>
      </c>
      <c r="AH1911">
        <v>664.18261645003599</v>
      </c>
      <c r="AI1911">
        <v>90.1043043909376</v>
      </c>
      <c r="AJ1911">
        <v>89.169377272773403</v>
      </c>
      <c r="AK1911">
        <v>664.253517534205</v>
      </c>
      <c r="AL1911">
        <v>87.836506032848703</v>
      </c>
      <c r="AM1911">
        <v>89.687543630764395</v>
      </c>
      <c r="AN1911">
        <v>0.99999998670950796</v>
      </c>
    </row>
    <row r="1912" spans="1:40" x14ac:dyDescent="0.25">
      <c r="A1912" t="str">
        <f>"20190312151023071"</f>
        <v>20190312151023071</v>
      </c>
      <c r="B1912" t="str">
        <f>"1552374623062932"</f>
        <v>1552374623062932</v>
      </c>
      <c r="C1912" t="s">
        <v>40</v>
      </c>
      <c r="D1912">
        <v>5.2870470000000003</v>
      </c>
      <c r="E1912">
        <v>0.50370820000000005</v>
      </c>
      <c r="F1912" t="s">
        <v>47</v>
      </c>
      <c r="G1912">
        <v>-672.00729999999999</v>
      </c>
      <c r="H1912">
        <v>-0.1</v>
      </c>
      <c r="I1912">
        <v>280.95839999999998</v>
      </c>
      <c r="J1912">
        <v>-249.22059999999999</v>
      </c>
      <c r="K1912">
        <v>1.1091850000000001</v>
      </c>
      <c r="L1912">
        <v>282.88420000000002</v>
      </c>
      <c r="M1912">
        <v>-0.99979980000000002</v>
      </c>
      <c r="N1912">
        <v>0</v>
      </c>
      <c r="O1912">
        <v>-1.901189E-2</v>
      </c>
      <c r="P1912">
        <v>-0.9994324</v>
      </c>
      <c r="Q1912">
        <v>3.094367E-2</v>
      </c>
      <c r="R1912">
        <v>-1.331623E-2</v>
      </c>
      <c r="S1912">
        <v>-3.0018310000000001</v>
      </c>
      <c r="T1912">
        <v>-8.5800890000000008E-3</v>
      </c>
      <c r="U1912">
        <v>-1.370239E-2</v>
      </c>
      <c r="V1912">
        <v>5.6862750000000002E-3</v>
      </c>
      <c r="W1912">
        <v>3.7192179999999998E-2</v>
      </c>
      <c r="X1912">
        <v>0.99929199999999996</v>
      </c>
      <c r="Y1912">
        <v>1.444813E-2</v>
      </c>
      <c r="Z1912" s="1">
        <v>7.498731E-5</v>
      </c>
      <c r="AA1912">
        <v>0.9998956</v>
      </c>
      <c r="AB1912">
        <v>28</v>
      </c>
      <c r="AC1912">
        <v>-422.7867</v>
      </c>
      <c r="AD1912">
        <v>-1.209185</v>
      </c>
      <c r="AE1912">
        <v>-1.9258000000000299</v>
      </c>
      <c r="AF1912">
        <v>6.1126286970405097</v>
      </c>
      <c r="AG1912">
        <v>-1.209185</v>
      </c>
      <c r="AH1912">
        <v>422.74343750328302</v>
      </c>
      <c r="AI1912">
        <v>90.163867160962496</v>
      </c>
      <c r="AJ1912">
        <v>89.171593477051204</v>
      </c>
      <c r="AK1912">
        <v>422.789356902517</v>
      </c>
      <c r="AL1912">
        <v>87.868553571632503</v>
      </c>
      <c r="AM1912">
        <v>89.673973130672493</v>
      </c>
      <c r="AN1912">
        <v>1.0000000466202601</v>
      </c>
    </row>
    <row r="1913" spans="1:40" x14ac:dyDescent="0.25">
      <c r="A1913" t="str">
        <f>"20190312151023094"</f>
        <v>20190312151023094</v>
      </c>
      <c r="B1913" t="str">
        <f>"1552374623082458"</f>
        <v>1552374623082458</v>
      </c>
      <c r="C1913" t="s">
        <v>40</v>
      </c>
      <c r="D1913">
        <v>5.6464629999999998</v>
      </c>
      <c r="E1913">
        <v>0.50378270000000003</v>
      </c>
      <c r="F1913" t="s">
        <v>47</v>
      </c>
      <c r="G1913">
        <v>-654.52779999999996</v>
      </c>
      <c r="H1913">
        <v>-0.1</v>
      </c>
      <c r="I1913">
        <v>281.14940000000001</v>
      </c>
      <c r="J1913">
        <v>-249.49879999999999</v>
      </c>
      <c r="K1913">
        <v>1.10914</v>
      </c>
      <c r="L1913">
        <v>282.87889999999999</v>
      </c>
      <c r="M1913">
        <v>-0.99980060000000004</v>
      </c>
      <c r="N1913">
        <v>0</v>
      </c>
      <c r="O1913">
        <v>-1.8963440000000002E-2</v>
      </c>
      <c r="P1913">
        <v>-0.99943919999999997</v>
      </c>
      <c r="Q1913">
        <v>3.0991620000000001E-2</v>
      </c>
      <c r="R1913">
        <v>-1.269458E-2</v>
      </c>
      <c r="S1913">
        <v>-3.0018310000000001</v>
      </c>
      <c r="T1913">
        <v>-8.9555980000000004E-3</v>
      </c>
      <c r="U1913">
        <v>-1.2847900000000001E-2</v>
      </c>
      <c r="V1913">
        <v>6.2641290000000002E-3</v>
      </c>
      <c r="W1913">
        <v>3.7264129999999999E-2</v>
      </c>
      <c r="X1913">
        <v>0.9992858</v>
      </c>
      <c r="Y1913">
        <v>1.4684279999999999E-2</v>
      </c>
      <c r="Z1913" s="1">
        <v>7.847698E-5</v>
      </c>
      <c r="AA1913">
        <v>0.99989220000000001</v>
      </c>
      <c r="AB1913">
        <v>28</v>
      </c>
      <c r="AC1913">
        <v>-405.029</v>
      </c>
      <c r="AD1913">
        <v>-1.2091399999999899</v>
      </c>
      <c r="AE1913">
        <v>-1.7294999999999701</v>
      </c>
      <c r="AF1913">
        <v>5.9516514615546097</v>
      </c>
      <c r="AG1913">
        <v>-1.2091399999999899</v>
      </c>
      <c r="AH1913">
        <v>404.98535264394297</v>
      </c>
      <c r="AI1913">
        <v>90.171045527238903</v>
      </c>
      <c r="AJ1913">
        <v>89.158043712557003</v>
      </c>
      <c r="AK1913">
        <v>405.03088774906797</v>
      </c>
      <c r="AL1913">
        <v>87.864428143569796</v>
      </c>
      <c r="AM1913">
        <v>89.640840034965706</v>
      </c>
      <c r="AN1913">
        <v>0.99999998238921195</v>
      </c>
    </row>
    <row r="1914" spans="1:40" x14ac:dyDescent="0.25">
      <c r="A1914" t="str">
        <f>"20190312151023116"</f>
        <v>20190312151023116</v>
      </c>
      <c r="B1914" t="str">
        <f>"1552374623112709"</f>
        <v>1552374623112709</v>
      </c>
      <c r="C1914" t="s">
        <v>40</v>
      </c>
      <c r="D1914">
        <v>5.3452199999999896</v>
      </c>
      <c r="E1914">
        <v>0.50401470000000004</v>
      </c>
      <c r="F1914" t="s">
        <v>47</v>
      </c>
      <c r="G1914">
        <v>-722.44150000000002</v>
      </c>
      <c r="H1914">
        <v>-0.1</v>
      </c>
      <c r="I1914">
        <v>281.26819999999998</v>
      </c>
      <c r="J1914">
        <v>-249.77690000000001</v>
      </c>
      <c r="K1914">
        <v>1.109092</v>
      </c>
      <c r="L1914">
        <v>282.87369999999999</v>
      </c>
      <c r="M1914">
        <v>-0.99980250000000004</v>
      </c>
      <c r="N1914">
        <v>0</v>
      </c>
      <c r="O1914">
        <v>-1.8846580000000002E-2</v>
      </c>
      <c r="P1914">
        <v>-0.99945459999999997</v>
      </c>
      <c r="Q1914">
        <v>3.0757070000000001E-2</v>
      </c>
      <c r="R1914">
        <v>-1.203415E-2</v>
      </c>
      <c r="S1914">
        <v>-3.0017849999999999</v>
      </c>
      <c r="T1914">
        <v>-7.6744559999999996E-3</v>
      </c>
      <c r="U1914">
        <v>-1.0223390000000001E-2</v>
      </c>
      <c r="V1914">
        <v>6.8121730000000004E-3</v>
      </c>
      <c r="W1914">
        <v>3.7056369999999998E-2</v>
      </c>
      <c r="X1914">
        <v>0.99928989999999995</v>
      </c>
      <c r="Y1914">
        <v>1.544159E-2</v>
      </c>
      <c r="Z1914" s="1">
        <v>6.7921079999999994E-5</v>
      </c>
      <c r="AA1914">
        <v>0.99988080000000001</v>
      </c>
      <c r="AB1914">
        <v>28</v>
      </c>
      <c r="AC1914">
        <v>-472.66460000000001</v>
      </c>
      <c r="AD1914">
        <v>-1.2090920000000001</v>
      </c>
      <c r="AE1914">
        <v>-1.6054999999999999</v>
      </c>
      <c r="AF1914">
        <v>7.3030257098775904</v>
      </c>
      <c r="AG1914">
        <v>-1.2090920000000001</v>
      </c>
      <c r="AH1914">
        <v>472.60781178547899</v>
      </c>
      <c r="AI1914">
        <v>90.146564331679002</v>
      </c>
      <c r="AJ1914">
        <v>89.114700941683196</v>
      </c>
      <c r="AK1914">
        <v>472.66578028099599</v>
      </c>
      <c r="AL1914">
        <v>87.876340057058997</v>
      </c>
      <c r="AM1914">
        <v>89.609419932813594</v>
      </c>
      <c r="AN1914">
        <v>0.99999994225028199</v>
      </c>
    </row>
    <row r="1915" spans="1:40" x14ac:dyDescent="0.25">
      <c r="A1915" t="str">
        <f>"20190312151023139"</f>
        <v>20190312151023139</v>
      </c>
      <c r="B1915" t="str">
        <f>"1552374623132229"</f>
        <v>1552374623132229</v>
      </c>
      <c r="C1915" t="s">
        <v>40</v>
      </c>
      <c r="D1915">
        <v>5.2923450000000001</v>
      </c>
      <c r="E1915">
        <v>0.50416490000000003</v>
      </c>
      <c r="F1915" t="s">
        <v>47</v>
      </c>
      <c r="G1915">
        <v>-664.54369999999994</v>
      </c>
      <c r="H1915">
        <v>-0.1</v>
      </c>
      <c r="I1915">
        <v>281.95870000000002</v>
      </c>
      <c r="J1915">
        <v>-250.05279999999999</v>
      </c>
      <c r="K1915">
        <v>1.1090450000000001</v>
      </c>
      <c r="L1915">
        <v>282.86869999999999</v>
      </c>
      <c r="M1915">
        <v>-0.99980559999999996</v>
      </c>
      <c r="N1915">
        <v>0</v>
      </c>
      <c r="O1915">
        <v>-1.866667E-2</v>
      </c>
      <c r="P1915">
        <v>-0.9994651</v>
      </c>
      <c r="Q1915">
        <v>3.0546050000000002E-2</v>
      </c>
      <c r="R1915">
        <v>-1.1685299999999999E-2</v>
      </c>
      <c r="S1915">
        <v>-3.0018310000000001</v>
      </c>
      <c r="T1915">
        <v>-8.7506770000000001E-3</v>
      </c>
      <c r="U1915">
        <v>-6.6223139999999998E-3</v>
      </c>
      <c r="V1915">
        <v>6.9856229999999998E-3</v>
      </c>
      <c r="W1915">
        <v>3.68753E-2</v>
      </c>
      <c r="X1915">
        <v>0.9992955</v>
      </c>
      <c r="Y1915">
        <v>1.6461150000000001E-2</v>
      </c>
      <c r="Z1915" s="1">
        <v>7.8406690000000002E-5</v>
      </c>
      <c r="AA1915">
        <v>0.99986450000000004</v>
      </c>
      <c r="AB1915">
        <v>28</v>
      </c>
      <c r="AC1915">
        <v>-414.49090000000001</v>
      </c>
      <c r="AD1915">
        <v>-1.2090449999999999</v>
      </c>
      <c r="AE1915">
        <v>-0.90999999999996795</v>
      </c>
      <c r="AF1915">
        <v>6.82742129652563</v>
      </c>
      <c r="AG1915">
        <v>-1.2090449999999999</v>
      </c>
      <c r="AH1915">
        <v>414.43213806235798</v>
      </c>
      <c r="AI1915">
        <v>90.167128884438398</v>
      </c>
      <c r="AJ1915">
        <v>89.056185545510303</v>
      </c>
      <c r="AK1915">
        <v>414.49013562485402</v>
      </c>
      <c r="AL1915">
        <v>87.886721909848006</v>
      </c>
      <c r="AM1915">
        <v>89.599477636354095</v>
      </c>
      <c r="AN1915">
        <v>1.0000000414995101</v>
      </c>
    </row>
    <row r="1916" spans="1:40" x14ac:dyDescent="0.25">
      <c r="A1916" t="str">
        <f>"20190312151023162"</f>
        <v>20190312151023162</v>
      </c>
      <c r="B1916" t="str">
        <f>"1552374623152724"</f>
        <v>1552374623152724</v>
      </c>
      <c r="C1916" t="s">
        <v>40</v>
      </c>
      <c r="D1916">
        <v>5.6841879999999998</v>
      </c>
      <c r="E1916">
        <v>0.5042605</v>
      </c>
      <c r="F1916" t="s">
        <v>47</v>
      </c>
      <c r="G1916">
        <v>-629.28539999999998</v>
      </c>
      <c r="H1916">
        <v>-0.1</v>
      </c>
      <c r="I1916">
        <v>282.32119999999998</v>
      </c>
      <c r="J1916">
        <v>-250.34899999999999</v>
      </c>
      <c r="K1916">
        <v>1.108997</v>
      </c>
      <c r="L1916">
        <v>282.86329999999998</v>
      </c>
      <c r="M1916">
        <v>-0.99981019999999998</v>
      </c>
      <c r="N1916">
        <v>0</v>
      </c>
      <c r="O1916">
        <v>-1.8414300000000002E-2</v>
      </c>
      <c r="P1916">
        <v>-0.99948820000000005</v>
      </c>
      <c r="Q1916">
        <v>2.9910880000000001E-2</v>
      </c>
      <c r="R1916">
        <v>-1.134631E-2</v>
      </c>
      <c r="S1916">
        <v>-3.0018310000000001</v>
      </c>
      <c r="T1916">
        <v>-9.5702410000000002E-3</v>
      </c>
      <c r="U1916">
        <v>-4.333496E-3</v>
      </c>
      <c r="V1916">
        <v>7.0764850000000004E-3</v>
      </c>
      <c r="W1916">
        <v>3.6272980000000003E-2</v>
      </c>
      <c r="X1916">
        <v>0.99931689999999995</v>
      </c>
      <c r="Y1916">
        <v>1.6971110000000001E-2</v>
      </c>
      <c r="Z1916" s="1">
        <v>8.5758580000000001E-5</v>
      </c>
      <c r="AA1916">
        <v>0.99985599999999997</v>
      </c>
      <c r="AB1916">
        <v>28</v>
      </c>
      <c r="AC1916">
        <v>-378.93639999999999</v>
      </c>
      <c r="AD1916">
        <v>-1.2089969999999901</v>
      </c>
      <c r="AE1916">
        <v>-0.54210000000000402</v>
      </c>
      <c r="AF1916">
        <v>6.4359161857741398</v>
      </c>
      <c r="AG1916">
        <v>-1.2089969999999901</v>
      </c>
      <c r="AH1916">
        <v>378.87827174088898</v>
      </c>
      <c r="AI1916">
        <v>90.182803300861096</v>
      </c>
      <c r="AJ1916">
        <v>89.026823651083404</v>
      </c>
      <c r="AK1916">
        <v>378.93485916217799</v>
      </c>
      <c r="AL1916">
        <v>87.921255396676798</v>
      </c>
      <c r="AM1916">
        <v>89.594276903220205</v>
      </c>
      <c r="AN1916">
        <v>1.00000003617182</v>
      </c>
    </row>
    <row r="1917" spans="1:40" x14ac:dyDescent="0.25">
      <c r="A1917" t="str">
        <f>"20190312151023183"</f>
        <v>20190312151023183</v>
      </c>
      <c r="B1917" t="str">
        <f>"1552374623172244"</f>
        <v>1552374623172244</v>
      </c>
      <c r="C1917" t="s">
        <v>40</v>
      </c>
      <c r="D1917">
        <v>5.391203</v>
      </c>
      <c r="E1917">
        <v>0.50441970000000003</v>
      </c>
      <c r="F1917" t="s">
        <v>43</v>
      </c>
      <c r="G1917">
        <v>-554.58029999999997</v>
      </c>
      <c r="H1917">
        <v>-0.05</v>
      </c>
      <c r="I1917">
        <v>282.61590000000001</v>
      </c>
      <c r="J1917">
        <v>-250.61959999999999</v>
      </c>
      <c r="K1917">
        <v>1.108965</v>
      </c>
      <c r="L1917">
        <v>282.85860000000002</v>
      </c>
      <c r="M1917">
        <v>-0.99981500000000001</v>
      </c>
      <c r="N1917">
        <v>0</v>
      </c>
      <c r="O1917">
        <v>-1.814783E-2</v>
      </c>
      <c r="P1917">
        <v>-0.99950360000000005</v>
      </c>
      <c r="Q1917">
        <v>2.9498369999999999E-2</v>
      </c>
      <c r="R1917">
        <v>-1.1088209999999999E-2</v>
      </c>
      <c r="S1917">
        <v>-3.001862</v>
      </c>
      <c r="T1917">
        <v>-1.1435870000000001E-2</v>
      </c>
      <c r="U1917">
        <v>-2.4414060000000001E-3</v>
      </c>
      <c r="V1917">
        <v>7.0713939999999999E-3</v>
      </c>
      <c r="W1917">
        <v>3.5887950000000002E-2</v>
      </c>
      <c r="X1917">
        <v>0.99933079999999996</v>
      </c>
      <c r="Y1917">
        <v>1.7334769999999999E-2</v>
      </c>
      <c r="Z1917">
        <v>1.021531E-4</v>
      </c>
      <c r="AA1917">
        <v>0.99984969999999995</v>
      </c>
      <c r="AB1917">
        <v>28</v>
      </c>
      <c r="AC1917">
        <v>-303.96069999999997</v>
      </c>
      <c r="AD1917">
        <v>-1.158965</v>
      </c>
      <c r="AE1917">
        <v>-0.24270000000001299</v>
      </c>
      <c r="AF1917">
        <v>5.2736024568956701</v>
      </c>
      <c r="AG1917">
        <v>-1.158965</v>
      </c>
      <c r="AH1917">
        <v>303.91062637516501</v>
      </c>
      <c r="AI1917">
        <v>90.218463852436898</v>
      </c>
      <c r="AJ1917">
        <v>89.005876018455098</v>
      </c>
      <c r="AK1917">
        <v>303.95858748600898</v>
      </c>
      <c r="AL1917">
        <v>87.9433302861719</v>
      </c>
      <c r="AM1917">
        <v>89.594574419878995</v>
      </c>
      <c r="AN1917">
        <v>0.999999998698472</v>
      </c>
    </row>
    <row r="1918" spans="1:40" x14ac:dyDescent="0.25">
      <c r="A1918" t="str">
        <f>"20190312151023205"</f>
        <v>20190312151023205</v>
      </c>
      <c r="B1918" t="str">
        <f>"1552374623202500"</f>
        <v>1552374623202500</v>
      </c>
      <c r="C1918" t="s">
        <v>40</v>
      </c>
      <c r="D1918">
        <v>5.349996</v>
      </c>
      <c r="E1918">
        <v>0.50460199999999999</v>
      </c>
      <c r="F1918" t="s">
        <v>50</v>
      </c>
      <c r="G1918">
        <v>-499.95780000000002</v>
      </c>
      <c r="H1918">
        <v>4.7238820000000001E-2</v>
      </c>
      <c r="I1918">
        <v>282.82560000000001</v>
      </c>
      <c r="J1918">
        <v>-250.8913</v>
      </c>
      <c r="K1918">
        <v>1.1089370000000001</v>
      </c>
      <c r="L1918">
        <v>282.85399999999998</v>
      </c>
      <c r="M1918">
        <v>-0.99982009999999999</v>
      </c>
      <c r="N1918">
        <v>0</v>
      </c>
      <c r="O1918">
        <v>-1.7851970000000002E-2</v>
      </c>
      <c r="P1918">
        <v>-0.9995039</v>
      </c>
      <c r="Q1918">
        <v>2.9504929999999999E-2</v>
      </c>
      <c r="R1918">
        <v>-1.103583E-2</v>
      </c>
      <c r="S1918">
        <v>-3.001862</v>
      </c>
      <c r="T1918">
        <v>-1.2782450000000001E-2</v>
      </c>
      <c r="U1918">
        <v>-3.9672850000000001E-4</v>
      </c>
      <c r="V1918">
        <v>6.8300219999999998E-3</v>
      </c>
      <c r="W1918">
        <v>3.5920819999999999E-2</v>
      </c>
      <c r="X1918">
        <v>0.99933130000000003</v>
      </c>
      <c r="Y1918">
        <v>1.771988E-2</v>
      </c>
      <c r="Z1918">
        <v>1.13742E-4</v>
      </c>
      <c r="AA1918">
        <v>0.99984300000000004</v>
      </c>
      <c r="AB1918">
        <v>28</v>
      </c>
      <c r="AC1918">
        <v>-249.06649999999999</v>
      </c>
      <c r="AD1918">
        <v>-1.06169818</v>
      </c>
      <c r="AE1918">
        <v>-2.8400000000033201E-2</v>
      </c>
      <c r="AF1918">
        <v>4.4179432537269996</v>
      </c>
      <c r="AG1918">
        <v>-1.06169818</v>
      </c>
      <c r="AH1918">
        <v>249.02278944227299</v>
      </c>
      <c r="AI1918">
        <v>90.244238230799297</v>
      </c>
      <c r="AJ1918">
        <v>88.983615311401707</v>
      </c>
      <c r="AK1918">
        <v>249.064238876698</v>
      </c>
      <c r="AL1918">
        <v>87.941445763209202</v>
      </c>
      <c r="AM1918">
        <v>89.608412804135696</v>
      </c>
      <c r="AN1918">
        <v>1.00000000083484</v>
      </c>
    </row>
    <row r="1919" spans="1:40" x14ac:dyDescent="0.25">
      <c r="A1919" t="str">
        <f>"20190312151023229"</f>
        <v>20190312151023229</v>
      </c>
      <c r="B1919" t="str">
        <f>"1552374623222997"</f>
        <v>1552374623222997</v>
      </c>
      <c r="C1919" t="s">
        <v>40</v>
      </c>
      <c r="D1919">
        <v>5.28261</v>
      </c>
      <c r="E1919">
        <v>0.5047855</v>
      </c>
      <c r="F1919" t="s">
        <v>50</v>
      </c>
      <c r="G1919">
        <v>-499.96510000000001</v>
      </c>
      <c r="H1919">
        <v>5.7322669999999999E-2</v>
      </c>
      <c r="I1919">
        <v>282.96039999999999</v>
      </c>
      <c r="J1919">
        <v>-251.19450000000001</v>
      </c>
      <c r="K1919">
        <v>1.1089150000000001</v>
      </c>
      <c r="L1919">
        <v>282.84890000000001</v>
      </c>
      <c r="M1919">
        <v>-0.99982610000000005</v>
      </c>
      <c r="N1919">
        <v>0</v>
      </c>
      <c r="O1919">
        <v>-1.7498349999999999E-2</v>
      </c>
      <c r="P1919">
        <v>-0.99950059999999996</v>
      </c>
      <c r="Q1919">
        <v>2.9725109999999999E-2</v>
      </c>
      <c r="R1919">
        <v>-1.072933E-2</v>
      </c>
      <c r="S1919">
        <v>-3.0018769999999999</v>
      </c>
      <c r="T1919">
        <v>-1.267421E-2</v>
      </c>
      <c r="U1919">
        <v>1.2817379999999999E-3</v>
      </c>
      <c r="V1919">
        <v>6.7849149999999999E-3</v>
      </c>
      <c r="W1919">
        <v>3.6169569999999998E-2</v>
      </c>
      <c r="X1919">
        <v>0.99932270000000001</v>
      </c>
      <c r="Y1919">
        <v>1.792531E-2</v>
      </c>
      <c r="Z1919">
        <v>1.1171920000000001E-4</v>
      </c>
      <c r="AA1919">
        <v>0.99983929999999999</v>
      </c>
      <c r="AB1919">
        <v>28</v>
      </c>
      <c r="AC1919">
        <v>-248.7706</v>
      </c>
      <c r="AD1919">
        <v>-1.0515923300000001</v>
      </c>
      <c r="AE1919">
        <v>0.11149999999997801</v>
      </c>
      <c r="AF1919">
        <v>4.4645686773867803</v>
      </c>
      <c r="AG1919">
        <v>-1.0515923300000001</v>
      </c>
      <c r="AH1919">
        <v>248.72611412868699</v>
      </c>
      <c r="AI1919">
        <v>90.242201104003499</v>
      </c>
      <c r="AJ1919">
        <v>88.971666178548901</v>
      </c>
      <c r="AK1919">
        <v>248.768402473989</v>
      </c>
      <c r="AL1919">
        <v>87.927184305008794</v>
      </c>
      <c r="AM1919">
        <v>89.610995506657204</v>
      </c>
      <c r="AN1919">
        <v>1.00000006580041</v>
      </c>
    </row>
    <row r="1920" spans="1:40" x14ac:dyDescent="0.25">
      <c r="A1920" t="str">
        <f>"20190312151023250"</f>
        <v>20190312151023250</v>
      </c>
      <c r="B1920" t="str">
        <f>"1552374623243024"</f>
        <v>1552374623243024</v>
      </c>
      <c r="C1920" t="s">
        <v>40</v>
      </c>
      <c r="D1920">
        <v>5.2928189999999997</v>
      </c>
      <c r="E1920">
        <v>0.50490159999999995</v>
      </c>
      <c r="F1920" t="s">
        <v>43</v>
      </c>
      <c r="G1920">
        <v>-553.76419999999996</v>
      </c>
      <c r="H1920">
        <v>-0.05</v>
      </c>
      <c r="I1920">
        <v>283.21190000000001</v>
      </c>
      <c r="J1920">
        <v>-251.4639</v>
      </c>
      <c r="K1920">
        <v>1.108903</v>
      </c>
      <c r="L1920">
        <v>282.84449999999998</v>
      </c>
      <c r="M1920">
        <v>-0.99983160000000004</v>
      </c>
      <c r="N1920">
        <v>0</v>
      </c>
      <c r="O1920">
        <v>-1.7172659999999999E-2</v>
      </c>
      <c r="P1920">
        <v>-0.99950749999999999</v>
      </c>
      <c r="Q1920">
        <v>2.9595119999999999E-2</v>
      </c>
      <c r="R1920">
        <v>-1.043534E-2</v>
      </c>
      <c r="S1920">
        <v>-3.0018919999999998</v>
      </c>
      <c r="T1920">
        <v>-1.149797E-2</v>
      </c>
      <c r="U1920">
        <v>3.6010740000000001E-3</v>
      </c>
      <c r="V1920">
        <v>6.7540219999999897E-3</v>
      </c>
      <c r="W1920">
        <v>3.6062829999999997E-2</v>
      </c>
      <c r="X1920">
        <v>0.99932670000000001</v>
      </c>
      <c r="Y1920">
        <v>1.8372179999999998E-2</v>
      </c>
      <c r="Z1920">
        <v>1.009591E-4</v>
      </c>
      <c r="AA1920">
        <v>0.99983120000000003</v>
      </c>
      <c r="AB1920">
        <v>28</v>
      </c>
      <c r="AC1920">
        <v>-302.30029999999999</v>
      </c>
      <c r="AD1920">
        <v>-1.158903</v>
      </c>
      <c r="AE1920">
        <v>0.36740000000003098</v>
      </c>
      <c r="AF1920">
        <v>5.5586730837495297</v>
      </c>
      <c r="AG1920">
        <v>-1.158903</v>
      </c>
      <c r="AH1920">
        <v>302.24496929359299</v>
      </c>
      <c r="AI1920">
        <v>90.219651956301206</v>
      </c>
      <c r="AJ1920">
        <v>88.9463758256245</v>
      </c>
      <c r="AK1920">
        <v>302.29830195669302</v>
      </c>
      <c r="AL1920">
        <v>87.933303910384296</v>
      </c>
      <c r="AM1920">
        <v>89.612768213488295</v>
      </c>
      <c r="AN1920">
        <v>0.999999998926837</v>
      </c>
    </row>
    <row r="1921" spans="1:40" x14ac:dyDescent="0.25">
      <c r="A1921" t="str">
        <f>"20190312151023262"</f>
        <v>20190312151023262</v>
      </c>
      <c r="B1921" t="str">
        <f>"1552374623252785"</f>
        <v>1552374623252785</v>
      </c>
      <c r="C1921" t="s">
        <v>40</v>
      </c>
      <c r="D1921">
        <v>5.4689439999999996</v>
      </c>
      <c r="E1921">
        <v>0.50497170000000002</v>
      </c>
      <c r="F1921" t="s">
        <v>43</v>
      </c>
      <c r="G1921">
        <v>-552.39390000000003</v>
      </c>
      <c r="H1921">
        <v>-0.05</v>
      </c>
      <c r="I1921">
        <v>283.39210000000003</v>
      </c>
      <c r="J1921">
        <v>-251.62289999999999</v>
      </c>
      <c r="K1921">
        <v>1.1089009999999999</v>
      </c>
      <c r="L1921">
        <v>282.84190000000001</v>
      </c>
      <c r="M1921">
        <v>-0.99983480000000002</v>
      </c>
      <c r="N1921">
        <v>0</v>
      </c>
      <c r="O1921">
        <v>-1.6978599999999899E-2</v>
      </c>
      <c r="P1921">
        <v>-0.9995077</v>
      </c>
      <c r="Q1921">
        <v>2.9521229999999999E-2</v>
      </c>
      <c r="R1921">
        <v>-1.0625300000000001E-2</v>
      </c>
      <c r="S1921">
        <v>-3.0018769999999999</v>
      </c>
      <c r="T1921">
        <v>-1.156044E-2</v>
      </c>
      <c r="U1921">
        <v>5.4626459999999998E-3</v>
      </c>
      <c r="V1921">
        <v>6.3705150000000002E-3</v>
      </c>
      <c r="W1921">
        <v>3.6002310000000003E-2</v>
      </c>
      <c r="X1921">
        <v>0.99933139999999998</v>
      </c>
      <c r="Y1921">
        <v>1.8798140000000001E-2</v>
      </c>
      <c r="Z1921">
        <v>1.015811E-4</v>
      </c>
      <c r="AA1921">
        <v>0.99982329999999997</v>
      </c>
      <c r="AB1921">
        <v>28</v>
      </c>
      <c r="AC1921">
        <v>-300.77100000000002</v>
      </c>
      <c r="AD1921">
        <v>-1.158901</v>
      </c>
      <c r="AE1921">
        <v>0.55020000000001801</v>
      </c>
      <c r="AF1921">
        <v>5.6568147031341303</v>
      </c>
      <c r="AG1921">
        <v>-1.158901</v>
      </c>
      <c r="AH1921">
        <v>300.71383667070501</v>
      </c>
      <c r="AI1921">
        <v>90.220768233179498</v>
      </c>
      <c r="AJ1921">
        <v>88.922319673940706</v>
      </c>
      <c r="AK1921">
        <v>300.76927065331802</v>
      </c>
      <c r="AL1921">
        <v>87.936773703118504</v>
      </c>
      <c r="AM1921">
        <v>89.634757119977806</v>
      </c>
      <c r="AN1921">
        <v>0.99999999840633003</v>
      </c>
    </row>
    <row r="1922" spans="1:40" x14ac:dyDescent="0.25">
      <c r="A1922" t="str">
        <f>"20190312151023284"</f>
        <v>20190312151023284</v>
      </c>
      <c r="B1922" t="str">
        <f>"1552374623272305"</f>
        <v>1552374623272305</v>
      </c>
      <c r="C1922" t="s">
        <v>40</v>
      </c>
      <c r="D1922">
        <v>5.3888360000000004</v>
      </c>
      <c r="E1922">
        <v>0.50502650000000004</v>
      </c>
      <c r="F1922" t="s">
        <v>43</v>
      </c>
      <c r="G1922">
        <v>-559.22609999999997</v>
      </c>
      <c r="H1922">
        <v>-0.05</v>
      </c>
      <c r="I1922">
        <v>283.37360000000001</v>
      </c>
      <c r="J1922">
        <v>-251.89160000000001</v>
      </c>
      <c r="K1922">
        <v>1.1088960000000001</v>
      </c>
      <c r="L1922">
        <v>282.83769999999998</v>
      </c>
      <c r="M1922">
        <v>-0.99984019999999996</v>
      </c>
      <c r="N1922">
        <v>0</v>
      </c>
      <c r="O1922">
        <v>-1.6649500000000001E-2</v>
      </c>
      <c r="P1922">
        <v>-0.99951440000000003</v>
      </c>
      <c r="Q1922">
        <v>2.9308250000000001E-2</v>
      </c>
      <c r="R1922">
        <v>-1.057434E-2</v>
      </c>
      <c r="S1922">
        <v>-3.0018769999999999</v>
      </c>
      <c r="T1922">
        <v>-1.1309619999999999E-2</v>
      </c>
      <c r="U1922">
        <v>5.1879880000000001E-3</v>
      </c>
      <c r="V1922">
        <v>6.0926349999999999E-3</v>
      </c>
      <c r="W1922">
        <v>3.5810750000000002E-2</v>
      </c>
      <c r="X1922">
        <v>0.99934000000000001</v>
      </c>
      <c r="Y1922">
        <v>1.8377589999999999E-2</v>
      </c>
      <c r="Z1922" s="1">
        <v>9.7345179999999996E-5</v>
      </c>
      <c r="AA1922">
        <v>0.99983109999999997</v>
      </c>
      <c r="AB1922">
        <v>29</v>
      </c>
      <c r="AC1922">
        <v>-307.33449999999903</v>
      </c>
      <c r="AD1922">
        <v>-1.1588959999999999</v>
      </c>
      <c r="AE1922">
        <v>0.53590000000002602</v>
      </c>
      <c r="AF1922">
        <v>5.6528194982781397</v>
      </c>
      <c r="AG1922">
        <v>-1.1588959999999999</v>
      </c>
      <c r="AH1922">
        <v>307.27860597215403</v>
      </c>
      <c r="AI1922">
        <v>90.216052471034601</v>
      </c>
      <c r="AJ1922">
        <v>88.946082923473696</v>
      </c>
      <c r="AK1922">
        <v>307.33278233278202</v>
      </c>
      <c r="AL1922">
        <v>87.947756332792395</v>
      </c>
      <c r="AM1922">
        <v>89.650691509728105</v>
      </c>
      <c r="AN1922">
        <v>0.99999998280840197</v>
      </c>
    </row>
    <row r="1923" spans="1:40" x14ac:dyDescent="0.25">
      <c r="A1923" t="str">
        <f>"20190312151023295"</f>
        <v>20190312151023295</v>
      </c>
      <c r="B1923" t="str">
        <f>"1552374623292800"</f>
        <v>1552374623292800</v>
      </c>
      <c r="C1923" t="s">
        <v>40</v>
      </c>
      <c r="D1923">
        <v>5.3420540000000001</v>
      </c>
      <c r="E1923">
        <v>0.50516309999999998</v>
      </c>
      <c r="F1923" t="s">
        <v>50</v>
      </c>
      <c r="G1923">
        <v>-490.62099999999998</v>
      </c>
      <c r="H1923" s="1">
        <v>3.7396850000000002E-6</v>
      </c>
      <c r="I1923">
        <v>283.30369999999999</v>
      </c>
      <c r="J1923">
        <v>-252.05070000000001</v>
      </c>
      <c r="K1923">
        <v>1.108895</v>
      </c>
      <c r="L1923">
        <v>282.83519999999999</v>
      </c>
      <c r="M1923">
        <v>-0.99984340000000005</v>
      </c>
      <c r="N1923">
        <v>0</v>
      </c>
      <c r="O1923">
        <v>-1.6455330000000001E-2</v>
      </c>
      <c r="P1923">
        <v>-0.99951769999999995</v>
      </c>
      <c r="Q1923">
        <v>2.9123300000000001E-2</v>
      </c>
      <c r="R1923">
        <v>-1.0776000000000001E-2</v>
      </c>
      <c r="S1923">
        <v>-3.0019070000000001</v>
      </c>
      <c r="T1923">
        <v>-1.3943789999999999E-2</v>
      </c>
      <c r="U1923">
        <v>5.859375E-3</v>
      </c>
      <c r="V1923">
        <v>5.6972619999999998E-3</v>
      </c>
      <c r="W1923">
        <v>3.5637769999999999E-2</v>
      </c>
      <c r="X1923">
        <v>0.99934849999999997</v>
      </c>
      <c r="Y1923">
        <v>1.8406889999999999E-2</v>
      </c>
      <c r="Z1923">
        <v>1.19183E-4</v>
      </c>
      <c r="AA1923">
        <v>0.99983049999999996</v>
      </c>
      <c r="AB1923">
        <v>29</v>
      </c>
      <c r="AC1923">
        <v>-238.5703</v>
      </c>
      <c r="AD1923">
        <v>-1.1088912603150001</v>
      </c>
      <c r="AE1923">
        <v>0.46850000000000502</v>
      </c>
      <c r="AF1923">
        <v>4.3941778680200603</v>
      </c>
      <c r="AG1923">
        <v>-1.1088912603150001</v>
      </c>
      <c r="AH1923">
        <v>238.52513396966</v>
      </c>
      <c r="AI1923">
        <v>90.266318069394501</v>
      </c>
      <c r="AJ1923">
        <v>88.9446002349042</v>
      </c>
      <c r="AK1923">
        <v>238.56818307185799</v>
      </c>
      <c r="AL1923">
        <v>87.957673654908106</v>
      </c>
      <c r="AM1923">
        <v>89.673361664112704</v>
      </c>
      <c r="AN1923">
        <v>0.99999996694855897</v>
      </c>
    </row>
    <row r="1924" spans="1:40" x14ac:dyDescent="0.25">
      <c r="A1924" t="str">
        <f>"20190312151023317"</f>
        <v>20190312151023317</v>
      </c>
      <c r="B1924" t="str">
        <f>"1552374623312320"</f>
        <v>1552374623312320</v>
      </c>
      <c r="C1924" t="s">
        <v>40</v>
      </c>
      <c r="D1924">
        <v>4.8882820000000002</v>
      </c>
      <c r="E1924">
        <v>0.50524789999999997</v>
      </c>
      <c r="F1924" t="s">
        <v>50</v>
      </c>
      <c r="G1924">
        <v>-482.3175</v>
      </c>
      <c r="H1924" s="1">
        <v>2.5028719999999999E-6</v>
      </c>
      <c r="I1924">
        <v>283.31270000000001</v>
      </c>
      <c r="J1924">
        <v>-252.3141</v>
      </c>
      <c r="K1924">
        <v>1.108895</v>
      </c>
      <c r="L1924">
        <v>282.83120000000002</v>
      </c>
      <c r="M1924">
        <v>-0.99984839999999997</v>
      </c>
      <c r="N1924">
        <v>0</v>
      </c>
      <c r="O1924">
        <v>-1.6136250000000001E-2</v>
      </c>
      <c r="P1924">
        <v>-0.99951730000000005</v>
      </c>
      <c r="Q1924">
        <v>2.913143E-2</v>
      </c>
      <c r="R1924">
        <v>-1.0815389999999999E-2</v>
      </c>
      <c r="S1924">
        <v>-3.001938</v>
      </c>
      <c r="T1924">
        <v>-1.445639E-2</v>
      </c>
      <c r="U1924">
        <v>6.225586E-3</v>
      </c>
      <c r="V1924">
        <v>5.3391589999999996E-3</v>
      </c>
      <c r="W1924">
        <v>3.5664929999999997E-2</v>
      </c>
      <c r="X1924">
        <v>0.9993495</v>
      </c>
      <c r="Y1924">
        <v>1.8209739999999999E-2</v>
      </c>
      <c r="Z1924">
        <v>1.215519E-4</v>
      </c>
      <c r="AA1924">
        <v>0.99983420000000001</v>
      </c>
      <c r="AB1924">
        <v>29</v>
      </c>
      <c r="AC1924">
        <v>-230.0034</v>
      </c>
      <c r="AD1924">
        <v>-1.1088924971280001</v>
      </c>
      <c r="AE1924">
        <v>0.481499999999982</v>
      </c>
      <c r="AF1924">
        <v>4.1928116366452999</v>
      </c>
      <c r="AG1924">
        <v>-1.1088924971280001</v>
      </c>
      <c r="AH1924">
        <v>229.96033785196801</v>
      </c>
      <c r="AI1924">
        <v>90.276238113433493</v>
      </c>
      <c r="AJ1924">
        <v>88.955455543289304</v>
      </c>
      <c r="AK1924">
        <v>230.00123107710101</v>
      </c>
      <c r="AL1924">
        <v>87.956116494316902</v>
      </c>
      <c r="AM1924">
        <v>89.693892510796601</v>
      </c>
      <c r="AN1924">
        <v>0.99999995850048995</v>
      </c>
    </row>
    <row r="1925" spans="1:40" x14ac:dyDescent="0.25">
      <c r="A1925" t="str">
        <f>"20190312151023339"</f>
        <v>20190312151023339</v>
      </c>
      <c r="B1925" t="str">
        <f>"1552374623332816"</f>
        <v>1552374623332816</v>
      </c>
      <c r="C1925" t="s">
        <v>40</v>
      </c>
      <c r="D1925">
        <v>5.282146</v>
      </c>
      <c r="E1925">
        <v>0.50541570000000002</v>
      </c>
      <c r="F1925" t="s">
        <v>50</v>
      </c>
      <c r="G1925">
        <v>-499.96030000000002</v>
      </c>
      <c r="H1925">
        <v>5.2510220000000003E-2</v>
      </c>
      <c r="I1925">
        <v>283.39010000000002</v>
      </c>
      <c r="J1925">
        <v>-252.60400000000001</v>
      </c>
      <c r="K1925">
        <v>1.108895</v>
      </c>
      <c r="L1925">
        <v>282.82690000000002</v>
      </c>
      <c r="M1925">
        <v>-0.99985380000000001</v>
      </c>
      <c r="N1925">
        <v>0</v>
      </c>
      <c r="O1925">
        <v>-1.5788440000000001E-2</v>
      </c>
      <c r="P1925">
        <v>-0.99951880000000004</v>
      </c>
      <c r="Q1925">
        <v>2.9217070000000001E-2</v>
      </c>
      <c r="R1925">
        <v>-1.042945E-2</v>
      </c>
      <c r="S1925">
        <v>-3.0018769999999999</v>
      </c>
      <c r="T1925">
        <v>-1.28051E-2</v>
      </c>
      <c r="U1925">
        <v>6.7749019999999898E-3</v>
      </c>
      <c r="V1925">
        <v>5.3775369999999999E-3</v>
      </c>
      <c r="W1925">
        <v>3.5770240000000002E-2</v>
      </c>
      <c r="X1925">
        <v>0.99934559999999995</v>
      </c>
      <c r="Y1925">
        <v>1.8045039999999998E-2</v>
      </c>
      <c r="Z1925">
        <v>1.058351E-4</v>
      </c>
      <c r="AA1925">
        <v>0.99983719999999998</v>
      </c>
      <c r="AB1925">
        <v>29</v>
      </c>
      <c r="AC1925">
        <v>-247.3563</v>
      </c>
      <c r="AD1925">
        <v>-1.0563847799999999</v>
      </c>
      <c r="AE1925">
        <v>0.56319999999999404</v>
      </c>
      <c r="AF1925">
        <v>4.4685025687315196</v>
      </c>
      <c r="AG1925">
        <v>-1.0563847799999999</v>
      </c>
      <c r="AH1925">
        <v>247.312063984302</v>
      </c>
      <c r="AI1925">
        <v>90.244695479682605</v>
      </c>
      <c r="AJ1925">
        <v>88.964876689569806</v>
      </c>
      <c r="AK1925">
        <v>247.35468553513499</v>
      </c>
      <c r="AL1925">
        <v>87.950078965774594</v>
      </c>
      <c r="AM1925">
        <v>89.691691042148605</v>
      </c>
      <c r="AN1925">
        <v>1.0000000281065999</v>
      </c>
    </row>
    <row r="1926" spans="1:40" x14ac:dyDescent="0.25">
      <c r="A1926" t="str">
        <f>"20190312151023354"</f>
        <v>20190312151023354</v>
      </c>
      <c r="B1926" t="str">
        <f>"1552374623342577"</f>
        <v>1552374623342577</v>
      </c>
      <c r="C1926" t="s">
        <v>40</v>
      </c>
      <c r="D1926">
        <v>5.2121959999999996</v>
      </c>
      <c r="E1926">
        <v>0.50548349999999997</v>
      </c>
      <c r="F1926" t="s">
        <v>43</v>
      </c>
      <c r="G1926">
        <v>-544.53560000000004</v>
      </c>
      <c r="H1926">
        <v>-0.05</v>
      </c>
      <c r="I1926">
        <v>283.74689999999998</v>
      </c>
      <c r="J1926">
        <v>-252.79349999999999</v>
      </c>
      <c r="K1926">
        <v>1.1088960000000001</v>
      </c>
      <c r="L1926">
        <v>282.82420000000002</v>
      </c>
      <c r="M1926">
        <v>-0.99985729999999995</v>
      </c>
      <c r="N1926">
        <v>0</v>
      </c>
      <c r="O1926">
        <v>-1.556281E-2</v>
      </c>
      <c r="P1926">
        <v>-0.9995153</v>
      </c>
      <c r="Q1926">
        <v>2.9461749999999998E-2</v>
      </c>
      <c r="R1926">
        <v>-1.008012E-2</v>
      </c>
      <c r="S1926">
        <v>-3.0018919999999998</v>
      </c>
      <c r="T1926">
        <v>-1.191676E-2</v>
      </c>
      <c r="U1926">
        <v>9.4604489999999992E-3</v>
      </c>
      <c r="V1926">
        <v>5.5015589999999996E-3</v>
      </c>
      <c r="W1926">
        <v>3.6026620000000002E-2</v>
      </c>
      <c r="X1926">
        <v>0.99933570000000005</v>
      </c>
      <c r="Y1926">
        <v>1.8713899999999999E-2</v>
      </c>
      <c r="Z1926" s="1">
        <v>9.8924400000000004E-5</v>
      </c>
      <c r="AA1926">
        <v>0.99982490000000002</v>
      </c>
      <c r="AB1926">
        <v>29</v>
      </c>
      <c r="AC1926">
        <v>-291.74209999999999</v>
      </c>
      <c r="AD1926">
        <v>-1.1588959999999999</v>
      </c>
      <c r="AE1926">
        <v>0.92269999999996299</v>
      </c>
      <c r="AF1926">
        <v>5.4629269449702296</v>
      </c>
      <c r="AG1926">
        <v>-1.1588959999999999</v>
      </c>
      <c r="AH1926">
        <v>291.68780348274998</v>
      </c>
      <c r="AI1926">
        <v>90.2275990200949</v>
      </c>
      <c r="AJ1926">
        <v>88.927051233973103</v>
      </c>
      <c r="AK1926">
        <v>291.74125747198701</v>
      </c>
      <c r="AL1926">
        <v>87.935379968468894</v>
      </c>
      <c r="AM1926">
        <v>89.684577537818996</v>
      </c>
      <c r="AN1926">
        <v>1.0000000128972699</v>
      </c>
    </row>
    <row r="1927" spans="1:40" x14ac:dyDescent="0.25">
      <c r="A1927" t="str">
        <f>"20190312151023373"</f>
        <v>20190312151023373</v>
      </c>
      <c r="B1927" t="str">
        <f>"1552374623363073"</f>
        <v>1552374623363073</v>
      </c>
      <c r="C1927" t="s">
        <v>40</v>
      </c>
      <c r="D1927">
        <v>5.3494029999999997</v>
      </c>
      <c r="E1927">
        <v>0.50559880000000001</v>
      </c>
      <c r="F1927" t="s">
        <v>47</v>
      </c>
      <c r="G1927">
        <v>-576.89670000000001</v>
      </c>
      <c r="H1927">
        <v>-0.1</v>
      </c>
      <c r="I1927">
        <v>284.02019999999999</v>
      </c>
      <c r="J1927">
        <v>-253.0549</v>
      </c>
      <c r="K1927">
        <v>1.108892</v>
      </c>
      <c r="L1927">
        <v>282.82040000000001</v>
      </c>
      <c r="M1927">
        <v>-0.99986209999999998</v>
      </c>
      <c r="N1927">
        <v>0</v>
      </c>
      <c r="O1927">
        <v>-1.5253020000000001E-2</v>
      </c>
      <c r="P1927">
        <v>-0.99950700000000003</v>
      </c>
      <c r="Q1927">
        <v>2.9927280000000001E-2</v>
      </c>
      <c r="R1927">
        <v>-9.5066979999999992E-3</v>
      </c>
      <c r="S1927">
        <v>-3.0018919999999998</v>
      </c>
      <c r="T1927">
        <v>-1.1196970000000001E-2</v>
      </c>
      <c r="U1927">
        <v>1.107788E-2</v>
      </c>
      <c r="V1927">
        <v>5.7654389999999998E-3</v>
      </c>
      <c r="W1927">
        <v>3.6507419999999999E-2</v>
      </c>
      <c r="X1927">
        <v>0.99931680000000001</v>
      </c>
      <c r="Y1927">
        <v>1.8942859999999999E-2</v>
      </c>
      <c r="Z1927" s="1">
        <v>9.222085E-5</v>
      </c>
      <c r="AA1927">
        <v>0.99982059999999995</v>
      </c>
      <c r="AB1927">
        <v>29</v>
      </c>
      <c r="AC1927">
        <v>-323.84179999999998</v>
      </c>
      <c r="AD1927">
        <v>-1.2088920000000001</v>
      </c>
      <c r="AE1927">
        <v>1.19979999999998</v>
      </c>
      <c r="AF1927">
        <v>6.1392468351177403</v>
      </c>
      <c r="AG1927">
        <v>-1.2088920000000001</v>
      </c>
      <c r="AH1927">
        <v>323.78131171662</v>
      </c>
      <c r="AI1927">
        <v>90.213883993874006</v>
      </c>
      <c r="AJ1927">
        <v>88.913739691000998</v>
      </c>
      <c r="AK1927">
        <v>323.84176628178301</v>
      </c>
      <c r="AL1927">
        <v>87.907814099470897</v>
      </c>
      <c r="AM1927">
        <v>89.6694425064603</v>
      </c>
      <c r="AN1927">
        <v>1.00000004938207</v>
      </c>
    </row>
    <row r="1928" spans="1:40" x14ac:dyDescent="0.25">
      <c r="A1928" t="str">
        <f>"20190312151023397"</f>
        <v>20190312151023397</v>
      </c>
      <c r="B1928" t="str">
        <f>"1552374623392352"</f>
        <v>1552374623392352</v>
      </c>
      <c r="C1928" t="s">
        <v>40</v>
      </c>
      <c r="D1928">
        <v>5.5518039999999997</v>
      </c>
      <c r="E1928">
        <v>0.50613529999999995</v>
      </c>
      <c r="F1928" t="s">
        <v>47</v>
      </c>
      <c r="G1928">
        <v>-622.46410000000003</v>
      </c>
      <c r="H1928">
        <v>-0.1</v>
      </c>
      <c r="I1928">
        <v>284.48399999999998</v>
      </c>
      <c r="J1928">
        <v>-253.35079999999999</v>
      </c>
      <c r="K1928">
        <v>1.1088819999999999</v>
      </c>
      <c r="L1928">
        <v>282.81630000000001</v>
      </c>
      <c r="M1928">
        <v>-0.99986730000000001</v>
      </c>
      <c r="N1928">
        <v>0</v>
      </c>
      <c r="O1928">
        <v>-1.490211E-2</v>
      </c>
      <c r="P1928">
        <v>-0.99951179999999995</v>
      </c>
      <c r="Q1928">
        <v>2.9849799999999999E-2</v>
      </c>
      <c r="R1928">
        <v>-9.2508810000000007E-3</v>
      </c>
      <c r="S1928">
        <v>-3.0019230000000001</v>
      </c>
      <c r="T1928">
        <v>-9.8237989999999994E-3</v>
      </c>
      <c r="U1928">
        <v>1.351929E-2</v>
      </c>
      <c r="V1928">
        <v>5.6707459999999999E-3</v>
      </c>
      <c r="W1928">
        <v>3.6447380000000001E-2</v>
      </c>
      <c r="X1928">
        <v>0.99931950000000003</v>
      </c>
      <c r="Y1928">
        <v>1.9405100000000002E-2</v>
      </c>
      <c r="Z1928" s="1">
        <v>8.0518319999999999E-5</v>
      </c>
      <c r="AA1928">
        <v>0.99981169999999997</v>
      </c>
      <c r="AB1928">
        <v>29</v>
      </c>
      <c r="AC1928">
        <v>-369.11329999999998</v>
      </c>
      <c r="AD1928">
        <v>-1.208882</v>
      </c>
      <c r="AE1928">
        <v>1.6677000000000199</v>
      </c>
      <c r="AF1928">
        <v>7.1681240369694397</v>
      </c>
      <c r="AG1928">
        <v>-1.208882</v>
      </c>
      <c r="AH1928">
        <v>369.04349975797498</v>
      </c>
      <c r="AI1928">
        <v>90.187648683632702</v>
      </c>
      <c r="AJ1928">
        <v>88.887254165977197</v>
      </c>
      <c r="AK1928">
        <v>369.11508789470298</v>
      </c>
      <c r="AL1928">
        <v>87.911256359038106</v>
      </c>
      <c r="AM1928">
        <v>89.674872425619697</v>
      </c>
      <c r="AN1928">
        <v>1.00000001597465</v>
      </c>
    </row>
    <row r="1929" spans="1:40" x14ac:dyDescent="0.25">
      <c r="A1929" t="str">
        <f>"20190312151023417"</f>
        <v>20190312151023417</v>
      </c>
      <c r="B1929" t="str">
        <f>"1552374623412848"</f>
        <v>1552374623412848</v>
      </c>
      <c r="C1929" t="s">
        <v>40</v>
      </c>
      <c r="D1929">
        <v>5.5730069999999996</v>
      </c>
      <c r="E1929">
        <v>0.50658110000000001</v>
      </c>
      <c r="F1929" t="s">
        <v>47</v>
      </c>
      <c r="G1929">
        <v>-663.67570000000001</v>
      </c>
      <c r="H1929">
        <v>-0.1</v>
      </c>
      <c r="I1929">
        <v>285.36500000000001</v>
      </c>
      <c r="J1929">
        <v>-253.62540000000001</v>
      </c>
      <c r="K1929">
        <v>1.1088769999999999</v>
      </c>
      <c r="L1929">
        <v>282.8125</v>
      </c>
      <c r="M1929">
        <v>-0.99987190000000004</v>
      </c>
      <c r="N1929">
        <v>0</v>
      </c>
      <c r="O1929">
        <v>-1.457168E-2</v>
      </c>
      <c r="P1929">
        <v>-0.99952470000000004</v>
      </c>
      <c r="Q1929">
        <v>2.9579080000000001E-2</v>
      </c>
      <c r="R1929">
        <v>-8.6938929999999994E-3</v>
      </c>
      <c r="S1929">
        <v>-3.0019230000000001</v>
      </c>
      <c r="T1929">
        <v>-8.8441370000000002E-3</v>
      </c>
      <c r="U1929">
        <v>1.8646240000000001E-2</v>
      </c>
      <c r="V1929">
        <v>5.8974519999999897E-3</v>
      </c>
      <c r="W1929">
        <v>3.619149E-2</v>
      </c>
      <c r="X1929">
        <v>0.99932750000000004</v>
      </c>
      <c r="Y1929">
        <v>2.0782220000000001E-2</v>
      </c>
      <c r="Z1929" s="1">
        <v>7.3543739999999995E-5</v>
      </c>
      <c r="AA1929">
        <v>0.99978409999999995</v>
      </c>
      <c r="AB1929">
        <v>29</v>
      </c>
      <c r="AC1929">
        <v>-410.05029999999999</v>
      </c>
      <c r="AD1929">
        <v>-1.208877</v>
      </c>
      <c r="AE1929">
        <v>2.5525000000000002</v>
      </c>
      <c r="AF1929">
        <v>8.5274076339226195</v>
      </c>
      <c r="AG1929">
        <v>-1.208877</v>
      </c>
      <c r="AH1929">
        <v>409.96600392750202</v>
      </c>
      <c r="AI1929">
        <v>90.168912471121303</v>
      </c>
      <c r="AJ1929">
        <v>88.808403577550195</v>
      </c>
      <c r="AK1929">
        <v>410.05646250344699</v>
      </c>
      <c r="AL1929">
        <v>87.9259274804906</v>
      </c>
      <c r="AM1929">
        <v>89.661877425650204</v>
      </c>
      <c r="AN1929">
        <v>1.00000002807238</v>
      </c>
    </row>
    <row r="1930" spans="1:40" x14ac:dyDescent="0.25">
      <c r="A1930" t="str">
        <f>"20190312151023441"</f>
        <v>20190312151023441</v>
      </c>
      <c r="B1930" t="str">
        <f>"1552374623432372"</f>
        <v>1552374623432372</v>
      </c>
      <c r="C1930" t="s">
        <v>40</v>
      </c>
      <c r="D1930">
        <v>5.2716320000000003</v>
      </c>
      <c r="E1930">
        <v>0.50695279999999998</v>
      </c>
      <c r="F1930" t="s">
        <v>47</v>
      </c>
      <c r="G1930">
        <v>-655.28769999999997</v>
      </c>
      <c r="H1930">
        <v>-0.1</v>
      </c>
      <c r="I1930">
        <v>286.00970000000001</v>
      </c>
      <c r="J1930">
        <v>-253.92150000000001</v>
      </c>
      <c r="K1930">
        <v>1.108868</v>
      </c>
      <c r="L1930">
        <v>282.80849999999998</v>
      </c>
      <c r="M1930">
        <v>-0.99987720000000002</v>
      </c>
      <c r="N1930">
        <v>0</v>
      </c>
      <c r="O1930">
        <v>-1.420272E-2</v>
      </c>
      <c r="P1930">
        <v>-0.99954120000000002</v>
      </c>
      <c r="Q1930">
        <v>2.9247430000000001E-2</v>
      </c>
      <c r="R1930">
        <v>-7.8999450000000002E-3</v>
      </c>
      <c r="S1930">
        <v>-3.0018919999999998</v>
      </c>
      <c r="T1930">
        <v>-9.0347529999999995E-3</v>
      </c>
      <c r="U1930">
        <v>2.3895260000000001E-2</v>
      </c>
      <c r="V1930">
        <v>6.3233930000000001E-3</v>
      </c>
      <c r="W1930">
        <v>3.58746E-2</v>
      </c>
      <c r="X1930">
        <v>0.99933629999999996</v>
      </c>
      <c r="Y1930">
        <v>2.2161429999999999E-2</v>
      </c>
      <c r="Z1930" s="1">
        <v>7.6094279999999999E-5</v>
      </c>
      <c r="AA1930">
        <v>0.99975440000000004</v>
      </c>
      <c r="AB1930">
        <v>29</v>
      </c>
      <c r="AC1930">
        <v>-401.36619999999999</v>
      </c>
      <c r="AD1930">
        <v>-1.2088680000000001</v>
      </c>
      <c r="AE1930">
        <v>3.20120000000002</v>
      </c>
      <c r="AF1930">
        <v>8.9014131512329993</v>
      </c>
      <c r="AG1930">
        <v>-1.2088680000000001</v>
      </c>
      <c r="AH1930">
        <v>401.27660826900302</v>
      </c>
      <c r="AI1930">
        <v>90.172563734366804</v>
      </c>
      <c r="AJ1930">
        <v>88.729231246707599</v>
      </c>
      <c r="AK1930">
        <v>401.37714541538799</v>
      </c>
      <c r="AL1930">
        <v>87.944095693455793</v>
      </c>
      <c r="AM1930">
        <v>89.637460486663599</v>
      </c>
      <c r="AN1930">
        <v>1.00000000636094</v>
      </c>
    </row>
    <row r="1931" spans="1:40" x14ac:dyDescent="0.25">
      <c r="A1931" t="str">
        <f>"20190312151023453"</f>
        <v>20190312151023453</v>
      </c>
      <c r="B1931" t="str">
        <f>"1552374623442129"</f>
        <v>1552374623442129</v>
      </c>
      <c r="C1931" t="s">
        <v>40</v>
      </c>
      <c r="D1931">
        <v>5.286429</v>
      </c>
      <c r="E1931">
        <v>0.50714649999999994</v>
      </c>
      <c r="F1931" t="s">
        <v>47</v>
      </c>
      <c r="G1931">
        <v>-650.29340000000002</v>
      </c>
      <c r="H1931">
        <v>-0.1</v>
      </c>
      <c r="I1931">
        <v>286.66480000000001</v>
      </c>
      <c r="J1931">
        <v>-254.09899999999999</v>
      </c>
      <c r="K1931">
        <v>1.1088610000000001</v>
      </c>
      <c r="L1931">
        <v>282.80630000000002</v>
      </c>
      <c r="M1931">
        <v>-0.9998804</v>
      </c>
      <c r="N1931">
        <v>0</v>
      </c>
      <c r="O1931">
        <v>-1.3972490000000001E-2</v>
      </c>
      <c r="P1931">
        <v>-0.99955170000000004</v>
      </c>
      <c r="Q1931">
        <v>2.8971340000000002E-2</v>
      </c>
      <c r="R1931">
        <v>-7.5723079999999998E-3</v>
      </c>
      <c r="S1931">
        <v>-3.0018919999999998</v>
      </c>
      <c r="T1931">
        <v>-9.1552730000000002E-3</v>
      </c>
      <c r="U1931">
        <v>2.920532E-2</v>
      </c>
      <c r="V1931">
        <v>6.4214459999999999E-3</v>
      </c>
      <c r="W1931">
        <v>3.5607750000000001E-2</v>
      </c>
      <c r="X1931">
        <v>0.99934520000000004</v>
      </c>
      <c r="Y1931">
        <v>2.369953E-2</v>
      </c>
      <c r="Z1931" s="1">
        <v>7.8752199999999995E-5</v>
      </c>
      <c r="AA1931">
        <v>0.99971909999999997</v>
      </c>
      <c r="AB1931">
        <v>29</v>
      </c>
      <c r="AC1931">
        <v>-396.19439999999997</v>
      </c>
      <c r="AD1931">
        <v>-1.208861</v>
      </c>
      <c r="AE1931">
        <v>3.85849999999999</v>
      </c>
      <c r="AF1931">
        <v>9.3939798299503305</v>
      </c>
      <c r="AG1931">
        <v>-1.208861</v>
      </c>
      <c r="AH1931">
        <v>396.09812055542398</v>
      </c>
      <c r="AI1931">
        <v>90.174812613985395</v>
      </c>
      <c r="AJ1931">
        <v>88.641411077790707</v>
      </c>
      <c r="AK1931">
        <v>396.21134424635301</v>
      </c>
      <c r="AL1931">
        <v>87.959394809201001</v>
      </c>
      <c r="AM1931">
        <v>89.631842239711901</v>
      </c>
      <c r="AN1931">
        <v>0.99999998779591603</v>
      </c>
    </row>
    <row r="1932" spans="1:40" x14ac:dyDescent="0.25">
      <c r="A1932" t="str">
        <f>"20190312151023465"</f>
        <v>20190312151023465</v>
      </c>
      <c r="B1932" t="str">
        <f>"1552374623462625"</f>
        <v>1552374623462625</v>
      </c>
      <c r="C1932" t="s">
        <v>40</v>
      </c>
      <c r="D1932">
        <v>5.2855449999999999</v>
      </c>
      <c r="E1932">
        <v>0.50748729999999997</v>
      </c>
      <c r="F1932" t="s">
        <v>47</v>
      </c>
      <c r="G1932">
        <v>-626.42430000000002</v>
      </c>
      <c r="H1932">
        <v>-0.1</v>
      </c>
      <c r="I1932">
        <v>286.75029999999998</v>
      </c>
      <c r="J1932">
        <v>-254.2508</v>
      </c>
      <c r="K1932">
        <v>1.1088549999999999</v>
      </c>
      <c r="L1932">
        <v>282.80439999999999</v>
      </c>
      <c r="M1932">
        <v>-0.99988290000000002</v>
      </c>
      <c r="N1932">
        <v>0</v>
      </c>
      <c r="O1932">
        <v>-1.3770279999999999E-2</v>
      </c>
      <c r="P1932">
        <v>-0.99955819999999995</v>
      </c>
      <c r="Q1932">
        <v>2.8836629999999999E-2</v>
      </c>
      <c r="R1932">
        <v>-7.216971E-3</v>
      </c>
      <c r="S1932">
        <v>-3.0019070000000001</v>
      </c>
      <c r="T1932">
        <v>-9.7465520000000003E-3</v>
      </c>
      <c r="U1932">
        <v>3.1799319999999999E-2</v>
      </c>
      <c r="V1932">
        <v>6.5752900000000001E-3</v>
      </c>
      <c r="W1932">
        <v>3.5480499999999998E-2</v>
      </c>
      <c r="X1932">
        <v>0.99934880000000004</v>
      </c>
      <c r="Y1932">
        <v>2.4361049999999999E-2</v>
      </c>
      <c r="Z1932" s="1">
        <v>8.4254910000000006E-5</v>
      </c>
      <c r="AA1932">
        <v>0.99970320000000001</v>
      </c>
      <c r="AB1932">
        <v>29</v>
      </c>
      <c r="AC1932">
        <v>-372.17349999999999</v>
      </c>
      <c r="AD1932">
        <v>-1.208855</v>
      </c>
      <c r="AE1932">
        <v>3.9458999999999902</v>
      </c>
      <c r="AF1932">
        <v>9.0704776751593403</v>
      </c>
      <c r="AG1932">
        <v>-1.208855</v>
      </c>
      <c r="AH1932">
        <v>372.07994846434298</v>
      </c>
      <c r="AI1932">
        <v>90.186093002537007</v>
      </c>
      <c r="AJ1932">
        <v>88.603533516231195</v>
      </c>
      <c r="AK1932">
        <v>372.19245417511399</v>
      </c>
      <c r="AL1932">
        <v>87.966690458535297</v>
      </c>
      <c r="AM1932">
        <v>89.623023583147997</v>
      </c>
      <c r="AN1932">
        <v>1.0000000621901299</v>
      </c>
    </row>
    <row r="1933" spans="1:40" x14ac:dyDescent="0.25">
      <c r="A1933" t="str">
        <f>"20190312151023485"</f>
        <v>20190312151023485</v>
      </c>
      <c r="B1933" t="str">
        <f>"1552374623482145"</f>
        <v>1552374623482145</v>
      </c>
      <c r="C1933" t="s">
        <v>40</v>
      </c>
      <c r="D1933">
        <v>5.343102</v>
      </c>
      <c r="E1933">
        <v>0.50780099999999995</v>
      </c>
      <c r="F1933" t="s">
        <v>47</v>
      </c>
      <c r="G1933">
        <v>-625.4701</v>
      </c>
      <c r="H1933">
        <v>-0.1</v>
      </c>
      <c r="I1933">
        <v>287.18579999999997</v>
      </c>
      <c r="J1933">
        <v>-254.51439999999999</v>
      </c>
      <c r="K1933">
        <v>1.10884</v>
      </c>
      <c r="L1933">
        <v>282.80110000000002</v>
      </c>
      <c r="M1933">
        <v>-0.99988809999999995</v>
      </c>
      <c r="N1933">
        <v>0</v>
      </c>
      <c r="O1933">
        <v>-1.340507E-2</v>
      </c>
      <c r="P1933">
        <v>-0.99956460000000003</v>
      </c>
      <c r="Q1933">
        <v>2.8679619999999999E-2</v>
      </c>
      <c r="R1933">
        <v>-6.9453759999999996E-3</v>
      </c>
      <c r="S1933">
        <v>-3.001862</v>
      </c>
      <c r="T1933">
        <v>-9.7753999999999897E-3</v>
      </c>
      <c r="U1933">
        <v>3.5430910000000003E-2</v>
      </c>
      <c r="V1933">
        <v>6.4832129999999998E-3</v>
      </c>
      <c r="W1933">
        <v>3.5336109999999997E-2</v>
      </c>
      <c r="X1933">
        <v>0.99935450000000003</v>
      </c>
      <c r="Y1933">
        <v>2.5205330000000001E-2</v>
      </c>
      <c r="Z1933" s="1">
        <v>8.4690469999999901E-5</v>
      </c>
      <c r="AA1933">
        <v>0.99968230000000002</v>
      </c>
      <c r="AB1933">
        <v>29</v>
      </c>
      <c r="AC1933">
        <v>-370.95569999999998</v>
      </c>
      <c r="AD1933">
        <v>-1.2088399999999999</v>
      </c>
      <c r="AE1933">
        <v>4.3846999999999499</v>
      </c>
      <c r="AF1933">
        <v>9.3570034140401201</v>
      </c>
      <c r="AG1933">
        <v>-1.2088399999999999</v>
      </c>
      <c r="AH1933">
        <v>370.85965121855003</v>
      </c>
      <c r="AI1933">
        <v>90.186699065392901</v>
      </c>
      <c r="AJ1933">
        <v>88.554700988901004</v>
      </c>
      <c r="AK1933">
        <v>370.97964325415501</v>
      </c>
      <c r="AL1933">
        <v>87.974968551160401</v>
      </c>
      <c r="AM1933">
        <v>89.628304539008298</v>
      </c>
      <c r="AN1933">
        <v>1.00000004469549</v>
      </c>
    </row>
    <row r="1934" spans="1:40" x14ac:dyDescent="0.25">
      <c r="A1934" t="str">
        <f>"20190312151023498"</f>
        <v>20190312151023498</v>
      </c>
      <c r="B1934" t="str">
        <f>"1552374623492881"</f>
        <v>1552374623492881</v>
      </c>
      <c r="C1934" t="s">
        <v>40</v>
      </c>
      <c r="D1934">
        <v>5.1999060000000004</v>
      </c>
      <c r="E1934">
        <v>0.50795170000000001</v>
      </c>
      <c r="F1934" t="s">
        <v>47</v>
      </c>
      <c r="G1934">
        <v>-619.52829999999994</v>
      </c>
      <c r="H1934">
        <v>-0.1</v>
      </c>
      <c r="I1934">
        <v>287.52859999999998</v>
      </c>
      <c r="J1934">
        <v>-254.68299999999999</v>
      </c>
      <c r="K1934">
        <v>1.108827</v>
      </c>
      <c r="L1934">
        <v>282.79899999999998</v>
      </c>
      <c r="M1934">
        <v>-0.99989130000000004</v>
      </c>
      <c r="N1934">
        <v>0</v>
      </c>
      <c r="O1934">
        <v>-1.316122E-2</v>
      </c>
      <c r="P1934">
        <v>-0.99956330000000004</v>
      </c>
      <c r="Q1934">
        <v>2.8753190000000001E-2</v>
      </c>
      <c r="R1934">
        <v>-6.8496199999999998E-3</v>
      </c>
      <c r="S1934">
        <v>-3.001862</v>
      </c>
      <c r="T1934">
        <v>-9.9414589999999997E-3</v>
      </c>
      <c r="U1934">
        <v>3.887939E-2</v>
      </c>
      <c r="V1934">
        <v>6.3362649999999998E-3</v>
      </c>
      <c r="W1934">
        <v>3.54176E-2</v>
      </c>
      <c r="X1934">
        <v>0.99935249999999998</v>
      </c>
      <c r="Y1934">
        <v>2.6109750000000001E-2</v>
      </c>
      <c r="Z1934" s="1">
        <v>8.6818619999999997E-5</v>
      </c>
      <c r="AA1934">
        <v>0.99965910000000002</v>
      </c>
      <c r="AB1934">
        <v>29</v>
      </c>
      <c r="AC1934">
        <v>-364.84530000000001</v>
      </c>
      <c r="AD1934">
        <v>-1.2088270000000001</v>
      </c>
      <c r="AE1934">
        <v>4.7295999999999401</v>
      </c>
      <c r="AF1934">
        <v>9.5310010400360294</v>
      </c>
      <c r="AG1934">
        <v>-1.2088270000000001</v>
      </c>
      <c r="AH1934">
        <v>364.74744631060503</v>
      </c>
      <c r="AI1934">
        <v>90.189821201504301</v>
      </c>
      <c r="AJ1934">
        <v>88.503178290549698</v>
      </c>
      <c r="AK1934">
        <v>364.87395198019902</v>
      </c>
      <c r="AL1934">
        <v>87.970296476596701</v>
      </c>
      <c r="AM1934">
        <v>89.636728403936303</v>
      </c>
      <c r="AN1934">
        <v>0.99999998695007997</v>
      </c>
    </row>
    <row r="1935" spans="1:40" x14ac:dyDescent="0.25">
      <c r="A1935" t="str">
        <f>"20190312151023510"</f>
        <v>20190312151023510</v>
      </c>
      <c r="B1935" t="str">
        <f>"1552374623502641"</f>
        <v>1552374623502641</v>
      </c>
      <c r="C1935" t="s">
        <v>40</v>
      </c>
      <c r="D1935">
        <v>5.5872650000000004</v>
      </c>
      <c r="E1935">
        <v>0.50811790000000001</v>
      </c>
      <c r="F1935" t="s">
        <v>47</v>
      </c>
      <c r="G1935">
        <v>-643.36990000000003</v>
      </c>
      <c r="H1935">
        <v>-0.1</v>
      </c>
      <c r="I1935">
        <v>288.00700000000001</v>
      </c>
      <c r="J1935">
        <v>-254.8537</v>
      </c>
      <c r="K1935">
        <v>1.108811</v>
      </c>
      <c r="L1935">
        <v>282.79700000000003</v>
      </c>
      <c r="M1935">
        <v>-0.99989459999999997</v>
      </c>
      <c r="N1935">
        <v>0</v>
      </c>
      <c r="O1935">
        <v>-1.289554E-2</v>
      </c>
      <c r="P1935">
        <v>-0.99955950000000005</v>
      </c>
      <c r="Q1935">
        <v>2.888232E-2</v>
      </c>
      <c r="R1935">
        <v>-6.8481779999999999E-3</v>
      </c>
      <c r="S1935">
        <v>-3.001862</v>
      </c>
      <c r="T1935">
        <v>-9.3358759999999999E-3</v>
      </c>
      <c r="U1935">
        <v>4.0222170000000002E-2</v>
      </c>
      <c r="V1935">
        <v>6.073625E-3</v>
      </c>
      <c r="W1935">
        <v>3.5554370000000002E-2</v>
      </c>
      <c r="X1935">
        <v>0.9993493</v>
      </c>
      <c r="Y1935">
        <v>2.629124E-2</v>
      </c>
      <c r="Z1935" s="1">
        <v>8.0985850000000003E-5</v>
      </c>
      <c r="AA1935">
        <v>0.9996543</v>
      </c>
      <c r="AB1935">
        <v>30</v>
      </c>
      <c r="AC1935">
        <v>-388.51620000000003</v>
      </c>
      <c r="AD1935">
        <v>-1.2088110000000001</v>
      </c>
      <c r="AE1935">
        <v>5.2099999999999804</v>
      </c>
      <c r="AF1935">
        <v>10.219705511711</v>
      </c>
      <c r="AG1935">
        <v>-1.2088110000000001</v>
      </c>
      <c r="AH1935">
        <v>388.41294645783103</v>
      </c>
      <c r="AI1935">
        <v>90.178252512513794</v>
      </c>
      <c r="AJ1935">
        <v>88.492813042993504</v>
      </c>
      <c r="AK1935">
        <v>388.54925116493803</v>
      </c>
      <c r="AL1935">
        <v>87.9624552467303</v>
      </c>
      <c r="AM1935">
        <v>89.651784621917201</v>
      </c>
      <c r="AN1935">
        <v>1.0000000127786099</v>
      </c>
    </row>
    <row r="1936" spans="1:40" x14ac:dyDescent="0.25">
      <c r="A1936" t="str">
        <f>"20190312151023529"</f>
        <v>20190312151023529</v>
      </c>
      <c r="B1936" t="str">
        <f>"1552374623522170"</f>
        <v>1552374623522170</v>
      </c>
      <c r="C1936" t="s">
        <v>40</v>
      </c>
      <c r="D1936">
        <v>5.5913659999999998</v>
      </c>
      <c r="E1936">
        <v>0.50824239999999998</v>
      </c>
      <c r="F1936" t="s">
        <v>47</v>
      </c>
      <c r="G1936">
        <v>-659.67319999999995</v>
      </c>
      <c r="H1936">
        <v>-0.1</v>
      </c>
      <c r="I1936">
        <v>288.41050000000001</v>
      </c>
      <c r="J1936">
        <v>-255.11019999999999</v>
      </c>
      <c r="K1936">
        <v>1.108781</v>
      </c>
      <c r="L1936">
        <v>282.79410000000001</v>
      </c>
      <c r="M1936">
        <v>-0.99989980000000001</v>
      </c>
      <c r="N1936">
        <v>0</v>
      </c>
      <c r="O1936">
        <v>-1.247674E-2</v>
      </c>
      <c r="P1936">
        <v>-0.99956160000000005</v>
      </c>
      <c r="Q1936">
        <v>2.8831519999999999E-2</v>
      </c>
      <c r="R1936">
        <v>-6.7565660000000003E-3</v>
      </c>
      <c r="S1936">
        <v>-3.001862</v>
      </c>
      <c r="T1936">
        <v>-8.9637039999999994E-3</v>
      </c>
      <c r="U1936">
        <v>4.162598E-2</v>
      </c>
      <c r="V1936">
        <v>5.7485610000000001E-3</v>
      </c>
      <c r="W1936">
        <v>3.5514820000000002E-2</v>
      </c>
      <c r="X1936">
        <v>0.99935260000000004</v>
      </c>
      <c r="Y1936">
        <v>2.6339950000000001E-2</v>
      </c>
      <c r="Z1936" s="1">
        <v>7.657939E-5</v>
      </c>
      <c r="AA1936">
        <v>0.99965300000000001</v>
      </c>
      <c r="AB1936">
        <v>30</v>
      </c>
      <c r="AC1936">
        <v>-404.56299999999999</v>
      </c>
      <c r="AD1936">
        <v>-1.2087809999999899</v>
      </c>
      <c r="AE1936">
        <v>5.6163999999999898</v>
      </c>
      <c r="AF1936">
        <v>10.6636078698094</v>
      </c>
      <c r="AG1936">
        <v>-1.2087809999999899</v>
      </c>
      <c r="AH1936">
        <v>404.45782242561597</v>
      </c>
      <c r="AI1936">
        <v>90.171176772776207</v>
      </c>
      <c r="AJ1936">
        <v>88.489735686346094</v>
      </c>
      <c r="AK1936">
        <v>404.60017771323101</v>
      </c>
      <c r="AL1936">
        <v>87.964722667729603</v>
      </c>
      <c r="AM1936">
        <v>89.670421980342994</v>
      </c>
      <c r="AN1936">
        <v>0.999999983759981</v>
      </c>
    </row>
    <row r="1937" spans="1:40" x14ac:dyDescent="0.25">
      <c r="A1937" t="str">
        <f>"20190312151023553"</f>
        <v>20190312151023553</v>
      </c>
      <c r="B1937" t="str">
        <f>"1552374623542656"</f>
        <v>1552374623542656</v>
      </c>
      <c r="C1937" t="s">
        <v>40</v>
      </c>
      <c r="D1937">
        <v>5.1782510000000004</v>
      </c>
      <c r="E1937">
        <v>0.51882269999999997</v>
      </c>
      <c r="F1937" t="s">
        <v>47</v>
      </c>
      <c r="G1937">
        <v>-670.10239999999999</v>
      </c>
      <c r="H1937">
        <v>-0.1</v>
      </c>
      <c r="I1937">
        <v>288.71319999999997</v>
      </c>
      <c r="J1937">
        <v>-255.41739999999999</v>
      </c>
      <c r="K1937">
        <v>1.1087419999999999</v>
      </c>
      <c r="L1937">
        <v>282.79079999999999</v>
      </c>
      <c r="M1937">
        <v>-0.99990639999999997</v>
      </c>
      <c r="N1937">
        <v>0</v>
      </c>
      <c r="O1937">
        <v>-1.1933549999999999E-2</v>
      </c>
      <c r="P1937">
        <v>-0.99955510000000003</v>
      </c>
      <c r="Q1937">
        <v>2.9093000000000001E-2</v>
      </c>
      <c r="R1937">
        <v>-6.6075350000000003E-3</v>
      </c>
      <c r="S1937">
        <v>-3.001862</v>
      </c>
      <c r="T1937">
        <v>-8.7437629999999999E-3</v>
      </c>
      <c r="U1937">
        <v>4.2816159999999999E-2</v>
      </c>
      <c r="V1937">
        <v>5.3579129999999997E-3</v>
      </c>
      <c r="W1937">
        <v>3.5790259999999997E-2</v>
      </c>
      <c r="X1937">
        <v>0.99934489999999998</v>
      </c>
      <c r="Y1937">
        <v>2.619318E-2</v>
      </c>
      <c r="Z1937" s="1">
        <v>7.2904320000000001E-5</v>
      </c>
      <c r="AA1937">
        <v>0.99965689999999996</v>
      </c>
      <c r="AB1937">
        <v>30</v>
      </c>
      <c r="AC1937">
        <v>-414.685</v>
      </c>
      <c r="AD1937">
        <v>-1.208742</v>
      </c>
      <c r="AE1937">
        <v>5.9223999999999801</v>
      </c>
      <c r="AF1937">
        <v>10.8706609111065</v>
      </c>
      <c r="AG1937">
        <v>-1.208742</v>
      </c>
      <c r="AH1937">
        <v>414.58127152694999</v>
      </c>
      <c r="AI1937">
        <v>90.1669921637464</v>
      </c>
      <c r="AJ1937">
        <v>88.498001837098101</v>
      </c>
      <c r="AK1937">
        <v>414.72552733919099</v>
      </c>
      <c r="AL1937">
        <v>87.9489309876314</v>
      </c>
      <c r="AM1937">
        <v>89.692815903172601</v>
      </c>
      <c r="AN1937">
        <v>0.999999939549294</v>
      </c>
    </row>
    <row r="1938" spans="1:40" x14ac:dyDescent="0.25">
      <c r="A1938" t="str">
        <f>"20190312151023576"</f>
        <v>20190312151023576</v>
      </c>
      <c r="B1938" t="str">
        <f>"1552374623572457"</f>
        <v>1552374623572457</v>
      </c>
      <c r="C1938" t="s">
        <v>40</v>
      </c>
      <c r="D1938">
        <v>5.6068480000000003</v>
      </c>
      <c r="E1938">
        <v>0.51811560000000001</v>
      </c>
      <c r="F1938" t="s">
        <v>41</v>
      </c>
      <c r="G1938">
        <v>-256.21690000000001</v>
      </c>
      <c r="H1938">
        <v>1.0545180000000001</v>
      </c>
      <c r="I1938">
        <v>282.82350000000002</v>
      </c>
      <c r="J1938">
        <v>-255.7159</v>
      </c>
      <c r="K1938">
        <v>1.108708</v>
      </c>
      <c r="L1938">
        <v>282.7878</v>
      </c>
      <c r="M1938">
        <v>-0.99991300000000005</v>
      </c>
      <c r="N1938">
        <v>0</v>
      </c>
      <c r="O1938">
        <v>-1.135911E-2</v>
      </c>
      <c r="P1938">
        <v>-0.9995581</v>
      </c>
      <c r="Q1938">
        <v>2.9002429999999999E-2</v>
      </c>
      <c r="R1938">
        <v>-6.5319109999999996E-3</v>
      </c>
      <c r="S1938">
        <v>-3.0080870000000002</v>
      </c>
      <c r="T1938">
        <v>-0.20412520000000001</v>
      </c>
      <c r="U1938">
        <v>0.1221008</v>
      </c>
      <c r="V1938">
        <v>4.8622179999999997E-3</v>
      </c>
      <c r="W1938">
        <v>3.5713050000000003E-2</v>
      </c>
      <c r="X1938">
        <v>0.99935019999999997</v>
      </c>
      <c r="Y1938">
        <v>5.1759930000000003E-2</v>
      </c>
      <c r="Z1938">
        <v>2.5231099999999998E-3</v>
      </c>
      <c r="AA1938">
        <v>0.9986564</v>
      </c>
      <c r="AB1938">
        <v>30</v>
      </c>
      <c r="AC1938">
        <v>-0.501000000000004</v>
      </c>
      <c r="AD1938">
        <v>-5.4189999999999898E-2</v>
      </c>
      <c r="AE1938">
        <v>3.5700000000019799E-2</v>
      </c>
      <c r="AF1938">
        <v>4.09125058797375E-2</v>
      </c>
      <c r="AG1938">
        <v>-5.4189999999999898E-2</v>
      </c>
      <c r="AH1938">
        <v>0.49480250898441103</v>
      </c>
      <c r="AI1938">
        <v>96.2289470986628</v>
      </c>
      <c r="AJ1938">
        <v>85.273278416136804</v>
      </c>
      <c r="AK1938">
        <v>0.49943959808431998</v>
      </c>
      <c r="AL1938">
        <v>87.953357631356496</v>
      </c>
      <c r="AM1938">
        <v>89.721236487175901</v>
      </c>
      <c r="AN1938">
        <v>0.99999994267210901</v>
      </c>
    </row>
    <row r="1939" spans="1:40" x14ac:dyDescent="0.25">
      <c r="A1939" t="str">
        <f>"20190312151023597"</f>
        <v>20190312151023597</v>
      </c>
      <c r="B1939" t="str">
        <f>"1552374623592954"</f>
        <v>1552374623592954</v>
      </c>
      <c r="C1939" t="s">
        <v>40</v>
      </c>
      <c r="D1939">
        <v>5.3799919999999997</v>
      </c>
      <c r="E1939">
        <v>0.51861069999999998</v>
      </c>
      <c r="F1939" t="s">
        <v>52</v>
      </c>
      <c r="G1939">
        <v>-272.30090000000001</v>
      </c>
      <c r="H1939" s="1">
        <v>-2.6064090000000002E-7</v>
      </c>
      <c r="I1939">
        <v>283.43259999999998</v>
      </c>
      <c r="J1939">
        <v>-256.01260000000002</v>
      </c>
      <c r="K1939">
        <v>1.108671</v>
      </c>
      <c r="L1939">
        <v>282.78500000000003</v>
      </c>
      <c r="M1939">
        <v>-0.99991969999999997</v>
      </c>
      <c r="N1939">
        <v>0</v>
      </c>
      <c r="O1939">
        <v>-1.0744739999999999E-2</v>
      </c>
      <c r="P1939">
        <v>-0.99956330000000004</v>
      </c>
      <c r="Q1939">
        <v>2.8980740000000001E-2</v>
      </c>
      <c r="R1939">
        <v>-5.8017370000000004E-3</v>
      </c>
      <c r="S1939">
        <v>-3.0079349999999998</v>
      </c>
      <c r="T1939">
        <v>-0.20108029999999999</v>
      </c>
      <c r="U1939">
        <v>0.1169434</v>
      </c>
      <c r="V1939">
        <v>4.9813820000000003E-3</v>
      </c>
      <c r="W1939">
        <v>3.5703520000000002E-2</v>
      </c>
      <c r="X1939">
        <v>0.99934999999999996</v>
      </c>
      <c r="Y1939">
        <v>4.9449420000000001E-2</v>
      </c>
      <c r="Z1939">
        <v>2.3676410000000002E-3</v>
      </c>
      <c r="AA1939">
        <v>0.99877380000000004</v>
      </c>
      <c r="AB1939">
        <v>30</v>
      </c>
      <c r="AC1939">
        <v>-16.2882999999999</v>
      </c>
      <c r="AD1939">
        <v>-1.1086712606408999</v>
      </c>
      <c r="AE1939">
        <v>0.64759999999995399</v>
      </c>
      <c r="AF1939">
        <v>0.81879270609358601</v>
      </c>
      <c r="AG1939">
        <v>-1.1086712606408999</v>
      </c>
      <c r="AH1939">
        <v>16.205441349469201</v>
      </c>
      <c r="AI1939">
        <v>93.908736997888894</v>
      </c>
      <c r="AJ1939">
        <v>87.107545214704203</v>
      </c>
      <c r="AK1939">
        <v>16.2639448717342</v>
      </c>
      <c r="AL1939">
        <v>87.953904103454406</v>
      </c>
      <c r="AM1939">
        <v>89.714404562014593</v>
      </c>
      <c r="AN1939">
        <v>0.99999998900350995</v>
      </c>
    </row>
    <row r="1940" spans="1:40" x14ac:dyDescent="0.25">
      <c r="A1940" t="str">
        <f>"20190312151023621"</f>
        <v>20190312151023621</v>
      </c>
      <c r="B1940" t="str">
        <f>"1552374623612474"</f>
        <v>1552374623612474</v>
      </c>
      <c r="C1940" t="s">
        <v>40</v>
      </c>
      <c r="D1940">
        <v>5.3222959999999997</v>
      </c>
      <c r="E1940">
        <v>0.522227</v>
      </c>
      <c r="F1940" t="s">
        <v>52</v>
      </c>
      <c r="G1940">
        <v>-273.18400000000003</v>
      </c>
      <c r="H1940" s="1">
        <v>2.0693769999999999E-7</v>
      </c>
      <c r="I1940">
        <v>283.48719999999997</v>
      </c>
      <c r="J1940">
        <v>-256.31490000000002</v>
      </c>
      <c r="K1940">
        <v>1.108636</v>
      </c>
      <c r="L1940">
        <v>282.78250000000003</v>
      </c>
      <c r="M1940">
        <v>-0.99992650000000005</v>
      </c>
      <c r="N1940">
        <v>0</v>
      </c>
      <c r="O1940">
        <v>-1.0074949999999999E-2</v>
      </c>
      <c r="P1940">
        <v>-0.99956529999999999</v>
      </c>
      <c r="Q1940">
        <v>2.904698E-2</v>
      </c>
      <c r="R1940">
        <v>-5.0526950000000003E-3</v>
      </c>
      <c r="S1940">
        <v>-3.00766</v>
      </c>
      <c r="T1940">
        <v>-0.19418940000000001</v>
      </c>
      <c r="U1940">
        <v>0.12298580000000001</v>
      </c>
      <c r="V1940">
        <v>5.0640759999999998E-3</v>
      </c>
      <c r="W1940">
        <v>3.5781680000000003E-2</v>
      </c>
      <c r="X1940">
        <v>0.99934679999999998</v>
      </c>
      <c r="Y1940">
        <v>5.0794880000000001E-2</v>
      </c>
      <c r="Z1940">
        <v>2.2869790000000002E-3</v>
      </c>
      <c r="AA1940">
        <v>0.99870650000000005</v>
      </c>
      <c r="AB1940">
        <v>30</v>
      </c>
      <c r="AC1940">
        <v>-16.8691</v>
      </c>
      <c r="AD1940">
        <v>-1.1086357930623001</v>
      </c>
      <c r="AE1940">
        <v>0.70469999999994504</v>
      </c>
      <c r="AF1940">
        <v>0.87086861496999901</v>
      </c>
      <c r="AG1940">
        <v>-1.1086357930623001</v>
      </c>
      <c r="AH1940">
        <v>16.788757695664899</v>
      </c>
      <c r="AI1940">
        <v>93.772950381080193</v>
      </c>
      <c r="AJ1940">
        <v>87.030607257436699</v>
      </c>
      <c r="AK1940">
        <v>16.847844682034101</v>
      </c>
      <c r="AL1940">
        <v>87.949423024706306</v>
      </c>
      <c r="AM1940">
        <v>89.709662653204205</v>
      </c>
      <c r="AN1940">
        <v>1.00000000007979</v>
      </c>
    </row>
    <row r="1941" spans="1:40" x14ac:dyDescent="0.25">
      <c r="A1941" t="str">
        <f>"20190312151023642"</f>
        <v>20190312151023642</v>
      </c>
      <c r="B1941" t="str">
        <f>"1552374623632969"</f>
        <v>1552374623632969</v>
      </c>
      <c r="C1941" t="s">
        <v>40</v>
      </c>
      <c r="D1941">
        <v>5.32254</v>
      </c>
      <c r="E1941">
        <v>0.52152900000000002</v>
      </c>
      <c r="F1941" t="s">
        <v>64</v>
      </c>
      <c r="G1941">
        <v>-510.95389999999998</v>
      </c>
      <c r="H1941">
        <v>0.75080480000000005</v>
      </c>
      <c r="I1941">
        <v>296.30169999999998</v>
      </c>
      <c r="J1941">
        <v>-256.61790000000002</v>
      </c>
      <c r="K1941">
        <v>1.108603</v>
      </c>
      <c r="L1941">
        <v>282.7801</v>
      </c>
      <c r="M1941">
        <v>-0.99993339999999997</v>
      </c>
      <c r="N1941">
        <v>0</v>
      </c>
      <c r="O1941">
        <v>-9.3719400000000005E-3</v>
      </c>
      <c r="P1941">
        <v>-0.99956509999999998</v>
      </c>
      <c r="Q1941">
        <v>2.9198499999999999E-2</v>
      </c>
      <c r="R1941">
        <v>-4.1739159999999997E-3</v>
      </c>
      <c r="S1941">
        <v>-3.0022280000000001</v>
      </c>
      <c r="T1941">
        <v>-4.2178629999999996E-3</v>
      </c>
      <c r="U1941">
        <v>0.15939329999999999</v>
      </c>
      <c r="V1941">
        <v>5.2429900000000003E-3</v>
      </c>
      <c r="W1941">
        <v>3.5945129999999999E-2</v>
      </c>
      <c r="X1941">
        <v>0.99934000000000001</v>
      </c>
      <c r="Y1941">
        <v>6.2373579999999998E-2</v>
      </c>
      <c r="Z1941" s="1">
        <v>5.6942260000000003E-5</v>
      </c>
      <c r="AA1941">
        <v>0.99805290000000002</v>
      </c>
      <c r="AB1941">
        <v>30</v>
      </c>
      <c r="AC1941">
        <v>-254.33600000000001</v>
      </c>
      <c r="AD1941">
        <v>-0.35779820000000001</v>
      </c>
      <c r="AE1941">
        <v>13.5215999999999</v>
      </c>
      <c r="AF1941">
        <v>15.9046505462249</v>
      </c>
      <c r="AG1941">
        <v>-0.35779820000000001</v>
      </c>
      <c r="AH1941">
        <v>254.19760151349999</v>
      </c>
      <c r="AI1941">
        <v>90.080489759456299</v>
      </c>
      <c r="AJ1941">
        <v>86.419781317302807</v>
      </c>
      <c r="AK1941">
        <v>254.69492838249801</v>
      </c>
      <c r="AL1941">
        <v>87.940051977215006</v>
      </c>
      <c r="AM1941">
        <v>89.699403163220495</v>
      </c>
      <c r="AN1941">
        <v>0.99999998845742799</v>
      </c>
    </row>
    <row r="1942" spans="1:40" x14ac:dyDescent="0.25">
      <c r="A1942" t="str">
        <f>"20190312151023664"</f>
        <v>20190312151023664</v>
      </c>
      <c r="B1942" t="str">
        <f>"1552374623652489"</f>
        <v>1552374623652489</v>
      </c>
      <c r="C1942" t="s">
        <v>40</v>
      </c>
      <c r="D1942">
        <v>5.2659710000000004</v>
      </c>
      <c r="E1942">
        <v>0.52151570000000003</v>
      </c>
      <c r="F1942" t="s">
        <v>64</v>
      </c>
      <c r="G1942">
        <v>-510.95400000000001</v>
      </c>
      <c r="H1942">
        <v>1.0645929999999999</v>
      </c>
      <c r="I1942">
        <v>296.05419999999998</v>
      </c>
      <c r="J1942">
        <v>-256.91019999999997</v>
      </c>
      <c r="K1942">
        <v>1.1085879999999999</v>
      </c>
      <c r="L1942">
        <v>282.77800000000002</v>
      </c>
      <c r="M1942">
        <v>-0.99993940000000003</v>
      </c>
      <c r="N1942">
        <v>0</v>
      </c>
      <c r="O1942">
        <v>-8.6719550000000003E-3</v>
      </c>
      <c r="P1942">
        <v>-0.99955340000000004</v>
      </c>
      <c r="Q1942">
        <v>2.9663800000000001E-2</v>
      </c>
      <c r="R1942">
        <v>-3.6275259999999998E-3</v>
      </c>
      <c r="S1942">
        <v>-3.0019840000000002</v>
      </c>
      <c r="T1942">
        <v>-5.1844119999999998E-4</v>
      </c>
      <c r="U1942">
        <v>0.15667719999999999</v>
      </c>
      <c r="V1942">
        <v>5.0919950000000002E-3</v>
      </c>
      <c r="W1942">
        <v>3.6422129999999997E-2</v>
      </c>
      <c r="X1942">
        <v>0.99932350000000003</v>
      </c>
      <c r="Y1942">
        <v>6.077871E-2</v>
      </c>
      <c r="Z1942" s="1">
        <v>6.7413879999999899E-6</v>
      </c>
      <c r="AA1942">
        <v>0.99815120000000002</v>
      </c>
      <c r="AB1942">
        <v>30</v>
      </c>
      <c r="AC1942">
        <v>-254.0438</v>
      </c>
      <c r="AD1942">
        <v>-4.3994999999999701E-2</v>
      </c>
      <c r="AE1942">
        <v>13.2761999999999</v>
      </c>
      <c r="AF1942">
        <v>15.4788073675037</v>
      </c>
      <c r="AG1942">
        <v>-4.3994999999999701E-2</v>
      </c>
      <c r="AH1942">
        <v>253.91910612681301</v>
      </c>
      <c r="AI1942">
        <v>90.009908892804106</v>
      </c>
      <c r="AJ1942">
        <v>86.511588937938896</v>
      </c>
      <c r="AK1942">
        <v>254.39046340089101</v>
      </c>
      <c r="AL1942">
        <v>87.912703961048905</v>
      </c>
      <c r="AM1942">
        <v>89.7080552014544</v>
      </c>
      <c r="AN1942">
        <v>0.99999997880953295</v>
      </c>
    </row>
    <row r="1943" spans="1:40" x14ac:dyDescent="0.25">
      <c r="A1943" t="str">
        <f>"20190312151023685"</f>
        <v>20190312151023685</v>
      </c>
      <c r="B1943" t="str">
        <f>"1552374623682745"</f>
        <v>1552374623682745</v>
      </c>
      <c r="C1943" t="s">
        <v>40</v>
      </c>
      <c r="D1943">
        <v>5.2039629999999999</v>
      </c>
      <c r="E1943">
        <v>0.52133629999999997</v>
      </c>
      <c r="F1943" t="s">
        <v>64</v>
      </c>
      <c r="G1943">
        <v>-510.95400000000001</v>
      </c>
      <c r="H1943">
        <v>1.319143</v>
      </c>
      <c r="I1943">
        <v>296.18220000000002</v>
      </c>
      <c r="J1943">
        <v>-257.20549999999997</v>
      </c>
      <c r="K1943">
        <v>1.1085739999999999</v>
      </c>
      <c r="L1943">
        <v>282.77620000000002</v>
      </c>
      <c r="M1943">
        <v>-0.99994539999999998</v>
      </c>
      <c r="N1943">
        <v>0</v>
      </c>
      <c r="O1943">
        <v>-7.9510280000000006E-3</v>
      </c>
      <c r="P1943">
        <v>-0.99953630000000004</v>
      </c>
      <c r="Q1943">
        <v>3.0327099999999999E-2</v>
      </c>
      <c r="R1943">
        <v>-2.7299009999999999E-3</v>
      </c>
      <c r="S1943">
        <v>-3.0018310000000001</v>
      </c>
      <c r="T1943">
        <v>2.488971E-3</v>
      </c>
      <c r="U1943">
        <v>0.1583862</v>
      </c>
      <c r="V1943">
        <v>5.2712870000000004E-3</v>
      </c>
      <c r="W1943">
        <v>3.7096400000000002E-2</v>
      </c>
      <c r="X1943">
        <v>0.99929780000000001</v>
      </c>
      <c r="Y1943">
        <v>6.0628389999999997E-2</v>
      </c>
      <c r="Z1943" s="1">
        <v>-3.170603E-5</v>
      </c>
      <c r="AA1943">
        <v>0.99816039999999995</v>
      </c>
      <c r="AB1943">
        <v>30</v>
      </c>
      <c r="AC1943">
        <v>-253.74850000000001</v>
      </c>
      <c r="AD1943">
        <v>0.21056900000000001</v>
      </c>
      <c r="AE1943">
        <v>13.406000000000001</v>
      </c>
      <c r="AF1943">
        <v>15.423173438643101</v>
      </c>
      <c r="AG1943">
        <v>0.21056900000000001</v>
      </c>
      <c r="AH1943">
        <v>253.63371055680901</v>
      </c>
      <c r="AI1943">
        <v>89.9525202389691</v>
      </c>
      <c r="AJ1943">
        <v>86.520194612910998</v>
      </c>
      <c r="AK1943">
        <v>254.102297803537</v>
      </c>
      <c r="AL1943">
        <v>87.874045075519803</v>
      </c>
      <c r="AM1943">
        <v>89.697768076306303</v>
      </c>
      <c r="AN1943">
        <v>1.0000000112222101</v>
      </c>
    </row>
    <row r="1944" spans="1:40" x14ac:dyDescent="0.25">
      <c r="A1944" t="str">
        <f>"20190312151023708"</f>
        <v>20190312151023708</v>
      </c>
      <c r="B1944" t="str">
        <f>"1552374623702265"</f>
        <v>1552374623702265</v>
      </c>
      <c r="C1944" t="s">
        <v>40</v>
      </c>
      <c r="D1944">
        <v>5.4006769999999999</v>
      </c>
      <c r="E1944">
        <v>0.52054579999999995</v>
      </c>
      <c r="F1944" t="s">
        <v>64</v>
      </c>
      <c r="G1944">
        <v>-510.95400000000001</v>
      </c>
      <c r="H1944">
        <v>1.3051950000000001</v>
      </c>
      <c r="I1944">
        <v>296.25290000000001</v>
      </c>
      <c r="J1944">
        <v>-257.50720000000001</v>
      </c>
      <c r="K1944">
        <v>1.1085670000000001</v>
      </c>
      <c r="L1944">
        <v>282.77449999999999</v>
      </c>
      <c r="M1944">
        <v>-0.99995089999999998</v>
      </c>
      <c r="N1944">
        <v>0</v>
      </c>
      <c r="O1944">
        <v>-7.2064059999999899E-3</v>
      </c>
      <c r="P1944">
        <v>-0.99953420000000004</v>
      </c>
      <c r="Q1944">
        <v>3.047482E-2</v>
      </c>
      <c r="R1944">
        <v>-1.7108239999999999E-3</v>
      </c>
      <c r="S1944">
        <v>-3.0017399999999999</v>
      </c>
      <c r="T1944">
        <v>2.3269649999999998E-3</v>
      </c>
      <c r="U1944">
        <v>0.15942379999999901</v>
      </c>
      <c r="V1944">
        <v>5.5473579999999996E-3</v>
      </c>
      <c r="W1944">
        <v>3.7255549999999998E-2</v>
      </c>
      <c r="X1944">
        <v>0.99929029999999996</v>
      </c>
      <c r="Y1944">
        <v>6.0230779999999998E-2</v>
      </c>
      <c r="Z1944" s="1">
        <v>-2.891205E-5</v>
      </c>
      <c r="AA1944">
        <v>0.99818450000000003</v>
      </c>
      <c r="AB1944">
        <v>30</v>
      </c>
      <c r="AC1944">
        <v>-253.4468</v>
      </c>
      <c r="AD1944">
        <v>0.196628</v>
      </c>
      <c r="AE1944">
        <v>13.478400000000001</v>
      </c>
      <c r="AF1944">
        <v>15.304523603608899</v>
      </c>
      <c r="AG1944">
        <v>0.196628</v>
      </c>
      <c r="AH1944">
        <v>253.34293344989001</v>
      </c>
      <c r="AI1944">
        <v>89.955611742503095</v>
      </c>
      <c r="AJ1944">
        <v>86.542945858652701</v>
      </c>
      <c r="AK1944">
        <v>253.80486408715501</v>
      </c>
      <c r="AL1944">
        <v>87.864919963431902</v>
      </c>
      <c r="AM1944">
        <v>89.681937334968694</v>
      </c>
      <c r="AN1944">
        <v>0.99999992643033297</v>
      </c>
    </row>
    <row r="1945" spans="1:40" x14ac:dyDescent="0.25">
      <c r="A1945" t="str">
        <f>"20190312151023719"</f>
        <v>20190312151023719</v>
      </c>
      <c r="B1945" t="str">
        <f>"1552374623713002"</f>
        <v>1552374623713002</v>
      </c>
      <c r="C1945" t="s">
        <v>40</v>
      </c>
      <c r="D1945">
        <v>5.6878299999999999</v>
      </c>
      <c r="E1945">
        <v>0.51981769999999905</v>
      </c>
      <c r="F1945" t="s">
        <v>52</v>
      </c>
      <c r="G1945">
        <v>-459.84539999999998</v>
      </c>
      <c r="H1945">
        <v>8.0001059999999999E-2</v>
      </c>
      <c r="I1945">
        <v>293.27460000000002</v>
      </c>
      <c r="J1945">
        <v>-257.66969999999998</v>
      </c>
      <c r="K1945">
        <v>1.10856</v>
      </c>
      <c r="L1945">
        <v>282.77370000000002</v>
      </c>
      <c r="M1945">
        <v>-0.9999538</v>
      </c>
      <c r="N1945">
        <v>0</v>
      </c>
      <c r="O1945">
        <v>-6.803824E-3</v>
      </c>
      <c r="P1945">
        <v>-0.99953320000000001</v>
      </c>
      <c r="Q1945">
        <v>3.0521369999999999E-2</v>
      </c>
      <c r="R1945">
        <v>-1.3909180000000001E-3</v>
      </c>
      <c r="S1945">
        <v>-3.0021360000000001</v>
      </c>
      <c r="T1945">
        <v>-1.526105E-2</v>
      </c>
      <c r="U1945">
        <v>0.15579219999999999</v>
      </c>
      <c r="V1945">
        <v>5.4653260000000004E-3</v>
      </c>
      <c r="W1945">
        <v>3.7307970000000003E-2</v>
      </c>
      <c r="X1945">
        <v>0.99928890000000004</v>
      </c>
      <c r="Y1945">
        <v>5.8616870000000001E-2</v>
      </c>
      <c r="Z1945">
        <v>1.8345049999999999E-4</v>
      </c>
      <c r="AA1945">
        <v>0.99828050000000002</v>
      </c>
      <c r="AB1945">
        <v>30</v>
      </c>
      <c r="AC1945">
        <v>-202.17570000000001</v>
      </c>
      <c r="AD1945">
        <v>-1.0285589399999999</v>
      </c>
      <c r="AE1945">
        <v>10.5009</v>
      </c>
      <c r="AF1945">
        <v>11.8759499756554</v>
      </c>
      <c r="AG1945">
        <v>-1.0285589399999999</v>
      </c>
      <c r="AH1945">
        <v>202.09435568172199</v>
      </c>
      <c r="AI1945">
        <v>90.291102089051705</v>
      </c>
      <c r="AJ1945">
        <v>86.636916543006805</v>
      </c>
      <c r="AK1945">
        <v>202.44560928735299</v>
      </c>
      <c r="AL1945">
        <v>87.861914650607304</v>
      </c>
      <c r="AM1945">
        <v>89.686640178560296</v>
      </c>
      <c r="AN1945">
        <v>1.0000000300384999</v>
      </c>
    </row>
    <row r="1946" spans="1:40" x14ac:dyDescent="0.25">
      <c r="A1946" t="str">
        <f>"20190312151023732"</f>
        <v>20190312151023732</v>
      </c>
      <c r="B1946" t="str">
        <f>"1552374623722762"</f>
        <v>1552374623722762</v>
      </c>
      <c r="C1946" t="s">
        <v>40</v>
      </c>
      <c r="D1946">
        <v>5.297625</v>
      </c>
      <c r="E1946">
        <v>0.51931050000000001</v>
      </c>
      <c r="F1946" t="s">
        <v>61</v>
      </c>
      <c r="G1946">
        <v>-428.26510000000002</v>
      </c>
      <c r="H1946" s="1">
        <v>1.607336E-6</v>
      </c>
      <c r="I1946">
        <v>291.34210000000002</v>
      </c>
      <c r="J1946">
        <v>-257.84210000000002</v>
      </c>
      <c r="K1946">
        <v>1.108554</v>
      </c>
      <c r="L1946">
        <v>282.77289999999999</v>
      </c>
      <c r="M1946">
        <v>-0.99995670000000003</v>
      </c>
      <c r="N1946">
        <v>0</v>
      </c>
      <c r="O1946">
        <v>-6.376451E-3</v>
      </c>
      <c r="P1946">
        <v>-0.99953040000000004</v>
      </c>
      <c r="Q1946">
        <v>3.0620499999999998E-2</v>
      </c>
      <c r="R1946">
        <v>-1.3128160000000001E-3</v>
      </c>
      <c r="S1946">
        <v>-3.002167</v>
      </c>
      <c r="T1946">
        <v>-1.9508600000000001E-2</v>
      </c>
      <c r="U1946">
        <v>0.15078739999999999</v>
      </c>
      <c r="V1946">
        <v>5.1168799999999999E-3</v>
      </c>
      <c r="W1946">
        <v>3.7414709999999997E-2</v>
      </c>
      <c r="X1946">
        <v>0.99928669999999997</v>
      </c>
      <c r="Y1946">
        <v>5.6529169999999997E-2</v>
      </c>
      <c r="Z1946">
        <v>2.249617E-4</v>
      </c>
      <c r="AA1946">
        <v>0.99840090000000004</v>
      </c>
      <c r="AB1946">
        <v>31</v>
      </c>
      <c r="AC1946">
        <v>-170.423</v>
      </c>
      <c r="AD1946">
        <v>-1.108552392664</v>
      </c>
      <c r="AE1946">
        <v>8.5692000000000199</v>
      </c>
      <c r="AF1946">
        <v>9.6553371532931997</v>
      </c>
      <c r="AG1946">
        <v>-1.108552392664</v>
      </c>
      <c r="AH1946">
        <v>170.357702968979</v>
      </c>
      <c r="AI1946">
        <v>90.372232726868702</v>
      </c>
      <c r="AJ1946">
        <v>86.756126399422001</v>
      </c>
      <c r="AK1946">
        <v>170.634701584461</v>
      </c>
      <c r="AL1946">
        <v>87.855794510255805</v>
      </c>
      <c r="AM1946">
        <v>89.7066176644054</v>
      </c>
      <c r="AN1946">
        <v>0.99999997589110301</v>
      </c>
    </row>
    <row r="1947" spans="1:40" x14ac:dyDescent="0.25">
      <c r="A1947" t="str">
        <f>"20190312151023753"</f>
        <v>20190312151023753</v>
      </c>
      <c r="B1947" t="str">
        <f>"1552374623742281"</f>
        <v>1552374623742281</v>
      </c>
      <c r="C1947" t="s">
        <v>40</v>
      </c>
      <c r="D1947">
        <v>5.4623339999999896</v>
      </c>
      <c r="E1947">
        <v>0.51851409999999998</v>
      </c>
      <c r="F1947" t="s">
        <v>52</v>
      </c>
      <c r="G1947">
        <v>-391.49829999999997</v>
      </c>
      <c r="H1947" s="1">
        <v>-7.3946700000000001E-7</v>
      </c>
      <c r="I1947">
        <v>289.3116</v>
      </c>
      <c r="J1947">
        <v>-258.13470000000001</v>
      </c>
      <c r="K1947">
        <v>1.1085449999999999</v>
      </c>
      <c r="L1947">
        <v>282.77179999999998</v>
      </c>
      <c r="M1947">
        <v>-0.99996079999999998</v>
      </c>
      <c r="N1947">
        <v>0</v>
      </c>
      <c r="O1947">
        <v>-5.6510569999999897E-3</v>
      </c>
      <c r="P1947">
        <v>-0.99952289999999999</v>
      </c>
      <c r="Q1947">
        <v>3.087529E-2</v>
      </c>
      <c r="R1947">
        <v>-7.7974909999999997E-4</v>
      </c>
      <c r="S1947">
        <v>-3.0024109999999999</v>
      </c>
      <c r="T1947">
        <v>-2.4902219999999999E-2</v>
      </c>
      <c r="U1947">
        <v>0.14688109999999999</v>
      </c>
      <c r="V1947">
        <v>4.9257279999999999E-3</v>
      </c>
      <c r="W1947">
        <v>3.768059E-2</v>
      </c>
      <c r="X1947">
        <v>0.99927770000000005</v>
      </c>
      <c r="Y1947">
        <v>5.4504209999999997E-2</v>
      </c>
      <c r="Z1947">
        <v>2.7273599999999999E-4</v>
      </c>
      <c r="AA1947">
        <v>0.99851350000000005</v>
      </c>
      <c r="AB1947">
        <v>31</v>
      </c>
      <c r="AC1947">
        <v>-133.363599999999</v>
      </c>
      <c r="AD1947">
        <v>-1.108545739467</v>
      </c>
      <c r="AE1947">
        <v>6.5398000000000103</v>
      </c>
      <c r="AF1947">
        <v>7.2928557116522601</v>
      </c>
      <c r="AG1947">
        <v>-1.108545739467</v>
      </c>
      <c r="AH1947">
        <v>133.31532376790099</v>
      </c>
      <c r="AI1947">
        <v>90.475704603676604</v>
      </c>
      <c r="AJ1947">
        <v>86.868823615106905</v>
      </c>
      <c r="AK1947">
        <v>133.51925018298999</v>
      </c>
      <c r="AL1947">
        <v>87.840550022488401</v>
      </c>
      <c r="AM1947">
        <v>89.717574864672699</v>
      </c>
      <c r="AN1947">
        <v>1.0000000056881799</v>
      </c>
    </row>
    <row r="1948" spans="1:40" x14ac:dyDescent="0.25">
      <c r="A1948" t="str">
        <f>"20190312151023776"</f>
        <v>20190312151023776</v>
      </c>
      <c r="B1948" t="str">
        <f>"1552374623772537"</f>
        <v>1552374623772537</v>
      </c>
      <c r="C1948" t="s">
        <v>40</v>
      </c>
      <c r="D1948">
        <v>5.3153959999999998</v>
      </c>
      <c r="E1948">
        <v>0.51821039999999996</v>
      </c>
      <c r="F1948" t="s">
        <v>52</v>
      </c>
      <c r="G1948">
        <v>-356.46379999999999</v>
      </c>
      <c r="H1948" s="1">
        <v>1.902939E-6</v>
      </c>
      <c r="I1948">
        <v>287.41399999999999</v>
      </c>
      <c r="J1948">
        <v>-258.44729999999998</v>
      </c>
      <c r="K1948">
        <v>1.1085389999999999</v>
      </c>
      <c r="L1948">
        <v>282.77080000000001</v>
      </c>
      <c r="M1948">
        <v>-0.99996479999999999</v>
      </c>
      <c r="N1948">
        <v>0</v>
      </c>
      <c r="O1948">
        <v>-4.8783530000000002E-3</v>
      </c>
      <c r="P1948">
        <v>-0.99952790000000002</v>
      </c>
      <c r="Q1948">
        <v>3.0729739999999998E-2</v>
      </c>
      <c r="R1948">
        <v>-1.782644E-4</v>
      </c>
      <c r="S1948">
        <v>-3.0025629999999999</v>
      </c>
      <c r="T1948">
        <v>-3.3850310000000002E-2</v>
      </c>
      <c r="U1948">
        <v>0.1417542</v>
      </c>
      <c r="V1948">
        <v>4.7553420000000001E-3</v>
      </c>
      <c r="W1948">
        <v>3.7551460000000002E-2</v>
      </c>
      <c r="X1948">
        <v>0.99928340000000004</v>
      </c>
      <c r="Y1948">
        <v>5.202739E-2</v>
      </c>
      <c r="Z1948">
        <v>3.4806870000000001E-4</v>
      </c>
      <c r="AA1948">
        <v>0.99864560000000002</v>
      </c>
      <c r="AB1948">
        <v>31</v>
      </c>
      <c r="AC1948">
        <v>-98.016499999999994</v>
      </c>
      <c r="AD1948">
        <v>-1.108537097061</v>
      </c>
      <c r="AE1948">
        <v>4.64319999999997</v>
      </c>
      <c r="AF1948">
        <v>5.1206614616908999</v>
      </c>
      <c r="AG1948">
        <v>-1.108537097061</v>
      </c>
      <c r="AH1948">
        <v>97.980177414125293</v>
      </c>
      <c r="AI1948">
        <v>90.647327219214603</v>
      </c>
      <c r="AJ1948">
        <v>87.008317225750105</v>
      </c>
      <c r="AK1948">
        <v>98.120156922032507</v>
      </c>
      <c r="AL1948">
        <v>87.8479538960799</v>
      </c>
      <c r="AM1948">
        <v>89.727345645812704</v>
      </c>
      <c r="AN1948">
        <v>1.00000001947061</v>
      </c>
    </row>
    <row r="1949" spans="1:40" x14ac:dyDescent="0.25">
      <c r="A1949" t="str">
        <f>"20190312151023798"</f>
        <v>20190312151023798</v>
      </c>
      <c r="B1949" t="str">
        <f>"1552374623793033"</f>
        <v>1552374623793033</v>
      </c>
      <c r="C1949" t="s">
        <v>40</v>
      </c>
      <c r="D1949">
        <v>5.3946589999999999</v>
      </c>
      <c r="E1949">
        <v>0.51764339999999998</v>
      </c>
      <c r="F1949" t="s">
        <v>52</v>
      </c>
      <c r="G1949">
        <v>-341.94439999999997</v>
      </c>
      <c r="H1949" s="1">
        <v>-5.0207869999999995E-7</v>
      </c>
      <c r="I1949">
        <v>286.69150000000002</v>
      </c>
      <c r="J1949">
        <v>-258.74979999999999</v>
      </c>
      <c r="K1949">
        <v>1.1085309999999999</v>
      </c>
      <c r="L1949">
        <v>282.77010000000001</v>
      </c>
      <c r="M1949">
        <v>-0.99996799999999997</v>
      </c>
      <c r="N1949">
        <v>0</v>
      </c>
      <c r="O1949">
        <v>-4.1332019999999999E-3</v>
      </c>
      <c r="P1949">
        <v>-0.9995482</v>
      </c>
      <c r="Q1949">
        <v>3.0056090000000001E-2</v>
      </c>
      <c r="R1949">
        <v>2.839338E-4</v>
      </c>
      <c r="S1949">
        <v>-3.0026549999999999</v>
      </c>
      <c r="T1949">
        <v>-3.9864419999999998E-2</v>
      </c>
      <c r="U1949">
        <v>0.14099120000000001</v>
      </c>
      <c r="V1949">
        <v>4.4721889999999997E-3</v>
      </c>
      <c r="W1949">
        <v>3.6897689999999997E-2</v>
      </c>
      <c r="X1949">
        <v>0.99930909999999995</v>
      </c>
      <c r="Y1949">
        <v>5.1027339999999997E-2</v>
      </c>
      <c r="Z1949">
        <v>3.9337189999999998E-4</v>
      </c>
      <c r="AA1949">
        <v>0.99869719999999995</v>
      </c>
      <c r="AB1949">
        <v>31</v>
      </c>
      <c r="AC1949">
        <v>-83.194599999999895</v>
      </c>
      <c r="AD1949">
        <v>-1.1085315020787001</v>
      </c>
      <c r="AE1949">
        <v>3.9214000000000002</v>
      </c>
      <c r="AF1949">
        <v>4.2644792026072</v>
      </c>
      <c r="AG1949">
        <v>-1.1085315020787001</v>
      </c>
      <c r="AH1949">
        <v>83.162948678984904</v>
      </c>
      <c r="AI1949">
        <v>90.762684467601503</v>
      </c>
      <c r="AJ1949">
        <v>87.064524038251903</v>
      </c>
      <c r="AK1949">
        <v>83.279593286375004</v>
      </c>
      <c r="AL1949">
        <v>87.8854382201026</v>
      </c>
      <c r="AM1949">
        <v>89.743587000006698</v>
      </c>
      <c r="AN1949">
        <v>1.0000000586722899</v>
      </c>
    </row>
    <row r="1950" spans="1:40" x14ac:dyDescent="0.25">
      <c r="A1950" t="str">
        <f>"20190312151023819"</f>
        <v>20190312151023819</v>
      </c>
      <c r="B1950" t="str">
        <f>"1552374623812553"</f>
        <v>1552374623812553</v>
      </c>
      <c r="C1950" t="s">
        <v>40</v>
      </c>
      <c r="D1950">
        <v>5.3423179999999997</v>
      </c>
      <c r="E1950">
        <v>0.51724989999999904</v>
      </c>
      <c r="F1950" t="s">
        <v>52</v>
      </c>
      <c r="G1950">
        <v>-327.02519999999998</v>
      </c>
      <c r="H1950" s="1">
        <v>2.1454930000000001E-6</v>
      </c>
      <c r="I1950">
        <v>285.90159999999997</v>
      </c>
      <c r="J1950">
        <v>-259.03680000000003</v>
      </c>
      <c r="K1950">
        <v>1.1085240000000001</v>
      </c>
      <c r="L1950">
        <v>282.76960000000003</v>
      </c>
      <c r="M1950">
        <v>-0.99997060000000004</v>
      </c>
      <c r="N1950">
        <v>0</v>
      </c>
      <c r="O1950">
        <v>-3.4275109999999998E-3</v>
      </c>
      <c r="P1950">
        <v>-0.99954580000000004</v>
      </c>
      <c r="Q1950">
        <v>3.0128889999999998E-2</v>
      </c>
      <c r="R1950">
        <v>7.9589229999999997E-4</v>
      </c>
      <c r="S1950">
        <v>-3.002777</v>
      </c>
      <c r="T1950">
        <v>-4.8753499999999998E-2</v>
      </c>
      <c r="U1950">
        <v>0.13772579999999901</v>
      </c>
      <c r="V1950">
        <v>4.2793340000000001E-3</v>
      </c>
      <c r="W1950">
        <v>3.6989670000000002E-2</v>
      </c>
      <c r="X1950">
        <v>0.99930649999999999</v>
      </c>
      <c r="Y1950">
        <v>4.923479E-2</v>
      </c>
      <c r="Z1950">
        <v>4.5507399999999997E-4</v>
      </c>
      <c r="AA1950">
        <v>0.99878710000000004</v>
      </c>
      <c r="AB1950">
        <v>31</v>
      </c>
      <c r="AC1950">
        <v>-67.988399999999899</v>
      </c>
      <c r="AD1950">
        <v>-1.1085218545069999</v>
      </c>
      <c r="AE1950">
        <v>3.1319999999999402</v>
      </c>
      <c r="AF1950">
        <v>3.3641256509163702</v>
      </c>
      <c r="AG1950">
        <v>-1.1085218545069999</v>
      </c>
      <c r="AH1950">
        <v>67.959237439407204</v>
      </c>
      <c r="AI1950">
        <v>90.933358564415997</v>
      </c>
      <c r="AJ1950">
        <v>87.166051331124805</v>
      </c>
      <c r="AK1950">
        <v>68.0514813611195</v>
      </c>
      <c r="AL1950">
        <v>87.880164461206505</v>
      </c>
      <c r="AM1950">
        <v>89.754643566731602</v>
      </c>
      <c r="AN1950">
        <v>1.0000000146642201</v>
      </c>
    </row>
    <row r="1951" spans="1:40" x14ac:dyDescent="0.25">
      <c r="A1951" t="str">
        <f>"20190312151023842"</f>
        <v>20190312151023842</v>
      </c>
      <c r="B1951" t="str">
        <f>"1552374623833049"</f>
        <v>1552374623833049</v>
      </c>
      <c r="C1951" t="s">
        <v>40</v>
      </c>
      <c r="D1951">
        <v>5.3401579999999997</v>
      </c>
      <c r="E1951">
        <v>0.51694169999999995</v>
      </c>
      <c r="F1951" t="s">
        <v>52</v>
      </c>
      <c r="G1951">
        <v>-320.61430000000001</v>
      </c>
      <c r="H1951" s="1">
        <v>-1.25097E-6</v>
      </c>
      <c r="I1951">
        <v>285.55619999999999</v>
      </c>
      <c r="J1951">
        <v>-259.35939999999999</v>
      </c>
      <c r="K1951">
        <v>1.108519</v>
      </c>
      <c r="L1951">
        <v>282.76929999999999</v>
      </c>
      <c r="M1951">
        <v>-0.99997290000000005</v>
      </c>
      <c r="N1951">
        <v>0</v>
      </c>
      <c r="O1951">
        <v>-2.6359959999999998E-3</v>
      </c>
      <c r="P1951">
        <v>-0.99953939999999997</v>
      </c>
      <c r="Q1951">
        <v>3.0309139999999998E-2</v>
      </c>
      <c r="R1951">
        <v>1.67158E-3</v>
      </c>
      <c r="S1951">
        <v>-3.0028990000000002</v>
      </c>
      <c r="T1951">
        <v>-5.4058549999999997E-2</v>
      </c>
      <c r="U1951">
        <v>0.13589479999999901</v>
      </c>
      <c r="V1951">
        <v>4.3646350000000004E-3</v>
      </c>
      <c r="W1951">
        <v>3.7191219999999997E-2</v>
      </c>
      <c r="X1951">
        <v>0.99929860000000004</v>
      </c>
      <c r="Y1951">
        <v>4.7833300000000002E-2</v>
      </c>
      <c r="Z1951">
        <v>4.7772260000000002E-4</v>
      </c>
      <c r="AA1951">
        <v>0.99885520000000005</v>
      </c>
      <c r="AB1951">
        <v>31</v>
      </c>
      <c r="AC1951">
        <v>-61.254899999999999</v>
      </c>
      <c r="AD1951">
        <v>-1.1085202509700001</v>
      </c>
      <c r="AE1951">
        <v>2.7869000000000002</v>
      </c>
      <c r="AF1951">
        <v>2.9473985370199198</v>
      </c>
      <c r="AG1951">
        <v>-1.1085202509700001</v>
      </c>
      <c r="AH1951">
        <v>61.227330478052302</v>
      </c>
      <c r="AI1951">
        <v>91.036026786871403</v>
      </c>
      <c r="AJ1951">
        <v>87.243988403503707</v>
      </c>
      <c r="AK1951">
        <v>61.308253708220001</v>
      </c>
      <c r="AL1951">
        <v>87.868608438383404</v>
      </c>
      <c r="AM1951">
        <v>89.749750900858999</v>
      </c>
      <c r="AN1951">
        <v>0.99999996442286498</v>
      </c>
    </row>
    <row r="1952" spans="1:40" x14ac:dyDescent="0.25">
      <c r="A1952" t="str">
        <f>"20190312151023853"</f>
        <v>20190312151023853</v>
      </c>
      <c r="B1952" t="str">
        <f>"1552374623842809"</f>
        <v>1552374623842809</v>
      </c>
      <c r="C1952" t="s">
        <v>40</v>
      </c>
      <c r="D1952">
        <v>5.4096409999999997</v>
      </c>
      <c r="E1952">
        <v>0.51683009999999996</v>
      </c>
      <c r="F1952" t="s">
        <v>61</v>
      </c>
      <c r="G1952">
        <v>-315.91199999999998</v>
      </c>
      <c r="H1952" s="1">
        <v>4.7766600000000001E-6</v>
      </c>
      <c r="I1952">
        <v>285.32619999999997</v>
      </c>
      <c r="J1952">
        <v>-259.52170000000001</v>
      </c>
      <c r="K1952">
        <v>1.1085160000000001</v>
      </c>
      <c r="L1952">
        <v>282.76920000000001</v>
      </c>
      <c r="M1952">
        <v>-0.99997380000000002</v>
      </c>
      <c r="N1952">
        <v>0</v>
      </c>
      <c r="O1952">
        <v>-2.2385690000000001E-3</v>
      </c>
      <c r="P1952">
        <v>-0.99952890000000005</v>
      </c>
      <c r="Q1952">
        <v>3.060622E-2</v>
      </c>
      <c r="R1952">
        <v>2.3736899999999999E-3</v>
      </c>
      <c r="S1952">
        <v>-3.0029300000000001</v>
      </c>
      <c r="T1952">
        <v>-5.886185E-2</v>
      </c>
      <c r="U1952">
        <v>0.1357727</v>
      </c>
      <c r="V1952">
        <v>4.6701709999999999E-3</v>
      </c>
      <c r="W1952">
        <v>3.749856E-2</v>
      </c>
      <c r="X1952">
        <v>0.9992858</v>
      </c>
      <c r="Y1952">
        <v>4.7393989999999997E-2</v>
      </c>
      <c r="Z1952">
        <v>5.0806850000000004E-4</v>
      </c>
      <c r="AA1952">
        <v>0.99887619999999999</v>
      </c>
      <c r="AB1952">
        <v>31</v>
      </c>
      <c r="AC1952">
        <v>-56.390300000000003</v>
      </c>
      <c r="AD1952">
        <v>-1.1085112233399901</v>
      </c>
      <c r="AE1952">
        <v>2.5569999999999502</v>
      </c>
      <c r="AF1952">
        <v>2.6821958060091902</v>
      </c>
      <c r="AG1952">
        <v>-1.1085112233399901</v>
      </c>
      <c r="AH1952">
        <v>56.3626989716075</v>
      </c>
      <c r="AI1952">
        <v>91.125443980623004</v>
      </c>
      <c r="AJ1952">
        <v>87.2754560846369</v>
      </c>
      <c r="AK1952">
        <v>56.437370658439498</v>
      </c>
      <c r="AL1952">
        <v>87.850987004404502</v>
      </c>
      <c r="AM1952">
        <v>89.732229618604194</v>
      </c>
      <c r="AN1952">
        <v>1.00000003129044</v>
      </c>
    </row>
    <row r="1953" spans="1:40" x14ac:dyDescent="0.25">
      <c r="A1953" t="str">
        <f>"20190312151023866"</f>
        <v>20190312151023866</v>
      </c>
      <c r="B1953" t="str">
        <f>"1552374623862329"</f>
        <v>1552374623862329</v>
      </c>
      <c r="C1953" t="s">
        <v>40</v>
      </c>
      <c r="D1953">
        <v>5.3417490000000001</v>
      </c>
      <c r="E1953">
        <v>0.51654040000000001</v>
      </c>
      <c r="F1953" t="s">
        <v>61</v>
      </c>
      <c r="G1953">
        <v>-314.58670000000001</v>
      </c>
      <c r="H1953" s="1">
        <v>4.1929680000000003E-6</v>
      </c>
      <c r="I1953">
        <v>285.28019999999998</v>
      </c>
      <c r="J1953">
        <v>-259.69439999999997</v>
      </c>
      <c r="K1953">
        <v>1.1085149999999999</v>
      </c>
      <c r="L1953">
        <v>282.76920000000001</v>
      </c>
      <c r="M1953">
        <v>-0.99997449999999999</v>
      </c>
      <c r="N1953">
        <v>0</v>
      </c>
      <c r="O1953">
        <v>-1.815515E-3</v>
      </c>
      <c r="P1953">
        <v>-0.99952479999999999</v>
      </c>
      <c r="Q1953">
        <v>3.0698130000000001E-2</v>
      </c>
      <c r="R1953">
        <v>2.855972E-3</v>
      </c>
      <c r="S1953">
        <v>-3.0029599999999999</v>
      </c>
      <c r="T1953">
        <v>-6.045246E-2</v>
      </c>
      <c r="U1953">
        <v>0.13693239999999901</v>
      </c>
      <c r="V1953">
        <v>4.7298399999999999E-3</v>
      </c>
      <c r="W1953">
        <v>3.7601490000000001E-2</v>
      </c>
      <c r="X1953">
        <v>0.99928159999999999</v>
      </c>
      <c r="Y1953">
        <v>4.735545E-2</v>
      </c>
      <c r="Z1953">
        <v>5.1288620000000001E-4</v>
      </c>
      <c r="AA1953">
        <v>0.99887789999999999</v>
      </c>
      <c r="AB1953">
        <v>31</v>
      </c>
      <c r="AC1953">
        <v>-54.892299999999999</v>
      </c>
      <c r="AD1953">
        <v>-1.108510807032</v>
      </c>
      <c r="AE1953">
        <v>2.5109999999999602</v>
      </c>
      <c r="AF1953">
        <v>2.60959403849477</v>
      </c>
      <c r="AG1953">
        <v>-1.108510807032</v>
      </c>
      <c r="AH1953">
        <v>54.865322802440197</v>
      </c>
      <c r="AI1953">
        <v>91.156152113080196</v>
      </c>
      <c r="AJ1953">
        <v>87.276856896286205</v>
      </c>
      <c r="AK1953">
        <v>54.938533139054798</v>
      </c>
      <c r="AL1953">
        <v>87.845085276801498</v>
      </c>
      <c r="AM1953">
        <v>89.728807329173506</v>
      </c>
      <c r="AN1953">
        <v>0.99999997976760202</v>
      </c>
    </row>
    <row r="1954" spans="1:40" x14ac:dyDescent="0.25">
      <c r="A1954" t="str">
        <f>"20190312151023878"</f>
        <v>20190312151023878</v>
      </c>
      <c r="B1954" t="str">
        <f>"1552374623872253"</f>
        <v>1552374623872253</v>
      </c>
      <c r="C1954" t="s">
        <v>40</v>
      </c>
      <c r="D1954">
        <v>5.4191029999999998</v>
      </c>
      <c r="E1954">
        <v>0.51641769999999998</v>
      </c>
      <c r="F1954" t="s">
        <v>61</v>
      </c>
      <c r="G1954">
        <v>-311.29790000000003</v>
      </c>
      <c r="H1954" s="1">
        <v>2.7501059999999999E-6</v>
      </c>
      <c r="I1954">
        <v>285.10180000000003</v>
      </c>
      <c r="J1954">
        <v>-259.86250000000001</v>
      </c>
      <c r="K1954">
        <v>1.1085130000000001</v>
      </c>
      <c r="L1954">
        <v>282.76929999999999</v>
      </c>
      <c r="M1954">
        <v>-0.99997510000000001</v>
      </c>
      <c r="N1954">
        <v>0</v>
      </c>
      <c r="O1954">
        <v>-1.403786E-3</v>
      </c>
      <c r="P1954">
        <v>-0.99952200000000002</v>
      </c>
      <c r="Q1954">
        <v>3.0729889999999999E-2</v>
      </c>
      <c r="R1954">
        <v>3.4252589999999999E-3</v>
      </c>
      <c r="S1954">
        <v>-3.0030209999999999</v>
      </c>
      <c r="T1954">
        <v>-6.4508910000000003E-2</v>
      </c>
      <c r="U1954">
        <v>0.13574220000000001</v>
      </c>
      <c r="V1954">
        <v>4.8878659999999899E-3</v>
      </c>
      <c r="W1954">
        <v>3.7643900000000001E-2</v>
      </c>
      <c r="X1954">
        <v>0.99927929999999998</v>
      </c>
      <c r="Y1954">
        <v>4.6547070000000003E-2</v>
      </c>
      <c r="Z1954">
        <v>5.2977139999999998E-4</v>
      </c>
      <c r="AA1954">
        <v>0.99891600000000003</v>
      </c>
      <c r="AB1954">
        <v>31</v>
      </c>
      <c r="AC1954">
        <v>-51.435400000000001</v>
      </c>
      <c r="AD1954">
        <v>-1.1085102498939901</v>
      </c>
      <c r="AE1954">
        <v>2.3325000000000302</v>
      </c>
      <c r="AF1954">
        <v>2.4035896250725699</v>
      </c>
      <c r="AG1954">
        <v>-1.1085102498939901</v>
      </c>
      <c r="AH1954">
        <v>51.408246459222603</v>
      </c>
      <c r="AI1954">
        <v>91.233923498544002</v>
      </c>
      <c r="AJ1954">
        <v>87.323088565856494</v>
      </c>
      <c r="AK1954">
        <v>51.476342547543602</v>
      </c>
      <c r="AL1954">
        <v>87.842653764549695</v>
      </c>
      <c r="AM1954">
        <v>89.719746161898797</v>
      </c>
      <c r="AN1954">
        <v>1.0000000369248601</v>
      </c>
    </row>
    <row r="1955" spans="1:40" x14ac:dyDescent="0.25">
      <c r="A1955" t="str">
        <f>"20190312151023898"</f>
        <v>20190312151023898</v>
      </c>
      <c r="B1955" t="str">
        <f>"1552374623892748"</f>
        <v>1552374623892748</v>
      </c>
      <c r="C1955" t="s">
        <v>40</v>
      </c>
      <c r="D1955">
        <v>5.5817649999999999</v>
      </c>
      <c r="E1955">
        <v>0.51660010000000001</v>
      </c>
      <c r="F1955" t="s">
        <v>61</v>
      </c>
      <c r="G1955">
        <v>-306.46390000000002</v>
      </c>
      <c r="H1955" s="1">
        <v>2.7946439999999998E-6</v>
      </c>
      <c r="I1955">
        <v>284.88369999999998</v>
      </c>
      <c r="J1955">
        <v>-260.14179999999999</v>
      </c>
      <c r="K1955">
        <v>1.108508</v>
      </c>
      <c r="L1955">
        <v>282.76960000000003</v>
      </c>
      <c r="M1955">
        <v>-0.99997559999999996</v>
      </c>
      <c r="N1955">
        <v>0</v>
      </c>
      <c r="O1955">
        <v>-7.1955860000000001E-4</v>
      </c>
      <c r="P1955">
        <v>-0.99951829999999997</v>
      </c>
      <c r="Q1955">
        <v>3.0692500000000001E-2</v>
      </c>
      <c r="R1955">
        <v>4.5919239999999998E-3</v>
      </c>
      <c r="S1955">
        <v>-3.003174</v>
      </c>
      <c r="T1955">
        <v>-7.1436639999999996E-2</v>
      </c>
      <c r="U1955">
        <v>0.13626099999999999</v>
      </c>
      <c r="V1955">
        <v>5.3708100000000002E-3</v>
      </c>
      <c r="W1955">
        <v>3.7623410000000003E-2</v>
      </c>
      <c r="X1955">
        <v>0.99927750000000004</v>
      </c>
      <c r="Y1955">
        <v>4.6031320000000001E-2</v>
      </c>
      <c r="Z1955">
        <v>5.6422139999999998E-4</v>
      </c>
      <c r="AA1955">
        <v>0.99893980000000004</v>
      </c>
      <c r="AB1955">
        <v>31</v>
      </c>
      <c r="AC1955">
        <v>-46.322099999999999</v>
      </c>
      <c r="AD1955">
        <v>-1.1085052053560001</v>
      </c>
      <c r="AE1955">
        <v>2.1140999999999499</v>
      </c>
      <c r="AF1955">
        <v>2.1462052255256201</v>
      </c>
      <c r="AG1955">
        <v>-1.1085052053560001</v>
      </c>
      <c r="AH1955">
        <v>46.294110940957502</v>
      </c>
      <c r="AI1955">
        <v>91.370205198072895</v>
      </c>
      <c r="AJ1955">
        <v>87.345655531153398</v>
      </c>
      <c r="AK1955">
        <v>46.357088869708598</v>
      </c>
      <c r="AL1955">
        <v>87.8438283874451</v>
      </c>
      <c r="AM1955">
        <v>89.692055727760405</v>
      </c>
      <c r="AN1955">
        <v>0.99999994429316497</v>
      </c>
    </row>
    <row r="1956" spans="1:40" x14ac:dyDescent="0.25">
      <c r="A1956" t="str">
        <f>"20190312151023910"</f>
        <v>20190312151023910</v>
      </c>
      <c r="B1956" t="str">
        <f>"1552374623902509"</f>
        <v>1552374623902509</v>
      </c>
      <c r="C1956" t="s">
        <v>40</v>
      </c>
      <c r="D1956">
        <v>5.4018110000000004</v>
      </c>
      <c r="E1956">
        <v>0.51648459999999996</v>
      </c>
      <c r="F1956" t="s">
        <v>61</v>
      </c>
      <c r="G1956">
        <v>-301.30930000000001</v>
      </c>
      <c r="H1956" s="1">
        <v>3.7251109999999998E-6</v>
      </c>
      <c r="I1956">
        <v>284.69920000000002</v>
      </c>
      <c r="J1956">
        <v>-260.32080000000002</v>
      </c>
      <c r="K1956">
        <v>1.108506</v>
      </c>
      <c r="L1956">
        <v>282.76990000000001</v>
      </c>
      <c r="M1956">
        <v>-0.99997590000000003</v>
      </c>
      <c r="N1956">
        <v>0</v>
      </c>
      <c r="O1956">
        <v>-2.8101009999999997E-4</v>
      </c>
      <c r="P1956">
        <v>-0.99952070000000004</v>
      </c>
      <c r="Q1956">
        <v>3.0530310000000001E-2</v>
      </c>
      <c r="R1956">
        <v>5.1599489999999996E-3</v>
      </c>
      <c r="S1956">
        <v>-3.0032960000000002</v>
      </c>
      <c r="T1956">
        <v>-8.0868839999999997E-2</v>
      </c>
      <c r="U1956">
        <v>0.1407776</v>
      </c>
      <c r="V1956">
        <v>5.5005150000000001E-3</v>
      </c>
      <c r="W1956">
        <v>3.7471409999999997E-2</v>
      </c>
      <c r="X1956">
        <v>0.99928249999999996</v>
      </c>
      <c r="Y1956">
        <v>4.7086540000000003E-2</v>
      </c>
      <c r="Z1956">
        <v>6.4104139999999999E-4</v>
      </c>
      <c r="AA1956">
        <v>0.99889059999999996</v>
      </c>
      <c r="AB1956">
        <v>31</v>
      </c>
      <c r="AC1956">
        <v>-40.988499999999902</v>
      </c>
      <c r="AD1956">
        <v>-1.1085022748890001</v>
      </c>
      <c r="AE1956">
        <v>1.92930000000001</v>
      </c>
      <c r="AF1956">
        <v>1.9394030587656801</v>
      </c>
      <c r="AG1956">
        <v>-1.1085022748890001</v>
      </c>
      <c r="AH1956">
        <v>40.958066110356299</v>
      </c>
      <c r="AI1956">
        <v>91.548558758219698</v>
      </c>
      <c r="AJ1956">
        <v>87.289015703153694</v>
      </c>
      <c r="AK1956">
        <v>41.0189375900705</v>
      </c>
      <c r="AL1956">
        <v>87.852543479499403</v>
      </c>
      <c r="AM1956">
        <v>89.684620603563801</v>
      </c>
      <c r="AN1956">
        <v>0.99999993851944902</v>
      </c>
    </row>
    <row r="1957" spans="1:40" x14ac:dyDescent="0.25">
      <c r="A1957" t="str">
        <f>"20190312151023923"</f>
        <v>20190312151023923</v>
      </c>
      <c r="B1957" t="str">
        <f>"1552374623912268"</f>
        <v>1552374623912268</v>
      </c>
      <c r="C1957" t="s">
        <v>40</v>
      </c>
      <c r="D1957">
        <v>5.3438939999999997</v>
      </c>
      <c r="E1957">
        <v>0.51634259999999998</v>
      </c>
      <c r="F1957" t="s">
        <v>61</v>
      </c>
      <c r="G1957">
        <v>-300.56670000000003</v>
      </c>
      <c r="H1957" s="1">
        <v>3.8598160000000003E-6</v>
      </c>
      <c r="I1957">
        <v>284.66500000000002</v>
      </c>
      <c r="J1957">
        <v>-260.49400000000003</v>
      </c>
      <c r="K1957">
        <v>1.108509</v>
      </c>
      <c r="L1957">
        <v>282.77019999999999</v>
      </c>
      <c r="M1957">
        <v>-0.99997570000000002</v>
      </c>
      <c r="N1957">
        <v>0</v>
      </c>
      <c r="O1957">
        <v>1.43354E-4</v>
      </c>
      <c r="P1957">
        <v>-0.99951829999999997</v>
      </c>
      <c r="Q1957">
        <v>3.0513269999999999E-2</v>
      </c>
      <c r="R1957">
        <v>5.689286E-3</v>
      </c>
      <c r="S1957">
        <v>-3.0032350000000001</v>
      </c>
      <c r="T1957">
        <v>-8.2718730000000004E-2</v>
      </c>
      <c r="U1957">
        <v>0.1414185</v>
      </c>
      <c r="V1957">
        <v>5.6058499999999999E-3</v>
      </c>
      <c r="W1957">
        <v>3.7464740000000003E-2</v>
      </c>
      <c r="X1957">
        <v>0.99928220000000001</v>
      </c>
      <c r="Y1957">
        <v>4.6875710000000001E-2</v>
      </c>
      <c r="Z1957">
        <v>6.4112860000000002E-4</v>
      </c>
      <c r="AA1957">
        <v>0.99890049999999997</v>
      </c>
      <c r="AB1957">
        <v>31</v>
      </c>
      <c r="AC1957">
        <v>-40.072699999999998</v>
      </c>
      <c r="AD1957">
        <v>-1.108505140184</v>
      </c>
      <c r="AE1957">
        <v>1.89480000000003</v>
      </c>
      <c r="AF1957">
        <v>1.88761406824802</v>
      </c>
      <c r="AG1957">
        <v>-1.108505140184</v>
      </c>
      <c r="AH1957">
        <v>40.042398902032097</v>
      </c>
      <c r="AI1957">
        <v>91.583972303032994</v>
      </c>
      <c r="AJ1957">
        <v>87.301052972043806</v>
      </c>
      <c r="AK1957">
        <v>40.102189221362003</v>
      </c>
      <c r="AL1957">
        <v>87.852925986620903</v>
      </c>
      <c r="AM1957">
        <v>89.678581109249293</v>
      </c>
      <c r="AN1957">
        <v>0.99999997376716399</v>
      </c>
    </row>
    <row r="1958" spans="1:40" x14ac:dyDescent="0.25">
      <c r="A1958" t="str">
        <f>"20190312151023942"</f>
        <v>20190312151023942</v>
      </c>
      <c r="B1958" t="str">
        <f>"1552374623932771"</f>
        <v>1552374623932771</v>
      </c>
      <c r="C1958" t="s">
        <v>40</v>
      </c>
      <c r="D1958">
        <v>5.1904459999999997</v>
      </c>
      <c r="E1958">
        <v>0.51637279999999997</v>
      </c>
      <c r="F1958" t="s">
        <v>61</v>
      </c>
      <c r="G1958">
        <v>-299.99880000000002</v>
      </c>
      <c r="H1958" s="1">
        <v>3.9629380000000004E-6</v>
      </c>
      <c r="I1958">
        <v>284.6377</v>
      </c>
      <c r="J1958">
        <v>-260.75569999999999</v>
      </c>
      <c r="K1958">
        <v>1.108511</v>
      </c>
      <c r="L1958">
        <v>282.77080000000001</v>
      </c>
      <c r="M1958">
        <v>-0.99997539999999996</v>
      </c>
      <c r="N1958">
        <v>0</v>
      </c>
      <c r="O1958">
        <v>7.8383599999999999E-4</v>
      </c>
      <c r="P1958">
        <v>-0.99952260000000004</v>
      </c>
      <c r="Q1958">
        <v>3.020281E-2</v>
      </c>
      <c r="R1958">
        <v>6.5425169999999899E-3</v>
      </c>
      <c r="S1958">
        <v>-3.0032040000000002</v>
      </c>
      <c r="T1958">
        <v>-8.4269759999999999E-2</v>
      </c>
      <c r="U1958">
        <v>0.14196779999999901</v>
      </c>
      <c r="V1958">
        <v>5.8186959999999999E-3</v>
      </c>
      <c r="W1958">
        <v>3.716883E-2</v>
      </c>
      <c r="X1958">
        <v>0.99929210000000002</v>
      </c>
      <c r="Y1958">
        <v>4.6418460000000002E-2</v>
      </c>
      <c r="Z1958">
        <v>6.2878040000000004E-4</v>
      </c>
      <c r="AA1958">
        <v>0.99892190000000003</v>
      </c>
      <c r="AB1958">
        <v>31</v>
      </c>
      <c r="AC1958">
        <v>-39.243099999999998</v>
      </c>
      <c r="AD1958">
        <v>-1.108507037062</v>
      </c>
      <c r="AE1958">
        <v>1.86689999999998</v>
      </c>
      <c r="AF1958">
        <v>1.83467793452107</v>
      </c>
      <c r="AG1958">
        <v>-1.108507037062</v>
      </c>
      <c r="AH1958">
        <v>39.213333523206799</v>
      </c>
      <c r="AI1958">
        <v>91.617473259915101</v>
      </c>
      <c r="AJ1958">
        <v>87.321250442563695</v>
      </c>
      <c r="AK1958">
        <v>39.2718774312725</v>
      </c>
      <c r="AL1958">
        <v>87.869892339879598</v>
      </c>
      <c r="AM1958">
        <v>89.6663808757244</v>
      </c>
      <c r="AN1958">
        <v>1.0000000401345499</v>
      </c>
    </row>
    <row r="1959" spans="1:40" x14ac:dyDescent="0.25">
      <c r="A1959" t="str">
        <f>"20190312151023965"</f>
        <v>20190312151023965</v>
      </c>
      <c r="B1959" t="str">
        <f>"1552374623963020"</f>
        <v>1552374623963020</v>
      </c>
      <c r="C1959" t="s">
        <v>40</v>
      </c>
      <c r="D1959">
        <v>5.4022009999999998</v>
      </c>
      <c r="E1959">
        <v>0.51662810000000003</v>
      </c>
      <c r="F1959" t="s">
        <v>61</v>
      </c>
      <c r="G1959">
        <v>-300.70460000000003</v>
      </c>
      <c r="H1959" s="1">
        <v>3.8325080000000004E-6</v>
      </c>
      <c r="I1959">
        <v>284.69760000000002</v>
      </c>
      <c r="J1959">
        <v>-261.09609999999998</v>
      </c>
      <c r="K1959">
        <v>1.1085069999999999</v>
      </c>
      <c r="L1959">
        <v>282.77199999999999</v>
      </c>
      <c r="M1959">
        <v>-0.99997429999999998</v>
      </c>
      <c r="N1959">
        <v>0</v>
      </c>
      <c r="O1959">
        <v>1.6167709999999999E-3</v>
      </c>
      <c r="P1959">
        <v>-0.99952719999999995</v>
      </c>
      <c r="Q1959">
        <v>2.9882869999999999E-2</v>
      </c>
      <c r="R1959">
        <v>7.26407099999999E-3</v>
      </c>
      <c r="S1959">
        <v>-3.0029910000000002</v>
      </c>
      <c r="T1959">
        <v>-8.3327289999999998E-2</v>
      </c>
      <c r="U1959">
        <v>0.1448364</v>
      </c>
      <c r="V1959">
        <v>5.7074880000000001E-3</v>
      </c>
      <c r="W1959">
        <v>3.6869579999999999E-2</v>
      </c>
      <c r="X1959">
        <v>0.99930379999999996</v>
      </c>
      <c r="Y1959">
        <v>4.6542479999999997E-2</v>
      </c>
      <c r="Z1959">
        <v>6.0040530000000003E-4</v>
      </c>
      <c r="AA1959">
        <v>0.99891609999999997</v>
      </c>
      <c r="AB1959">
        <v>31</v>
      </c>
      <c r="AC1959">
        <v>-39.608499999999999</v>
      </c>
      <c r="AD1959">
        <v>-1.1085031674919901</v>
      </c>
      <c r="AE1959">
        <v>1.92560000000003</v>
      </c>
      <c r="AF1959">
        <v>1.8601045664276701</v>
      </c>
      <c r="AG1959">
        <v>-1.1085031674919901</v>
      </c>
      <c r="AH1959">
        <v>39.580633364855501</v>
      </c>
      <c r="AI1959">
        <v>91.602450120722807</v>
      </c>
      <c r="AJ1959">
        <v>87.309346113962206</v>
      </c>
      <c r="AK1959">
        <v>39.639819699810701</v>
      </c>
      <c r="AL1959">
        <v>87.887049804509104</v>
      </c>
      <c r="AM1959">
        <v>89.672760757781106</v>
      </c>
      <c r="AN1959">
        <v>1.0000000130215401</v>
      </c>
    </row>
    <row r="1960" spans="1:40" x14ac:dyDescent="0.25">
      <c r="A1960" t="str">
        <f>"20190312151023989"</f>
        <v>20190312151023989</v>
      </c>
      <c r="B1960" t="str">
        <f>"1552374623982540"</f>
        <v>1552374623982540</v>
      </c>
      <c r="C1960" t="s">
        <v>40</v>
      </c>
      <c r="D1960">
        <v>5.4532990000000003</v>
      </c>
      <c r="E1960">
        <v>0.51724040000000004</v>
      </c>
      <c r="F1960" t="s">
        <v>61</v>
      </c>
      <c r="G1960">
        <v>-297.85109999999997</v>
      </c>
      <c r="H1960" s="1">
        <v>3.600498E-6</v>
      </c>
      <c r="I1960">
        <v>284.59249999999997</v>
      </c>
      <c r="J1960">
        <v>-261.42290000000003</v>
      </c>
      <c r="K1960">
        <v>1.1085069999999999</v>
      </c>
      <c r="L1960">
        <v>282.77330000000001</v>
      </c>
      <c r="M1960">
        <v>-0.99997239999999998</v>
      </c>
      <c r="N1960">
        <v>0</v>
      </c>
      <c r="O1960">
        <v>2.4160179999999998E-3</v>
      </c>
      <c r="P1960">
        <v>-0.99953130000000001</v>
      </c>
      <c r="Q1960">
        <v>2.9648890000000001E-2</v>
      </c>
      <c r="R1960">
        <v>7.6260729999999997E-3</v>
      </c>
      <c r="S1960">
        <v>-3.0030519999999998</v>
      </c>
      <c r="T1960">
        <v>-9.0569849999999993E-2</v>
      </c>
      <c r="U1960">
        <v>0.14874270000000001</v>
      </c>
      <c r="V1960">
        <v>5.2704199999999996E-3</v>
      </c>
      <c r="W1960">
        <v>3.6660379999999999E-2</v>
      </c>
      <c r="X1960">
        <v>0.99931389999999998</v>
      </c>
      <c r="Y1960">
        <v>4.7036359999999999E-2</v>
      </c>
      <c r="Z1960">
        <v>6.3589110000000001E-4</v>
      </c>
      <c r="AA1960">
        <v>0.99889300000000003</v>
      </c>
      <c r="AB1960">
        <v>32</v>
      </c>
      <c r="AC1960">
        <v>-36.428199999999897</v>
      </c>
      <c r="AD1960">
        <v>-1.1085033995019999</v>
      </c>
      <c r="AE1960">
        <v>1.81919999999996</v>
      </c>
      <c r="AF1960">
        <v>1.72958376628029</v>
      </c>
      <c r="AG1960">
        <v>-1.1085033995019999</v>
      </c>
      <c r="AH1960">
        <v>36.398868458714702</v>
      </c>
      <c r="AI1960">
        <v>91.742401046994203</v>
      </c>
      <c r="AJ1960">
        <v>87.279493281469996</v>
      </c>
      <c r="AK1960">
        <v>36.456794495211803</v>
      </c>
      <c r="AL1960">
        <v>87.899044196136302</v>
      </c>
      <c r="AM1960">
        <v>89.697822653654498</v>
      </c>
      <c r="AN1960">
        <v>1.0000000157609601</v>
      </c>
    </row>
    <row r="1961" spans="1:40" x14ac:dyDescent="0.25">
      <c r="A1961" t="str">
        <f>"20190312151024010"</f>
        <v>20190312151024010</v>
      </c>
      <c r="B1961" t="str">
        <f>"1552374624003036"</f>
        <v>1552374624003036</v>
      </c>
      <c r="C1961" t="s">
        <v>40</v>
      </c>
      <c r="D1961">
        <v>5.3100829999999997</v>
      </c>
      <c r="E1961">
        <v>0.51792570000000004</v>
      </c>
      <c r="F1961" t="s">
        <v>61</v>
      </c>
      <c r="G1961">
        <v>-297.03910000000002</v>
      </c>
      <c r="H1961" s="1">
        <v>3.4549429999999999E-6</v>
      </c>
      <c r="I1961">
        <v>284.60980000000001</v>
      </c>
      <c r="J1961">
        <v>-261.72629999999998</v>
      </c>
      <c r="K1961">
        <v>1.1085100000000001</v>
      </c>
      <c r="L1961">
        <v>282.7747</v>
      </c>
      <c r="M1961">
        <v>-0.99997029999999998</v>
      </c>
      <c r="N1961">
        <v>0</v>
      </c>
      <c r="O1961">
        <v>3.157211E-3</v>
      </c>
      <c r="P1961">
        <v>-0.99953179999999997</v>
      </c>
      <c r="Q1961">
        <v>2.956638E-2</v>
      </c>
      <c r="R1961">
        <v>7.8787900000000001E-3</v>
      </c>
      <c r="S1961">
        <v>-3.0029910000000002</v>
      </c>
      <c r="T1961">
        <v>-9.3463660000000004E-2</v>
      </c>
      <c r="U1961">
        <v>0.15484619999999999</v>
      </c>
      <c r="V1961">
        <v>4.7825960000000001E-3</v>
      </c>
      <c r="W1961">
        <v>3.6602250000000003E-2</v>
      </c>
      <c r="X1961">
        <v>0.9993185</v>
      </c>
      <c r="Y1961">
        <v>4.8320420000000003E-2</v>
      </c>
      <c r="Z1961">
        <v>6.5309530000000001E-4</v>
      </c>
      <c r="AA1961">
        <v>0.99883169999999999</v>
      </c>
      <c r="AB1961">
        <v>32</v>
      </c>
      <c r="AC1961">
        <v>-35.312800000000003</v>
      </c>
      <c r="AD1961">
        <v>-1.108506545057</v>
      </c>
      <c r="AE1961">
        <v>1.8351000000000099</v>
      </c>
      <c r="AF1961">
        <v>1.7219059422794001</v>
      </c>
      <c r="AG1961">
        <v>-1.108506545057</v>
      </c>
      <c r="AH1961">
        <v>35.283743002507002</v>
      </c>
      <c r="AI1961">
        <v>91.797327478898794</v>
      </c>
      <c r="AJ1961">
        <v>87.206086283174798</v>
      </c>
      <c r="AK1961">
        <v>35.343121920699801</v>
      </c>
      <c r="AL1961">
        <v>87.902377068959495</v>
      </c>
      <c r="AM1961">
        <v>89.725792653859102</v>
      </c>
      <c r="AN1961">
        <v>1.0000000311859001</v>
      </c>
    </row>
    <row r="1962" spans="1:40" x14ac:dyDescent="0.25">
      <c r="A1962" t="str">
        <f>"20190312151024032"</f>
        <v>20190312151024032</v>
      </c>
      <c r="B1962" t="str">
        <f>"1552374624022556"</f>
        <v>1552374624022556</v>
      </c>
      <c r="C1962" t="s">
        <v>40</v>
      </c>
      <c r="D1962">
        <v>5.451721</v>
      </c>
      <c r="E1962">
        <v>0.53641090000000002</v>
      </c>
      <c r="F1962" t="s">
        <v>61</v>
      </c>
      <c r="G1962">
        <v>-296.53530000000001</v>
      </c>
      <c r="H1962" s="1">
        <v>3.3628120000000001E-6</v>
      </c>
      <c r="I1962">
        <v>284.64139999999998</v>
      </c>
      <c r="J1962">
        <v>-262.0403</v>
      </c>
      <c r="K1962">
        <v>1.1085020000000001</v>
      </c>
      <c r="L1962">
        <v>282.7765</v>
      </c>
      <c r="M1962">
        <v>-0.9999673</v>
      </c>
      <c r="N1962">
        <v>0</v>
      </c>
      <c r="O1962">
        <v>3.9240919999999997E-3</v>
      </c>
      <c r="P1962">
        <v>-0.99952589999999997</v>
      </c>
      <c r="Q1962">
        <v>2.9699699999999999E-2</v>
      </c>
      <c r="R1962">
        <v>8.1303690000000001E-3</v>
      </c>
      <c r="S1962">
        <v>-3.0029599999999999</v>
      </c>
      <c r="T1962">
        <v>-9.5630290000000007E-2</v>
      </c>
      <c r="U1962">
        <v>0.161041299999999</v>
      </c>
      <c r="V1962">
        <v>4.2683419999999996E-3</v>
      </c>
      <c r="W1962">
        <v>3.6760929999999997E-2</v>
      </c>
      <c r="X1962">
        <v>0.99931499999999995</v>
      </c>
      <c r="Y1962">
        <v>4.96085E-2</v>
      </c>
      <c r="Z1962">
        <v>6.6429059999999999E-4</v>
      </c>
      <c r="AA1962">
        <v>0.99876849999999995</v>
      </c>
      <c r="AB1962">
        <v>32</v>
      </c>
      <c r="AC1962">
        <v>-34.494999999999997</v>
      </c>
      <c r="AD1962">
        <v>-1.1084986371879999</v>
      </c>
      <c r="AE1962">
        <v>1.86489999999997</v>
      </c>
      <c r="AF1962">
        <v>1.72774173019887</v>
      </c>
      <c r="AG1962">
        <v>-1.1084986371879999</v>
      </c>
      <c r="AH1962">
        <v>34.466564050929598</v>
      </c>
      <c r="AI1962">
        <v>91.839778499718406</v>
      </c>
      <c r="AJ1962">
        <v>87.130276252675202</v>
      </c>
      <c r="AK1962">
        <v>34.527639626707</v>
      </c>
      <c r="AL1962">
        <v>87.893279243263805</v>
      </c>
      <c r="AM1962">
        <v>89.755275869052099</v>
      </c>
      <c r="AN1962">
        <v>1.00000002697144</v>
      </c>
    </row>
    <row r="1963" spans="1:40" x14ac:dyDescent="0.25">
      <c r="A1963" t="str">
        <f>"20190312151024054"</f>
        <v>20190312151024054</v>
      </c>
      <c r="B1963" t="str">
        <f>"1552374624043056"</f>
        <v>1552374624043056</v>
      </c>
      <c r="C1963" t="s">
        <v>40</v>
      </c>
      <c r="D1963">
        <v>5.4762719999999998</v>
      </c>
      <c r="E1963">
        <v>0.53717169999999903</v>
      </c>
      <c r="F1963" t="s">
        <v>41</v>
      </c>
      <c r="G1963">
        <v>-262.84440000000001</v>
      </c>
      <c r="H1963">
        <v>1.042367</v>
      </c>
      <c r="I1963">
        <v>282.858</v>
      </c>
      <c r="J1963">
        <v>-262.35449999999997</v>
      </c>
      <c r="K1963">
        <v>1.108498</v>
      </c>
      <c r="L1963">
        <v>282.77839999999998</v>
      </c>
      <c r="M1963">
        <v>-0.99996379999999996</v>
      </c>
      <c r="N1963">
        <v>0</v>
      </c>
      <c r="O1963">
        <v>4.6912710000000003E-3</v>
      </c>
      <c r="P1963">
        <v>-0.99951679999999998</v>
      </c>
      <c r="Q1963">
        <v>2.994602E-2</v>
      </c>
      <c r="R1963">
        <v>8.3271850000000008E-3</v>
      </c>
      <c r="S1963">
        <v>-3.0062869999999999</v>
      </c>
      <c r="T1963">
        <v>-0.24731500000000001</v>
      </c>
      <c r="U1963">
        <v>0.30426029999999998</v>
      </c>
      <c r="V1963">
        <v>3.6988419999999999E-3</v>
      </c>
      <c r="W1963">
        <v>3.7031590000000003E-2</v>
      </c>
      <c r="X1963">
        <v>0.99930730000000001</v>
      </c>
      <c r="Y1963">
        <v>9.5720600000000003E-2</v>
      </c>
      <c r="Z1963">
        <v>3.53638E-3</v>
      </c>
      <c r="AA1963">
        <v>0.99540200000000001</v>
      </c>
      <c r="AB1963">
        <v>32</v>
      </c>
      <c r="AC1963">
        <v>-0.48990000000003397</v>
      </c>
      <c r="AD1963">
        <v>-6.6130999999999898E-2</v>
      </c>
      <c r="AE1963">
        <v>7.9600000000027593E-2</v>
      </c>
      <c r="AF1963">
        <v>7.5952408501485505E-2</v>
      </c>
      <c r="AG1963">
        <v>-6.6130999999999898E-2</v>
      </c>
      <c r="AH1963">
        <v>0.48171600689449701</v>
      </c>
      <c r="AI1963">
        <v>97.7225946425892</v>
      </c>
      <c r="AJ1963">
        <v>81.039908566660102</v>
      </c>
      <c r="AK1963">
        <v>0.49213045914325998</v>
      </c>
      <c r="AL1963">
        <v>87.877761050412801</v>
      </c>
      <c r="AM1963">
        <v>89.787926028499598</v>
      </c>
      <c r="AN1963">
        <v>1.0000000499616699</v>
      </c>
    </row>
    <row r="1964" spans="1:40" x14ac:dyDescent="0.25">
      <c r="A1964" t="str">
        <f>"20190312151024076"</f>
        <v>20190312151024076</v>
      </c>
      <c r="B1964" t="str">
        <f>"1552374624072332"</f>
        <v>1552374624072332</v>
      </c>
      <c r="C1964" t="s">
        <v>40</v>
      </c>
      <c r="D1964">
        <v>5.3380669999999997</v>
      </c>
      <c r="E1964">
        <v>0.53852409999999995</v>
      </c>
      <c r="F1964" t="s">
        <v>41</v>
      </c>
      <c r="G1964">
        <v>-263.13049999999998</v>
      </c>
      <c r="H1964">
        <v>1.043085</v>
      </c>
      <c r="I1964">
        <v>282.85890000000001</v>
      </c>
      <c r="J1964">
        <v>-262.66800000000001</v>
      </c>
      <c r="K1964">
        <v>1.108501</v>
      </c>
      <c r="L1964">
        <v>282.78059999999999</v>
      </c>
      <c r="M1964">
        <v>-0.99995979999999995</v>
      </c>
      <c r="N1964">
        <v>0</v>
      </c>
      <c r="O1964">
        <v>5.4558209999999996E-3</v>
      </c>
      <c r="P1964">
        <v>-0.99952470000000004</v>
      </c>
      <c r="Q1964">
        <v>2.9643079999999999E-2</v>
      </c>
      <c r="R1964">
        <v>8.4944400000000007E-3</v>
      </c>
      <c r="S1964">
        <v>-3.0064389999999999</v>
      </c>
      <c r="T1964">
        <v>-0.25346020000000002</v>
      </c>
      <c r="U1964">
        <v>0.3110657</v>
      </c>
      <c r="V1964">
        <v>3.1018399999999998E-3</v>
      </c>
      <c r="W1964">
        <v>3.6756169999999998E-2</v>
      </c>
      <c r="X1964">
        <v>0.99931939999999997</v>
      </c>
      <c r="Y1964">
        <v>9.716669E-2</v>
      </c>
      <c r="Z1964">
        <v>3.619873E-3</v>
      </c>
      <c r="AA1964">
        <v>0.99526150000000002</v>
      </c>
      <c r="AB1964">
        <v>32</v>
      </c>
      <c r="AC1964">
        <v>-0.46249999999997699</v>
      </c>
      <c r="AD1964">
        <v>-6.5415999999999905E-2</v>
      </c>
      <c r="AE1964">
        <v>7.8300000000012901E-2</v>
      </c>
      <c r="AF1964">
        <v>7.4329895567745205E-2</v>
      </c>
      <c r="AG1964">
        <v>-6.5415999999999905E-2</v>
      </c>
      <c r="AH1964">
        <v>0.454089250422055</v>
      </c>
      <c r="AI1964">
        <v>98.091387845684096</v>
      </c>
      <c r="AJ1964">
        <v>80.703695216490502</v>
      </c>
      <c r="AK1964">
        <v>0.46475932887891103</v>
      </c>
      <c r="AL1964">
        <v>87.893551994094395</v>
      </c>
      <c r="AM1964">
        <v>89.822157190211996</v>
      </c>
      <c r="AN1964">
        <v>0.99999995033040601</v>
      </c>
    </row>
    <row r="1965" spans="1:40" x14ac:dyDescent="0.25">
      <c r="A1965" t="str">
        <f>"20190312151024099"</f>
        <v>20190312151024099</v>
      </c>
      <c r="B1965" t="str">
        <f>"1552374624092829"</f>
        <v>1552374624092829</v>
      </c>
      <c r="C1965" t="s">
        <v>40</v>
      </c>
      <c r="D1965">
        <v>5.245908</v>
      </c>
      <c r="E1965">
        <v>0.53334740000000003</v>
      </c>
      <c r="F1965" t="s">
        <v>41</v>
      </c>
      <c r="G1965">
        <v>-263.4212</v>
      </c>
      <c r="H1965">
        <v>1.0500640000000001</v>
      </c>
      <c r="I1965">
        <v>282.86180000000002</v>
      </c>
      <c r="J1965">
        <v>-262.99619999999999</v>
      </c>
      <c r="K1965">
        <v>1.1084959999999999</v>
      </c>
      <c r="L1965">
        <v>282.7833</v>
      </c>
      <c r="M1965">
        <v>-0.99995489999999998</v>
      </c>
      <c r="N1965">
        <v>0</v>
      </c>
      <c r="O1965">
        <v>6.256419E-3</v>
      </c>
      <c r="P1965">
        <v>-0.99951979999999996</v>
      </c>
      <c r="Q1965">
        <v>2.9572520000000001E-2</v>
      </c>
      <c r="R1965">
        <v>9.2592500000000001E-3</v>
      </c>
      <c r="S1965">
        <v>-3.0056150000000001</v>
      </c>
      <c r="T1965">
        <v>-0.23341890000000001</v>
      </c>
      <c r="U1965">
        <v>0.32275389999999998</v>
      </c>
      <c r="V1965">
        <v>3.0664580000000002E-3</v>
      </c>
      <c r="W1965">
        <v>3.671613E-2</v>
      </c>
      <c r="X1965">
        <v>0.99932100000000001</v>
      </c>
      <c r="Y1965">
        <v>0.1002671</v>
      </c>
      <c r="Z1965">
        <v>3.3927390000000001E-3</v>
      </c>
      <c r="AA1965">
        <v>0.99495480000000003</v>
      </c>
      <c r="AB1965">
        <v>32</v>
      </c>
      <c r="AC1965">
        <v>-0.42500000000001098</v>
      </c>
      <c r="AD1965">
        <v>-5.8431999999999998E-2</v>
      </c>
      <c r="AE1965">
        <v>7.8500000000019499E-2</v>
      </c>
      <c r="AF1965">
        <v>7.4478027950522094E-2</v>
      </c>
      <c r="AG1965">
        <v>-5.8431999999999998E-2</v>
      </c>
      <c r="AH1965">
        <v>0.417845001898354</v>
      </c>
      <c r="AI1965">
        <v>97.838718642671907</v>
      </c>
      <c r="AJ1965">
        <v>79.893554642662195</v>
      </c>
      <c r="AK1965">
        <v>0.42843403329198099</v>
      </c>
      <c r="AL1965">
        <v>87.895847706530503</v>
      </c>
      <c r="AM1965">
        <v>89.824186072331102</v>
      </c>
      <c r="AN1965">
        <v>0.99999996920391998</v>
      </c>
    </row>
    <row r="1966" spans="1:40" x14ac:dyDescent="0.25">
      <c r="A1966" t="str">
        <f>"20190312151024121"</f>
        <v>20190312151024121</v>
      </c>
      <c r="B1966" t="str">
        <f>"1552374624112348"</f>
        <v>1552374624112348</v>
      </c>
      <c r="C1966" t="s">
        <v>40</v>
      </c>
      <c r="D1966">
        <v>5.2711449999999997</v>
      </c>
      <c r="E1966">
        <v>0.5372342</v>
      </c>
      <c r="F1966" t="s">
        <v>61</v>
      </c>
      <c r="G1966">
        <v>-284.64830000000001</v>
      </c>
      <c r="H1966" s="1">
        <v>6.2931279999999999E-6</v>
      </c>
      <c r="I1966">
        <v>284.84769999999997</v>
      </c>
      <c r="J1966">
        <v>-263.31290000000001</v>
      </c>
      <c r="K1966">
        <v>1.1084909999999999</v>
      </c>
      <c r="L1966">
        <v>282.78590000000003</v>
      </c>
      <c r="M1966">
        <v>-0.99994970000000005</v>
      </c>
      <c r="N1966">
        <v>0</v>
      </c>
      <c r="O1966">
        <v>7.0282309999999898E-3</v>
      </c>
      <c r="P1966">
        <v>-0.99952229999999997</v>
      </c>
      <c r="Q1966">
        <v>2.9263850000000001E-2</v>
      </c>
      <c r="R1966">
        <v>9.9503260000000007E-3</v>
      </c>
      <c r="S1966">
        <v>-3.0032960000000002</v>
      </c>
      <c r="T1966">
        <v>-0.15375510000000001</v>
      </c>
      <c r="U1966">
        <v>0.2863464</v>
      </c>
      <c r="V1966">
        <v>2.985821E-3</v>
      </c>
      <c r="W1966">
        <v>3.6437369999999997E-2</v>
      </c>
      <c r="X1966">
        <v>0.99933150000000004</v>
      </c>
      <c r="Y1966">
        <v>8.7809810000000002E-2</v>
      </c>
      <c r="Z1966">
        <v>1.8824460000000001E-3</v>
      </c>
      <c r="AA1966">
        <v>0.99613549999999995</v>
      </c>
      <c r="AB1966">
        <v>32</v>
      </c>
      <c r="AC1966">
        <v>-21.3354</v>
      </c>
      <c r="AD1966">
        <v>-1.1084847068719901</v>
      </c>
      <c r="AE1966">
        <v>2.0617999999999399</v>
      </c>
      <c r="AF1966">
        <v>1.9066959128054599</v>
      </c>
      <c r="AG1966">
        <v>-1.1084847068719901</v>
      </c>
      <c r="AH1966">
        <v>21.292420474388599</v>
      </c>
      <c r="AI1966">
        <v>92.968275447535703</v>
      </c>
      <c r="AJ1966">
        <v>84.882920092834496</v>
      </c>
      <c r="AK1966">
        <v>21.406340119400198</v>
      </c>
      <c r="AL1966">
        <v>87.911830283536602</v>
      </c>
      <c r="AM1966">
        <v>89.8288111276199</v>
      </c>
      <c r="AN1966">
        <v>1.0000000219759</v>
      </c>
    </row>
    <row r="1967" spans="1:40" x14ac:dyDescent="0.25">
      <c r="A1967" t="str">
        <f>"20190312151024143"</f>
        <v>20190312151024143</v>
      </c>
      <c r="B1967" t="str">
        <f>"1552374624132846"</f>
        <v>1552374624132846</v>
      </c>
      <c r="C1967" t="s">
        <v>40</v>
      </c>
      <c r="D1967">
        <v>5.6147530000000003</v>
      </c>
      <c r="E1967">
        <v>0.53638009999999903</v>
      </c>
      <c r="F1967" t="s">
        <v>41</v>
      </c>
      <c r="G1967">
        <v>-264.28879999999998</v>
      </c>
      <c r="H1967">
        <v>1.0534059999999901</v>
      </c>
      <c r="I1967">
        <v>282.8897</v>
      </c>
      <c r="J1967">
        <v>-263.62939999999998</v>
      </c>
      <c r="K1967">
        <v>1.1084879999999999</v>
      </c>
      <c r="L1967">
        <v>282.78890000000001</v>
      </c>
      <c r="M1967">
        <v>-0.99994360000000004</v>
      </c>
      <c r="N1967">
        <v>0</v>
      </c>
      <c r="O1967">
        <v>7.7996259999999996E-3</v>
      </c>
      <c r="P1967">
        <v>-0.99952189999999996</v>
      </c>
      <c r="Q1967">
        <v>2.9023569999999999E-2</v>
      </c>
      <c r="R1967">
        <v>1.066372E-2</v>
      </c>
      <c r="S1967">
        <v>-3.0032649999999999</v>
      </c>
      <c r="T1967">
        <v>-0.1695583</v>
      </c>
      <c r="U1967">
        <v>0.31900020000000001</v>
      </c>
      <c r="V1967">
        <v>2.928146E-3</v>
      </c>
      <c r="W1967">
        <v>3.6225809999999997E-2</v>
      </c>
      <c r="X1967">
        <v>0.99933930000000004</v>
      </c>
      <c r="Y1967">
        <v>9.7722660000000003E-2</v>
      </c>
      <c r="Z1967">
        <v>2.309972E-3</v>
      </c>
      <c r="AA1967">
        <v>0.99521099999999996</v>
      </c>
      <c r="AB1967">
        <v>32</v>
      </c>
      <c r="AC1967">
        <v>-0.65940000000000498</v>
      </c>
      <c r="AD1967">
        <v>-5.5081999999999999E-2</v>
      </c>
      <c r="AE1967">
        <v>0.10079999999999199</v>
      </c>
      <c r="AF1967">
        <v>9.5005927625950101E-2</v>
      </c>
      <c r="AG1967">
        <v>-5.5081999999999999E-2</v>
      </c>
      <c r="AH1967">
        <v>0.65569529772054103</v>
      </c>
      <c r="AI1967">
        <v>94.752488170922305</v>
      </c>
      <c r="AJ1967">
        <v>81.755594258294195</v>
      </c>
      <c r="AK1967">
        <v>0.664828155586762</v>
      </c>
      <c r="AL1967">
        <v>87.923959657575296</v>
      </c>
      <c r="AM1967">
        <v>89.832119153648406</v>
      </c>
      <c r="AN1967">
        <v>0.999999959936821</v>
      </c>
    </row>
    <row r="1968" spans="1:40" x14ac:dyDescent="0.25">
      <c r="A1968" t="str">
        <f>"20190312151024167"</f>
        <v>20190312151024167</v>
      </c>
      <c r="B1968" t="str">
        <f>"1552374624163102"</f>
        <v>1552374624163102</v>
      </c>
      <c r="C1968" t="s">
        <v>40</v>
      </c>
      <c r="D1968">
        <v>5.3709210000000001</v>
      </c>
      <c r="E1968">
        <v>0.53660459999999999</v>
      </c>
      <c r="F1968" t="s">
        <v>41</v>
      </c>
      <c r="G1968">
        <v>-264.57429999999999</v>
      </c>
      <c r="H1968">
        <v>1.0496299999999901</v>
      </c>
      <c r="I1968">
        <v>282.8879</v>
      </c>
      <c r="J1968">
        <v>-263.96629999999999</v>
      </c>
      <c r="K1968">
        <v>1.1084860000000001</v>
      </c>
      <c r="L1968">
        <v>282.79239999999999</v>
      </c>
      <c r="M1968">
        <v>-0.99993670000000001</v>
      </c>
      <c r="N1968">
        <v>0</v>
      </c>
      <c r="O1968">
        <v>8.6197040000000006E-3</v>
      </c>
      <c r="P1968">
        <v>-0.99952669999999999</v>
      </c>
      <c r="Q1968">
        <v>2.864943E-2</v>
      </c>
      <c r="R1968">
        <v>1.121078E-2</v>
      </c>
      <c r="S1968">
        <v>-3.0035099999999999</v>
      </c>
      <c r="T1968">
        <v>-0.1871988</v>
      </c>
      <c r="U1968">
        <v>0.31384279999999998</v>
      </c>
      <c r="V1968">
        <v>2.6552099999999999E-3</v>
      </c>
      <c r="W1968">
        <v>3.5886990000000001E-2</v>
      </c>
      <c r="X1968">
        <v>0.99935229999999997</v>
      </c>
      <c r="Y1968">
        <v>9.5182959999999997E-2</v>
      </c>
      <c r="Z1968">
        <v>2.4201090000000001E-3</v>
      </c>
      <c r="AA1968">
        <v>0.99545689999999998</v>
      </c>
      <c r="AB1968">
        <v>32</v>
      </c>
      <c r="AC1968">
        <v>-0.60800000000000398</v>
      </c>
      <c r="AD1968">
        <v>-5.88560000000002E-2</v>
      </c>
      <c r="AE1968">
        <v>9.5500000000015406E-2</v>
      </c>
      <c r="AF1968">
        <v>8.9437616832912806E-2</v>
      </c>
      <c r="AG1968">
        <v>-5.88560000000002E-2</v>
      </c>
      <c r="AH1968">
        <v>0.60328351245962997</v>
      </c>
      <c r="AI1968">
        <v>95.5122415189728</v>
      </c>
      <c r="AJ1968">
        <v>81.567243011256906</v>
      </c>
      <c r="AK1968">
        <v>0.61271046379703598</v>
      </c>
      <c r="AL1968">
        <v>87.943385272398302</v>
      </c>
      <c r="AM1968">
        <v>89.847769431520007</v>
      </c>
      <c r="AN1968">
        <v>0.99999997285334596</v>
      </c>
    </row>
    <row r="1969" spans="1:40" x14ac:dyDescent="0.25">
      <c r="A1969" t="str">
        <f>"20190312151024189"</f>
        <v>20190312151024189</v>
      </c>
      <c r="B1969" t="str">
        <f>"1552374624182621"</f>
        <v>1552374624182621</v>
      </c>
      <c r="C1969" t="s">
        <v>40</v>
      </c>
      <c r="D1969">
        <v>5.4161999999999999</v>
      </c>
      <c r="E1969">
        <v>0.53695700000000002</v>
      </c>
      <c r="F1969" t="s">
        <v>41</v>
      </c>
      <c r="G1969">
        <v>-264.86040000000003</v>
      </c>
      <c r="H1969">
        <v>1.044613</v>
      </c>
      <c r="I1969">
        <v>282.88670000000002</v>
      </c>
      <c r="J1969">
        <v>-264.29520000000002</v>
      </c>
      <c r="K1969">
        <v>1.1084860000000001</v>
      </c>
      <c r="L1969">
        <v>282.79599999999999</v>
      </c>
      <c r="M1969">
        <v>-0.99992910000000002</v>
      </c>
      <c r="N1969">
        <v>0</v>
      </c>
      <c r="O1969">
        <v>9.41993E-3</v>
      </c>
      <c r="P1969">
        <v>-0.99951109999999999</v>
      </c>
      <c r="Q1969">
        <v>2.913282E-2</v>
      </c>
      <c r="R1969">
        <v>1.136354E-2</v>
      </c>
      <c r="S1969">
        <v>-3.0040279999999999</v>
      </c>
      <c r="T1969">
        <v>-0.21475710000000001</v>
      </c>
      <c r="U1969">
        <v>0.31634519999999999</v>
      </c>
      <c r="V1969">
        <v>2.0092669999999999E-3</v>
      </c>
      <c r="W1969">
        <v>3.640641E-2</v>
      </c>
      <c r="X1969">
        <v>0.99933510000000003</v>
      </c>
      <c r="Y1969">
        <v>9.5138589999999995E-2</v>
      </c>
      <c r="Z1969">
        <v>2.7164020000000001E-3</v>
      </c>
      <c r="AA1969">
        <v>0.99546029999999996</v>
      </c>
      <c r="AB1969">
        <v>32</v>
      </c>
      <c r="AC1969">
        <v>-0.56520000000000403</v>
      </c>
      <c r="AD1969">
        <v>-6.3872999999999999E-2</v>
      </c>
      <c r="AE1969">
        <v>9.0700000000026607E-2</v>
      </c>
      <c r="AF1969">
        <v>8.4321837985169304E-2</v>
      </c>
      <c r="AG1969">
        <v>-6.3872999999999999E-2</v>
      </c>
      <c r="AH1969">
        <v>0.55906862909238597</v>
      </c>
      <c r="AI1969">
        <v>96.445446504175393</v>
      </c>
      <c r="AJ1969">
        <v>81.4229798616376</v>
      </c>
      <c r="AK1969">
        <v>0.56898828153612901</v>
      </c>
      <c r="AL1969">
        <v>87.913605403264597</v>
      </c>
      <c r="AM1969">
        <v>89.884801040325002</v>
      </c>
      <c r="AN1969">
        <v>1.00000005296748</v>
      </c>
    </row>
    <row r="1970" spans="1:40" x14ac:dyDescent="0.25">
      <c r="A1970" t="str">
        <f>"20190312151024211"</f>
        <v>20190312151024211</v>
      </c>
      <c r="B1970" t="str">
        <f>"1552374624202140"</f>
        <v>1552374624202140</v>
      </c>
      <c r="C1970" t="s">
        <v>40</v>
      </c>
      <c r="D1970">
        <v>5.3227250000000002</v>
      </c>
      <c r="E1970">
        <v>0.53717130000000002</v>
      </c>
      <c r="F1970" t="s">
        <v>41</v>
      </c>
      <c r="G1970">
        <v>-265.1515</v>
      </c>
      <c r="H1970">
        <v>1.045631</v>
      </c>
      <c r="I1970">
        <v>282.88720000000001</v>
      </c>
      <c r="J1970">
        <v>-264.61759999999998</v>
      </c>
      <c r="K1970">
        <v>1.1084860000000001</v>
      </c>
      <c r="L1970">
        <v>282.7998</v>
      </c>
      <c r="M1970">
        <v>-0.99992130000000001</v>
      </c>
      <c r="N1970">
        <v>0</v>
      </c>
      <c r="O1970">
        <v>1.020329E-2</v>
      </c>
      <c r="P1970">
        <v>-0.99951690000000004</v>
      </c>
      <c r="Q1970">
        <v>2.9031069999999999E-2</v>
      </c>
      <c r="R1970">
        <v>1.1104589999999999E-2</v>
      </c>
      <c r="S1970">
        <v>-3.0043030000000002</v>
      </c>
      <c r="T1970">
        <v>-0.2206533</v>
      </c>
      <c r="U1970">
        <v>0.31945800000000002</v>
      </c>
      <c r="V1970">
        <v>9.6727439999999998E-4</v>
      </c>
      <c r="W1970">
        <v>3.6340169999999998E-2</v>
      </c>
      <c r="X1970">
        <v>0.99933899999999998</v>
      </c>
      <c r="Y1970">
        <v>9.5358769999999995E-2</v>
      </c>
      <c r="Z1970">
        <v>2.7411530000000001E-3</v>
      </c>
      <c r="AA1970">
        <v>0.99543919999999997</v>
      </c>
      <c r="AB1970">
        <v>32</v>
      </c>
      <c r="AC1970">
        <v>-0.53390000000001603</v>
      </c>
      <c r="AD1970">
        <v>-6.2855000000000105E-2</v>
      </c>
      <c r="AE1970">
        <v>8.7400000000002295E-2</v>
      </c>
      <c r="AF1970">
        <v>8.0856355905455604E-2</v>
      </c>
      <c r="AG1970">
        <v>-6.2855000000000105E-2</v>
      </c>
      <c r="AH1970">
        <v>0.52764180069426103</v>
      </c>
      <c r="AI1970">
        <v>96.715645826645201</v>
      </c>
      <c r="AJ1970">
        <v>81.287712028527196</v>
      </c>
      <c r="AK1970">
        <v>0.53748894979821904</v>
      </c>
      <c r="AL1970">
        <v>87.917403057919699</v>
      </c>
      <c r="AM1970">
        <v>89.944542619227306</v>
      </c>
      <c r="AN1970">
        <v>0.99999999024819697</v>
      </c>
    </row>
    <row r="1971" spans="1:40" x14ac:dyDescent="0.25">
      <c r="A1971" t="str">
        <f>"20190312151024233"</f>
        <v>20190312151024233</v>
      </c>
      <c r="B1971" t="str">
        <f>"1552374624222636"</f>
        <v>1552374624222636</v>
      </c>
      <c r="C1971" t="s">
        <v>40</v>
      </c>
      <c r="D1971">
        <v>5.2625520000000003</v>
      </c>
      <c r="E1971">
        <v>0.53788279999999999</v>
      </c>
      <c r="F1971" t="s">
        <v>41</v>
      </c>
      <c r="G1971">
        <v>-265.4434</v>
      </c>
      <c r="H1971">
        <v>1.047134</v>
      </c>
      <c r="I1971">
        <v>282.88799999999998</v>
      </c>
      <c r="J1971">
        <v>-264.93349999999998</v>
      </c>
      <c r="K1971">
        <v>1.108484</v>
      </c>
      <c r="L1971">
        <v>282.80369999999999</v>
      </c>
      <c r="M1971">
        <v>-0.99991300000000005</v>
      </c>
      <c r="N1971">
        <v>0</v>
      </c>
      <c r="O1971">
        <v>1.09672E-2</v>
      </c>
      <c r="P1971">
        <v>-0.9995214</v>
      </c>
      <c r="Q1971">
        <v>2.8707679999999999E-2</v>
      </c>
      <c r="R1971">
        <v>1.1533740000000001E-2</v>
      </c>
      <c r="S1971">
        <v>-3.0043329999999999</v>
      </c>
      <c r="T1971">
        <v>-0.2232633</v>
      </c>
      <c r="U1971">
        <v>0.32070920000000003</v>
      </c>
      <c r="V1971">
        <v>6.3232869999999995E-4</v>
      </c>
      <c r="W1971">
        <v>3.605092E-2</v>
      </c>
      <c r="X1971">
        <v>0.99934979999999995</v>
      </c>
      <c r="Y1971">
        <v>9.5004850000000002E-2</v>
      </c>
      <c r="Z1971">
        <v>2.7037910000000001E-3</v>
      </c>
      <c r="AA1971">
        <v>0.9954731</v>
      </c>
      <c r="AB1971">
        <v>32</v>
      </c>
      <c r="AC1971">
        <v>-0.50990000000001601</v>
      </c>
      <c r="AD1971">
        <v>-6.1350000000000002E-2</v>
      </c>
      <c r="AE1971">
        <v>8.4299999999984707E-2</v>
      </c>
      <c r="AF1971">
        <v>7.7609000500302505E-2</v>
      </c>
      <c r="AG1971">
        <v>-6.1350000000000002E-2</v>
      </c>
      <c r="AH1971">
        <v>0.50369620876364096</v>
      </c>
      <c r="AI1971">
        <v>96.864183156545707</v>
      </c>
      <c r="AJ1971">
        <v>81.240806406602601</v>
      </c>
      <c r="AK1971">
        <v>0.51331944262955997</v>
      </c>
      <c r="AL1971">
        <v>87.933986843850306</v>
      </c>
      <c r="AM1971">
        <v>89.9637466671429</v>
      </c>
      <c r="AN1971">
        <v>1.0000000457162299</v>
      </c>
    </row>
    <row r="1972" spans="1:40" x14ac:dyDescent="0.25">
      <c r="A1972" t="str">
        <f>"20190312151024254"</f>
        <v>20190312151024254</v>
      </c>
      <c r="B1972" t="str">
        <f>"1552374624252893"</f>
        <v>1552374624252893</v>
      </c>
      <c r="C1972" t="s">
        <v>40</v>
      </c>
      <c r="D1972">
        <v>5.3841289999999997</v>
      </c>
      <c r="E1972">
        <v>0.53789439999999999</v>
      </c>
      <c r="F1972" t="s">
        <v>41</v>
      </c>
      <c r="G1972">
        <v>-265.73689999999999</v>
      </c>
      <c r="H1972">
        <v>1.049234</v>
      </c>
      <c r="I1972">
        <v>282.89159999999998</v>
      </c>
      <c r="J1972">
        <v>-265.26179999999999</v>
      </c>
      <c r="K1972">
        <v>1.108487</v>
      </c>
      <c r="L1972">
        <v>282.80810000000002</v>
      </c>
      <c r="M1972">
        <v>-0.99990369999999995</v>
      </c>
      <c r="N1972">
        <v>0</v>
      </c>
      <c r="O1972">
        <v>1.1756610000000001E-2</v>
      </c>
      <c r="P1972">
        <v>-0.99953619999999999</v>
      </c>
      <c r="Q1972">
        <v>2.7954280000000001E-2</v>
      </c>
      <c r="R1972">
        <v>1.210315E-2</v>
      </c>
      <c r="S1972">
        <v>-3.0039980000000002</v>
      </c>
      <c r="T1972">
        <v>-0.22172249999999999</v>
      </c>
      <c r="U1972">
        <v>0.32730100000000001</v>
      </c>
      <c r="V1972">
        <v>4.1120490000000001E-4</v>
      </c>
      <c r="W1972">
        <v>3.5335650000000003E-2</v>
      </c>
      <c r="X1972">
        <v>0.99937540000000002</v>
      </c>
      <c r="Y1972">
        <v>9.6391420000000005E-2</v>
      </c>
      <c r="Z1972">
        <v>2.6781219999999998E-3</v>
      </c>
      <c r="AA1972">
        <v>0.99533990000000006</v>
      </c>
      <c r="AB1972">
        <v>33</v>
      </c>
      <c r="AC1972">
        <v>-0.47509999999999702</v>
      </c>
      <c r="AD1972">
        <v>-5.9253E-2</v>
      </c>
      <c r="AE1972">
        <v>8.3499999999958094E-2</v>
      </c>
      <c r="AF1972">
        <v>7.6750481493384204E-2</v>
      </c>
      <c r="AG1972">
        <v>-5.9253E-2</v>
      </c>
      <c r="AH1972">
        <v>0.46897288883821397</v>
      </c>
      <c r="AI1972">
        <v>97.107390354008103</v>
      </c>
      <c r="AJ1972">
        <v>80.705565393978006</v>
      </c>
      <c r="AK1972">
        <v>0.47889155858474503</v>
      </c>
      <c r="AL1972">
        <v>87.974994800095203</v>
      </c>
      <c r="AM1972">
        <v>89.9764249710814</v>
      </c>
      <c r="AN1972">
        <v>0.99999998368777598</v>
      </c>
    </row>
    <row r="1973" spans="1:40" x14ac:dyDescent="0.25">
      <c r="A1973" t="str">
        <f>"20190312151024278"</f>
        <v>20190312151024278</v>
      </c>
      <c r="B1973" t="str">
        <f>"1552374624272412"</f>
        <v>1552374624272412</v>
      </c>
      <c r="C1973" t="s">
        <v>40</v>
      </c>
      <c r="D1973">
        <v>5.3927060000000004</v>
      </c>
      <c r="E1973">
        <v>0.5381785</v>
      </c>
      <c r="F1973" t="s">
        <v>41</v>
      </c>
      <c r="G1973">
        <v>-266.02929999999998</v>
      </c>
      <c r="H1973">
        <v>1.048977</v>
      </c>
      <c r="I1973">
        <v>282.89210000000003</v>
      </c>
      <c r="J1973">
        <v>-265.59269999999998</v>
      </c>
      <c r="K1973">
        <v>1.10849</v>
      </c>
      <c r="L1973">
        <v>282.81270000000001</v>
      </c>
      <c r="M1973">
        <v>-0.99989380000000005</v>
      </c>
      <c r="N1973">
        <v>0</v>
      </c>
      <c r="O1973">
        <v>1.254367E-2</v>
      </c>
      <c r="P1973">
        <v>-0.99955360000000004</v>
      </c>
      <c r="Q1973">
        <v>2.7133890000000001E-2</v>
      </c>
      <c r="R1973">
        <v>1.251318E-2</v>
      </c>
      <c r="S1973">
        <v>-3.0039669999999998</v>
      </c>
      <c r="T1973">
        <v>-0.2329128</v>
      </c>
      <c r="U1973">
        <v>0.32885740000000002</v>
      </c>
      <c r="V1973" s="1">
        <v>3.2589010000000003E-5</v>
      </c>
      <c r="W1973">
        <v>3.4553630000000002E-2</v>
      </c>
      <c r="X1973">
        <v>0.99940280000000004</v>
      </c>
      <c r="Y1973">
        <v>9.6098390000000006E-2</v>
      </c>
      <c r="Z1973">
        <v>2.7408049999999998E-3</v>
      </c>
      <c r="AA1973">
        <v>0.99536809999999998</v>
      </c>
      <c r="AB1973">
        <v>33</v>
      </c>
      <c r="AC1973">
        <v>-0.43659999999999799</v>
      </c>
      <c r="AD1973">
        <v>-5.9512999999999899E-2</v>
      </c>
      <c r="AE1973">
        <v>7.9400000000020995E-2</v>
      </c>
      <c r="AF1973">
        <v>7.2611081096814398E-2</v>
      </c>
      <c r="AG1973">
        <v>-5.9512999999999899E-2</v>
      </c>
      <c r="AH1973">
        <v>0.42983087226238398</v>
      </c>
      <c r="AI1973">
        <v>97.774102130814398</v>
      </c>
      <c r="AJ1973">
        <v>80.4115818513324</v>
      </c>
      <c r="AK1973">
        <v>0.439964481540147</v>
      </c>
      <c r="AL1973">
        <v>88.019828573967004</v>
      </c>
      <c r="AM1973">
        <v>89.998131671503302</v>
      </c>
      <c r="AN1973">
        <v>0.99999995552802901</v>
      </c>
    </row>
    <row r="1974" spans="1:40" x14ac:dyDescent="0.25">
      <c r="A1974" t="str">
        <f>"20190312151024299"</f>
        <v>20190312151024299</v>
      </c>
      <c r="B1974" t="str">
        <f>"1552374624292908"</f>
        <v>1552374624292908</v>
      </c>
      <c r="C1974" t="s">
        <v>40</v>
      </c>
      <c r="D1974">
        <v>5.2589930000000003</v>
      </c>
      <c r="E1974">
        <v>0.53840390000000005</v>
      </c>
      <c r="F1974" t="s">
        <v>41</v>
      </c>
      <c r="G1974">
        <v>-266.60570000000001</v>
      </c>
      <c r="H1974">
        <v>1.0283340000000001</v>
      </c>
      <c r="I1974">
        <v>282.9248</v>
      </c>
      <c r="J1974">
        <v>-265.91460000000001</v>
      </c>
      <c r="K1974">
        <v>1.108493</v>
      </c>
      <c r="L1974">
        <v>282.8175</v>
      </c>
      <c r="M1974">
        <v>-0.99988390000000005</v>
      </c>
      <c r="N1974">
        <v>0</v>
      </c>
      <c r="O1974">
        <v>1.329371E-2</v>
      </c>
      <c r="P1974">
        <v>-0.99955989999999995</v>
      </c>
      <c r="Q1974">
        <v>2.662929E-2</v>
      </c>
      <c r="R1974">
        <v>1.308287E-2</v>
      </c>
      <c r="S1974">
        <v>-3.0036320000000001</v>
      </c>
      <c r="T1974">
        <v>-0.2376722</v>
      </c>
      <c r="U1974">
        <v>0.332428</v>
      </c>
      <c r="V1974">
        <v>-1.4898860000000001E-4</v>
      </c>
      <c r="W1974">
        <v>3.4084219999999998E-2</v>
      </c>
      <c r="X1974">
        <v>0.99941899999999995</v>
      </c>
      <c r="Y1974">
        <v>9.6523659999999997E-2</v>
      </c>
      <c r="Z1974">
        <v>2.7544660000000001E-3</v>
      </c>
      <c r="AA1974">
        <v>0.99532690000000001</v>
      </c>
      <c r="AB1974">
        <v>33</v>
      </c>
      <c r="AC1974">
        <v>-0.69110000000000504</v>
      </c>
      <c r="AD1974">
        <v>-8.01589999999998E-2</v>
      </c>
      <c r="AE1974">
        <v>0.107300000000009</v>
      </c>
      <c r="AF1974">
        <v>9.6830964851362597E-2</v>
      </c>
      <c r="AG1974">
        <v>-8.01589999999998E-2</v>
      </c>
      <c r="AH1974">
        <v>0.68348679105185195</v>
      </c>
      <c r="AI1974">
        <v>96.623521169755705</v>
      </c>
      <c r="AJ1974">
        <v>81.936452281272807</v>
      </c>
      <c r="AK1974">
        <v>0.69495028209031195</v>
      </c>
      <c r="AL1974">
        <v>88.046739818270098</v>
      </c>
      <c r="AM1974">
        <v>90.008541380454304</v>
      </c>
      <c r="AN1974">
        <v>1.0000000469057999</v>
      </c>
    </row>
    <row r="1975" spans="1:40" x14ac:dyDescent="0.25">
      <c r="A1975" t="str">
        <f>"20190312151024323"</f>
        <v>20190312151024323</v>
      </c>
      <c r="B1975" t="str">
        <f>"1552374624312432"</f>
        <v>1552374624312432</v>
      </c>
      <c r="C1975" t="s">
        <v>40</v>
      </c>
      <c r="D1975">
        <v>5.3126579999999999</v>
      </c>
      <c r="E1975">
        <v>0.53946850000000002</v>
      </c>
      <c r="F1975" t="s">
        <v>41</v>
      </c>
      <c r="G1975">
        <v>-266.90069999999997</v>
      </c>
      <c r="H1975">
        <v>1.0293410000000001</v>
      </c>
      <c r="I1975">
        <v>282.92809999999997</v>
      </c>
      <c r="J1975">
        <v>-266.25049999999999</v>
      </c>
      <c r="K1975">
        <v>1.108501</v>
      </c>
      <c r="L1975">
        <v>282.8227</v>
      </c>
      <c r="M1975">
        <v>-0.99987320000000002</v>
      </c>
      <c r="N1975">
        <v>0</v>
      </c>
      <c r="O1975">
        <v>1.406136E-2</v>
      </c>
      <c r="P1975">
        <v>-0.99955660000000002</v>
      </c>
      <c r="Q1975">
        <v>2.6369099999999999E-2</v>
      </c>
      <c r="R1975">
        <v>1.38365E-2</v>
      </c>
      <c r="S1975">
        <v>-3.0033569999999998</v>
      </c>
      <c r="T1975">
        <v>-0.24115790000000001</v>
      </c>
      <c r="U1975">
        <v>0.3360901</v>
      </c>
      <c r="V1975">
        <v>-1.642398E-4</v>
      </c>
      <c r="W1975">
        <v>3.3857379999999999E-2</v>
      </c>
      <c r="X1975">
        <v>0.9994267</v>
      </c>
      <c r="Y1975">
        <v>9.6961710000000007E-2</v>
      </c>
      <c r="Z1975">
        <v>2.7509840000000002E-3</v>
      </c>
      <c r="AA1975">
        <v>0.99528430000000001</v>
      </c>
      <c r="AB1975">
        <v>33</v>
      </c>
      <c r="AC1975">
        <v>-0.65019999999998301</v>
      </c>
      <c r="AD1975">
        <v>-7.9159999999999897E-2</v>
      </c>
      <c r="AE1975">
        <v>0.105399999999974</v>
      </c>
      <c r="AF1975">
        <v>9.4876342998941904E-2</v>
      </c>
      <c r="AG1975">
        <v>-7.9159999999999897E-2</v>
      </c>
      <c r="AH1975">
        <v>0.64234059693058398</v>
      </c>
      <c r="AI1975">
        <v>96.9508621733778</v>
      </c>
      <c r="AJ1975">
        <v>81.597927974771295</v>
      </c>
      <c r="AK1975">
        <v>0.65411716727662095</v>
      </c>
      <c r="AL1975">
        <v>88.059744282650698</v>
      </c>
      <c r="AM1975">
        <v>90.009415645272796</v>
      </c>
      <c r="AN1975">
        <v>1.00000003891403</v>
      </c>
    </row>
    <row r="1976" spans="1:40" x14ac:dyDescent="0.25">
      <c r="A1976" t="str">
        <f>"20190312151024344"</f>
        <v>20190312151024344</v>
      </c>
      <c r="B1976" t="str">
        <f>"1552374624332925"</f>
        <v>1552374624332925</v>
      </c>
      <c r="C1976" t="s">
        <v>40</v>
      </c>
      <c r="D1976">
        <v>5.3274759999999999</v>
      </c>
      <c r="E1976">
        <v>0.54050880000000001</v>
      </c>
      <c r="F1976" t="s">
        <v>41</v>
      </c>
      <c r="G1976">
        <v>-267.197</v>
      </c>
      <c r="H1976">
        <v>1.0317000000000001</v>
      </c>
      <c r="I1976">
        <v>282.93209999999999</v>
      </c>
      <c r="J1976">
        <v>-266.57049999999998</v>
      </c>
      <c r="K1976">
        <v>1.1085069999999999</v>
      </c>
      <c r="L1976">
        <v>282.8279</v>
      </c>
      <c r="M1976">
        <v>-0.99986269999999999</v>
      </c>
      <c r="N1976">
        <v>0</v>
      </c>
      <c r="O1976">
        <v>1.476969E-2</v>
      </c>
      <c r="P1976">
        <v>-0.99955539999999998</v>
      </c>
      <c r="Q1976">
        <v>2.61389E-2</v>
      </c>
      <c r="R1976">
        <v>1.434937E-2</v>
      </c>
      <c r="S1976">
        <v>-3.0029599999999999</v>
      </c>
      <c r="T1976">
        <v>-0.24369560000000001</v>
      </c>
      <c r="U1976">
        <v>0.34674070000000001</v>
      </c>
      <c r="V1976">
        <v>-3.6106289999999997E-4</v>
      </c>
      <c r="W1976">
        <v>3.3657699999999999E-2</v>
      </c>
      <c r="X1976">
        <v>0.99943329999999997</v>
      </c>
      <c r="Y1976">
        <v>9.9743520000000002E-2</v>
      </c>
      <c r="Z1976">
        <v>2.8348029999999999E-3</v>
      </c>
      <c r="AA1976">
        <v>0.99500909999999998</v>
      </c>
      <c r="AB1976">
        <v>33</v>
      </c>
      <c r="AC1976">
        <v>-0.62650000000002104</v>
      </c>
      <c r="AD1976">
        <v>-7.6806999999999806E-2</v>
      </c>
      <c r="AE1976">
        <v>0.10419999999999099</v>
      </c>
      <c r="AF1976">
        <v>9.3566707418531597E-2</v>
      </c>
      <c r="AG1976">
        <v>-7.6806999999999806E-2</v>
      </c>
      <c r="AH1976">
        <v>0.61891874598482699</v>
      </c>
      <c r="AI1976">
        <v>96.995476212114298</v>
      </c>
      <c r="AJ1976">
        <v>81.403253868648903</v>
      </c>
      <c r="AK1976">
        <v>0.63064606406254198</v>
      </c>
      <c r="AL1976">
        <v>88.071191448864198</v>
      </c>
      <c r="AM1976">
        <v>90.020699109594105</v>
      </c>
      <c r="AN1976">
        <v>0.99999994614229704</v>
      </c>
    </row>
    <row r="1977" spans="1:40" x14ac:dyDescent="0.25">
      <c r="A1977" t="str">
        <f>"20190312151024367"</f>
        <v>20190312151024367</v>
      </c>
      <c r="B1977" t="str">
        <f>"1552374624362205"</f>
        <v>1552374624362205</v>
      </c>
      <c r="C1977" t="s">
        <v>40</v>
      </c>
      <c r="D1977">
        <v>5.2277950000000004</v>
      </c>
      <c r="E1977">
        <v>0.54170189999999996</v>
      </c>
      <c r="F1977" t="s">
        <v>41</v>
      </c>
      <c r="G1977">
        <v>-267.49340000000001</v>
      </c>
      <c r="H1977">
        <v>1.0332330000000001</v>
      </c>
      <c r="I1977">
        <v>282.93770000000001</v>
      </c>
      <c r="J1977">
        <v>-266.89519999999999</v>
      </c>
      <c r="K1977">
        <v>1.108527</v>
      </c>
      <c r="L1977">
        <v>282.83339999999998</v>
      </c>
      <c r="M1977">
        <v>-0.99985219999999997</v>
      </c>
      <c r="N1977">
        <v>0</v>
      </c>
      <c r="O1977">
        <v>1.545418E-2</v>
      </c>
      <c r="P1977">
        <v>-0.99955700000000003</v>
      </c>
      <c r="Q1977">
        <v>2.5683379999999999E-2</v>
      </c>
      <c r="R1977">
        <v>1.505574E-2</v>
      </c>
      <c r="S1977">
        <v>-3.0026250000000001</v>
      </c>
      <c r="T1977">
        <v>-0.24496789999999999</v>
      </c>
      <c r="U1977">
        <v>0.35662840000000001</v>
      </c>
      <c r="V1977">
        <v>-3.4105209999999998E-4</v>
      </c>
      <c r="W1977">
        <v>3.3231650000000001E-2</v>
      </c>
      <c r="X1977">
        <v>0.99944759999999999</v>
      </c>
      <c r="Y1977">
        <v>0.102298</v>
      </c>
      <c r="Z1977">
        <v>2.8974750000000001E-3</v>
      </c>
      <c r="AA1977">
        <v>0.99474960000000001</v>
      </c>
      <c r="AB1977">
        <v>33</v>
      </c>
      <c r="AC1977">
        <v>-0.59820000000001905</v>
      </c>
      <c r="AD1977">
        <v>-7.5293999999999903E-2</v>
      </c>
      <c r="AE1977">
        <v>0.104300000000023</v>
      </c>
      <c r="AF1977">
        <v>9.3603415370967696E-2</v>
      </c>
      <c r="AG1977">
        <v>-7.5293999999999903E-2</v>
      </c>
      <c r="AH1977">
        <v>0.59065894858882095</v>
      </c>
      <c r="AI1977">
        <v>97.175977240908793</v>
      </c>
      <c r="AJ1977">
        <v>80.995057732060602</v>
      </c>
      <c r="AK1977">
        <v>0.60275100941695703</v>
      </c>
      <c r="AL1977">
        <v>88.095616049369099</v>
      </c>
      <c r="AM1977">
        <v>90.019551645494502</v>
      </c>
      <c r="AN1977">
        <v>0.99999998201200802</v>
      </c>
    </row>
    <row r="1978" spans="1:40" x14ac:dyDescent="0.25">
      <c r="A1978" t="str">
        <f>"20190312151024390"</f>
        <v>20190312151024390</v>
      </c>
      <c r="B1978" t="str">
        <f>"1552374624382700"</f>
        <v>1552374624382700</v>
      </c>
      <c r="C1978" t="s">
        <v>40</v>
      </c>
      <c r="D1978">
        <v>5.294136</v>
      </c>
      <c r="E1978">
        <v>0.54220380000000001</v>
      </c>
      <c r="F1978" t="s">
        <v>41</v>
      </c>
      <c r="G1978">
        <v>-267.79129999999998</v>
      </c>
      <c r="H1978">
        <v>1.0361819999999999</v>
      </c>
      <c r="I1978">
        <v>282.94349999999997</v>
      </c>
      <c r="J1978">
        <v>-267.24740000000003</v>
      </c>
      <c r="K1978">
        <v>1.108562</v>
      </c>
      <c r="L1978">
        <v>282.83949999999999</v>
      </c>
      <c r="M1978">
        <v>-0.99984099999999998</v>
      </c>
      <c r="N1978">
        <v>0</v>
      </c>
      <c r="O1978">
        <v>1.6144220000000001E-2</v>
      </c>
      <c r="P1978">
        <v>-0.99954500000000002</v>
      </c>
      <c r="Q1978">
        <v>2.561625E-2</v>
      </c>
      <c r="R1978">
        <v>1.594344E-2</v>
      </c>
      <c r="S1978">
        <v>-3.002014</v>
      </c>
      <c r="T1978">
        <v>-0.24239769999999999</v>
      </c>
      <c r="U1978">
        <v>0.3686218</v>
      </c>
      <c r="V1978">
        <v>-1.4613350000000001E-4</v>
      </c>
      <c r="W1978">
        <v>3.3199239999999998E-2</v>
      </c>
      <c r="X1978">
        <v>0.99944869999999997</v>
      </c>
      <c r="Y1978">
        <v>0.1055494</v>
      </c>
      <c r="Z1978">
        <v>2.942255E-3</v>
      </c>
      <c r="AA1978">
        <v>0.99440969999999995</v>
      </c>
      <c r="AB1978">
        <v>33</v>
      </c>
      <c r="AC1978">
        <v>-0.54389999999995098</v>
      </c>
      <c r="AD1978">
        <v>-7.2380000000000097E-2</v>
      </c>
      <c r="AE1978">
        <v>0.10399999999998499</v>
      </c>
      <c r="AF1978">
        <v>9.3606132651111701E-2</v>
      </c>
      <c r="AG1978">
        <v>-7.2380000000000097E-2</v>
      </c>
      <c r="AH1978">
        <v>0.53634494095283203</v>
      </c>
      <c r="AI1978">
        <v>97.572556230795598</v>
      </c>
      <c r="AJ1978">
        <v>80.100108274629306</v>
      </c>
      <c r="AK1978">
        <v>0.54924208520068296</v>
      </c>
      <c r="AL1978">
        <v>88.097473984003102</v>
      </c>
      <c r="AM1978">
        <v>90.008377451224604</v>
      </c>
      <c r="AN1978">
        <v>0.99999995741163195</v>
      </c>
    </row>
    <row r="1979" spans="1:40" x14ac:dyDescent="0.25">
      <c r="A1979" t="str">
        <f>"20190312151024411"</f>
        <v>20190312151024411</v>
      </c>
      <c r="B1979" t="str">
        <f>"1552374624402220"</f>
        <v>1552374624402220</v>
      </c>
      <c r="C1979" t="s">
        <v>40</v>
      </c>
      <c r="D1979">
        <v>5.2238309999999997</v>
      </c>
      <c r="E1979">
        <v>0.54261930000000003</v>
      </c>
      <c r="F1979" t="s">
        <v>41</v>
      </c>
      <c r="G1979">
        <v>-268.09089999999998</v>
      </c>
      <c r="H1979">
        <v>1.041574</v>
      </c>
      <c r="I1979">
        <v>282.94529999999997</v>
      </c>
      <c r="J1979">
        <v>-267.57479999999998</v>
      </c>
      <c r="K1979">
        <v>1.108603</v>
      </c>
      <c r="L1979">
        <v>282.84539999999998</v>
      </c>
      <c r="M1979">
        <v>-0.99983109999999997</v>
      </c>
      <c r="N1979">
        <v>0</v>
      </c>
      <c r="O1979">
        <v>1.6725360000000002E-2</v>
      </c>
      <c r="P1979">
        <v>-0.99952569999999996</v>
      </c>
      <c r="Q1979">
        <v>2.575769E-2</v>
      </c>
      <c r="R1979">
        <v>1.6881070000000001E-2</v>
      </c>
      <c r="S1979">
        <v>-3.0014949999999998</v>
      </c>
      <c r="T1979">
        <v>-0.23856040000000001</v>
      </c>
      <c r="U1979">
        <v>0.37512210000000001</v>
      </c>
      <c r="V1979">
        <v>2.076236E-4</v>
      </c>
      <c r="W1979">
        <v>3.3373180000000002E-2</v>
      </c>
      <c r="X1979">
        <v>0.99944290000000002</v>
      </c>
      <c r="Y1979">
        <v>0.10711900000000001</v>
      </c>
      <c r="Z1979">
        <v>2.912067E-3</v>
      </c>
      <c r="AA1979">
        <v>0.99424199999999996</v>
      </c>
      <c r="AB1979">
        <v>33</v>
      </c>
      <c r="AC1979">
        <v>-0.51609999999999401</v>
      </c>
      <c r="AD1979">
        <v>-6.7028999999999894E-2</v>
      </c>
      <c r="AE1979">
        <v>9.9899999999990996E-2</v>
      </c>
      <c r="AF1979">
        <v>8.9793894177956093E-2</v>
      </c>
      <c r="AG1979">
        <v>-6.7028999999999894E-2</v>
      </c>
      <c r="AH1979">
        <v>0.50941632385159497</v>
      </c>
      <c r="AI1979">
        <v>97.383376551251004</v>
      </c>
      <c r="AJ1979">
        <v>80.003266831797305</v>
      </c>
      <c r="AK1979">
        <v>0.52159449889652298</v>
      </c>
      <c r="AL1979">
        <v>88.0875024374959</v>
      </c>
      <c r="AM1979">
        <v>89.988097413232694</v>
      </c>
      <c r="AN1979">
        <v>0.99999996130563995</v>
      </c>
    </row>
    <row r="1980" spans="1:40" x14ac:dyDescent="0.25">
      <c r="A1980" t="str">
        <f>"20190312151024433"</f>
        <v>20190312151024433</v>
      </c>
      <c r="B1980" t="str">
        <f>"1552374624422716"</f>
        <v>1552374624422716</v>
      </c>
      <c r="C1980" t="s">
        <v>40</v>
      </c>
      <c r="D1980">
        <v>5.1823180000000004</v>
      </c>
      <c r="E1980">
        <v>0.54307609999999995</v>
      </c>
      <c r="F1980" t="s">
        <v>41</v>
      </c>
      <c r="G1980">
        <v>-268.39019999999999</v>
      </c>
      <c r="H1980">
        <v>1.04497</v>
      </c>
      <c r="I1980">
        <v>282.94920000000002</v>
      </c>
      <c r="J1980">
        <v>-267.89850000000001</v>
      </c>
      <c r="K1980">
        <v>1.108657</v>
      </c>
      <c r="L1980">
        <v>282.85129999999998</v>
      </c>
      <c r="M1980">
        <v>-0.99982230000000005</v>
      </c>
      <c r="N1980">
        <v>0</v>
      </c>
      <c r="O1980">
        <v>1.723061E-2</v>
      </c>
      <c r="P1980">
        <v>-0.99952909999999995</v>
      </c>
      <c r="Q1980">
        <v>2.5375499999999999E-2</v>
      </c>
      <c r="R1980">
        <v>1.7254450000000001E-2</v>
      </c>
      <c r="S1980">
        <v>-3.001007</v>
      </c>
      <c r="T1980">
        <v>-0.23426350000000001</v>
      </c>
      <c r="U1980">
        <v>0.38156129999999999</v>
      </c>
      <c r="V1980" s="1">
        <v>7.1115410000000001E-5</v>
      </c>
      <c r="W1980">
        <v>3.3022429999999998E-2</v>
      </c>
      <c r="X1980">
        <v>0.99945459999999997</v>
      </c>
      <c r="Y1980">
        <v>0.10874300000000001</v>
      </c>
      <c r="Z1980">
        <v>2.8836959999999998E-3</v>
      </c>
      <c r="AA1980">
        <v>0.99406570000000005</v>
      </c>
      <c r="AB1980">
        <v>33</v>
      </c>
      <c r="AC1980">
        <v>-0.49169999999997999</v>
      </c>
      <c r="AD1980">
        <v>-6.3686999999999799E-2</v>
      </c>
      <c r="AE1980">
        <v>9.7900000000038206E-2</v>
      </c>
      <c r="AF1980">
        <v>8.7993002365996706E-2</v>
      </c>
      <c r="AG1980">
        <v>-6.3686999999999799E-2</v>
      </c>
      <c r="AH1980">
        <v>0.48547984152933399</v>
      </c>
      <c r="AI1980">
        <v>97.355098642317898</v>
      </c>
      <c r="AJ1980">
        <v>79.726694372277393</v>
      </c>
      <c r="AK1980">
        <v>0.497483144403637</v>
      </c>
      <c r="AL1980">
        <v>88.107610073860698</v>
      </c>
      <c r="AM1980">
        <v>89.995923163648996</v>
      </c>
      <c r="AN1980">
        <v>0.99999999170083298</v>
      </c>
    </row>
    <row r="1981" spans="1:40" x14ac:dyDescent="0.25">
      <c r="A1981" t="str">
        <f>"20190312151024455"</f>
        <v>20190312151024455</v>
      </c>
      <c r="B1981" t="str">
        <f>"1552374624452973"</f>
        <v>1552374624452973</v>
      </c>
      <c r="C1981" t="s">
        <v>40</v>
      </c>
      <c r="D1981">
        <v>5.2401530000000003</v>
      </c>
      <c r="E1981">
        <v>0.54364119999999905</v>
      </c>
      <c r="F1981" t="s">
        <v>41</v>
      </c>
      <c r="G1981">
        <v>-268.6902</v>
      </c>
      <c r="H1981">
        <v>1.0474950000000001</v>
      </c>
      <c r="I1981">
        <v>282.95339999999999</v>
      </c>
      <c r="J1981">
        <v>-268.23379999999997</v>
      </c>
      <c r="K1981">
        <v>1.108719</v>
      </c>
      <c r="L1981">
        <v>282.85750000000002</v>
      </c>
      <c r="M1981">
        <v>-0.99981450000000005</v>
      </c>
      <c r="N1981">
        <v>0</v>
      </c>
      <c r="O1981">
        <v>1.7673359999999999E-2</v>
      </c>
      <c r="P1981">
        <v>-0.99952450000000004</v>
      </c>
      <c r="Q1981">
        <v>2.5207960000000001E-2</v>
      </c>
      <c r="R1981">
        <v>1.776285E-2</v>
      </c>
      <c r="S1981">
        <v>-3.00061</v>
      </c>
      <c r="T1981">
        <v>-0.23193749999999999</v>
      </c>
      <c r="U1981">
        <v>0.38653559999999998</v>
      </c>
      <c r="V1981">
        <v>1.3177719999999901E-4</v>
      </c>
      <c r="W1981">
        <v>3.2885169999999998E-2</v>
      </c>
      <c r="X1981">
        <v>0.99945910000000004</v>
      </c>
      <c r="Y1981">
        <v>0.10994370000000001</v>
      </c>
      <c r="Z1981">
        <v>2.8673660000000001E-3</v>
      </c>
      <c r="AA1981">
        <v>0.99393370000000003</v>
      </c>
      <c r="AB1981">
        <v>33</v>
      </c>
      <c r="AC1981">
        <v>-0.45640000000003</v>
      </c>
      <c r="AD1981">
        <v>-6.1223999999999897E-2</v>
      </c>
      <c r="AE1981">
        <v>9.5899999999971897E-2</v>
      </c>
      <c r="AF1981">
        <v>8.6330828876482898E-2</v>
      </c>
      <c r="AG1981">
        <v>-6.1223999999999897E-2</v>
      </c>
      <c r="AH1981">
        <v>0.45026374726799501</v>
      </c>
      <c r="AI1981">
        <v>97.606343715593894</v>
      </c>
      <c r="AJ1981">
        <v>79.146179167367805</v>
      </c>
      <c r="AK1981">
        <v>0.462535222760729</v>
      </c>
      <c r="AL1981">
        <v>88.115478729487805</v>
      </c>
      <c r="AM1981">
        <v>89.992445636492405</v>
      </c>
      <c r="AN1981">
        <v>0.999999972171984</v>
      </c>
    </row>
    <row r="1982" spans="1:40" x14ac:dyDescent="0.25">
      <c r="A1982" t="str">
        <f>"20190312151024477"</f>
        <v>20190312151024477</v>
      </c>
      <c r="B1982" t="str">
        <f>"1552374624472493"</f>
        <v>1552374624472493</v>
      </c>
      <c r="C1982" t="s">
        <v>40</v>
      </c>
      <c r="D1982">
        <v>5.2118729999999998</v>
      </c>
      <c r="E1982">
        <v>0.52471979999999996</v>
      </c>
      <c r="F1982" t="s">
        <v>41</v>
      </c>
      <c r="G1982">
        <v>-268.99149999999997</v>
      </c>
      <c r="H1982">
        <v>1.050403</v>
      </c>
      <c r="I1982">
        <v>282.95679999999999</v>
      </c>
      <c r="J1982">
        <v>-268.55689999999998</v>
      </c>
      <c r="K1982">
        <v>1.108789</v>
      </c>
      <c r="L1982">
        <v>282.86360000000002</v>
      </c>
      <c r="M1982">
        <v>-0.99980800000000003</v>
      </c>
      <c r="N1982">
        <v>0</v>
      </c>
      <c r="O1982">
        <v>1.801678E-2</v>
      </c>
      <c r="P1982">
        <v>-0.9995465</v>
      </c>
      <c r="Q1982">
        <v>2.4872310000000002E-2</v>
      </c>
      <c r="R1982">
        <v>1.6980950000000002E-2</v>
      </c>
      <c r="S1982">
        <v>-3.0002749999999998</v>
      </c>
      <c r="T1982">
        <v>-0.2310112</v>
      </c>
      <c r="U1982">
        <v>0.39263920000000002</v>
      </c>
      <c r="V1982">
        <v>-9.992219000000001E-4</v>
      </c>
      <c r="W1982">
        <v>3.2578250000000003E-2</v>
      </c>
      <c r="X1982">
        <v>0.99946869999999999</v>
      </c>
      <c r="Y1982">
        <v>0.1116031</v>
      </c>
      <c r="Z1982">
        <v>2.893142E-3</v>
      </c>
      <c r="AA1982">
        <v>0.99374870000000004</v>
      </c>
      <c r="AB1982">
        <v>33</v>
      </c>
      <c r="AC1982">
        <v>-0.434599999999989</v>
      </c>
      <c r="AD1982">
        <v>-5.8386E-2</v>
      </c>
      <c r="AE1982">
        <v>9.3199999999967503E-2</v>
      </c>
      <c r="AF1982">
        <v>8.3906748736724601E-2</v>
      </c>
      <c r="AG1982">
        <v>-5.8386E-2</v>
      </c>
      <c r="AH1982">
        <v>0.428809625513354</v>
      </c>
      <c r="AI1982">
        <v>97.611019227848004</v>
      </c>
      <c r="AJ1982">
        <v>78.928611768940499</v>
      </c>
      <c r="AK1982">
        <v>0.44082531961364302</v>
      </c>
      <c r="AL1982">
        <v>88.133073451904295</v>
      </c>
      <c r="AM1982">
        <v>90.057281612313304</v>
      </c>
      <c r="AN1982">
        <v>1.0000000115485701</v>
      </c>
    </row>
    <row r="1983" spans="1:40" x14ac:dyDescent="0.25">
      <c r="A1983" t="str">
        <f>"20190312151024501"</f>
        <v>20190312151024501</v>
      </c>
      <c r="B1983" t="str">
        <f>"1552374624492989"</f>
        <v>1552374624492989</v>
      </c>
      <c r="C1983" t="s">
        <v>40</v>
      </c>
      <c r="D1983">
        <v>5.1522639999999997</v>
      </c>
      <c r="E1983">
        <v>0.51406189999999996</v>
      </c>
      <c r="F1983" t="s">
        <v>61</v>
      </c>
      <c r="G1983">
        <v>-307.56849999999997</v>
      </c>
      <c r="H1983" s="1">
        <v>2.4981490000000001E-6</v>
      </c>
      <c r="I1983">
        <v>286.03390000000002</v>
      </c>
      <c r="J1983">
        <v>-268.90679999999998</v>
      </c>
      <c r="K1983">
        <v>1.1088610000000001</v>
      </c>
      <c r="L1983">
        <v>282.87009999999998</v>
      </c>
      <c r="M1983">
        <v>-0.99980279999999999</v>
      </c>
      <c r="N1983">
        <v>0</v>
      </c>
      <c r="O1983">
        <v>1.8291229999999999E-2</v>
      </c>
      <c r="P1983">
        <v>-0.99954750000000003</v>
      </c>
      <c r="Q1983">
        <v>2.5111379999999999E-2</v>
      </c>
      <c r="R1983">
        <v>1.6562190000000001E-2</v>
      </c>
      <c r="S1983">
        <v>-2.9993289999999999</v>
      </c>
      <c r="T1983">
        <v>-8.5246799999999998E-2</v>
      </c>
      <c r="U1983">
        <v>0.24374390000000001</v>
      </c>
      <c r="V1983">
        <v>-1.697879E-3</v>
      </c>
      <c r="W1983">
        <v>3.2845619999999999E-2</v>
      </c>
      <c r="X1983">
        <v>0.99945899999999999</v>
      </c>
      <c r="Y1983">
        <v>6.2736089999999994E-2</v>
      </c>
      <c r="Z1983">
        <v>3.71085E-4</v>
      </c>
      <c r="AA1983">
        <v>0.99803010000000003</v>
      </c>
      <c r="AB1983">
        <v>33</v>
      </c>
      <c r="AC1983">
        <v>-38.661700000000003</v>
      </c>
      <c r="AD1983">
        <v>-1.108858501851</v>
      </c>
      <c r="AE1983">
        <v>3.1638000000000299</v>
      </c>
      <c r="AF1983">
        <v>2.4540741794197598</v>
      </c>
      <c r="AG1983">
        <v>-1.108858501851</v>
      </c>
      <c r="AH1983">
        <v>38.681495236997897</v>
      </c>
      <c r="AI1983">
        <v>91.638720161754506</v>
      </c>
      <c r="AJ1983">
        <v>86.369843098502201</v>
      </c>
      <c r="AK1983">
        <v>38.775122450162797</v>
      </c>
      <c r="AL1983">
        <v>88.117746064467994</v>
      </c>
      <c r="AM1983">
        <v>90.097333864863103</v>
      </c>
      <c r="AN1983">
        <v>1.00000000511364</v>
      </c>
    </row>
    <row r="1984" spans="1:40" x14ac:dyDescent="0.25">
      <c r="A1984" t="str">
        <f>"20190312151024522"</f>
        <v>20190312151024522</v>
      </c>
      <c r="B1984" t="str">
        <f>"1552374624512508"</f>
        <v>1552374624512508</v>
      </c>
      <c r="C1984" t="s">
        <v>40</v>
      </c>
      <c r="D1984">
        <v>5.1389699999999996</v>
      </c>
      <c r="E1984">
        <v>0.50966199999999995</v>
      </c>
      <c r="F1984" t="s">
        <v>61</v>
      </c>
      <c r="G1984">
        <v>-292.6977</v>
      </c>
      <c r="H1984" s="1">
        <v>2.7289499999999999E-6</v>
      </c>
      <c r="I1984">
        <v>284.10539999999997</v>
      </c>
      <c r="J1984">
        <v>-269.23239999999998</v>
      </c>
      <c r="K1984">
        <v>1.1089260000000001</v>
      </c>
      <c r="L1984">
        <v>282.87630000000001</v>
      </c>
      <c r="M1984">
        <v>-0.9997994</v>
      </c>
      <c r="N1984">
        <v>0</v>
      </c>
      <c r="O1984">
        <v>1.8471129999999999E-2</v>
      </c>
      <c r="P1984">
        <v>-0.99956080000000003</v>
      </c>
      <c r="Q1984">
        <v>2.4722399999999999E-2</v>
      </c>
      <c r="R1984">
        <v>1.6349820000000001E-2</v>
      </c>
      <c r="S1984">
        <v>-3.002319</v>
      </c>
      <c r="T1984">
        <v>-0.13993349999999999</v>
      </c>
      <c r="U1984">
        <v>0.15588379999999999</v>
      </c>
      <c r="V1984">
        <v>-2.09537E-3</v>
      </c>
      <c r="W1984">
        <v>3.248579E-2</v>
      </c>
      <c r="X1984">
        <v>0.99946999999999997</v>
      </c>
      <c r="Y1984">
        <v>3.3379449999999998E-2</v>
      </c>
      <c r="Z1984" s="1">
        <v>-8.2813899999999895E-5</v>
      </c>
      <c r="AA1984">
        <v>0.99944279999999996</v>
      </c>
      <c r="AB1984">
        <v>34</v>
      </c>
      <c r="AC1984">
        <v>-23.465299999999999</v>
      </c>
      <c r="AD1984">
        <v>-1.1089232710500001</v>
      </c>
      <c r="AE1984">
        <v>1.2290999999999599</v>
      </c>
      <c r="AF1984">
        <v>0.79367900181033901</v>
      </c>
      <c r="AG1984">
        <v>-1.1089232710500001</v>
      </c>
      <c r="AH1984">
        <v>23.4318124573206</v>
      </c>
      <c r="AI1984">
        <v>92.707981608900695</v>
      </c>
      <c r="AJ1984">
        <v>88.060027232319598</v>
      </c>
      <c r="AK1984">
        <v>23.471460802728799</v>
      </c>
      <c r="AL1984">
        <v>88.138373801795794</v>
      </c>
      <c r="AM1984">
        <v>90.120119344880393</v>
      </c>
      <c r="AN1984">
        <v>0.99999999901367997</v>
      </c>
    </row>
    <row r="1985" spans="1:40" x14ac:dyDescent="0.25">
      <c r="A1985" t="str">
        <f>"20190312151024544"</f>
        <v>20190312151024544</v>
      </c>
      <c r="B1985" t="str">
        <f>"1552374624533005"</f>
        <v>1552374624533005</v>
      </c>
      <c r="C1985" t="s">
        <v>40</v>
      </c>
      <c r="D1985">
        <v>5.1195639999999996</v>
      </c>
      <c r="E1985">
        <v>0.50825229999999999</v>
      </c>
      <c r="F1985" t="s">
        <v>61</v>
      </c>
      <c r="G1985">
        <v>-289.80270000000002</v>
      </c>
      <c r="H1985" s="1">
        <v>4.2459310000000001E-6</v>
      </c>
      <c r="I1985">
        <v>283.69310000000002</v>
      </c>
      <c r="J1985">
        <v>-269.56040000000002</v>
      </c>
      <c r="K1985">
        <v>1.1089800000000001</v>
      </c>
      <c r="L1985">
        <v>282.88249999999999</v>
      </c>
      <c r="M1985">
        <v>-0.99979689999999999</v>
      </c>
      <c r="N1985">
        <v>0</v>
      </c>
      <c r="O1985">
        <v>1.8592959999999999E-2</v>
      </c>
      <c r="P1985">
        <v>-0.9995733</v>
      </c>
      <c r="Q1985">
        <v>2.440496E-2</v>
      </c>
      <c r="R1985">
        <v>1.6052509999999999E-2</v>
      </c>
      <c r="S1985">
        <v>-3.0034179999999999</v>
      </c>
      <c r="T1985">
        <v>-0.161911</v>
      </c>
      <c r="U1985">
        <v>0.1192627</v>
      </c>
      <c r="V1985">
        <v>-2.5190770000000002E-3</v>
      </c>
      <c r="W1985">
        <v>3.2198890000000001E-2</v>
      </c>
      <c r="X1985">
        <v>0.99947830000000004</v>
      </c>
      <c r="Y1985">
        <v>2.108836E-2</v>
      </c>
      <c r="Z1985">
        <v>-4.3331100000000003E-4</v>
      </c>
      <c r="AA1985">
        <v>0.99977749999999999</v>
      </c>
      <c r="AB1985">
        <v>34</v>
      </c>
      <c r="AC1985">
        <v>-20.2423</v>
      </c>
      <c r="AD1985">
        <v>-1.108975754069</v>
      </c>
      <c r="AE1985">
        <v>0.81060000000002197</v>
      </c>
      <c r="AF1985">
        <v>0.432787325898707</v>
      </c>
      <c r="AG1985">
        <v>-1.108975754069</v>
      </c>
      <c r="AH1985">
        <v>20.193361142214801</v>
      </c>
      <c r="AI1985">
        <v>93.142682545497095</v>
      </c>
      <c r="AJ1985">
        <v>88.772215711921106</v>
      </c>
      <c r="AK1985">
        <v>20.2284197680512</v>
      </c>
      <c r="AL1985">
        <v>88.154820554443702</v>
      </c>
      <c r="AM1985">
        <v>90.144407512150707</v>
      </c>
      <c r="AN1985">
        <v>0.99999999321852695</v>
      </c>
    </row>
    <row r="1986" spans="1:40" x14ac:dyDescent="0.25">
      <c r="A1986" t="str">
        <f>"20190312151024567"</f>
        <v>20190312151024567</v>
      </c>
      <c r="B1986" t="str">
        <f>"1552374624562284"</f>
        <v>1552374624562284</v>
      </c>
      <c r="C1986" t="s">
        <v>40</v>
      </c>
      <c r="D1986">
        <v>5.0729040000000003</v>
      </c>
      <c r="E1986">
        <v>0.50641650000000005</v>
      </c>
      <c r="F1986" t="s">
        <v>61</v>
      </c>
      <c r="G1986">
        <v>-288.779</v>
      </c>
      <c r="H1986" s="1">
        <v>4.7259550000000004E-6</v>
      </c>
      <c r="I1986">
        <v>283.56709999999998</v>
      </c>
      <c r="J1986">
        <v>-269.90589999999997</v>
      </c>
      <c r="K1986">
        <v>1.1090310000000001</v>
      </c>
      <c r="L1986">
        <v>282.88900000000001</v>
      </c>
      <c r="M1986">
        <v>-0.99979510000000005</v>
      </c>
      <c r="N1986">
        <v>0</v>
      </c>
      <c r="O1986">
        <v>1.8667570000000001E-2</v>
      </c>
      <c r="P1986">
        <v>-0.99956970000000001</v>
      </c>
      <c r="Q1986">
        <v>2.4752949999999999E-2</v>
      </c>
      <c r="R1986">
        <v>1.5748769999999999E-2</v>
      </c>
      <c r="S1986">
        <v>-3.003784</v>
      </c>
      <c r="T1986">
        <v>-0.17332800000000001</v>
      </c>
      <c r="U1986">
        <v>0.1069946</v>
      </c>
      <c r="V1986">
        <v>-2.900789E-3</v>
      </c>
      <c r="W1986">
        <v>3.257873E-2</v>
      </c>
      <c r="X1986">
        <v>0.99946500000000005</v>
      </c>
      <c r="Y1986">
        <v>1.6937730000000002E-2</v>
      </c>
      <c r="Z1986">
        <v>-5.8772019999999998E-4</v>
      </c>
      <c r="AA1986">
        <v>0.99985639999999998</v>
      </c>
      <c r="AB1986">
        <v>34</v>
      </c>
      <c r="AC1986">
        <v>-18.873100000000001</v>
      </c>
      <c r="AD1986">
        <v>-1.1090262740450001</v>
      </c>
      <c r="AE1986">
        <v>0.67809999999997195</v>
      </c>
      <c r="AF1986">
        <v>0.32453693733695999</v>
      </c>
      <c r="AG1986">
        <v>-1.1090262740450001</v>
      </c>
      <c r="AH1986">
        <v>18.817576536806602</v>
      </c>
      <c r="AI1986">
        <v>93.372362675532102</v>
      </c>
      <c r="AJ1986">
        <v>89.011947500286198</v>
      </c>
      <c r="AK1986">
        <v>18.853022309931902</v>
      </c>
      <c r="AL1986">
        <v>88.133045983277995</v>
      </c>
      <c r="AM1986">
        <v>90.166291466219604</v>
      </c>
      <c r="AN1986">
        <v>1.0000000372251101</v>
      </c>
    </row>
    <row r="1987" spans="1:40" x14ac:dyDescent="0.25">
      <c r="A1987" t="str">
        <f>"20190312151024591"</f>
        <v>20190312151024591</v>
      </c>
      <c r="B1987" t="str">
        <f>"1552374624582780"</f>
        <v>1552374624582780</v>
      </c>
      <c r="C1987" t="s">
        <v>40</v>
      </c>
      <c r="D1987">
        <v>5.0870579999999999</v>
      </c>
      <c r="E1987">
        <v>0.50577649999999996</v>
      </c>
      <c r="F1987" t="s">
        <v>61</v>
      </c>
      <c r="G1987">
        <v>-287.80149999999998</v>
      </c>
      <c r="H1987" s="1">
        <v>5.1873640000000004E-6</v>
      </c>
      <c r="I1987">
        <v>283.43189999999998</v>
      </c>
      <c r="J1987">
        <v>-270.26049999999998</v>
      </c>
      <c r="K1987">
        <v>1.109073</v>
      </c>
      <c r="L1987">
        <v>282.89569999999998</v>
      </c>
      <c r="M1987">
        <v>-0.99979430000000002</v>
      </c>
      <c r="N1987">
        <v>0</v>
      </c>
      <c r="O1987">
        <v>1.8704640000000002E-2</v>
      </c>
      <c r="P1987">
        <v>-0.99957510000000005</v>
      </c>
      <c r="Q1987">
        <v>2.4251040000000001E-2</v>
      </c>
      <c r="R1987">
        <v>1.6174830000000001E-2</v>
      </c>
      <c r="S1987">
        <v>-3.004486</v>
      </c>
      <c r="T1987">
        <v>-0.18619469999999999</v>
      </c>
      <c r="U1987">
        <v>9.1156009999999996E-2</v>
      </c>
      <c r="V1987">
        <v>-2.5152719999999998E-3</v>
      </c>
      <c r="W1987">
        <v>3.2109770000000003E-2</v>
      </c>
      <c r="X1987">
        <v>0.99948119999999996</v>
      </c>
      <c r="Y1987">
        <v>1.163763E-2</v>
      </c>
      <c r="Z1987">
        <v>-7.9751789999999996E-4</v>
      </c>
      <c r="AA1987">
        <v>0.99993200000000004</v>
      </c>
      <c r="AB1987">
        <v>34</v>
      </c>
      <c r="AC1987">
        <v>-17.540999999999901</v>
      </c>
      <c r="AD1987">
        <v>-1.1090678126360001</v>
      </c>
      <c r="AE1987">
        <v>0.536200000000008</v>
      </c>
      <c r="AF1987">
        <v>0.20717058132197</v>
      </c>
      <c r="AG1987">
        <v>-1.1090678126360001</v>
      </c>
      <c r="AH1987">
        <v>17.4781540471804</v>
      </c>
      <c r="AI1987">
        <v>93.630553733430006</v>
      </c>
      <c r="AJ1987">
        <v>89.320898301581906</v>
      </c>
      <c r="AK1987">
        <v>17.5145316797155</v>
      </c>
      <c r="AL1987">
        <v>88.159929438975695</v>
      </c>
      <c r="AM1987">
        <v>90.1441889709332</v>
      </c>
      <c r="AN1987">
        <v>1.00000001653806</v>
      </c>
    </row>
    <row r="1988" spans="1:40" x14ac:dyDescent="0.25">
      <c r="A1988" t="str">
        <f>"20190312151024614"</f>
        <v>20190312151024614</v>
      </c>
      <c r="B1988" t="str">
        <f>"1552374624602300"</f>
        <v>1552374624602300</v>
      </c>
      <c r="C1988" t="s">
        <v>40</v>
      </c>
      <c r="D1988">
        <v>5.0786230000000003</v>
      </c>
      <c r="E1988">
        <v>0.50542540000000002</v>
      </c>
      <c r="F1988" t="s">
        <v>61</v>
      </c>
      <c r="G1988">
        <v>-287.53469999999999</v>
      </c>
      <c r="H1988" s="1">
        <v>5.3130450000000004E-6</v>
      </c>
      <c r="I1988">
        <v>283.39609999999999</v>
      </c>
      <c r="J1988">
        <v>-270.60300000000001</v>
      </c>
      <c r="K1988">
        <v>1.109111</v>
      </c>
      <c r="L1988">
        <v>282.90219999999999</v>
      </c>
      <c r="M1988">
        <v>-0.99979379999999995</v>
      </c>
      <c r="N1988">
        <v>0</v>
      </c>
      <c r="O1988">
        <v>1.8713420000000001E-2</v>
      </c>
      <c r="P1988">
        <v>-0.99958199999999997</v>
      </c>
      <c r="Q1988">
        <v>2.402162E-2</v>
      </c>
      <c r="R1988">
        <v>1.608921E-2</v>
      </c>
      <c r="S1988">
        <v>-3.0045470000000001</v>
      </c>
      <c r="T1988">
        <v>-0.19290299999999999</v>
      </c>
      <c r="U1988">
        <v>8.7036130000000003E-2</v>
      </c>
      <c r="V1988">
        <v>-2.612512E-3</v>
      </c>
      <c r="W1988">
        <v>3.1914360000000003E-2</v>
      </c>
      <c r="X1988">
        <v>0.99948720000000002</v>
      </c>
      <c r="Y1988">
        <v>1.0262149999999999E-2</v>
      </c>
      <c r="Z1988">
        <v>-8.7086119999999997E-4</v>
      </c>
      <c r="AA1988">
        <v>0.99994700000000003</v>
      </c>
      <c r="AB1988">
        <v>34</v>
      </c>
      <c r="AC1988">
        <v>-16.9316999999999</v>
      </c>
      <c r="AD1988">
        <v>-1.109105686955</v>
      </c>
      <c r="AE1988">
        <v>0.49389999999999601</v>
      </c>
      <c r="AF1988">
        <v>0.176198244776539</v>
      </c>
      <c r="AG1988">
        <v>-1.109105686955</v>
      </c>
      <c r="AH1988">
        <v>16.8656709556127</v>
      </c>
      <c r="AI1988">
        <v>93.762213533664806</v>
      </c>
      <c r="AJ1988">
        <v>89.401444001096294</v>
      </c>
      <c r="AK1988">
        <v>16.903018015410598</v>
      </c>
      <c r="AL1988">
        <v>88.171131331317</v>
      </c>
      <c r="AM1988">
        <v>90.149762368775498</v>
      </c>
      <c r="AN1988">
        <v>1.00000000727849</v>
      </c>
    </row>
    <row r="1989" spans="1:40" x14ac:dyDescent="0.25">
      <c r="A1989" t="str">
        <f>"20190312151024635"</f>
        <v>20190312151024635</v>
      </c>
      <c r="B1989" t="str">
        <f>"1552374624622796"</f>
        <v>1552374624622796</v>
      </c>
      <c r="C1989" t="s">
        <v>40</v>
      </c>
      <c r="D1989">
        <v>5.0485490000000004</v>
      </c>
      <c r="E1989">
        <v>0.50521609999999995</v>
      </c>
      <c r="F1989" t="s">
        <v>61</v>
      </c>
      <c r="G1989">
        <v>-287.36959999999999</v>
      </c>
      <c r="H1989" s="1">
        <v>5.39173E-6</v>
      </c>
      <c r="I1989">
        <v>283.3698</v>
      </c>
      <c r="J1989">
        <v>-270.93740000000003</v>
      </c>
      <c r="K1989">
        <v>1.1091390000000001</v>
      </c>
      <c r="L1989">
        <v>282.90839999999997</v>
      </c>
      <c r="M1989">
        <v>-0.99979379999999995</v>
      </c>
      <c r="N1989">
        <v>0</v>
      </c>
      <c r="O1989">
        <v>1.86967E-2</v>
      </c>
      <c r="P1989">
        <v>-0.99958409999999998</v>
      </c>
      <c r="Q1989">
        <v>2.3903839999999999E-2</v>
      </c>
      <c r="R1989">
        <v>1.613554E-2</v>
      </c>
      <c r="S1989">
        <v>-3.0046689999999998</v>
      </c>
      <c r="T1989">
        <v>-0.19875880000000001</v>
      </c>
      <c r="U1989">
        <v>8.3801269999999997E-2</v>
      </c>
      <c r="V1989">
        <v>-2.5510390000000002E-3</v>
      </c>
      <c r="W1989">
        <v>3.1830480000000001E-2</v>
      </c>
      <c r="X1989">
        <v>0.99948999999999999</v>
      </c>
      <c r="Y1989">
        <v>9.2053380000000004E-3</v>
      </c>
      <c r="Z1989">
        <v>-9.3102639999999997E-4</v>
      </c>
      <c r="AA1989">
        <v>0.99995719999999999</v>
      </c>
      <c r="AB1989">
        <v>34</v>
      </c>
      <c r="AC1989">
        <v>-16.432199999999899</v>
      </c>
      <c r="AD1989">
        <v>-1.1091336082699901</v>
      </c>
      <c r="AE1989">
        <v>0.46140000000002601</v>
      </c>
      <c r="AF1989">
        <v>0.15338353020502299</v>
      </c>
      <c r="AG1989">
        <v>-1.1091336082699901</v>
      </c>
      <c r="AH1989">
        <v>16.363462491281201</v>
      </c>
      <c r="AI1989">
        <v>93.877470501574194</v>
      </c>
      <c r="AJ1989">
        <v>89.4629515875083</v>
      </c>
      <c r="AK1989">
        <v>16.4017257802921</v>
      </c>
      <c r="AL1989">
        <v>88.175939682896299</v>
      </c>
      <c r="AM1989">
        <v>90.146238032078998</v>
      </c>
      <c r="AN1989">
        <v>0.99999997367850402</v>
      </c>
    </row>
    <row r="1990" spans="1:40" x14ac:dyDescent="0.25">
      <c r="A1990" t="str">
        <f>"20190312151024656"</f>
        <v>20190312151024656</v>
      </c>
      <c r="B1990" t="str">
        <f>"1552374624653054"</f>
        <v>1552374624653054</v>
      </c>
      <c r="C1990" t="s">
        <v>40</v>
      </c>
      <c r="D1990">
        <v>5.1034280000000001</v>
      </c>
      <c r="E1990">
        <v>0.50487139999999997</v>
      </c>
      <c r="F1990" t="s">
        <v>61</v>
      </c>
      <c r="G1990">
        <v>-287.45650000000001</v>
      </c>
      <c r="H1990" s="1">
        <v>5.3550109999999996E-6</v>
      </c>
      <c r="I1990">
        <v>283.36090000000002</v>
      </c>
      <c r="J1990">
        <v>-271.26760000000002</v>
      </c>
      <c r="K1990">
        <v>1.10917</v>
      </c>
      <c r="L1990">
        <v>282.91460000000001</v>
      </c>
      <c r="M1990">
        <v>-0.99979439999999997</v>
      </c>
      <c r="N1990">
        <v>0</v>
      </c>
      <c r="O1990">
        <v>1.865356E-2</v>
      </c>
      <c r="P1990">
        <v>-0.99959390000000004</v>
      </c>
      <c r="Q1990">
        <v>2.356024E-2</v>
      </c>
      <c r="R1990">
        <v>1.604423E-2</v>
      </c>
      <c r="S1990">
        <v>-3.0047299999999999</v>
      </c>
      <c r="T1990">
        <v>-0.2017449</v>
      </c>
      <c r="U1990">
        <v>8.2305909999999996E-2</v>
      </c>
      <c r="V1990">
        <v>-2.6015830000000002E-3</v>
      </c>
      <c r="W1990">
        <v>3.151926E-2</v>
      </c>
      <c r="X1990">
        <v>0.99949969999999999</v>
      </c>
      <c r="Y1990">
        <v>8.7521919999999902E-3</v>
      </c>
      <c r="Z1990">
        <v>-9.5727240000000003E-4</v>
      </c>
      <c r="AA1990">
        <v>0.99996130000000005</v>
      </c>
      <c r="AB1990">
        <v>34</v>
      </c>
      <c r="AC1990">
        <v>-16.188899999999901</v>
      </c>
      <c r="AD1990">
        <v>-1.109164644989</v>
      </c>
      <c r="AE1990">
        <v>0.44630000000000702</v>
      </c>
      <c r="AF1990">
        <v>0.14355880581580899</v>
      </c>
      <c r="AG1990">
        <v>-1.109164644989</v>
      </c>
      <c r="AH1990">
        <v>16.118801737434801</v>
      </c>
      <c r="AI1990">
        <v>93.9362679824239</v>
      </c>
      <c r="AJ1990">
        <v>89.489720368394401</v>
      </c>
      <c r="AK1990">
        <v>16.157556275351599</v>
      </c>
      <c r="AL1990">
        <v>88.193780169083993</v>
      </c>
      <c r="AM1990">
        <v>90.149134001067907</v>
      </c>
      <c r="AN1990">
        <v>0.99999994114256896</v>
      </c>
    </row>
    <row r="1991" spans="1:40" x14ac:dyDescent="0.25">
      <c r="A1991" t="str">
        <f>"20190312151024680"</f>
        <v>20190312151024680</v>
      </c>
      <c r="B1991" t="str">
        <f>"1552374624672572"</f>
        <v>1552374624672572</v>
      </c>
      <c r="C1991" t="s">
        <v>40</v>
      </c>
      <c r="D1991">
        <v>5.9469469999999998</v>
      </c>
      <c r="E1991">
        <v>0.50466750000000005</v>
      </c>
      <c r="F1991" t="s">
        <v>61</v>
      </c>
      <c r="G1991">
        <v>-288.08199999999999</v>
      </c>
      <c r="H1991" s="1">
        <v>5.0781989999999997E-6</v>
      </c>
      <c r="I1991">
        <v>283.35809999999998</v>
      </c>
      <c r="J1991">
        <v>-271.61279999999999</v>
      </c>
      <c r="K1991">
        <v>1.1092059999999999</v>
      </c>
      <c r="L1991">
        <v>282.92099999999999</v>
      </c>
      <c r="M1991">
        <v>-0.99979560000000001</v>
      </c>
      <c r="N1991">
        <v>0</v>
      </c>
      <c r="O1991">
        <v>1.8577570000000002E-2</v>
      </c>
      <c r="P1991">
        <v>-0.99961999999999995</v>
      </c>
      <c r="Q1991">
        <v>2.2891990000000001E-2</v>
      </c>
      <c r="R1991">
        <v>1.536827E-2</v>
      </c>
      <c r="S1991">
        <v>-3.0046080000000002</v>
      </c>
      <c r="T1991">
        <v>-0.19819919999999999</v>
      </c>
      <c r="U1991">
        <v>7.9254149999999995E-2</v>
      </c>
      <c r="V1991">
        <v>-3.2050199999999998E-3</v>
      </c>
      <c r="W1991">
        <v>3.0886810000000001E-2</v>
      </c>
      <c r="X1991">
        <v>0.99951769999999995</v>
      </c>
      <c r="Y1991">
        <v>7.815476E-3</v>
      </c>
      <c r="Z1991">
        <v>-9.6638979999999995E-4</v>
      </c>
      <c r="AA1991">
        <v>0.999969</v>
      </c>
      <c r="AB1991">
        <v>34</v>
      </c>
      <c r="AC1991">
        <v>-16.469200000000001</v>
      </c>
      <c r="AD1991">
        <v>-1.1092009218009999</v>
      </c>
      <c r="AE1991">
        <v>0.437099999999986</v>
      </c>
      <c r="AF1991">
        <v>0.13046573145231999</v>
      </c>
      <c r="AG1991">
        <v>-1.1092009218009999</v>
      </c>
      <c r="AH1991">
        <v>16.4001390365957</v>
      </c>
      <c r="AI1991">
        <v>93.869106948396805</v>
      </c>
      <c r="AJ1991">
        <v>89.544212516388399</v>
      </c>
      <c r="AK1991">
        <v>16.438123628068901</v>
      </c>
      <c r="AL1991">
        <v>88.230034556541199</v>
      </c>
      <c r="AM1991">
        <v>90.183722099047699</v>
      </c>
      <c r="AN1991">
        <v>0.99999994989923202</v>
      </c>
    </row>
    <row r="1992" spans="1:40" x14ac:dyDescent="0.25">
      <c r="A1992" t="str">
        <f>"20190312151024702"</f>
        <v>20190312151024702</v>
      </c>
      <c r="B1992" t="str">
        <f>"1552374624693072"</f>
        <v>1552374624693072</v>
      </c>
      <c r="C1992" t="s">
        <v>40</v>
      </c>
      <c r="D1992">
        <v>4.9880120000000003</v>
      </c>
      <c r="E1992">
        <v>0.50454869999999996</v>
      </c>
      <c r="F1992" t="s">
        <v>41</v>
      </c>
      <c r="G1992">
        <v>-272.62349999999998</v>
      </c>
      <c r="H1992">
        <v>1.0435810000000001</v>
      </c>
      <c r="I1992">
        <v>282.94639999999998</v>
      </c>
      <c r="J1992">
        <v>-271.96080000000001</v>
      </c>
      <c r="K1992">
        <v>1.109246</v>
      </c>
      <c r="L1992">
        <v>282.92739999999998</v>
      </c>
      <c r="M1992">
        <v>-0.99979720000000005</v>
      </c>
      <c r="N1992">
        <v>0</v>
      </c>
      <c r="O1992">
        <v>1.846882E-2</v>
      </c>
      <c r="P1992">
        <v>-0.99961979999999995</v>
      </c>
      <c r="Q1992">
        <v>2.2923309999999999E-2</v>
      </c>
      <c r="R1992">
        <v>1.533255E-2</v>
      </c>
      <c r="S1992">
        <v>-3.0044559999999998</v>
      </c>
      <c r="T1992">
        <v>-0.19505239999999999</v>
      </c>
      <c r="U1992">
        <v>7.5622560000000005E-2</v>
      </c>
      <c r="V1992">
        <v>-3.1344760000000002E-3</v>
      </c>
      <c r="W1992">
        <v>3.0955440000000001E-2</v>
      </c>
      <c r="X1992">
        <v>0.99951579999999995</v>
      </c>
      <c r="Y1992">
        <v>6.71902E-3</v>
      </c>
      <c r="Z1992">
        <v>-9.79644E-4</v>
      </c>
      <c r="AA1992">
        <v>0.99997689999999995</v>
      </c>
      <c r="AB1992">
        <v>34</v>
      </c>
      <c r="AC1992">
        <v>-0.66269999999997198</v>
      </c>
      <c r="AD1992">
        <v>-6.5665000000000001E-2</v>
      </c>
      <c r="AE1992">
        <v>1.9000000000005401E-2</v>
      </c>
      <c r="AF1992">
        <v>6.6914333889276298E-3</v>
      </c>
      <c r="AG1992">
        <v>-6.5665000000000001E-2</v>
      </c>
      <c r="AH1992">
        <v>0.65649751853500604</v>
      </c>
      <c r="AI1992">
        <v>95.711616020092805</v>
      </c>
      <c r="AJ1992">
        <v>89.416025795521605</v>
      </c>
      <c r="AK1992">
        <v>0.65980728955386603</v>
      </c>
      <c r="AL1992">
        <v>88.226100464807502</v>
      </c>
      <c r="AM1992">
        <v>90.179678657463398</v>
      </c>
      <c r="AN1992">
        <v>0.99999994932751302</v>
      </c>
    </row>
    <row r="1993" spans="1:40" x14ac:dyDescent="0.25">
      <c r="A1993" t="str">
        <f>"20190312151024724"</f>
        <v>20190312151024724</v>
      </c>
      <c r="B1993" t="str">
        <f>"1552374624712588"</f>
        <v>1552374624712588</v>
      </c>
      <c r="C1993" t="s">
        <v>40</v>
      </c>
      <c r="D1993">
        <v>5.0228029999999997</v>
      </c>
      <c r="E1993">
        <v>0.5044826</v>
      </c>
      <c r="F1993" t="s">
        <v>41</v>
      </c>
      <c r="G1993">
        <v>-272.94279999999998</v>
      </c>
      <c r="H1993">
        <v>1.0467959999999901</v>
      </c>
      <c r="I1993">
        <v>282.95190000000002</v>
      </c>
      <c r="J1993">
        <v>-272.30290000000002</v>
      </c>
      <c r="K1993">
        <v>1.109283</v>
      </c>
      <c r="L1993">
        <v>282.93360000000001</v>
      </c>
      <c r="M1993">
        <v>-0.9997994</v>
      </c>
      <c r="N1993">
        <v>0</v>
      </c>
      <c r="O1993">
        <v>1.8334710000000001E-2</v>
      </c>
      <c r="P1993">
        <v>-0.99962220000000002</v>
      </c>
      <c r="Q1993">
        <v>2.2946500000000002E-2</v>
      </c>
      <c r="R1993">
        <v>1.5133850000000001E-2</v>
      </c>
      <c r="S1993">
        <v>-3.0043950000000001</v>
      </c>
      <c r="T1993">
        <v>-0.1911004</v>
      </c>
      <c r="U1993">
        <v>7.4768070000000006E-2</v>
      </c>
      <c r="V1993">
        <v>-3.2016710000000001E-3</v>
      </c>
      <c r="W1993">
        <v>3.101454E-2</v>
      </c>
      <c r="X1993">
        <v>0.99951380000000001</v>
      </c>
      <c r="Y1993">
        <v>6.5684760000000002E-3</v>
      </c>
      <c r="Z1993">
        <v>-9.5612349999999997E-4</v>
      </c>
      <c r="AA1993">
        <v>0.99997789999999998</v>
      </c>
      <c r="AB1993">
        <v>34</v>
      </c>
      <c r="AC1993">
        <v>-0.63989999999995395</v>
      </c>
      <c r="AD1993">
        <v>-6.2487000000000098E-2</v>
      </c>
      <c r="AE1993">
        <v>1.8300000000010599E-2</v>
      </c>
      <c r="AF1993">
        <v>6.50220861759436E-3</v>
      </c>
      <c r="AG1993">
        <v>-6.2487000000000098E-2</v>
      </c>
      <c r="AH1993">
        <v>0.63408641299012203</v>
      </c>
      <c r="AI1993">
        <v>95.627832768695498</v>
      </c>
      <c r="AJ1993">
        <v>89.412483777955998</v>
      </c>
      <c r="AK1993">
        <v>0.637191088312279</v>
      </c>
      <c r="AL1993">
        <v>88.222712737523906</v>
      </c>
      <c r="AM1993">
        <v>90.183530840974598</v>
      </c>
      <c r="AN1993">
        <v>0.99999999438952103</v>
      </c>
    </row>
    <row r="1994" spans="1:40" x14ac:dyDescent="0.25">
      <c r="A1994" t="str">
        <f>"20190312151024745"</f>
        <v>20190312151024745</v>
      </c>
      <c r="B1994" t="str">
        <f>"1552374624742494"</f>
        <v>1552374624742494</v>
      </c>
      <c r="C1994" t="s">
        <v>40</v>
      </c>
      <c r="D1994">
        <v>4.9849779999999999</v>
      </c>
      <c r="E1994">
        <v>0.50439639999999997</v>
      </c>
      <c r="F1994" t="s">
        <v>61</v>
      </c>
      <c r="G1994">
        <v>-289.6377</v>
      </c>
      <c r="H1994" s="1">
        <v>4.3881189999999999E-6</v>
      </c>
      <c r="I1994">
        <v>283.35899999999998</v>
      </c>
      <c r="J1994">
        <v>-272.62529999999998</v>
      </c>
      <c r="K1994">
        <v>1.1093090000000001</v>
      </c>
      <c r="L1994">
        <v>282.93939999999998</v>
      </c>
      <c r="M1994">
        <v>-0.99980179999999996</v>
      </c>
      <c r="N1994">
        <v>0</v>
      </c>
      <c r="O1994">
        <v>1.8181289999999999E-2</v>
      </c>
      <c r="P1994">
        <v>-0.99961739999999999</v>
      </c>
      <c r="Q1994">
        <v>2.2857039999999999E-2</v>
      </c>
      <c r="R1994">
        <v>1.5574269999999999E-2</v>
      </c>
      <c r="S1994">
        <v>-3.0044249999999999</v>
      </c>
      <c r="T1994">
        <v>-0.19225729999999999</v>
      </c>
      <c r="U1994">
        <v>7.3730470000000006E-2</v>
      </c>
      <c r="V1994">
        <v>-2.6102080000000001E-3</v>
      </c>
      <c r="W1994">
        <v>3.0956870000000001E-2</v>
      </c>
      <c r="X1994">
        <v>0.99951730000000005</v>
      </c>
      <c r="Y1994">
        <v>6.3768940000000001E-3</v>
      </c>
      <c r="Z1994">
        <v>-9.5821399999999998E-4</v>
      </c>
      <c r="AA1994">
        <v>0.99997919999999996</v>
      </c>
      <c r="AB1994">
        <v>34</v>
      </c>
      <c r="AC1994">
        <v>-17.0124</v>
      </c>
      <c r="AD1994">
        <v>-1.1093046118809999</v>
      </c>
      <c r="AE1994">
        <v>0.41960000000005898</v>
      </c>
      <c r="AF1994">
        <v>0.10974674842991999</v>
      </c>
      <c r="AG1994">
        <v>-1.1093046118809999</v>
      </c>
      <c r="AH1994">
        <v>16.945213434427</v>
      </c>
      <c r="AI1994">
        <v>93.745398878036397</v>
      </c>
      <c r="AJ1994">
        <v>89.628925442104403</v>
      </c>
      <c r="AK1994">
        <v>16.981839105615599</v>
      </c>
      <c r="AL1994">
        <v>88.226018559391505</v>
      </c>
      <c r="AM1994">
        <v>90.149625786445398</v>
      </c>
      <c r="AN1994">
        <v>0.99999998699264503</v>
      </c>
    </row>
    <row r="1995" spans="1:40" x14ac:dyDescent="0.25">
      <c r="A1995" t="str">
        <f>"20190312151024758"</f>
        <v>20190312151024758</v>
      </c>
      <c r="B1995" t="str">
        <f>"1552374624753229"</f>
        <v>1552374624753229</v>
      </c>
      <c r="C1995" t="s">
        <v>40</v>
      </c>
      <c r="D1995">
        <v>4.9998110000000002</v>
      </c>
      <c r="E1995">
        <v>0.50441650000000005</v>
      </c>
      <c r="F1995" t="s">
        <v>61</v>
      </c>
      <c r="G1995">
        <v>-289.62139999999999</v>
      </c>
      <c r="H1995" s="1">
        <v>4.395374E-6</v>
      </c>
      <c r="I1995">
        <v>283.35890000000001</v>
      </c>
      <c r="J1995">
        <v>-272.81450000000001</v>
      </c>
      <c r="K1995">
        <v>1.109327</v>
      </c>
      <c r="L1995">
        <v>282.9427</v>
      </c>
      <c r="M1995">
        <v>-0.99980369999999996</v>
      </c>
      <c r="N1995">
        <v>0</v>
      </c>
      <c r="O1995">
        <v>1.8080499999999999E-2</v>
      </c>
      <c r="P1995">
        <v>-0.99962309999999999</v>
      </c>
      <c r="Q1995">
        <v>2.264437E-2</v>
      </c>
      <c r="R1995">
        <v>1.552657E-2</v>
      </c>
      <c r="S1995">
        <v>-3.004486</v>
      </c>
      <c r="T1995">
        <v>-0.1960971</v>
      </c>
      <c r="U1995">
        <v>7.4157710000000002E-2</v>
      </c>
      <c r="V1995">
        <v>-2.5582729999999998E-3</v>
      </c>
      <c r="W1995">
        <v>3.0762890000000001E-2</v>
      </c>
      <c r="X1995">
        <v>0.99952350000000001</v>
      </c>
      <c r="Y1995">
        <v>6.6195610000000004E-3</v>
      </c>
      <c r="Z1995">
        <v>-9.6281090000000001E-4</v>
      </c>
      <c r="AA1995">
        <v>0.99997760000000002</v>
      </c>
      <c r="AB1995">
        <v>34</v>
      </c>
      <c r="AC1995">
        <v>-16.806899999999899</v>
      </c>
      <c r="AD1995">
        <v>-1.1093226046260001</v>
      </c>
      <c r="AE1995">
        <v>0.41620000000000301</v>
      </c>
      <c r="AF1995">
        <v>0.11175824984176599</v>
      </c>
      <c r="AG1995">
        <v>-1.1093226046260001</v>
      </c>
      <c r="AH1995">
        <v>16.738799466688899</v>
      </c>
      <c r="AI1995">
        <v>93.791507592658107</v>
      </c>
      <c r="AJ1995">
        <v>89.617464746455099</v>
      </c>
      <c r="AK1995">
        <v>16.775890263516999</v>
      </c>
      <c r="AL1995">
        <v>88.237138225972004</v>
      </c>
      <c r="AM1995">
        <v>90.146647803343598</v>
      </c>
      <c r="AN1995">
        <v>1.0000000636070701</v>
      </c>
    </row>
    <row r="1996" spans="1:40" x14ac:dyDescent="0.25">
      <c r="A1996" t="str">
        <f>"20190312151024769"</f>
        <v>20190312151024769</v>
      </c>
      <c r="B1996" t="str">
        <f>"1552374624762991"</f>
        <v>1552374624762991</v>
      </c>
      <c r="C1996" t="s">
        <v>40</v>
      </c>
      <c r="D1996">
        <v>5.0150059999999996</v>
      </c>
      <c r="E1996">
        <v>0.50441559999999996</v>
      </c>
      <c r="F1996" t="s">
        <v>41</v>
      </c>
      <c r="G1996">
        <v>-273.85039999999998</v>
      </c>
      <c r="H1996">
        <v>1.041118</v>
      </c>
      <c r="I1996">
        <v>282.9683</v>
      </c>
      <c r="J1996">
        <v>-273.00110000000001</v>
      </c>
      <c r="K1996">
        <v>1.1093409999999999</v>
      </c>
      <c r="L1996">
        <v>282.94600000000003</v>
      </c>
      <c r="M1996">
        <v>-0.99980559999999996</v>
      </c>
      <c r="N1996">
        <v>0</v>
      </c>
      <c r="O1996">
        <v>1.7965519999999999E-2</v>
      </c>
      <c r="P1996">
        <v>-0.99962649999999997</v>
      </c>
      <c r="Q1996">
        <v>2.2490699999999999E-2</v>
      </c>
      <c r="R1996">
        <v>1.5526150000000001E-2</v>
      </c>
      <c r="S1996">
        <v>-3.0044559999999998</v>
      </c>
      <c r="T1996">
        <v>-0.1977332</v>
      </c>
      <c r="U1996">
        <v>7.4371339999999994E-2</v>
      </c>
      <c r="V1996">
        <v>-2.4448500000000001E-3</v>
      </c>
      <c r="W1996">
        <v>3.06261E-2</v>
      </c>
      <c r="X1996">
        <v>0.99952790000000002</v>
      </c>
      <c r="Y1996">
        <v>6.8056150000000001E-3</v>
      </c>
      <c r="Z1996">
        <v>-9.5716460000000003E-4</v>
      </c>
      <c r="AA1996">
        <v>0.99997639999999999</v>
      </c>
      <c r="AB1996">
        <v>34</v>
      </c>
      <c r="AC1996">
        <v>-0.84929999999997097</v>
      </c>
      <c r="AD1996">
        <v>-6.8222999999999895E-2</v>
      </c>
      <c r="AE1996">
        <v>2.2300000000029699E-2</v>
      </c>
      <c r="AF1996">
        <v>6.9926905726046202E-3</v>
      </c>
      <c r="AG1996">
        <v>-6.8222999999999895E-2</v>
      </c>
      <c r="AH1996">
        <v>0.84412048684072005</v>
      </c>
      <c r="AI1996">
        <v>94.620523844582806</v>
      </c>
      <c r="AJ1996">
        <v>89.525372859653501</v>
      </c>
      <c r="AK1996">
        <v>0.84690180762273604</v>
      </c>
      <c r="AL1996">
        <v>88.244979261439397</v>
      </c>
      <c r="AM1996">
        <v>90.140145469857302</v>
      </c>
      <c r="AN1996">
        <v>0.99999997908557103</v>
      </c>
    </row>
    <row r="1997" spans="1:40" x14ac:dyDescent="0.25">
      <c r="A1997" t="str">
        <f>"20190312151024784"</f>
        <v>20190312151024784</v>
      </c>
      <c r="B1997" t="str">
        <f>"1552374624772751"</f>
        <v>1552374624772751</v>
      </c>
      <c r="C1997" t="s">
        <v>40</v>
      </c>
      <c r="D1997">
        <v>4.997198</v>
      </c>
      <c r="E1997">
        <v>0.50440739999999995</v>
      </c>
      <c r="F1997" t="s">
        <v>61</v>
      </c>
      <c r="G1997">
        <v>-289.71409999999997</v>
      </c>
      <c r="H1997" s="1">
        <v>4.3543259999999901E-6</v>
      </c>
      <c r="I1997">
        <v>283.35860000000002</v>
      </c>
      <c r="J1997">
        <v>-273.21859999999998</v>
      </c>
      <c r="K1997">
        <v>1.109359</v>
      </c>
      <c r="L1997">
        <v>282.94979999999998</v>
      </c>
      <c r="M1997">
        <v>-0.99980800000000003</v>
      </c>
      <c r="N1997">
        <v>0</v>
      </c>
      <c r="O1997">
        <v>1.7822080000000001E-2</v>
      </c>
      <c r="P1997">
        <v>-0.99963449999999998</v>
      </c>
      <c r="Q1997">
        <v>2.2157400000000001E-2</v>
      </c>
      <c r="R1997">
        <v>1.5499270000000001E-2</v>
      </c>
      <c r="S1997">
        <v>-3.0044559999999998</v>
      </c>
      <c r="T1997">
        <v>-0.19942180000000001</v>
      </c>
      <c r="U1997">
        <v>7.4157710000000002E-2</v>
      </c>
      <c r="V1997">
        <v>-2.3300090000000001E-3</v>
      </c>
      <c r="W1997">
        <v>3.0311060000000001E-2</v>
      </c>
      <c r="X1997">
        <v>0.99953780000000003</v>
      </c>
      <c r="Y1997">
        <v>6.8779619999999996E-3</v>
      </c>
      <c r="Z1997">
        <v>-9.534166E-4</v>
      </c>
      <c r="AA1997">
        <v>0.99997590000000003</v>
      </c>
      <c r="AB1997">
        <v>34</v>
      </c>
      <c r="AC1997">
        <v>-16.4954999999999</v>
      </c>
      <c r="AD1997">
        <v>-1.109354645674</v>
      </c>
      <c r="AE1997">
        <v>0.40880000000004202</v>
      </c>
      <c r="AF1997">
        <v>0.11422489341691899</v>
      </c>
      <c r="AG1997">
        <v>-1.109354645674</v>
      </c>
      <c r="AH1997">
        <v>16.4259198504108</v>
      </c>
      <c r="AI1997">
        <v>93.863615213610402</v>
      </c>
      <c r="AJ1997">
        <v>89.601574896405694</v>
      </c>
      <c r="AK1997">
        <v>16.463734630644201</v>
      </c>
      <c r="AL1997">
        <v>88.263038147423899</v>
      </c>
      <c r="AM1997">
        <v>90.133561172091206</v>
      </c>
      <c r="AN1997">
        <v>1.00000000146455</v>
      </c>
    </row>
    <row r="1998" spans="1:40" x14ac:dyDescent="0.25">
      <c r="A1998" t="str">
        <f>"20190312151024803"</f>
        <v>20190312151024803</v>
      </c>
      <c r="B1998" t="str">
        <f>"1552374624793245"</f>
        <v>1552374624793245</v>
      </c>
      <c r="C1998" t="s">
        <v>40</v>
      </c>
      <c r="D1998">
        <v>4.9864119999999996</v>
      </c>
      <c r="E1998">
        <v>0.50438850000000002</v>
      </c>
      <c r="F1998" t="s">
        <v>41</v>
      </c>
      <c r="G1998">
        <v>-274.16320000000002</v>
      </c>
      <c r="H1998">
        <v>1.045976</v>
      </c>
      <c r="I1998">
        <v>282.97340000000003</v>
      </c>
      <c r="J1998">
        <v>-273.51580000000001</v>
      </c>
      <c r="K1998">
        <v>1.1093839999999999</v>
      </c>
      <c r="L1998">
        <v>282.95499999999998</v>
      </c>
      <c r="M1998">
        <v>-0.99981169999999997</v>
      </c>
      <c r="N1998">
        <v>0</v>
      </c>
      <c r="O1998">
        <v>1.760229E-2</v>
      </c>
      <c r="P1998">
        <v>-0.99965170000000003</v>
      </c>
      <c r="Q1998">
        <v>2.151867E-2</v>
      </c>
      <c r="R1998">
        <v>1.5285770000000001E-2</v>
      </c>
      <c r="S1998">
        <v>-3.0044249999999999</v>
      </c>
      <c r="T1998">
        <v>-0.20188020000000001</v>
      </c>
      <c r="U1998">
        <v>7.3944090000000004E-2</v>
      </c>
      <c r="V1998">
        <v>-2.3257619999999999E-3</v>
      </c>
      <c r="W1998">
        <v>2.969813E-2</v>
      </c>
      <c r="X1998">
        <v>0.99955620000000001</v>
      </c>
      <c r="Y1998">
        <v>7.02675E-3</v>
      </c>
      <c r="Z1998">
        <v>-9.4541540000000004E-4</v>
      </c>
      <c r="AA1998">
        <v>0.99997480000000005</v>
      </c>
      <c r="AB1998">
        <v>34</v>
      </c>
      <c r="AC1998">
        <v>-0.64740000000000397</v>
      </c>
      <c r="AD1998">
        <v>-6.3407999999999895E-2</v>
      </c>
      <c r="AE1998">
        <v>1.8400000000042299E-2</v>
      </c>
      <c r="AF1998">
        <v>6.9345783831825198E-3</v>
      </c>
      <c r="AG1998">
        <v>-6.3407999999999895E-2</v>
      </c>
      <c r="AH1998">
        <v>0.64147504571916303</v>
      </c>
      <c r="AI1998">
        <v>95.644860318122298</v>
      </c>
      <c r="AJ1998">
        <v>89.380635926132697</v>
      </c>
      <c r="AK1998">
        <v>0.64463857867936702</v>
      </c>
      <c r="AL1998">
        <v>88.298172253604804</v>
      </c>
      <c r="AM1998">
        <v>90.133315271588103</v>
      </c>
      <c r="AN1998">
        <v>0.99999999252640803</v>
      </c>
    </row>
    <row r="1999" spans="1:40" x14ac:dyDescent="0.25">
      <c r="A1999" t="str">
        <f>"20190312151024825"</f>
        <v>20190312151024825</v>
      </c>
      <c r="B1999" t="str">
        <f>"1552374624812765"</f>
        <v>1552374624812765</v>
      </c>
      <c r="C1999" t="s">
        <v>40</v>
      </c>
      <c r="D1999">
        <v>4.9598000000000004</v>
      </c>
      <c r="E1999">
        <v>0.50433349999999999</v>
      </c>
      <c r="F1999" t="s">
        <v>41</v>
      </c>
      <c r="G1999">
        <v>-274.47070000000002</v>
      </c>
      <c r="H1999">
        <v>1.043952</v>
      </c>
      <c r="I1999">
        <v>282.97820000000002</v>
      </c>
      <c r="J1999">
        <v>-273.85059999999999</v>
      </c>
      <c r="K1999">
        <v>1.1094200000000001</v>
      </c>
      <c r="L1999">
        <v>282.9606</v>
      </c>
      <c r="M1999">
        <v>-0.99981640000000005</v>
      </c>
      <c r="N1999">
        <v>0</v>
      </c>
      <c r="O1999">
        <v>1.732239E-2</v>
      </c>
      <c r="P1999">
        <v>-0.99965899999999996</v>
      </c>
      <c r="Q1999">
        <v>2.1503049999999999E-2</v>
      </c>
      <c r="R1999">
        <v>1.4824169999999999E-2</v>
      </c>
      <c r="S1999">
        <v>-3.0043950000000001</v>
      </c>
      <c r="T1999">
        <v>-0.2058026</v>
      </c>
      <c r="U1999">
        <v>7.3089600000000005E-2</v>
      </c>
      <c r="V1999">
        <v>-2.509739E-3</v>
      </c>
      <c r="W1999">
        <v>2.97129E-2</v>
      </c>
      <c r="X1999">
        <v>0.99955530000000004</v>
      </c>
      <c r="Y1999">
        <v>7.0229869999999996E-3</v>
      </c>
      <c r="Z1999">
        <v>-9.4474000000000001E-4</v>
      </c>
      <c r="AA1999">
        <v>0.9999749</v>
      </c>
      <c r="AB1999">
        <v>35</v>
      </c>
      <c r="AC1999">
        <v>-0.62010000000003596</v>
      </c>
      <c r="AD1999">
        <v>-6.5467999999999998E-2</v>
      </c>
      <c r="AE1999">
        <v>1.7600000000015801E-2</v>
      </c>
      <c r="AF1999">
        <v>6.7798742347452302E-3</v>
      </c>
      <c r="AG1999">
        <v>-6.5467999999999998E-2</v>
      </c>
      <c r="AH1999">
        <v>0.61347925384964197</v>
      </c>
      <c r="AI1999">
        <v>96.090948971779298</v>
      </c>
      <c r="AJ1999">
        <v>89.366820698338501</v>
      </c>
      <c r="AK1999">
        <v>0.61699985463738405</v>
      </c>
      <c r="AL1999">
        <v>88.297325593993307</v>
      </c>
      <c r="AM1999">
        <v>90.143861125237507</v>
      </c>
      <c r="AN1999">
        <v>0.99999997648717298</v>
      </c>
    </row>
    <row r="2000" spans="1:40" x14ac:dyDescent="0.25">
      <c r="A2000" t="str">
        <f>"20190312151024846"</f>
        <v>20190312151024846</v>
      </c>
      <c r="B2000" t="str">
        <f>"1552374624843021"</f>
        <v>1552374624843021</v>
      </c>
      <c r="C2000" t="s">
        <v>40</v>
      </c>
      <c r="D2000">
        <v>5.0027599999999897</v>
      </c>
      <c r="E2000">
        <v>0.50433090000000003</v>
      </c>
      <c r="F2000" t="s">
        <v>41</v>
      </c>
      <c r="G2000">
        <v>-274.78129999999999</v>
      </c>
      <c r="H2000">
        <v>1.044889</v>
      </c>
      <c r="I2000">
        <v>282.9828</v>
      </c>
      <c r="J2000">
        <v>-274.18509999999998</v>
      </c>
      <c r="K2000">
        <v>1.1094539999999999</v>
      </c>
      <c r="L2000">
        <v>282.96609999999998</v>
      </c>
      <c r="M2000">
        <v>-0.99982150000000003</v>
      </c>
      <c r="N2000">
        <v>0</v>
      </c>
      <c r="O2000">
        <v>1.7010230000000001E-2</v>
      </c>
      <c r="P2000">
        <v>-0.99966449999999996</v>
      </c>
      <c r="Q2000">
        <v>2.1574610000000001E-2</v>
      </c>
      <c r="R2000">
        <v>1.434466E-2</v>
      </c>
      <c r="S2000">
        <v>-3.0044249999999999</v>
      </c>
      <c r="T2000">
        <v>-0.20849110000000001</v>
      </c>
      <c r="U2000">
        <v>7.1105959999999996E-2</v>
      </c>
      <c r="V2000">
        <v>-2.6794089999999998E-3</v>
      </c>
      <c r="W2000">
        <v>2.9816329999999999E-2</v>
      </c>
      <c r="X2000">
        <v>0.99955179999999999</v>
      </c>
      <c r="Y2000">
        <v>6.6758190000000004E-3</v>
      </c>
      <c r="Z2000">
        <v>-9.4745280000000005E-4</v>
      </c>
      <c r="AA2000">
        <v>0.99997729999999996</v>
      </c>
      <c r="AB2000">
        <v>35</v>
      </c>
      <c r="AC2000">
        <v>-0.59620000000001006</v>
      </c>
      <c r="AD2000">
        <v>-6.4565000000000206E-2</v>
      </c>
      <c r="AE2000">
        <v>1.6700000000014301E-2</v>
      </c>
      <c r="AF2000">
        <v>6.4798083411786401E-3</v>
      </c>
      <c r="AG2000">
        <v>-6.4565000000000206E-2</v>
      </c>
      <c r="AH2000">
        <v>0.58948991234704395</v>
      </c>
      <c r="AI2000">
        <v>96.250139693228704</v>
      </c>
      <c r="AJ2000">
        <v>89.370217012915504</v>
      </c>
      <c r="AK2000">
        <v>0.59305057448759302</v>
      </c>
      <c r="AL2000">
        <v>88.291396899327793</v>
      </c>
      <c r="AM2000">
        <v>90.153587297405593</v>
      </c>
      <c r="AN2000">
        <v>0.99999999682524898</v>
      </c>
    </row>
    <row r="2001" spans="1:40" x14ac:dyDescent="0.25">
      <c r="A2001" t="str">
        <f>"20190312151024858"</f>
        <v>20190312151024858</v>
      </c>
      <c r="B2001" t="str">
        <f>"1552374624852782"</f>
        <v>1552374624852782</v>
      </c>
      <c r="C2001" t="s">
        <v>40</v>
      </c>
      <c r="D2001">
        <v>5.172237</v>
      </c>
      <c r="E2001">
        <v>0.50425310000000001</v>
      </c>
      <c r="F2001" t="s">
        <v>41</v>
      </c>
      <c r="G2001">
        <v>-275.09269999999998</v>
      </c>
      <c r="H2001">
        <v>1.0458149999999999</v>
      </c>
      <c r="I2001">
        <v>282.98700000000002</v>
      </c>
      <c r="J2001">
        <v>-274.37020000000001</v>
      </c>
      <c r="K2001">
        <v>1.1094740000000001</v>
      </c>
      <c r="L2001">
        <v>282.96910000000003</v>
      </c>
      <c r="M2001">
        <v>-0.99982420000000005</v>
      </c>
      <c r="N2001">
        <v>0</v>
      </c>
      <c r="O2001">
        <v>1.6826560000000001E-2</v>
      </c>
      <c r="P2001">
        <v>-0.9996661</v>
      </c>
      <c r="Q2001">
        <v>2.1494079999999999E-2</v>
      </c>
      <c r="R2001">
        <v>1.434094E-2</v>
      </c>
      <c r="S2001">
        <v>-3.004578</v>
      </c>
      <c r="T2001">
        <v>-0.21056649999999999</v>
      </c>
      <c r="U2001">
        <v>6.9732669999999997E-2</v>
      </c>
      <c r="V2001">
        <v>-2.5006799999999999E-3</v>
      </c>
      <c r="W2001">
        <v>2.9752939999999999E-2</v>
      </c>
      <c r="X2001">
        <v>0.99955419999999995</v>
      </c>
      <c r="Y2001">
        <v>6.4022189999999998E-3</v>
      </c>
      <c r="Z2001">
        <v>-9.5354119999999998E-4</v>
      </c>
      <c r="AA2001">
        <v>0.99997910000000001</v>
      </c>
      <c r="AB2001">
        <v>35</v>
      </c>
      <c r="AC2001">
        <v>-0.72249999999996795</v>
      </c>
      <c r="AD2001">
        <v>-6.3659000000000104E-2</v>
      </c>
      <c r="AE2001">
        <v>1.78999999999973E-2</v>
      </c>
      <c r="AF2001">
        <v>5.6956701667404998E-3</v>
      </c>
      <c r="AG2001">
        <v>-6.3659000000000104E-2</v>
      </c>
      <c r="AH2001">
        <v>0.71713502185229305</v>
      </c>
      <c r="AI2001">
        <v>95.072604919722295</v>
      </c>
      <c r="AJ2001">
        <v>89.544951800382606</v>
      </c>
      <c r="AK2001">
        <v>0.71997746388809702</v>
      </c>
      <c r="AL2001">
        <v>88.295030572684695</v>
      </c>
      <c r="AM2001">
        <v>90.143342012857602</v>
      </c>
      <c r="AN2001">
        <v>1.0000000447883699</v>
      </c>
    </row>
    <row r="2002" spans="1:40" x14ac:dyDescent="0.25">
      <c r="A2002" t="str">
        <f>"20190312151024882"</f>
        <v>20190312151024882</v>
      </c>
      <c r="B2002" t="str">
        <f>"1552374624873284"</f>
        <v>1552374624873284</v>
      </c>
      <c r="C2002" t="s">
        <v>40</v>
      </c>
      <c r="D2002">
        <v>4.8996430000000002</v>
      </c>
      <c r="E2002">
        <v>0.50427049999999995</v>
      </c>
      <c r="F2002" t="s">
        <v>41</v>
      </c>
      <c r="G2002">
        <v>-275.3963</v>
      </c>
      <c r="H2002">
        <v>1.0380860000000001</v>
      </c>
      <c r="I2002">
        <v>282.99299999999999</v>
      </c>
      <c r="J2002">
        <v>-274.72559999999999</v>
      </c>
      <c r="K2002">
        <v>1.1095090000000001</v>
      </c>
      <c r="L2002">
        <v>282.97480000000002</v>
      </c>
      <c r="M2002">
        <v>-0.99983040000000001</v>
      </c>
      <c r="N2002">
        <v>0</v>
      </c>
      <c r="O2002">
        <v>1.6439039999999999E-2</v>
      </c>
      <c r="P2002">
        <v>-0.99967099999999998</v>
      </c>
      <c r="Q2002">
        <v>2.1604870000000002E-2</v>
      </c>
      <c r="R2002">
        <v>1.3824070000000001E-2</v>
      </c>
      <c r="S2002">
        <v>-3.0045169999999999</v>
      </c>
      <c r="T2002">
        <v>-0.20925869999999999</v>
      </c>
      <c r="U2002">
        <v>6.9061280000000003E-2</v>
      </c>
      <c r="V2002">
        <v>-2.6326930000000002E-3</v>
      </c>
      <c r="W2002">
        <v>2.989497E-2</v>
      </c>
      <c r="X2002">
        <v>0.99954960000000004</v>
      </c>
      <c r="Y2002">
        <v>6.5652810000000001E-3</v>
      </c>
      <c r="Z2002">
        <v>-9.1503540000000005E-4</v>
      </c>
      <c r="AA2002">
        <v>0.99997800000000003</v>
      </c>
      <c r="AB2002">
        <v>35</v>
      </c>
      <c r="AC2002">
        <v>-0.67070000000000995</v>
      </c>
      <c r="AD2002">
        <v>-7.1423E-2</v>
      </c>
      <c r="AE2002">
        <v>1.81999999999789E-2</v>
      </c>
      <c r="AF2002">
        <v>7.0911407478123998E-3</v>
      </c>
      <c r="AG2002">
        <v>-7.1423E-2</v>
      </c>
      <c r="AH2002">
        <v>0.66339113012465201</v>
      </c>
      <c r="AI2002">
        <v>96.144644737842199</v>
      </c>
      <c r="AJ2002">
        <v>89.387575526537304</v>
      </c>
      <c r="AK2002">
        <v>0.66726255756948405</v>
      </c>
      <c r="AL2002">
        <v>88.286889192173604</v>
      </c>
      <c r="AM2002">
        <v>90.150909818623802</v>
      </c>
      <c r="AN2002">
        <v>1.00000002158194</v>
      </c>
    </row>
    <row r="2003" spans="1:40" x14ac:dyDescent="0.25">
      <c r="A2003" t="str">
        <f>"20190312151024893"</f>
        <v>20190312151024893</v>
      </c>
      <c r="B2003" t="str">
        <f>"1552374624883038"</f>
        <v>1552374624883038</v>
      </c>
      <c r="C2003" t="s">
        <v>40</v>
      </c>
      <c r="D2003">
        <v>5.0034010000000002</v>
      </c>
      <c r="E2003">
        <v>0.5042584</v>
      </c>
      <c r="F2003" t="s">
        <v>41</v>
      </c>
      <c r="G2003">
        <v>-275.71089999999998</v>
      </c>
      <c r="H2003">
        <v>1.0416780000000001</v>
      </c>
      <c r="I2003">
        <v>282.99700000000001</v>
      </c>
      <c r="J2003">
        <v>-274.92250000000001</v>
      </c>
      <c r="K2003">
        <v>1.1095269999999999</v>
      </c>
      <c r="L2003">
        <v>282.9778</v>
      </c>
      <c r="M2003">
        <v>-0.99983420000000001</v>
      </c>
      <c r="N2003">
        <v>0</v>
      </c>
      <c r="O2003">
        <v>1.6209230000000002E-2</v>
      </c>
      <c r="P2003">
        <v>-0.99967839999999997</v>
      </c>
      <c r="Q2003">
        <v>2.1616070000000001E-2</v>
      </c>
      <c r="R2003">
        <v>1.327242E-2</v>
      </c>
      <c r="S2003">
        <v>-3.0045169999999999</v>
      </c>
      <c r="T2003">
        <v>-0.20695849999999999</v>
      </c>
      <c r="U2003">
        <v>6.7535399999999995E-2</v>
      </c>
      <c r="V2003">
        <v>-2.9558409999999999E-3</v>
      </c>
      <c r="W2003">
        <v>2.992214E-2</v>
      </c>
      <c r="X2003">
        <v>0.99954779999999999</v>
      </c>
      <c r="Y2003">
        <v>6.2871350000000001E-3</v>
      </c>
      <c r="Z2003">
        <v>-8.9876769999999999E-4</v>
      </c>
      <c r="AA2003">
        <v>0.99997990000000003</v>
      </c>
      <c r="AB2003">
        <v>35</v>
      </c>
      <c r="AC2003">
        <v>-0.78839999999996702</v>
      </c>
      <c r="AD2003">
        <v>-6.7849000000000007E-2</v>
      </c>
      <c r="AE2003">
        <v>1.9200000000011999E-2</v>
      </c>
      <c r="AF2003">
        <v>6.3705273445902296E-3</v>
      </c>
      <c r="AG2003">
        <v>-6.7849000000000007E-2</v>
      </c>
      <c r="AH2003">
        <v>0.78281342936175002</v>
      </c>
      <c r="AI2003">
        <v>94.953469812760304</v>
      </c>
      <c r="AJ2003">
        <v>89.533737849850993</v>
      </c>
      <c r="AK2003">
        <v>0.78577409960417499</v>
      </c>
      <c r="AL2003">
        <v>88.285331625740696</v>
      </c>
      <c r="AM2003">
        <v>90.169433338299001</v>
      </c>
      <c r="AN2003">
        <v>0.99999993797151598</v>
      </c>
    </row>
    <row r="2004" spans="1:40" x14ac:dyDescent="0.25">
      <c r="A2004" t="str">
        <f>"20190312151024906"</f>
        <v>20190312151024906</v>
      </c>
      <c r="B2004" t="str">
        <f>"1552374624902557"</f>
        <v>1552374624902557</v>
      </c>
      <c r="C2004" t="s">
        <v>40</v>
      </c>
      <c r="D2004">
        <v>5.0463879999999897</v>
      </c>
      <c r="E2004">
        <v>0.50430889999999995</v>
      </c>
      <c r="F2004" t="s">
        <v>61</v>
      </c>
      <c r="G2004">
        <v>-291.00830000000002</v>
      </c>
      <c r="H2004" s="1">
        <v>2.4969510000000001E-6</v>
      </c>
      <c r="I2004">
        <v>283.33120000000002</v>
      </c>
      <c r="J2004">
        <v>-275.10509999999999</v>
      </c>
      <c r="K2004">
        <v>1.10954</v>
      </c>
      <c r="L2004">
        <v>282.98059999999998</v>
      </c>
      <c r="M2004">
        <v>-0.99983770000000005</v>
      </c>
      <c r="N2004">
        <v>0</v>
      </c>
      <c r="O2004">
        <v>1.598606E-2</v>
      </c>
      <c r="P2004">
        <v>-0.99968679999999999</v>
      </c>
      <c r="Q2004">
        <v>2.1336009999999999E-2</v>
      </c>
      <c r="R2004">
        <v>1.3079240000000001E-2</v>
      </c>
      <c r="S2004">
        <v>-3.0046080000000002</v>
      </c>
      <c r="T2004">
        <v>-0.2072446</v>
      </c>
      <c r="U2004">
        <v>6.6009520000000002E-2</v>
      </c>
      <c r="V2004">
        <v>-2.9272669999999999E-3</v>
      </c>
      <c r="W2004">
        <v>2.965713E-2</v>
      </c>
      <c r="X2004">
        <v>0.99955579999999999</v>
      </c>
      <c r="Y2004">
        <v>6.0022720000000003E-3</v>
      </c>
      <c r="Z2004">
        <v>-8.9442709999999997E-4</v>
      </c>
      <c r="AA2004">
        <v>0.99998160000000003</v>
      </c>
      <c r="AB2004">
        <v>35</v>
      </c>
      <c r="AC2004">
        <v>-15.9032</v>
      </c>
      <c r="AD2004">
        <v>-1.109537503049</v>
      </c>
      <c r="AE2004">
        <v>0.35060000000004199</v>
      </c>
      <c r="AF2004">
        <v>9.5850576490521394E-2</v>
      </c>
      <c r="AG2004">
        <v>-1.109537503049</v>
      </c>
      <c r="AH2004">
        <v>15.8297570688395</v>
      </c>
      <c r="AI2004">
        <v>94.009338567584393</v>
      </c>
      <c r="AJ2004">
        <v>89.653073236898194</v>
      </c>
      <c r="AK2004">
        <v>15.8688836930063</v>
      </c>
      <c r="AL2004">
        <v>88.300522353313696</v>
      </c>
      <c r="AM2004">
        <v>90.167794099264995</v>
      </c>
      <c r="AN2004">
        <v>0.999999955782782</v>
      </c>
    </row>
    <row r="2005" spans="1:40" x14ac:dyDescent="0.25">
      <c r="A2005" t="str">
        <f>"20190312151025047"</f>
        <v>20190312151025047</v>
      </c>
      <c r="B2005" t="str">
        <f>"1552374625042633"</f>
        <v>1552374625042633</v>
      </c>
      <c r="C2005" t="s">
        <v>40</v>
      </c>
      <c r="D2005">
        <v>4.9810850000000002</v>
      </c>
      <c r="E2005">
        <v>0.50394620000000001</v>
      </c>
      <c r="F2005" t="s">
        <v>61</v>
      </c>
      <c r="G2005">
        <v>-307.48390000000001</v>
      </c>
      <c r="H2005" s="1">
        <v>2.7185599999999999E-6</v>
      </c>
      <c r="I2005">
        <v>283.68430000000001</v>
      </c>
      <c r="J2005">
        <v>-277.33280000000002</v>
      </c>
      <c r="K2005">
        <v>1.10965</v>
      </c>
      <c r="L2005">
        <v>283.01060000000001</v>
      </c>
      <c r="M2005">
        <v>-0.99988089999999996</v>
      </c>
      <c r="N2005">
        <v>0</v>
      </c>
      <c r="O2005">
        <v>1.290702E-2</v>
      </c>
      <c r="P2005">
        <v>-0.99972879999999997</v>
      </c>
      <c r="Q2005">
        <v>2.0890329999999999E-2</v>
      </c>
      <c r="R2005">
        <v>1.030616E-2</v>
      </c>
      <c r="S2005">
        <v>-3.0024109999999999</v>
      </c>
      <c r="T2005">
        <v>-0.1092775</v>
      </c>
      <c r="U2005">
        <v>6.674194E-2</v>
      </c>
      <c r="V2005">
        <v>-2.6294000000000001E-3</v>
      </c>
      <c r="W2005">
        <v>2.9352570000000001E-2</v>
      </c>
      <c r="X2005">
        <v>0.9995657</v>
      </c>
      <c r="Y2005">
        <v>9.3201910000000002E-3</v>
      </c>
      <c r="Z2005">
        <v>-3.000136E-4</v>
      </c>
      <c r="AA2005">
        <v>0.99995650000000003</v>
      </c>
      <c r="AB2005">
        <v>35</v>
      </c>
      <c r="AC2005">
        <v>-30.1510999999999</v>
      </c>
      <c r="AD2005">
        <v>-1.10964728144</v>
      </c>
      <c r="AE2005">
        <v>0.67369999999999597</v>
      </c>
      <c r="AF2005">
        <v>0.28408450823148701</v>
      </c>
      <c r="AG2005">
        <v>-1.10964728144</v>
      </c>
      <c r="AH2005">
        <v>30.116513020019902</v>
      </c>
      <c r="AI2005">
        <v>92.110022975004597</v>
      </c>
      <c r="AJ2005">
        <v>89.459553614393897</v>
      </c>
      <c r="AK2005">
        <v>30.138287568839299</v>
      </c>
      <c r="AL2005">
        <v>88.317980095254995</v>
      </c>
      <c r="AM2005">
        <v>90.150718632259995</v>
      </c>
      <c r="AN2005">
        <v>1.0000000378632199</v>
      </c>
    </row>
    <row r="2006" spans="1:40" x14ac:dyDescent="0.25">
      <c r="A2006" t="str">
        <f>"20190312151025060"</f>
        <v>20190312151025060</v>
      </c>
      <c r="B2006" t="str">
        <f>"1552374625052393"</f>
        <v>1552374625052393</v>
      </c>
      <c r="C2006" t="s">
        <v>40</v>
      </c>
      <c r="D2006">
        <v>5.0552890000000001</v>
      </c>
      <c r="E2006">
        <v>0.50436040000000004</v>
      </c>
      <c r="F2006" t="s">
        <v>61</v>
      </c>
      <c r="G2006">
        <v>-304.79239999999999</v>
      </c>
      <c r="H2006" s="1">
        <v>3.2094050000000001E-6</v>
      </c>
      <c r="I2006">
        <v>283.5308</v>
      </c>
      <c r="J2006">
        <v>-277.5222</v>
      </c>
      <c r="K2006">
        <v>1.109656</v>
      </c>
      <c r="L2006">
        <v>283.01280000000003</v>
      </c>
      <c r="M2006">
        <v>-0.99988429999999995</v>
      </c>
      <c r="N2006">
        <v>0</v>
      </c>
      <c r="O2006">
        <v>1.263507E-2</v>
      </c>
      <c r="P2006">
        <v>-0.99973060000000002</v>
      </c>
      <c r="Q2006">
        <v>2.073769E-2</v>
      </c>
      <c r="R2006">
        <v>1.042615E-2</v>
      </c>
      <c r="S2006">
        <v>-3.002777</v>
      </c>
      <c r="T2006">
        <v>-0.121342699999999</v>
      </c>
      <c r="U2006">
        <v>5.6884770000000001E-2</v>
      </c>
      <c r="V2006">
        <v>-2.2380949999999998E-3</v>
      </c>
      <c r="W2006">
        <v>2.9209579999999999E-2</v>
      </c>
      <c r="X2006">
        <v>0.99957079999999998</v>
      </c>
      <c r="Y2006">
        <v>6.3110409999999999E-3</v>
      </c>
      <c r="Z2006">
        <v>-3.8287249999999998E-4</v>
      </c>
      <c r="AA2006">
        <v>0.99997999999999998</v>
      </c>
      <c r="AB2006">
        <v>35</v>
      </c>
      <c r="AC2006">
        <v>-27.2701999999999</v>
      </c>
      <c r="AD2006">
        <v>-1.109652790595</v>
      </c>
      <c r="AE2006">
        <v>0.51799999999997204</v>
      </c>
      <c r="AF2006">
        <v>0.173098894099877</v>
      </c>
      <c r="AG2006">
        <v>-1.109652790595</v>
      </c>
      <c r="AH2006">
        <v>27.229498909641698</v>
      </c>
      <c r="AI2006">
        <v>92.333571365873695</v>
      </c>
      <c r="AJ2006">
        <v>89.635773595874198</v>
      </c>
      <c r="AK2006">
        <v>27.252649475105901</v>
      </c>
      <c r="AL2006">
        <v>88.326176263484598</v>
      </c>
      <c r="AM2006">
        <v>90.128288244670699</v>
      </c>
      <c r="AN2006">
        <v>0.999999996422822</v>
      </c>
    </row>
    <row r="2007" spans="1:40" x14ac:dyDescent="0.25">
      <c r="A2007" t="str">
        <f>"20190312151025072"</f>
        <v>20190312151025072</v>
      </c>
      <c r="B2007" t="str">
        <f>"1552374625063129"</f>
        <v>1552374625063129</v>
      </c>
      <c r="C2007" t="s">
        <v>40</v>
      </c>
      <c r="D2007">
        <v>5.0674279999999996</v>
      </c>
      <c r="E2007">
        <v>0.50488009999999905</v>
      </c>
      <c r="F2007" t="s">
        <v>61</v>
      </c>
      <c r="G2007">
        <v>-304.16820000000001</v>
      </c>
      <c r="H2007" s="1">
        <v>3.318558E-6</v>
      </c>
      <c r="I2007">
        <v>283.54880000000003</v>
      </c>
      <c r="J2007">
        <v>-277.72899999999998</v>
      </c>
      <c r="K2007">
        <v>1.109659</v>
      </c>
      <c r="L2007">
        <v>283.01519999999999</v>
      </c>
      <c r="M2007">
        <v>-0.99988779999999999</v>
      </c>
      <c r="N2007">
        <v>0</v>
      </c>
      <c r="O2007">
        <v>1.2338460000000001E-2</v>
      </c>
      <c r="P2007">
        <v>-0.99973339999999999</v>
      </c>
      <c r="Q2007">
        <v>2.0552040000000001E-2</v>
      </c>
      <c r="R2007">
        <v>1.051876E-2</v>
      </c>
      <c r="S2007">
        <v>-3.002777</v>
      </c>
      <c r="T2007">
        <v>-0.12504849999999901</v>
      </c>
      <c r="U2007">
        <v>6.0394290000000003E-2</v>
      </c>
      <c r="V2007">
        <v>-1.8491720000000001E-3</v>
      </c>
      <c r="W2007">
        <v>2.9034649999999999E-2</v>
      </c>
      <c r="X2007">
        <v>0.99957669999999998</v>
      </c>
      <c r="Y2007">
        <v>7.7747600000000004E-3</v>
      </c>
      <c r="Z2007">
        <v>-3.5174389999999999E-4</v>
      </c>
      <c r="AA2007">
        <v>0.99996969999999996</v>
      </c>
      <c r="AB2007">
        <v>35</v>
      </c>
      <c r="AC2007">
        <v>-26.4391999999999</v>
      </c>
      <c r="AD2007">
        <v>-1.109655681442</v>
      </c>
      <c r="AE2007">
        <v>0.53360000000003505</v>
      </c>
      <c r="AF2007">
        <v>0.206964181309893</v>
      </c>
      <c r="AG2007">
        <v>-1.109655681442</v>
      </c>
      <c r="AH2007">
        <v>26.3972916987892</v>
      </c>
      <c r="AI2007">
        <v>92.407035821566296</v>
      </c>
      <c r="AJ2007">
        <v>89.550789858860995</v>
      </c>
      <c r="AK2007">
        <v>26.421415157683501</v>
      </c>
      <c r="AL2007">
        <v>88.336203280959893</v>
      </c>
      <c r="AM2007">
        <v>90.105994497799799</v>
      </c>
      <c r="AN2007">
        <v>1.0000000047602899</v>
      </c>
    </row>
    <row r="2008" spans="1:40" x14ac:dyDescent="0.25">
      <c r="A2008" t="str">
        <f>"20190312151025084"</f>
        <v>20190312151025084</v>
      </c>
      <c r="B2008" t="str">
        <f>"1552374625072889"</f>
        <v>1552374625072889</v>
      </c>
      <c r="C2008" t="s">
        <v>40</v>
      </c>
      <c r="D2008">
        <v>4.9992769999999904</v>
      </c>
      <c r="E2008">
        <v>0.50483389999999995</v>
      </c>
      <c r="F2008" t="s">
        <v>61</v>
      </c>
      <c r="G2008">
        <v>-303.25439999999998</v>
      </c>
      <c r="H2008" s="1">
        <v>3.479359E-6</v>
      </c>
      <c r="I2008">
        <v>283.56360000000001</v>
      </c>
      <c r="J2008">
        <v>-277.91210000000001</v>
      </c>
      <c r="K2008">
        <v>1.109664</v>
      </c>
      <c r="L2008">
        <v>283.01729999999998</v>
      </c>
      <c r="M2008">
        <v>-0.99989099999999997</v>
      </c>
      <c r="N2008">
        <v>0</v>
      </c>
      <c r="O2008">
        <v>1.207636E-2</v>
      </c>
      <c r="P2008">
        <v>-0.99974050000000003</v>
      </c>
      <c r="Q2008">
        <v>2.013649E-2</v>
      </c>
      <c r="R2008">
        <v>1.0641980000000001E-2</v>
      </c>
      <c r="S2008">
        <v>-3.0028079999999999</v>
      </c>
      <c r="T2008">
        <v>-0.1305403</v>
      </c>
      <c r="U2008">
        <v>6.4514160000000001E-2</v>
      </c>
      <c r="V2008">
        <v>-1.4635920000000001E-3</v>
      </c>
      <c r="W2008">
        <v>2.86276E-2</v>
      </c>
      <c r="X2008">
        <v>0.99958910000000001</v>
      </c>
      <c r="Y2008">
        <v>9.4066029999999995E-3</v>
      </c>
      <c r="Z2008">
        <v>-3.2033129999999997E-4</v>
      </c>
      <c r="AA2008">
        <v>0.9999557</v>
      </c>
      <c r="AB2008">
        <v>35</v>
      </c>
      <c r="AC2008">
        <v>-25.342299999999899</v>
      </c>
      <c r="AD2008">
        <v>-1.109660520641</v>
      </c>
      <c r="AE2008">
        <v>0.54630000000002998</v>
      </c>
      <c r="AF2008">
        <v>0.23974692951541601</v>
      </c>
      <c r="AG2008">
        <v>-1.109660520641</v>
      </c>
      <c r="AH2008">
        <v>25.298567205746899</v>
      </c>
      <c r="AI2008">
        <v>92.511418455541005</v>
      </c>
      <c r="AJ2008">
        <v>89.4570413451424</v>
      </c>
      <c r="AK2008">
        <v>25.324026688600998</v>
      </c>
      <c r="AL2008">
        <v>88.359535260785904</v>
      </c>
      <c r="AM2008">
        <v>90.083892055848494</v>
      </c>
      <c r="AN2008">
        <v>1.0000000252110499</v>
      </c>
    </row>
    <row r="2009" spans="1:40" x14ac:dyDescent="0.25">
      <c r="A2009" t="str">
        <f>"20190312151025104"</f>
        <v>20190312151025104</v>
      </c>
      <c r="B2009" t="str">
        <f>"1552374625092409"</f>
        <v>1552374625092409</v>
      </c>
      <c r="C2009" t="s">
        <v>40</v>
      </c>
      <c r="D2009">
        <v>4.9549880000000002</v>
      </c>
      <c r="E2009">
        <v>0.50451689999999905</v>
      </c>
      <c r="F2009" t="s">
        <v>61</v>
      </c>
      <c r="G2009">
        <v>-300.81959999999998</v>
      </c>
      <c r="H2009" s="1">
        <v>3.9162470000000001E-6</v>
      </c>
      <c r="I2009">
        <v>283.50639999999999</v>
      </c>
      <c r="J2009">
        <v>-278.22469999999998</v>
      </c>
      <c r="K2009">
        <v>1.1096699999999999</v>
      </c>
      <c r="L2009">
        <v>283.0206</v>
      </c>
      <c r="M2009">
        <v>-0.99989629999999996</v>
      </c>
      <c r="N2009">
        <v>0</v>
      </c>
      <c r="O2009">
        <v>1.162945E-2</v>
      </c>
      <c r="P2009">
        <v>-0.99974220000000003</v>
      </c>
      <c r="Q2009">
        <v>2.023105E-2</v>
      </c>
      <c r="R2009">
        <v>1.031807E-2</v>
      </c>
      <c r="S2009">
        <v>-3.0030209999999999</v>
      </c>
      <c r="T2009">
        <v>-0.14546870000000001</v>
      </c>
      <c r="U2009">
        <v>6.4117430000000003E-2</v>
      </c>
      <c r="V2009">
        <v>-1.340614E-3</v>
      </c>
      <c r="W2009">
        <v>2.8735799999999999E-2</v>
      </c>
      <c r="X2009">
        <v>0.99958619999999998</v>
      </c>
      <c r="Y2009">
        <v>9.7196869999999994E-3</v>
      </c>
      <c r="Z2009">
        <v>-3.2768890000000001E-4</v>
      </c>
      <c r="AA2009">
        <v>0.99995270000000003</v>
      </c>
      <c r="AB2009">
        <v>35</v>
      </c>
      <c r="AC2009">
        <v>-22.594899999999999</v>
      </c>
      <c r="AD2009">
        <v>-1.1096660837529999</v>
      </c>
      <c r="AE2009">
        <v>0.48579999999998302</v>
      </c>
      <c r="AF2009">
        <v>0.222455109652656</v>
      </c>
      <c r="AG2009">
        <v>-1.1096660837529999</v>
      </c>
      <c r="AH2009">
        <v>22.5446707874999</v>
      </c>
      <c r="AI2009">
        <v>92.817731375593695</v>
      </c>
      <c r="AJ2009">
        <v>89.434663499805694</v>
      </c>
      <c r="AK2009">
        <v>22.573059739654099</v>
      </c>
      <c r="AL2009">
        <v>88.353333359001894</v>
      </c>
      <c r="AM2009">
        <v>90.0768432758492</v>
      </c>
      <c r="AN2009">
        <v>1.00000005733898</v>
      </c>
    </row>
    <row r="2010" spans="1:40" x14ac:dyDescent="0.25">
      <c r="A2010" t="str">
        <f>"20190312151025116"</f>
        <v>20190312151025116</v>
      </c>
      <c r="B2010" t="str">
        <f>"1552374625112905"</f>
        <v>1552374625112905</v>
      </c>
      <c r="C2010" t="s">
        <v>40</v>
      </c>
      <c r="D2010">
        <v>5.161664</v>
      </c>
      <c r="E2010">
        <v>0.50425339999999996</v>
      </c>
      <c r="F2010" t="s">
        <v>61</v>
      </c>
      <c r="G2010">
        <v>-298.15120000000002</v>
      </c>
      <c r="H2010" s="1">
        <v>3.756403E-6</v>
      </c>
      <c r="I2010">
        <v>283.41809999999998</v>
      </c>
      <c r="J2010">
        <v>-278.4264</v>
      </c>
      <c r="K2010">
        <v>1.1096729999999999</v>
      </c>
      <c r="L2010">
        <v>283.02280000000002</v>
      </c>
      <c r="M2010">
        <v>-0.99989950000000005</v>
      </c>
      <c r="N2010">
        <v>0</v>
      </c>
      <c r="O2010">
        <v>1.134107E-2</v>
      </c>
      <c r="P2010">
        <v>-0.99974339999999995</v>
      </c>
      <c r="Q2010">
        <v>2.027551E-2</v>
      </c>
      <c r="R2010">
        <v>1.0112960000000001E-2</v>
      </c>
      <c r="S2010">
        <v>-3.0035400000000001</v>
      </c>
      <c r="T2010">
        <v>-0.1672604</v>
      </c>
      <c r="U2010">
        <v>5.9906010000000003E-2</v>
      </c>
      <c r="V2010">
        <v>-1.2581529999999999E-3</v>
      </c>
      <c r="W2010">
        <v>2.8789180000000001E-2</v>
      </c>
      <c r="X2010">
        <v>0.99958469999999999</v>
      </c>
      <c r="Y2010">
        <v>8.6048949999999996E-3</v>
      </c>
      <c r="Z2010">
        <v>-3.916177E-4</v>
      </c>
      <c r="AA2010">
        <v>0.99996289999999999</v>
      </c>
      <c r="AB2010">
        <v>35</v>
      </c>
      <c r="AC2010">
        <v>-19.724799999999998</v>
      </c>
      <c r="AD2010">
        <v>-1.1096692435969999</v>
      </c>
      <c r="AE2010">
        <v>0.39529999999996301</v>
      </c>
      <c r="AF2010">
        <v>0.171025080725662</v>
      </c>
      <c r="AG2010">
        <v>-1.1096692435969999</v>
      </c>
      <c r="AH2010">
        <v>19.6657990835517</v>
      </c>
      <c r="AI2010">
        <v>93.229445123565</v>
      </c>
      <c r="AJ2010">
        <v>89.501735563779903</v>
      </c>
      <c r="AK2010">
        <v>19.697823966190999</v>
      </c>
      <c r="AL2010">
        <v>88.350273527115107</v>
      </c>
      <c r="AM2010">
        <v>90.072116768907605</v>
      </c>
      <c r="AN2010">
        <v>0.99999998615406605</v>
      </c>
    </row>
    <row r="2011" spans="1:40" x14ac:dyDescent="0.25">
      <c r="A2011" t="str">
        <f>"20190312151025136"</f>
        <v>20190312151025136</v>
      </c>
      <c r="B2011" t="str">
        <f>"1552374625132425"</f>
        <v>1552374625132425</v>
      </c>
      <c r="C2011" t="s">
        <v>40</v>
      </c>
      <c r="D2011">
        <v>5.1370740000000001</v>
      </c>
      <c r="E2011">
        <v>0.4984364</v>
      </c>
      <c r="F2011" t="s">
        <v>61</v>
      </c>
      <c r="G2011">
        <v>-298.93389999999999</v>
      </c>
      <c r="H2011" s="1">
        <v>3.8954010000000002E-6</v>
      </c>
      <c r="I2011">
        <v>283.4162</v>
      </c>
      <c r="J2011">
        <v>-278.73860000000002</v>
      </c>
      <c r="K2011">
        <v>1.1096779999999999</v>
      </c>
      <c r="L2011">
        <v>283.02589999999998</v>
      </c>
      <c r="M2011">
        <v>-0.99990429999999997</v>
      </c>
      <c r="N2011">
        <v>0</v>
      </c>
      <c r="O2011">
        <v>1.0896380000000001E-2</v>
      </c>
      <c r="P2011">
        <v>-0.99975400000000003</v>
      </c>
      <c r="Q2011">
        <v>2.0030820000000001E-2</v>
      </c>
      <c r="R2011">
        <v>9.5336310000000007E-3</v>
      </c>
      <c r="S2011">
        <v>-3.0035099999999999</v>
      </c>
      <c r="T2011">
        <v>-0.1625211</v>
      </c>
      <c r="U2011">
        <v>5.7617189999999999E-2</v>
      </c>
      <c r="V2011">
        <v>-1.393051E-3</v>
      </c>
      <c r="W2011">
        <v>2.8557059999999999E-2</v>
      </c>
      <c r="X2011">
        <v>0.99959120000000001</v>
      </c>
      <c r="Y2011">
        <v>8.2876670000000003E-3</v>
      </c>
      <c r="Z2011">
        <v>-3.6507960000000002E-4</v>
      </c>
      <c r="AA2011">
        <v>0.99996560000000001</v>
      </c>
      <c r="AB2011">
        <v>35</v>
      </c>
      <c r="AC2011">
        <v>-20.1952999999999</v>
      </c>
      <c r="AD2011">
        <v>-1.109674104599</v>
      </c>
      <c r="AE2011">
        <v>0.39030000000002402</v>
      </c>
      <c r="AF2011">
        <v>0.169701001130909</v>
      </c>
      <c r="AG2011">
        <v>-1.109674104599</v>
      </c>
      <c r="AH2011">
        <v>20.137577533771399</v>
      </c>
      <c r="AI2011">
        <v>93.153962060652006</v>
      </c>
      <c r="AJ2011">
        <v>89.517175242553705</v>
      </c>
      <c r="AK2011">
        <v>20.168842405474301</v>
      </c>
      <c r="AL2011">
        <v>88.363578527737502</v>
      </c>
      <c r="AM2011">
        <v>90.079848533354706</v>
      </c>
      <c r="AN2011">
        <v>1.0000000066921799</v>
      </c>
    </row>
    <row r="2012" spans="1:40" x14ac:dyDescent="0.25">
      <c r="A2012" t="str">
        <f>"20190312151025149"</f>
        <v>20190312151025149</v>
      </c>
      <c r="B2012" t="str">
        <f>"1552374625143162"</f>
        <v>1552374625143162</v>
      </c>
      <c r="C2012" t="s">
        <v>40</v>
      </c>
      <c r="D2012">
        <v>5.1714390000000003</v>
      </c>
      <c r="E2012">
        <v>0.50095599999999996</v>
      </c>
      <c r="F2012" t="s">
        <v>41</v>
      </c>
      <c r="G2012">
        <v>-279.48610000000002</v>
      </c>
      <c r="H2012">
        <v>1.0364880000000001</v>
      </c>
      <c r="I2012">
        <v>283.02730000000003</v>
      </c>
      <c r="J2012">
        <v>-278.94659999999999</v>
      </c>
      <c r="K2012">
        <v>1.1096790000000001</v>
      </c>
      <c r="L2012">
        <v>283.02789999999999</v>
      </c>
      <c r="M2012">
        <v>-0.99990749999999995</v>
      </c>
      <c r="N2012">
        <v>0</v>
      </c>
      <c r="O2012">
        <v>1.0599549999999999E-2</v>
      </c>
      <c r="P2012">
        <v>-0.99976019999999999</v>
      </c>
      <c r="Q2012">
        <v>2.0015189999999999E-2</v>
      </c>
      <c r="R2012">
        <v>8.9093090000000007E-3</v>
      </c>
      <c r="S2012">
        <v>-3.0066220000000001</v>
      </c>
      <c r="T2012">
        <v>-0.29453410000000002</v>
      </c>
      <c r="U2012">
        <v>5.3405759999999997E-3</v>
      </c>
      <c r="V2012">
        <v>-1.720505E-3</v>
      </c>
      <c r="W2012">
        <v>2.8549430000000001E-2</v>
      </c>
      <c r="X2012">
        <v>0.99959089999999995</v>
      </c>
      <c r="Y2012">
        <v>-8.7312139999999993E-3</v>
      </c>
      <c r="Z2012">
        <v>-1.4625319999999999E-3</v>
      </c>
      <c r="AA2012">
        <v>0.99996079999999998</v>
      </c>
      <c r="AB2012">
        <v>36</v>
      </c>
      <c r="AC2012">
        <v>-0.53950000000003195</v>
      </c>
      <c r="AD2012">
        <v>-7.31910000000002E-2</v>
      </c>
      <c r="AE2012">
        <v>-5.9999999996307397E-4</v>
      </c>
      <c r="AF2012">
        <v>-6.2044395393835803E-3</v>
      </c>
      <c r="AG2012">
        <v>-7.31910000000002E-2</v>
      </c>
      <c r="AH2012">
        <v>0.52971403114718596</v>
      </c>
      <c r="AI2012">
        <v>97.866259911797599</v>
      </c>
      <c r="AJ2012">
        <v>90.671063864316807</v>
      </c>
      <c r="AK2012">
        <v>0.53478254678439097</v>
      </c>
      <c r="AL2012">
        <v>88.364015859814899</v>
      </c>
      <c r="AM2012">
        <v>90.098617922375894</v>
      </c>
      <c r="AN2012">
        <v>0.99999999872679401</v>
      </c>
    </row>
    <row r="2013" spans="1:40" x14ac:dyDescent="0.25">
      <c r="A2013" t="str">
        <f>"20190312151025171"</f>
        <v>20190312151025171</v>
      </c>
      <c r="B2013" t="str">
        <f>"1552374625162681"</f>
        <v>1552374625162681</v>
      </c>
      <c r="C2013" t="s">
        <v>40</v>
      </c>
      <c r="D2013">
        <v>5.1603690000000002</v>
      </c>
      <c r="E2013">
        <v>0.50265159999999998</v>
      </c>
      <c r="F2013" t="s">
        <v>41</v>
      </c>
      <c r="G2013">
        <v>-279.80009999999999</v>
      </c>
      <c r="H2013">
        <v>1.0315840000000001</v>
      </c>
      <c r="I2013">
        <v>283.03500000000003</v>
      </c>
      <c r="J2013">
        <v>-279.2885</v>
      </c>
      <c r="K2013">
        <v>1.1096790000000001</v>
      </c>
      <c r="L2013">
        <v>283.03109999999998</v>
      </c>
      <c r="M2013">
        <v>-0.99991229999999998</v>
      </c>
      <c r="N2013">
        <v>0</v>
      </c>
      <c r="O2013">
        <v>1.011242E-2</v>
      </c>
      <c r="P2013">
        <v>-0.99977229999999995</v>
      </c>
      <c r="Q2013">
        <v>1.9815530000000001E-2</v>
      </c>
      <c r="R2013">
        <v>7.951428E-3</v>
      </c>
      <c r="S2013">
        <v>-3.0060120000000001</v>
      </c>
      <c r="T2013">
        <v>-0.27524959999999998</v>
      </c>
      <c r="U2013">
        <v>2.4139399999999998E-2</v>
      </c>
      <c r="V2013">
        <v>-2.1914389999999999E-3</v>
      </c>
      <c r="W2013">
        <v>2.8362109999999999E-2</v>
      </c>
      <c r="X2013">
        <v>0.99959529999999996</v>
      </c>
      <c r="Y2013">
        <v>-2.0319610000000001E-3</v>
      </c>
      <c r="Z2013">
        <v>-1.0168569999999999E-3</v>
      </c>
      <c r="AA2013">
        <v>0.99999740000000004</v>
      </c>
      <c r="AB2013">
        <v>36</v>
      </c>
      <c r="AC2013">
        <v>-0.51159999999998695</v>
      </c>
      <c r="AD2013">
        <v>-7.8094999999999998E-2</v>
      </c>
      <c r="AE2013">
        <v>3.9000000000442001E-3</v>
      </c>
      <c r="AF2013">
        <v>-1.2448963172428499E-3</v>
      </c>
      <c r="AG2013">
        <v>-7.8094999999999998E-2</v>
      </c>
      <c r="AH2013">
        <v>0.49996400419831899</v>
      </c>
      <c r="AI2013">
        <v>98.877905175842201</v>
      </c>
      <c r="AJ2013">
        <v>90.142664585654501</v>
      </c>
      <c r="AK2013">
        <v>0.50602804693599501</v>
      </c>
      <c r="AL2013">
        <v>88.374752835311696</v>
      </c>
      <c r="AM2013">
        <v>90.125610839307797</v>
      </c>
      <c r="AN2013">
        <v>0.99999998773531595</v>
      </c>
    </row>
    <row r="2014" spans="1:40" x14ac:dyDescent="0.25">
      <c r="A2014" t="str">
        <f>"20190312151025184"</f>
        <v>20190312151025184</v>
      </c>
      <c r="B2014" t="str">
        <f>"1552374625172441"</f>
        <v>1552374625172441</v>
      </c>
      <c r="C2014" t="s">
        <v>40</v>
      </c>
      <c r="D2014">
        <v>5.0396140000000003</v>
      </c>
      <c r="E2014">
        <v>0.50284870000000004</v>
      </c>
      <c r="F2014" t="s">
        <v>41</v>
      </c>
      <c r="G2014">
        <v>-280.12439999999998</v>
      </c>
      <c r="H2014">
        <v>1.0394219999999901</v>
      </c>
      <c r="I2014">
        <v>283.041</v>
      </c>
      <c r="J2014">
        <v>-279.48820000000001</v>
      </c>
      <c r="K2014">
        <v>1.10968</v>
      </c>
      <c r="L2014">
        <v>283.03280000000001</v>
      </c>
      <c r="M2014">
        <v>-0.99991509999999995</v>
      </c>
      <c r="N2014">
        <v>0</v>
      </c>
      <c r="O2014">
        <v>9.8278810000000001E-3</v>
      </c>
      <c r="P2014">
        <v>-0.99978049999999996</v>
      </c>
      <c r="Q2014">
        <v>1.964308E-2</v>
      </c>
      <c r="R2014">
        <v>7.2950030000000004E-3</v>
      </c>
      <c r="S2014">
        <v>-3.0053709999999998</v>
      </c>
      <c r="T2014">
        <v>-0.25266420000000001</v>
      </c>
      <c r="U2014">
        <v>3.5614010000000001E-2</v>
      </c>
      <c r="V2014">
        <v>-2.5632329999999998E-3</v>
      </c>
      <c r="W2014">
        <v>2.819671E-2</v>
      </c>
      <c r="X2014">
        <v>0.99959909999999996</v>
      </c>
      <c r="Y2014">
        <v>2.0486060000000001E-3</v>
      </c>
      <c r="Z2014">
        <v>-7.3880389999999999E-4</v>
      </c>
      <c r="AA2014">
        <v>0.99999760000000004</v>
      </c>
      <c r="AB2014">
        <v>36</v>
      </c>
      <c r="AC2014">
        <v>-0.63619999999997301</v>
      </c>
      <c r="AD2014">
        <v>-7.0258000000000098E-2</v>
      </c>
      <c r="AE2014">
        <v>8.1999999999879895E-3</v>
      </c>
      <c r="AF2014">
        <v>1.92342372261057E-3</v>
      </c>
      <c r="AG2014">
        <v>-7.0258000000000098E-2</v>
      </c>
      <c r="AH2014">
        <v>0.62858514570591895</v>
      </c>
      <c r="AI2014">
        <v>96.377544071414505</v>
      </c>
      <c r="AJ2014">
        <v>89.824679729828901</v>
      </c>
      <c r="AK2014">
        <v>0.63250230950167097</v>
      </c>
      <c r="AL2014">
        <v>88.3842333570053</v>
      </c>
      <c r="AM2014">
        <v>90.146921011548599</v>
      </c>
      <c r="AN2014">
        <v>0.999999992669523</v>
      </c>
    </row>
    <row r="2015" spans="1:40" x14ac:dyDescent="0.25">
      <c r="A2015" t="str">
        <f>"20190312151025198"</f>
        <v>20190312151025198</v>
      </c>
      <c r="B2015" t="str">
        <f>"1552374625192939"</f>
        <v>1552374625192939</v>
      </c>
      <c r="C2015" t="s">
        <v>40</v>
      </c>
      <c r="D2015">
        <v>5.0685529999999996</v>
      </c>
      <c r="E2015">
        <v>0.50323409999999902</v>
      </c>
      <c r="F2015" t="s">
        <v>41</v>
      </c>
      <c r="G2015">
        <v>-280.43819999999999</v>
      </c>
      <c r="H2015">
        <v>1.0318670000000001</v>
      </c>
      <c r="I2015">
        <v>283.04430000000002</v>
      </c>
      <c r="J2015">
        <v>-279.72809999999998</v>
      </c>
      <c r="K2015">
        <v>1.10968</v>
      </c>
      <c r="L2015">
        <v>283.03500000000003</v>
      </c>
      <c r="M2015">
        <v>-0.99991839999999999</v>
      </c>
      <c r="N2015">
        <v>0</v>
      </c>
      <c r="O2015">
        <v>9.4864089999999995E-3</v>
      </c>
      <c r="P2015">
        <v>-0.99978820000000002</v>
      </c>
      <c r="Q2015">
        <v>1.956229E-2</v>
      </c>
      <c r="R2015">
        <v>6.4091720000000003E-3</v>
      </c>
      <c r="S2015">
        <v>-3.0052189999999999</v>
      </c>
      <c r="T2015">
        <v>-0.24630630000000001</v>
      </c>
      <c r="U2015">
        <v>3.5369869999999998E-2</v>
      </c>
      <c r="V2015">
        <v>-3.1075690000000001E-3</v>
      </c>
      <c r="W2015">
        <v>2.8123789999999999E-2</v>
      </c>
      <c r="X2015">
        <v>0.99959960000000003</v>
      </c>
      <c r="Y2015">
        <v>2.3061129999999998E-3</v>
      </c>
      <c r="Z2015">
        <v>-6.8183990000000004E-4</v>
      </c>
      <c r="AA2015">
        <v>0.99999709999999997</v>
      </c>
      <c r="AB2015">
        <v>36</v>
      </c>
      <c r="AC2015">
        <v>-0.71010000000001094</v>
      </c>
      <c r="AD2015">
        <v>-7.7812999999999896E-2</v>
      </c>
      <c r="AE2015">
        <v>9.2999999999960892E-3</v>
      </c>
      <c r="AF2015">
        <v>2.5326296751205899E-3</v>
      </c>
      <c r="AG2015">
        <v>-7.7812999999999896E-2</v>
      </c>
      <c r="AH2015">
        <v>0.70173143067590604</v>
      </c>
      <c r="AI2015">
        <v>96.327475148656703</v>
      </c>
      <c r="AJ2015">
        <v>89.793213820749401</v>
      </c>
      <c r="AK2015">
        <v>0.70603702309477001</v>
      </c>
      <c r="AL2015">
        <v>88.388413006345601</v>
      </c>
      <c r="AM2015">
        <v>90.178121334428099</v>
      </c>
      <c r="AN2015">
        <v>0.99999998243460697</v>
      </c>
    </row>
    <row r="2016" spans="1:40" x14ac:dyDescent="0.25">
      <c r="A2016" t="str">
        <f>"20190312151025216"</f>
        <v>20190312151025216</v>
      </c>
      <c r="B2016" t="str">
        <f>"1552374625212457"</f>
        <v>1552374625212457</v>
      </c>
      <c r="C2016" t="s">
        <v>40</v>
      </c>
      <c r="D2016">
        <v>5.0831080000000002</v>
      </c>
      <c r="E2016">
        <v>0.50365099999999996</v>
      </c>
      <c r="F2016" t="s">
        <v>41</v>
      </c>
      <c r="G2016">
        <v>-280.7559</v>
      </c>
      <c r="H2016">
        <v>1.0274650000000001</v>
      </c>
      <c r="I2016">
        <v>283.04759999999999</v>
      </c>
      <c r="J2016">
        <v>-280.00979999999998</v>
      </c>
      <c r="K2016">
        <v>1.10968</v>
      </c>
      <c r="L2016">
        <v>283.03730000000002</v>
      </c>
      <c r="M2016">
        <v>-0.99992199999999998</v>
      </c>
      <c r="N2016">
        <v>0</v>
      </c>
      <c r="O2016">
        <v>9.085147E-3</v>
      </c>
      <c r="P2016">
        <v>-0.99979620000000002</v>
      </c>
      <c r="Q2016">
        <v>1.940629E-2</v>
      </c>
      <c r="R2016">
        <v>5.5904319999999898E-3</v>
      </c>
      <c r="S2016">
        <v>-3.005096</v>
      </c>
      <c r="T2016">
        <v>-0.24051710000000001</v>
      </c>
      <c r="U2016">
        <v>3.619385E-2</v>
      </c>
      <c r="V2016">
        <v>-3.525125E-3</v>
      </c>
      <c r="W2016">
        <v>2.7976979999999999E-2</v>
      </c>
      <c r="X2016">
        <v>0.9996024</v>
      </c>
      <c r="Y2016">
        <v>2.9774910000000001E-3</v>
      </c>
      <c r="Z2016">
        <v>-6.0700540000000001E-4</v>
      </c>
      <c r="AA2016">
        <v>0.99999539999999998</v>
      </c>
      <c r="AB2016">
        <v>36</v>
      </c>
      <c r="AC2016">
        <v>-0.74610000000001198</v>
      </c>
      <c r="AD2016">
        <v>-8.2214999999999899E-2</v>
      </c>
      <c r="AE2016">
        <v>1.0299999999972401E-2</v>
      </c>
      <c r="AF2016">
        <v>3.4786660900542701E-3</v>
      </c>
      <c r="AG2016">
        <v>-8.2214999999999899E-2</v>
      </c>
      <c r="AH2016">
        <v>0.73721288570489096</v>
      </c>
      <c r="AI2016">
        <v>96.363340572287399</v>
      </c>
      <c r="AJ2016">
        <v>89.729641993664998</v>
      </c>
      <c r="AK2016">
        <v>0.74179124165232502</v>
      </c>
      <c r="AL2016">
        <v>88.396828016209398</v>
      </c>
      <c r="AM2016">
        <v>90.202054284266396</v>
      </c>
      <c r="AN2016">
        <v>1.0000000480009701</v>
      </c>
    </row>
    <row r="2017" spans="1:40" x14ac:dyDescent="0.25">
      <c r="A2017" t="str">
        <f>"20190312151025237"</f>
        <v>20190312151025237</v>
      </c>
      <c r="B2017" t="str">
        <f>"1552374625232953"</f>
        <v>1552374625232953</v>
      </c>
      <c r="C2017" t="s">
        <v>40</v>
      </c>
      <c r="D2017">
        <v>5.0550560000000004</v>
      </c>
      <c r="E2017">
        <v>0.50392619999999999</v>
      </c>
      <c r="F2017" t="s">
        <v>61</v>
      </c>
      <c r="G2017">
        <v>-294.21940000000001</v>
      </c>
      <c r="H2017" s="1">
        <v>3.0767959999999998E-6</v>
      </c>
      <c r="I2017">
        <v>283.21409999999997</v>
      </c>
      <c r="J2017">
        <v>-280.34969999999998</v>
      </c>
      <c r="K2017">
        <v>1.109685</v>
      </c>
      <c r="L2017">
        <v>283.03989999999999</v>
      </c>
      <c r="M2017">
        <v>-0.99992619999999999</v>
      </c>
      <c r="N2017">
        <v>0</v>
      </c>
      <c r="O2017">
        <v>8.6014990000000003E-3</v>
      </c>
      <c r="P2017">
        <v>-0.99980239999999998</v>
      </c>
      <c r="Q2017">
        <v>1.928156E-2</v>
      </c>
      <c r="R2017">
        <v>4.8769939999999999E-3</v>
      </c>
      <c r="S2017">
        <v>-3.0049440000000001</v>
      </c>
      <c r="T2017">
        <v>-0.23466609999999999</v>
      </c>
      <c r="U2017">
        <v>3.7384029999999999E-2</v>
      </c>
      <c r="V2017">
        <v>-3.755357E-3</v>
      </c>
      <c r="W2017">
        <v>2.7863539999999999E-2</v>
      </c>
      <c r="X2017">
        <v>0.99960470000000001</v>
      </c>
      <c r="Y2017">
        <v>3.8527269999999998E-3</v>
      </c>
      <c r="Z2017">
        <v>-5.2048069999999897E-4</v>
      </c>
      <c r="AA2017">
        <v>0.9999924</v>
      </c>
      <c r="AB2017">
        <v>36</v>
      </c>
      <c r="AC2017">
        <v>-13.8697</v>
      </c>
      <c r="AD2017">
        <v>-1.1096819232040001</v>
      </c>
      <c r="AE2017">
        <v>0.17419999999998401</v>
      </c>
      <c r="AF2017">
        <v>5.4539886693791201E-2</v>
      </c>
      <c r="AG2017">
        <v>-1.1096819232040001</v>
      </c>
      <c r="AH2017">
        <v>13.7824745446901</v>
      </c>
      <c r="AI2017">
        <v>94.603145965279893</v>
      </c>
      <c r="AJ2017">
        <v>89.773270830186803</v>
      </c>
      <c r="AK2017">
        <v>13.8271824007987</v>
      </c>
      <c r="AL2017">
        <v>88.403330135925501</v>
      </c>
      <c r="AM2017">
        <v>90.215250182795799</v>
      </c>
      <c r="AN2017">
        <v>1.0000000179148001</v>
      </c>
    </row>
    <row r="2018" spans="1:40" x14ac:dyDescent="0.25">
      <c r="A2018" t="str">
        <f>"20190312151025250"</f>
        <v>20190312151025250</v>
      </c>
      <c r="B2018" t="str">
        <f>"1552374625242713"</f>
        <v>1552374625242713</v>
      </c>
      <c r="C2018" t="s">
        <v>40</v>
      </c>
      <c r="D2018">
        <v>5.0278330000000002</v>
      </c>
      <c r="E2018">
        <v>0.503996</v>
      </c>
      <c r="F2018" t="s">
        <v>61</v>
      </c>
      <c r="G2018">
        <v>-295.42439999999999</v>
      </c>
      <c r="H2018" s="1">
        <v>3.2892269999999999E-6</v>
      </c>
      <c r="I2018">
        <v>283.22899999999998</v>
      </c>
      <c r="J2018">
        <v>-280.55040000000002</v>
      </c>
      <c r="K2018">
        <v>1.109686</v>
      </c>
      <c r="L2018">
        <v>283.04140000000001</v>
      </c>
      <c r="M2018">
        <v>-0.9999287</v>
      </c>
      <c r="N2018">
        <v>0</v>
      </c>
      <c r="O2018">
        <v>8.3155959999999998E-3</v>
      </c>
      <c r="P2018">
        <v>-0.99980769999999997</v>
      </c>
      <c r="Q2018">
        <v>1.9075229999999999E-2</v>
      </c>
      <c r="R2018">
        <v>4.6004389999999996E-3</v>
      </c>
      <c r="S2018">
        <v>-3.0046390000000001</v>
      </c>
      <c r="T2018">
        <v>-0.22117809999999999</v>
      </c>
      <c r="U2018">
        <v>3.7689210000000001E-2</v>
      </c>
      <c r="V2018">
        <v>-3.7458460000000002E-3</v>
      </c>
      <c r="W2018">
        <v>2.7663340000000002E-2</v>
      </c>
      <c r="X2018">
        <v>0.99961029999999995</v>
      </c>
      <c r="Y2018">
        <v>4.2380380000000004E-3</v>
      </c>
      <c r="Z2018">
        <v>-4.5551880000000003E-4</v>
      </c>
      <c r="AA2018">
        <v>0.99999090000000002</v>
      </c>
      <c r="AB2018">
        <v>36</v>
      </c>
      <c r="AC2018">
        <v>-14.873999999999899</v>
      </c>
      <c r="AD2018">
        <v>-1.1096827107729901</v>
      </c>
      <c r="AE2018">
        <v>0.18760000000003099</v>
      </c>
      <c r="AF2018">
        <v>6.3549138617779902E-2</v>
      </c>
      <c r="AG2018">
        <v>-1.1096827107729901</v>
      </c>
      <c r="AH2018">
        <v>14.7927227669338</v>
      </c>
      <c r="AI2018">
        <v>94.289993986639104</v>
      </c>
      <c r="AJ2018">
        <v>89.753860388461206</v>
      </c>
      <c r="AK2018">
        <v>14.8344221684219</v>
      </c>
      <c r="AL2018">
        <v>88.414805180346207</v>
      </c>
      <c r="AM2018">
        <v>90.214703832005796</v>
      </c>
      <c r="AN2018">
        <v>1.00000002180415</v>
      </c>
    </row>
    <row r="2019" spans="1:40" x14ac:dyDescent="0.25">
      <c r="A2019" t="str">
        <f>"20190312151025263"</f>
        <v>20190312151025263</v>
      </c>
      <c r="B2019" t="str">
        <f>"1552374625252473"</f>
        <v>1552374625252473</v>
      </c>
      <c r="C2019" t="s">
        <v>40</v>
      </c>
      <c r="D2019">
        <v>5.1700980000000003</v>
      </c>
      <c r="E2019">
        <v>0.50409440000000005</v>
      </c>
      <c r="F2019" t="s">
        <v>61</v>
      </c>
      <c r="G2019">
        <v>-295.95049999999998</v>
      </c>
      <c r="H2019" s="1">
        <v>3.3821289999999999E-6</v>
      </c>
      <c r="I2019">
        <v>283.23390000000001</v>
      </c>
      <c r="J2019">
        <v>-280.76100000000002</v>
      </c>
      <c r="K2019">
        <v>1.109688</v>
      </c>
      <c r="L2019">
        <v>283.04289999999997</v>
      </c>
      <c r="M2019">
        <v>-0.99993100000000001</v>
      </c>
      <c r="N2019">
        <v>0</v>
      </c>
      <c r="O2019">
        <v>8.0158620000000003E-3</v>
      </c>
      <c r="P2019">
        <v>-0.99981209999999998</v>
      </c>
      <c r="Q2019">
        <v>1.8939460000000002E-2</v>
      </c>
      <c r="R2019">
        <v>4.1507439999999996E-3</v>
      </c>
      <c r="S2019">
        <v>-3.0045169999999999</v>
      </c>
      <c r="T2019">
        <v>-0.21649589999999999</v>
      </c>
      <c r="U2019">
        <v>3.7567139999999999E-2</v>
      </c>
      <c r="V2019">
        <v>-3.8960050000000001E-3</v>
      </c>
      <c r="W2019">
        <v>2.7534650000000001E-2</v>
      </c>
      <c r="X2019">
        <v>0.99961330000000004</v>
      </c>
      <c r="Y2019">
        <v>4.4957720000000003E-3</v>
      </c>
      <c r="Z2019">
        <v>-4.1507730000000002E-4</v>
      </c>
      <c r="AA2019">
        <v>0.99998980000000004</v>
      </c>
      <c r="AB2019">
        <v>36</v>
      </c>
      <c r="AC2019">
        <v>-15.189500000000001</v>
      </c>
      <c r="AD2019">
        <v>-1.109684617871</v>
      </c>
      <c r="AE2019">
        <v>0.19100000000003001</v>
      </c>
      <c r="AF2019">
        <v>6.8864951030581698E-2</v>
      </c>
      <c r="AG2019">
        <v>-1.109684617871</v>
      </c>
      <c r="AH2019">
        <v>15.109911420628499</v>
      </c>
      <c r="AI2019">
        <v>94.200266119577606</v>
      </c>
      <c r="AJ2019">
        <v>89.738870492257703</v>
      </c>
      <c r="AK2019">
        <v>15.150761217571199</v>
      </c>
      <c r="AL2019">
        <v>88.4221814167677</v>
      </c>
      <c r="AM2019">
        <v>90.223309867092198</v>
      </c>
      <c r="AN2019">
        <v>1.0000000426712301</v>
      </c>
    </row>
    <row r="2020" spans="1:40" x14ac:dyDescent="0.25">
      <c r="A2020" t="str">
        <f>"20190312151025282"</f>
        <v>20190312151025282</v>
      </c>
      <c r="B2020" t="str">
        <f>"1552374625272969"</f>
        <v>1552374625272969</v>
      </c>
      <c r="C2020" t="s">
        <v>40</v>
      </c>
      <c r="D2020">
        <v>5.0554610000000002</v>
      </c>
      <c r="E2020">
        <v>0.50435010000000002</v>
      </c>
      <c r="F2020" t="s">
        <v>41</v>
      </c>
      <c r="G2020">
        <v>-281.72789999999998</v>
      </c>
      <c r="H2020">
        <v>1.0417559999999999</v>
      </c>
      <c r="I2020">
        <v>283.05520000000001</v>
      </c>
      <c r="J2020">
        <v>-281.07870000000003</v>
      </c>
      <c r="K2020">
        <v>1.109688</v>
      </c>
      <c r="L2020">
        <v>283.04500000000002</v>
      </c>
      <c r="M2020">
        <v>-0.9999344</v>
      </c>
      <c r="N2020">
        <v>0</v>
      </c>
      <c r="O2020">
        <v>7.5640530000000003E-3</v>
      </c>
      <c r="P2020">
        <v>-0.99981200000000003</v>
      </c>
      <c r="Q2020">
        <v>1.9019439999999999E-2</v>
      </c>
      <c r="R2020">
        <v>3.8100590000000002E-3</v>
      </c>
      <c r="S2020">
        <v>-3.0044249999999999</v>
      </c>
      <c r="T2020">
        <v>-0.21135989999999999</v>
      </c>
      <c r="U2020">
        <v>3.720093E-2</v>
      </c>
      <c r="V2020">
        <v>-3.784459E-3</v>
      </c>
      <c r="W2020">
        <v>2.7625210000000001E-2</v>
      </c>
      <c r="X2020">
        <v>0.99961120000000003</v>
      </c>
      <c r="Y2020">
        <v>4.8237619999999997E-3</v>
      </c>
      <c r="Z2020">
        <v>-3.6200140000000001E-4</v>
      </c>
      <c r="AA2020">
        <v>0.99998830000000005</v>
      </c>
      <c r="AB2020">
        <v>36</v>
      </c>
      <c r="AC2020">
        <v>-0.64919999999995004</v>
      </c>
      <c r="AD2020">
        <v>-6.7932000000000103E-2</v>
      </c>
      <c r="AE2020">
        <v>1.0199999999997499E-2</v>
      </c>
      <c r="AF2020">
        <v>5.2316735745623396E-3</v>
      </c>
      <c r="AG2020">
        <v>-6.7932000000000103E-2</v>
      </c>
      <c r="AH2020">
        <v>0.64222828013192401</v>
      </c>
      <c r="AI2020">
        <v>96.037837358155201</v>
      </c>
      <c r="AJ2020">
        <v>89.533271587879895</v>
      </c>
      <c r="AK2020">
        <v>0.64583224666595895</v>
      </c>
      <c r="AL2020">
        <v>88.416990689307696</v>
      </c>
      <c r="AM2020">
        <v>90.216916829734501</v>
      </c>
      <c r="AN2020">
        <v>1.0000000127614499</v>
      </c>
    </row>
    <row r="2021" spans="1:40" x14ac:dyDescent="0.25">
      <c r="A2021" t="str">
        <f>"20190312151025294"</f>
        <v>20190312151025294</v>
      </c>
      <c r="B2021" t="str">
        <f>"1552374625282729"</f>
        <v>1552374625282729</v>
      </c>
      <c r="C2021" t="s">
        <v>40</v>
      </c>
      <c r="D2021">
        <v>5.0005300000000004</v>
      </c>
      <c r="E2021">
        <v>0.5044322</v>
      </c>
      <c r="F2021" t="s">
        <v>41</v>
      </c>
      <c r="G2021">
        <v>-282.0514</v>
      </c>
      <c r="H2021">
        <v>1.0436620000000001</v>
      </c>
      <c r="I2021">
        <v>283.05759999999998</v>
      </c>
      <c r="J2021">
        <v>-281.27289999999999</v>
      </c>
      <c r="K2021">
        <v>1.1096889999999999</v>
      </c>
      <c r="L2021">
        <v>283.04629999999997</v>
      </c>
      <c r="M2021">
        <v>-0.99993639999999995</v>
      </c>
      <c r="N2021">
        <v>0</v>
      </c>
      <c r="O2021">
        <v>7.2878680000000003E-3</v>
      </c>
      <c r="P2021">
        <v>-0.99981240000000005</v>
      </c>
      <c r="Q2021">
        <v>1.9064020000000001E-2</v>
      </c>
      <c r="R2021">
        <v>3.4617630000000001E-3</v>
      </c>
      <c r="S2021">
        <v>-3.0042719999999998</v>
      </c>
      <c r="T2021">
        <v>-0.20406540000000001</v>
      </c>
      <c r="U2021">
        <v>3.8299560000000003E-2</v>
      </c>
      <c r="V2021">
        <v>-3.856904E-3</v>
      </c>
      <c r="W2021">
        <v>2.7675740000000001E-2</v>
      </c>
      <c r="X2021">
        <v>0.99960950000000004</v>
      </c>
      <c r="Y2021">
        <v>5.4636490000000001E-3</v>
      </c>
      <c r="Z2021">
        <v>-3.0911030000000002E-4</v>
      </c>
      <c r="AA2021">
        <v>0.99998500000000001</v>
      </c>
      <c r="AB2021">
        <v>36</v>
      </c>
      <c r="AC2021">
        <v>-0.77850000000000796</v>
      </c>
      <c r="AD2021">
        <v>-6.6026999999999794E-2</v>
      </c>
      <c r="AE2021">
        <v>1.1300000000005601E-2</v>
      </c>
      <c r="AF2021">
        <v>5.5857134385884502E-3</v>
      </c>
      <c r="AG2021">
        <v>-6.6026999999999794E-2</v>
      </c>
      <c r="AH2021">
        <v>0.77300244185811595</v>
      </c>
      <c r="AI2021">
        <v>94.882015759356804</v>
      </c>
      <c r="AJ2021">
        <v>89.585988066552304</v>
      </c>
      <c r="AK2021">
        <v>0.77583731544843004</v>
      </c>
      <c r="AL2021">
        <v>88.414094385982295</v>
      </c>
      <c r="AM2021">
        <v>90.221069552234596</v>
      </c>
      <c r="AN2021">
        <v>0.99999998739163098</v>
      </c>
    </row>
    <row r="2022" spans="1:40" x14ac:dyDescent="0.25">
      <c r="A2022" t="str">
        <f>"20190312151025315"</f>
        <v>20190312151025315</v>
      </c>
      <c r="B2022" t="str">
        <f>"1552374625312985"</f>
        <v>1552374625312985</v>
      </c>
      <c r="C2022" t="s">
        <v>40</v>
      </c>
      <c r="D2022">
        <v>5.0503470000000004</v>
      </c>
      <c r="E2022">
        <v>0.50467689999999998</v>
      </c>
      <c r="F2022" t="s">
        <v>61</v>
      </c>
      <c r="G2022">
        <v>-297.84539999999998</v>
      </c>
      <c r="H2022" s="1">
        <v>3.7162519999999998E-6</v>
      </c>
      <c r="I2022">
        <v>283.25670000000002</v>
      </c>
      <c r="J2022">
        <v>-281.61470000000003</v>
      </c>
      <c r="K2022">
        <v>1.1096839999999999</v>
      </c>
      <c r="L2022">
        <v>283.04840000000002</v>
      </c>
      <c r="M2022">
        <v>-0.99993969999999999</v>
      </c>
      <c r="N2022">
        <v>0</v>
      </c>
      <c r="O2022">
        <v>6.8018469999999998E-3</v>
      </c>
      <c r="P2022">
        <v>-0.99980530000000001</v>
      </c>
      <c r="Q2022">
        <v>1.953481E-2</v>
      </c>
      <c r="R2022">
        <v>2.816888E-3</v>
      </c>
      <c r="S2022">
        <v>-3.0042719999999998</v>
      </c>
      <c r="T2022">
        <v>-0.20116410000000001</v>
      </c>
      <c r="U2022">
        <v>3.8146970000000002E-2</v>
      </c>
      <c r="V2022">
        <v>-4.0165280000000001E-3</v>
      </c>
      <c r="W2022">
        <v>2.815668E-2</v>
      </c>
      <c r="X2022">
        <v>0.99959549999999997</v>
      </c>
      <c r="Y2022">
        <v>5.8967309999999997E-3</v>
      </c>
      <c r="Z2022">
        <v>-2.5773700000000002E-4</v>
      </c>
      <c r="AA2022">
        <v>0.99998260000000005</v>
      </c>
      <c r="AB2022">
        <v>36</v>
      </c>
      <c r="AC2022">
        <v>-16.230699999999899</v>
      </c>
      <c r="AD2022">
        <v>-1.109680283748</v>
      </c>
      <c r="AE2022">
        <v>0.20830000000000801</v>
      </c>
      <c r="AF2022">
        <v>9.7436960240827805E-2</v>
      </c>
      <c r="AG2022">
        <v>-1.109680283748</v>
      </c>
      <c r="AH2022">
        <v>16.156233929931201</v>
      </c>
      <c r="AI2022">
        <v>93.929080751017693</v>
      </c>
      <c r="AJ2022">
        <v>89.654457905778401</v>
      </c>
      <c r="AK2022">
        <v>16.194591044296899</v>
      </c>
      <c r="AL2022">
        <v>88.386527906359206</v>
      </c>
      <c r="AM2022">
        <v>90.230221988976396</v>
      </c>
      <c r="AN2022">
        <v>1.00000004737302</v>
      </c>
    </row>
    <row r="2023" spans="1:40" x14ac:dyDescent="0.25">
      <c r="A2023" t="str">
        <f>"20190312151025338"</f>
        <v>20190312151025338</v>
      </c>
      <c r="B2023" t="str">
        <f>"1552374625332505"</f>
        <v>1552374625332505</v>
      </c>
      <c r="C2023" t="s">
        <v>40</v>
      </c>
      <c r="D2023">
        <v>5.0814919999999999</v>
      </c>
      <c r="E2023">
        <v>0.50487289999999996</v>
      </c>
      <c r="F2023" t="s">
        <v>61</v>
      </c>
      <c r="G2023">
        <v>-298.68189999999998</v>
      </c>
      <c r="H2023" s="1">
        <v>3.8639249999999996E-6</v>
      </c>
      <c r="I2023">
        <v>283.26479999999998</v>
      </c>
      <c r="J2023">
        <v>-281.97019999999998</v>
      </c>
      <c r="K2023">
        <v>1.109685</v>
      </c>
      <c r="L2023">
        <v>283.05029999999999</v>
      </c>
      <c r="M2023">
        <v>-0.99994280000000002</v>
      </c>
      <c r="N2023">
        <v>0</v>
      </c>
      <c r="O2023">
        <v>6.2965149999999999E-3</v>
      </c>
      <c r="P2023">
        <v>-0.99980150000000001</v>
      </c>
      <c r="Q2023">
        <v>1.9730749999999998E-2</v>
      </c>
      <c r="R2023">
        <v>2.778558E-3</v>
      </c>
      <c r="S2023">
        <v>-3.0043030000000002</v>
      </c>
      <c r="T2023">
        <v>-0.1953348</v>
      </c>
      <c r="U2023">
        <v>3.8085939999999999E-2</v>
      </c>
      <c r="V2023">
        <v>-3.5498719999999999E-3</v>
      </c>
      <c r="W2023">
        <v>2.836402E-2</v>
      </c>
      <c r="X2023">
        <v>0.99959140000000002</v>
      </c>
      <c r="Y2023">
        <v>6.3794419999999999E-3</v>
      </c>
      <c r="Z2023">
        <v>-2.0178660000000001E-4</v>
      </c>
      <c r="AA2023">
        <v>0.99997959999999997</v>
      </c>
      <c r="AB2023">
        <v>36</v>
      </c>
      <c r="AC2023">
        <v>-16.7117</v>
      </c>
      <c r="AD2023">
        <v>-1.1096811360750001</v>
      </c>
      <c r="AE2023">
        <v>0.21449999999998601</v>
      </c>
      <c r="AF2023">
        <v>0.10878676635262299</v>
      </c>
      <c r="AG2023">
        <v>-1.1096811360750001</v>
      </c>
      <c r="AH2023">
        <v>16.639365926570999</v>
      </c>
      <c r="AI2023">
        <v>93.815330765630605</v>
      </c>
      <c r="AJ2023">
        <v>89.625410379226096</v>
      </c>
      <c r="AK2023">
        <v>16.6766820807565</v>
      </c>
      <c r="AL2023">
        <v>88.374643446318501</v>
      </c>
      <c r="AM2023">
        <v>90.203474968234403</v>
      </c>
      <c r="AN2023">
        <v>1.0000000430878599</v>
      </c>
    </row>
    <row r="2024" spans="1:40" x14ac:dyDescent="0.25">
      <c r="A2024" t="str">
        <f>"20190312151025351"</f>
        <v>20190312151025351</v>
      </c>
      <c r="B2024" t="str">
        <f>"1552374625342266"</f>
        <v>1552374625342266</v>
      </c>
      <c r="C2024" t="s">
        <v>40</v>
      </c>
      <c r="D2024">
        <v>5.0715370000000002</v>
      </c>
      <c r="E2024">
        <v>0.50493509999999997</v>
      </c>
      <c r="F2024" t="s">
        <v>41</v>
      </c>
      <c r="G2024">
        <v>-283.0179</v>
      </c>
      <c r="H2024">
        <v>1.041126</v>
      </c>
      <c r="I2024">
        <v>283.06439999999998</v>
      </c>
      <c r="J2024">
        <v>-282.18310000000002</v>
      </c>
      <c r="K2024">
        <v>1.109686</v>
      </c>
      <c r="L2024">
        <v>283.0514</v>
      </c>
      <c r="M2024">
        <v>-0.99994470000000002</v>
      </c>
      <c r="N2024">
        <v>0</v>
      </c>
      <c r="O2024">
        <v>5.9942789999999999E-3</v>
      </c>
      <c r="P2024">
        <v>-0.99980210000000003</v>
      </c>
      <c r="Q2024">
        <v>1.9727160000000001E-2</v>
      </c>
      <c r="R2024">
        <v>2.568248E-3</v>
      </c>
      <c r="S2024">
        <v>-3.0043950000000001</v>
      </c>
      <c r="T2024">
        <v>-0.1968628</v>
      </c>
      <c r="U2024">
        <v>3.9337160000000003E-2</v>
      </c>
      <c r="V2024">
        <v>-3.45788E-3</v>
      </c>
      <c r="W2024">
        <v>2.8366880000000001E-2</v>
      </c>
      <c r="X2024">
        <v>0.99959160000000002</v>
      </c>
      <c r="Y2024">
        <v>7.0954980000000004E-3</v>
      </c>
      <c r="Z2024">
        <v>-1.601393E-4</v>
      </c>
      <c r="AA2024">
        <v>0.99997480000000005</v>
      </c>
      <c r="AB2024">
        <v>36</v>
      </c>
      <c r="AC2024">
        <v>-0.83479999999997201</v>
      </c>
      <c r="AD2024">
        <v>-6.8559999999999899E-2</v>
      </c>
      <c r="AE2024">
        <v>1.2999999999976799E-2</v>
      </c>
      <c r="AF2024">
        <v>7.9420003313525299E-3</v>
      </c>
      <c r="AG2024">
        <v>-6.8559999999999899E-2</v>
      </c>
      <c r="AH2024">
        <v>0.82927092044932904</v>
      </c>
      <c r="AI2024">
        <v>94.725966150944799</v>
      </c>
      <c r="AJ2024">
        <v>89.4512900704147</v>
      </c>
      <c r="AK2024">
        <v>0.83213809459256305</v>
      </c>
      <c r="AL2024">
        <v>88.374479447305404</v>
      </c>
      <c r="AM2024">
        <v>90.198202085510999</v>
      </c>
      <c r="AN2024">
        <v>1.0000000018027899</v>
      </c>
    </row>
    <row r="2025" spans="1:40" x14ac:dyDescent="0.25">
      <c r="A2025" t="str">
        <f>"20190312151025363"</f>
        <v>20190312151025363</v>
      </c>
      <c r="B2025" t="str">
        <f>"1552374625353001"</f>
        <v>1552374625353001</v>
      </c>
      <c r="C2025" t="s">
        <v>40</v>
      </c>
      <c r="D2025">
        <v>5.039847</v>
      </c>
      <c r="E2025">
        <v>0.50484050000000003</v>
      </c>
      <c r="F2025" t="s">
        <v>61</v>
      </c>
      <c r="G2025">
        <v>-298.99439999999998</v>
      </c>
      <c r="H2025" s="1">
        <v>3.9188450000000003E-6</v>
      </c>
      <c r="I2025">
        <v>283.27069999999998</v>
      </c>
      <c r="J2025">
        <v>-282.38990000000001</v>
      </c>
      <c r="K2025">
        <v>1.109691</v>
      </c>
      <c r="L2025">
        <v>283.05239999999998</v>
      </c>
      <c r="M2025">
        <v>-0.99994640000000001</v>
      </c>
      <c r="N2025">
        <v>0</v>
      </c>
      <c r="O2025">
        <v>5.7003920000000003E-3</v>
      </c>
      <c r="P2025">
        <v>-0.99980040000000003</v>
      </c>
      <c r="Q2025">
        <v>1.981693E-2</v>
      </c>
      <c r="R2025">
        <v>2.570204E-3</v>
      </c>
      <c r="S2025">
        <v>-3.0043639999999998</v>
      </c>
      <c r="T2025">
        <v>-0.1983124</v>
      </c>
      <c r="U2025">
        <v>3.9184570000000002E-2</v>
      </c>
      <c r="V2025">
        <v>-3.1628289999999998E-3</v>
      </c>
      <c r="W2025">
        <v>2.8462680000000001E-2</v>
      </c>
      <c r="X2025">
        <v>0.99958990000000003</v>
      </c>
      <c r="Y2025">
        <v>7.3375489999999996E-3</v>
      </c>
      <c r="Z2025">
        <v>-1.339608E-4</v>
      </c>
      <c r="AA2025">
        <v>0.99997309999999995</v>
      </c>
      <c r="AB2025">
        <v>36</v>
      </c>
      <c r="AC2025">
        <v>-16.604499999999899</v>
      </c>
      <c r="AD2025">
        <v>-1.1096870811549999</v>
      </c>
      <c r="AE2025">
        <v>0.21829999999999899</v>
      </c>
      <c r="AF2025">
        <v>0.123091089682572</v>
      </c>
      <c r="AG2025">
        <v>-1.1096870811549999</v>
      </c>
      <c r="AH2025">
        <v>16.531651819969099</v>
      </c>
      <c r="AI2025">
        <v>93.840112115210999</v>
      </c>
      <c r="AJ2025">
        <v>89.573395950730401</v>
      </c>
      <c r="AK2025">
        <v>16.569311051794799</v>
      </c>
      <c r="AL2025">
        <v>88.368988369633996</v>
      </c>
      <c r="AM2025">
        <v>90.181290495495006</v>
      </c>
      <c r="AN2025">
        <v>1.00000004791103</v>
      </c>
    </row>
    <row r="2026" spans="1:40" x14ac:dyDescent="0.25">
      <c r="A2026" t="str">
        <f>"20190312151025383"</f>
        <v>20190312151025383</v>
      </c>
      <c r="B2026" t="str">
        <f>"1552374625372521"</f>
        <v>1552374625372521</v>
      </c>
      <c r="C2026" t="s">
        <v>40</v>
      </c>
      <c r="D2026">
        <v>5.0693950000000001</v>
      </c>
      <c r="E2026">
        <v>0.49634299999999998</v>
      </c>
      <c r="F2026" t="s">
        <v>41</v>
      </c>
      <c r="G2026">
        <v>-283.34620000000001</v>
      </c>
      <c r="H2026">
        <v>1.0459069999999999</v>
      </c>
      <c r="I2026">
        <v>283.06479999999999</v>
      </c>
      <c r="J2026">
        <v>-282.69150000000002</v>
      </c>
      <c r="K2026">
        <v>1.109691</v>
      </c>
      <c r="L2026">
        <v>283.05380000000002</v>
      </c>
      <c r="M2026">
        <v>-0.99994859999999997</v>
      </c>
      <c r="N2026">
        <v>0</v>
      </c>
      <c r="O2026">
        <v>5.2719630000000002E-3</v>
      </c>
      <c r="P2026">
        <v>-0.9998049</v>
      </c>
      <c r="Q2026">
        <v>1.9579880000000001E-2</v>
      </c>
      <c r="R2026">
        <v>2.6270439999999998E-3</v>
      </c>
      <c r="S2026">
        <v>-3.0044249999999999</v>
      </c>
      <c r="T2026">
        <v>-0.20055770000000001</v>
      </c>
      <c r="U2026">
        <v>3.8177490000000001E-2</v>
      </c>
      <c r="V2026">
        <v>-2.6771479999999999E-3</v>
      </c>
      <c r="W2026">
        <v>2.8235320000000001E-2</v>
      </c>
      <c r="X2026">
        <v>0.99959770000000003</v>
      </c>
      <c r="Y2026">
        <v>7.4293509999999998E-3</v>
      </c>
      <c r="Z2026">
        <v>-1.038447E-4</v>
      </c>
      <c r="AA2026">
        <v>0.99997239999999998</v>
      </c>
      <c r="AB2026">
        <v>36</v>
      </c>
      <c r="AC2026">
        <v>-0.65469999999999096</v>
      </c>
      <c r="AD2026">
        <v>-6.3783999999999993E-2</v>
      </c>
      <c r="AE2026">
        <v>1.0999999999967199E-2</v>
      </c>
      <c r="AF2026">
        <v>7.4772129135517703E-3</v>
      </c>
      <c r="AG2026">
        <v>-6.3783999999999993E-2</v>
      </c>
      <c r="AH2026">
        <v>0.64859444175633596</v>
      </c>
      <c r="AI2026">
        <v>95.616144607975002</v>
      </c>
      <c r="AJ2026">
        <v>89.339504415450406</v>
      </c>
      <c r="AK2026">
        <v>0.65176610624223796</v>
      </c>
      <c r="AL2026">
        <v>88.382020267131495</v>
      </c>
      <c r="AM2026">
        <v>90.153450647980904</v>
      </c>
      <c r="AN2026">
        <v>0.999999981131103</v>
      </c>
    </row>
    <row r="2027" spans="1:40" x14ac:dyDescent="0.25">
      <c r="A2027" t="str">
        <f>"20190312151025394"</f>
        <v>20190312151025394</v>
      </c>
      <c r="B2027" t="str">
        <f>"1552374625382281"</f>
        <v>1552374625382281</v>
      </c>
      <c r="C2027" t="s">
        <v>40</v>
      </c>
      <c r="D2027">
        <v>5.0976730000000003</v>
      </c>
      <c r="E2027">
        <v>0.4964346</v>
      </c>
      <c r="F2027" t="s">
        <v>41</v>
      </c>
      <c r="G2027">
        <v>-283.6583</v>
      </c>
      <c r="H2027">
        <v>1.026467</v>
      </c>
      <c r="I2027">
        <v>283.04419999999999</v>
      </c>
      <c r="J2027">
        <v>-282.89109999999999</v>
      </c>
      <c r="K2027">
        <v>1.109691</v>
      </c>
      <c r="L2027">
        <v>283.05459999999999</v>
      </c>
      <c r="M2027">
        <v>-0.99994989999999995</v>
      </c>
      <c r="N2027">
        <v>0</v>
      </c>
      <c r="O2027">
        <v>4.9886280000000002E-3</v>
      </c>
      <c r="P2027">
        <v>-0.99980610000000003</v>
      </c>
      <c r="Q2027">
        <v>1.9561869999999999E-2</v>
      </c>
      <c r="R2027">
        <v>2.2402360000000001E-3</v>
      </c>
      <c r="S2027">
        <v>-3.0057070000000001</v>
      </c>
      <c r="T2027">
        <v>-0.25898369999999998</v>
      </c>
      <c r="U2027">
        <v>-3.091431E-2</v>
      </c>
      <c r="V2027">
        <v>-2.7810579999999999E-3</v>
      </c>
      <c r="W2027">
        <v>2.822293E-2</v>
      </c>
      <c r="X2027">
        <v>0.99959779999999998</v>
      </c>
      <c r="Y2027">
        <v>-1.519829E-2</v>
      </c>
      <c r="Z2027">
        <v>-1.0825959999999999E-3</v>
      </c>
      <c r="AA2027">
        <v>0.99988390000000005</v>
      </c>
      <c r="AB2027">
        <v>36</v>
      </c>
      <c r="AC2027">
        <v>-0.76720000000000199</v>
      </c>
      <c r="AD2027">
        <v>-8.3223999999999895E-2</v>
      </c>
      <c r="AE2027">
        <v>-1.04000000000041E-2</v>
      </c>
      <c r="AF2027">
        <v>-1.40618493070953E-2</v>
      </c>
      <c r="AG2027">
        <v>-8.3223999999999895E-2</v>
      </c>
      <c r="AH2027">
        <v>0.75821796523496399</v>
      </c>
      <c r="AI2027">
        <v>96.262792196505004</v>
      </c>
      <c r="AJ2027">
        <v>91.062481108858506</v>
      </c>
      <c r="AK2027">
        <v>0.76290133869785903</v>
      </c>
      <c r="AL2027">
        <v>88.382730499523007</v>
      </c>
      <c r="AM2027">
        <v>90.159406588181099</v>
      </c>
      <c r="AN2027">
        <v>1.0000000149131101</v>
      </c>
    </row>
    <row r="2028" spans="1:40" x14ac:dyDescent="0.25">
      <c r="A2028" t="str">
        <f>"20190312151025417"</f>
        <v>20190312151025417</v>
      </c>
      <c r="B2028" t="str">
        <f>"1552374625412537"</f>
        <v>1552374625412537</v>
      </c>
      <c r="C2028" t="s">
        <v>40</v>
      </c>
      <c r="D2028">
        <v>5.0921310000000002</v>
      </c>
      <c r="E2028">
        <v>0.49630869999999999</v>
      </c>
      <c r="F2028" t="s">
        <v>41</v>
      </c>
      <c r="G2028">
        <v>-283.6782</v>
      </c>
      <c r="H2028">
        <v>1.040402</v>
      </c>
      <c r="I2028">
        <v>283.04669999999999</v>
      </c>
      <c r="J2028">
        <v>-283.25240000000002</v>
      </c>
      <c r="K2028">
        <v>1.109694</v>
      </c>
      <c r="L2028">
        <v>283.05599999999998</v>
      </c>
      <c r="M2028">
        <v>-0.99995239999999996</v>
      </c>
      <c r="N2028">
        <v>0</v>
      </c>
      <c r="O2028">
        <v>4.475077E-3</v>
      </c>
      <c r="P2028">
        <v>-0.99980869999999999</v>
      </c>
      <c r="Q2028">
        <v>1.941754E-2</v>
      </c>
      <c r="R2028">
        <v>2.3963529999999999E-3</v>
      </c>
      <c r="S2028">
        <v>-3.0058590000000001</v>
      </c>
      <c r="T2028">
        <v>-0.26490190000000002</v>
      </c>
      <c r="U2028">
        <v>-3.1524660000000003E-2</v>
      </c>
      <c r="V2028">
        <v>-2.110902E-3</v>
      </c>
      <c r="W2028">
        <v>2.8089949999999999E-2</v>
      </c>
      <c r="X2028">
        <v>0.99960320000000003</v>
      </c>
      <c r="Y2028">
        <v>-1.4887020000000001E-2</v>
      </c>
      <c r="Z2028">
        <v>-1.0483230000000001E-3</v>
      </c>
      <c r="AA2028">
        <v>0.99988869999999996</v>
      </c>
      <c r="AB2028">
        <v>36</v>
      </c>
      <c r="AC2028">
        <v>-0.42579999999998103</v>
      </c>
      <c r="AD2028">
        <v>-6.9291999999999895E-2</v>
      </c>
      <c r="AE2028">
        <v>-9.2999999999960892E-3</v>
      </c>
      <c r="AF2028">
        <v>-1.09165103679444E-2</v>
      </c>
      <c r="AG2028">
        <v>-6.9291999999999895E-2</v>
      </c>
      <c r="AH2028">
        <v>0.41477517386714202</v>
      </c>
      <c r="AI2028">
        <v>99.480978782823897</v>
      </c>
      <c r="AJ2028">
        <v>91.507625457063099</v>
      </c>
      <c r="AK2028">
        <v>0.42066494543654498</v>
      </c>
      <c r="AL2028">
        <v>88.390352737365703</v>
      </c>
      <c r="AM2028">
        <v>90.120993606045303</v>
      </c>
      <c r="AN2028">
        <v>1.0000000293242399</v>
      </c>
    </row>
    <row r="2029" spans="1:40" x14ac:dyDescent="0.25">
      <c r="A2029" t="str">
        <f>"20190312151025439"</f>
        <v>20190312151025439</v>
      </c>
      <c r="B2029" t="str">
        <f>"1552374625433033"</f>
        <v>1552374625433033</v>
      </c>
      <c r="C2029" t="s">
        <v>40</v>
      </c>
      <c r="D2029">
        <v>5.1097710000000003</v>
      </c>
      <c r="E2029">
        <v>0.4966545</v>
      </c>
      <c r="F2029" t="s">
        <v>61</v>
      </c>
      <c r="G2029">
        <v>-295.82530000000003</v>
      </c>
      <c r="H2029" s="1">
        <v>3.3872049999999999E-6</v>
      </c>
      <c r="I2029">
        <v>282.92180000000002</v>
      </c>
      <c r="J2029">
        <v>-283.6182</v>
      </c>
      <c r="K2029">
        <v>1.1096969999999999</v>
      </c>
      <c r="L2029">
        <v>283.05720000000002</v>
      </c>
      <c r="M2029">
        <v>-0.99995440000000002</v>
      </c>
      <c r="N2029">
        <v>0</v>
      </c>
      <c r="O2029">
        <v>3.9568479999999998E-3</v>
      </c>
      <c r="P2029">
        <v>-0.99980619999999998</v>
      </c>
      <c r="Q2029">
        <v>1.9535830000000001E-2</v>
      </c>
      <c r="R2029">
        <v>2.4453740000000002E-3</v>
      </c>
      <c r="S2029">
        <v>-3.005798</v>
      </c>
      <c r="T2029">
        <v>-0.26529320000000001</v>
      </c>
      <c r="U2029">
        <v>-3.207397E-2</v>
      </c>
      <c r="V2029">
        <v>-1.544162E-3</v>
      </c>
      <c r="W2029">
        <v>2.822388E-2</v>
      </c>
      <c r="X2029">
        <v>0.99960039999999994</v>
      </c>
      <c r="Y2029">
        <v>-1.455483E-2</v>
      </c>
      <c r="Z2029">
        <v>-9.8960439999999997E-4</v>
      </c>
      <c r="AA2029">
        <v>0.99989360000000005</v>
      </c>
      <c r="AB2029">
        <v>36</v>
      </c>
      <c r="AC2029">
        <v>-12.207100000000001</v>
      </c>
      <c r="AD2029">
        <v>-1.1096936127949999</v>
      </c>
      <c r="AE2029">
        <v>-0.13540000000000399</v>
      </c>
      <c r="AF2029">
        <v>-0.18219694502143199</v>
      </c>
      <c r="AG2029">
        <v>-1.1096936127949999</v>
      </c>
      <c r="AH2029">
        <v>12.1064354837631</v>
      </c>
      <c r="AI2029">
        <v>95.236590830889298</v>
      </c>
      <c r="AJ2029">
        <v>90.862213158571805</v>
      </c>
      <c r="AK2029">
        <v>12.1585523712147</v>
      </c>
      <c r="AL2029">
        <v>88.382675967322896</v>
      </c>
      <c r="AM2029">
        <v>90.088509263409804</v>
      </c>
      <c r="AN2029">
        <v>0.99999996575934702</v>
      </c>
    </row>
    <row r="2030" spans="1:40" x14ac:dyDescent="0.25">
      <c r="A2030" t="str">
        <f>"20190312151025462"</f>
        <v>20190312151025462</v>
      </c>
      <c r="B2030" t="str">
        <f>"1552374625452557"</f>
        <v>1552374625452557</v>
      </c>
      <c r="C2030" t="s">
        <v>40</v>
      </c>
      <c r="D2030">
        <v>5.0998570000000001</v>
      </c>
      <c r="E2030">
        <v>0.4964402</v>
      </c>
      <c r="F2030" t="s">
        <v>41</v>
      </c>
      <c r="G2030">
        <v>-284.63150000000002</v>
      </c>
      <c r="H2030">
        <v>1.0191319999999999</v>
      </c>
      <c r="I2030">
        <v>283.04759999999999</v>
      </c>
      <c r="J2030">
        <v>-283.97480000000002</v>
      </c>
      <c r="K2030">
        <v>1.109701</v>
      </c>
      <c r="L2030">
        <v>283.05810000000002</v>
      </c>
      <c r="M2030">
        <v>-0.99995619999999996</v>
      </c>
      <c r="N2030">
        <v>0</v>
      </c>
      <c r="O2030">
        <v>3.450945E-3</v>
      </c>
      <c r="P2030">
        <v>-0.99980690000000005</v>
      </c>
      <c r="Q2030">
        <v>1.952624E-2</v>
      </c>
      <c r="R2030">
        <v>2.2627229999999999E-3</v>
      </c>
      <c r="S2030">
        <v>-3.0059200000000001</v>
      </c>
      <c r="T2030">
        <v>-0.2688295</v>
      </c>
      <c r="U2030">
        <v>-2.9266360000000002E-2</v>
      </c>
      <c r="V2030">
        <v>-1.2209949999999999E-3</v>
      </c>
      <c r="W2030">
        <v>2.8231510000000001E-2</v>
      </c>
      <c r="X2030">
        <v>0.99960059999999995</v>
      </c>
      <c r="Y2030">
        <v>-1.31205E-2</v>
      </c>
      <c r="Z2030">
        <v>-8.9354279999999896E-4</v>
      </c>
      <c r="AA2030">
        <v>0.99991350000000001</v>
      </c>
      <c r="AB2030">
        <v>36</v>
      </c>
      <c r="AC2030">
        <v>-0.65669999999999995</v>
      </c>
      <c r="AD2030">
        <v>-9.0569000000000094E-2</v>
      </c>
      <c r="AE2030">
        <v>-1.0500000000035901E-2</v>
      </c>
      <c r="AF2030">
        <v>-1.25280286122425E-2</v>
      </c>
      <c r="AG2030">
        <v>-9.0569000000000094E-2</v>
      </c>
      <c r="AH2030">
        <v>0.64440597213080797</v>
      </c>
      <c r="AI2030">
        <v>97.998826055575805</v>
      </c>
      <c r="AJ2030">
        <v>91.113758690804502</v>
      </c>
      <c r="AK2030">
        <v>0.65086000966395197</v>
      </c>
      <c r="AL2030">
        <v>88.382238575254902</v>
      </c>
      <c r="AM2030">
        <v>90.069985777833395</v>
      </c>
      <c r="AN2030">
        <v>0.99999993425301203</v>
      </c>
    </row>
    <row r="2031" spans="1:40" x14ac:dyDescent="0.25">
      <c r="A2031" t="str">
        <f>"20190312151025474"</f>
        <v>20190312151025474</v>
      </c>
      <c r="B2031" t="str">
        <f>"1552374625462313"</f>
        <v>1552374625462313</v>
      </c>
      <c r="C2031" t="s">
        <v>40</v>
      </c>
      <c r="D2031">
        <v>5.2798550000000004</v>
      </c>
      <c r="E2031">
        <v>0.49630030000000003</v>
      </c>
      <c r="F2031" t="s">
        <v>41</v>
      </c>
      <c r="G2031">
        <v>-284.9597</v>
      </c>
      <c r="H2031">
        <v>1.022281</v>
      </c>
      <c r="I2031">
        <v>283.048</v>
      </c>
      <c r="J2031">
        <v>-284.17790000000002</v>
      </c>
      <c r="K2031">
        <v>1.1097030000000001</v>
      </c>
      <c r="L2031">
        <v>283.05860000000001</v>
      </c>
      <c r="M2031">
        <v>-0.99995710000000004</v>
      </c>
      <c r="N2031">
        <v>0</v>
      </c>
      <c r="O2031">
        <v>3.1630529999999999E-3</v>
      </c>
      <c r="P2031">
        <v>-0.99981019999999998</v>
      </c>
      <c r="Q2031">
        <v>1.9382380000000001E-2</v>
      </c>
      <c r="R2031">
        <v>2.0876860000000001E-3</v>
      </c>
      <c r="S2031">
        <v>-3.00589</v>
      </c>
      <c r="T2031">
        <v>-0.2669164</v>
      </c>
      <c r="U2031">
        <v>-3.1555180000000002E-2</v>
      </c>
      <c r="V2031">
        <v>-1.1085100000000001E-3</v>
      </c>
      <c r="W2031">
        <v>2.809853E-2</v>
      </c>
      <c r="X2031">
        <v>0.99960450000000001</v>
      </c>
      <c r="Y2031">
        <v>-1.3594220000000001E-2</v>
      </c>
      <c r="Z2031">
        <v>-8.8269110000000004E-4</v>
      </c>
      <c r="AA2031">
        <v>0.9999072</v>
      </c>
      <c r="AB2031">
        <v>36</v>
      </c>
      <c r="AC2031">
        <v>-0.78179999999997496</v>
      </c>
      <c r="AD2031">
        <v>-8.7422000000000097E-2</v>
      </c>
      <c r="AE2031">
        <v>-1.06000000000108E-2</v>
      </c>
      <c r="AF2031">
        <v>-1.2911499371375401E-2</v>
      </c>
      <c r="AG2031">
        <v>-8.7422000000000097E-2</v>
      </c>
      <c r="AH2031">
        <v>0.77210984590712095</v>
      </c>
      <c r="AI2031">
        <v>96.458898257936795</v>
      </c>
      <c r="AJ2031">
        <v>90.958031399894907</v>
      </c>
      <c r="AK2031">
        <v>0.77715051762624199</v>
      </c>
      <c r="AL2031">
        <v>88.389860827863501</v>
      </c>
      <c r="AM2031">
        <v>90.063538047810596</v>
      </c>
      <c r="AN2031">
        <v>0.99999995630141403</v>
      </c>
    </row>
    <row r="2032" spans="1:40" x14ac:dyDescent="0.25">
      <c r="A2032" t="str">
        <f>"20190312151025494"</f>
        <v>20190312151025494</v>
      </c>
      <c r="B2032" t="str">
        <f>"1552374625482809"</f>
        <v>1552374625482809</v>
      </c>
      <c r="C2032" t="s">
        <v>40</v>
      </c>
      <c r="D2032">
        <v>5.1004139999999998</v>
      </c>
      <c r="E2032">
        <v>0.49625239999999998</v>
      </c>
      <c r="F2032" t="s">
        <v>41</v>
      </c>
      <c r="G2032">
        <v>-284.97469999999998</v>
      </c>
      <c r="H2032">
        <v>1.0400579999999999</v>
      </c>
      <c r="I2032">
        <v>283.05</v>
      </c>
      <c r="J2032">
        <v>-284.5154</v>
      </c>
      <c r="K2032">
        <v>1.109699</v>
      </c>
      <c r="L2032">
        <v>283.05919999999998</v>
      </c>
      <c r="M2032">
        <v>-0.99995840000000003</v>
      </c>
      <c r="N2032">
        <v>0</v>
      </c>
      <c r="O2032">
        <v>2.6852080000000001E-3</v>
      </c>
      <c r="P2032">
        <v>-0.99981500000000001</v>
      </c>
      <c r="Q2032">
        <v>1.9164090000000002E-2</v>
      </c>
      <c r="R2032">
        <v>1.754832E-3</v>
      </c>
      <c r="S2032">
        <v>-3.0057369999999999</v>
      </c>
      <c r="T2032">
        <v>-0.26289000000000001</v>
      </c>
      <c r="U2032">
        <v>-3.3203129999999997E-2</v>
      </c>
      <c r="V2032">
        <v>-9.6313780000000003E-4</v>
      </c>
      <c r="W2032">
        <v>2.7901189999999999E-2</v>
      </c>
      <c r="X2032">
        <v>0.9996102</v>
      </c>
      <c r="Y2032">
        <v>-1.366859E-2</v>
      </c>
      <c r="Z2032">
        <v>-8.309999E-4</v>
      </c>
      <c r="AA2032">
        <v>0.99990619999999997</v>
      </c>
      <c r="AB2032">
        <v>36</v>
      </c>
      <c r="AC2032">
        <v>-0.459299999999984</v>
      </c>
      <c r="AD2032">
        <v>-6.9640999999999995E-2</v>
      </c>
      <c r="AE2032">
        <v>-9.1999999999643391E-3</v>
      </c>
      <c r="AF2032">
        <v>-1.01989508887974E-2</v>
      </c>
      <c r="AG2032">
        <v>-6.9640999999999995E-2</v>
      </c>
      <c r="AH2032">
        <v>0.448956317265367</v>
      </c>
      <c r="AI2032">
        <v>98.815070935102</v>
      </c>
      <c r="AJ2032">
        <v>91.301365697200694</v>
      </c>
      <c r="AK2032">
        <v>0.45443994354888501</v>
      </c>
      <c r="AL2032">
        <v>88.401172047001594</v>
      </c>
      <c r="AM2032">
        <v>90.055205232952503</v>
      </c>
      <c r="AN2032">
        <v>0.99999997799093798</v>
      </c>
    </row>
    <row r="2033" spans="1:40" x14ac:dyDescent="0.25">
      <c r="A2033" t="str">
        <f>"20190312151025507"</f>
        <v>20190312151025507</v>
      </c>
      <c r="B2033" t="str">
        <f>"1552374625502329"</f>
        <v>1552374625502329</v>
      </c>
      <c r="C2033" t="s">
        <v>40</v>
      </c>
      <c r="D2033">
        <v>5.2757489999999896</v>
      </c>
      <c r="E2033">
        <v>0.49617149999999999</v>
      </c>
      <c r="F2033" t="s">
        <v>41</v>
      </c>
      <c r="G2033">
        <v>-285.30340000000001</v>
      </c>
      <c r="H2033">
        <v>1.0402629999999999</v>
      </c>
      <c r="I2033">
        <v>283.05029999999999</v>
      </c>
      <c r="J2033">
        <v>-284.71100000000001</v>
      </c>
      <c r="K2033">
        <v>1.109701</v>
      </c>
      <c r="L2033">
        <v>283.05950000000001</v>
      </c>
      <c r="M2033">
        <v>-0.99995889999999998</v>
      </c>
      <c r="N2033">
        <v>0</v>
      </c>
      <c r="O2033">
        <v>2.407967E-3</v>
      </c>
      <c r="P2033">
        <v>-0.99981739999999997</v>
      </c>
      <c r="Q2033">
        <v>1.9050660000000001E-2</v>
      </c>
      <c r="R2033">
        <v>1.5163500000000001E-3</v>
      </c>
      <c r="S2033">
        <v>-3.0057070000000001</v>
      </c>
      <c r="T2033">
        <v>-0.26494909999999999</v>
      </c>
      <c r="U2033">
        <v>-3.4515379999999998E-2</v>
      </c>
      <c r="V2033">
        <v>-9.2500820000000002E-4</v>
      </c>
      <c r="W2033">
        <v>2.7803000000000001E-2</v>
      </c>
      <c r="X2033">
        <v>0.99961299999999997</v>
      </c>
      <c r="Y2033">
        <v>-1.382745E-2</v>
      </c>
      <c r="Z2033">
        <v>-8.2008649999999999E-4</v>
      </c>
      <c r="AA2033">
        <v>0.99990400000000002</v>
      </c>
      <c r="AB2033">
        <v>37</v>
      </c>
      <c r="AC2033">
        <v>-0.59239999999999704</v>
      </c>
      <c r="AD2033">
        <v>-6.9438000000000097E-2</v>
      </c>
      <c r="AE2033">
        <v>-9.2000000000211895E-3</v>
      </c>
      <c r="AF2033">
        <v>-1.04825198132322E-2</v>
      </c>
      <c r="AG2033">
        <v>-6.9438000000000097E-2</v>
      </c>
      <c r="AH2033">
        <v>0.58434951636413801</v>
      </c>
      <c r="AI2033">
        <v>96.775575418644294</v>
      </c>
      <c r="AJ2033">
        <v>91.027706389377798</v>
      </c>
      <c r="AK2033">
        <v>0.58855405558082496</v>
      </c>
      <c r="AL2033">
        <v>88.406800147902899</v>
      </c>
      <c r="AM2033">
        <v>90.053019569320497</v>
      </c>
      <c r="AN2033">
        <v>1.0000000061090799</v>
      </c>
    </row>
    <row r="2034" spans="1:40" x14ac:dyDescent="0.25">
      <c r="A2034" t="str">
        <f>"20190312151025518"</f>
        <v>20190312151025518</v>
      </c>
      <c r="B2034" t="str">
        <f>"1552374625513066"</f>
        <v>1552374625513066</v>
      </c>
      <c r="C2034" t="s">
        <v>40</v>
      </c>
      <c r="D2034">
        <v>5.0935069999999998</v>
      </c>
      <c r="E2034">
        <v>0.495971</v>
      </c>
      <c r="F2034" t="s">
        <v>41</v>
      </c>
      <c r="G2034">
        <v>-285.61880000000002</v>
      </c>
      <c r="H2034">
        <v>1.03026</v>
      </c>
      <c r="I2034">
        <v>283.0489</v>
      </c>
      <c r="J2034">
        <v>-284.91930000000002</v>
      </c>
      <c r="K2034">
        <v>1.1097030000000001</v>
      </c>
      <c r="L2034">
        <v>283.0598</v>
      </c>
      <c r="M2034">
        <v>-0.99995940000000005</v>
      </c>
      <c r="N2034">
        <v>0</v>
      </c>
      <c r="O2034">
        <v>2.1128900000000001E-3</v>
      </c>
      <c r="P2034">
        <v>-0.99981699999999996</v>
      </c>
      <c r="Q2034">
        <v>1.9091339999999998E-2</v>
      </c>
      <c r="R2034">
        <v>1.3164730000000001E-3</v>
      </c>
      <c r="S2034">
        <v>-3.005585</v>
      </c>
      <c r="T2034">
        <v>-0.2632446</v>
      </c>
      <c r="U2034">
        <v>-3.6071779999999998E-2</v>
      </c>
      <c r="V2034">
        <v>-8.2967640000000003E-4</v>
      </c>
      <c r="W2034">
        <v>2.7861629999999998E-2</v>
      </c>
      <c r="X2034">
        <v>0.99961140000000004</v>
      </c>
      <c r="Y2034">
        <v>-1.4051640000000001E-2</v>
      </c>
      <c r="Z2034">
        <v>-7.9886520000000002E-4</v>
      </c>
      <c r="AA2034">
        <v>0.99990089999999998</v>
      </c>
      <c r="AB2034">
        <v>37</v>
      </c>
      <c r="AC2034">
        <v>-0.69950000000000001</v>
      </c>
      <c r="AD2034">
        <v>-7.9443000000000097E-2</v>
      </c>
      <c r="AE2034">
        <v>-1.08999999999923E-2</v>
      </c>
      <c r="AF2034">
        <v>-1.2220413417354E-2</v>
      </c>
      <c r="AG2034">
        <v>-7.9443000000000097E-2</v>
      </c>
      <c r="AH2034">
        <v>0.690570317356485</v>
      </c>
      <c r="AI2034">
        <v>96.561422845628499</v>
      </c>
      <c r="AJ2034">
        <v>91.013807024899904</v>
      </c>
      <c r="AK2034">
        <v>0.69523225757075402</v>
      </c>
      <c r="AL2034">
        <v>88.403439512731893</v>
      </c>
      <c r="AM2034">
        <v>90.047555425203797</v>
      </c>
      <c r="AN2034">
        <v>0.99999995489957105</v>
      </c>
    </row>
    <row r="2035" spans="1:40" x14ac:dyDescent="0.25">
      <c r="A2035" t="str">
        <f>"20190312151025531"</f>
        <v>20190312151025531</v>
      </c>
      <c r="B2035" t="str">
        <f>"1552374625522826"</f>
        <v>1552374625522826</v>
      </c>
      <c r="C2035" t="s">
        <v>40</v>
      </c>
      <c r="D2035">
        <v>5.1664890000000003</v>
      </c>
      <c r="E2035">
        <v>0.49576009999999998</v>
      </c>
      <c r="F2035" t="s">
        <v>41</v>
      </c>
      <c r="G2035">
        <v>-285.94170000000003</v>
      </c>
      <c r="H2035">
        <v>1.0210549999999901</v>
      </c>
      <c r="I2035">
        <v>283.04700000000003</v>
      </c>
      <c r="J2035">
        <v>-285.11840000000001</v>
      </c>
      <c r="K2035">
        <v>1.1097090000000001</v>
      </c>
      <c r="L2035">
        <v>283.06</v>
      </c>
      <c r="M2035">
        <v>-0.99995970000000001</v>
      </c>
      <c r="N2035">
        <v>0</v>
      </c>
      <c r="O2035">
        <v>1.831137E-3</v>
      </c>
      <c r="P2035">
        <v>-0.99981629999999999</v>
      </c>
      <c r="Q2035">
        <v>1.9141740000000001E-2</v>
      </c>
      <c r="R2035">
        <v>1.102729E-3</v>
      </c>
      <c r="S2035">
        <v>-3.005585</v>
      </c>
      <c r="T2035">
        <v>-0.26076100000000002</v>
      </c>
      <c r="U2035">
        <v>-3.80249E-2</v>
      </c>
      <c r="V2035">
        <v>-7.615136E-4</v>
      </c>
      <c r="W2035">
        <v>2.793503E-2</v>
      </c>
      <c r="X2035">
        <v>0.99960950000000004</v>
      </c>
      <c r="Y2035">
        <v>-1.442041E-2</v>
      </c>
      <c r="Z2035">
        <v>-7.8292100000000001E-4</v>
      </c>
      <c r="AA2035">
        <v>0.99989570000000005</v>
      </c>
      <c r="AB2035">
        <v>37</v>
      </c>
      <c r="AC2035">
        <v>-0.82330000000001702</v>
      </c>
      <c r="AD2035">
        <v>-8.8654000000000205E-2</v>
      </c>
      <c r="AE2035">
        <v>-1.2999999999976799E-2</v>
      </c>
      <c r="AF2035">
        <v>-1.43413611841455E-2</v>
      </c>
      <c r="AG2035">
        <v>-8.8654000000000205E-2</v>
      </c>
      <c r="AH2035">
        <v>0.81384047534856396</v>
      </c>
      <c r="AI2035">
        <v>96.215924433830097</v>
      </c>
      <c r="AJ2035">
        <v>91.009552185242995</v>
      </c>
      <c r="AK2035">
        <v>0.81878051129236695</v>
      </c>
      <c r="AL2035">
        <v>88.399232515666995</v>
      </c>
      <c r="AM2035">
        <v>90.043648551640601</v>
      </c>
      <c r="AN2035">
        <v>1.0000000491471499</v>
      </c>
    </row>
    <row r="2036" spans="1:40" x14ac:dyDescent="0.25">
      <c r="A2036" t="str">
        <f>"20190312151025543"</f>
        <v>20190312151025543</v>
      </c>
      <c r="B2036" t="str">
        <f>"1552374625532585"</f>
        <v>1552374625532585</v>
      </c>
      <c r="C2036" t="s">
        <v>40</v>
      </c>
      <c r="D2036">
        <v>5.2197769999999997</v>
      </c>
      <c r="E2036">
        <v>0.49566670000000002</v>
      </c>
      <c r="F2036" t="s">
        <v>41</v>
      </c>
      <c r="G2036">
        <v>-285.95260000000002</v>
      </c>
      <c r="H2036">
        <v>1.0373000000000001</v>
      </c>
      <c r="I2036">
        <v>283.0489</v>
      </c>
      <c r="J2036">
        <v>-285.30650000000003</v>
      </c>
      <c r="K2036">
        <v>1.1097140000000001</v>
      </c>
      <c r="L2036">
        <v>283.06009999999998</v>
      </c>
      <c r="M2036">
        <v>-0.99995990000000001</v>
      </c>
      <c r="N2036">
        <v>0</v>
      </c>
      <c r="O2036">
        <v>1.56488E-3</v>
      </c>
      <c r="P2036">
        <v>-0.9998184</v>
      </c>
      <c r="Q2036">
        <v>1.9041099999999998E-2</v>
      </c>
      <c r="R2036">
        <v>8.1824060000000001E-4</v>
      </c>
      <c r="S2036">
        <v>-3.005585</v>
      </c>
      <c r="T2036">
        <v>-0.26104090000000002</v>
      </c>
      <c r="U2036">
        <v>-4.0313719999999997E-2</v>
      </c>
      <c r="V2036">
        <v>-7.8010459999999998E-4</v>
      </c>
      <c r="W2036">
        <v>2.7857819999999998E-2</v>
      </c>
      <c r="X2036">
        <v>0.99961160000000004</v>
      </c>
      <c r="Y2036">
        <v>-1.4914490000000001E-2</v>
      </c>
      <c r="Z2036">
        <v>-7.8208759999999998E-4</v>
      </c>
      <c r="AA2036">
        <v>0.99988849999999996</v>
      </c>
      <c r="AB2036">
        <v>37</v>
      </c>
      <c r="AC2036">
        <v>-0.64609999999998902</v>
      </c>
      <c r="AD2036">
        <v>-7.2413999999999701E-2</v>
      </c>
      <c r="AE2036">
        <v>-1.1199999999973899E-2</v>
      </c>
      <c r="AF2036">
        <v>-1.20596513315161E-2</v>
      </c>
      <c r="AG2036">
        <v>-7.2413999999999701E-2</v>
      </c>
      <c r="AH2036">
        <v>0.63806891117176101</v>
      </c>
      <c r="AI2036">
        <v>96.473609048730196</v>
      </c>
      <c r="AJ2036">
        <v>91.0827746874062</v>
      </c>
      <c r="AK2036">
        <v>0.64227810019504294</v>
      </c>
      <c r="AL2036">
        <v>88.403657980456401</v>
      </c>
      <c r="AM2036">
        <v>90.044714059025296</v>
      </c>
      <c r="AN2036">
        <v>1.00000000877644</v>
      </c>
    </row>
    <row r="2037" spans="1:40" x14ac:dyDescent="0.25">
      <c r="A2037" t="str">
        <f>"20190312151025561"</f>
        <v>20190312151025561</v>
      </c>
      <c r="B2037" t="str">
        <f>"1552374625553081"</f>
        <v>1552374625553081</v>
      </c>
      <c r="C2037" t="s">
        <v>40</v>
      </c>
      <c r="D2037">
        <v>5.114166</v>
      </c>
      <c r="E2037">
        <v>0.49573080000000003</v>
      </c>
      <c r="F2037" t="s">
        <v>41</v>
      </c>
      <c r="G2037">
        <v>-286.27280000000002</v>
      </c>
      <c r="H2037">
        <v>1.026762</v>
      </c>
      <c r="I2037">
        <v>283.04689999999999</v>
      </c>
      <c r="J2037">
        <v>-285.61689999999999</v>
      </c>
      <c r="K2037">
        <v>1.1097239999999999</v>
      </c>
      <c r="L2037">
        <v>283.06020000000001</v>
      </c>
      <c r="M2037">
        <v>-0.99996019999999997</v>
      </c>
      <c r="N2037">
        <v>0</v>
      </c>
      <c r="O2037">
        <v>1.1253050000000001E-3</v>
      </c>
      <c r="P2037">
        <v>-0.99982170000000004</v>
      </c>
      <c r="Q2037">
        <v>1.88871E-2</v>
      </c>
      <c r="R2037">
        <v>4.8841369999999995E-4</v>
      </c>
      <c r="S2037">
        <v>-3.005493</v>
      </c>
      <c r="T2037">
        <v>-0.25826690000000002</v>
      </c>
      <c r="U2037">
        <v>-4.193115E-2</v>
      </c>
      <c r="V2037">
        <v>-6.7000009999999995E-4</v>
      </c>
      <c r="W2037">
        <v>2.7748189999999999E-2</v>
      </c>
      <c r="X2037">
        <v>0.99961469999999997</v>
      </c>
      <c r="Y2037">
        <v>-1.50159E-2</v>
      </c>
      <c r="Z2037">
        <v>-7.4047350000000002E-4</v>
      </c>
      <c r="AA2037">
        <v>0.99988699999999997</v>
      </c>
      <c r="AB2037">
        <v>37</v>
      </c>
      <c r="AC2037">
        <v>-0.65590000000003101</v>
      </c>
      <c r="AD2037">
        <v>-8.2961999999999703E-2</v>
      </c>
      <c r="AE2037">
        <v>-1.33000000000151E-2</v>
      </c>
      <c r="AF2037">
        <v>-1.38171433406707E-2</v>
      </c>
      <c r="AG2037">
        <v>-8.2961999999999703E-2</v>
      </c>
      <c r="AH2037">
        <v>0.64556076582517297</v>
      </c>
      <c r="AI2037">
        <v>97.321371781509299</v>
      </c>
      <c r="AJ2037">
        <v>91.226132667633905</v>
      </c>
      <c r="AK2037">
        <v>0.65101636635869597</v>
      </c>
      <c r="AL2037">
        <v>88.409941699637997</v>
      </c>
      <c r="AM2037">
        <v>90.038402968918604</v>
      </c>
      <c r="AN2037">
        <v>0.99999997970224896</v>
      </c>
    </row>
    <row r="2038" spans="1:40" x14ac:dyDescent="0.25">
      <c r="A2038" t="str">
        <f>"20190312151025573"</f>
        <v>20190312151025573</v>
      </c>
      <c r="B2038" t="str">
        <f>"1552374625562841"</f>
        <v>1552374625562841</v>
      </c>
      <c r="C2038" t="s">
        <v>40</v>
      </c>
      <c r="D2038">
        <v>5.1265269999999896</v>
      </c>
      <c r="E2038">
        <v>0.49564799999999998</v>
      </c>
      <c r="F2038" t="s">
        <v>41</v>
      </c>
      <c r="G2038">
        <v>-286.60059999999999</v>
      </c>
      <c r="H2038">
        <v>1.0246420000000001</v>
      </c>
      <c r="I2038">
        <v>283.04640000000001</v>
      </c>
      <c r="J2038">
        <v>-285.81470000000002</v>
      </c>
      <c r="K2038">
        <v>1.109729</v>
      </c>
      <c r="L2038">
        <v>283.06020000000001</v>
      </c>
      <c r="M2038">
        <v>-0.99996010000000002</v>
      </c>
      <c r="N2038">
        <v>0</v>
      </c>
      <c r="O2038">
        <v>8.4576849999999995E-4</v>
      </c>
      <c r="P2038">
        <v>-0.99981850000000005</v>
      </c>
      <c r="Q2038">
        <v>1.9051040000000002E-2</v>
      </c>
      <c r="R2038">
        <v>3.194874E-4</v>
      </c>
      <c r="S2038">
        <v>-3.0054630000000002</v>
      </c>
      <c r="T2038">
        <v>-0.2600751</v>
      </c>
      <c r="U2038">
        <v>-4.244995E-2</v>
      </c>
      <c r="V2038">
        <v>-5.6036680000000002E-4</v>
      </c>
      <c r="W2038">
        <v>2.7944569999999998E-2</v>
      </c>
      <c r="X2038">
        <v>0.99960930000000003</v>
      </c>
      <c r="Y2038">
        <v>-1.49097E-2</v>
      </c>
      <c r="Z2038">
        <v>-7.1691470000000005E-4</v>
      </c>
      <c r="AA2038">
        <v>0.99988860000000002</v>
      </c>
      <c r="AB2038">
        <v>37</v>
      </c>
      <c r="AC2038">
        <v>-0.78589999999996896</v>
      </c>
      <c r="AD2038">
        <v>-8.5087000000000093E-2</v>
      </c>
      <c r="AE2038">
        <v>-1.3800000000003299E-2</v>
      </c>
      <c r="AF2038">
        <v>-1.42971747960749E-2</v>
      </c>
      <c r="AG2038">
        <v>-8.5087000000000093E-2</v>
      </c>
      <c r="AH2038">
        <v>0.77678557983584295</v>
      </c>
      <c r="AI2038">
        <v>96.250053540089198</v>
      </c>
      <c r="AJ2038">
        <v>91.054441937553605</v>
      </c>
      <c r="AK2038">
        <v>0.781562565516707</v>
      </c>
      <c r="AL2038">
        <v>88.398685594254403</v>
      </c>
      <c r="AM2038">
        <v>90.032119198226695</v>
      </c>
      <c r="AN2038">
        <v>0.99999998282496205</v>
      </c>
    </row>
    <row r="2039" spans="1:40" x14ac:dyDescent="0.25">
      <c r="A2039" t="str">
        <f>"20190312151025585"</f>
        <v>20190312151025585</v>
      </c>
      <c r="B2039" t="str">
        <f>"1552374625582361"</f>
        <v>1552374625582361</v>
      </c>
      <c r="C2039" t="s">
        <v>40</v>
      </c>
      <c r="D2039">
        <v>5.0861340000000004</v>
      </c>
      <c r="E2039">
        <v>0.49552040000000003</v>
      </c>
      <c r="F2039" t="s">
        <v>41</v>
      </c>
      <c r="G2039">
        <v>-286.62119999999999</v>
      </c>
      <c r="H2039">
        <v>1.0400849999999999</v>
      </c>
      <c r="I2039">
        <v>283.04860000000002</v>
      </c>
      <c r="J2039">
        <v>-286.00360000000001</v>
      </c>
      <c r="K2039">
        <v>1.1097360000000001</v>
      </c>
      <c r="L2039">
        <v>283.06009999999998</v>
      </c>
      <c r="M2039">
        <v>-0.99995990000000001</v>
      </c>
      <c r="N2039">
        <v>0</v>
      </c>
      <c r="O2039">
        <v>5.7897829999999995E-4</v>
      </c>
      <c r="P2039">
        <v>-0.99981989999999998</v>
      </c>
      <c r="Q2039">
        <v>1.898209E-2</v>
      </c>
      <c r="R2039">
        <v>1.0265879999999999E-4</v>
      </c>
      <c r="S2039">
        <v>-3.005493</v>
      </c>
      <c r="T2039">
        <v>-0.25969540000000002</v>
      </c>
      <c r="U2039">
        <v>-4.348755E-2</v>
      </c>
      <c r="V2039">
        <v>-5.1031899999999996E-4</v>
      </c>
      <c r="W2039">
        <v>2.790977E-2</v>
      </c>
      <c r="X2039">
        <v>0.99961029999999995</v>
      </c>
      <c r="Y2039">
        <v>-1.498878E-2</v>
      </c>
      <c r="Z2039">
        <v>-6.9626360000000001E-4</v>
      </c>
      <c r="AA2039">
        <v>0.99988739999999998</v>
      </c>
      <c r="AB2039">
        <v>37</v>
      </c>
      <c r="AC2039">
        <v>-0.61759999999998105</v>
      </c>
      <c r="AD2039">
        <v>-6.9651000000000102E-2</v>
      </c>
      <c r="AE2039">
        <v>-1.14999999999554E-2</v>
      </c>
      <c r="AF2039">
        <v>-1.17087221279973E-2</v>
      </c>
      <c r="AG2039">
        <v>-6.9651000000000102E-2</v>
      </c>
      <c r="AH2039">
        <v>0.60983960550933702</v>
      </c>
      <c r="AI2039">
        <v>96.514442289979399</v>
      </c>
      <c r="AJ2039">
        <v>91.099925195189201</v>
      </c>
      <c r="AK2039">
        <v>0.61391587405983705</v>
      </c>
      <c r="AL2039">
        <v>88.400680266938593</v>
      </c>
      <c r="AM2039">
        <v>90.029250521293307</v>
      </c>
      <c r="AN2039">
        <v>0.999999983776512</v>
      </c>
    </row>
    <row r="2040" spans="1:40" x14ac:dyDescent="0.25">
      <c r="A2040" t="str">
        <f>"20190312151025597"</f>
        <v>20190312151025597</v>
      </c>
      <c r="B2040" t="str">
        <f>"1552374625593097"</f>
        <v>1552374625593097</v>
      </c>
      <c r="C2040" t="s">
        <v>40</v>
      </c>
      <c r="D2040">
        <v>5.1231339999999896</v>
      </c>
      <c r="E2040">
        <v>0.49545349999999999</v>
      </c>
      <c r="F2040" t="s">
        <v>41</v>
      </c>
      <c r="G2040">
        <v>-286.93239999999997</v>
      </c>
      <c r="H2040">
        <v>1.028732</v>
      </c>
      <c r="I2040">
        <v>283.0462</v>
      </c>
      <c r="J2040">
        <v>-286.20049999999998</v>
      </c>
      <c r="K2040">
        <v>1.1097440000000001</v>
      </c>
      <c r="L2040">
        <v>283.06</v>
      </c>
      <c r="M2040">
        <v>-0.99995979999999995</v>
      </c>
      <c r="N2040">
        <v>0</v>
      </c>
      <c r="O2040">
        <v>3.0084609999999999E-4</v>
      </c>
      <c r="P2040">
        <v>-0.99982320000000002</v>
      </c>
      <c r="Q2040">
        <v>1.8806239999999998E-2</v>
      </c>
      <c r="R2040">
        <v>-2.6335360000000001E-4</v>
      </c>
      <c r="S2040">
        <v>-3.0055239999999999</v>
      </c>
      <c r="T2040">
        <v>-0.26228010000000002</v>
      </c>
      <c r="U2040">
        <v>-4.5410159999999998E-2</v>
      </c>
      <c r="V2040">
        <v>-5.980251E-4</v>
      </c>
      <c r="W2040">
        <v>2.7770590000000001E-2</v>
      </c>
      <c r="X2040">
        <v>0.99961409999999995</v>
      </c>
      <c r="Y2040">
        <v>-1.5348540000000001E-2</v>
      </c>
      <c r="Z2040">
        <v>-6.9459820000000001E-4</v>
      </c>
      <c r="AA2040">
        <v>0.99988200000000005</v>
      </c>
      <c r="AB2040">
        <v>37</v>
      </c>
      <c r="AC2040">
        <v>-0.731899999999996</v>
      </c>
      <c r="AD2040">
        <v>-8.1012000000000001E-2</v>
      </c>
      <c r="AE2040">
        <v>-1.3800000000003299E-2</v>
      </c>
      <c r="AF2040">
        <v>-1.38505652595036E-2</v>
      </c>
      <c r="AG2040">
        <v>-8.1012000000000001E-2</v>
      </c>
      <c r="AH2040">
        <v>0.723040511030832</v>
      </c>
      <c r="AI2040">
        <v>96.391794687101097</v>
      </c>
      <c r="AJ2040">
        <v>91.097423828866695</v>
      </c>
      <c r="AK2040">
        <v>0.72769661459548796</v>
      </c>
      <c r="AL2040">
        <v>88.408657741819894</v>
      </c>
      <c r="AM2040">
        <v>90.034277537886894</v>
      </c>
      <c r="AN2040">
        <v>0.99999995611088799</v>
      </c>
    </row>
    <row r="2041" spans="1:40" x14ac:dyDescent="0.25">
      <c r="A2041" t="str">
        <f>"20190312151025619"</f>
        <v>20190312151025619</v>
      </c>
      <c r="B2041" t="str">
        <f>"1552374625612617"</f>
        <v>1552374625612617</v>
      </c>
      <c r="C2041" t="s">
        <v>40</v>
      </c>
      <c r="D2041">
        <v>5.1196359999999999</v>
      </c>
      <c r="E2041">
        <v>0.4953439</v>
      </c>
      <c r="F2041" t="s">
        <v>61</v>
      </c>
      <c r="G2041">
        <v>-298.83170000000001</v>
      </c>
      <c r="H2041" s="1">
        <v>3.925695E-6</v>
      </c>
      <c r="I2041">
        <v>282.86219999999997</v>
      </c>
      <c r="J2041">
        <v>-286.55329999999998</v>
      </c>
      <c r="K2041">
        <v>1.109753</v>
      </c>
      <c r="L2041">
        <v>283.05970000000002</v>
      </c>
      <c r="M2041">
        <v>-0.99995909999999999</v>
      </c>
      <c r="N2041">
        <v>0</v>
      </c>
      <c r="O2041">
        <v>-1.9735750000000001E-4</v>
      </c>
      <c r="P2041">
        <v>-0.99982119999999997</v>
      </c>
      <c r="Q2041">
        <v>1.8893360000000001E-2</v>
      </c>
      <c r="R2041">
        <v>-7.1752529999999999E-4</v>
      </c>
      <c r="S2041">
        <v>-3.0054630000000002</v>
      </c>
      <c r="T2041">
        <v>-0.26405079999999997</v>
      </c>
      <c r="U2041">
        <v>-4.705811E-2</v>
      </c>
      <c r="V2041">
        <v>-5.5417050000000005E-4</v>
      </c>
      <c r="W2041">
        <v>2.79317E-2</v>
      </c>
      <c r="X2041">
        <v>0.99960970000000005</v>
      </c>
      <c r="Y2041">
        <v>-1.539972E-2</v>
      </c>
      <c r="Z2041">
        <v>-6.5783919999999997E-4</v>
      </c>
      <c r="AA2041">
        <v>0.99988120000000003</v>
      </c>
      <c r="AB2041">
        <v>37</v>
      </c>
      <c r="AC2041">
        <v>-12.2784</v>
      </c>
      <c r="AD2041">
        <v>-1.109749074305</v>
      </c>
      <c r="AE2041">
        <v>-0.197500000000047</v>
      </c>
      <c r="AF2041">
        <v>-0.19349640988764399</v>
      </c>
      <c r="AG2041">
        <v>-1.109749074305</v>
      </c>
      <c r="AH2041">
        <v>12.178975084617299</v>
      </c>
      <c r="AI2041">
        <v>95.205764494961798</v>
      </c>
      <c r="AJ2041">
        <v>90.910223962201499</v>
      </c>
      <c r="AK2041">
        <v>12.230961449546401</v>
      </c>
      <c r="AL2041">
        <v>88.399423337861407</v>
      </c>
      <c r="AM2041">
        <v>90.031764025026703</v>
      </c>
      <c r="AN2041">
        <v>1.0000000196519601</v>
      </c>
    </row>
    <row r="2042" spans="1:40" x14ac:dyDescent="0.25">
      <c r="A2042" t="str">
        <f>"20190312151025641"</f>
        <v>20190312151025641</v>
      </c>
      <c r="B2042" t="str">
        <f>"1552374625633113"</f>
        <v>1552374625633113</v>
      </c>
      <c r="C2042" t="s">
        <v>40</v>
      </c>
      <c r="D2042">
        <v>5.0449710000000003</v>
      </c>
      <c r="E2042">
        <v>0.49520380000000003</v>
      </c>
      <c r="F2042" t="s">
        <v>41</v>
      </c>
      <c r="G2042">
        <v>-287.58620000000002</v>
      </c>
      <c r="H2042">
        <v>1.0180929999999999</v>
      </c>
      <c r="I2042">
        <v>283.04289999999997</v>
      </c>
      <c r="J2042">
        <v>-286.9323</v>
      </c>
      <c r="K2042">
        <v>1.1097619999999999</v>
      </c>
      <c r="L2042">
        <v>283.0591</v>
      </c>
      <c r="M2042">
        <v>-0.99995820000000002</v>
      </c>
      <c r="N2042">
        <v>0</v>
      </c>
      <c r="O2042">
        <v>-7.3219840000000001E-4</v>
      </c>
      <c r="P2042">
        <v>-0.99982020000000005</v>
      </c>
      <c r="Q2042">
        <v>1.892624E-2</v>
      </c>
      <c r="R2042">
        <v>-1.3313820000000001E-3</v>
      </c>
      <c r="S2042">
        <v>-3.005585</v>
      </c>
      <c r="T2042">
        <v>-0.26695940000000001</v>
      </c>
      <c r="U2042">
        <v>-4.9530030000000003E-2</v>
      </c>
      <c r="V2042">
        <v>-6.3376920000000002E-4</v>
      </c>
      <c r="W2042">
        <v>2.804514E-2</v>
      </c>
      <c r="X2042">
        <v>0.99960640000000001</v>
      </c>
      <c r="Y2042">
        <v>-1.568611E-2</v>
      </c>
      <c r="Z2042">
        <v>-6.3030849999999995E-4</v>
      </c>
      <c r="AA2042">
        <v>0.99987669999999995</v>
      </c>
      <c r="AB2042">
        <v>37</v>
      </c>
      <c r="AC2042">
        <v>-0.65390000000002102</v>
      </c>
      <c r="AD2042">
        <v>-9.1669E-2</v>
      </c>
      <c r="AE2042">
        <v>-1.62000000000261E-2</v>
      </c>
      <c r="AF2042">
        <v>-1.5418364549916999E-2</v>
      </c>
      <c r="AG2042">
        <v>-9.1669E-2</v>
      </c>
      <c r="AH2042">
        <v>0.64131582767721795</v>
      </c>
      <c r="AI2042">
        <v>98.132376300377601</v>
      </c>
      <c r="AJ2042">
        <v>91.377226370471405</v>
      </c>
      <c r="AK2042">
        <v>0.64801768676148797</v>
      </c>
      <c r="AL2042">
        <v>88.392921034665207</v>
      </c>
      <c r="AM2042">
        <v>90.036326593626995</v>
      </c>
      <c r="AN2042">
        <v>0.99999994323098695</v>
      </c>
    </row>
    <row r="2043" spans="1:40" x14ac:dyDescent="0.25">
      <c r="A2043" t="str">
        <f>"20190312151025663"</f>
        <v>20190312151025663</v>
      </c>
      <c r="B2043" t="str">
        <f>"1552374625652632"</f>
        <v>1552374625652632</v>
      </c>
      <c r="C2043" t="s">
        <v>40</v>
      </c>
      <c r="D2043">
        <v>5.1905809999999999</v>
      </c>
      <c r="E2043">
        <v>0.49527280000000001</v>
      </c>
      <c r="F2043" t="s">
        <v>41</v>
      </c>
      <c r="G2043">
        <v>-287.91820000000001</v>
      </c>
      <c r="H2043">
        <v>1.021676</v>
      </c>
      <c r="I2043">
        <v>283.04199999999997</v>
      </c>
      <c r="J2043">
        <v>-287.29000000000002</v>
      </c>
      <c r="K2043">
        <v>1.1097729999999999</v>
      </c>
      <c r="L2043">
        <v>283.05840000000001</v>
      </c>
      <c r="M2043">
        <v>-0.99995699999999998</v>
      </c>
      <c r="N2043">
        <v>0</v>
      </c>
      <c r="O2043">
        <v>-1.2370770000000001E-3</v>
      </c>
      <c r="P2043">
        <v>-0.99981819999999999</v>
      </c>
      <c r="Q2043">
        <v>1.8970649999999999E-2</v>
      </c>
      <c r="R2043">
        <v>-1.9474220000000001E-3</v>
      </c>
      <c r="S2043">
        <v>-3.0055540000000001</v>
      </c>
      <c r="T2043">
        <v>-0.26860390000000001</v>
      </c>
      <c r="U2043">
        <v>-5.2459720000000001E-2</v>
      </c>
      <c r="V2043">
        <v>-7.4482599999999997E-4</v>
      </c>
      <c r="W2043">
        <v>2.816287E-2</v>
      </c>
      <c r="X2043">
        <v>0.99960309999999997</v>
      </c>
      <c r="Y2043">
        <v>-1.615521E-2</v>
      </c>
      <c r="Z2043">
        <v>-6.1006600000000004E-4</v>
      </c>
      <c r="AA2043">
        <v>0.99986929999999996</v>
      </c>
      <c r="AB2043">
        <v>37</v>
      </c>
      <c r="AC2043">
        <v>-0.62819999999999199</v>
      </c>
      <c r="AD2043">
        <v>-8.80969999999998E-2</v>
      </c>
      <c r="AE2043">
        <v>-1.6399999999975899E-2</v>
      </c>
      <c r="AF2043">
        <v>-1.53217042695583E-2</v>
      </c>
      <c r="AG2043">
        <v>-8.80969999999998E-2</v>
      </c>
      <c r="AH2043">
        <v>0.61611132678362901</v>
      </c>
      <c r="AI2043">
        <v>98.135011563069298</v>
      </c>
      <c r="AJ2043">
        <v>91.424560870002296</v>
      </c>
      <c r="AK2043">
        <v>0.62256646474236599</v>
      </c>
      <c r="AL2043">
        <v>88.386173076384793</v>
      </c>
      <c r="AM2043">
        <v>90.042692322956697</v>
      </c>
      <c r="AN2043">
        <v>1.0000000297710001</v>
      </c>
    </row>
    <row r="2044" spans="1:40" x14ac:dyDescent="0.25">
      <c r="A2044" t="str">
        <f>"20190312151025686"</f>
        <v>20190312151025686</v>
      </c>
      <c r="B2044" t="str">
        <f>"1552374625682889"</f>
        <v>1552374625682889</v>
      </c>
      <c r="C2044" t="s">
        <v>40</v>
      </c>
      <c r="D2044">
        <v>5.1269679999999997</v>
      </c>
      <c r="E2044">
        <v>0.49516500000000002</v>
      </c>
      <c r="F2044" t="s">
        <v>41</v>
      </c>
      <c r="G2044">
        <v>-288.24990000000003</v>
      </c>
      <c r="H2044">
        <v>1.0237830000000001</v>
      </c>
      <c r="I2044">
        <v>283.04149999999998</v>
      </c>
      <c r="J2044">
        <v>-287.6703</v>
      </c>
      <c r="K2044">
        <v>1.109782</v>
      </c>
      <c r="L2044">
        <v>283.05739999999997</v>
      </c>
      <c r="M2044">
        <v>-0.99995560000000006</v>
      </c>
      <c r="N2044">
        <v>0</v>
      </c>
      <c r="O2044">
        <v>-1.7737860000000001E-3</v>
      </c>
      <c r="P2044">
        <v>-0.99981140000000002</v>
      </c>
      <c r="Q2044">
        <v>1.9249450000000001E-2</v>
      </c>
      <c r="R2044">
        <v>-2.6464940000000001E-3</v>
      </c>
      <c r="S2044">
        <v>-3.0055540000000001</v>
      </c>
      <c r="T2044">
        <v>-0.26947209999999899</v>
      </c>
      <c r="U2044">
        <v>-5.386353E-2</v>
      </c>
      <c r="V2044">
        <v>-9.0783070000000001E-4</v>
      </c>
      <c r="W2044">
        <v>2.8515120000000001E-2</v>
      </c>
      <c r="X2044">
        <v>0.99959299999999995</v>
      </c>
      <c r="Y2044">
        <v>-1.608745E-2</v>
      </c>
      <c r="Z2044">
        <v>-5.6097419999999996E-4</v>
      </c>
      <c r="AA2044">
        <v>0.99987040000000005</v>
      </c>
      <c r="AB2044">
        <v>37</v>
      </c>
      <c r="AC2044">
        <v>-0.57960000000002698</v>
      </c>
      <c r="AD2044">
        <v>-8.5999000000000103E-2</v>
      </c>
      <c r="AE2044">
        <v>-1.5899999999987799E-2</v>
      </c>
      <c r="AF2044">
        <v>-1.45517209811394E-2</v>
      </c>
      <c r="AG2044">
        <v>-8.5999000000000103E-2</v>
      </c>
      <c r="AH2044">
        <v>0.56715053631952195</v>
      </c>
      <c r="AI2044">
        <v>98.619480641912602</v>
      </c>
      <c r="AJ2044">
        <v>91.469749668310897</v>
      </c>
      <c r="AK2044">
        <v>0.57381818673865204</v>
      </c>
      <c r="AL2044">
        <v>88.365982564014303</v>
      </c>
      <c r="AM2044">
        <v>90.052036031986304</v>
      </c>
      <c r="AN2044">
        <v>1.0000000509370901</v>
      </c>
    </row>
    <row r="2045" spans="1:40" x14ac:dyDescent="0.25">
      <c r="A2045" t="str">
        <f>"20190312151025706"</f>
        <v>20190312151025706</v>
      </c>
      <c r="B2045" t="str">
        <f>"1552374625702409"</f>
        <v>1552374625702409</v>
      </c>
      <c r="C2045" t="s">
        <v>40</v>
      </c>
      <c r="D2045">
        <v>5.1021879999999999</v>
      </c>
      <c r="E2045">
        <v>0.49506090000000003</v>
      </c>
      <c r="F2045" t="s">
        <v>41</v>
      </c>
      <c r="G2045">
        <v>-288.58330000000001</v>
      </c>
      <c r="H2045">
        <v>1.0277000000000001</v>
      </c>
      <c r="I2045">
        <v>283.0403</v>
      </c>
      <c r="J2045">
        <v>-288.0016</v>
      </c>
      <c r="K2045">
        <v>1.1097889999999999</v>
      </c>
      <c r="L2045">
        <v>283.0564</v>
      </c>
      <c r="M2045">
        <v>-0.99995420000000002</v>
      </c>
      <c r="N2045">
        <v>0</v>
      </c>
      <c r="O2045">
        <v>-2.2411829999999999E-3</v>
      </c>
      <c r="P2045">
        <v>-0.99980659999999999</v>
      </c>
      <c r="Q2045">
        <v>1.9375670000000001E-2</v>
      </c>
      <c r="R2045">
        <v>-3.46453E-3</v>
      </c>
      <c r="S2045">
        <v>-3.005646</v>
      </c>
      <c r="T2045">
        <v>-0.27034330000000001</v>
      </c>
      <c r="U2045">
        <v>-5.6823730000000003E-2</v>
      </c>
      <c r="V2045">
        <v>-1.2586330000000001E-3</v>
      </c>
      <c r="W2045">
        <v>2.8703860000000001E-2</v>
      </c>
      <c r="X2045">
        <v>0.99958720000000001</v>
      </c>
      <c r="Y2045">
        <v>-1.6603409999999999E-2</v>
      </c>
      <c r="Z2045">
        <v>-5.4396070000000004E-4</v>
      </c>
      <c r="AA2045">
        <v>0.99986200000000003</v>
      </c>
      <c r="AB2045">
        <v>37</v>
      </c>
      <c r="AC2045">
        <v>-0.58170000000001199</v>
      </c>
      <c r="AD2045">
        <v>-8.2088999999999801E-2</v>
      </c>
      <c r="AE2045">
        <v>-1.60999999999944E-2</v>
      </c>
      <c r="AF2045">
        <v>-1.45075165901254E-2</v>
      </c>
      <c r="AG2045">
        <v>-8.2088999999999801E-2</v>
      </c>
      <c r="AH2045">
        <v>0.57038433684747203</v>
      </c>
      <c r="AI2045">
        <v>98.187090635733995</v>
      </c>
      <c r="AJ2045">
        <v>91.456983025930697</v>
      </c>
      <c r="AK2045">
        <v>0.57644372117279796</v>
      </c>
      <c r="AL2045">
        <v>88.355164101361495</v>
      </c>
      <c r="AM2045">
        <v>90.072144101829494</v>
      </c>
      <c r="AN2045">
        <v>1.0000000330698799</v>
      </c>
    </row>
    <row r="2046" spans="1:40" x14ac:dyDescent="0.25">
      <c r="A2046" t="str">
        <f>"20190312151025719"</f>
        <v>20190312151025719</v>
      </c>
      <c r="B2046" t="str">
        <f>"1552374625713145"</f>
        <v>1552374625713145</v>
      </c>
      <c r="C2046" t="s">
        <v>40</v>
      </c>
      <c r="D2046">
        <v>5.0832309999999996</v>
      </c>
      <c r="E2046">
        <v>0.49507220000000002</v>
      </c>
      <c r="F2046" t="s">
        <v>41</v>
      </c>
      <c r="G2046">
        <v>-288.91449999999998</v>
      </c>
      <c r="H2046">
        <v>1.0274129999999999</v>
      </c>
      <c r="I2046">
        <v>283.0385</v>
      </c>
      <c r="J2046">
        <v>-288.2192</v>
      </c>
      <c r="K2046">
        <v>1.1097919999999999</v>
      </c>
      <c r="L2046">
        <v>283.0557</v>
      </c>
      <c r="M2046">
        <v>-0.99995299999999998</v>
      </c>
      <c r="N2046">
        <v>0</v>
      </c>
      <c r="O2046">
        <v>-2.5477680000000002E-3</v>
      </c>
      <c r="P2046">
        <v>-0.99980170000000002</v>
      </c>
      <c r="Q2046">
        <v>1.9576110000000001E-2</v>
      </c>
      <c r="R2046">
        <v>-3.6875760000000001E-3</v>
      </c>
      <c r="S2046">
        <v>-3.0056759999999998</v>
      </c>
      <c r="T2046">
        <v>-0.27143979999999901</v>
      </c>
      <c r="U2046">
        <v>-6.0058590000000002E-2</v>
      </c>
      <c r="V2046">
        <v>-1.1756889999999999E-3</v>
      </c>
      <c r="W2046">
        <v>2.8945519999999999E-2</v>
      </c>
      <c r="X2046">
        <v>0.99958029999999998</v>
      </c>
      <c r="Y2046">
        <v>-1.737E-2</v>
      </c>
      <c r="Z2046">
        <v>-5.5305909999999998E-4</v>
      </c>
      <c r="AA2046">
        <v>0.99984899999999999</v>
      </c>
      <c r="AB2046">
        <v>37</v>
      </c>
      <c r="AC2046">
        <v>-0.69529999999997405</v>
      </c>
      <c r="AD2046">
        <v>-8.2379000000000202E-2</v>
      </c>
      <c r="AE2046">
        <v>-1.7200000000002501E-2</v>
      </c>
      <c r="AF2046">
        <v>-1.52149548471454E-2</v>
      </c>
      <c r="AG2046">
        <v>-8.2379000000000202E-2</v>
      </c>
      <c r="AH2046">
        <v>0.68572166222756203</v>
      </c>
      <c r="AI2046">
        <v>96.848714612803406</v>
      </c>
      <c r="AJ2046">
        <v>91.271083777382998</v>
      </c>
      <c r="AK2046">
        <v>0.69081979744368305</v>
      </c>
      <c r="AL2046">
        <v>88.341312194412197</v>
      </c>
      <c r="AM2046">
        <v>90.0673902703534</v>
      </c>
      <c r="AN2046">
        <v>1.00000000076039</v>
      </c>
    </row>
    <row r="2047" spans="1:40" x14ac:dyDescent="0.25">
      <c r="A2047" t="str">
        <f>"20190312151025741"</f>
        <v>20190312151025741</v>
      </c>
      <c r="B2047" t="str">
        <f>"1552374625732666"</f>
        <v>1552374625732666</v>
      </c>
      <c r="C2047" t="s">
        <v>40</v>
      </c>
      <c r="D2047">
        <v>5.0687160000000002</v>
      </c>
      <c r="E2047">
        <v>0.49496570000000001</v>
      </c>
      <c r="F2047" t="s">
        <v>41</v>
      </c>
      <c r="G2047">
        <v>-289.24090000000001</v>
      </c>
      <c r="H2047">
        <v>1.017466</v>
      </c>
      <c r="I2047">
        <v>283.03519999999997</v>
      </c>
      <c r="J2047">
        <v>-288.5779</v>
      </c>
      <c r="K2047">
        <v>1.109802</v>
      </c>
      <c r="L2047">
        <v>283.05430000000001</v>
      </c>
      <c r="M2047">
        <v>-0.99995080000000003</v>
      </c>
      <c r="N2047">
        <v>0</v>
      </c>
      <c r="O2047">
        <v>-3.0534310000000001E-3</v>
      </c>
      <c r="P2047">
        <v>-0.99979689999999999</v>
      </c>
      <c r="Q2047">
        <v>1.9740810000000001E-2</v>
      </c>
      <c r="R2047">
        <v>-4.0306020000000003E-3</v>
      </c>
      <c r="S2047">
        <v>-3.0057070000000001</v>
      </c>
      <c r="T2047">
        <v>-0.271731</v>
      </c>
      <c r="U2047">
        <v>-6.0699459999999997E-2</v>
      </c>
      <c r="V2047">
        <v>-1.0136259999999999E-3</v>
      </c>
      <c r="W2047">
        <v>2.9173350000000001E-2</v>
      </c>
      <c r="X2047">
        <v>0.99957379999999996</v>
      </c>
      <c r="Y2047">
        <v>-1.7080399999999999E-2</v>
      </c>
      <c r="Z2047">
        <v>-4.9496230000000004E-4</v>
      </c>
      <c r="AA2047">
        <v>0.99985400000000002</v>
      </c>
      <c r="AB2047">
        <v>37</v>
      </c>
      <c r="AC2047">
        <v>-0.66300000000001003</v>
      </c>
      <c r="AD2047">
        <v>-9.2335999999999904E-2</v>
      </c>
      <c r="AE2047">
        <v>-1.9100000000037198E-2</v>
      </c>
      <c r="AF2047">
        <v>-1.6750765449164699E-2</v>
      </c>
      <c r="AG2047">
        <v>-9.2335999999999904E-2</v>
      </c>
      <c r="AH2047">
        <v>0.65044949190836598</v>
      </c>
      <c r="AI2047">
        <v>98.076922818135799</v>
      </c>
      <c r="AJ2047">
        <v>91.4751892237569</v>
      </c>
      <c r="AK2047">
        <v>0.65718419530827499</v>
      </c>
      <c r="AL2047">
        <v>88.328252891479593</v>
      </c>
      <c r="AM2047">
        <v>90.058101234643999</v>
      </c>
      <c r="AN2047">
        <v>0.99999994671716297</v>
      </c>
    </row>
    <row r="2048" spans="1:40" x14ac:dyDescent="0.25">
      <c r="A2048" t="str">
        <f>"20190312151025763"</f>
        <v>20190312151025763</v>
      </c>
      <c r="B2048" t="str">
        <f>"1552374625752649"</f>
        <v>1552374625752649</v>
      </c>
      <c r="C2048" t="s">
        <v>40</v>
      </c>
      <c r="D2048">
        <v>5.0863759999999996</v>
      </c>
      <c r="E2048">
        <v>0.4948998</v>
      </c>
      <c r="F2048" t="s">
        <v>41</v>
      </c>
      <c r="G2048">
        <v>-289.57389999999998</v>
      </c>
      <c r="H2048">
        <v>1.019309</v>
      </c>
      <c r="I2048">
        <v>283.03390000000002</v>
      </c>
      <c r="J2048">
        <v>-288.9393</v>
      </c>
      <c r="K2048">
        <v>1.10981</v>
      </c>
      <c r="L2048">
        <v>283.05270000000002</v>
      </c>
      <c r="M2048">
        <v>-0.99994870000000002</v>
      </c>
      <c r="N2048">
        <v>0</v>
      </c>
      <c r="O2048">
        <v>-3.5622900000000001E-3</v>
      </c>
      <c r="P2048">
        <v>-0.99979790000000002</v>
      </c>
      <c r="Q2048">
        <v>1.965917E-2</v>
      </c>
      <c r="R2048">
        <v>-4.2111359999999999E-3</v>
      </c>
      <c r="S2048">
        <v>-3.0057680000000002</v>
      </c>
      <c r="T2048">
        <v>-0.27336700000000003</v>
      </c>
      <c r="U2048">
        <v>-6.2652589999999994E-2</v>
      </c>
      <c r="V2048">
        <v>-6.8522579999999997E-4</v>
      </c>
      <c r="W2048">
        <v>2.9149999999999999E-2</v>
      </c>
      <c r="X2048">
        <v>0.99957479999999999</v>
      </c>
      <c r="Y2048">
        <v>-1.7221440000000001E-2</v>
      </c>
      <c r="Z2048">
        <v>-4.5813599999999999E-4</v>
      </c>
      <c r="AA2048">
        <v>0.99985159999999995</v>
      </c>
      <c r="AB2048">
        <v>37</v>
      </c>
      <c r="AC2048">
        <v>-0.63459999999997696</v>
      </c>
      <c r="AD2048">
        <v>-9.0500999999999901E-2</v>
      </c>
      <c r="AE2048">
        <v>-1.87999999999988E-2</v>
      </c>
      <c r="AF2048">
        <v>-1.6209765931236901E-2</v>
      </c>
      <c r="AG2048">
        <v>-9.0500999999999901E-2</v>
      </c>
      <c r="AH2048">
        <v>0.622023375992526</v>
      </c>
      <c r="AI2048">
        <v>98.275365872159995</v>
      </c>
      <c r="AJ2048">
        <v>91.492775118810897</v>
      </c>
      <c r="AK2048">
        <v>0.62878157399345302</v>
      </c>
      <c r="AL2048">
        <v>88.329591383554401</v>
      </c>
      <c r="AM2048">
        <v>90.039277240886307</v>
      </c>
      <c r="AN2048">
        <v>0.99999998641471799</v>
      </c>
    </row>
    <row r="2049" spans="1:40" x14ac:dyDescent="0.25">
      <c r="A2049" t="str">
        <f>"20190312151025784"</f>
        <v>20190312151025784</v>
      </c>
      <c r="B2049" t="str">
        <f>"1552374625773145"</f>
        <v>1552374625773145</v>
      </c>
      <c r="C2049" t="s">
        <v>40</v>
      </c>
      <c r="D2049">
        <v>5.133375</v>
      </c>
      <c r="E2049">
        <v>0.4948998</v>
      </c>
      <c r="F2049" t="s">
        <v>41</v>
      </c>
      <c r="G2049">
        <v>-289.90710000000001</v>
      </c>
      <c r="H2049">
        <v>1.0210999999999999</v>
      </c>
      <c r="I2049">
        <v>283.03230000000002</v>
      </c>
      <c r="J2049">
        <v>-289.30489999999998</v>
      </c>
      <c r="K2049">
        <v>1.1098140000000001</v>
      </c>
      <c r="L2049">
        <v>283.05099999999999</v>
      </c>
      <c r="M2049">
        <v>-0.99994609999999995</v>
      </c>
      <c r="N2049">
        <v>0</v>
      </c>
      <c r="O2049">
        <v>-4.0774380000000001E-3</v>
      </c>
      <c r="P2049">
        <v>-0.99979370000000001</v>
      </c>
      <c r="Q2049">
        <v>1.984723E-2</v>
      </c>
      <c r="R2049">
        <v>-4.3044809999999998E-3</v>
      </c>
      <c r="S2049">
        <v>-3.0057680000000002</v>
      </c>
      <c r="T2049">
        <v>-0.27560829999999997</v>
      </c>
      <c r="U2049">
        <v>-6.3751219999999997E-2</v>
      </c>
      <c r="V2049">
        <v>-2.6435560000000001E-4</v>
      </c>
      <c r="W2049">
        <v>2.9392129999999999E-2</v>
      </c>
      <c r="X2049">
        <v>0.99956789999999995</v>
      </c>
      <c r="Y2049">
        <v>-1.707349E-2</v>
      </c>
      <c r="Z2049">
        <v>-4.0797400000000002E-4</v>
      </c>
      <c r="AA2049">
        <v>0.99985409999999997</v>
      </c>
      <c r="AB2049">
        <v>37</v>
      </c>
      <c r="AC2049">
        <v>-0.60220000000003804</v>
      </c>
      <c r="AD2049">
        <v>-8.8713999999999904E-2</v>
      </c>
      <c r="AE2049">
        <v>-1.8699999999967E-2</v>
      </c>
      <c r="AF2049">
        <v>-1.58995767927094E-2</v>
      </c>
      <c r="AG2049">
        <v>-8.8713999999999904E-2</v>
      </c>
      <c r="AH2049">
        <v>0.589490359498959</v>
      </c>
      <c r="AI2049">
        <v>98.555307197581698</v>
      </c>
      <c r="AJ2049">
        <v>91.544991912783303</v>
      </c>
      <c r="AK2049">
        <v>0.59634038457947802</v>
      </c>
      <c r="AL2049">
        <v>88.315712393298796</v>
      </c>
      <c r="AM2049">
        <v>90.015153007432005</v>
      </c>
      <c r="AN2049">
        <v>0.999999976950114</v>
      </c>
    </row>
    <row r="2050" spans="1:40" x14ac:dyDescent="0.25">
      <c r="A2050" t="str">
        <f>"20190312151025797"</f>
        <v>20190312151025797</v>
      </c>
      <c r="B2050" t="str">
        <f>"1552374625792666"</f>
        <v>1552374625792666</v>
      </c>
      <c r="C2050" t="s">
        <v>40</v>
      </c>
      <c r="D2050">
        <v>5.0682</v>
      </c>
      <c r="E2050">
        <v>0.49489889999999997</v>
      </c>
      <c r="F2050" t="s">
        <v>41</v>
      </c>
      <c r="G2050">
        <v>-290.24130000000002</v>
      </c>
      <c r="H2050">
        <v>1.024216</v>
      </c>
      <c r="I2050">
        <v>283.03149999999999</v>
      </c>
      <c r="J2050">
        <v>-289.51569999999998</v>
      </c>
      <c r="K2050">
        <v>1.109812</v>
      </c>
      <c r="L2050">
        <v>283.04989999999998</v>
      </c>
      <c r="M2050">
        <v>-0.99994470000000002</v>
      </c>
      <c r="N2050">
        <v>0</v>
      </c>
      <c r="O2050">
        <v>-4.3748980000000003E-3</v>
      </c>
      <c r="P2050">
        <v>-0.99979320000000005</v>
      </c>
      <c r="Q2050">
        <v>1.983118E-2</v>
      </c>
      <c r="R2050">
        <v>-4.5542500000000001E-3</v>
      </c>
      <c r="S2050">
        <v>-3.005798</v>
      </c>
      <c r="T2050">
        <v>-0.27507500000000001</v>
      </c>
      <c r="U2050">
        <v>-6.3964839999999995E-2</v>
      </c>
      <c r="V2050">
        <v>-2.1621570000000001E-4</v>
      </c>
      <c r="W2050">
        <v>2.9405000000000001E-2</v>
      </c>
      <c r="X2050">
        <v>0.9995676</v>
      </c>
      <c r="Y2050">
        <v>-1.6849260000000001E-2</v>
      </c>
      <c r="Z2050">
        <v>-3.6978309999999997E-4</v>
      </c>
      <c r="AA2050">
        <v>0.99985800000000002</v>
      </c>
      <c r="AB2050">
        <v>37</v>
      </c>
      <c r="AC2050">
        <v>-0.72560000000004199</v>
      </c>
      <c r="AD2050">
        <v>-8.5596000000000005E-2</v>
      </c>
      <c r="AE2050">
        <v>-1.8399999999985501E-2</v>
      </c>
      <c r="AF2050">
        <v>-1.5016419507706999E-2</v>
      </c>
      <c r="AG2050">
        <v>-8.5596000000000005E-2</v>
      </c>
      <c r="AH2050">
        <v>0.71572004416977897</v>
      </c>
      <c r="AI2050">
        <v>96.818368003632202</v>
      </c>
      <c r="AJ2050">
        <v>91.201938183131404</v>
      </c>
      <c r="AK2050">
        <v>0.72097666376743597</v>
      </c>
      <c r="AL2050">
        <v>88.314974790533299</v>
      </c>
      <c r="AM2050">
        <v>90.012393605876397</v>
      </c>
      <c r="AN2050">
        <v>1.00000004387199</v>
      </c>
    </row>
    <row r="2051" spans="1:40" x14ac:dyDescent="0.25">
      <c r="A2051" t="str">
        <f>"20190312151025810"</f>
        <v>20190312151025810</v>
      </c>
      <c r="B2051" t="str">
        <f>"1552374625802426"</f>
        <v>1552374625802426</v>
      </c>
      <c r="C2051" t="s">
        <v>40</v>
      </c>
      <c r="D2051">
        <v>5.0674900000000003</v>
      </c>
      <c r="E2051">
        <v>0.49486790000000003</v>
      </c>
      <c r="F2051" t="s">
        <v>61</v>
      </c>
      <c r="G2051">
        <v>-301.54390000000001</v>
      </c>
      <c r="H2051" s="1">
        <v>3.8503420000000001E-6</v>
      </c>
      <c r="I2051">
        <v>282.79079999999999</v>
      </c>
      <c r="J2051">
        <v>-289.72300000000001</v>
      </c>
      <c r="K2051">
        <v>1.109812</v>
      </c>
      <c r="L2051">
        <v>283.0487</v>
      </c>
      <c r="M2051">
        <v>-0.99994309999999997</v>
      </c>
      <c r="N2051">
        <v>0</v>
      </c>
      <c r="O2051">
        <v>-4.6669800000000003E-3</v>
      </c>
      <c r="P2051">
        <v>-0.99979150000000006</v>
      </c>
      <c r="Q2051">
        <v>1.9834279999999999E-2</v>
      </c>
      <c r="R2051">
        <v>-4.8708909999999996E-3</v>
      </c>
      <c r="S2051">
        <v>-3.0058289999999999</v>
      </c>
      <c r="T2051">
        <v>-0.27734009999999998</v>
      </c>
      <c r="U2051">
        <v>-6.4758300000000005E-2</v>
      </c>
      <c r="V2051">
        <v>-2.405237E-4</v>
      </c>
      <c r="W2051">
        <v>2.943407E-2</v>
      </c>
      <c r="X2051">
        <v>0.99956670000000003</v>
      </c>
      <c r="Y2051">
        <v>-1.6821300000000001E-2</v>
      </c>
      <c r="Z2051">
        <v>-3.4463359999999999E-4</v>
      </c>
      <c r="AA2051">
        <v>0.99985840000000004</v>
      </c>
      <c r="AB2051">
        <v>37</v>
      </c>
      <c r="AC2051">
        <v>-11.8208999999999</v>
      </c>
      <c r="AD2051">
        <v>-1.1098081496579999</v>
      </c>
      <c r="AE2051">
        <v>-0.25790000000000601</v>
      </c>
      <c r="AF2051">
        <v>-0.20095627456446299</v>
      </c>
      <c r="AG2051">
        <v>-1.1098081496579999</v>
      </c>
      <c r="AH2051">
        <v>11.718730022946101</v>
      </c>
      <c r="AI2051">
        <v>95.409201708223307</v>
      </c>
      <c r="AJ2051">
        <v>90.982428809513195</v>
      </c>
      <c r="AK2051">
        <v>11.7728794652809</v>
      </c>
      <c r="AL2051">
        <v>88.313308415518094</v>
      </c>
      <c r="AM2051">
        <v>90.0137869665094</v>
      </c>
      <c r="AN2051">
        <v>1.0000000050386499</v>
      </c>
    </row>
    <row r="2052" spans="1:40" x14ac:dyDescent="0.25">
      <c r="A2052" t="str">
        <f>"20190312151025831"</f>
        <v>20190312151025831</v>
      </c>
      <c r="B2052" t="str">
        <f>"1552374625822921"</f>
        <v>1552374625822921</v>
      </c>
      <c r="C2052" t="s">
        <v>40</v>
      </c>
      <c r="D2052">
        <v>5.0873470000000003</v>
      </c>
      <c r="E2052">
        <v>0.49488739999999998</v>
      </c>
      <c r="F2052" t="s">
        <v>41</v>
      </c>
      <c r="G2052">
        <v>-290.57909999999998</v>
      </c>
      <c r="H2052">
        <v>1.0308139999999999</v>
      </c>
      <c r="I2052">
        <v>283.02999999999997</v>
      </c>
      <c r="J2052">
        <v>-290.07089999999999</v>
      </c>
      <c r="K2052">
        <v>1.1098140000000001</v>
      </c>
      <c r="L2052">
        <v>283.04669999999999</v>
      </c>
      <c r="M2052">
        <v>-0.9999403</v>
      </c>
      <c r="N2052">
        <v>0</v>
      </c>
      <c r="O2052">
        <v>-5.1570299999999999E-3</v>
      </c>
      <c r="P2052">
        <v>-0.99979189999999996</v>
      </c>
      <c r="Q2052">
        <v>1.962612E-2</v>
      </c>
      <c r="R2052">
        <v>-5.5790509999999998E-3</v>
      </c>
      <c r="S2052">
        <v>-3.005798</v>
      </c>
      <c r="T2052">
        <v>-0.2773737</v>
      </c>
      <c r="U2052">
        <v>-6.607056E-2</v>
      </c>
      <c r="V2052">
        <v>-4.5882269999999997E-4</v>
      </c>
      <c r="W2052">
        <v>2.9266770000000001E-2</v>
      </c>
      <c r="X2052">
        <v>0.99957149999999995</v>
      </c>
      <c r="Y2052">
        <v>-1.67701E-2</v>
      </c>
      <c r="Z2052">
        <v>-2.9719920000000001E-4</v>
      </c>
      <c r="AA2052">
        <v>0.99985930000000001</v>
      </c>
      <c r="AB2052">
        <v>37</v>
      </c>
      <c r="AC2052">
        <v>-0.50819999999998799</v>
      </c>
      <c r="AD2052">
        <v>-7.8999999999999904E-2</v>
      </c>
      <c r="AE2052">
        <v>-1.6700000000014301E-2</v>
      </c>
      <c r="AF2052">
        <v>-1.3747016804122301E-2</v>
      </c>
      <c r="AG2052">
        <v>-7.8999999999999904E-2</v>
      </c>
      <c r="AH2052">
        <v>0.49629928592591799</v>
      </c>
      <c r="AI2052">
        <v>99.040947334330696</v>
      </c>
      <c r="AJ2052">
        <v>91.586632746969201</v>
      </c>
      <c r="AK2052">
        <v>0.502735478837121</v>
      </c>
      <c r="AL2052">
        <v>88.322898070305897</v>
      </c>
      <c r="AM2052">
        <v>90.026299871903504</v>
      </c>
      <c r="AN2052">
        <v>0.99999996897837595</v>
      </c>
    </row>
    <row r="2053" spans="1:40" x14ac:dyDescent="0.25">
      <c r="A2053" t="str">
        <f>"20190312151025853"</f>
        <v>20190312151025853</v>
      </c>
      <c r="B2053" t="str">
        <f>"1552374625842442"</f>
        <v>1552374625842442</v>
      </c>
      <c r="C2053" t="s">
        <v>40</v>
      </c>
      <c r="D2053">
        <v>5.0588160000000002</v>
      </c>
      <c r="E2053">
        <v>0.51142529999999997</v>
      </c>
      <c r="F2053" t="s">
        <v>41</v>
      </c>
      <c r="G2053">
        <v>-290.9135</v>
      </c>
      <c r="H2053">
        <v>1.0320480000000001</v>
      </c>
      <c r="I2053">
        <v>283.02789999999999</v>
      </c>
      <c r="J2053">
        <v>-290.43639999999999</v>
      </c>
      <c r="K2053">
        <v>1.109815</v>
      </c>
      <c r="L2053">
        <v>283.04430000000002</v>
      </c>
      <c r="M2053">
        <v>-0.99993710000000002</v>
      </c>
      <c r="N2053">
        <v>0</v>
      </c>
      <c r="O2053">
        <v>-5.6704249999999998E-3</v>
      </c>
      <c r="P2053">
        <v>-0.99978069999999997</v>
      </c>
      <c r="Q2053">
        <v>1.996243E-2</v>
      </c>
      <c r="R2053">
        <v>-6.3637470000000003E-3</v>
      </c>
      <c r="S2053">
        <v>-3.0056759999999998</v>
      </c>
      <c r="T2053">
        <v>-0.27762680000000001</v>
      </c>
      <c r="U2053">
        <v>-6.8054199999999995E-2</v>
      </c>
      <c r="V2053">
        <v>-7.3049529999999897E-4</v>
      </c>
      <c r="W2053">
        <v>2.9640929999999999E-2</v>
      </c>
      <c r="X2053">
        <v>0.99956040000000002</v>
      </c>
      <c r="Y2053">
        <v>-1.6918639999999999E-2</v>
      </c>
      <c r="Z2053">
        <v>-2.5700910000000003E-4</v>
      </c>
      <c r="AA2053">
        <v>0.99985679999999999</v>
      </c>
      <c r="AB2053">
        <v>37</v>
      </c>
      <c r="AC2053">
        <v>-0.47710000000000702</v>
      </c>
      <c r="AD2053">
        <v>-7.77670000000001E-2</v>
      </c>
      <c r="AE2053">
        <v>-1.6400000000032802E-2</v>
      </c>
      <c r="AF2053">
        <v>-1.33402342230774E-2</v>
      </c>
      <c r="AG2053">
        <v>-7.77670000000001E-2</v>
      </c>
      <c r="AH2053">
        <v>0.46484941550289099</v>
      </c>
      <c r="AI2053">
        <v>99.493511219865795</v>
      </c>
      <c r="AJ2053">
        <v>91.643821347388894</v>
      </c>
      <c r="AK2053">
        <v>0.47149830034848</v>
      </c>
      <c r="AL2053">
        <v>88.301451123158799</v>
      </c>
      <c r="AM2053">
        <v>90.041872697430506</v>
      </c>
      <c r="AN2053">
        <v>1.0000000558013999</v>
      </c>
    </row>
    <row r="2054" spans="1:40" x14ac:dyDescent="0.25">
      <c r="A2054" t="str">
        <f>"20190312151025874"</f>
        <v>20190312151025874</v>
      </c>
      <c r="B2054" t="str">
        <f>"1552374625862937"</f>
        <v>1552374625862937</v>
      </c>
      <c r="C2054" t="s">
        <v>40</v>
      </c>
      <c r="D2054">
        <v>5.0642500000000004</v>
      </c>
      <c r="E2054">
        <v>0.51280839999999905</v>
      </c>
      <c r="F2054" t="s">
        <v>52</v>
      </c>
      <c r="G2054">
        <v>-320.00420000000003</v>
      </c>
      <c r="H2054" s="1">
        <v>-1.494575E-6</v>
      </c>
      <c r="I2054">
        <v>283.7011</v>
      </c>
      <c r="J2054">
        <v>-290.80149999999998</v>
      </c>
      <c r="K2054">
        <v>1.10982</v>
      </c>
      <c r="L2054">
        <v>283.04180000000002</v>
      </c>
      <c r="M2054">
        <v>-0.99993379999999998</v>
      </c>
      <c r="N2054">
        <v>0</v>
      </c>
      <c r="O2054">
        <v>-6.1785360000000001E-3</v>
      </c>
      <c r="P2054">
        <v>-0.99976390000000004</v>
      </c>
      <c r="Q2054">
        <v>2.048583E-2</v>
      </c>
      <c r="R2054">
        <v>-7.2651209999999898E-3</v>
      </c>
      <c r="S2054">
        <v>-3.0032960000000002</v>
      </c>
      <c r="T2054">
        <v>-0.1127278</v>
      </c>
      <c r="U2054">
        <v>6.6711430000000002E-2</v>
      </c>
      <c r="V2054">
        <v>-1.1251239999999999E-3</v>
      </c>
      <c r="W2054">
        <v>3.0198579999999999E-2</v>
      </c>
      <c r="X2054">
        <v>0.99954330000000002</v>
      </c>
      <c r="Y2054">
        <v>2.8359829999999999E-2</v>
      </c>
      <c r="Z2054">
        <v>7.6379869999999904E-4</v>
      </c>
      <c r="AA2054">
        <v>0.99959750000000003</v>
      </c>
      <c r="AB2054">
        <v>37</v>
      </c>
      <c r="AC2054">
        <v>-29.2027</v>
      </c>
      <c r="AD2054">
        <v>-1.109821494575</v>
      </c>
      <c r="AE2054">
        <v>0.65929999999997302</v>
      </c>
      <c r="AF2054">
        <v>0.83851538983983598</v>
      </c>
      <c r="AG2054">
        <v>-1.109821494575</v>
      </c>
      <c r="AH2054">
        <v>29.155980040774502</v>
      </c>
      <c r="AI2054">
        <v>92.179009566709496</v>
      </c>
      <c r="AJ2054">
        <v>88.352648288061204</v>
      </c>
      <c r="AK2054">
        <v>29.1891415417936</v>
      </c>
      <c r="AL2054">
        <v>88.269485750599401</v>
      </c>
      <c r="AM2054">
        <v>90.0644942839414</v>
      </c>
      <c r="AN2054">
        <v>1.00000001435646</v>
      </c>
    </row>
    <row r="2055" spans="1:40" x14ac:dyDescent="0.25">
      <c r="A2055" t="str">
        <f>"20190312151025896"</f>
        <v>20190312151025896</v>
      </c>
      <c r="B2055" t="str">
        <f>"1552374625892218"</f>
        <v>1552374625892218</v>
      </c>
      <c r="C2055" t="s">
        <v>40</v>
      </c>
      <c r="D2055">
        <v>5.0678130000000001</v>
      </c>
      <c r="E2055">
        <v>0.51278840000000003</v>
      </c>
      <c r="F2055" t="s">
        <v>52</v>
      </c>
      <c r="G2055">
        <v>-330.32769999999999</v>
      </c>
      <c r="H2055" s="1">
        <v>-1.3372859999999999E-6</v>
      </c>
      <c r="I2055">
        <v>284.0412</v>
      </c>
      <c r="J2055">
        <v>-291.16129999999998</v>
      </c>
      <c r="K2055">
        <v>1.10982</v>
      </c>
      <c r="L2055">
        <v>283.03910000000002</v>
      </c>
      <c r="M2055">
        <v>-0.99993019999999999</v>
      </c>
      <c r="N2055">
        <v>0</v>
      </c>
      <c r="O2055">
        <v>-6.6707399999999997E-3</v>
      </c>
      <c r="P2055">
        <v>-0.99974799999999997</v>
      </c>
      <c r="Q2055">
        <v>2.0841780000000001E-2</v>
      </c>
      <c r="R2055">
        <v>-8.3388059999999903E-3</v>
      </c>
      <c r="S2055">
        <v>-3.0029910000000002</v>
      </c>
      <c r="T2055">
        <v>-8.4318519999999994E-2</v>
      </c>
      <c r="U2055">
        <v>7.5927729999999999E-2</v>
      </c>
      <c r="V2055">
        <v>-1.707056E-3</v>
      </c>
      <c r="W2055">
        <v>3.0583679999999999E-2</v>
      </c>
      <c r="X2055">
        <v>0.99953069999999999</v>
      </c>
      <c r="Y2055">
        <v>3.1929119999999998E-2</v>
      </c>
      <c r="Z2055">
        <v>6.3534309999999897E-4</v>
      </c>
      <c r="AA2055">
        <v>0.99948999999999999</v>
      </c>
      <c r="AB2055">
        <v>37</v>
      </c>
      <c r="AC2055">
        <v>-39.166400000000003</v>
      </c>
      <c r="AD2055">
        <v>-1.109821337286</v>
      </c>
      <c r="AE2055">
        <v>1.00209999999998</v>
      </c>
      <c r="AF2055">
        <v>1.26234608127251</v>
      </c>
      <c r="AG2055">
        <v>-1.109821337286</v>
      </c>
      <c r="AH2055">
        <v>39.127447281319299</v>
      </c>
      <c r="AI2055">
        <v>91.623872691151007</v>
      </c>
      <c r="AJ2055">
        <v>88.152140525174104</v>
      </c>
      <c r="AK2055">
        <v>39.163533443523903</v>
      </c>
      <c r="AL2055">
        <v>88.247410832823604</v>
      </c>
      <c r="AM2055">
        <v>90.097852931479494</v>
      </c>
      <c r="AN2055">
        <v>0.99999994788250801</v>
      </c>
    </row>
    <row r="2056" spans="1:40" x14ac:dyDescent="0.25">
      <c r="A2056" t="str">
        <f>"20190312151025908"</f>
        <v>20190312151025908</v>
      </c>
      <c r="B2056" t="str">
        <f>"1552374625902954"</f>
        <v>1552374625902954</v>
      </c>
      <c r="C2056" t="s">
        <v>40</v>
      </c>
      <c r="D2056">
        <v>4.9922620000000002</v>
      </c>
      <c r="E2056">
        <v>0.5129996</v>
      </c>
      <c r="F2056" t="s">
        <v>52</v>
      </c>
      <c r="G2056">
        <v>-336.9812</v>
      </c>
      <c r="H2056" s="1">
        <v>2.1986660000000001E-6</v>
      </c>
      <c r="I2056">
        <v>284.1497</v>
      </c>
      <c r="J2056">
        <v>-291.36200000000002</v>
      </c>
      <c r="K2056">
        <v>1.1098170000000001</v>
      </c>
      <c r="L2056">
        <v>283.0376</v>
      </c>
      <c r="M2056">
        <v>-0.99992840000000005</v>
      </c>
      <c r="N2056">
        <v>0</v>
      </c>
      <c r="O2056">
        <v>-6.9399409999999998E-3</v>
      </c>
      <c r="P2056">
        <v>-0.99974200000000002</v>
      </c>
      <c r="Q2056">
        <v>2.0905389999999999E-2</v>
      </c>
      <c r="R2056">
        <v>-8.9042159999999995E-3</v>
      </c>
      <c r="S2056">
        <v>-3.0028990000000002</v>
      </c>
      <c r="T2056">
        <v>-7.2733999999999993E-2</v>
      </c>
      <c r="U2056">
        <v>7.2784420000000002E-2</v>
      </c>
      <c r="V2056">
        <v>-2.003028E-3</v>
      </c>
      <c r="W2056">
        <v>3.06628E-2</v>
      </c>
      <c r="X2056">
        <v>0.99952779999999997</v>
      </c>
      <c r="Y2056">
        <v>3.1157420000000002E-2</v>
      </c>
      <c r="Z2056">
        <v>5.4528059999999997E-4</v>
      </c>
      <c r="AA2056">
        <v>0.99951429999999997</v>
      </c>
      <c r="AB2056">
        <v>37</v>
      </c>
      <c r="AC2056">
        <v>-45.6191999999999</v>
      </c>
      <c r="AD2056">
        <v>-1.1098148013339999</v>
      </c>
      <c r="AE2056">
        <v>1.1120999999999901</v>
      </c>
      <c r="AF2056">
        <v>1.4278382644949299</v>
      </c>
      <c r="AG2056">
        <v>-1.1098148013339999</v>
      </c>
      <c r="AH2056">
        <v>45.583420878954101</v>
      </c>
      <c r="AI2056">
        <v>91.394015396422006</v>
      </c>
      <c r="AJ2056">
        <v>88.205874760249301</v>
      </c>
      <c r="AK2056">
        <v>45.619279586932201</v>
      </c>
      <c r="AL2056">
        <v>88.2428755922828</v>
      </c>
      <c r="AM2056">
        <v>90.114819114603904</v>
      </c>
      <c r="AN2056">
        <v>1.00000002119892</v>
      </c>
    </row>
    <row r="2057" spans="1:40" x14ac:dyDescent="0.25">
      <c r="A2057" t="str">
        <f>"20190312151025921"</f>
        <v>20190312151025921</v>
      </c>
      <c r="B2057" t="str">
        <f>"1552374625912714"</f>
        <v>1552374625912714</v>
      </c>
      <c r="C2057" t="s">
        <v>40</v>
      </c>
      <c r="D2057">
        <v>5.1592010000000004</v>
      </c>
      <c r="E2057">
        <v>0.51333090000000003</v>
      </c>
      <c r="F2057" t="s">
        <v>52</v>
      </c>
      <c r="G2057">
        <v>-337.8159</v>
      </c>
      <c r="H2057" s="1">
        <v>2.6420849999999999E-6</v>
      </c>
      <c r="I2057">
        <v>284.16640000000001</v>
      </c>
      <c r="J2057">
        <v>-291.57549999999998</v>
      </c>
      <c r="K2057">
        <v>1.1098129999999999</v>
      </c>
      <c r="L2057">
        <v>283.03579999999999</v>
      </c>
      <c r="M2057">
        <v>-0.99992610000000004</v>
      </c>
      <c r="N2057">
        <v>0</v>
      </c>
      <c r="O2057">
        <v>-7.2229579999999998E-3</v>
      </c>
      <c r="P2057">
        <v>-0.99973449999999997</v>
      </c>
      <c r="Q2057">
        <v>2.1089650000000001E-2</v>
      </c>
      <c r="R2057">
        <v>-9.2924849999999996E-3</v>
      </c>
      <c r="S2057">
        <v>-3.0029300000000001</v>
      </c>
      <c r="T2057">
        <v>-7.1742059999999996E-2</v>
      </c>
      <c r="U2057">
        <v>7.2967530000000003E-2</v>
      </c>
      <c r="V2057">
        <v>-2.10787E-3</v>
      </c>
      <c r="W2057">
        <v>3.0862980000000002E-2</v>
      </c>
      <c r="X2057">
        <v>0.9995214</v>
      </c>
      <c r="Y2057">
        <v>3.1501099999999997E-2</v>
      </c>
      <c r="Z2057">
        <v>5.487046E-4</v>
      </c>
      <c r="AA2057">
        <v>0.99950360000000005</v>
      </c>
      <c r="AB2057">
        <v>37</v>
      </c>
      <c r="AC2057">
        <v>-46.240400000000001</v>
      </c>
      <c r="AD2057">
        <v>-1.109810357915</v>
      </c>
      <c r="AE2057">
        <v>1.13060000000001</v>
      </c>
      <c r="AF2057">
        <v>1.4637362712061299</v>
      </c>
      <c r="AG2057">
        <v>-1.109810357915</v>
      </c>
      <c r="AH2057">
        <v>46.204427192441102</v>
      </c>
      <c r="AI2057">
        <v>91.375265603400095</v>
      </c>
      <c r="AJ2057">
        <v>88.185501328904905</v>
      </c>
      <c r="AK2057">
        <v>46.240926624406796</v>
      </c>
      <c r="AL2057">
        <v>88.2314006511114</v>
      </c>
      <c r="AM2057">
        <v>90.120829704819997</v>
      </c>
      <c r="AN2057">
        <v>0.99999999785418803</v>
      </c>
    </row>
    <row r="2058" spans="1:40" x14ac:dyDescent="0.25">
      <c r="A2058" t="str">
        <f>"20190312151025933"</f>
        <v>20190312151025933</v>
      </c>
      <c r="B2058" t="str">
        <f>"1552374625922473"</f>
        <v>1552374625922473</v>
      </c>
      <c r="C2058" t="s">
        <v>40</v>
      </c>
      <c r="D2058">
        <v>5.0180709999999999</v>
      </c>
      <c r="E2058">
        <v>0.51370039999999995</v>
      </c>
      <c r="F2058" t="s">
        <v>52</v>
      </c>
      <c r="G2058">
        <v>-344.2593</v>
      </c>
      <c r="H2058" s="1">
        <v>7.2979879999999997E-7</v>
      </c>
      <c r="I2058">
        <v>284.34440000000001</v>
      </c>
      <c r="J2058">
        <v>-291.79090000000002</v>
      </c>
      <c r="K2058">
        <v>1.109809</v>
      </c>
      <c r="L2058">
        <v>283.03410000000002</v>
      </c>
      <c r="M2058">
        <v>-0.99992389999999998</v>
      </c>
      <c r="N2058">
        <v>0</v>
      </c>
      <c r="O2058">
        <v>-7.5026110000000002E-3</v>
      </c>
      <c r="P2058">
        <v>-0.99973230000000002</v>
      </c>
      <c r="Q2058">
        <v>2.1002219999999999E-2</v>
      </c>
      <c r="R2058">
        <v>-9.7016670000000006E-3</v>
      </c>
      <c r="S2058">
        <v>-3.002869</v>
      </c>
      <c r="T2058">
        <v>-6.3256980000000004E-2</v>
      </c>
      <c r="U2058">
        <v>7.4584960000000006E-2</v>
      </c>
      <c r="V2058">
        <v>-2.237036E-3</v>
      </c>
      <c r="W2058">
        <v>3.0790060000000001E-2</v>
      </c>
      <c r="X2058">
        <v>0.9995233</v>
      </c>
      <c r="Y2058">
        <v>3.2321370000000002E-2</v>
      </c>
      <c r="Z2058">
        <v>4.9835760000000004E-4</v>
      </c>
      <c r="AA2058">
        <v>0.99947739999999996</v>
      </c>
      <c r="AB2058">
        <v>37</v>
      </c>
      <c r="AC2058">
        <v>-52.468399999999903</v>
      </c>
      <c r="AD2058">
        <v>-1.1098082702012</v>
      </c>
      <c r="AE2058">
        <v>1.31029999999998</v>
      </c>
      <c r="AF2058">
        <v>1.7031704598911199</v>
      </c>
      <c r="AG2058">
        <v>-1.1098082702012</v>
      </c>
      <c r="AH2058">
        <v>52.433647569058898</v>
      </c>
      <c r="AI2058">
        <v>91.211899908316497</v>
      </c>
      <c r="AJ2058">
        <v>88.139549988981599</v>
      </c>
      <c r="AK2058">
        <v>52.473039376505803</v>
      </c>
      <c r="AL2058">
        <v>88.235580525587295</v>
      </c>
      <c r="AM2058">
        <v>90.128233636383698</v>
      </c>
      <c r="AN2058">
        <v>0.99999992968387696</v>
      </c>
    </row>
    <row r="2059" spans="1:40" x14ac:dyDescent="0.25">
      <c r="A2059" t="str">
        <f>"20190312151025952"</f>
        <v>20190312151025952</v>
      </c>
      <c r="B2059" t="str">
        <f>"1552374625942969"</f>
        <v>1552374625942969</v>
      </c>
      <c r="C2059" t="s">
        <v>40</v>
      </c>
      <c r="D2059">
        <v>5.0282369999999998</v>
      </c>
      <c r="E2059">
        <v>0.51448199999999999</v>
      </c>
      <c r="F2059" t="s">
        <v>52</v>
      </c>
      <c r="G2059">
        <v>-348.00639999999999</v>
      </c>
      <c r="H2059" s="1">
        <v>2.7238090000000001E-6</v>
      </c>
      <c r="I2059">
        <v>284.46519999999998</v>
      </c>
      <c r="J2059">
        <v>-292.10520000000002</v>
      </c>
      <c r="K2059">
        <v>1.109801</v>
      </c>
      <c r="L2059">
        <v>283.03140000000002</v>
      </c>
      <c r="M2059">
        <v>-0.9999207</v>
      </c>
      <c r="N2059">
        <v>0</v>
      </c>
      <c r="O2059">
        <v>-7.9003670000000002E-3</v>
      </c>
      <c r="P2059">
        <v>-0.99972450000000002</v>
      </c>
      <c r="Q2059">
        <v>2.0957699999999999E-2</v>
      </c>
      <c r="R2059">
        <v>-1.057728E-2</v>
      </c>
      <c r="S2059">
        <v>-3.002777</v>
      </c>
      <c r="T2059">
        <v>-5.9280869999999999E-2</v>
      </c>
      <c r="U2059">
        <v>7.6446529999999999E-2</v>
      </c>
      <c r="V2059">
        <v>-2.7141240000000001E-3</v>
      </c>
      <c r="W2059">
        <v>3.076479E-2</v>
      </c>
      <c r="X2059">
        <v>0.99952300000000005</v>
      </c>
      <c r="Y2059">
        <v>3.3339729999999998E-2</v>
      </c>
      <c r="Z2059">
        <v>4.8495029999999999E-4</v>
      </c>
      <c r="AA2059">
        <v>0.99944390000000005</v>
      </c>
      <c r="AB2059">
        <v>37</v>
      </c>
      <c r="AC2059">
        <v>-55.901199999999903</v>
      </c>
      <c r="AD2059">
        <v>-1.1097982761909999</v>
      </c>
      <c r="AE2059">
        <v>1.43379999999996</v>
      </c>
      <c r="AF2059">
        <v>1.87467809249273</v>
      </c>
      <c r="AG2059">
        <v>-1.1097982761909999</v>
      </c>
      <c r="AH2059">
        <v>55.866122794543401</v>
      </c>
      <c r="AI2059">
        <v>91.137409134392399</v>
      </c>
      <c r="AJ2059">
        <v>88.078068642627002</v>
      </c>
      <c r="AK2059">
        <v>55.908583833426803</v>
      </c>
      <c r="AL2059">
        <v>88.237029258736797</v>
      </c>
      <c r="AM2059">
        <v>90.155581680525998</v>
      </c>
      <c r="AN2059">
        <v>1.00000003315091</v>
      </c>
    </row>
    <row r="2060" spans="1:40" x14ac:dyDescent="0.25">
      <c r="A2060" t="str">
        <f>"20190312151025965"</f>
        <v>20190312151025965</v>
      </c>
      <c r="B2060" t="str">
        <f>"1552374625952730"</f>
        <v>1552374625952730</v>
      </c>
      <c r="C2060" t="s">
        <v>40</v>
      </c>
      <c r="D2060">
        <v>5.0167190000000002</v>
      </c>
      <c r="E2060">
        <v>0.51486769999999904</v>
      </c>
      <c r="F2060" t="s">
        <v>52</v>
      </c>
      <c r="G2060">
        <v>-351.0197</v>
      </c>
      <c r="H2060" s="1">
        <v>-9.941309E-7</v>
      </c>
      <c r="I2060">
        <v>284.60539999999997</v>
      </c>
      <c r="J2060">
        <v>-292.31189999999998</v>
      </c>
      <c r="K2060">
        <v>1.1097889999999999</v>
      </c>
      <c r="L2060">
        <v>283.02949999999998</v>
      </c>
      <c r="M2060">
        <v>-0.99991859999999999</v>
      </c>
      <c r="N2060">
        <v>0</v>
      </c>
      <c r="O2060">
        <v>-8.1536379999999995E-3</v>
      </c>
      <c r="P2060">
        <v>-0.99971520000000003</v>
      </c>
      <c r="Q2060">
        <v>2.1185900000000001E-2</v>
      </c>
      <c r="R2060">
        <v>-1.1002039999999999E-2</v>
      </c>
      <c r="S2060">
        <v>-3.002869</v>
      </c>
      <c r="T2060">
        <v>-5.6566480000000002E-2</v>
      </c>
      <c r="U2060">
        <v>8.0230709999999997E-2</v>
      </c>
      <c r="V2060">
        <v>-2.8856820000000001E-3</v>
      </c>
      <c r="W2060">
        <v>3.100501E-2</v>
      </c>
      <c r="X2060">
        <v>0.99951509999999999</v>
      </c>
      <c r="Y2060">
        <v>3.4851100000000003E-2</v>
      </c>
      <c r="Z2060">
        <v>4.8172900000000002E-4</v>
      </c>
      <c r="AA2060">
        <v>0.99939239999999996</v>
      </c>
      <c r="AB2060">
        <v>38</v>
      </c>
      <c r="AC2060">
        <v>-58.707799999999999</v>
      </c>
      <c r="AD2060">
        <v>-1.1097899941309</v>
      </c>
      <c r="AE2060">
        <v>1.5758999999999801</v>
      </c>
      <c r="AF2060">
        <v>2.0538194141799502</v>
      </c>
      <c r="AG2060">
        <v>-1.1097899941309</v>
      </c>
      <c r="AH2060">
        <v>58.6720471654492</v>
      </c>
      <c r="AI2060">
        <v>91.082965329114302</v>
      </c>
      <c r="AJ2060">
        <v>87.995175544947401</v>
      </c>
      <c r="AK2060">
        <v>58.718471766573003</v>
      </c>
      <c r="AL2060">
        <v>88.223259103811998</v>
      </c>
      <c r="AM2060">
        <v>90.165417151019895</v>
      </c>
      <c r="AN2060">
        <v>1.00000003646685</v>
      </c>
    </row>
    <row r="2061" spans="1:40" x14ac:dyDescent="0.25">
      <c r="A2061" t="str">
        <f>"20190312151025986"</f>
        <v>20190312151025986</v>
      </c>
      <c r="B2061" t="str">
        <f>"1552374625982986"</f>
        <v>1552374625982986</v>
      </c>
      <c r="C2061" t="s">
        <v>40</v>
      </c>
      <c r="D2061">
        <v>5.031377</v>
      </c>
      <c r="E2061">
        <v>0.51487680000000002</v>
      </c>
      <c r="F2061" t="s">
        <v>52</v>
      </c>
      <c r="G2061">
        <v>-351.34930000000003</v>
      </c>
      <c r="H2061" s="1">
        <v>-8.1873649999999899E-7</v>
      </c>
      <c r="I2061">
        <v>284.64100000000002</v>
      </c>
      <c r="J2061">
        <v>-292.6841</v>
      </c>
      <c r="K2061">
        <v>1.1097779999999999</v>
      </c>
      <c r="L2061">
        <v>283.02609999999999</v>
      </c>
      <c r="M2061">
        <v>-0.99991479999999999</v>
      </c>
      <c r="N2061">
        <v>0</v>
      </c>
      <c r="O2061">
        <v>-8.5931629999999991E-3</v>
      </c>
      <c r="P2061">
        <v>-0.99970409999999998</v>
      </c>
      <c r="Q2061">
        <v>2.1275800000000001E-2</v>
      </c>
      <c r="R2061">
        <v>-1.1811800000000001E-2</v>
      </c>
      <c r="S2061">
        <v>-3.0029910000000002</v>
      </c>
      <c r="T2061">
        <v>-5.645037E-2</v>
      </c>
      <c r="U2061">
        <v>8.1970210000000002E-2</v>
      </c>
      <c r="V2061">
        <v>-3.2545640000000002E-3</v>
      </c>
      <c r="W2061">
        <v>3.11151E-2</v>
      </c>
      <c r="X2061">
        <v>0.99951049999999997</v>
      </c>
      <c r="Y2061">
        <v>3.5867549999999998E-2</v>
      </c>
      <c r="Z2061">
        <v>4.9852879999999998E-4</v>
      </c>
      <c r="AA2061">
        <v>0.99935640000000003</v>
      </c>
      <c r="AB2061">
        <v>38</v>
      </c>
      <c r="AC2061">
        <v>-58.665199999999999</v>
      </c>
      <c r="AD2061">
        <v>-1.1097788187365001</v>
      </c>
      <c r="AE2061">
        <v>1.61489999999997</v>
      </c>
      <c r="AF2061">
        <v>2.1182268810401199</v>
      </c>
      <c r="AG2061">
        <v>-1.1097788187365001</v>
      </c>
      <c r="AH2061">
        <v>58.628191260460298</v>
      </c>
      <c r="AI2061">
        <v>91.083721030634393</v>
      </c>
      <c r="AJ2061">
        <v>87.930812970548104</v>
      </c>
      <c r="AK2061">
        <v>58.676940143630503</v>
      </c>
      <c r="AL2061">
        <v>88.216948285099605</v>
      </c>
      <c r="AM2061">
        <v>90.186563445135903</v>
      </c>
      <c r="AN2061">
        <v>0.99999999062254497</v>
      </c>
    </row>
    <row r="2062" spans="1:40" x14ac:dyDescent="0.25">
      <c r="A2062" t="str">
        <f>"20190312151026008"</f>
        <v>20190312151026008</v>
      </c>
      <c r="B2062" t="str">
        <f>"1552374626002505"</f>
        <v>1552374626002505</v>
      </c>
      <c r="C2062" t="s">
        <v>40</v>
      </c>
      <c r="D2062">
        <v>4.9895860000000001</v>
      </c>
      <c r="E2062">
        <v>0.51528209999999997</v>
      </c>
      <c r="F2062" t="s">
        <v>52</v>
      </c>
      <c r="G2062">
        <v>-350.67930000000001</v>
      </c>
      <c r="H2062" s="1">
        <v>-1.1753209999999999E-6</v>
      </c>
      <c r="I2062">
        <v>284.56549999999999</v>
      </c>
      <c r="J2062">
        <v>-293.04000000000002</v>
      </c>
      <c r="K2062">
        <v>1.109761</v>
      </c>
      <c r="L2062">
        <v>283.02260000000001</v>
      </c>
      <c r="M2062">
        <v>-0.99991099999999999</v>
      </c>
      <c r="N2062">
        <v>0</v>
      </c>
      <c r="O2062">
        <v>-8.9916609999999998E-3</v>
      </c>
      <c r="P2062">
        <v>-0.99968279999999998</v>
      </c>
      <c r="Q2062">
        <v>2.174537E-2</v>
      </c>
      <c r="R2062">
        <v>-1.270714E-2</v>
      </c>
      <c r="S2062">
        <v>-3.0030209999999999</v>
      </c>
      <c r="T2062">
        <v>-5.7464960000000002E-2</v>
      </c>
      <c r="U2062">
        <v>7.9711909999999997E-2</v>
      </c>
      <c r="V2062">
        <v>-3.7511279999999998E-3</v>
      </c>
      <c r="W2062">
        <v>3.160172E-2</v>
      </c>
      <c r="X2062">
        <v>0.99949350000000003</v>
      </c>
      <c r="Y2062">
        <v>3.5514270000000001E-2</v>
      </c>
      <c r="Z2062">
        <v>5.1173210000000002E-4</v>
      </c>
      <c r="AA2062">
        <v>0.99936899999999995</v>
      </c>
      <c r="AB2062">
        <v>38</v>
      </c>
      <c r="AC2062">
        <v>-57.639299999999899</v>
      </c>
      <c r="AD2062">
        <v>-1.1097621753210001</v>
      </c>
      <c r="AE2062">
        <v>1.54289999999997</v>
      </c>
      <c r="AF2062">
        <v>2.0603726087654799</v>
      </c>
      <c r="AG2062">
        <v>-1.1097621753210001</v>
      </c>
      <c r="AH2062">
        <v>57.601758075739198</v>
      </c>
      <c r="AI2062">
        <v>91.103025380521998</v>
      </c>
      <c r="AJ2062">
        <v>87.9514453897999</v>
      </c>
      <c r="AK2062">
        <v>57.649277886099398</v>
      </c>
      <c r="AL2062">
        <v>88.189053307248699</v>
      </c>
      <c r="AM2062">
        <v>90.215031707298195</v>
      </c>
      <c r="AN2062">
        <v>0.99999999810523998</v>
      </c>
    </row>
    <row r="2063" spans="1:40" x14ac:dyDescent="0.25">
      <c r="A2063" t="str">
        <f>"20190312151026031"</f>
        <v>20190312151026031</v>
      </c>
      <c r="B2063" t="str">
        <f>"1552374626023001"</f>
        <v>1552374626023001</v>
      </c>
      <c r="C2063" t="s">
        <v>40</v>
      </c>
      <c r="D2063">
        <v>4.9593959999999999</v>
      </c>
      <c r="E2063">
        <v>0.51565340000000004</v>
      </c>
      <c r="F2063" t="s">
        <v>52</v>
      </c>
      <c r="G2063">
        <v>-353.51589999999999</v>
      </c>
      <c r="H2063" s="1">
        <v>3.3421389999999999E-7</v>
      </c>
      <c r="I2063">
        <v>284.63459999999998</v>
      </c>
      <c r="J2063">
        <v>-293.43360000000001</v>
      </c>
      <c r="K2063">
        <v>1.1097399999999999</v>
      </c>
      <c r="L2063">
        <v>283.01870000000002</v>
      </c>
      <c r="M2063">
        <v>-0.99990710000000005</v>
      </c>
      <c r="N2063">
        <v>0</v>
      </c>
      <c r="O2063">
        <v>-9.4069240000000005E-3</v>
      </c>
      <c r="P2063">
        <v>-0.99966500000000003</v>
      </c>
      <c r="Q2063">
        <v>2.2041160000000001E-2</v>
      </c>
      <c r="R2063">
        <v>-1.3585299999999899E-2</v>
      </c>
      <c r="S2063">
        <v>-3.003174</v>
      </c>
      <c r="T2063">
        <v>-5.5109619999999998E-2</v>
      </c>
      <c r="U2063">
        <v>8.0047610000000005E-2</v>
      </c>
      <c r="V2063">
        <v>-4.2124299999999996E-3</v>
      </c>
      <c r="W2063">
        <v>3.191484E-2</v>
      </c>
      <c r="X2063">
        <v>0.99948170000000003</v>
      </c>
      <c r="Y2063">
        <v>3.6040089999999997E-2</v>
      </c>
      <c r="Z2063">
        <v>5.0317769999999996E-4</v>
      </c>
      <c r="AA2063">
        <v>0.99935019999999997</v>
      </c>
      <c r="AB2063">
        <v>38</v>
      </c>
      <c r="AC2063">
        <v>-60.082299999999897</v>
      </c>
      <c r="AD2063">
        <v>-1.1097396657860901</v>
      </c>
      <c r="AE2063">
        <v>1.6158999999999499</v>
      </c>
      <c r="AF2063">
        <v>2.1803023455177399</v>
      </c>
      <c r="AG2063">
        <v>-1.1097396657860901</v>
      </c>
      <c r="AH2063">
        <v>60.043970575399001</v>
      </c>
      <c r="AI2063">
        <v>91.058129521360001</v>
      </c>
      <c r="AJ2063">
        <v>87.920403005435006</v>
      </c>
      <c r="AK2063">
        <v>60.093790385555401</v>
      </c>
      <c r="AL2063">
        <v>88.171103774762898</v>
      </c>
      <c r="AM2063">
        <v>90.241478189597402</v>
      </c>
      <c r="AN2063">
        <v>0.99999998510680999</v>
      </c>
    </row>
    <row r="2064" spans="1:40" x14ac:dyDescent="0.25">
      <c r="A2064" t="str">
        <f>"20190312151026054"</f>
        <v>20190312151026054</v>
      </c>
      <c r="B2064" t="str">
        <f>"1552374626042522"</f>
        <v>1552374626042522</v>
      </c>
      <c r="C2064" t="s">
        <v>40</v>
      </c>
      <c r="D2064">
        <v>4.9335760000000004</v>
      </c>
      <c r="E2064">
        <v>0.51555090000000003</v>
      </c>
      <c r="F2064" t="s">
        <v>52</v>
      </c>
      <c r="G2064">
        <v>-360.58870000000002</v>
      </c>
      <c r="H2064" s="1">
        <v>-1.2235410000000001E-6</v>
      </c>
      <c r="I2064">
        <v>284.82029999999997</v>
      </c>
      <c r="J2064">
        <v>-293.81009999999998</v>
      </c>
      <c r="K2064">
        <v>1.1097250000000001</v>
      </c>
      <c r="L2064">
        <v>283.01479999999998</v>
      </c>
      <c r="M2064">
        <v>-0.99990319999999999</v>
      </c>
      <c r="N2064">
        <v>0</v>
      </c>
      <c r="O2064">
        <v>-9.7757829999999997E-3</v>
      </c>
      <c r="P2064">
        <v>-0.99966580000000005</v>
      </c>
      <c r="Q2064">
        <v>2.149742E-2</v>
      </c>
      <c r="R2064">
        <v>-1.4365279999999999E-2</v>
      </c>
      <c r="S2064">
        <v>-3.0032040000000002</v>
      </c>
      <c r="T2064">
        <v>-4.9628140000000001E-2</v>
      </c>
      <c r="U2064">
        <v>8.0566410000000005E-2</v>
      </c>
      <c r="V2064">
        <v>-4.6214209999999997E-3</v>
      </c>
      <c r="W2064">
        <v>3.1386770000000001E-2</v>
      </c>
      <c r="X2064">
        <v>0.99949659999999996</v>
      </c>
      <c r="Y2064">
        <v>3.658231E-2</v>
      </c>
      <c r="Z2064">
        <v>4.6370409999999998E-4</v>
      </c>
      <c r="AA2064">
        <v>0.99933050000000001</v>
      </c>
      <c r="AB2064">
        <v>38</v>
      </c>
      <c r="AC2064">
        <v>-66.778599999999997</v>
      </c>
      <c r="AD2064">
        <v>-1.1097262235409999</v>
      </c>
      <c r="AE2064">
        <v>1.8054999999999899</v>
      </c>
      <c r="AF2064">
        <v>2.45758063429796</v>
      </c>
      <c r="AG2064">
        <v>-1.1097262235409999</v>
      </c>
      <c r="AH2064">
        <v>66.739340573542407</v>
      </c>
      <c r="AI2064">
        <v>90.951968015750097</v>
      </c>
      <c r="AJ2064">
        <v>87.891117829779802</v>
      </c>
      <c r="AK2064">
        <v>66.793792938091002</v>
      </c>
      <c r="AL2064">
        <v>88.201375097237502</v>
      </c>
      <c r="AM2064">
        <v>90.264919392127794</v>
      </c>
      <c r="AN2064">
        <v>0.999999970137325</v>
      </c>
    </row>
    <row r="2065" spans="1:40" x14ac:dyDescent="0.25">
      <c r="A2065" t="str">
        <f>"20190312151026075"</f>
        <v>20190312151026075</v>
      </c>
      <c r="B2065" t="str">
        <f>"1552374626063018"</f>
        <v>1552374626063018</v>
      </c>
      <c r="C2065" t="s">
        <v>40</v>
      </c>
      <c r="D2065">
        <v>4.9833290000000003</v>
      </c>
      <c r="E2065">
        <v>0.51550659999999904</v>
      </c>
      <c r="F2065" t="s">
        <v>52</v>
      </c>
      <c r="G2065">
        <v>-362.85739999999998</v>
      </c>
      <c r="H2065" s="1">
        <v>-1.6204689999999999E-8</v>
      </c>
      <c r="I2065">
        <v>284.80189999999999</v>
      </c>
      <c r="J2065">
        <v>-294.1696</v>
      </c>
      <c r="K2065">
        <v>1.10971</v>
      </c>
      <c r="L2065">
        <v>283.01100000000002</v>
      </c>
      <c r="M2065">
        <v>-0.99990000000000001</v>
      </c>
      <c r="N2065">
        <v>0</v>
      </c>
      <c r="O2065">
        <v>-1.0100029999999999E-2</v>
      </c>
      <c r="P2065">
        <v>-0.99965800000000005</v>
      </c>
      <c r="Q2065">
        <v>2.1248909999999999E-2</v>
      </c>
      <c r="R2065">
        <v>-1.52537E-2</v>
      </c>
      <c r="S2065">
        <v>-3.0031129999999999</v>
      </c>
      <c r="T2065">
        <v>-4.8265809999999999E-2</v>
      </c>
      <c r="U2065">
        <v>7.7728270000000002E-2</v>
      </c>
      <c r="V2065">
        <v>-5.1843189999999997E-3</v>
      </c>
      <c r="W2065">
        <v>3.115132E-2</v>
      </c>
      <c r="X2065">
        <v>0.99950119999999998</v>
      </c>
      <c r="Y2065">
        <v>3.5963790000000002E-2</v>
      </c>
      <c r="Z2065">
        <v>4.512373E-4</v>
      </c>
      <c r="AA2065">
        <v>0.99935300000000005</v>
      </c>
      <c r="AB2065">
        <v>38</v>
      </c>
      <c r="AC2065">
        <v>-68.687799999999896</v>
      </c>
      <c r="AD2065">
        <v>-1.10971001620468</v>
      </c>
      <c r="AE2065">
        <v>1.7909000000000199</v>
      </c>
      <c r="AF2065">
        <v>2.4839435753703998</v>
      </c>
      <c r="AG2065">
        <v>-1.10971001620468</v>
      </c>
      <c r="AH2065">
        <v>68.648301265270106</v>
      </c>
      <c r="AI2065">
        <v>90.925508589088096</v>
      </c>
      <c r="AJ2065">
        <v>87.927735737615905</v>
      </c>
      <c r="AK2065">
        <v>68.702188455776096</v>
      </c>
      <c r="AL2065">
        <v>88.214871980340007</v>
      </c>
      <c r="AM2065">
        <v>90.297185170504704</v>
      </c>
      <c r="AN2065">
        <v>0.99999996535133695</v>
      </c>
    </row>
    <row r="2066" spans="1:40" x14ac:dyDescent="0.25">
      <c r="A2066" t="str">
        <f>"20190312151026098"</f>
        <v>20190312151026098</v>
      </c>
      <c r="B2066" t="str">
        <f>"1552374626092298"</f>
        <v>1552374626092298</v>
      </c>
      <c r="C2066" t="s">
        <v>40</v>
      </c>
      <c r="D2066">
        <v>4.9433590000000001</v>
      </c>
      <c r="E2066">
        <v>0.51562010000000003</v>
      </c>
      <c r="F2066" t="s">
        <v>52</v>
      </c>
      <c r="G2066">
        <v>-361.53960000000001</v>
      </c>
      <c r="H2066" s="1">
        <v>-7.1752409999999998E-7</v>
      </c>
      <c r="I2066">
        <v>284.68419999999998</v>
      </c>
      <c r="J2066">
        <v>-294.54790000000003</v>
      </c>
      <c r="K2066">
        <v>1.1096839999999999</v>
      </c>
      <c r="L2066">
        <v>283.00700000000001</v>
      </c>
      <c r="M2066">
        <v>-0.99989660000000002</v>
      </c>
      <c r="N2066">
        <v>0</v>
      </c>
      <c r="O2066">
        <v>-1.041245E-2</v>
      </c>
      <c r="P2066">
        <v>-0.99964010000000003</v>
      </c>
      <c r="Q2066">
        <v>2.1608749999999999E-2</v>
      </c>
      <c r="R2066">
        <v>-1.5913719999999999E-2</v>
      </c>
      <c r="S2066">
        <v>-3.0032040000000002</v>
      </c>
      <c r="T2066">
        <v>-4.9468520000000002E-2</v>
      </c>
      <c r="U2066">
        <v>7.4584960000000006E-2</v>
      </c>
      <c r="V2066">
        <v>-5.5297890000000002E-3</v>
      </c>
      <c r="W2066">
        <v>3.1524509999999999E-2</v>
      </c>
      <c r="X2066">
        <v>0.99948769999999998</v>
      </c>
      <c r="Y2066">
        <v>3.5229690000000001E-2</v>
      </c>
      <c r="Z2066">
        <v>4.6157229999999999E-4</v>
      </c>
      <c r="AA2066">
        <v>0.99937920000000002</v>
      </c>
      <c r="AB2066">
        <v>38</v>
      </c>
      <c r="AC2066">
        <v>-66.991699999999895</v>
      </c>
      <c r="AD2066">
        <v>-1.1096847175241</v>
      </c>
      <c r="AE2066">
        <v>1.67719999999997</v>
      </c>
      <c r="AF2066">
        <v>2.3740401182391002</v>
      </c>
      <c r="AG2066">
        <v>-1.1096847175241</v>
      </c>
      <c r="AH2066">
        <v>66.952244282944207</v>
      </c>
      <c r="AI2066">
        <v>90.948952627741406</v>
      </c>
      <c r="AJ2066">
        <v>87.969216481608399</v>
      </c>
      <c r="AK2066">
        <v>67.003510961578399</v>
      </c>
      <c r="AL2066">
        <v>88.1934793553323</v>
      </c>
      <c r="AM2066">
        <v>90.316992733984605</v>
      </c>
      <c r="AN2066">
        <v>1.0000000178741999</v>
      </c>
    </row>
    <row r="2067" spans="1:40" x14ac:dyDescent="0.25">
      <c r="A2067" t="str">
        <f>"20190312151026120"</f>
        <v>20190312151026120</v>
      </c>
      <c r="B2067" t="str">
        <f>"1552374626112793"</f>
        <v>1552374626112793</v>
      </c>
      <c r="C2067" t="s">
        <v>40</v>
      </c>
      <c r="D2067">
        <v>5.2055759999999998</v>
      </c>
      <c r="E2067">
        <v>0.51566889999999999</v>
      </c>
      <c r="F2067" t="s">
        <v>52</v>
      </c>
      <c r="G2067">
        <v>-365.39580000000001</v>
      </c>
      <c r="H2067" s="1">
        <v>1.3345939999999999E-6</v>
      </c>
      <c r="I2067">
        <v>284.74200000000002</v>
      </c>
      <c r="J2067">
        <v>-294.92720000000003</v>
      </c>
      <c r="K2067">
        <v>1.109658</v>
      </c>
      <c r="L2067">
        <v>283.0027</v>
      </c>
      <c r="M2067">
        <v>-0.99989349999999999</v>
      </c>
      <c r="N2067">
        <v>0</v>
      </c>
      <c r="O2067">
        <v>-1.069552E-2</v>
      </c>
      <c r="P2067">
        <v>-0.99963639999999998</v>
      </c>
      <c r="Q2067">
        <v>2.161426E-2</v>
      </c>
      <c r="R2067">
        <v>-1.6132179999999999E-2</v>
      </c>
      <c r="S2067">
        <v>-3.0032350000000001</v>
      </c>
      <c r="T2067">
        <v>-4.7039270000000001E-2</v>
      </c>
      <c r="U2067">
        <v>7.3547360000000006E-2</v>
      </c>
      <c r="V2067">
        <v>-5.4635400000000002E-3</v>
      </c>
      <c r="W2067">
        <v>3.1542140000000003E-2</v>
      </c>
      <c r="X2067">
        <v>0.99948749999999997</v>
      </c>
      <c r="Y2067">
        <v>3.5167869999999997E-2</v>
      </c>
      <c r="Z2067">
        <v>4.4285519999999999E-4</v>
      </c>
      <c r="AA2067">
        <v>0.99938130000000003</v>
      </c>
      <c r="AB2067">
        <v>38</v>
      </c>
      <c r="AC2067">
        <v>-70.468599999999896</v>
      </c>
      <c r="AD2067">
        <v>-1.1096566654060001</v>
      </c>
      <c r="AE2067">
        <v>1.7393000000000101</v>
      </c>
      <c r="AF2067">
        <v>2.4923183579744799</v>
      </c>
      <c r="AG2067">
        <v>-1.1096566654060001</v>
      </c>
      <c r="AH2067">
        <v>70.428512258453097</v>
      </c>
      <c r="AI2067">
        <v>90.902100848916504</v>
      </c>
      <c r="AJ2067">
        <v>87.973267447134305</v>
      </c>
      <c r="AK2067">
        <v>70.481333185827694</v>
      </c>
      <c r="AL2067">
        <v>88.192468713503402</v>
      </c>
      <c r="AM2067">
        <v>90.313195177836306</v>
      </c>
      <c r="AN2067">
        <v>1.00000000976068</v>
      </c>
    </row>
    <row r="2068" spans="1:40" x14ac:dyDescent="0.25">
      <c r="A2068" t="str">
        <f>"20190312151026142"</f>
        <v>20190312151026142</v>
      </c>
      <c r="B2068" t="str">
        <f>"1552374626133308"</f>
        <v>1552374626133308</v>
      </c>
      <c r="C2068" t="s">
        <v>40</v>
      </c>
      <c r="D2068">
        <v>4.960108</v>
      </c>
      <c r="E2068">
        <v>0.51567050000000003</v>
      </c>
      <c r="F2068" t="s">
        <v>52</v>
      </c>
      <c r="G2068">
        <v>-368.28269999999998</v>
      </c>
      <c r="H2068" s="1">
        <v>2.8708250000000002E-6</v>
      </c>
      <c r="I2068">
        <v>284.7946</v>
      </c>
      <c r="J2068">
        <v>-295.30110000000002</v>
      </c>
      <c r="K2068">
        <v>1.109639</v>
      </c>
      <c r="L2068">
        <v>282.99849999999998</v>
      </c>
      <c r="M2068">
        <v>-0.99989070000000002</v>
      </c>
      <c r="N2068">
        <v>0</v>
      </c>
      <c r="O2068">
        <v>-1.0952399999999999E-2</v>
      </c>
      <c r="P2068">
        <v>-0.99963500000000005</v>
      </c>
      <c r="Q2068">
        <v>2.1640409999999999E-2</v>
      </c>
      <c r="R2068">
        <v>-1.618284E-2</v>
      </c>
      <c r="S2068">
        <v>-3.0032960000000002</v>
      </c>
      <c r="T2068">
        <v>-4.5431140000000002E-2</v>
      </c>
      <c r="U2068">
        <v>7.3364260000000001E-2</v>
      </c>
      <c r="V2068">
        <v>-5.2557389999999997E-3</v>
      </c>
      <c r="W2068">
        <v>3.1579799999999998E-2</v>
      </c>
      <c r="X2068">
        <v>0.99948740000000003</v>
      </c>
      <c r="Y2068">
        <v>3.5363539999999999E-2</v>
      </c>
      <c r="Z2068">
        <v>4.3307369999999999E-4</v>
      </c>
      <c r="AA2068">
        <v>0.9993744</v>
      </c>
      <c r="AB2068">
        <v>38</v>
      </c>
      <c r="AC2068">
        <v>-72.981599999999901</v>
      </c>
      <c r="AD2068">
        <v>-1.1096361291750001</v>
      </c>
      <c r="AE2068">
        <v>1.79610000000002</v>
      </c>
      <c r="AF2068">
        <v>2.5947558883883302</v>
      </c>
      <c r="AG2068">
        <v>-1.1096361291750001</v>
      </c>
      <c r="AH2068">
        <v>72.940697995775807</v>
      </c>
      <c r="AI2068">
        <v>90.871014186159897</v>
      </c>
      <c r="AJ2068">
        <v>87.962647727975593</v>
      </c>
      <c r="AK2068">
        <v>72.995270220545606</v>
      </c>
      <c r="AL2068">
        <v>88.190309833557805</v>
      </c>
      <c r="AM2068">
        <v>90.301283325256904</v>
      </c>
      <c r="AN2068">
        <v>0.99999998465961704</v>
      </c>
    </row>
    <row r="2069" spans="1:40" x14ac:dyDescent="0.25">
      <c r="A2069" t="str">
        <f>"20190312151026164"</f>
        <v>20190312151026164</v>
      </c>
      <c r="B2069" t="str">
        <f>"1552374626152809"</f>
        <v>1552374626152809</v>
      </c>
      <c r="C2069" t="s">
        <v>40</v>
      </c>
      <c r="D2069">
        <v>5.1251939999999996</v>
      </c>
      <c r="E2069">
        <v>0.51541840000000005</v>
      </c>
      <c r="F2069" t="s">
        <v>52</v>
      </c>
      <c r="G2069">
        <v>-367.0145</v>
      </c>
      <c r="H2069" s="1">
        <v>2.1959980000000002E-6</v>
      </c>
      <c r="I2069">
        <v>284.74520000000001</v>
      </c>
      <c r="J2069">
        <v>-295.68329999999997</v>
      </c>
      <c r="K2069">
        <v>1.109613</v>
      </c>
      <c r="L2069">
        <v>282.9941</v>
      </c>
      <c r="M2069">
        <v>-0.99988770000000005</v>
      </c>
      <c r="N2069">
        <v>0</v>
      </c>
      <c r="O2069">
        <v>-1.119669E-2</v>
      </c>
      <c r="P2069">
        <v>-0.99962280000000003</v>
      </c>
      <c r="Q2069">
        <v>2.241895E-2</v>
      </c>
      <c r="R2069">
        <v>-1.5872560000000001E-2</v>
      </c>
      <c r="S2069">
        <v>-3.0032960000000002</v>
      </c>
      <c r="T2069">
        <v>-4.6470640000000001E-2</v>
      </c>
      <c r="U2069">
        <v>7.3150629999999994E-2</v>
      </c>
      <c r="V2069">
        <v>-4.7003890000000001E-3</v>
      </c>
      <c r="W2069">
        <v>3.2369509999999997E-2</v>
      </c>
      <c r="X2069">
        <v>0.99946489999999999</v>
      </c>
      <c r="Y2069">
        <v>3.5536369999999998E-2</v>
      </c>
      <c r="Z2069">
        <v>4.4809830000000001E-4</v>
      </c>
      <c r="AA2069">
        <v>0.99936829999999999</v>
      </c>
      <c r="AB2069">
        <v>38</v>
      </c>
      <c r="AC2069">
        <v>-71.331199999999995</v>
      </c>
      <c r="AD2069">
        <v>-1.1096108040020001</v>
      </c>
      <c r="AE2069">
        <v>1.7511000000000001</v>
      </c>
      <c r="AF2069">
        <v>2.54908672054782</v>
      </c>
      <c r="AG2069">
        <v>-1.1096108040020001</v>
      </c>
      <c r="AH2069">
        <v>71.289880223293295</v>
      </c>
      <c r="AI2069">
        <v>90.891154384010306</v>
      </c>
      <c r="AJ2069">
        <v>87.9521677737484</v>
      </c>
      <c r="AK2069">
        <v>71.3440684394767</v>
      </c>
      <c r="AL2069">
        <v>88.145039630231494</v>
      </c>
      <c r="AM2069">
        <v>90.269454651490094</v>
      </c>
      <c r="AN2069">
        <v>0.9999999825832</v>
      </c>
    </row>
    <row r="2070" spans="1:40" x14ac:dyDescent="0.25">
      <c r="A2070" t="str">
        <f>"20190312151026186"</f>
        <v>20190312151026186</v>
      </c>
      <c r="B2070" t="str">
        <f>"1552374626183066"</f>
        <v>1552374626183066</v>
      </c>
      <c r="C2070" t="s">
        <v>40</v>
      </c>
      <c r="D2070">
        <v>4.9826930000000003</v>
      </c>
      <c r="E2070">
        <v>0.49775770000000003</v>
      </c>
      <c r="F2070" t="s">
        <v>52</v>
      </c>
      <c r="G2070">
        <v>-369.44330000000002</v>
      </c>
      <c r="H2070" s="1">
        <v>3.488471E-6</v>
      </c>
      <c r="I2070">
        <v>284.76440000000002</v>
      </c>
      <c r="J2070">
        <v>-296.05200000000002</v>
      </c>
      <c r="K2070">
        <v>1.1095999999999999</v>
      </c>
      <c r="L2070">
        <v>282.9898</v>
      </c>
      <c r="M2070">
        <v>-0.99988509999999997</v>
      </c>
      <c r="N2070">
        <v>0</v>
      </c>
      <c r="O2070">
        <v>-1.141909E-2</v>
      </c>
      <c r="P2070">
        <v>-0.99962660000000003</v>
      </c>
      <c r="Q2070">
        <v>2.2505020000000001E-2</v>
      </c>
      <c r="R2070">
        <v>-1.5491909999999999E-2</v>
      </c>
      <c r="S2070">
        <v>-3.0032960000000002</v>
      </c>
      <c r="T2070">
        <v>-4.5180079999999997E-2</v>
      </c>
      <c r="U2070">
        <v>7.2082519999999997E-2</v>
      </c>
      <c r="V2070">
        <v>-4.096545E-3</v>
      </c>
      <c r="W2070">
        <v>3.2464340000000001E-2</v>
      </c>
      <c r="X2070">
        <v>0.99946449999999998</v>
      </c>
      <c r="Y2070">
        <v>3.5403740000000003E-2</v>
      </c>
      <c r="Z2070">
        <v>4.3800510000000003E-4</v>
      </c>
      <c r="AA2070">
        <v>0.99937299999999996</v>
      </c>
      <c r="AB2070">
        <v>38</v>
      </c>
      <c r="AC2070">
        <v>-73.391300000000001</v>
      </c>
      <c r="AD2070">
        <v>-1.1095965115290001</v>
      </c>
      <c r="AE2070">
        <v>1.7746000000000199</v>
      </c>
      <c r="AF2070">
        <v>2.6119910918329099</v>
      </c>
      <c r="AG2070">
        <v>-1.1095965115290001</v>
      </c>
      <c r="AH2070">
        <v>73.349492555099602</v>
      </c>
      <c r="AI2070">
        <v>90.866128503675995</v>
      </c>
      <c r="AJ2070">
        <v>87.960546834365104</v>
      </c>
      <c r="AK2070">
        <v>73.4043715317611</v>
      </c>
      <c r="AL2070">
        <v>88.139603448370295</v>
      </c>
      <c r="AM2070">
        <v>90.234839181103496</v>
      </c>
      <c r="AN2070">
        <v>1.0000000009064101</v>
      </c>
    </row>
    <row r="2071" spans="1:40" x14ac:dyDescent="0.25">
      <c r="A2071" t="str">
        <f>"20190312151026209"</f>
        <v>20190312151026209</v>
      </c>
      <c r="B2071" t="str">
        <f>"1552374626202590"</f>
        <v>1552374626202590</v>
      </c>
      <c r="C2071" t="s">
        <v>40</v>
      </c>
      <c r="D2071">
        <v>5.180688</v>
      </c>
      <c r="E2071">
        <v>0.49763829999999998</v>
      </c>
      <c r="F2071" t="s">
        <v>52</v>
      </c>
      <c r="G2071">
        <v>-361.91539999999998</v>
      </c>
      <c r="H2071" s="1">
        <v>-5.1750020000000001E-7</v>
      </c>
      <c r="I2071">
        <v>281.49959999999999</v>
      </c>
      <c r="J2071">
        <v>-296.43599999999998</v>
      </c>
      <c r="K2071">
        <v>1.1095889999999999</v>
      </c>
      <c r="L2071">
        <v>282.98520000000002</v>
      </c>
      <c r="M2071">
        <v>-0.99988259999999995</v>
      </c>
      <c r="N2071">
        <v>0</v>
      </c>
      <c r="O2071">
        <v>-1.164077E-2</v>
      </c>
      <c r="P2071">
        <v>-0.99962989999999996</v>
      </c>
      <c r="Q2071">
        <v>2.2898519999999999E-2</v>
      </c>
      <c r="R2071">
        <v>-1.469434E-2</v>
      </c>
      <c r="S2071">
        <v>-3.0012210000000001</v>
      </c>
      <c r="T2071">
        <v>-5.0561549999999997E-2</v>
      </c>
      <c r="U2071">
        <v>-6.7901610000000001E-2</v>
      </c>
      <c r="V2071">
        <v>-3.0766190000000001E-3</v>
      </c>
      <c r="W2071">
        <v>3.2859430000000002E-2</v>
      </c>
      <c r="X2071">
        <v>0.99945530000000005</v>
      </c>
      <c r="Y2071">
        <v>-1.097907E-2</v>
      </c>
      <c r="Z2071">
        <v>1.036093E-4</v>
      </c>
      <c r="AA2071">
        <v>0.99993969999999999</v>
      </c>
      <c r="AB2071">
        <v>38</v>
      </c>
      <c r="AC2071">
        <v>-65.479399999999998</v>
      </c>
      <c r="AD2071">
        <v>-1.1095895175002</v>
      </c>
      <c r="AE2071">
        <v>-1.48560000000003</v>
      </c>
      <c r="AF2071">
        <v>-0.72302334458134698</v>
      </c>
      <c r="AG2071">
        <v>-1.1095895175002</v>
      </c>
      <c r="AH2071">
        <v>65.473466006015101</v>
      </c>
      <c r="AI2071">
        <v>90.970848802932196</v>
      </c>
      <c r="AJ2071">
        <v>90.6326914525837</v>
      </c>
      <c r="AK2071">
        <v>65.486859006177596</v>
      </c>
      <c r="AL2071">
        <v>88.116954471133894</v>
      </c>
      <c r="AM2071">
        <v>90.176372797339994</v>
      </c>
      <c r="AN2071">
        <v>1.00000005221124</v>
      </c>
    </row>
    <row r="2072" spans="1:40" x14ac:dyDescent="0.25">
      <c r="A2072" t="str">
        <f>"20190312151026232"</f>
        <v>20190312151026232</v>
      </c>
      <c r="B2072" t="str">
        <f>"1552374626223081"</f>
        <v>1552374626223081</v>
      </c>
      <c r="C2072" t="s">
        <v>40</v>
      </c>
      <c r="D2072">
        <v>5.0327929999999999</v>
      </c>
      <c r="E2072">
        <v>0.49772860000000002</v>
      </c>
      <c r="F2072" t="s">
        <v>52</v>
      </c>
      <c r="G2072">
        <v>-347.89949999999999</v>
      </c>
      <c r="H2072" s="1">
        <v>2.666915E-6</v>
      </c>
      <c r="I2072">
        <v>281.8356</v>
      </c>
      <c r="J2072">
        <v>-296.83640000000003</v>
      </c>
      <c r="K2072">
        <v>1.1095759999999999</v>
      </c>
      <c r="L2072">
        <v>282.9803</v>
      </c>
      <c r="M2072">
        <v>-0.99988010000000005</v>
      </c>
      <c r="N2072">
        <v>0</v>
      </c>
      <c r="O2072">
        <v>-1.186458E-2</v>
      </c>
      <c r="P2072">
        <v>-0.99963489999999999</v>
      </c>
      <c r="Q2072">
        <v>2.3019049999999999E-2</v>
      </c>
      <c r="R2072">
        <v>-1.417067E-2</v>
      </c>
      <c r="S2072">
        <v>-3.0015869999999998</v>
      </c>
      <c r="T2072">
        <v>-6.4716220000000005E-2</v>
      </c>
      <c r="U2072">
        <v>-6.7047120000000002E-2</v>
      </c>
      <c r="V2072">
        <v>-2.3279059999999998E-3</v>
      </c>
      <c r="W2072">
        <v>3.2975240000000003E-2</v>
      </c>
      <c r="X2072">
        <v>0.99945349999999999</v>
      </c>
      <c r="Y2072">
        <v>-1.046819E-2</v>
      </c>
      <c r="Z2072">
        <v>1.4292299999999999E-4</v>
      </c>
      <c r="AA2072">
        <v>0.99994519999999998</v>
      </c>
      <c r="AB2072">
        <v>38</v>
      </c>
      <c r="AC2072">
        <v>-51.063099999999899</v>
      </c>
      <c r="AD2072">
        <v>-1.1095733330849999</v>
      </c>
      <c r="AE2072">
        <v>-1.1447000000000001</v>
      </c>
      <c r="AF2072">
        <v>-0.53849305666362102</v>
      </c>
      <c r="AG2072">
        <v>-1.1095733330849999</v>
      </c>
      <c r="AH2072">
        <v>51.048995885623597</v>
      </c>
      <c r="AI2072">
        <v>91.245084733713696</v>
      </c>
      <c r="AJ2072">
        <v>90.604365171398499</v>
      </c>
      <c r="AK2072">
        <v>51.063892416109297</v>
      </c>
      <c r="AL2072">
        <v>88.110315430361894</v>
      </c>
      <c r="AM2072">
        <v>90.1334518791585</v>
      </c>
      <c r="AN2072">
        <v>1.0000000421308199</v>
      </c>
    </row>
    <row r="2073" spans="1:40" x14ac:dyDescent="0.25">
      <c r="A2073" t="str">
        <f>"20190312151026255"</f>
        <v>20190312151026255</v>
      </c>
      <c r="B2073" t="str">
        <f>"1552374626242602"</f>
        <v>1552374626242602</v>
      </c>
      <c r="C2073" t="s">
        <v>40</v>
      </c>
      <c r="D2073">
        <v>5.0261959999999997</v>
      </c>
      <c r="E2073">
        <v>0.4977336</v>
      </c>
      <c r="F2073" t="s">
        <v>52</v>
      </c>
      <c r="G2073">
        <v>-345.21960000000001</v>
      </c>
      <c r="H2073" s="1">
        <v>1.24083E-6</v>
      </c>
      <c r="I2073">
        <v>281.93400000000003</v>
      </c>
      <c r="J2073">
        <v>-297.2183</v>
      </c>
      <c r="K2073">
        <v>1.1095649999999999</v>
      </c>
      <c r="L2073">
        <v>282.97559999999999</v>
      </c>
      <c r="M2073">
        <v>-0.99987769999999998</v>
      </c>
      <c r="N2073">
        <v>0</v>
      </c>
      <c r="O2073">
        <v>-1.207315E-2</v>
      </c>
      <c r="P2073">
        <v>-0.99962689999999998</v>
      </c>
      <c r="Q2073">
        <v>2.3371099999999999E-2</v>
      </c>
      <c r="R2073">
        <v>-1.41466E-2</v>
      </c>
      <c r="S2073">
        <v>-3.0017399999999999</v>
      </c>
      <c r="T2073">
        <v>-6.8839070000000002E-2</v>
      </c>
      <c r="U2073">
        <v>-6.4910889999999999E-2</v>
      </c>
      <c r="V2073">
        <v>-2.0948360000000001E-3</v>
      </c>
      <c r="W2073">
        <v>3.3317899999999998E-2</v>
      </c>
      <c r="X2073">
        <v>0.99944259999999996</v>
      </c>
      <c r="Y2073">
        <v>-9.5475330000000004E-3</v>
      </c>
      <c r="Z2073">
        <v>1.6735520000000001E-4</v>
      </c>
      <c r="AA2073">
        <v>0.99995440000000002</v>
      </c>
      <c r="AB2073">
        <v>38</v>
      </c>
      <c r="AC2073">
        <v>-48.001300000000001</v>
      </c>
      <c r="AD2073">
        <v>-1.1095637591699901</v>
      </c>
      <c r="AE2073">
        <v>-1.0415999999999599</v>
      </c>
      <c r="AF2073">
        <v>-0.46172195508396002</v>
      </c>
      <c r="AG2073">
        <v>-1.1095637591699901</v>
      </c>
      <c r="AH2073">
        <v>47.984750210084002</v>
      </c>
      <c r="AI2073">
        <v>91.3245677429328</v>
      </c>
      <c r="AJ2073">
        <v>90.551298127038905</v>
      </c>
      <c r="AK2073">
        <v>47.999797620652799</v>
      </c>
      <c r="AL2073">
        <v>88.090671566919596</v>
      </c>
      <c r="AM2073">
        <v>90.120092025100902</v>
      </c>
      <c r="AN2073">
        <v>0.99999999074651802</v>
      </c>
    </row>
    <row r="2074" spans="1:40" x14ac:dyDescent="0.25">
      <c r="A2074" t="str">
        <f>"20190312151026299"</f>
        <v>20190312151026299</v>
      </c>
      <c r="B2074" t="str">
        <f>"1552374626292378"</f>
        <v>1552374626292378</v>
      </c>
      <c r="C2074" t="s">
        <v>40</v>
      </c>
      <c r="D2074">
        <v>5.0055579999999997</v>
      </c>
      <c r="E2074">
        <v>0.4975694</v>
      </c>
      <c r="F2074" t="s">
        <v>52</v>
      </c>
      <c r="G2074">
        <v>-344.38639999999998</v>
      </c>
      <c r="H2074" s="1">
        <v>7.9746180000000001E-7</v>
      </c>
      <c r="I2074">
        <v>281.95280000000002</v>
      </c>
      <c r="J2074">
        <v>-297.971</v>
      </c>
      <c r="K2074">
        <v>1.109542</v>
      </c>
      <c r="L2074">
        <v>282.96609999999998</v>
      </c>
      <c r="M2074">
        <v>-0.99987300000000001</v>
      </c>
      <c r="N2074">
        <v>0</v>
      </c>
      <c r="O2074">
        <v>-1.247231E-2</v>
      </c>
      <c r="P2074">
        <v>-0.99961219999999995</v>
      </c>
      <c r="Q2074">
        <v>2.3962569999999999E-2</v>
      </c>
      <c r="R2074">
        <v>-1.4197349999999999E-2</v>
      </c>
      <c r="S2074">
        <v>-3.0018919999999998</v>
      </c>
      <c r="T2074">
        <v>-7.0615289999999997E-2</v>
      </c>
      <c r="U2074">
        <v>-6.5093990000000004E-2</v>
      </c>
      <c r="V2074">
        <v>-1.745475E-3</v>
      </c>
      <c r="W2074">
        <v>3.3892169999999999E-2</v>
      </c>
      <c r="X2074">
        <v>0.99942399999999998</v>
      </c>
      <c r="Y2074">
        <v>-9.2084460000000003E-3</v>
      </c>
      <c r="Z2074">
        <v>1.850373E-4</v>
      </c>
      <c r="AA2074">
        <v>0.9999576</v>
      </c>
      <c r="AB2074">
        <v>38</v>
      </c>
      <c r="AC2074">
        <v>-46.415399999999899</v>
      </c>
      <c r="AD2074">
        <v>-1.1095412025382001</v>
      </c>
      <c r="AE2074">
        <v>-1.0132999999999499</v>
      </c>
      <c r="AF2074">
        <v>-0.43403752249673999</v>
      </c>
      <c r="AG2074">
        <v>-1.1095412025382001</v>
      </c>
      <c r="AH2074">
        <v>46.3979276470127</v>
      </c>
      <c r="AI2074">
        <v>91.369827006532105</v>
      </c>
      <c r="AJ2074">
        <v>90.535967748440697</v>
      </c>
      <c r="AK2074">
        <v>46.413221825127501</v>
      </c>
      <c r="AL2074">
        <v>88.057749798299398</v>
      </c>
      <c r="AM2074">
        <v>90.100065887015006</v>
      </c>
      <c r="AN2074">
        <v>1.0000000288231401</v>
      </c>
    </row>
    <row r="2075" spans="1:40" x14ac:dyDescent="0.25">
      <c r="A2075" t="str">
        <f>"20190312151026320"</f>
        <v>20190312151026320</v>
      </c>
      <c r="B2075" t="str">
        <f>"1552374626312874"</f>
        <v>1552374626312874</v>
      </c>
      <c r="C2075" t="s">
        <v>40</v>
      </c>
      <c r="D2075">
        <v>5.0338580000000004</v>
      </c>
      <c r="E2075">
        <v>0.49761440000000001</v>
      </c>
      <c r="F2075" t="s">
        <v>52</v>
      </c>
      <c r="G2075">
        <v>-343.89299999999997</v>
      </c>
      <c r="H2075" s="1">
        <v>5.3487819999999996E-7</v>
      </c>
      <c r="I2075">
        <v>281.94420000000002</v>
      </c>
      <c r="J2075">
        <v>-298.33539999999999</v>
      </c>
      <c r="K2075">
        <v>1.109534</v>
      </c>
      <c r="L2075">
        <v>282.96140000000003</v>
      </c>
      <c r="M2075">
        <v>-0.9998707</v>
      </c>
      <c r="N2075">
        <v>0</v>
      </c>
      <c r="O2075">
        <v>-1.2654550000000001E-2</v>
      </c>
      <c r="P2075">
        <v>-0.99961270000000002</v>
      </c>
      <c r="Q2075">
        <v>2.3929889999999999E-2</v>
      </c>
      <c r="R2075">
        <v>-1.420803E-2</v>
      </c>
      <c r="S2075">
        <v>-3.0019529999999999</v>
      </c>
      <c r="T2075">
        <v>-7.2531460000000006E-2</v>
      </c>
      <c r="U2075">
        <v>-6.6802979999999998E-2</v>
      </c>
      <c r="V2075">
        <v>-1.5734379999999999E-3</v>
      </c>
      <c r="W2075">
        <v>3.3852609999999998E-2</v>
      </c>
      <c r="X2075">
        <v>0.99942560000000003</v>
      </c>
      <c r="Y2075">
        <v>-9.5947380000000002E-3</v>
      </c>
      <c r="Z2075">
        <v>1.8978760000000001E-4</v>
      </c>
      <c r="AA2075">
        <v>0.99995389999999995</v>
      </c>
      <c r="AB2075">
        <v>38</v>
      </c>
      <c r="AC2075">
        <v>-45.557600000000001</v>
      </c>
      <c r="AD2075">
        <v>-1.1095334651218001</v>
      </c>
      <c r="AE2075">
        <v>-1.0172000000000001</v>
      </c>
      <c r="AF2075">
        <v>-0.44031819469312</v>
      </c>
      <c r="AG2075">
        <v>-1.1095334651218001</v>
      </c>
      <c r="AH2075">
        <v>45.539826440562102</v>
      </c>
      <c r="AI2075">
        <v>91.395614472533495</v>
      </c>
      <c r="AJ2075">
        <v>90.553967593662705</v>
      </c>
      <c r="AK2075">
        <v>45.555468792004802</v>
      </c>
      <c r="AL2075">
        <v>88.060017669447703</v>
      </c>
      <c r="AM2075">
        <v>90.090203094901597</v>
      </c>
      <c r="AN2075">
        <v>1.0000000024231499</v>
      </c>
    </row>
    <row r="2076" spans="1:40" x14ac:dyDescent="0.25">
      <c r="A2076" t="str">
        <f>"20190312151026343"</f>
        <v>20190312151026343</v>
      </c>
      <c r="B2076" t="str">
        <f>"1552374626332394"</f>
        <v>1552374626332394</v>
      </c>
      <c r="C2076" t="s">
        <v>40</v>
      </c>
      <c r="D2076">
        <v>4.9784730000000001</v>
      </c>
      <c r="E2076">
        <v>0.4976757</v>
      </c>
      <c r="F2076" t="s">
        <v>52</v>
      </c>
      <c r="G2076">
        <v>-342.15469999999999</v>
      </c>
      <c r="H2076" s="1">
        <v>-3.9015199999999999E-7</v>
      </c>
      <c r="I2076">
        <v>281.99160000000001</v>
      </c>
      <c r="J2076">
        <v>-298.72730000000001</v>
      </c>
      <c r="K2076">
        <v>1.1095170000000001</v>
      </c>
      <c r="L2076">
        <v>282.9563</v>
      </c>
      <c r="M2076">
        <v>-0.99986830000000004</v>
      </c>
      <c r="N2076">
        <v>0</v>
      </c>
      <c r="O2076">
        <v>-1.284105E-2</v>
      </c>
      <c r="P2076">
        <v>-0.99960550000000004</v>
      </c>
      <c r="Q2076">
        <v>2.4174350000000001E-2</v>
      </c>
      <c r="R2076">
        <v>-1.4294650000000001E-2</v>
      </c>
      <c r="S2076">
        <v>-3.0020449999999999</v>
      </c>
      <c r="T2076">
        <v>-7.6013800000000006E-2</v>
      </c>
      <c r="U2076">
        <v>-6.6436770000000006E-2</v>
      </c>
      <c r="V2076">
        <v>-1.4728720000000001E-3</v>
      </c>
      <c r="W2076">
        <v>3.4089460000000002E-2</v>
      </c>
      <c r="X2076">
        <v>0.99941769999999996</v>
      </c>
      <c r="Y2076">
        <v>-9.2858660000000003E-3</v>
      </c>
      <c r="Z2076">
        <v>2.075209E-4</v>
      </c>
      <c r="AA2076">
        <v>0.99995679999999998</v>
      </c>
      <c r="AB2076">
        <v>38</v>
      </c>
      <c r="AC2076">
        <v>-43.427399999999899</v>
      </c>
      <c r="AD2076">
        <v>-1.1095173901519999</v>
      </c>
      <c r="AE2076">
        <v>-0.96469999999999301</v>
      </c>
      <c r="AF2076">
        <v>-0.40667425265746399</v>
      </c>
      <c r="AG2076">
        <v>-1.1095173901519999</v>
      </c>
      <c r="AH2076">
        <v>43.407887331314498</v>
      </c>
      <c r="AI2076">
        <v>91.464112654913905</v>
      </c>
      <c r="AJ2076">
        <v>90.5367696532888</v>
      </c>
      <c r="AK2076">
        <v>43.423969134049898</v>
      </c>
      <c r="AL2076">
        <v>88.046439321873095</v>
      </c>
      <c r="AM2076">
        <v>90.084438456781896</v>
      </c>
      <c r="AN2076">
        <v>0.999999999854155</v>
      </c>
    </row>
    <row r="2077" spans="1:40" x14ac:dyDescent="0.25">
      <c r="A2077" t="str">
        <f>"20190312151026365"</f>
        <v>20190312151026365</v>
      </c>
      <c r="B2077" t="str">
        <f>"1552374626362649"</f>
        <v>1552374626362649</v>
      </c>
      <c r="C2077" t="s">
        <v>40</v>
      </c>
      <c r="D2077">
        <v>5.0591059999999999</v>
      </c>
      <c r="E2077">
        <v>0.49752289999999999</v>
      </c>
      <c r="F2077" t="s">
        <v>52</v>
      </c>
      <c r="G2077">
        <v>-341.52159999999998</v>
      </c>
      <c r="H2077" s="1">
        <v>-7.2708919999999904E-7</v>
      </c>
      <c r="I2077">
        <v>282.00959999999998</v>
      </c>
      <c r="J2077">
        <v>-299.1105</v>
      </c>
      <c r="K2077">
        <v>1.1095029999999999</v>
      </c>
      <c r="L2077">
        <v>282.95119999999997</v>
      </c>
      <c r="M2077">
        <v>-0.99986640000000004</v>
      </c>
      <c r="N2077">
        <v>0</v>
      </c>
      <c r="O2077">
        <v>-1.3009160000000001E-2</v>
      </c>
      <c r="P2077">
        <v>-0.9995967</v>
      </c>
      <c r="Q2077">
        <v>2.464394E-2</v>
      </c>
      <c r="R2077">
        <v>-1.4122869999999999E-2</v>
      </c>
      <c r="S2077">
        <v>-3.002075</v>
      </c>
      <c r="T2077">
        <v>-7.7834130000000001E-2</v>
      </c>
      <c r="U2077">
        <v>-6.640625E-2</v>
      </c>
      <c r="V2077">
        <v>-1.132114E-3</v>
      </c>
      <c r="W2077">
        <v>3.4548860000000001E-2</v>
      </c>
      <c r="X2077">
        <v>0.99940229999999997</v>
      </c>
      <c r="Y2077">
        <v>-9.1075319999999998E-3</v>
      </c>
      <c r="Z2077">
        <v>2.1915469999999999E-4</v>
      </c>
      <c r="AA2077">
        <v>0.99995849999999997</v>
      </c>
      <c r="AB2077">
        <v>38</v>
      </c>
      <c r="AC2077">
        <v>-42.411099999999898</v>
      </c>
      <c r="AD2077">
        <v>-1.1095037270892001</v>
      </c>
      <c r="AE2077">
        <v>-0.941599999999994</v>
      </c>
      <c r="AF2077">
        <v>-0.38949407303490002</v>
      </c>
      <c r="AG2077">
        <v>-1.1095037270892001</v>
      </c>
      <c r="AH2077">
        <v>42.390763557264997</v>
      </c>
      <c r="AI2077">
        <v>91.499210777108104</v>
      </c>
      <c r="AJ2077">
        <v>90.526429266349396</v>
      </c>
      <c r="AK2077">
        <v>42.407069447455399</v>
      </c>
      <c r="AL2077">
        <v>88.020101990191407</v>
      </c>
      <c r="AM2077">
        <v>90.064904119574507</v>
      </c>
      <c r="AN2077">
        <v>0.99999993132734599</v>
      </c>
    </row>
    <row r="2078" spans="1:40" x14ac:dyDescent="0.25">
      <c r="A2078" t="str">
        <f>"20190312151026388"</f>
        <v>20190312151026388</v>
      </c>
      <c r="B2078" t="str">
        <f>"1552374626383146"</f>
        <v>1552374626383146</v>
      </c>
      <c r="C2078" t="s">
        <v>40</v>
      </c>
      <c r="D2078">
        <v>5.0445140000000004</v>
      </c>
      <c r="E2078">
        <v>0.49757499999999999</v>
      </c>
      <c r="F2078" t="s">
        <v>52</v>
      </c>
      <c r="G2078">
        <v>-341.15660000000003</v>
      </c>
      <c r="H2078" s="1">
        <v>-9.2132609999999999E-7</v>
      </c>
      <c r="I2078">
        <v>282.01100000000002</v>
      </c>
      <c r="J2078">
        <v>-299.48989999999998</v>
      </c>
      <c r="K2078">
        <v>1.1094869999999999</v>
      </c>
      <c r="L2078">
        <v>282.9461</v>
      </c>
      <c r="M2078">
        <v>-0.99986450000000004</v>
      </c>
      <c r="N2078">
        <v>0</v>
      </c>
      <c r="O2078">
        <v>-1.3155399999999999E-2</v>
      </c>
      <c r="P2078">
        <v>-0.99959120000000001</v>
      </c>
      <c r="Q2078">
        <v>2.4981969999999999E-2</v>
      </c>
      <c r="R2078">
        <v>-1.3917580000000001E-2</v>
      </c>
      <c r="S2078">
        <v>-3.0022280000000001</v>
      </c>
      <c r="T2078">
        <v>-7.9222199999999895E-2</v>
      </c>
      <c r="U2078">
        <v>-6.7138669999999998E-2</v>
      </c>
      <c r="V2078">
        <v>-7.7945640000000001E-4</v>
      </c>
      <c r="W2078">
        <v>3.4875299999999998E-2</v>
      </c>
      <c r="X2078">
        <v>0.99939140000000004</v>
      </c>
      <c r="Y2078">
        <v>-9.2040490000000006E-3</v>
      </c>
      <c r="Z2078">
        <v>2.2563410000000001E-4</v>
      </c>
      <c r="AA2078">
        <v>0.9999576</v>
      </c>
      <c r="AB2078">
        <v>38</v>
      </c>
      <c r="AC2078">
        <v>-41.666699999999999</v>
      </c>
      <c r="AD2078">
        <v>-1.1094879213261</v>
      </c>
      <c r="AE2078">
        <v>-0.93510000000003402</v>
      </c>
      <c r="AF2078">
        <v>-0.38657617125877902</v>
      </c>
      <c r="AG2078">
        <v>-1.1094879213261</v>
      </c>
      <c r="AH2078">
        <v>41.645882719231601</v>
      </c>
      <c r="AI2078">
        <v>91.525990129052602</v>
      </c>
      <c r="AJ2078">
        <v>90.531830411696404</v>
      </c>
      <c r="AK2078">
        <v>41.662452544800502</v>
      </c>
      <c r="AL2078">
        <v>88.001387277876105</v>
      </c>
      <c r="AM2078">
        <v>90.044686749334701</v>
      </c>
      <c r="AN2078">
        <v>1.0000000322481599</v>
      </c>
    </row>
    <row r="2079" spans="1:40" x14ac:dyDescent="0.25">
      <c r="A2079" t="str">
        <f>"20190312151026410"</f>
        <v>20190312151026410</v>
      </c>
      <c r="B2079" t="str">
        <f>"1552374626402666"</f>
        <v>1552374626402666</v>
      </c>
      <c r="C2079" t="s">
        <v>40</v>
      </c>
      <c r="D2079">
        <v>5.1883879999999998</v>
      </c>
      <c r="E2079">
        <v>0.497618</v>
      </c>
      <c r="F2079" t="s">
        <v>52</v>
      </c>
      <c r="G2079">
        <v>-342.69639999999998</v>
      </c>
      <c r="H2079" s="1">
        <v>-1.019248E-7</v>
      </c>
      <c r="I2079">
        <v>281.99130000000002</v>
      </c>
      <c r="J2079">
        <v>-299.8732</v>
      </c>
      <c r="K2079">
        <v>1.1094649999999999</v>
      </c>
      <c r="L2079">
        <v>282.94099999999997</v>
      </c>
      <c r="M2079">
        <v>-0.9998631</v>
      </c>
      <c r="N2079">
        <v>0</v>
      </c>
      <c r="O2079">
        <v>-1.327654E-2</v>
      </c>
      <c r="P2079">
        <v>-0.99958519999999895</v>
      </c>
      <c r="Q2079">
        <v>2.529116E-2</v>
      </c>
      <c r="R2079">
        <v>-1.379212E-2</v>
      </c>
      <c r="S2079">
        <v>-3.0022280000000001</v>
      </c>
      <c r="T2079">
        <v>-7.709336E-2</v>
      </c>
      <c r="U2079">
        <v>-6.6345210000000002E-2</v>
      </c>
      <c r="V2079">
        <v>-5.3116980000000001E-4</v>
      </c>
      <c r="W2079">
        <v>3.5172660000000001E-2</v>
      </c>
      <c r="X2079">
        <v>0.99938110000000002</v>
      </c>
      <c r="Y2079">
        <v>-8.8188369999999995E-3</v>
      </c>
      <c r="Z2079">
        <v>2.276278E-4</v>
      </c>
      <c r="AA2079">
        <v>0.99996110000000005</v>
      </c>
      <c r="AB2079">
        <v>38</v>
      </c>
      <c r="AC2079">
        <v>-42.8231999999999</v>
      </c>
      <c r="AD2079">
        <v>-1.1094651019248001</v>
      </c>
      <c r="AE2079">
        <v>-0.94969999999995003</v>
      </c>
      <c r="AF2079">
        <v>-0.380789167419056</v>
      </c>
      <c r="AG2079">
        <v>-1.1094651019248001</v>
      </c>
      <c r="AH2079">
        <v>42.803318067015702</v>
      </c>
      <c r="AI2079">
        <v>91.484719569427398</v>
      </c>
      <c r="AJ2079">
        <v>90.509704331747997</v>
      </c>
      <c r="AK2079">
        <v>42.819387556906101</v>
      </c>
      <c r="AL2079">
        <v>87.984339261993796</v>
      </c>
      <c r="AM2079">
        <v>90.030452632012995</v>
      </c>
      <c r="AN2079">
        <v>0.99999999059502098</v>
      </c>
    </row>
    <row r="2080" spans="1:40" x14ac:dyDescent="0.25">
      <c r="A2080" t="str">
        <f>"20190312151026433"</f>
        <v>20190312151026433</v>
      </c>
      <c r="B2080" t="str">
        <f>"1552374626423166"</f>
        <v>1552374626423166</v>
      </c>
      <c r="C2080" t="s">
        <v>40</v>
      </c>
      <c r="D2080">
        <v>5.1276109999999999</v>
      </c>
      <c r="E2080">
        <v>0.4975791</v>
      </c>
      <c r="F2080" t="s">
        <v>52</v>
      </c>
      <c r="G2080">
        <v>-342.82819999999998</v>
      </c>
      <c r="H2080" s="1">
        <v>-3.173903E-8</v>
      </c>
      <c r="I2080">
        <v>282.00229999999999</v>
      </c>
      <c r="J2080">
        <v>-300.26859999999999</v>
      </c>
      <c r="K2080">
        <v>1.1094360000000001</v>
      </c>
      <c r="L2080">
        <v>282.93560000000002</v>
      </c>
      <c r="M2080">
        <v>-0.99986200000000003</v>
      </c>
      <c r="N2080">
        <v>0</v>
      </c>
      <c r="O2080">
        <v>-1.3369489999999999E-2</v>
      </c>
      <c r="P2080">
        <v>-0.99958400000000003</v>
      </c>
      <c r="Q2080">
        <v>2.5439420000000001E-2</v>
      </c>
      <c r="R2080">
        <v>-1.3600249999999999E-2</v>
      </c>
      <c r="S2080">
        <v>-3.002319</v>
      </c>
      <c r="T2080">
        <v>-7.7545520000000007E-2</v>
      </c>
      <c r="U2080">
        <v>-6.5612790000000004E-2</v>
      </c>
      <c r="V2080">
        <v>-2.4429019999999999E-4</v>
      </c>
      <c r="W2080">
        <v>3.5308480000000003E-2</v>
      </c>
      <c r="X2080">
        <v>0.99937640000000005</v>
      </c>
      <c r="Y2080">
        <v>-8.4815489999999997E-3</v>
      </c>
      <c r="Z2080">
        <v>2.3571040000000001E-4</v>
      </c>
      <c r="AA2080">
        <v>0.99996399999999996</v>
      </c>
      <c r="AB2080">
        <v>38</v>
      </c>
      <c r="AC2080">
        <v>-42.559599999999897</v>
      </c>
      <c r="AD2080">
        <v>-1.1094360317390299</v>
      </c>
      <c r="AE2080">
        <v>-0.93330000000003099</v>
      </c>
      <c r="AF2080">
        <v>-0.36394157404960198</v>
      </c>
      <c r="AG2080">
        <v>-1.1094360317390299</v>
      </c>
      <c r="AH2080">
        <v>42.539381244771803</v>
      </c>
      <c r="AI2080">
        <v>91.493892707868198</v>
      </c>
      <c r="AJ2080">
        <v>90.490176557187695</v>
      </c>
      <c r="AK2080">
        <v>42.555402224228601</v>
      </c>
      <c r="AL2080">
        <v>87.976552468057093</v>
      </c>
      <c r="AM2080">
        <v>90.014005531006703</v>
      </c>
      <c r="AN2080">
        <v>0.99999996865728502</v>
      </c>
    </row>
    <row r="2081" spans="1:40" x14ac:dyDescent="0.25">
      <c r="A2081" t="str">
        <f>"20190312151026456"</f>
        <v>20190312151026456</v>
      </c>
      <c r="B2081" t="str">
        <f>"1552374626452443"</f>
        <v>1552374626452443</v>
      </c>
      <c r="C2081" t="s">
        <v>40</v>
      </c>
      <c r="D2081">
        <v>5.0505909999999998</v>
      </c>
      <c r="E2081">
        <v>0.4977009</v>
      </c>
      <c r="F2081" t="s">
        <v>52</v>
      </c>
      <c r="G2081">
        <v>-343.96129999999999</v>
      </c>
      <c r="H2081" s="1">
        <v>5.7121310000000001E-7</v>
      </c>
      <c r="I2081">
        <v>281.98649999999998</v>
      </c>
      <c r="J2081">
        <v>-300.66410000000002</v>
      </c>
      <c r="K2081">
        <v>1.10941</v>
      </c>
      <c r="L2081">
        <v>282.93029999999999</v>
      </c>
      <c r="M2081">
        <v>-0.99986120000000001</v>
      </c>
      <c r="N2081">
        <v>0</v>
      </c>
      <c r="O2081">
        <v>-1.343309E-2</v>
      </c>
      <c r="P2081">
        <v>-0.99958020000000003</v>
      </c>
      <c r="Q2081">
        <v>2.53612E-2</v>
      </c>
      <c r="R2081">
        <v>-1.401939E-2</v>
      </c>
      <c r="S2081">
        <v>-3.0022890000000002</v>
      </c>
      <c r="T2081">
        <v>-7.6233510000000004E-2</v>
      </c>
      <c r="U2081">
        <v>-6.5216060000000006E-2</v>
      </c>
      <c r="V2081">
        <v>-5.9788479999999997E-4</v>
      </c>
      <c r="W2081">
        <v>3.5214120000000002E-2</v>
      </c>
      <c r="X2081">
        <v>0.99937960000000003</v>
      </c>
      <c r="Y2081">
        <v>-8.2861140000000007E-3</v>
      </c>
      <c r="Z2081">
        <v>2.3582139999999999E-4</v>
      </c>
      <c r="AA2081">
        <v>0.99996569999999996</v>
      </c>
      <c r="AB2081">
        <v>38</v>
      </c>
      <c r="AC2081">
        <v>-43.297199999999897</v>
      </c>
      <c r="AD2081">
        <v>-1.1094094287868901</v>
      </c>
      <c r="AE2081">
        <v>-0.94380000000000996</v>
      </c>
      <c r="AF2081">
        <v>-0.36183395392863998</v>
      </c>
      <c r="AG2081">
        <v>-1.1094094287868901</v>
      </c>
      <c r="AH2081">
        <v>43.277571614428901</v>
      </c>
      <c r="AI2081">
        <v>91.468389687003693</v>
      </c>
      <c r="AJ2081">
        <v>90.4790258470792</v>
      </c>
      <c r="AK2081">
        <v>43.293301074564802</v>
      </c>
      <c r="AL2081">
        <v>87.981962301854594</v>
      </c>
      <c r="AM2081">
        <v>90.034277537372304</v>
      </c>
      <c r="AN2081">
        <v>0.99999998830488401</v>
      </c>
    </row>
    <row r="2082" spans="1:40" x14ac:dyDescent="0.25">
      <c r="A2082" t="str">
        <f>"20190312151026476"</f>
        <v>20190312151026476</v>
      </c>
      <c r="B2082" t="str">
        <f>"1552374626472938"</f>
        <v>1552374626472938</v>
      </c>
      <c r="C2082" t="s">
        <v>40</v>
      </c>
      <c r="D2082">
        <v>5.0412160000000004</v>
      </c>
      <c r="E2082">
        <v>0.49765510000000002</v>
      </c>
      <c r="F2082" t="s">
        <v>52</v>
      </c>
      <c r="G2082">
        <v>-345.38670000000002</v>
      </c>
      <c r="H2082" s="1">
        <v>1.32977E-6</v>
      </c>
      <c r="I2082">
        <v>281.95249999999999</v>
      </c>
      <c r="J2082">
        <v>-301.01569999999998</v>
      </c>
      <c r="K2082">
        <v>1.1093869999999999</v>
      </c>
      <c r="L2082">
        <v>282.92559999999997</v>
      </c>
      <c r="M2082">
        <v>-0.99986090000000005</v>
      </c>
      <c r="N2082">
        <v>0</v>
      </c>
      <c r="O2082">
        <v>-1.34696E-2</v>
      </c>
      <c r="P2082">
        <v>-0.99957359999999995</v>
      </c>
      <c r="Q2082">
        <v>2.566131E-2</v>
      </c>
      <c r="R2082">
        <v>-1.3936769999999999E-2</v>
      </c>
      <c r="S2082">
        <v>-3.0022280000000001</v>
      </c>
      <c r="T2082">
        <v>-7.4474449999999998E-2</v>
      </c>
      <c r="U2082">
        <v>-6.5643309999999996E-2</v>
      </c>
      <c r="V2082">
        <v>-4.763619E-4</v>
      </c>
      <c r="W2082">
        <v>3.5500049999999998E-2</v>
      </c>
      <c r="X2082">
        <v>0.99936959999999997</v>
      </c>
      <c r="Y2082">
        <v>-8.3921869999999902E-3</v>
      </c>
      <c r="Z2082">
        <v>2.299759E-4</v>
      </c>
      <c r="AA2082">
        <v>0.99996479999999999</v>
      </c>
      <c r="AB2082">
        <v>38</v>
      </c>
      <c r="AC2082">
        <v>-44.371000000000002</v>
      </c>
      <c r="AD2082">
        <v>-1.10938567023</v>
      </c>
      <c r="AE2082">
        <v>-0.97309999999998797</v>
      </c>
      <c r="AF2082">
        <v>-0.37508881242124198</v>
      </c>
      <c r="AG2082">
        <v>-1.10938567023</v>
      </c>
      <c r="AH2082">
        <v>44.352369777991399</v>
      </c>
      <c r="AI2082">
        <v>91.432789148577996</v>
      </c>
      <c r="AJ2082">
        <v>90.484539916806298</v>
      </c>
      <c r="AK2082">
        <v>44.367827680721497</v>
      </c>
      <c r="AL2082">
        <v>87.965569572685695</v>
      </c>
      <c r="AM2082">
        <v>90.027310741014801</v>
      </c>
      <c r="AN2082">
        <v>1.00000003893741</v>
      </c>
    </row>
    <row r="2083" spans="1:40" x14ac:dyDescent="0.25">
      <c r="A2083" t="str">
        <f>"20190312151026500"</f>
        <v>20190312151026500</v>
      </c>
      <c r="B2083" t="str">
        <f>"1552374626492458"</f>
        <v>1552374626492458</v>
      </c>
      <c r="C2083" t="s">
        <v>40</v>
      </c>
      <c r="D2083">
        <v>5.0547760000000004</v>
      </c>
      <c r="E2083">
        <v>0.49766779999999999</v>
      </c>
      <c r="F2083" t="s">
        <v>52</v>
      </c>
      <c r="G2083">
        <v>-344.82150000000001</v>
      </c>
      <c r="H2083" s="1">
        <v>1.0289800000000001E-6</v>
      </c>
      <c r="I2083">
        <v>281.96379999999999</v>
      </c>
      <c r="J2083">
        <v>-301.41500000000002</v>
      </c>
      <c r="K2083">
        <v>1.1093599999999999</v>
      </c>
      <c r="L2083">
        <v>282.92020000000002</v>
      </c>
      <c r="M2083">
        <v>-0.99986079999999999</v>
      </c>
      <c r="N2083">
        <v>0</v>
      </c>
      <c r="O2083">
        <v>-1.3493130000000001E-2</v>
      </c>
      <c r="P2083">
        <v>-0.99955989999999995</v>
      </c>
      <c r="Q2083">
        <v>2.6155020000000001E-2</v>
      </c>
      <c r="R2083">
        <v>-1.400041E-2</v>
      </c>
      <c r="S2083">
        <v>-3.0022890000000002</v>
      </c>
      <c r="T2083">
        <v>-7.6033229999999993E-2</v>
      </c>
      <c r="U2083">
        <v>-6.5917970000000006E-2</v>
      </c>
      <c r="V2083">
        <v>-5.1542899999999997E-4</v>
      </c>
      <c r="W2083">
        <v>3.597467E-2</v>
      </c>
      <c r="X2083">
        <v>0.99935260000000004</v>
      </c>
      <c r="Y2083">
        <v>-8.4596989999999993E-3</v>
      </c>
      <c r="Z2083">
        <v>2.3452379999999999E-4</v>
      </c>
      <c r="AA2083">
        <v>0.99996419999999997</v>
      </c>
      <c r="AB2083">
        <v>39</v>
      </c>
      <c r="AC2083">
        <v>-43.406500000000001</v>
      </c>
      <c r="AD2083">
        <v>-1.10935897102</v>
      </c>
      <c r="AE2083">
        <v>-0.95640000000003</v>
      </c>
      <c r="AF2083">
        <v>-0.37035337831036202</v>
      </c>
      <c r="AG2083">
        <v>-1.10935897102</v>
      </c>
      <c r="AH2083">
        <v>43.387127529218198</v>
      </c>
      <c r="AI2083">
        <v>91.464614750013794</v>
      </c>
      <c r="AJ2083">
        <v>90.489066028459803</v>
      </c>
      <c r="AK2083">
        <v>43.402887855395697</v>
      </c>
      <c r="AL2083">
        <v>87.938358451907504</v>
      </c>
      <c r="AM2083">
        <v>90.029551035060095</v>
      </c>
      <c r="AN2083">
        <v>1.0000000308377099</v>
      </c>
    </row>
    <row r="2084" spans="1:40" x14ac:dyDescent="0.25">
      <c r="A2084" t="str">
        <f>"20190312151026521"</f>
        <v>20190312151026521</v>
      </c>
      <c r="B2084" t="str">
        <f>"1552374626512954"</f>
        <v>1552374626512954</v>
      </c>
      <c r="C2084" t="s">
        <v>40</v>
      </c>
      <c r="D2084">
        <v>5.0342820000000001</v>
      </c>
      <c r="E2084">
        <v>0.4976621</v>
      </c>
      <c r="F2084" t="s">
        <v>52</v>
      </c>
      <c r="G2084">
        <v>-344.9194</v>
      </c>
      <c r="H2084" s="1">
        <v>1.081079E-6</v>
      </c>
      <c r="I2084">
        <v>281.9624</v>
      </c>
      <c r="J2084">
        <v>-301.79360000000003</v>
      </c>
      <c r="K2084">
        <v>1.1093440000000001</v>
      </c>
      <c r="L2084">
        <v>282.9151</v>
      </c>
      <c r="M2084">
        <v>-0.99986079999999999</v>
      </c>
      <c r="N2084">
        <v>0</v>
      </c>
      <c r="O2084">
        <v>-1.350325E-2</v>
      </c>
      <c r="P2084">
        <v>-0.99955919999999998</v>
      </c>
      <c r="Q2084">
        <v>2.6143900000000001E-2</v>
      </c>
      <c r="R2084">
        <v>-1.4067949999999999E-2</v>
      </c>
      <c r="S2084">
        <v>-3.0024109999999999</v>
      </c>
      <c r="T2084">
        <v>-7.6561210000000005E-2</v>
      </c>
      <c r="U2084">
        <v>-6.6101069999999998E-2</v>
      </c>
      <c r="V2084">
        <v>-5.7213659999999999E-4</v>
      </c>
      <c r="W2084">
        <v>3.5944650000000002E-2</v>
      </c>
      <c r="X2084">
        <v>0.99935359999999995</v>
      </c>
      <c r="Y2084">
        <v>-8.5096530000000007E-3</v>
      </c>
      <c r="Z2084">
        <v>2.35763E-4</v>
      </c>
      <c r="AA2084">
        <v>0.99996379999999996</v>
      </c>
      <c r="AB2084">
        <v>39</v>
      </c>
      <c r="AC2084">
        <v>-43.125799999999899</v>
      </c>
      <c r="AD2084">
        <v>-1.109342918921</v>
      </c>
      <c r="AE2084">
        <v>-0.952699999999992</v>
      </c>
      <c r="AF2084">
        <v>-0.37000199677581602</v>
      </c>
      <c r="AG2084">
        <v>-1.109342918921</v>
      </c>
      <c r="AH2084">
        <v>43.1062236528686</v>
      </c>
      <c r="AI2084">
        <v>91.474132868013697</v>
      </c>
      <c r="AJ2084">
        <v>90.491785881896703</v>
      </c>
      <c r="AK2084">
        <v>43.1220832149899</v>
      </c>
      <c r="AL2084">
        <v>87.940079482673497</v>
      </c>
      <c r="AM2084">
        <v>90.032802212253401</v>
      </c>
      <c r="AN2084">
        <v>0.99999998151843505</v>
      </c>
    </row>
    <row r="2085" spans="1:40" x14ac:dyDescent="0.25">
      <c r="A2085" t="str">
        <f>"20190312151026544"</f>
        <v>20190312151026544</v>
      </c>
      <c r="B2085" t="str">
        <f>"1552374626532474"</f>
        <v>1552374626532474</v>
      </c>
      <c r="C2085" t="s">
        <v>40</v>
      </c>
      <c r="D2085">
        <v>5.1293369999999996</v>
      </c>
      <c r="E2085">
        <v>0.49765690000000001</v>
      </c>
      <c r="F2085" t="s">
        <v>52</v>
      </c>
      <c r="G2085">
        <v>-344.71379999999999</v>
      </c>
      <c r="H2085" s="1">
        <v>9.716412000000001E-7</v>
      </c>
      <c r="I2085">
        <v>281.9658</v>
      </c>
      <c r="J2085">
        <v>-302.1875</v>
      </c>
      <c r="K2085">
        <v>1.109334</v>
      </c>
      <c r="L2085">
        <v>282.90969999999999</v>
      </c>
      <c r="M2085">
        <v>-0.99986109999999995</v>
      </c>
      <c r="N2085">
        <v>0</v>
      </c>
      <c r="O2085">
        <v>-1.35047E-2</v>
      </c>
      <c r="P2085">
        <v>-0.99955249999999995</v>
      </c>
      <c r="Q2085">
        <v>2.6547270000000001E-2</v>
      </c>
      <c r="R2085">
        <v>-1.3797200000000001E-2</v>
      </c>
      <c r="S2085">
        <v>-3.0024109999999999</v>
      </c>
      <c r="T2085">
        <v>-7.7602270000000001E-2</v>
      </c>
      <c r="U2085">
        <v>-6.640625E-2</v>
      </c>
      <c r="V2085">
        <v>-2.986048E-4</v>
      </c>
      <c r="W2085">
        <v>3.6328249999999999E-2</v>
      </c>
      <c r="X2085">
        <v>0.99933989999999995</v>
      </c>
      <c r="Y2085">
        <v>-8.6098159999999993E-3</v>
      </c>
      <c r="Z2085">
        <v>2.3771059999999999E-4</v>
      </c>
      <c r="AA2085">
        <v>0.99996289999999999</v>
      </c>
      <c r="AB2085">
        <v>39</v>
      </c>
      <c r="AC2085">
        <v>-42.5262999999999</v>
      </c>
      <c r="AD2085">
        <v>-1.1093330283588001</v>
      </c>
      <c r="AE2085">
        <v>-0.94389999999998497</v>
      </c>
      <c r="AF2085">
        <v>-0.36923046770183598</v>
      </c>
      <c r="AG2085">
        <v>-1.1093330283588001</v>
      </c>
      <c r="AH2085">
        <v>42.506259267451</v>
      </c>
      <c r="AI2085">
        <v>91.494915828495095</v>
      </c>
      <c r="AJ2085">
        <v>90.497687064489497</v>
      </c>
      <c r="AK2085">
        <v>42.522335634556299</v>
      </c>
      <c r="AL2085">
        <v>87.918086564598397</v>
      </c>
      <c r="AM2085">
        <v>90.017120095248004</v>
      </c>
      <c r="AN2085">
        <v>1.0000000333224399</v>
      </c>
    </row>
    <row r="2086" spans="1:40" x14ac:dyDescent="0.25">
      <c r="A2086" t="str">
        <f>"20190312151026555"</f>
        <v>20190312151026555</v>
      </c>
      <c r="B2086" t="str">
        <f>"1552374626542234"</f>
        <v>1552374626542234</v>
      </c>
      <c r="C2086" t="s">
        <v>40</v>
      </c>
      <c r="D2086">
        <v>4.9743500000000003</v>
      </c>
      <c r="E2086">
        <v>0.49768279999999898</v>
      </c>
      <c r="F2086" t="s">
        <v>52</v>
      </c>
      <c r="G2086">
        <v>-345.28750000000002</v>
      </c>
      <c r="H2086" s="1">
        <v>1.276938E-6</v>
      </c>
      <c r="I2086">
        <v>281.9674</v>
      </c>
      <c r="J2086">
        <v>-302.39139999999998</v>
      </c>
      <c r="K2086">
        <v>1.109329</v>
      </c>
      <c r="L2086">
        <v>282.90699999999998</v>
      </c>
      <c r="M2086">
        <v>-0.99986120000000001</v>
      </c>
      <c r="N2086">
        <v>0</v>
      </c>
      <c r="O2086">
        <v>-1.3502439999999999E-2</v>
      </c>
      <c r="P2086">
        <v>-0.99955150000000004</v>
      </c>
      <c r="Q2086">
        <v>2.659042E-2</v>
      </c>
      <c r="R2086">
        <v>-1.3782279999999999E-2</v>
      </c>
      <c r="S2086">
        <v>-3.0025330000000001</v>
      </c>
      <c r="T2086">
        <v>-7.7280999999999905E-2</v>
      </c>
      <c r="U2086">
        <v>-6.5643309999999996E-2</v>
      </c>
      <c r="V2086">
        <v>-2.857383E-4</v>
      </c>
      <c r="W2086">
        <v>3.6361610000000003E-2</v>
      </c>
      <c r="X2086">
        <v>0.99933870000000002</v>
      </c>
      <c r="Y2086">
        <v>-8.3572719999999903E-3</v>
      </c>
      <c r="Z2086">
        <v>2.399092E-4</v>
      </c>
      <c r="AA2086">
        <v>0.99996510000000005</v>
      </c>
      <c r="AB2086">
        <v>39</v>
      </c>
      <c r="AC2086">
        <v>-42.896099999999997</v>
      </c>
      <c r="AD2086">
        <v>-1.109327723062</v>
      </c>
      <c r="AE2086">
        <v>-0.939599999999984</v>
      </c>
      <c r="AF2086">
        <v>-0.36004405342651902</v>
      </c>
      <c r="AG2086">
        <v>-1.109327723062</v>
      </c>
      <c r="AH2086">
        <v>42.876215566399402</v>
      </c>
      <c r="AI2086">
        <v>91.482019338929405</v>
      </c>
      <c r="AJ2086">
        <v>90.481118017690093</v>
      </c>
      <c r="AK2086">
        <v>42.8920750373996</v>
      </c>
      <c r="AL2086">
        <v>87.916173933584304</v>
      </c>
      <c r="AM2086">
        <v>90.016382431891302</v>
      </c>
      <c r="AN2086">
        <v>1.0000000428229201</v>
      </c>
    </row>
    <row r="2087" spans="1:40" x14ac:dyDescent="0.25">
      <c r="A2087" t="str">
        <f>"20190312151026569"</f>
        <v>20190312151026569</v>
      </c>
      <c r="B2087" t="str">
        <f>"1552374626562263"</f>
        <v>1552374626562263</v>
      </c>
      <c r="C2087" t="s">
        <v>40</v>
      </c>
      <c r="D2087">
        <v>5.0569620000000004</v>
      </c>
      <c r="E2087">
        <v>0.49766719999999998</v>
      </c>
      <c r="F2087" t="s">
        <v>52</v>
      </c>
      <c r="G2087">
        <v>-344.20839999999998</v>
      </c>
      <c r="H2087" s="1">
        <v>7.0269489999999999E-7</v>
      </c>
      <c r="I2087">
        <v>281.99279999999999</v>
      </c>
      <c r="J2087">
        <v>-302.61040000000003</v>
      </c>
      <c r="K2087">
        <v>1.1093230000000001</v>
      </c>
      <c r="L2087">
        <v>282.90410000000003</v>
      </c>
      <c r="M2087">
        <v>-0.99986140000000001</v>
      </c>
      <c r="N2087">
        <v>0</v>
      </c>
      <c r="O2087">
        <v>-1.349589E-2</v>
      </c>
      <c r="P2087">
        <v>-0.9995484</v>
      </c>
      <c r="Q2087">
        <v>2.6747819999999999E-2</v>
      </c>
      <c r="R2087">
        <v>-1.3708069999999999E-2</v>
      </c>
      <c r="S2087">
        <v>-3.0025629999999999</v>
      </c>
      <c r="T2087">
        <v>-7.9652669999999995E-2</v>
      </c>
      <c r="U2087">
        <v>-6.5643309999999996E-2</v>
      </c>
      <c r="V2087">
        <v>-2.175945E-4</v>
      </c>
      <c r="W2087">
        <v>3.6509809999999997E-2</v>
      </c>
      <c r="X2087">
        <v>0.99933329999999998</v>
      </c>
      <c r="Y2087">
        <v>-8.3637119999999902E-3</v>
      </c>
      <c r="Z2087">
        <v>2.4700740000000002E-4</v>
      </c>
      <c r="AA2087">
        <v>0.99996499999999999</v>
      </c>
      <c r="AB2087">
        <v>39</v>
      </c>
      <c r="AC2087">
        <v>-41.5979999999999</v>
      </c>
      <c r="AD2087">
        <v>-1.1093222973051</v>
      </c>
      <c r="AE2087">
        <v>-0.91130000000003897</v>
      </c>
      <c r="AF2087">
        <v>-0.34953982287548901</v>
      </c>
      <c r="AG2087">
        <v>-1.1093222973051</v>
      </c>
      <c r="AH2087">
        <v>41.576956639595899</v>
      </c>
      <c r="AI2087">
        <v>91.528302467091606</v>
      </c>
      <c r="AJ2087">
        <v>90.481677506741605</v>
      </c>
      <c r="AK2087">
        <v>41.593221772999499</v>
      </c>
      <c r="AL2087">
        <v>87.907677028613705</v>
      </c>
      <c r="AM2087">
        <v>90.012475563756595</v>
      </c>
      <c r="AN2087">
        <v>1.0000000290312401</v>
      </c>
    </row>
    <row r="2088" spans="1:40" x14ac:dyDescent="0.25">
      <c r="A2088" t="str">
        <f>"20190312151026580"</f>
        <v>20190312151026580</v>
      </c>
      <c r="B2088" t="str">
        <f>"1552374626572999"</f>
        <v>1552374626572999</v>
      </c>
      <c r="C2088" t="s">
        <v>40</v>
      </c>
      <c r="D2088">
        <v>5.0485089999999904</v>
      </c>
      <c r="E2088">
        <v>0.49766169999999998</v>
      </c>
      <c r="F2088" t="s">
        <v>52</v>
      </c>
      <c r="G2088">
        <v>-343.87079999999997</v>
      </c>
      <c r="H2088" s="1">
        <v>5.2307209999999897E-7</v>
      </c>
      <c r="I2088">
        <v>282.00409999999999</v>
      </c>
      <c r="J2088">
        <v>-302.82409999999999</v>
      </c>
      <c r="K2088">
        <v>1.109316</v>
      </c>
      <c r="L2088">
        <v>282.90120000000002</v>
      </c>
      <c r="M2088">
        <v>-0.99986149999999996</v>
      </c>
      <c r="N2088">
        <v>0</v>
      </c>
      <c r="O2088">
        <v>-1.3486700000000001E-2</v>
      </c>
      <c r="P2088">
        <v>-0.9995484</v>
      </c>
      <c r="Q2088">
        <v>2.695738E-2</v>
      </c>
      <c r="R2088">
        <v>-1.327742E-2</v>
      </c>
      <c r="S2088">
        <v>-3.0026250000000001</v>
      </c>
      <c r="T2088">
        <v>-8.0728049999999996E-2</v>
      </c>
      <c r="U2088">
        <v>-6.5490720000000002E-2</v>
      </c>
      <c r="V2088">
        <v>2.043883E-4</v>
      </c>
      <c r="W2088">
        <v>3.6710899999999998E-2</v>
      </c>
      <c r="X2088">
        <v>0.99932589999999999</v>
      </c>
      <c r="Y2088">
        <v>-8.3217180000000005E-3</v>
      </c>
      <c r="Z2088">
        <v>2.5065370000000001E-4</v>
      </c>
      <c r="AA2088">
        <v>0.9999654</v>
      </c>
      <c r="AB2088">
        <v>39</v>
      </c>
      <c r="AC2088">
        <v>-41.046699999999902</v>
      </c>
      <c r="AD2088">
        <v>-1.1093154769278999</v>
      </c>
      <c r="AE2088">
        <v>-0.89710000000002299</v>
      </c>
      <c r="AF2088">
        <v>-0.34315703228945998</v>
      </c>
      <c r="AG2088">
        <v>-1.1093154769278999</v>
      </c>
      <c r="AH2088">
        <v>41.025116007058998</v>
      </c>
      <c r="AI2088">
        <v>91.548841189408094</v>
      </c>
      <c r="AJ2088">
        <v>90.479242791973505</v>
      </c>
      <c r="AK2088">
        <v>41.041545791658699</v>
      </c>
      <c r="AL2088">
        <v>87.896147616091298</v>
      </c>
      <c r="AM2088">
        <v>89.988281513759802</v>
      </c>
      <c r="AN2088">
        <v>0.99999999318209798</v>
      </c>
    </row>
    <row r="2089" spans="1:40" x14ac:dyDescent="0.25">
      <c r="A2089" t="str">
        <f>"20190312151026601"</f>
        <v>20190312151026601</v>
      </c>
      <c r="B2089" t="str">
        <f>"1552374626592519"</f>
        <v>1552374626592519</v>
      </c>
      <c r="C2089" t="s">
        <v>40</v>
      </c>
      <c r="D2089">
        <v>5.26274</v>
      </c>
      <c r="E2089">
        <v>0.49767790000000001</v>
      </c>
      <c r="F2089" t="s">
        <v>52</v>
      </c>
      <c r="G2089">
        <v>-344.3023</v>
      </c>
      <c r="H2089" s="1">
        <v>7.5266459999999897E-7</v>
      </c>
      <c r="I2089">
        <v>282.01420000000002</v>
      </c>
      <c r="J2089">
        <v>-303.16789999999997</v>
      </c>
      <c r="K2089">
        <v>1.109299</v>
      </c>
      <c r="L2089">
        <v>282.8965</v>
      </c>
      <c r="M2089">
        <v>-0.99986200000000003</v>
      </c>
      <c r="N2089">
        <v>0</v>
      </c>
      <c r="O2089">
        <v>-1.3461799999999999E-2</v>
      </c>
      <c r="P2089">
        <v>-0.99953219999999998</v>
      </c>
      <c r="Q2089">
        <v>2.7658840000000001E-2</v>
      </c>
      <c r="R2089">
        <v>-1.3064910000000001E-2</v>
      </c>
      <c r="S2089">
        <v>-3.0026549999999999</v>
      </c>
      <c r="T2089">
        <v>-8.0304739999999999E-2</v>
      </c>
      <c r="U2089">
        <v>-6.4208979999999999E-2</v>
      </c>
      <c r="V2089">
        <v>3.9314770000000002E-4</v>
      </c>
      <c r="W2089">
        <v>3.7398979999999998E-2</v>
      </c>
      <c r="X2089">
        <v>0.99930039999999998</v>
      </c>
      <c r="Y2089">
        <v>-7.9198610000000003E-3</v>
      </c>
      <c r="Z2089">
        <v>2.5404509999999998E-4</v>
      </c>
      <c r="AA2089">
        <v>0.99996859999999999</v>
      </c>
      <c r="AB2089">
        <v>39</v>
      </c>
      <c r="AC2089">
        <v>-41.134399999999999</v>
      </c>
      <c r="AD2089">
        <v>-1.1092982473353901</v>
      </c>
      <c r="AE2089">
        <v>-0.88229999999998598</v>
      </c>
      <c r="AF2089">
        <v>-0.32821215524354103</v>
      </c>
      <c r="AG2089">
        <v>-1.1092982473353901</v>
      </c>
      <c r="AH2089">
        <v>41.1126645834008</v>
      </c>
      <c r="AI2089">
        <v>91.545525386498696</v>
      </c>
      <c r="AJ2089">
        <v>90.457396084360695</v>
      </c>
      <c r="AK2089">
        <v>41.1289369540183</v>
      </c>
      <c r="AL2089">
        <v>87.856696592729307</v>
      </c>
      <c r="AM2089">
        <v>89.977458527212505</v>
      </c>
      <c r="AN2089">
        <v>1.0000000638551501</v>
      </c>
    </row>
    <row r="2090" spans="1:40" x14ac:dyDescent="0.25">
      <c r="A2090" t="str">
        <f>"20190312151026623"</f>
        <v>20190312151026623</v>
      </c>
      <c r="B2090" t="str">
        <f>"1552374626613015"</f>
        <v>1552374626613015</v>
      </c>
      <c r="C2090" t="s">
        <v>40</v>
      </c>
      <c r="D2090">
        <v>4.9675260000000003</v>
      </c>
      <c r="E2090">
        <v>0.49768309999999999</v>
      </c>
      <c r="F2090" t="s">
        <v>52</v>
      </c>
      <c r="G2090">
        <v>-346.18079999999998</v>
      </c>
      <c r="H2090" s="1">
        <v>1.752319E-6</v>
      </c>
      <c r="I2090">
        <v>281.99119999999999</v>
      </c>
      <c r="J2090">
        <v>-303.55950000000001</v>
      </c>
      <c r="K2090">
        <v>1.1092799999999901</v>
      </c>
      <c r="L2090">
        <v>282.89120000000003</v>
      </c>
      <c r="M2090">
        <v>-0.99986269999999999</v>
      </c>
      <c r="N2090">
        <v>0</v>
      </c>
      <c r="O2090">
        <v>-1.3418350000000001E-2</v>
      </c>
      <c r="P2090">
        <v>-0.99952739999999995</v>
      </c>
      <c r="Q2090">
        <v>2.7807780000000001E-2</v>
      </c>
      <c r="R2090">
        <v>-1.311201E-2</v>
      </c>
      <c r="S2090">
        <v>-3.0027159999999999</v>
      </c>
      <c r="T2090">
        <v>-7.7439789999999994E-2</v>
      </c>
      <c r="U2090">
        <v>-6.3201900000000005E-2</v>
      </c>
      <c r="V2090">
        <v>3.0430380000000002E-4</v>
      </c>
      <c r="W2090">
        <v>3.7531920000000003E-2</v>
      </c>
      <c r="X2090">
        <v>0.99929539999999994</v>
      </c>
      <c r="Y2090">
        <v>-7.6276019999999998E-3</v>
      </c>
      <c r="Z2090">
        <v>2.476283E-4</v>
      </c>
      <c r="AA2090">
        <v>0.9999709</v>
      </c>
      <c r="AB2090">
        <v>39</v>
      </c>
      <c r="AC2090">
        <v>-42.621299999999898</v>
      </c>
      <c r="AD2090">
        <v>-1.1092782476809999</v>
      </c>
      <c r="AE2090">
        <v>-0.900000000000034</v>
      </c>
      <c r="AF2090">
        <v>-0.32776249316384498</v>
      </c>
      <c r="AG2090">
        <v>-1.1092782476809999</v>
      </c>
      <c r="AH2090">
        <v>42.600695840852801</v>
      </c>
      <c r="AI2090">
        <v>91.491541916135802</v>
      </c>
      <c r="AJ2090">
        <v>90.440815264501595</v>
      </c>
      <c r="AK2090">
        <v>42.616396053720401</v>
      </c>
      <c r="AL2090">
        <v>87.849074240136602</v>
      </c>
      <c r="AM2090">
        <v>89.982552383518495</v>
      </c>
      <c r="AN2090">
        <v>1.00000001704042</v>
      </c>
    </row>
    <row r="2091" spans="1:40" x14ac:dyDescent="0.25">
      <c r="A2091" t="str">
        <f>"20190312151026646"</f>
        <v>20190312151026646</v>
      </c>
      <c r="B2091" t="str">
        <f>"1552374626642295"</f>
        <v>1552374626642295</v>
      </c>
      <c r="C2091" t="s">
        <v>40</v>
      </c>
      <c r="D2091">
        <v>5.0495919999999996</v>
      </c>
      <c r="E2091">
        <v>0.49735040000000003</v>
      </c>
      <c r="F2091" t="s">
        <v>52</v>
      </c>
      <c r="G2091">
        <v>-345.35669999999999</v>
      </c>
      <c r="H2091" s="1">
        <v>1.3137809999999999E-6</v>
      </c>
      <c r="I2091">
        <v>282.0077</v>
      </c>
      <c r="J2091">
        <v>-303.95659999999998</v>
      </c>
      <c r="K2091">
        <v>1.1092569999999999</v>
      </c>
      <c r="L2091">
        <v>282.88589999999999</v>
      </c>
      <c r="M2091">
        <v>-0.99986370000000002</v>
      </c>
      <c r="N2091">
        <v>0</v>
      </c>
      <c r="O2091">
        <v>-1.3357839999999999E-2</v>
      </c>
      <c r="P2091">
        <v>-0.99951809999999996</v>
      </c>
      <c r="Q2091">
        <v>2.8122169999999998E-2</v>
      </c>
      <c r="R2091">
        <v>-1.3140249999999999E-2</v>
      </c>
      <c r="S2091">
        <v>-3.0028079999999999</v>
      </c>
      <c r="T2091">
        <v>-7.9693200000000006E-2</v>
      </c>
      <c r="U2091">
        <v>-6.3476560000000001E-2</v>
      </c>
      <c r="V2091">
        <v>2.171118E-4</v>
      </c>
      <c r="W2091">
        <v>3.7828779999999999E-2</v>
      </c>
      <c r="X2091">
        <v>0.99928419999999896</v>
      </c>
      <c r="Y2091">
        <v>-7.7789440000000003E-3</v>
      </c>
      <c r="Z2091">
        <v>2.512104E-4</v>
      </c>
      <c r="AA2091">
        <v>0.99996969999999996</v>
      </c>
      <c r="AB2091">
        <v>39</v>
      </c>
      <c r="AC2091">
        <v>-41.400100000000002</v>
      </c>
      <c r="AD2091">
        <v>-1.1092556862189999</v>
      </c>
      <c r="AE2091">
        <v>-0.87819999999999199</v>
      </c>
      <c r="AF2091">
        <v>-0.32484659231572899</v>
      </c>
      <c r="AG2091">
        <v>-1.1092556862189999</v>
      </c>
      <c r="AH2091">
        <v>41.3784453533262</v>
      </c>
      <c r="AI2091">
        <v>91.535545705530794</v>
      </c>
      <c r="AJ2091">
        <v>90.449798348160201</v>
      </c>
      <c r="AK2091">
        <v>41.394585555893102</v>
      </c>
      <c r="AL2091">
        <v>87.832053264869401</v>
      </c>
      <c r="AM2091">
        <v>89.987551499736696</v>
      </c>
      <c r="AN2091">
        <v>0.99999998805172996</v>
      </c>
    </row>
    <row r="2092" spans="1:40" x14ac:dyDescent="0.25">
      <c r="A2092" t="str">
        <f>"20190312151026668"</f>
        <v>20190312151026668</v>
      </c>
      <c r="B2092" t="str">
        <f>"1552374626662791"</f>
        <v>1552374626662791</v>
      </c>
      <c r="C2092" t="s">
        <v>40</v>
      </c>
      <c r="D2092">
        <v>5.0213549999999998</v>
      </c>
      <c r="E2092">
        <v>0.49698130000000001</v>
      </c>
      <c r="F2092" t="s">
        <v>52</v>
      </c>
      <c r="G2092">
        <v>-346.28149999999999</v>
      </c>
      <c r="H2092" s="1">
        <v>1.805918E-6</v>
      </c>
      <c r="I2092">
        <v>281.95249999999999</v>
      </c>
      <c r="J2092">
        <v>-304.34059999999999</v>
      </c>
      <c r="K2092">
        <v>1.109235</v>
      </c>
      <c r="L2092">
        <v>282.8809</v>
      </c>
      <c r="M2092">
        <v>-0.9998648</v>
      </c>
      <c r="N2092">
        <v>0</v>
      </c>
      <c r="O2092">
        <v>-1.328149E-2</v>
      </c>
      <c r="P2092">
        <v>-0.99951210000000001</v>
      </c>
      <c r="Q2092">
        <v>2.8252889999999999E-2</v>
      </c>
      <c r="R2092">
        <v>-1.331597E-2</v>
      </c>
      <c r="S2092">
        <v>-3.0027469999999998</v>
      </c>
      <c r="T2092">
        <v>-7.8696249999999995E-2</v>
      </c>
      <c r="U2092">
        <v>-6.622314E-2</v>
      </c>
      <c r="V2092" s="1">
        <v>-3.320765E-5</v>
      </c>
      <c r="W2092">
        <v>3.794314E-2</v>
      </c>
      <c r="X2092">
        <v>0.9992799</v>
      </c>
      <c r="Y2092">
        <v>-8.7695459999999996E-3</v>
      </c>
      <c r="Z2092">
        <v>2.3309369999999999E-4</v>
      </c>
      <c r="AA2092">
        <v>0.99996149999999995</v>
      </c>
      <c r="AB2092">
        <v>39</v>
      </c>
      <c r="AC2092">
        <v>-41.940899999999999</v>
      </c>
      <c r="AD2092">
        <v>-1.1092331940819999</v>
      </c>
      <c r="AE2092">
        <v>-0.92840000000001</v>
      </c>
      <c r="AF2092">
        <v>-0.37099490933020801</v>
      </c>
      <c r="AG2092">
        <v>-1.1092331940819999</v>
      </c>
      <c r="AH2092">
        <v>41.920223804368398</v>
      </c>
      <c r="AI2092">
        <v>91.515666215432006</v>
      </c>
      <c r="AJ2092">
        <v>90.507055680222095</v>
      </c>
      <c r="AK2092">
        <v>41.936537760167298</v>
      </c>
      <c r="AL2092">
        <v>87.825496239580005</v>
      </c>
      <c r="AM2092">
        <v>90.001904029283295</v>
      </c>
      <c r="AN2092">
        <v>1.0000000007598999</v>
      </c>
    </row>
    <row r="2093" spans="1:40" x14ac:dyDescent="0.25">
      <c r="A2093" t="str">
        <f>"20190312151026690"</f>
        <v>20190312151026690</v>
      </c>
      <c r="B2093" t="str">
        <f>"1552374626682946"</f>
        <v>1552374626682946</v>
      </c>
      <c r="C2093" t="s">
        <v>40</v>
      </c>
      <c r="D2093">
        <v>5.1109669999999996</v>
      </c>
      <c r="E2093">
        <v>0.49687429999999999</v>
      </c>
      <c r="F2093" t="s">
        <v>52</v>
      </c>
      <c r="G2093">
        <v>-347.61540000000002</v>
      </c>
      <c r="H2093" s="1">
        <v>2.5157229999999999E-6</v>
      </c>
      <c r="I2093">
        <v>281.8759</v>
      </c>
      <c r="J2093">
        <v>-304.7353</v>
      </c>
      <c r="K2093">
        <v>1.109213</v>
      </c>
      <c r="L2093">
        <v>282.87569999999999</v>
      </c>
      <c r="M2093">
        <v>-0.99986620000000004</v>
      </c>
      <c r="N2093">
        <v>0</v>
      </c>
      <c r="O2093">
        <v>-1.3182620000000001E-2</v>
      </c>
      <c r="P2093">
        <v>-0.99951140000000005</v>
      </c>
      <c r="Q2093">
        <v>2.8270440000000001E-2</v>
      </c>
      <c r="R2093">
        <v>-1.333232E-2</v>
      </c>
      <c r="S2093">
        <v>-3.0027159999999999</v>
      </c>
      <c r="T2093">
        <v>-7.6966640000000003E-2</v>
      </c>
      <c r="U2093">
        <v>-6.9732669999999997E-2</v>
      </c>
      <c r="V2093">
        <v>-1.4706180000000001E-4</v>
      </c>
      <c r="W2093">
        <v>3.7946470000000003E-2</v>
      </c>
      <c r="X2093">
        <v>0.99927969999999999</v>
      </c>
      <c r="Y2093">
        <v>-1.003627E-2</v>
      </c>
      <c r="Z2093">
        <v>2.0920779999999999E-4</v>
      </c>
      <c r="AA2093">
        <v>0.99994959999999999</v>
      </c>
      <c r="AB2093">
        <v>39</v>
      </c>
      <c r="AC2093">
        <v>-42.880099999999999</v>
      </c>
      <c r="AD2093">
        <v>-1.1092104842770001</v>
      </c>
      <c r="AE2093">
        <v>-0.99979999999999303</v>
      </c>
      <c r="AF2093">
        <v>-0.434124205947369</v>
      </c>
      <c r="AG2093">
        <v>-1.1092104842770001</v>
      </c>
      <c r="AH2093">
        <v>42.860889896349697</v>
      </c>
      <c r="AI2093">
        <v>91.482368650639899</v>
      </c>
      <c r="AJ2093">
        <v>90.5803107286455</v>
      </c>
      <c r="AK2093">
        <v>42.8774380581633</v>
      </c>
      <c r="AL2093">
        <v>87.825305169543299</v>
      </c>
      <c r="AM2093">
        <v>90.008432094044096</v>
      </c>
      <c r="AN2093">
        <v>0.99999993752236005</v>
      </c>
    </row>
    <row r="2094" spans="1:40" x14ac:dyDescent="0.25">
      <c r="A2094" t="str">
        <f>"20190312151026712"</f>
        <v>20190312151026712</v>
      </c>
      <c r="B2094" t="str">
        <f>"1552374626702469"</f>
        <v>1552374626702469</v>
      </c>
      <c r="C2094" t="s">
        <v>40</v>
      </c>
      <c r="D2094">
        <v>4.9631629999999998</v>
      </c>
      <c r="E2094">
        <v>0.49653409999999898</v>
      </c>
      <c r="F2094" t="s">
        <v>52</v>
      </c>
      <c r="G2094">
        <v>-348.005</v>
      </c>
      <c r="H2094" s="1">
        <v>2.7230809999999999E-6</v>
      </c>
      <c r="I2094">
        <v>281.85629999999998</v>
      </c>
      <c r="J2094">
        <v>-305.1096</v>
      </c>
      <c r="K2094">
        <v>1.1091899999999999</v>
      </c>
      <c r="L2094">
        <v>282.87090000000001</v>
      </c>
      <c r="M2094">
        <v>-0.99986790000000003</v>
      </c>
      <c r="N2094">
        <v>0</v>
      </c>
      <c r="O2094">
        <v>-1.306706E-2</v>
      </c>
      <c r="P2094">
        <v>-0.99950830000000002</v>
      </c>
      <c r="Q2094">
        <v>2.8392299999999999E-2</v>
      </c>
      <c r="R2094">
        <v>-1.330977E-2</v>
      </c>
      <c r="S2094">
        <v>-3.0026549999999999</v>
      </c>
      <c r="T2094">
        <v>-7.6972479999999996E-2</v>
      </c>
      <c r="U2094">
        <v>-7.0739750000000004E-2</v>
      </c>
      <c r="V2094">
        <v>-2.3807099999999999E-4</v>
      </c>
      <c r="W2094">
        <v>3.8054159999999997E-2</v>
      </c>
      <c r="X2094">
        <v>0.99927560000000004</v>
      </c>
      <c r="Y2094">
        <v>-1.048732E-2</v>
      </c>
      <c r="Z2094">
        <v>2.0048639999999999E-4</v>
      </c>
      <c r="AA2094">
        <v>0.99994499999999997</v>
      </c>
      <c r="AB2094">
        <v>39</v>
      </c>
      <c r="AC2094">
        <v>-42.895400000000002</v>
      </c>
      <c r="AD2094">
        <v>-1.1091872769190001</v>
      </c>
      <c r="AE2094">
        <v>-1.0146000000000299</v>
      </c>
      <c r="AF2094">
        <v>-0.45366724692219301</v>
      </c>
      <c r="AG2094">
        <v>-1.1091872769190001</v>
      </c>
      <c r="AH2094">
        <v>42.876343265208902</v>
      </c>
      <c r="AI2094">
        <v>91.481796694302702</v>
      </c>
      <c r="AJ2094">
        <v>90.606214210991595</v>
      </c>
      <c r="AK2094">
        <v>42.893087114152003</v>
      </c>
      <c r="AL2094">
        <v>87.819130554681607</v>
      </c>
      <c r="AM2094">
        <v>90.013650351581006</v>
      </c>
      <c r="AN2094">
        <v>0.99999995026323196</v>
      </c>
    </row>
    <row r="2095" spans="1:40" x14ac:dyDescent="0.25">
      <c r="A2095" t="str">
        <f>"20190312151026734"</f>
        <v>20190312151026734</v>
      </c>
      <c r="B2095" t="str">
        <f>"1552374626722962"</f>
        <v>1552374626722962</v>
      </c>
      <c r="C2095" t="s">
        <v>40</v>
      </c>
      <c r="D2095">
        <v>4.9909230000000004</v>
      </c>
      <c r="E2095">
        <v>0.4961564</v>
      </c>
      <c r="F2095" t="s">
        <v>52</v>
      </c>
      <c r="G2095">
        <v>-348.00720000000001</v>
      </c>
      <c r="H2095" s="1">
        <v>2.724249E-6</v>
      </c>
      <c r="I2095">
        <v>281.82369999999997</v>
      </c>
      <c r="J2095">
        <v>-305.50229999999999</v>
      </c>
      <c r="K2095">
        <v>1.1091719999999901</v>
      </c>
      <c r="L2095">
        <v>282.86590000000001</v>
      </c>
      <c r="M2095">
        <v>-0.99986989999999998</v>
      </c>
      <c r="N2095">
        <v>0</v>
      </c>
      <c r="O2095">
        <v>-1.2924420000000001E-2</v>
      </c>
      <c r="P2095">
        <v>-0.99950570000000005</v>
      </c>
      <c r="Q2095">
        <v>2.8577829999999999E-2</v>
      </c>
      <c r="R2095">
        <v>-1.3105769999999999E-2</v>
      </c>
      <c r="S2095">
        <v>-3.0027159999999999</v>
      </c>
      <c r="T2095">
        <v>-7.7640180000000003E-2</v>
      </c>
      <c r="U2095">
        <v>-7.3303220000000002E-2</v>
      </c>
      <c r="V2095">
        <v>-1.746966E-4</v>
      </c>
      <c r="W2095">
        <v>3.8223800000000002E-2</v>
      </c>
      <c r="X2095">
        <v>0.99926919999999997</v>
      </c>
      <c r="Y2095">
        <v>-1.1482310000000001E-2</v>
      </c>
      <c r="Z2095">
        <v>1.8567179999999999E-4</v>
      </c>
      <c r="AA2095">
        <v>0.99993410000000005</v>
      </c>
      <c r="AB2095">
        <v>39</v>
      </c>
      <c r="AC2095">
        <v>-42.504899999999999</v>
      </c>
      <c r="AD2095">
        <v>-1.1091692757510001</v>
      </c>
      <c r="AE2095">
        <v>-1.04220000000003</v>
      </c>
      <c r="AF2095">
        <v>-0.49240107704937303</v>
      </c>
      <c r="AG2095">
        <v>-1.1091692757510001</v>
      </c>
      <c r="AH2095">
        <v>42.4859063987235</v>
      </c>
      <c r="AI2095">
        <v>91.495366977275594</v>
      </c>
      <c r="AJ2095">
        <v>90.664014089517906</v>
      </c>
      <c r="AK2095">
        <v>42.503234674834403</v>
      </c>
      <c r="AL2095">
        <v>87.809403956140102</v>
      </c>
      <c r="AM2095">
        <v>90.010016697976198</v>
      </c>
      <c r="AN2095">
        <v>1.00000001173699</v>
      </c>
    </row>
    <row r="2096" spans="1:40" x14ac:dyDescent="0.25">
      <c r="A2096" t="str">
        <f>"20190312151026747"</f>
        <v>20190312151026747</v>
      </c>
      <c r="B2096" t="str">
        <f>"1552374626742482"</f>
        <v>1552374626742482</v>
      </c>
      <c r="C2096" t="s">
        <v>40</v>
      </c>
      <c r="D2096">
        <v>5.250305</v>
      </c>
      <c r="E2096">
        <v>0.49583129999999997</v>
      </c>
      <c r="F2096" t="s">
        <v>52</v>
      </c>
      <c r="G2096">
        <v>-348.42899999999997</v>
      </c>
      <c r="H2096" s="1">
        <v>2.9486800000000001E-6</v>
      </c>
      <c r="I2096">
        <v>281.78179999999998</v>
      </c>
      <c r="J2096">
        <v>-305.73200000000003</v>
      </c>
      <c r="K2096">
        <v>1.1091580000000001</v>
      </c>
      <c r="L2096">
        <v>282.863</v>
      </c>
      <c r="M2096">
        <v>-0.99987119999999996</v>
      </c>
      <c r="N2096">
        <v>0</v>
      </c>
      <c r="O2096">
        <v>-1.2830060000000001E-2</v>
      </c>
      <c r="P2096">
        <v>-0.99949719999999997</v>
      </c>
      <c r="Q2096">
        <v>2.891678E-2</v>
      </c>
      <c r="R2096">
        <v>-1.3023730000000001E-2</v>
      </c>
      <c r="S2096">
        <v>-3.0027469999999998</v>
      </c>
      <c r="T2096">
        <v>-7.7587009999999998E-2</v>
      </c>
      <c r="U2096">
        <v>-7.5836180000000003E-2</v>
      </c>
      <c r="V2096">
        <v>-1.8565359999999999E-4</v>
      </c>
      <c r="W2096">
        <v>3.8552570000000001E-2</v>
      </c>
      <c r="X2096">
        <v>0.99925660000000005</v>
      </c>
      <c r="Y2096">
        <v>-1.2419049999999999E-2</v>
      </c>
      <c r="Z2096">
        <v>1.7100540000000001E-4</v>
      </c>
      <c r="AA2096">
        <v>0.99992289999999995</v>
      </c>
      <c r="AB2096">
        <v>39</v>
      </c>
      <c r="AC2096">
        <v>-42.696999999999903</v>
      </c>
      <c r="AD2096">
        <v>-1.1091550513199999</v>
      </c>
      <c r="AE2096">
        <v>-1.0812000000000199</v>
      </c>
      <c r="AF2096">
        <v>-0.53292106366082903</v>
      </c>
      <c r="AG2096">
        <v>-1.1091550513199999</v>
      </c>
      <c r="AH2096">
        <v>42.678575824924103</v>
      </c>
      <c r="AI2096">
        <v>91.488584144095896</v>
      </c>
      <c r="AJ2096">
        <v>90.715406743178903</v>
      </c>
      <c r="AK2096">
        <v>42.696312068277699</v>
      </c>
      <c r="AL2096">
        <v>87.790552998848199</v>
      </c>
      <c r="AM2096">
        <v>90.010645081162295</v>
      </c>
      <c r="AN2096">
        <v>1.0000000438822101</v>
      </c>
    </row>
    <row r="2097" spans="1:40" x14ac:dyDescent="0.25">
      <c r="A2097" t="str">
        <f>"20190312151026767"</f>
        <v>20190312151026767</v>
      </c>
      <c r="B2097" t="str">
        <f>"1552374626762978"</f>
        <v>1552374626762978</v>
      </c>
      <c r="C2097" t="s">
        <v>40</v>
      </c>
      <c r="D2097">
        <v>5.2395639999999997</v>
      </c>
      <c r="E2097">
        <v>0.49550319999999998</v>
      </c>
      <c r="F2097" t="s">
        <v>52</v>
      </c>
      <c r="G2097">
        <v>-349.95420000000001</v>
      </c>
      <c r="H2097" s="1">
        <v>3.760352E-6</v>
      </c>
      <c r="I2097">
        <v>281.71370000000002</v>
      </c>
      <c r="J2097">
        <v>-306.08199999999999</v>
      </c>
      <c r="K2097">
        <v>1.10914</v>
      </c>
      <c r="L2097">
        <v>282.85860000000002</v>
      </c>
      <c r="M2097">
        <v>-0.99987329999999996</v>
      </c>
      <c r="N2097">
        <v>0</v>
      </c>
      <c r="O2097">
        <v>-1.267542E-2</v>
      </c>
      <c r="P2097">
        <v>-0.99949489999999996</v>
      </c>
      <c r="Q2097">
        <v>2.9300400000000001E-2</v>
      </c>
      <c r="R2097">
        <v>-1.231908E-2</v>
      </c>
      <c r="S2097">
        <v>-3.0026860000000002</v>
      </c>
      <c r="T2097">
        <v>-7.5311539999999996E-2</v>
      </c>
      <c r="U2097">
        <v>-7.8033450000000004E-2</v>
      </c>
      <c r="V2097">
        <v>3.660666E-4</v>
      </c>
      <c r="W2097">
        <v>3.8921839999999999E-2</v>
      </c>
      <c r="X2097">
        <v>0.99924219999999997</v>
      </c>
      <c r="Y2097">
        <v>-1.33051E-2</v>
      </c>
      <c r="Z2097">
        <v>1.5100809999999901E-4</v>
      </c>
      <c r="AA2097">
        <v>0.99991149999999995</v>
      </c>
      <c r="AB2097">
        <v>39</v>
      </c>
      <c r="AC2097">
        <v>-43.872199999999999</v>
      </c>
      <c r="AD2097">
        <v>-1.109136239648</v>
      </c>
      <c r="AE2097">
        <v>-1.1449</v>
      </c>
      <c r="AF2097">
        <v>-0.58830792029442103</v>
      </c>
      <c r="AG2097">
        <v>-1.109136239648</v>
      </c>
      <c r="AH2097">
        <v>43.855177703257098</v>
      </c>
      <c r="AI2097">
        <v>91.448621831064798</v>
      </c>
      <c r="AJ2097">
        <v>90.768564646299595</v>
      </c>
      <c r="AK2097">
        <v>43.873145553874302</v>
      </c>
      <c r="AL2097">
        <v>87.769379417052804</v>
      </c>
      <c r="AM2097">
        <v>89.979010023533405</v>
      </c>
      <c r="AN2097">
        <v>1.00000000894729</v>
      </c>
    </row>
    <row r="2098" spans="1:40" x14ac:dyDescent="0.25">
      <c r="A2098" t="str">
        <f>"20190312151026790"</f>
        <v>20190312151026790</v>
      </c>
      <c r="B2098" t="str">
        <f>"1552374626782502"</f>
        <v>1552374626782502</v>
      </c>
      <c r="C2098" t="s">
        <v>40</v>
      </c>
      <c r="D2098">
        <v>4.9447130000000001</v>
      </c>
      <c r="E2098">
        <v>0.49516460000000001</v>
      </c>
      <c r="F2098" t="s">
        <v>52</v>
      </c>
      <c r="G2098">
        <v>-351.61419999999998</v>
      </c>
      <c r="H2098" s="1">
        <v>-6.7777019999999904E-7</v>
      </c>
      <c r="I2098">
        <v>281.66660000000002</v>
      </c>
      <c r="J2098">
        <v>-306.4803</v>
      </c>
      <c r="K2098">
        <v>1.109121</v>
      </c>
      <c r="L2098">
        <v>282.85379999999998</v>
      </c>
      <c r="M2098">
        <v>-0.99987599999999999</v>
      </c>
      <c r="N2098">
        <v>0</v>
      </c>
      <c r="O2098">
        <v>-1.248382E-2</v>
      </c>
      <c r="P2098">
        <v>-0.99948179999999998</v>
      </c>
      <c r="Q2098">
        <v>3.009595E-2</v>
      </c>
      <c r="R2098">
        <v>-1.142453E-2</v>
      </c>
      <c r="S2098">
        <v>-3.0026860000000002</v>
      </c>
      <c r="T2098">
        <v>-7.3143840000000002E-2</v>
      </c>
      <c r="U2098">
        <v>-7.8613279999999994E-2</v>
      </c>
      <c r="V2098">
        <v>1.070816E-3</v>
      </c>
      <c r="W2098">
        <v>3.9703250000000002E-2</v>
      </c>
      <c r="X2098">
        <v>0.99921099999999996</v>
      </c>
      <c r="Y2098">
        <v>-1.368951E-2</v>
      </c>
      <c r="Z2098">
        <v>1.3731649999999999E-4</v>
      </c>
      <c r="AA2098">
        <v>0.99990630000000003</v>
      </c>
      <c r="AB2098">
        <v>39</v>
      </c>
      <c r="AC2098">
        <v>-45.133899999999898</v>
      </c>
      <c r="AD2098">
        <v>-1.1091216777702</v>
      </c>
      <c r="AE2098">
        <v>-1.1871999999999601</v>
      </c>
      <c r="AF2098">
        <v>-0.62326191809333698</v>
      </c>
      <c r="AG2098">
        <v>-1.1091216777702</v>
      </c>
      <c r="AH2098">
        <v>45.117976917285198</v>
      </c>
      <c r="AI2098">
        <v>91.408067035993497</v>
      </c>
      <c r="AJ2098">
        <v>90.7914363327356</v>
      </c>
      <c r="AK2098">
        <v>45.135910840741097</v>
      </c>
      <c r="AL2098">
        <v>87.7245733975181</v>
      </c>
      <c r="AM2098">
        <v>89.938598340142406</v>
      </c>
      <c r="AN2098">
        <v>1.0000000586142299</v>
      </c>
    </row>
    <row r="2099" spans="1:40" x14ac:dyDescent="0.25">
      <c r="A2099" t="str">
        <f>"20190312151026802"</f>
        <v>20190312151026802</v>
      </c>
      <c r="B2099" t="str">
        <f>"1552374626793234"</f>
        <v>1552374626793234</v>
      </c>
      <c r="C2099" t="s">
        <v>40</v>
      </c>
      <c r="D2099">
        <v>4.9656359999999999</v>
      </c>
      <c r="E2099">
        <v>0.49500149999999998</v>
      </c>
      <c r="F2099" t="s">
        <v>52</v>
      </c>
      <c r="G2099">
        <v>-354.24450000000002</v>
      </c>
      <c r="H2099" s="1">
        <v>7.2192309999999996E-7</v>
      </c>
      <c r="I2099">
        <v>281.60379999999998</v>
      </c>
      <c r="J2099">
        <v>-306.70929999999998</v>
      </c>
      <c r="K2099">
        <v>1.1091089999999999</v>
      </c>
      <c r="L2099">
        <v>282.851</v>
      </c>
      <c r="M2099">
        <v>-0.99987749999999997</v>
      </c>
      <c r="N2099">
        <v>0</v>
      </c>
      <c r="O2099">
        <v>-1.2367090000000001E-2</v>
      </c>
      <c r="P2099">
        <v>-0.999471</v>
      </c>
      <c r="Q2099">
        <v>3.0624769999999999E-2</v>
      </c>
      <c r="R2099">
        <v>-1.097091E-2</v>
      </c>
      <c r="S2099">
        <v>-3.0027469999999998</v>
      </c>
      <c r="T2099">
        <v>-6.9725990000000002E-2</v>
      </c>
      <c r="U2099">
        <v>-7.8582760000000001E-2</v>
      </c>
      <c r="V2099">
        <v>1.4091590000000001E-3</v>
      </c>
      <c r="W2099">
        <v>4.0223549999999997E-2</v>
      </c>
      <c r="X2099">
        <v>0.99918969999999896</v>
      </c>
      <c r="Y2099">
        <v>-1.379553E-2</v>
      </c>
      <c r="Z2099">
        <v>1.2695910000000001E-4</v>
      </c>
      <c r="AA2099">
        <v>0.99990480000000004</v>
      </c>
      <c r="AB2099">
        <v>39</v>
      </c>
      <c r="AC2099">
        <v>-47.535200000000003</v>
      </c>
      <c r="AD2099">
        <v>-1.1091082780768999</v>
      </c>
      <c r="AE2099">
        <v>-1.2472000000000201</v>
      </c>
      <c r="AF2099">
        <v>-0.65884702993280897</v>
      </c>
      <c r="AG2099">
        <v>-1.1091082780768999</v>
      </c>
      <c r="AH2099">
        <v>47.521136679572898</v>
      </c>
      <c r="AI2099">
        <v>91.336870070522806</v>
      </c>
      <c r="AJ2099">
        <v>90.794314664567906</v>
      </c>
      <c r="AK2099">
        <v>47.538643563946998</v>
      </c>
      <c r="AL2099">
        <v>87.694738408588407</v>
      </c>
      <c r="AM2099">
        <v>89.919195714452997</v>
      </c>
      <c r="AN2099">
        <v>0.999999988144889</v>
      </c>
    </row>
    <row r="2100" spans="1:40" x14ac:dyDescent="0.25">
      <c r="A2100" t="str">
        <f>"20190312151026822"</f>
        <v>20190312151026822</v>
      </c>
      <c r="B2100" t="str">
        <f>"1552374626812753"</f>
        <v>1552374626812753</v>
      </c>
      <c r="C2100" t="s">
        <v>40</v>
      </c>
      <c r="D2100">
        <v>4.9701060000000004</v>
      </c>
      <c r="E2100">
        <v>0.49474560000000001</v>
      </c>
      <c r="F2100" t="s">
        <v>52</v>
      </c>
      <c r="G2100">
        <v>-355.9271</v>
      </c>
      <c r="H2100" s="1">
        <v>1.617303E-6</v>
      </c>
      <c r="I2100">
        <v>281.5634</v>
      </c>
      <c r="J2100">
        <v>-307.05239999999998</v>
      </c>
      <c r="K2100">
        <v>1.1090960000000001</v>
      </c>
      <c r="L2100">
        <v>282.84690000000001</v>
      </c>
      <c r="M2100">
        <v>-0.99987979999999999</v>
      </c>
      <c r="N2100">
        <v>0</v>
      </c>
      <c r="O2100">
        <v>-1.2185090000000001E-2</v>
      </c>
      <c r="P2100">
        <v>-0.99944409999999895</v>
      </c>
      <c r="Q2100">
        <v>3.1698610000000002E-2</v>
      </c>
      <c r="R2100">
        <v>-1.033795E-2</v>
      </c>
      <c r="S2100">
        <v>-3.0028380000000001</v>
      </c>
      <c r="T2100">
        <v>-6.7668080000000005E-2</v>
      </c>
      <c r="U2100">
        <v>-7.8552250000000004E-2</v>
      </c>
      <c r="V2100">
        <v>1.86126E-3</v>
      </c>
      <c r="W2100">
        <v>4.128362E-2</v>
      </c>
      <c r="X2100">
        <v>0.99914570000000003</v>
      </c>
      <c r="Y2100">
        <v>-1.396651E-2</v>
      </c>
      <c r="Z2100">
        <v>1.1718359999999999E-4</v>
      </c>
      <c r="AA2100">
        <v>0.99990239999999997</v>
      </c>
      <c r="AB2100">
        <v>39</v>
      </c>
      <c r="AC2100">
        <v>-48.874699999999997</v>
      </c>
      <c r="AD2100">
        <v>-1.1090943826969999</v>
      </c>
      <c r="AE2100">
        <v>-1.2835000000000001</v>
      </c>
      <c r="AF2100">
        <v>-0.687480937572155</v>
      </c>
      <c r="AG2100">
        <v>-1.1090943826969999</v>
      </c>
      <c r="AH2100">
        <v>48.861567303051999</v>
      </c>
      <c r="AI2100">
        <v>91.3001881560903</v>
      </c>
      <c r="AJ2100">
        <v>90.806096886533993</v>
      </c>
      <c r="AK2100">
        <v>48.878988120663202</v>
      </c>
      <c r="AL2100">
        <v>87.633950313847706</v>
      </c>
      <c r="AM2100">
        <v>89.893266598435503</v>
      </c>
      <c r="AN2100">
        <v>0.99999996569879002</v>
      </c>
    </row>
    <row r="2101" spans="1:40" x14ac:dyDescent="0.25">
      <c r="A2101" t="str">
        <f>"20190312151026948"</f>
        <v>20190312151026948</v>
      </c>
      <c r="B2101" t="str">
        <f>"1552374626942564"</f>
        <v>1552374626942564</v>
      </c>
      <c r="C2101" t="s">
        <v>40</v>
      </c>
      <c r="D2101">
        <v>4.8665909999999997</v>
      </c>
      <c r="E2101">
        <v>0.488014</v>
      </c>
      <c r="F2101" t="s">
        <v>52</v>
      </c>
      <c r="G2101">
        <v>-359.27269999999999</v>
      </c>
      <c r="H2101" s="1">
        <v>3.3976790000000002E-6</v>
      </c>
      <c r="I2101">
        <v>281.48200000000003</v>
      </c>
      <c r="J2101">
        <v>-309.26769999999999</v>
      </c>
      <c r="K2101">
        <v>1.109035</v>
      </c>
      <c r="L2101">
        <v>282.82209999999998</v>
      </c>
      <c r="M2101">
        <v>-0.99989570000000005</v>
      </c>
      <c r="N2101">
        <v>0</v>
      </c>
      <c r="O2101">
        <v>-1.09166E-2</v>
      </c>
      <c r="P2101">
        <v>-0.99941679999999999</v>
      </c>
      <c r="Q2101">
        <v>3.3132719999999997E-2</v>
      </c>
      <c r="R2101">
        <v>-8.279715E-3</v>
      </c>
      <c r="S2101">
        <v>-3.0028990000000002</v>
      </c>
      <c r="T2101">
        <v>-6.3777799999999996E-2</v>
      </c>
      <c r="U2101">
        <v>-7.8491210000000006E-2</v>
      </c>
      <c r="V2101">
        <v>2.656771E-3</v>
      </c>
      <c r="W2101">
        <v>4.2589009999999997E-2</v>
      </c>
      <c r="X2101">
        <v>0.99908909999999995</v>
      </c>
      <c r="Y2101">
        <v>-1.521366E-2</v>
      </c>
      <c r="Z2101" s="1">
        <v>7.0274149999999995E-5</v>
      </c>
      <c r="AA2101">
        <v>0.9998842</v>
      </c>
      <c r="AB2101">
        <v>40</v>
      </c>
      <c r="AC2101">
        <v>-50.005000000000003</v>
      </c>
      <c r="AD2101">
        <v>-1.1090316023209901</v>
      </c>
      <c r="AE2101">
        <v>-1.3400999999999501</v>
      </c>
      <c r="AF2101">
        <v>-0.79372101194238698</v>
      </c>
      <c r="AG2101">
        <v>-1.1090316023209901</v>
      </c>
      <c r="AH2101">
        <v>49.992077474910403</v>
      </c>
      <c r="AI2101">
        <v>91.270689459976694</v>
      </c>
      <c r="AJ2101">
        <v>90.909604996322599</v>
      </c>
      <c r="AK2101">
        <v>50.010676404115799</v>
      </c>
      <c r="AL2101">
        <v>87.559091089852302</v>
      </c>
      <c r="AM2101">
        <v>89.847639808469594</v>
      </c>
      <c r="AN2101">
        <v>0.99999995597186697</v>
      </c>
    </row>
    <row r="2102" spans="1:40" x14ac:dyDescent="0.25">
      <c r="A2102" t="str">
        <f>"20190312151026960"</f>
        <v>20190312151026960</v>
      </c>
      <c r="B2102" t="str">
        <f>"1552374626952322"</f>
        <v>1552374626952322</v>
      </c>
      <c r="C2102" t="s">
        <v>40</v>
      </c>
      <c r="D2102">
        <v>4.8905659999999997</v>
      </c>
      <c r="E2102">
        <v>0.48720530000000001</v>
      </c>
      <c r="F2102" t="s">
        <v>52</v>
      </c>
      <c r="G2102">
        <v>-346.7457</v>
      </c>
      <c r="H2102" s="1">
        <v>2.0529400000000001E-6</v>
      </c>
      <c r="I2102">
        <v>281.2353</v>
      </c>
      <c r="J2102">
        <v>-309.4769</v>
      </c>
      <c r="K2102">
        <v>1.109029</v>
      </c>
      <c r="L2102">
        <v>282.81979999999999</v>
      </c>
      <c r="M2102">
        <v>-0.99989720000000004</v>
      </c>
      <c r="N2102">
        <v>0</v>
      </c>
      <c r="O2102">
        <v>-1.079478E-2</v>
      </c>
      <c r="P2102">
        <v>-0.99941489999999999</v>
      </c>
      <c r="Q2102">
        <v>3.3197789999999998E-2</v>
      </c>
      <c r="R2102">
        <v>-8.2493400000000008E-3</v>
      </c>
      <c r="S2102">
        <v>-3.0036320000000001</v>
      </c>
      <c r="T2102">
        <v>-8.8882210000000003E-2</v>
      </c>
      <c r="U2102">
        <v>-0.12716669999999999</v>
      </c>
      <c r="V2102">
        <v>2.565604E-3</v>
      </c>
      <c r="W2102">
        <v>4.263521E-2</v>
      </c>
      <c r="X2102">
        <v>0.99908739999999996</v>
      </c>
      <c r="Y2102">
        <v>-3.1502660000000002E-2</v>
      </c>
      <c r="Z2102">
        <v>-1.4658299999999999E-4</v>
      </c>
      <c r="AA2102">
        <v>0.99950369999999999</v>
      </c>
      <c r="AB2102">
        <v>40</v>
      </c>
      <c r="AC2102">
        <v>-37.268799999999999</v>
      </c>
      <c r="AD2102">
        <v>-1.10902694706</v>
      </c>
      <c r="AE2102">
        <v>-1.58449999999999</v>
      </c>
      <c r="AF2102">
        <v>-1.18103732389622</v>
      </c>
      <c r="AG2102">
        <v>-1.10902694706</v>
      </c>
      <c r="AH2102">
        <v>37.250806979579799</v>
      </c>
      <c r="AI2102">
        <v>91.704444014594401</v>
      </c>
      <c r="AJ2102">
        <v>91.815955133224193</v>
      </c>
      <c r="AK2102">
        <v>37.286021651010898</v>
      </c>
      <c r="AL2102">
        <v>87.556441696854193</v>
      </c>
      <c r="AM2102">
        <v>89.852867769142506</v>
      </c>
      <c r="AN2102">
        <v>0.99999998814719404</v>
      </c>
    </row>
    <row r="2103" spans="1:40" x14ac:dyDescent="0.25">
      <c r="A2103" t="str">
        <f>"20190312151026970"</f>
        <v>20190312151026970</v>
      </c>
      <c r="B2103" t="str">
        <f>"1552374626963059"</f>
        <v>1552374626963059</v>
      </c>
      <c r="C2103" t="s">
        <v>40</v>
      </c>
      <c r="D2103">
        <v>4.881195</v>
      </c>
      <c r="E2103">
        <v>0.4863017</v>
      </c>
      <c r="F2103" t="s">
        <v>52</v>
      </c>
      <c r="G2103">
        <v>-356.99590000000001</v>
      </c>
      <c r="H2103" s="1">
        <v>2.1860919999999999E-6</v>
      </c>
      <c r="I2103">
        <v>280.72019999999998</v>
      </c>
      <c r="J2103">
        <v>-309.68770000000001</v>
      </c>
      <c r="K2103">
        <v>1.109024</v>
      </c>
      <c r="L2103">
        <v>282.81760000000003</v>
      </c>
      <c r="M2103">
        <v>-0.99989870000000003</v>
      </c>
      <c r="N2103">
        <v>0</v>
      </c>
      <c r="O2103">
        <v>-1.0671760000000001E-2</v>
      </c>
      <c r="P2103">
        <v>-0.99941380000000002</v>
      </c>
      <c r="Q2103">
        <v>3.3176459999999998E-2</v>
      </c>
      <c r="R2103">
        <v>-8.4385729999999996E-3</v>
      </c>
      <c r="S2103">
        <v>-3.0029910000000002</v>
      </c>
      <c r="T2103">
        <v>-7.0085529999999993E-2</v>
      </c>
      <c r="U2103">
        <v>-0.13269039999999999</v>
      </c>
      <c r="V2103">
        <v>2.253527E-3</v>
      </c>
      <c r="W2103">
        <v>4.2590910000000003E-2</v>
      </c>
      <c r="X2103">
        <v>0.99909009999999998</v>
      </c>
      <c r="Y2103">
        <v>-3.3472490000000001E-2</v>
      </c>
      <c r="Z2103">
        <v>-1.4145539999999999E-4</v>
      </c>
      <c r="AA2103">
        <v>0.99943970000000004</v>
      </c>
      <c r="AB2103">
        <v>40</v>
      </c>
      <c r="AC2103">
        <v>-47.308199999999999</v>
      </c>
      <c r="AD2103">
        <v>-1.1090218139079999</v>
      </c>
      <c r="AE2103">
        <v>-2.0974000000000501</v>
      </c>
      <c r="AF2103">
        <v>-1.5915234976935799</v>
      </c>
      <c r="AG2103">
        <v>-1.1090218139079999</v>
      </c>
      <c r="AH2103">
        <v>47.301945947875097</v>
      </c>
      <c r="AI2103">
        <v>91.342327729792999</v>
      </c>
      <c r="AJ2103">
        <v>91.927049534866001</v>
      </c>
      <c r="AK2103">
        <v>47.341704309024699</v>
      </c>
      <c r="AL2103">
        <v>87.558982348790707</v>
      </c>
      <c r="AM2103">
        <v>89.870765041960098</v>
      </c>
      <c r="AN2103">
        <v>1.0000000459582801</v>
      </c>
    </row>
    <row r="2104" spans="1:40" x14ac:dyDescent="0.25">
      <c r="A2104" t="str">
        <f>"20190312151026983"</f>
        <v>20190312151026983</v>
      </c>
      <c r="B2104" t="str">
        <f>"1552374626972818"</f>
        <v>1552374626972818</v>
      </c>
      <c r="C2104" t="s">
        <v>40</v>
      </c>
      <c r="D2104">
        <v>4.8848729999999998</v>
      </c>
      <c r="E2104">
        <v>0.4855874</v>
      </c>
      <c r="F2104" t="s">
        <v>52</v>
      </c>
      <c r="G2104">
        <v>-365.69529999999997</v>
      </c>
      <c r="H2104" s="1">
        <v>1.493976E-6</v>
      </c>
      <c r="I2104">
        <v>280.20069999999998</v>
      </c>
      <c r="J2104">
        <v>-309.89510000000001</v>
      </c>
      <c r="K2104">
        <v>1.1090180000000001</v>
      </c>
      <c r="L2104">
        <v>282.81549999999999</v>
      </c>
      <c r="M2104">
        <v>-0.99990020000000002</v>
      </c>
      <c r="N2104">
        <v>0</v>
      </c>
      <c r="O2104">
        <v>-1.055099E-2</v>
      </c>
      <c r="P2104">
        <v>-0.99942059999999999</v>
      </c>
      <c r="Q2104">
        <v>3.30849E-2</v>
      </c>
      <c r="R2104">
        <v>-7.9865470000000001E-3</v>
      </c>
      <c r="S2104">
        <v>-3.0025019999999998</v>
      </c>
      <c r="T2104">
        <v>-5.9453369999999998E-2</v>
      </c>
      <c r="U2104">
        <v>-0.14028929999999901</v>
      </c>
      <c r="V2104">
        <v>2.584935E-3</v>
      </c>
      <c r="W2104">
        <v>4.2474190000000002E-2</v>
      </c>
      <c r="X2104">
        <v>0.99909420000000004</v>
      </c>
      <c r="Y2104">
        <v>-3.6125659999999997E-2</v>
      </c>
      <c r="Z2104">
        <v>-1.486549E-4</v>
      </c>
      <c r="AA2104">
        <v>0.99934730000000005</v>
      </c>
      <c r="AB2104">
        <v>40</v>
      </c>
      <c r="AC2104">
        <v>-55.800199999999897</v>
      </c>
      <c r="AD2104">
        <v>-1.109016506024</v>
      </c>
      <c r="AE2104">
        <v>-2.6147999999999998</v>
      </c>
      <c r="AF2104">
        <v>-2.02508293286128</v>
      </c>
      <c r="AG2104">
        <v>-1.109016506024</v>
      </c>
      <c r="AH2104">
        <v>55.802689509500503</v>
      </c>
      <c r="AI2104">
        <v>91.137791357090094</v>
      </c>
      <c r="AJ2104">
        <v>92.078355202339694</v>
      </c>
      <c r="AK2104">
        <v>55.850434510299998</v>
      </c>
      <c r="AL2104">
        <v>87.565675807390406</v>
      </c>
      <c r="AM2104">
        <v>89.851760189036298</v>
      </c>
      <c r="AN2104">
        <v>0.99999997958937503</v>
      </c>
    </row>
    <row r="2105" spans="1:40" x14ac:dyDescent="0.25">
      <c r="A2105" t="str">
        <f>"20190312151027002"</f>
        <v>20190312151027002</v>
      </c>
      <c r="B2105" t="str">
        <f>"1552374626993313"</f>
        <v>1552374626993313</v>
      </c>
      <c r="C2105" t="s">
        <v>40</v>
      </c>
      <c r="D2105">
        <v>4.8396290000000004</v>
      </c>
      <c r="E2105">
        <v>0.48518810000000001</v>
      </c>
      <c r="F2105" t="s">
        <v>52</v>
      </c>
      <c r="G2105">
        <v>-366.23750000000001</v>
      </c>
      <c r="H2105" s="1">
        <v>1.782512E-6</v>
      </c>
      <c r="I2105">
        <v>280.10390000000001</v>
      </c>
      <c r="J2105">
        <v>-310.22680000000003</v>
      </c>
      <c r="K2105">
        <v>1.1090059999999999</v>
      </c>
      <c r="L2105">
        <v>282.81220000000002</v>
      </c>
      <c r="M2105">
        <v>-0.99990270000000003</v>
      </c>
      <c r="N2105">
        <v>0</v>
      </c>
      <c r="O2105">
        <v>-1.0358249999999999E-2</v>
      </c>
      <c r="P2105">
        <v>-0.99940320000000005</v>
      </c>
      <c r="Q2105">
        <v>3.3730589999999998E-2</v>
      </c>
      <c r="R2105">
        <v>-7.4783690000000003E-3</v>
      </c>
      <c r="S2105">
        <v>-3.0025330000000001</v>
      </c>
      <c r="T2105">
        <v>-5.9100390000000003E-2</v>
      </c>
      <c r="U2105">
        <v>-0.14450070000000001</v>
      </c>
      <c r="V2105">
        <v>2.901158E-3</v>
      </c>
      <c r="W2105">
        <v>4.3077320000000002E-2</v>
      </c>
      <c r="X2105">
        <v>0.9990675</v>
      </c>
      <c r="Y2105">
        <v>-3.7716039999999999E-2</v>
      </c>
      <c r="Z2105">
        <v>-1.671989E-4</v>
      </c>
      <c r="AA2105">
        <v>0.99928850000000002</v>
      </c>
      <c r="AB2105">
        <v>40</v>
      </c>
      <c r="AC2105">
        <v>-56.0106999999999</v>
      </c>
      <c r="AD2105">
        <v>-1.1090042174879999</v>
      </c>
      <c r="AE2105">
        <v>-2.7082999999999999</v>
      </c>
      <c r="AF2105">
        <v>-2.1271245722078498</v>
      </c>
      <c r="AG2105">
        <v>-1.1090042174879999</v>
      </c>
      <c r="AH2105">
        <v>56.013841200884997</v>
      </c>
      <c r="AI2105">
        <v>91.133420065515907</v>
      </c>
      <c r="AJ2105">
        <v>92.174761150252394</v>
      </c>
      <c r="AK2105">
        <v>56.065184877765802</v>
      </c>
      <c r="AL2105">
        <v>87.531087322285202</v>
      </c>
      <c r="AM2105">
        <v>89.833621209900002</v>
      </c>
      <c r="AN2105">
        <v>0.99999997088618597</v>
      </c>
    </row>
    <row r="2106" spans="1:40" x14ac:dyDescent="0.25">
      <c r="A2106" t="str">
        <f>"20190312151027024"</f>
        <v>20190312151027024</v>
      </c>
      <c r="B2106" t="str">
        <f>"1552374627012834"</f>
        <v>1552374627012834</v>
      </c>
      <c r="C2106" t="s">
        <v>40</v>
      </c>
      <c r="D2106">
        <v>5.2481859999999996</v>
      </c>
      <c r="E2106">
        <v>0.48533229999999999</v>
      </c>
      <c r="F2106" t="s">
        <v>52</v>
      </c>
      <c r="G2106">
        <v>-363.62119999999999</v>
      </c>
      <c r="H2106" s="1">
        <v>3.9020430000000002E-7</v>
      </c>
      <c r="I2106">
        <v>280.20690000000002</v>
      </c>
      <c r="J2106">
        <v>-310.6241</v>
      </c>
      <c r="K2106">
        <v>1.108994</v>
      </c>
      <c r="L2106">
        <v>282.8082</v>
      </c>
      <c r="M2106">
        <v>-0.99990559999999995</v>
      </c>
      <c r="N2106">
        <v>0</v>
      </c>
      <c r="O2106">
        <v>-1.012673E-2</v>
      </c>
      <c r="P2106">
        <v>-0.99937220000000004</v>
      </c>
      <c r="Q2106">
        <v>3.4655690000000003E-2</v>
      </c>
      <c r="R2106">
        <v>-7.3734819999999998E-3</v>
      </c>
      <c r="S2106">
        <v>-3.002777</v>
      </c>
      <c r="T2106">
        <v>-6.236792E-2</v>
      </c>
      <c r="U2106">
        <v>-0.146514899999999</v>
      </c>
      <c r="V2106">
        <v>2.774969E-3</v>
      </c>
      <c r="W2106">
        <v>4.3948620000000001E-2</v>
      </c>
      <c r="X2106">
        <v>0.99902990000000003</v>
      </c>
      <c r="Y2106">
        <v>-3.8611390000000002E-2</v>
      </c>
      <c r="Z2106">
        <v>-1.9052049999999999E-4</v>
      </c>
      <c r="AA2106">
        <v>0.99925430000000004</v>
      </c>
      <c r="AB2106">
        <v>40</v>
      </c>
      <c r="AC2106">
        <v>-52.997099999999897</v>
      </c>
      <c r="AD2106">
        <v>-1.1089936097957001</v>
      </c>
      <c r="AE2106">
        <v>-2.6012999999999802</v>
      </c>
      <c r="AF2106">
        <v>-2.0635547214399002</v>
      </c>
      <c r="AG2106">
        <v>-1.1089936097957001</v>
      </c>
      <c r="AH2106">
        <v>52.9975753137346</v>
      </c>
      <c r="AI2106">
        <v>91.197852747554606</v>
      </c>
      <c r="AJ2106">
        <v>92.229786551612506</v>
      </c>
      <c r="AK2106">
        <v>53.049327178107703</v>
      </c>
      <c r="AL2106">
        <v>87.481118154906</v>
      </c>
      <c r="AM2106">
        <v>89.840852007452497</v>
      </c>
      <c r="AN2106">
        <v>0.99999996137343194</v>
      </c>
    </row>
    <row r="2107" spans="1:40" x14ac:dyDescent="0.25">
      <c r="A2107" t="str">
        <f>"20190312151027046"</f>
        <v>20190312151027046</v>
      </c>
      <c r="B2107" t="str">
        <f>"1552374627043090"</f>
        <v>1552374627043090</v>
      </c>
      <c r="C2107" t="s">
        <v>40</v>
      </c>
      <c r="D2107">
        <v>5.0525120000000001</v>
      </c>
      <c r="E2107">
        <v>0.48480810000000002</v>
      </c>
      <c r="F2107" t="s">
        <v>52</v>
      </c>
      <c r="G2107">
        <v>-376.8349</v>
      </c>
      <c r="H2107">
        <v>2.3866510000000001E-2</v>
      </c>
      <c r="I2107">
        <v>279.61630000000002</v>
      </c>
      <c r="J2107">
        <v>-311.03210000000001</v>
      </c>
      <c r="K2107">
        <v>1.108989</v>
      </c>
      <c r="L2107">
        <v>282.80430000000001</v>
      </c>
      <c r="M2107">
        <v>-0.99990840000000003</v>
      </c>
      <c r="N2107">
        <v>0</v>
      </c>
      <c r="O2107">
        <v>-9.8891299999999994E-3</v>
      </c>
      <c r="P2107">
        <v>-0.99935379999999996</v>
      </c>
      <c r="Q2107">
        <v>3.5226519999999997E-2</v>
      </c>
      <c r="R2107">
        <v>-7.1524079999999999E-3</v>
      </c>
      <c r="S2107">
        <v>-3.0025019999999998</v>
      </c>
      <c r="T2107">
        <v>-4.9207929999999997E-2</v>
      </c>
      <c r="U2107">
        <v>-0.14474489999999901</v>
      </c>
      <c r="V2107">
        <v>2.759006E-3</v>
      </c>
      <c r="W2107">
        <v>4.4464539999999997E-2</v>
      </c>
      <c r="X2107">
        <v>0.99900719999999998</v>
      </c>
      <c r="Y2107">
        <v>-3.8267919999999997E-2</v>
      </c>
      <c r="Z2107">
        <v>-1.514199E-4</v>
      </c>
      <c r="AA2107">
        <v>0.99926749999999998</v>
      </c>
      <c r="AB2107">
        <v>40</v>
      </c>
      <c r="AC2107">
        <v>-65.802799999999905</v>
      </c>
      <c r="AD2107">
        <v>-1.0851224900000001</v>
      </c>
      <c r="AE2107">
        <v>-3.1879999999999802</v>
      </c>
      <c r="AF2107">
        <v>-2.53639574181507</v>
      </c>
      <c r="AG2107">
        <v>-1.0851224900000001</v>
      </c>
      <c r="AH2107">
        <v>65.813254780927707</v>
      </c>
      <c r="AI2107">
        <v>90.943901012471201</v>
      </c>
      <c r="AJ2107">
        <v>92.207046081556001</v>
      </c>
      <c r="AK2107">
        <v>65.8710505384323</v>
      </c>
      <c r="AL2107">
        <v>87.451529406218597</v>
      </c>
      <c r="AM2107">
        <v>89.841763905656194</v>
      </c>
      <c r="AN2107">
        <v>1.0000000465416701</v>
      </c>
    </row>
    <row r="2108" spans="1:40" x14ac:dyDescent="0.25">
      <c r="A2108" t="str">
        <f>"20190312151027069"</f>
        <v>20190312151027069</v>
      </c>
      <c r="B2108" t="str">
        <f>"1552374627062610"</f>
        <v>1552374627062610</v>
      </c>
      <c r="C2108" t="s">
        <v>40</v>
      </c>
      <c r="D2108">
        <v>5.0611980000000001</v>
      </c>
      <c r="E2108">
        <v>0.48470089999999999</v>
      </c>
      <c r="F2108" t="s">
        <v>52</v>
      </c>
      <c r="G2108">
        <v>-389.96050000000002</v>
      </c>
      <c r="H2108">
        <v>8.0001470000000005E-2</v>
      </c>
      <c r="I2108">
        <v>278.91309999999999</v>
      </c>
      <c r="J2108">
        <v>-311.4316</v>
      </c>
      <c r="K2108">
        <v>1.108976</v>
      </c>
      <c r="L2108">
        <v>282.8005</v>
      </c>
      <c r="M2108">
        <v>-0.99991129999999995</v>
      </c>
      <c r="N2108">
        <v>0</v>
      </c>
      <c r="O2108">
        <v>-9.6565460000000002E-3</v>
      </c>
      <c r="P2108">
        <v>-0.99934339999999999</v>
      </c>
      <c r="Q2108">
        <v>3.5564239999999997E-2</v>
      </c>
      <c r="R2108">
        <v>-6.9519559999999996E-3</v>
      </c>
      <c r="S2108">
        <v>-3.0022579999999999</v>
      </c>
      <c r="T2108">
        <v>-3.9140340000000003E-2</v>
      </c>
      <c r="U2108">
        <v>-0.14801029999999901</v>
      </c>
      <c r="V2108">
        <v>2.7273190000000002E-3</v>
      </c>
      <c r="W2108">
        <v>4.4747969999999998E-2</v>
      </c>
      <c r="X2108">
        <v>0.99899459999999995</v>
      </c>
      <c r="Y2108">
        <v>-3.9589770000000003E-2</v>
      </c>
      <c r="Z2108">
        <v>-1.3209100000000001E-4</v>
      </c>
      <c r="AA2108">
        <v>0.99921599999999999</v>
      </c>
      <c r="AB2108">
        <v>40</v>
      </c>
      <c r="AC2108">
        <v>-78.528899999999993</v>
      </c>
      <c r="AD2108">
        <v>-1.0289745299999999</v>
      </c>
      <c r="AE2108">
        <v>-3.8874000000000102</v>
      </c>
      <c r="AF2108">
        <v>-3.1283330948298498</v>
      </c>
      <c r="AG2108">
        <v>-1.0289745299999999</v>
      </c>
      <c r="AH2108">
        <v>78.549325348792493</v>
      </c>
      <c r="AI2108">
        <v>90.749921568370695</v>
      </c>
      <c r="AJ2108">
        <v>92.280676580064494</v>
      </c>
      <c r="AK2108">
        <v>78.618329728416697</v>
      </c>
      <c r="AL2108">
        <v>87.435273803072903</v>
      </c>
      <c r="AM2108">
        <v>89.8435792547196</v>
      </c>
      <c r="AN2108">
        <v>1.0000000149585999</v>
      </c>
    </row>
    <row r="2109" spans="1:40" x14ac:dyDescent="0.25">
      <c r="A2109" t="str">
        <f>"20190312151027091"</f>
        <v>20190312151027091</v>
      </c>
      <c r="B2109" t="str">
        <f>"1552374627083106"</f>
        <v>1552374627083106</v>
      </c>
      <c r="C2109" t="s">
        <v>40</v>
      </c>
      <c r="D2109">
        <v>5.0769900000000003</v>
      </c>
      <c r="E2109">
        <v>0.48484670000000002</v>
      </c>
      <c r="F2109" t="s">
        <v>61</v>
      </c>
      <c r="G2109">
        <v>-401.17380000000003</v>
      </c>
      <c r="H2109">
        <v>8.0001669999999997E-2</v>
      </c>
      <c r="I2109">
        <v>278.37520000000001</v>
      </c>
      <c r="J2109">
        <v>-311.83179999999999</v>
      </c>
      <c r="K2109">
        <v>1.108967</v>
      </c>
      <c r="L2109">
        <v>282.79680000000002</v>
      </c>
      <c r="M2109">
        <v>-0.99991390000000002</v>
      </c>
      <c r="N2109">
        <v>0</v>
      </c>
      <c r="O2109">
        <v>-9.4232510000000005E-3</v>
      </c>
      <c r="P2109">
        <v>-0.99931409999999998</v>
      </c>
      <c r="Q2109">
        <v>3.6357550000000002E-2</v>
      </c>
      <c r="R2109">
        <v>-7.0465099999999998E-3</v>
      </c>
      <c r="S2109">
        <v>-3.002167</v>
      </c>
      <c r="T2109">
        <v>-3.4422519999999998E-2</v>
      </c>
      <c r="U2109">
        <v>-0.1480408</v>
      </c>
      <c r="V2109">
        <v>2.3999339999999998E-3</v>
      </c>
      <c r="W2109">
        <v>4.5487270000000003E-2</v>
      </c>
      <c r="X2109">
        <v>0.99896200000000002</v>
      </c>
      <c r="Y2109">
        <v>-3.983507E-2</v>
      </c>
      <c r="Z2109">
        <v>-1.2025229999999999E-4</v>
      </c>
      <c r="AA2109">
        <v>0.99920620000000004</v>
      </c>
      <c r="AB2109">
        <v>40</v>
      </c>
      <c r="AC2109">
        <v>-89.341999999999999</v>
      </c>
      <c r="AD2109">
        <v>-1.0289653299999999</v>
      </c>
      <c r="AE2109">
        <v>-4.4216000000000104</v>
      </c>
      <c r="AF2109">
        <v>-3.57900289151616</v>
      </c>
      <c r="AG2109">
        <v>-1.0289653299999999</v>
      </c>
      <c r="AH2109">
        <v>89.367875267229294</v>
      </c>
      <c r="AI2109">
        <v>90.659135635069404</v>
      </c>
      <c r="AJ2109">
        <v>92.293354703933105</v>
      </c>
      <c r="AK2109">
        <v>89.445431192022696</v>
      </c>
      <c r="AL2109">
        <v>87.392871722434094</v>
      </c>
      <c r="AM2109">
        <v>89.862351295880302</v>
      </c>
      <c r="AN2109">
        <v>0.99999996442962802</v>
      </c>
    </row>
    <row r="2110" spans="1:40" x14ac:dyDescent="0.25">
      <c r="A2110" t="str">
        <f>"20190312151027114"</f>
        <v>20190312151027114</v>
      </c>
      <c r="B2110" t="str">
        <f>"1552374627102626"</f>
        <v>1552374627102626</v>
      </c>
      <c r="C2110" t="s">
        <v>40</v>
      </c>
      <c r="D2110">
        <v>5.0395490000000001</v>
      </c>
      <c r="E2110">
        <v>0.48477399999999998</v>
      </c>
      <c r="F2110" t="s">
        <v>61</v>
      </c>
      <c r="G2110">
        <v>-427.01299999999998</v>
      </c>
      <c r="H2110" s="1">
        <v>3.809052E-6</v>
      </c>
      <c r="I2110">
        <v>277.1567</v>
      </c>
      <c r="J2110">
        <v>-312.23590000000002</v>
      </c>
      <c r="K2110">
        <v>1.1089610000000001</v>
      </c>
      <c r="L2110">
        <v>282.79320000000001</v>
      </c>
      <c r="M2110">
        <v>-0.99991660000000004</v>
      </c>
      <c r="N2110">
        <v>0</v>
      </c>
      <c r="O2110">
        <v>-9.1880539999999993E-3</v>
      </c>
      <c r="P2110">
        <v>-0.99927429999999995</v>
      </c>
      <c r="Q2110">
        <v>3.7425420000000001E-2</v>
      </c>
      <c r="R2110">
        <v>-7.1295710000000003E-3</v>
      </c>
      <c r="S2110">
        <v>-3.002075</v>
      </c>
      <c r="T2110">
        <v>-2.8903959999999999E-2</v>
      </c>
      <c r="U2110">
        <v>-0.1470032</v>
      </c>
      <c r="V2110">
        <v>2.0825319999999998E-3</v>
      </c>
      <c r="W2110">
        <v>4.6501849999999997E-2</v>
      </c>
      <c r="X2110">
        <v>0.99891600000000003</v>
      </c>
      <c r="Y2110">
        <v>-3.9727680000000001E-2</v>
      </c>
      <c r="Z2110">
        <v>-1.027247E-4</v>
      </c>
      <c r="AA2110">
        <v>0.9992105</v>
      </c>
      <c r="AB2110">
        <v>40</v>
      </c>
      <c r="AC2110">
        <v>-114.7771</v>
      </c>
      <c r="AD2110">
        <v>-1.108957190948</v>
      </c>
      <c r="AE2110">
        <v>-5.6365000000000096</v>
      </c>
      <c r="AF2110">
        <v>-4.58121379598043</v>
      </c>
      <c r="AG2110">
        <v>-1.108957190948</v>
      </c>
      <c r="AH2110">
        <v>114.813353179179</v>
      </c>
      <c r="AI2110">
        <v>90.552950276495196</v>
      </c>
      <c r="AJ2110">
        <v>92.284969813380997</v>
      </c>
      <c r="AK2110">
        <v>114.91006646131</v>
      </c>
      <c r="AL2110">
        <v>87.334678986841496</v>
      </c>
      <c r="AM2110">
        <v>89.880550395196494</v>
      </c>
      <c r="AN2110">
        <v>0.99999996702447602</v>
      </c>
    </row>
    <row r="2111" spans="1:40" x14ac:dyDescent="0.25">
      <c r="A2111" t="str">
        <f>"20190312151027135"</f>
        <v>20190312151027135</v>
      </c>
      <c r="B2111" t="str">
        <f>"1552374627132883"</f>
        <v>1552374627132883</v>
      </c>
      <c r="C2111" t="s">
        <v>40</v>
      </c>
      <c r="D2111">
        <v>5.0085879999999996</v>
      </c>
      <c r="E2111">
        <v>0.48461510000000002</v>
      </c>
      <c r="F2111" t="s">
        <v>52</v>
      </c>
      <c r="G2111">
        <v>-449.5428</v>
      </c>
      <c r="H2111">
        <v>8.0000500000000002E-2</v>
      </c>
      <c r="I2111">
        <v>276.04160000000002</v>
      </c>
      <c r="J2111">
        <v>-312.61869999999999</v>
      </c>
      <c r="K2111">
        <v>1.1089519999999999</v>
      </c>
      <c r="L2111">
        <v>282.78989999999999</v>
      </c>
      <c r="M2111">
        <v>-0.99991909999999895</v>
      </c>
      <c r="N2111">
        <v>0</v>
      </c>
      <c r="O2111">
        <v>-8.965509E-3</v>
      </c>
      <c r="P2111">
        <v>-0.99925540000000002</v>
      </c>
      <c r="Q2111">
        <v>3.7919029999999999E-2</v>
      </c>
      <c r="R2111">
        <v>-7.1464900000000001E-3</v>
      </c>
      <c r="S2111">
        <v>-3.0019840000000002</v>
      </c>
      <c r="T2111">
        <v>-2.2496459999999999E-2</v>
      </c>
      <c r="U2111">
        <v>-0.14761350000000001</v>
      </c>
      <c r="V2111">
        <v>1.8433130000000001E-3</v>
      </c>
      <c r="W2111">
        <v>4.694483E-2</v>
      </c>
      <c r="X2111">
        <v>0.9988958</v>
      </c>
      <c r="Y2111">
        <v>-4.0154750000000003E-2</v>
      </c>
      <c r="Z2111" s="1">
        <v>-8.3221049999999998E-5</v>
      </c>
      <c r="AA2111">
        <v>0.99919349999999996</v>
      </c>
      <c r="AB2111">
        <v>40</v>
      </c>
      <c r="AC2111">
        <v>-136.92410000000001</v>
      </c>
      <c r="AD2111">
        <v>-1.0289515</v>
      </c>
      <c r="AE2111">
        <v>-6.7482999999999702</v>
      </c>
      <c r="AF2111">
        <v>-5.5200735600759101</v>
      </c>
      <c r="AG2111">
        <v>-1.0289515</v>
      </c>
      <c r="AH2111">
        <v>136.971384595947</v>
      </c>
      <c r="AI2111">
        <v>90.430058106406406</v>
      </c>
      <c r="AJ2111">
        <v>92.307824051023204</v>
      </c>
      <c r="AK2111">
        <v>137.08643314138999</v>
      </c>
      <c r="AL2111">
        <v>87.309270486547504</v>
      </c>
      <c r="AM2111">
        <v>89.894269316840905</v>
      </c>
      <c r="AN2111">
        <v>1.00000001706209</v>
      </c>
    </row>
    <row r="2112" spans="1:40" x14ac:dyDescent="0.25">
      <c r="A2112" t="str">
        <f>"20190312151027158"</f>
        <v>20190312151027158</v>
      </c>
      <c r="B2112" t="str">
        <f>"1552374627153379"</f>
        <v>1552374627153379</v>
      </c>
      <c r="C2112" t="s">
        <v>40</v>
      </c>
      <c r="D2112">
        <v>4.8207509999999996</v>
      </c>
      <c r="E2112">
        <v>0.48454209999999898</v>
      </c>
      <c r="F2112" t="s">
        <v>50</v>
      </c>
      <c r="G2112">
        <v>-500.31959999999998</v>
      </c>
      <c r="H2112">
        <v>7.9999760000000003E-2</v>
      </c>
      <c r="I2112">
        <v>273.47930000000002</v>
      </c>
      <c r="J2112">
        <v>-313.02449999999999</v>
      </c>
      <c r="K2112">
        <v>1.1089439999999999</v>
      </c>
      <c r="L2112">
        <v>282.78640000000001</v>
      </c>
      <c r="M2112">
        <v>-0.99992170000000002</v>
      </c>
      <c r="N2112">
        <v>0</v>
      </c>
      <c r="O2112">
        <v>-8.7288839999999993E-3</v>
      </c>
      <c r="P2112">
        <v>-0.9992548</v>
      </c>
      <c r="Q2112">
        <v>3.7888659999999998E-2</v>
      </c>
      <c r="R2112">
        <v>-7.3892999999999997E-3</v>
      </c>
      <c r="S2112">
        <v>-3.0018310000000001</v>
      </c>
      <c r="T2112">
        <v>-1.6455649999999999E-2</v>
      </c>
      <c r="U2112">
        <v>-0.14889530000000001</v>
      </c>
      <c r="V2112">
        <v>1.3641839999999901E-3</v>
      </c>
      <c r="W2112">
        <v>4.6860520000000003E-2</v>
      </c>
      <c r="X2112">
        <v>0.99890049999999997</v>
      </c>
      <c r="Y2112">
        <v>-4.0819689999999999E-2</v>
      </c>
      <c r="Z2112" s="1">
        <v>-6.3994830000000001E-5</v>
      </c>
      <c r="AA2112">
        <v>0.99916649999999996</v>
      </c>
      <c r="AB2112">
        <v>40</v>
      </c>
      <c r="AC2112">
        <v>-187.29509999999999</v>
      </c>
      <c r="AD2112">
        <v>-1.02894424</v>
      </c>
      <c r="AE2112">
        <v>-9.3070999999999895</v>
      </c>
      <c r="AF2112">
        <v>-7.6715715029007399</v>
      </c>
      <c r="AG2112">
        <v>-1.02894424</v>
      </c>
      <c r="AH2112">
        <v>187.363566971323</v>
      </c>
      <c r="AI2112">
        <v>90.314384575435497</v>
      </c>
      <c r="AJ2112">
        <v>92.344656924029294</v>
      </c>
      <c r="AK2112">
        <v>187.523379779137</v>
      </c>
      <c r="AL2112">
        <v>87.314106340637494</v>
      </c>
      <c r="AM2112">
        <v>89.921752029269996</v>
      </c>
      <c r="AN2112">
        <v>0.99999998911645305</v>
      </c>
    </row>
    <row r="2113" spans="1:40" x14ac:dyDescent="0.25">
      <c r="A2113" t="str">
        <f>"20190312151027180"</f>
        <v>20190312151027180</v>
      </c>
      <c r="B2113" t="str">
        <f>"1552374627172898"</f>
        <v>1552374627172898</v>
      </c>
      <c r="C2113" t="s">
        <v>40</v>
      </c>
      <c r="D2113">
        <v>4.8362429999999996</v>
      </c>
      <c r="E2113">
        <v>0.48443629999999999</v>
      </c>
      <c r="F2113" t="s">
        <v>60</v>
      </c>
      <c r="G2113">
        <v>-512.8252</v>
      </c>
      <c r="H2113">
        <v>0.17425489999999999</v>
      </c>
      <c r="I2113">
        <v>272.78399999999999</v>
      </c>
      <c r="J2113">
        <v>-313.43549999999999</v>
      </c>
      <c r="K2113">
        <v>1.1089340000000001</v>
      </c>
      <c r="L2113">
        <v>282.78300000000002</v>
      </c>
      <c r="M2113">
        <v>-0.99992409999999998</v>
      </c>
      <c r="N2113">
        <v>0</v>
      </c>
      <c r="O2113">
        <v>-8.4891619999999997E-3</v>
      </c>
      <c r="P2113">
        <v>-0.99925759999999997</v>
      </c>
      <c r="Q2113">
        <v>3.7781919999999997E-2</v>
      </c>
      <c r="R2113">
        <v>-7.532749E-3</v>
      </c>
      <c r="S2113">
        <v>-3.0016479999999999</v>
      </c>
      <c r="T2113">
        <v>-1.4040830000000001E-2</v>
      </c>
      <c r="U2113">
        <v>-0.1502686</v>
      </c>
      <c r="V2113">
        <v>9.8101239999999999E-4</v>
      </c>
      <c r="W2113">
        <v>4.6698570000000002E-2</v>
      </c>
      <c r="X2113">
        <v>0.99890849999999998</v>
      </c>
      <c r="Y2113">
        <v>-4.1518359999999997E-2</v>
      </c>
      <c r="Z2113" s="1">
        <v>-5.7360189999999999E-5</v>
      </c>
      <c r="AA2113">
        <v>0.99913779999999996</v>
      </c>
      <c r="AB2113">
        <v>40</v>
      </c>
      <c r="AC2113">
        <v>-199.3897</v>
      </c>
      <c r="AD2113">
        <v>-0.93467909999999998</v>
      </c>
      <c r="AE2113">
        <v>-9.9990000000000201</v>
      </c>
      <c r="AF2113">
        <v>-8.3057386699451108</v>
      </c>
      <c r="AG2113">
        <v>-0.93467909999999998</v>
      </c>
      <c r="AH2113">
        <v>199.463029104751</v>
      </c>
      <c r="AI2113">
        <v>90.268252259404306</v>
      </c>
      <c r="AJ2113">
        <v>92.384446930593498</v>
      </c>
      <c r="AK2113">
        <v>199.63806976505299</v>
      </c>
      <c r="AL2113">
        <v>87.323395470610805</v>
      </c>
      <c r="AM2113">
        <v>89.943730729992396</v>
      </c>
      <c r="AN2113">
        <v>0.99999995509881001</v>
      </c>
    </row>
    <row r="2114" spans="1:40" x14ac:dyDescent="0.25">
      <c r="A2114" t="str">
        <f>"20190312151027203"</f>
        <v>20190312151027203</v>
      </c>
      <c r="B2114" t="str">
        <f>"1552374627193395"</f>
        <v>1552374627193395</v>
      </c>
      <c r="C2114" t="s">
        <v>40</v>
      </c>
      <c r="D2114">
        <v>5.0406870000000001</v>
      </c>
      <c r="E2114">
        <v>0.48455880000000001</v>
      </c>
      <c r="F2114" t="s">
        <v>60</v>
      </c>
      <c r="G2114">
        <v>-512.82529999999997</v>
      </c>
      <c r="H2114">
        <v>0.26860889999999998</v>
      </c>
      <c r="I2114">
        <v>272.72800000000001</v>
      </c>
      <c r="J2114">
        <v>-313.83339999999998</v>
      </c>
      <c r="K2114">
        <v>1.108927</v>
      </c>
      <c r="L2114">
        <v>282.77980000000002</v>
      </c>
      <c r="M2114">
        <v>-0.99992650000000005</v>
      </c>
      <c r="N2114">
        <v>0</v>
      </c>
      <c r="O2114">
        <v>-8.2580409999999903E-3</v>
      </c>
      <c r="P2114">
        <v>-0.99926400000000004</v>
      </c>
      <c r="Q2114">
        <v>3.755965E-2</v>
      </c>
      <c r="R2114">
        <v>-7.7962919999999998E-3</v>
      </c>
      <c r="S2114">
        <v>-3.0015869999999998</v>
      </c>
      <c r="T2114">
        <v>-1.2648939999999999E-2</v>
      </c>
      <c r="U2114">
        <v>-0.15136720000000001</v>
      </c>
      <c r="V2114">
        <v>4.865739E-4</v>
      </c>
      <c r="W2114">
        <v>4.6427080000000003E-2</v>
      </c>
      <c r="X2114">
        <v>0.99892159999999997</v>
      </c>
      <c r="Y2114">
        <v>-4.2115149999999997E-2</v>
      </c>
      <c r="Z2114" s="1">
        <v>-5.3904569999999997E-5</v>
      </c>
      <c r="AA2114">
        <v>0.99911280000000002</v>
      </c>
      <c r="AB2114">
        <v>40</v>
      </c>
      <c r="AC2114">
        <v>-198.99189999999999</v>
      </c>
      <c r="AD2114">
        <v>-0.84031809999999996</v>
      </c>
      <c r="AE2114">
        <v>-10.0518</v>
      </c>
      <c r="AF2114">
        <v>-8.4079596523025906</v>
      </c>
      <c r="AG2114">
        <v>-0.84031809999999996</v>
      </c>
      <c r="AH2114">
        <v>199.064584826122</v>
      </c>
      <c r="AI2114">
        <v>90.241647735076796</v>
      </c>
      <c r="AJ2114">
        <v>92.418584074372703</v>
      </c>
      <c r="AK2114">
        <v>199.24384269537799</v>
      </c>
      <c r="AL2114">
        <v>87.338967810008697</v>
      </c>
      <c r="AM2114">
        <v>89.972091274544098</v>
      </c>
      <c r="AN2114">
        <v>1.00000003672902</v>
      </c>
    </row>
    <row r="2115" spans="1:40" x14ac:dyDescent="0.25">
      <c r="A2115" t="str">
        <f>"20190312151027224"</f>
        <v>20190312151027224</v>
      </c>
      <c r="B2115" t="str">
        <f>"1552374627212914"</f>
        <v>1552374627212914</v>
      </c>
      <c r="C2115" t="s">
        <v>40</v>
      </c>
      <c r="D2115">
        <v>5.0704560000000001</v>
      </c>
      <c r="E2115">
        <v>0.48462359999999999</v>
      </c>
      <c r="F2115" t="s">
        <v>60</v>
      </c>
      <c r="G2115">
        <v>-512.82529999999997</v>
      </c>
      <c r="H2115">
        <v>0.23436390000000001</v>
      </c>
      <c r="I2115">
        <v>272.76679999999999</v>
      </c>
      <c r="J2115">
        <v>-314.23770000000002</v>
      </c>
      <c r="K2115">
        <v>1.1089169999999999</v>
      </c>
      <c r="L2115">
        <v>282.77659999999997</v>
      </c>
      <c r="M2115">
        <v>-0.99992879999999995</v>
      </c>
      <c r="N2115">
        <v>0</v>
      </c>
      <c r="O2115">
        <v>-8.0229949999999998E-3</v>
      </c>
      <c r="P2115">
        <v>-0.99926720000000002</v>
      </c>
      <c r="Q2115">
        <v>3.7414139999999999E-2</v>
      </c>
      <c r="R2115">
        <v>-8.0808979999999996E-3</v>
      </c>
      <c r="S2115">
        <v>-3.0014949999999998</v>
      </c>
      <c r="T2115">
        <v>-1.319027E-2</v>
      </c>
      <c r="U2115">
        <v>-0.15103150000000001</v>
      </c>
      <c r="V2115" s="1">
        <v>-3.2896929999999901E-5</v>
      </c>
      <c r="W2115">
        <v>4.6233209999999997E-2</v>
      </c>
      <c r="X2115">
        <v>0.99893069999999895</v>
      </c>
      <c r="Y2115">
        <v>-4.2240050000000001E-2</v>
      </c>
      <c r="Z2115" s="1">
        <v>-5.7519789999999997E-5</v>
      </c>
      <c r="AA2115">
        <v>0.99910750000000004</v>
      </c>
      <c r="AB2115">
        <v>40</v>
      </c>
      <c r="AC2115">
        <v>-198.58759999999899</v>
      </c>
      <c r="AD2115">
        <v>-0.87455309999999897</v>
      </c>
      <c r="AE2115">
        <v>-10.009799999999901</v>
      </c>
      <c r="AF2115">
        <v>-8.4159855217462205</v>
      </c>
      <c r="AG2115">
        <v>-0.87455309999999897</v>
      </c>
      <c r="AH2115">
        <v>198.657676709546</v>
      </c>
      <c r="AI2115">
        <v>90.252006238383302</v>
      </c>
      <c r="AJ2115">
        <v>92.425842765150506</v>
      </c>
      <c r="AK2115">
        <v>198.83778858924501</v>
      </c>
      <c r="AL2115">
        <v>87.350087657562796</v>
      </c>
      <c r="AM2115">
        <v>90.001886872880405</v>
      </c>
      <c r="AN2115">
        <v>1.0000000270958</v>
      </c>
    </row>
    <row r="2116" spans="1:40" x14ac:dyDescent="0.25">
      <c r="A2116" t="str">
        <f>"20190312151027248"</f>
        <v>20190312151027248</v>
      </c>
      <c r="B2116" t="str">
        <f>"1552374627243171"</f>
        <v>1552374627243171</v>
      </c>
      <c r="C2116" t="s">
        <v>40</v>
      </c>
      <c r="D2116">
        <v>4.895454</v>
      </c>
      <c r="E2116">
        <v>0.48508069999999998</v>
      </c>
      <c r="F2116" t="s">
        <v>60</v>
      </c>
      <c r="G2116">
        <v>-512.8252</v>
      </c>
      <c r="H2116">
        <v>0.19420799999999999</v>
      </c>
      <c r="I2116">
        <v>272.7697</v>
      </c>
      <c r="J2116">
        <v>-314.65030000000002</v>
      </c>
      <c r="K2116">
        <v>1.1089169999999999</v>
      </c>
      <c r="L2116">
        <v>282.77350000000001</v>
      </c>
      <c r="M2116">
        <v>-0.99993129999999997</v>
      </c>
      <c r="N2116">
        <v>0</v>
      </c>
      <c r="O2116">
        <v>-7.7835400000000003E-3</v>
      </c>
      <c r="P2116">
        <v>-0.99930169999999996</v>
      </c>
      <c r="Q2116">
        <v>3.6373460000000003E-2</v>
      </c>
      <c r="R2116">
        <v>-8.5565759999999998E-3</v>
      </c>
      <c r="S2116">
        <v>-3.001465</v>
      </c>
      <c r="T2116">
        <v>-1.3823749999999999E-2</v>
      </c>
      <c r="U2116">
        <v>-0.15124509999999999</v>
      </c>
      <c r="V2116">
        <v>-7.4864919999999995E-4</v>
      </c>
      <c r="W2116">
        <v>4.5144770000000001E-2</v>
      </c>
      <c r="X2116">
        <v>0.99898019999999998</v>
      </c>
      <c r="Y2116">
        <v>-4.2550709999999999E-2</v>
      </c>
      <c r="Z2116" s="1">
        <v>-6.209973E-5</v>
      </c>
      <c r="AA2116">
        <v>0.99909429999999999</v>
      </c>
      <c r="AB2116">
        <v>41</v>
      </c>
      <c r="AC2116">
        <v>-198.17490000000001</v>
      </c>
      <c r="AD2116">
        <v>-0.91470899999999999</v>
      </c>
      <c r="AE2116">
        <v>-10.0038</v>
      </c>
      <c r="AF2116">
        <v>-8.4607556409274203</v>
      </c>
      <c r="AG2116">
        <v>-0.91470899999999999</v>
      </c>
      <c r="AH2116">
        <v>198.24255165494401</v>
      </c>
      <c r="AI2116">
        <v>90.264125577424494</v>
      </c>
      <c r="AJ2116">
        <v>92.443832449465205</v>
      </c>
      <c r="AK2116">
        <v>198.42512533757699</v>
      </c>
      <c r="AL2116">
        <v>87.4125158657219</v>
      </c>
      <c r="AM2116">
        <v>90.042938219862293</v>
      </c>
      <c r="AN2116">
        <v>1.0000000253629999</v>
      </c>
    </row>
    <row r="2117" spans="1:40" x14ac:dyDescent="0.25">
      <c r="A2117" t="str">
        <f>"20190312151027270"</f>
        <v>20190312151027270</v>
      </c>
      <c r="B2117" t="str">
        <f>"1552374627262690"</f>
        <v>1552374627262690</v>
      </c>
      <c r="C2117" t="s">
        <v>40</v>
      </c>
      <c r="D2117">
        <v>4.9150460000000002</v>
      </c>
      <c r="E2117">
        <v>0.48558040000000002</v>
      </c>
      <c r="F2117" t="s">
        <v>52</v>
      </c>
      <c r="G2117">
        <v>-337.14569999999998</v>
      </c>
      <c r="H2117" s="1">
        <v>2.3965369999999998E-6</v>
      </c>
      <c r="I2117">
        <v>281.62529999999998</v>
      </c>
      <c r="J2117">
        <v>-315.06389999999999</v>
      </c>
      <c r="K2117">
        <v>1.1089100000000001</v>
      </c>
      <c r="L2117">
        <v>282.77050000000003</v>
      </c>
      <c r="M2117">
        <v>-0.99993359999999998</v>
      </c>
      <c r="N2117">
        <v>0</v>
      </c>
      <c r="O2117">
        <v>-7.5436119999999999E-3</v>
      </c>
      <c r="P2117">
        <v>-0.99930180000000002</v>
      </c>
      <c r="Q2117">
        <v>3.6296210000000002E-2</v>
      </c>
      <c r="R2117">
        <v>-8.8805489999999997E-3</v>
      </c>
      <c r="S2117">
        <v>-3.0061650000000002</v>
      </c>
      <c r="T2117">
        <v>-0.14818970000000001</v>
      </c>
      <c r="U2117">
        <v>-0.15344240000000001</v>
      </c>
      <c r="V2117">
        <v>-1.31170299999999E-3</v>
      </c>
      <c r="W2117">
        <v>4.5020440000000002E-2</v>
      </c>
      <c r="X2117">
        <v>0.99898520000000002</v>
      </c>
      <c r="Y2117">
        <v>-4.339726E-2</v>
      </c>
      <c r="Z2117">
        <v>-6.9690520000000001E-4</v>
      </c>
      <c r="AA2117">
        <v>0.99905770000000005</v>
      </c>
      <c r="AB2117">
        <v>41</v>
      </c>
      <c r="AC2117">
        <v>-22.081799999999902</v>
      </c>
      <c r="AD2117">
        <v>-1.1089076034630001</v>
      </c>
      <c r="AE2117">
        <v>-1.14520000000004</v>
      </c>
      <c r="AF2117">
        <v>-0.97612949684636097</v>
      </c>
      <c r="AG2117">
        <v>-1.1089076034630001</v>
      </c>
      <c r="AH2117">
        <v>22.0343922220979</v>
      </c>
      <c r="AI2117">
        <v>92.878231020204296</v>
      </c>
      <c r="AJ2117">
        <v>92.5365599526572</v>
      </c>
      <c r="AK2117">
        <v>22.0838616520046</v>
      </c>
      <c r="AL2117">
        <v>87.419646622117298</v>
      </c>
      <c r="AM2117">
        <v>90.0752313474554</v>
      </c>
      <c r="AN2117">
        <v>0.99999999520079697</v>
      </c>
    </row>
    <row r="2118" spans="1:40" x14ac:dyDescent="0.25">
      <c r="A2118" t="str">
        <f>"20190312151027292"</f>
        <v>20190312151027292</v>
      </c>
      <c r="B2118" t="str">
        <f>"1552374627283186"</f>
        <v>1552374627283186</v>
      </c>
      <c r="C2118" t="s">
        <v>40</v>
      </c>
      <c r="D2118">
        <v>4.9221360000000001</v>
      </c>
      <c r="E2118">
        <v>0.48635349999999999</v>
      </c>
      <c r="F2118" t="s">
        <v>52</v>
      </c>
      <c r="G2118">
        <v>-338.9323</v>
      </c>
      <c r="H2118" s="1">
        <v>3.349322E-6</v>
      </c>
      <c r="I2118">
        <v>281.57799999999997</v>
      </c>
      <c r="J2118">
        <v>-315.46480000000003</v>
      </c>
      <c r="K2118">
        <v>1.1089039999999999</v>
      </c>
      <c r="L2118">
        <v>282.76760000000002</v>
      </c>
      <c r="M2118">
        <v>-0.99993569999999998</v>
      </c>
      <c r="N2118">
        <v>0</v>
      </c>
      <c r="O2118">
        <v>-7.3108490000000003E-3</v>
      </c>
      <c r="P2118">
        <v>-0.99931619999999999</v>
      </c>
      <c r="Q2118">
        <v>3.5905060000000003E-2</v>
      </c>
      <c r="R2118">
        <v>-8.8543440000000001E-3</v>
      </c>
      <c r="S2118">
        <v>-3.0058289999999999</v>
      </c>
      <c r="T2118">
        <v>-0.13964889999999999</v>
      </c>
      <c r="U2118">
        <v>-0.150177</v>
      </c>
      <c r="V2118">
        <v>-1.5184700000000001E-3</v>
      </c>
      <c r="W2118">
        <v>4.4583619999999997E-2</v>
      </c>
      <c r="X2118">
        <v>0.99900449999999996</v>
      </c>
      <c r="Y2118">
        <v>-4.255842E-2</v>
      </c>
      <c r="Z2118">
        <v>-6.4821300000000002E-4</v>
      </c>
      <c r="AA2118">
        <v>0.99909380000000003</v>
      </c>
      <c r="AB2118">
        <v>41</v>
      </c>
      <c r="AC2118">
        <v>-23.467499999999902</v>
      </c>
      <c r="AD2118">
        <v>-1.1089006506779999</v>
      </c>
      <c r="AE2118">
        <v>-1.18960000000004</v>
      </c>
      <c r="AF2118">
        <v>-1.0157322866632901</v>
      </c>
      <c r="AG2118">
        <v>-1.1089006506779999</v>
      </c>
      <c r="AH2118">
        <v>23.423404158646001</v>
      </c>
      <c r="AI2118">
        <v>92.707907236181995</v>
      </c>
      <c r="AJ2118">
        <v>92.483018060415503</v>
      </c>
      <c r="AK2118">
        <v>23.471626170986099</v>
      </c>
      <c r="AL2118">
        <v>87.444699728124903</v>
      </c>
      <c r="AM2118">
        <v>90.087088551969202</v>
      </c>
      <c r="AN2118">
        <v>0.99999999797184702</v>
      </c>
    </row>
    <row r="2119" spans="1:40" x14ac:dyDescent="0.25">
      <c r="A2119" t="str">
        <f>"20190312151027314"</f>
        <v>20190312151027314</v>
      </c>
      <c r="B2119" t="str">
        <f>"1552374627302706"</f>
        <v>1552374627302706</v>
      </c>
      <c r="C2119" t="s">
        <v>40</v>
      </c>
      <c r="D2119">
        <v>4.9571170000000002</v>
      </c>
      <c r="E2119">
        <v>0.4861877</v>
      </c>
      <c r="F2119" t="s">
        <v>52</v>
      </c>
      <c r="G2119">
        <v>-338.99740000000003</v>
      </c>
      <c r="H2119" s="1">
        <v>3.381248E-6</v>
      </c>
      <c r="I2119">
        <v>281.6404</v>
      </c>
      <c r="J2119">
        <v>-315.87189999999998</v>
      </c>
      <c r="K2119">
        <v>1.108892</v>
      </c>
      <c r="L2119">
        <v>282.76490000000001</v>
      </c>
      <c r="M2119">
        <v>-0.99993770000000004</v>
      </c>
      <c r="N2119">
        <v>0</v>
      </c>
      <c r="O2119">
        <v>-7.0749879999999999E-3</v>
      </c>
      <c r="P2119">
        <v>-0.99930300000000005</v>
      </c>
      <c r="Q2119">
        <v>3.6202230000000002E-2</v>
      </c>
      <c r="R2119">
        <v>-9.1044309999999996E-3</v>
      </c>
      <c r="S2119">
        <v>-3.005798</v>
      </c>
      <c r="T2119">
        <v>-0.1416394</v>
      </c>
      <c r="U2119">
        <v>-0.1439819</v>
      </c>
      <c r="V2119">
        <v>-2.0043370000000001E-3</v>
      </c>
      <c r="W2119">
        <v>4.4836569999999999E-2</v>
      </c>
      <c r="X2119">
        <v>0.99899230000000006</v>
      </c>
      <c r="Y2119">
        <v>-4.074092E-2</v>
      </c>
      <c r="Z2119">
        <v>-6.2580790000000002E-4</v>
      </c>
      <c r="AA2119">
        <v>0.99916950000000004</v>
      </c>
      <c r="AB2119">
        <v>41</v>
      </c>
      <c r="AC2119">
        <v>-23.125499999999999</v>
      </c>
      <c r="AD2119">
        <v>-1.108888618752</v>
      </c>
      <c r="AE2119">
        <v>-1.12450000000001</v>
      </c>
      <c r="AF2119">
        <v>-0.95865409723647899</v>
      </c>
      <c r="AG2119">
        <v>-1.108888618752</v>
      </c>
      <c r="AH2119">
        <v>23.079935028548601</v>
      </c>
      <c r="AI2119">
        <v>92.748326973010805</v>
      </c>
      <c r="AJ2119">
        <v>92.378484977279996</v>
      </c>
      <c r="AK2119">
        <v>23.126436227161602</v>
      </c>
      <c r="AL2119">
        <v>87.430192195208804</v>
      </c>
      <c r="AM2119">
        <v>90.114955737623802</v>
      </c>
      <c r="AN2119">
        <v>0.999999975417732</v>
      </c>
    </row>
    <row r="2120" spans="1:40" x14ac:dyDescent="0.25">
      <c r="A2120" t="str">
        <f>"20190312151027335"</f>
        <v>20190312151027335</v>
      </c>
      <c r="B2120" t="str">
        <f>"1552374627332962"</f>
        <v>1552374627332962</v>
      </c>
      <c r="C2120" t="s">
        <v>40</v>
      </c>
      <c r="D2120">
        <v>5.0874879999999996</v>
      </c>
      <c r="E2120">
        <v>0.48632589999999998</v>
      </c>
      <c r="F2120" t="s">
        <v>52</v>
      </c>
      <c r="G2120">
        <v>-339.6782</v>
      </c>
      <c r="H2120" s="1">
        <v>3.7449619999999999E-6</v>
      </c>
      <c r="I2120">
        <v>281.60840000000002</v>
      </c>
      <c r="J2120">
        <v>-316.26350000000002</v>
      </c>
      <c r="K2120">
        <v>1.108887</v>
      </c>
      <c r="L2120">
        <v>282.76229999999998</v>
      </c>
      <c r="M2120">
        <v>-0.99993969999999999</v>
      </c>
      <c r="N2120">
        <v>0</v>
      </c>
      <c r="O2120">
        <v>-6.8477340000000003E-3</v>
      </c>
      <c r="P2120">
        <v>-0.99928799999999995</v>
      </c>
      <c r="Q2120">
        <v>3.6731399999999997E-2</v>
      </c>
      <c r="R2120">
        <v>-8.6297070000000003E-3</v>
      </c>
      <c r="S2120">
        <v>-3.0058590000000001</v>
      </c>
      <c r="T2120">
        <v>-0.14001169999999999</v>
      </c>
      <c r="U2120">
        <v>-0.14602660000000001</v>
      </c>
      <c r="V2120">
        <v>-1.7565930000000001E-3</v>
      </c>
      <c r="W2120">
        <v>4.5324839999999998E-2</v>
      </c>
      <c r="X2120">
        <v>0.99897069999999999</v>
      </c>
      <c r="Y2120">
        <v>-4.1644729999999998E-2</v>
      </c>
      <c r="Z2120">
        <v>-6.5020019999999896E-4</v>
      </c>
      <c r="AA2120">
        <v>0.99913229999999997</v>
      </c>
      <c r="AB2120">
        <v>41</v>
      </c>
      <c r="AC2120">
        <v>-23.4146999999999</v>
      </c>
      <c r="AD2120">
        <v>-1.1088832550379999</v>
      </c>
      <c r="AE2120">
        <v>-1.15389999999996</v>
      </c>
      <c r="AF2120">
        <v>-0.991311450427249</v>
      </c>
      <c r="AG2120">
        <v>-1.1088832550379999</v>
      </c>
      <c r="AH2120">
        <v>23.3697656733667</v>
      </c>
      <c r="AI2120">
        <v>92.7141803467877</v>
      </c>
      <c r="AJ2120">
        <v>92.428947455800596</v>
      </c>
      <c r="AK2120">
        <v>23.4170507983631</v>
      </c>
      <c r="AL2120">
        <v>87.402187829358994</v>
      </c>
      <c r="AM2120">
        <v>90.1007489623982</v>
      </c>
      <c r="AN2120">
        <v>0.99999994309924001</v>
      </c>
    </row>
    <row r="2121" spans="1:40" x14ac:dyDescent="0.25">
      <c r="A2121" t="str">
        <f>"20190312151027359"</f>
        <v>20190312151027359</v>
      </c>
      <c r="B2121" t="str">
        <f>"1552374627352486"</f>
        <v>1552374627352486</v>
      </c>
      <c r="C2121" t="s">
        <v>40</v>
      </c>
      <c r="D2121">
        <v>4.9790229999999998</v>
      </c>
      <c r="E2121">
        <v>0.48661399999999999</v>
      </c>
      <c r="F2121" t="s">
        <v>52</v>
      </c>
      <c r="G2121">
        <v>-340.6071</v>
      </c>
      <c r="H2121" s="1">
        <v>-1.21375E-6</v>
      </c>
      <c r="I2121">
        <v>281.5994</v>
      </c>
      <c r="J2121">
        <v>-316.69189999999998</v>
      </c>
      <c r="K2121">
        <v>1.1088849999999999</v>
      </c>
      <c r="L2121">
        <v>282.7595</v>
      </c>
      <c r="M2121">
        <v>-0.99994170000000004</v>
      </c>
      <c r="N2121">
        <v>0</v>
      </c>
      <c r="O2121">
        <v>-6.5994900000000004E-3</v>
      </c>
      <c r="P2121">
        <v>-0.99928870000000003</v>
      </c>
      <c r="Q2121">
        <v>3.6841390000000002E-2</v>
      </c>
      <c r="R2121">
        <v>-8.0817059999999993E-3</v>
      </c>
      <c r="S2121">
        <v>-3.0059200000000001</v>
      </c>
      <c r="T2121">
        <v>-0.13692460000000001</v>
      </c>
      <c r="U2121">
        <v>-0.1435852</v>
      </c>
      <c r="V2121">
        <v>-1.4560129999999999E-3</v>
      </c>
      <c r="W2121">
        <v>4.5392479999999999E-2</v>
      </c>
      <c r="X2121">
        <v>0.99896819999999997</v>
      </c>
      <c r="Y2121">
        <v>-4.1084139999999998E-2</v>
      </c>
      <c r="Z2121">
        <v>-6.3441970000000002E-4</v>
      </c>
      <c r="AA2121">
        <v>0.99915549999999997</v>
      </c>
      <c r="AB2121">
        <v>41</v>
      </c>
      <c r="AC2121">
        <v>-23.915199999999999</v>
      </c>
      <c r="AD2121">
        <v>-1.10888621375</v>
      </c>
      <c r="AE2121">
        <v>-1.1600999999999999</v>
      </c>
      <c r="AF2121">
        <v>-1.00009575090179</v>
      </c>
      <c r="AG2121">
        <v>-1.10888621375</v>
      </c>
      <c r="AH2121">
        <v>23.871134534392301</v>
      </c>
      <c r="AI2121">
        <v>92.657322083843795</v>
      </c>
      <c r="AJ2121">
        <v>92.399038677891994</v>
      </c>
      <c r="AK2121">
        <v>23.917794298494002</v>
      </c>
      <c r="AL2121">
        <v>87.398308578340902</v>
      </c>
      <c r="AM2121">
        <v>90.083509505850699</v>
      </c>
      <c r="AN2121">
        <v>1.0000000309128201</v>
      </c>
    </row>
    <row r="2122" spans="1:40" x14ac:dyDescent="0.25">
      <c r="A2122" t="str">
        <f>"20190312151027380"</f>
        <v>20190312151027380</v>
      </c>
      <c r="B2122" t="str">
        <f>"1552374627372978"</f>
        <v>1552374627372978</v>
      </c>
      <c r="C2122" t="s">
        <v>40</v>
      </c>
      <c r="D2122">
        <v>4.9598879999999896</v>
      </c>
      <c r="E2122">
        <v>0.48690139999999998</v>
      </c>
      <c r="F2122" t="s">
        <v>52</v>
      </c>
      <c r="G2122">
        <v>-341.99759999999998</v>
      </c>
      <c r="H2122" s="1">
        <v>-4.73755E-7</v>
      </c>
      <c r="I2122">
        <v>281.5872</v>
      </c>
      <c r="J2122">
        <v>-317.0856</v>
      </c>
      <c r="K2122">
        <v>1.1088800000000001</v>
      </c>
      <c r="L2122">
        <v>282.75709999999998</v>
      </c>
      <c r="M2122">
        <v>-0.99994349999999999</v>
      </c>
      <c r="N2122">
        <v>0</v>
      </c>
      <c r="O2122">
        <v>-6.3711740000000003E-3</v>
      </c>
      <c r="P2122">
        <v>-0.99927710000000003</v>
      </c>
      <c r="Q2122">
        <v>3.7183149999999998E-2</v>
      </c>
      <c r="R2122">
        <v>-7.9274020000000001E-3</v>
      </c>
      <c r="S2122">
        <v>-3.0058289999999999</v>
      </c>
      <c r="T2122">
        <v>-0.131714</v>
      </c>
      <c r="U2122">
        <v>-0.13925170000000001</v>
      </c>
      <c r="V2122">
        <v>-1.529826E-3</v>
      </c>
      <c r="W2122">
        <v>4.5696849999999997E-2</v>
      </c>
      <c r="X2122">
        <v>0.99895420000000001</v>
      </c>
      <c r="Y2122">
        <v>-3.9879989999999997E-2</v>
      </c>
      <c r="Z2122">
        <v>-5.9397759999999997E-4</v>
      </c>
      <c r="AA2122">
        <v>0.99920430000000005</v>
      </c>
      <c r="AB2122">
        <v>41</v>
      </c>
      <c r="AC2122">
        <v>-24.9119999999999</v>
      </c>
      <c r="AD2122">
        <v>-1.10888047375499</v>
      </c>
      <c r="AE2122">
        <v>-1.16989999999998</v>
      </c>
      <c r="AF2122">
        <v>-1.00915676893058</v>
      </c>
      <c r="AG2122">
        <v>-1.10888047375499</v>
      </c>
      <c r="AH2122">
        <v>24.869781951302802</v>
      </c>
      <c r="AI2122">
        <v>92.550886079806403</v>
      </c>
      <c r="AJ2122">
        <v>92.323652074319199</v>
      </c>
      <c r="AK2122">
        <v>24.914936636377401</v>
      </c>
      <c r="AL2122">
        <v>87.380851313464504</v>
      </c>
      <c r="AM2122">
        <v>90.087744267621503</v>
      </c>
      <c r="AN2122">
        <v>1.0000000180825701</v>
      </c>
    </row>
    <row r="2123" spans="1:40" x14ac:dyDescent="0.25">
      <c r="A2123" t="str">
        <f>"20190312151027404"</f>
        <v>20190312151027404</v>
      </c>
      <c r="B2123" t="str">
        <f>"1552374627392498"</f>
        <v>1552374627392498</v>
      </c>
      <c r="C2123" t="s">
        <v>40</v>
      </c>
      <c r="D2123">
        <v>4.9734119999999997</v>
      </c>
      <c r="E2123">
        <v>0.50631359999999903</v>
      </c>
      <c r="F2123" t="s">
        <v>52</v>
      </c>
      <c r="G2123">
        <v>-343.35829999999999</v>
      </c>
      <c r="H2123" s="1">
        <v>2.5034019999999999E-7</v>
      </c>
      <c r="I2123">
        <v>281.5634</v>
      </c>
      <c r="J2123">
        <v>-317.50510000000003</v>
      </c>
      <c r="K2123">
        <v>1.1088659999999999</v>
      </c>
      <c r="L2123">
        <v>282.75459999999998</v>
      </c>
      <c r="M2123">
        <v>-0.99994530000000004</v>
      </c>
      <c r="N2123">
        <v>0</v>
      </c>
      <c r="O2123">
        <v>-6.1283199999999996E-3</v>
      </c>
      <c r="P2123">
        <v>-0.99929730000000005</v>
      </c>
      <c r="Q2123">
        <v>3.676629E-2</v>
      </c>
      <c r="R2123">
        <v>-7.297329E-3</v>
      </c>
      <c r="S2123">
        <v>-3.0057680000000002</v>
      </c>
      <c r="T2123">
        <v>-0.126863</v>
      </c>
      <c r="U2123">
        <v>-0.1365662</v>
      </c>
      <c r="V2123">
        <v>-1.1425859999999999E-3</v>
      </c>
      <c r="W2123">
        <v>4.5243850000000002E-2</v>
      </c>
      <c r="X2123">
        <v>0.99897530000000001</v>
      </c>
      <c r="Y2123">
        <v>-3.9235390000000002E-2</v>
      </c>
      <c r="Z2123">
        <v>-5.687941E-4</v>
      </c>
      <c r="AA2123">
        <v>0.99922979999999995</v>
      </c>
      <c r="AB2123">
        <v>41</v>
      </c>
      <c r="AC2123">
        <v>-25.853199999999902</v>
      </c>
      <c r="AD2123">
        <v>-1.1088657496598</v>
      </c>
      <c r="AE2123">
        <v>-1.1911999999999801</v>
      </c>
      <c r="AF2123">
        <v>-1.03084290849245</v>
      </c>
      <c r="AG2123">
        <v>-1.1088657496598</v>
      </c>
      <c r="AH2123">
        <v>25.812629836595601</v>
      </c>
      <c r="AI2123">
        <v>92.457858029566793</v>
      </c>
      <c r="AJ2123">
        <v>92.286926186533904</v>
      </c>
      <c r="AK2123">
        <v>25.856992853653001</v>
      </c>
      <c r="AL2123">
        <v>87.406833077761803</v>
      </c>
      <c r="AM2123">
        <v>90.065532478114207</v>
      </c>
      <c r="AN2123">
        <v>0.99999998073783902</v>
      </c>
    </row>
    <row r="2124" spans="1:40" x14ac:dyDescent="0.25">
      <c r="A2124" t="str">
        <f>"20190312151027425"</f>
        <v>20190312151027425</v>
      </c>
      <c r="B2124" t="str">
        <f>"1552374627422756"</f>
        <v>1552374627422756</v>
      </c>
      <c r="C2124" t="s">
        <v>40</v>
      </c>
      <c r="D2124">
        <v>5.0650690000000003</v>
      </c>
      <c r="E2124">
        <v>0.51286549999999997</v>
      </c>
      <c r="F2124" t="s">
        <v>52</v>
      </c>
      <c r="G2124">
        <v>-394.46640000000002</v>
      </c>
      <c r="H2124" s="1">
        <v>8.4002219999999996E-7</v>
      </c>
      <c r="I2124">
        <v>283.34500000000003</v>
      </c>
      <c r="J2124">
        <v>-317.9092</v>
      </c>
      <c r="K2124">
        <v>1.1088610000000001</v>
      </c>
      <c r="L2124">
        <v>282.75229999999999</v>
      </c>
      <c r="M2124">
        <v>-0.99994680000000002</v>
      </c>
      <c r="N2124">
        <v>0</v>
      </c>
      <c r="O2124">
        <v>-5.894191E-3</v>
      </c>
      <c r="P2124">
        <v>-0.99931040000000004</v>
      </c>
      <c r="Q2124">
        <v>3.6529470000000001E-2</v>
      </c>
      <c r="R2124">
        <v>-6.6451050000000001E-3</v>
      </c>
      <c r="S2124">
        <v>-3.0038450000000001</v>
      </c>
      <c r="T2124">
        <v>-4.3279650000000003E-2</v>
      </c>
      <c r="U2124">
        <v>2.3040769999999999E-2</v>
      </c>
      <c r="V2124">
        <v>-7.2436069999999998E-4</v>
      </c>
      <c r="W2124">
        <v>4.497661E-2</v>
      </c>
      <c r="X2124">
        <v>0.99898779999999998</v>
      </c>
      <c r="Y2124">
        <v>1.3562279999999999E-2</v>
      </c>
      <c r="Z2124">
        <v>1.8261819999999999E-4</v>
      </c>
      <c r="AA2124">
        <v>0.99990800000000002</v>
      </c>
      <c r="AB2124">
        <v>41</v>
      </c>
      <c r="AC2124">
        <v>-76.557199999999995</v>
      </c>
      <c r="AD2124">
        <v>-1.1088601599778001</v>
      </c>
      <c r="AE2124">
        <v>0.59270000000003598</v>
      </c>
      <c r="AF2124">
        <v>1.04372968142074</v>
      </c>
      <c r="AG2124">
        <v>-1.1088601599778001</v>
      </c>
      <c r="AH2124">
        <v>76.536320955215203</v>
      </c>
      <c r="AI2124">
        <v>90.829967474577401</v>
      </c>
      <c r="AJ2124">
        <v>89.218702985729493</v>
      </c>
      <c r="AK2124">
        <v>76.551468750520897</v>
      </c>
      <c r="AL2124">
        <v>87.422160512537801</v>
      </c>
      <c r="AM2124">
        <v>90.041544855384203</v>
      </c>
      <c r="AN2124">
        <v>1.0000000223471699</v>
      </c>
    </row>
    <row r="2125" spans="1:40" x14ac:dyDescent="0.25">
      <c r="A2125" t="str">
        <f>"20190312151027448"</f>
        <v>20190312151027448</v>
      </c>
      <c r="B2125" t="str">
        <f>"1552374627443250"</f>
        <v>1552374627443250</v>
      </c>
      <c r="C2125" t="s">
        <v>40</v>
      </c>
      <c r="D2125">
        <v>4.9255360000000001</v>
      </c>
      <c r="E2125">
        <v>0.51414170000000003</v>
      </c>
      <c r="F2125" t="s">
        <v>52</v>
      </c>
      <c r="G2125">
        <v>-360.84679999999997</v>
      </c>
      <c r="H2125" s="1">
        <v>-1.0861850000000001E-6</v>
      </c>
      <c r="I2125">
        <v>283.83839999999998</v>
      </c>
      <c r="J2125">
        <v>-318.31830000000002</v>
      </c>
      <c r="K2125">
        <v>1.1088499999999999</v>
      </c>
      <c r="L2125">
        <v>282.75009999999997</v>
      </c>
      <c r="M2125">
        <v>-0.99994859999999997</v>
      </c>
      <c r="N2125">
        <v>0</v>
      </c>
      <c r="O2125">
        <v>-5.6578080000000003E-3</v>
      </c>
      <c r="P2125">
        <v>-0.99930569999999996</v>
      </c>
      <c r="Q2125">
        <v>3.6757320000000003E-2</v>
      </c>
      <c r="R2125">
        <v>-6.1044159999999997E-3</v>
      </c>
      <c r="S2125">
        <v>-3.0054020000000001</v>
      </c>
      <c r="T2125">
        <v>-7.7614550000000004E-2</v>
      </c>
      <c r="U2125">
        <v>7.6019290000000003E-2</v>
      </c>
      <c r="V2125">
        <v>-4.199664E-4</v>
      </c>
      <c r="W2125">
        <v>4.5177639999999998E-2</v>
      </c>
      <c r="X2125">
        <v>0.9989789</v>
      </c>
      <c r="Y2125">
        <v>3.0929729999999999E-2</v>
      </c>
      <c r="Z2125">
        <v>5.4532249999999995E-4</v>
      </c>
      <c r="AA2125">
        <v>0.9995214</v>
      </c>
      <c r="AB2125">
        <v>41</v>
      </c>
      <c r="AC2125">
        <v>-42.528499999999902</v>
      </c>
      <c r="AD2125">
        <v>-1.1088510861849901</v>
      </c>
      <c r="AE2125">
        <v>1.0883</v>
      </c>
      <c r="AF2125">
        <v>1.3280069851198599</v>
      </c>
      <c r="AG2125">
        <v>-1.1088510861849901</v>
      </c>
      <c r="AH2125">
        <v>42.4927936101097</v>
      </c>
      <c r="AI2125">
        <v>91.494067206964004</v>
      </c>
      <c r="AJ2125">
        <v>88.209945008567004</v>
      </c>
      <c r="AK2125">
        <v>42.527998566535402</v>
      </c>
      <c r="AL2125">
        <v>87.410630613750897</v>
      </c>
      <c r="AM2125">
        <v>90.024086895969205</v>
      </c>
      <c r="AN2125">
        <v>1.00000001908647</v>
      </c>
    </row>
    <row r="2126" spans="1:40" x14ac:dyDescent="0.25">
      <c r="A2126" t="str">
        <f>"20190312151027471"</f>
        <v>20190312151027471</v>
      </c>
      <c r="B2126" t="str">
        <f>"1552374627462770"</f>
        <v>1552374627462770</v>
      </c>
      <c r="C2126" t="s">
        <v>40</v>
      </c>
      <c r="D2126">
        <v>5.0471649999999997</v>
      </c>
      <c r="E2126">
        <v>0.51507499999999995</v>
      </c>
      <c r="F2126" t="s">
        <v>52</v>
      </c>
      <c r="G2126">
        <v>-356.83139999999997</v>
      </c>
      <c r="H2126" s="1">
        <v>2.0985209999999998E-6</v>
      </c>
      <c r="I2126">
        <v>283.87389999999999</v>
      </c>
      <c r="J2126">
        <v>-318.74709999999999</v>
      </c>
      <c r="K2126">
        <v>1.1088439999999999</v>
      </c>
      <c r="L2126">
        <v>282.74790000000002</v>
      </c>
      <c r="M2126">
        <v>-0.99995020000000001</v>
      </c>
      <c r="N2126">
        <v>0</v>
      </c>
      <c r="O2126">
        <v>-5.4104549999999998E-3</v>
      </c>
      <c r="P2126">
        <v>-0.99930810000000003</v>
      </c>
      <c r="Q2126">
        <v>3.6753099999999997E-2</v>
      </c>
      <c r="R2126">
        <v>-5.702281E-3</v>
      </c>
      <c r="S2126">
        <v>-3.005798</v>
      </c>
      <c r="T2126">
        <v>-8.6541409999999999E-2</v>
      </c>
      <c r="U2126">
        <v>8.7707519999999997E-2</v>
      </c>
      <c r="V2126">
        <v>-2.6467649999999999E-4</v>
      </c>
      <c r="W2126">
        <v>4.514572E-2</v>
      </c>
      <c r="X2126">
        <v>0.99898039999999999</v>
      </c>
      <c r="Y2126">
        <v>3.4558400000000003E-2</v>
      </c>
      <c r="Z2126">
        <v>6.5300280000000002E-4</v>
      </c>
      <c r="AA2126">
        <v>0.99940249999999997</v>
      </c>
      <c r="AB2126">
        <v>41</v>
      </c>
      <c r="AC2126">
        <v>-38.084299999999899</v>
      </c>
      <c r="AD2126">
        <v>-1.1088419014790001</v>
      </c>
      <c r="AE2126">
        <v>1.1259999999999699</v>
      </c>
      <c r="AF2126">
        <v>1.33091690886354</v>
      </c>
      <c r="AG2126">
        <v>-1.1088419014790001</v>
      </c>
      <c r="AH2126">
        <v>38.045426828293103</v>
      </c>
      <c r="AI2126">
        <v>91.668404883635105</v>
      </c>
      <c r="AJ2126">
        <v>87.996478300581003</v>
      </c>
      <c r="AK2126">
        <v>38.084844396790899</v>
      </c>
      <c r="AL2126">
        <v>87.412461372637097</v>
      </c>
      <c r="AM2126">
        <v>90.015180323889695</v>
      </c>
      <c r="AN2126">
        <v>1.0000000228360599</v>
      </c>
    </row>
    <row r="2127" spans="1:40" x14ac:dyDescent="0.25">
      <c r="A2127" t="str">
        <f>"20190312151027494"</f>
        <v>20190312151027494</v>
      </c>
      <c r="B2127" t="str">
        <f>"1552374627483266"</f>
        <v>1552374627483266</v>
      </c>
      <c r="C2127" t="s">
        <v>40</v>
      </c>
      <c r="D2127">
        <v>5.055904</v>
      </c>
      <c r="E2127">
        <v>0.51572090000000004</v>
      </c>
      <c r="F2127" t="s">
        <v>52</v>
      </c>
      <c r="G2127">
        <v>-358.21980000000002</v>
      </c>
      <c r="H2127" s="1">
        <v>2.8373590000000001E-6</v>
      </c>
      <c r="I2127">
        <v>284.0127</v>
      </c>
      <c r="J2127">
        <v>-319.16609999999997</v>
      </c>
      <c r="K2127">
        <v>1.108838</v>
      </c>
      <c r="L2127">
        <v>282.74579999999997</v>
      </c>
      <c r="M2127">
        <v>-0.99995160000000005</v>
      </c>
      <c r="N2127">
        <v>0</v>
      </c>
      <c r="O2127">
        <v>-5.1684779999999998E-3</v>
      </c>
      <c r="P2127">
        <v>-0.99932710000000002</v>
      </c>
      <c r="Q2127">
        <v>3.6279989999999998E-2</v>
      </c>
      <c r="R2127">
        <v>-5.3798359999999998E-3</v>
      </c>
      <c r="S2127">
        <v>-3.0057680000000002</v>
      </c>
      <c r="T2127">
        <v>-8.4436059999999993E-2</v>
      </c>
      <c r="U2127">
        <v>9.6313480000000007E-2</v>
      </c>
      <c r="V2127">
        <v>-1.8417720000000001E-4</v>
      </c>
      <c r="W2127">
        <v>4.464746E-2</v>
      </c>
      <c r="X2127">
        <v>0.99900279999999997</v>
      </c>
      <c r="Y2127">
        <v>3.7175340000000001E-2</v>
      </c>
      <c r="Z2127">
        <v>6.6704709999999996E-4</v>
      </c>
      <c r="AA2127">
        <v>0.99930850000000004</v>
      </c>
      <c r="AB2127">
        <v>41</v>
      </c>
      <c r="AC2127">
        <v>-39.053699999999999</v>
      </c>
      <c r="AD2127">
        <v>-1.108835162641</v>
      </c>
      <c r="AE2127">
        <v>1.2669000000000199</v>
      </c>
      <c r="AF2127">
        <v>1.46755653011029</v>
      </c>
      <c r="AG2127">
        <v>-1.108835162641</v>
      </c>
      <c r="AH2127">
        <v>39.015211565002403</v>
      </c>
      <c r="AI2127">
        <v>91.626791554809003</v>
      </c>
      <c r="AJ2127">
        <v>87.845835795683797</v>
      </c>
      <c r="AK2127">
        <v>39.058545429251197</v>
      </c>
      <c r="AL2127">
        <v>87.441038355574406</v>
      </c>
      <c r="AM2127">
        <v>90.010563109655905</v>
      </c>
      <c r="AN2127">
        <v>1.00000001200676</v>
      </c>
    </row>
    <row r="2128" spans="1:40" x14ac:dyDescent="0.25">
      <c r="A2128" t="str">
        <f>"20190312151027507"</f>
        <v>20190312151027507</v>
      </c>
      <c r="B2128" t="str">
        <f>"1552374627502787"</f>
        <v>1552374627502787</v>
      </c>
      <c r="C2128" t="s">
        <v>40</v>
      </c>
      <c r="D2128">
        <v>4.9563290000000002</v>
      </c>
      <c r="E2128">
        <v>0.51650059999999998</v>
      </c>
      <c r="F2128" t="s">
        <v>52</v>
      </c>
      <c r="G2128">
        <v>-361.1626</v>
      </c>
      <c r="H2128" s="1">
        <v>-9.1809139999999998E-7</v>
      </c>
      <c r="I2128">
        <v>284.17899999999997</v>
      </c>
      <c r="J2128">
        <v>-319.41570000000002</v>
      </c>
      <c r="K2128">
        <v>1.108835</v>
      </c>
      <c r="L2128">
        <v>282.74459999999999</v>
      </c>
      <c r="M2128">
        <v>-0.99995239999999996</v>
      </c>
      <c r="N2128">
        <v>0</v>
      </c>
      <c r="O2128">
        <v>-5.024415E-3</v>
      </c>
      <c r="P2128">
        <v>-0.99933450000000001</v>
      </c>
      <c r="Q2128">
        <v>3.6110070000000001E-2</v>
      </c>
      <c r="R2128">
        <v>-5.1321559999999997E-3</v>
      </c>
      <c r="S2128">
        <v>-3.0054630000000002</v>
      </c>
      <c r="T2128">
        <v>-7.9353569999999998E-2</v>
      </c>
      <c r="U2128">
        <v>0.1025696</v>
      </c>
      <c r="V2128" s="1">
        <v>-8.0650909999999896E-5</v>
      </c>
      <c r="W2128">
        <v>4.4462620000000001E-2</v>
      </c>
      <c r="X2128">
        <v>0.99901099999999998</v>
      </c>
      <c r="Y2128">
        <v>3.9113729999999999E-2</v>
      </c>
      <c r="Z2128">
        <v>6.4872759999999997E-4</v>
      </c>
      <c r="AA2128">
        <v>0.99923459999999997</v>
      </c>
      <c r="AB2128">
        <v>41</v>
      </c>
      <c r="AC2128">
        <v>-41.746899999999897</v>
      </c>
      <c r="AD2128">
        <v>-1.1088359180914</v>
      </c>
      <c r="AE2128">
        <v>1.4344000000000301</v>
      </c>
      <c r="AF2128">
        <v>1.6429852502944799</v>
      </c>
      <c r="AG2128">
        <v>-1.1088359180914</v>
      </c>
      <c r="AH2128">
        <v>41.7097749328627</v>
      </c>
      <c r="AI2128">
        <v>91.521644766129796</v>
      </c>
      <c r="AJ2128">
        <v>87.744234354132004</v>
      </c>
      <c r="AK2128">
        <v>41.756846655081603</v>
      </c>
      <c r="AL2128">
        <v>87.451639288563399</v>
      </c>
      <c r="AM2128">
        <v>90.004625531397394</v>
      </c>
      <c r="AN2128">
        <v>0.999999954601415</v>
      </c>
    </row>
    <row r="2129" spans="1:40" x14ac:dyDescent="0.25">
      <c r="A2129" t="str">
        <f>"20190312151027521"</f>
        <v>20190312151027521</v>
      </c>
      <c r="B2129" t="str">
        <f>"1552374627512546"</f>
        <v>1552374627512546</v>
      </c>
      <c r="C2129" t="s">
        <v>40</v>
      </c>
      <c r="D2129">
        <v>4.92361</v>
      </c>
      <c r="E2129">
        <v>0.51684759999999996</v>
      </c>
      <c r="F2129" t="s">
        <v>52</v>
      </c>
      <c r="G2129">
        <v>-361.4205</v>
      </c>
      <c r="H2129" s="1">
        <v>-7.8086049999999998E-7</v>
      </c>
      <c r="I2129">
        <v>284.2758</v>
      </c>
      <c r="J2129">
        <v>-319.66919999999999</v>
      </c>
      <c r="K2129">
        <v>1.1088260000000001</v>
      </c>
      <c r="L2129">
        <v>282.74340000000001</v>
      </c>
      <c r="M2129">
        <v>-0.99995339999999999</v>
      </c>
      <c r="N2129">
        <v>0</v>
      </c>
      <c r="O2129">
        <v>-4.8783250000000002E-3</v>
      </c>
      <c r="P2129">
        <v>-0.99932750000000004</v>
      </c>
      <c r="Q2129">
        <v>3.6336260000000002E-2</v>
      </c>
      <c r="R2129">
        <v>-4.9443619999999999E-3</v>
      </c>
      <c r="S2129">
        <v>-3.0054319999999999</v>
      </c>
      <c r="T2129">
        <v>-7.9336879999999999E-2</v>
      </c>
      <c r="U2129">
        <v>0.10955810000000001</v>
      </c>
      <c r="V2129" s="1">
        <v>-3.8422530000000002E-5</v>
      </c>
      <c r="W2129">
        <v>4.4674129999999999E-2</v>
      </c>
      <c r="X2129">
        <v>0.99900160000000005</v>
      </c>
      <c r="Y2129">
        <v>4.1287940000000002E-2</v>
      </c>
      <c r="Z2129">
        <v>6.7339929999999997E-4</v>
      </c>
      <c r="AA2129">
        <v>0.99914709999999995</v>
      </c>
      <c r="AB2129">
        <v>41</v>
      </c>
      <c r="AC2129">
        <v>-41.751300000000001</v>
      </c>
      <c r="AD2129">
        <v>-1.1088267808604999</v>
      </c>
      <c r="AE2129">
        <v>1.53239999999999</v>
      </c>
      <c r="AF2129">
        <v>1.73484326612722</v>
      </c>
      <c r="AG2129">
        <v>-1.1088267808604999</v>
      </c>
      <c r="AH2129">
        <v>41.7139451774541</v>
      </c>
      <c r="AI2129">
        <v>91.521345057976404</v>
      </c>
      <c r="AJ2129">
        <v>87.618495501373104</v>
      </c>
      <c r="AK2129">
        <v>41.764726747048499</v>
      </c>
      <c r="AL2129">
        <v>87.439508689635105</v>
      </c>
      <c r="AM2129">
        <v>90.002203648929196</v>
      </c>
      <c r="AN2129">
        <v>0.99999998808505297</v>
      </c>
    </row>
    <row r="2130" spans="1:40" x14ac:dyDescent="0.25">
      <c r="A2130" t="str">
        <f>"20190312151027536"</f>
        <v>20190312151027536</v>
      </c>
      <c r="B2130" t="str">
        <f>"1552374627533043"</f>
        <v>1552374627533043</v>
      </c>
      <c r="C2130" t="s">
        <v>40</v>
      </c>
      <c r="D2130">
        <v>4.923578</v>
      </c>
      <c r="E2130">
        <v>0.51728240000000003</v>
      </c>
      <c r="F2130" t="s">
        <v>52</v>
      </c>
      <c r="G2130">
        <v>-362.6422</v>
      </c>
      <c r="H2130" s="1">
        <v>-1.307138E-7</v>
      </c>
      <c r="I2130">
        <v>284.35840000000002</v>
      </c>
      <c r="J2130">
        <v>-319.98090000000002</v>
      </c>
      <c r="K2130">
        <v>1.1088209999999901</v>
      </c>
      <c r="L2130">
        <v>282.74200000000002</v>
      </c>
      <c r="M2130">
        <v>-0.99995429999999996</v>
      </c>
      <c r="N2130">
        <v>0</v>
      </c>
      <c r="O2130">
        <v>-4.6982489999999998E-3</v>
      </c>
      <c r="P2130">
        <v>-0.9993322</v>
      </c>
      <c r="Q2130">
        <v>3.6234379999999997E-2</v>
      </c>
      <c r="R2130">
        <v>-4.7128209999999999E-3</v>
      </c>
      <c r="S2130">
        <v>-3.0054020000000001</v>
      </c>
      <c r="T2130">
        <v>-7.7547909999999998E-2</v>
      </c>
      <c r="U2130">
        <v>0.11294559999999999</v>
      </c>
      <c r="V2130" s="1">
        <v>1.3136070000000001E-5</v>
      </c>
      <c r="W2130">
        <v>4.455456E-2</v>
      </c>
      <c r="X2130">
        <v>0.99900690000000003</v>
      </c>
      <c r="Y2130">
        <v>4.2233430000000002E-2</v>
      </c>
      <c r="Z2130">
        <v>6.6576029999999896E-4</v>
      </c>
      <c r="AA2130">
        <v>0.99910750000000004</v>
      </c>
      <c r="AB2130">
        <v>42</v>
      </c>
      <c r="AC2130">
        <v>-42.661299999999898</v>
      </c>
      <c r="AD2130">
        <v>-1.1088211307137901</v>
      </c>
      <c r="AE2130">
        <v>1.6163999999999901</v>
      </c>
      <c r="AF2130">
        <v>1.81559775547277</v>
      </c>
      <c r="AG2130">
        <v>-1.1088211307137901</v>
      </c>
      <c r="AH2130">
        <v>42.624481096565297</v>
      </c>
      <c r="AI2130">
        <v>91.488790670700595</v>
      </c>
      <c r="AJ2130">
        <v>87.560949924484504</v>
      </c>
      <c r="AK2130">
        <v>42.6775382169713</v>
      </c>
      <c r="AL2130">
        <v>87.446366270975801</v>
      </c>
      <c r="AM2130">
        <v>89.999246610438405</v>
      </c>
      <c r="AN2130">
        <v>0.99999994761847799</v>
      </c>
    </row>
    <row r="2131" spans="1:40" x14ac:dyDescent="0.25">
      <c r="A2131" t="str">
        <f>"20190312151027549"</f>
        <v>20190312151027549</v>
      </c>
      <c r="B2131" t="str">
        <f>"1552374627542803"</f>
        <v>1552374627542803</v>
      </c>
      <c r="C2131" t="s">
        <v>40</v>
      </c>
      <c r="D2131">
        <v>4.932823</v>
      </c>
      <c r="E2131">
        <v>0.51748909999999904</v>
      </c>
      <c r="F2131" t="s">
        <v>52</v>
      </c>
      <c r="G2131">
        <v>-363.4529</v>
      </c>
      <c r="H2131" s="1">
        <v>3.0070030000000002E-7</v>
      </c>
      <c r="I2131">
        <v>284.4393</v>
      </c>
      <c r="J2131">
        <v>-320.21129999999999</v>
      </c>
      <c r="K2131">
        <v>1.1088180000000001</v>
      </c>
      <c r="L2131">
        <v>282.74099999999999</v>
      </c>
      <c r="M2131">
        <v>-0.99995509999999999</v>
      </c>
      <c r="N2131">
        <v>0</v>
      </c>
      <c r="O2131">
        <v>-4.56552E-3</v>
      </c>
      <c r="P2131">
        <v>-0.99932960000000004</v>
      </c>
      <c r="Q2131">
        <v>3.629756E-2</v>
      </c>
      <c r="R2131">
        <v>-4.7440290000000003E-3</v>
      </c>
      <c r="S2131">
        <v>-3.005341</v>
      </c>
      <c r="T2131">
        <v>-7.6655749999999995E-2</v>
      </c>
      <c r="U2131">
        <v>0.1173401</v>
      </c>
      <c r="V2131">
        <v>-1.513087E-4</v>
      </c>
      <c r="W2131">
        <v>4.4606010000000001E-2</v>
      </c>
      <c r="X2131">
        <v>0.99900469999999997</v>
      </c>
      <c r="Y2131">
        <v>4.3560300000000003E-2</v>
      </c>
      <c r="Z2131">
        <v>6.7162729999999896E-4</v>
      </c>
      <c r="AA2131">
        <v>0.99905060000000001</v>
      </c>
      <c r="AB2131">
        <v>42</v>
      </c>
      <c r="AC2131">
        <v>-43.241599999999998</v>
      </c>
      <c r="AD2131">
        <v>-1.1088176992996901</v>
      </c>
      <c r="AE2131">
        <v>1.6983000000000099</v>
      </c>
      <c r="AF2131">
        <v>1.8944657424157001</v>
      </c>
      <c r="AG2131">
        <v>-1.1088176992996901</v>
      </c>
      <c r="AH2131">
        <v>43.205030482888198</v>
      </c>
      <c r="AI2131">
        <v>91.468710588273794</v>
      </c>
      <c r="AJ2131">
        <v>87.489287588866901</v>
      </c>
      <c r="AK2131">
        <v>43.2607574617778</v>
      </c>
      <c r="AL2131">
        <v>87.443415743549807</v>
      </c>
      <c r="AM2131">
        <v>90.008677987047804</v>
      </c>
      <c r="AN2131">
        <v>1.0000000548222601</v>
      </c>
    </row>
    <row r="2132" spans="1:40" x14ac:dyDescent="0.25">
      <c r="A2132" t="str">
        <f>"20190312151027561"</f>
        <v>20190312151027561</v>
      </c>
      <c r="B2132" t="str">
        <f>"1552374627552562"</f>
        <v>1552374627552562</v>
      </c>
      <c r="C2132" t="s">
        <v>40</v>
      </c>
      <c r="D2132">
        <v>4.920274</v>
      </c>
      <c r="E2132">
        <v>0.51760229999999996</v>
      </c>
      <c r="F2132" t="s">
        <v>52</v>
      </c>
      <c r="G2132">
        <v>-364.0933</v>
      </c>
      <c r="H2132" s="1">
        <v>6.4146489999999996E-7</v>
      </c>
      <c r="I2132">
        <v>284.47710000000001</v>
      </c>
      <c r="J2132">
        <v>-320.42750000000001</v>
      </c>
      <c r="K2132">
        <v>1.1088089999999999</v>
      </c>
      <c r="L2132">
        <v>282.74009999999998</v>
      </c>
      <c r="M2132">
        <v>-0.9999557</v>
      </c>
      <c r="N2132">
        <v>0</v>
      </c>
      <c r="O2132">
        <v>-4.4407819999999999E-3</v>
      </c>
      <c r="P2132">
        <v>-0.99933740000000004</v>
      </c>
      <c r="Q2132">
        <v>3.6131940000000001E-2</v>
      </c>
      <c r="R2132">
        <v>-4.3891729999999997E-3</v>
      </c>
      <c r="S2132">
        <v>-3.005341</v>
      </c>
      <c r="T2132">
        <v>-7.5939419999999994E-2</v>
      </c>
      <c r="U2132">
        <v>0.1188965</v>
      </c>
      <c r="V2132" s="1">
        <v>7.9547000000000003E-5</v>
      </c>
      <c r="W2132">
        <v>4.4428799999999997E-2</v>
      </c>
      <c r="X2132">
        <v>0.99901249999999997</v>
      </c>
      <c r="Y2132">
        <v>4.3952459999999999E-2</v>
      </c>
      <c r="Z2132">
        <v>6.67148E-4</v>
      </c>
      <c r="AA2132">
        <v>0.99903339999999996</v>
      </c>
      <c r="AB2132">
        <v>42</v>
      </c>
      <c r="AC2132">
        <v>-43.665799999999898</v>
      </c>
      <c r="AD2132">
        <v>-1.1088083585350901</v>
      </c>
      <c r="AE2132">
        <v>1.7370000000000201</v>
      </c>
      <c r="AF2132">
        <v>1.9296575564409699</v>
      </c>
      <c r="AG2132">
        <v>-1.1088083585350901</v>
      </c>
      <c r="AH2132">
        <v>43.629567278354898</v>
      </c>
      <c r="AI2132">
        <v>91.454388968122103</v>
      </c>
      <c r="AJ2132">
        <v>87.467560775865806</v>
      </c>
      <c r="AK2132">
        <v>43.6862927605168</v>
      </c>
      <c r="AL2132">
        <v>87.453578936645599</v>
      </c>
      <c r="AM2132">
        <v>89.995437787451806</v>
      </c>
      <c r="AN2132">
        <v>0.99999994987670604</v>
      </c>
    </row>
    <row r="2133" spans="1:40" x14ac:dyDescent="0.25">
      <c r="A2133" t="str">
        <f>"20190312151027574"</f>
        <v>20190312151027574</v>
      </c>
      <c r="B2133" t="str">
        <f>"1552374627563299"</f>
        <v>1552374627563299</v>
      </c>
      <c r="C2133" t="s">
        <v>40</v>
      </c>
      <c r="D2133">
        <v>4.9437259999999998</v>
      </c>
      <c r="E2133">
        <v>0.51773089999999999</v>
      </c>
      <c r="F2133" t="s">
        <v>52</v>
      </c>
      <c r="G2133">
        <v>-364.2654</v>
      </c>
      <c r="H2133" s="1">
        <v>7.3302630000000002E-7</v>
      </c>
      <c r="I2133">
        <v>284.50290000000001</v>
      </c>
      <c r="J2133">
        <v>-320.67750000000001</v>
      </c>
      <c r="K2133">
        <v>1.10880499999999</v>
      </c>
      <c r="L2133">
        <v>282.73910000000001</v>
      </c>
      <c r="M2133">
        <v>-0.99995650000000003</v>
      </c>
      <c r="N2133">
        <v>0</v>
      </c>
      <c r="O2133">
        <v>-4.2964889999999997E-3</v>
      </c>
      <c r="P2133">
        <v>-0.99933190000000005</v>
      </c>
      <c r="Q2133">
        <v>3.6298270000000001E-2</v>
      </c>
      <c r="R2133">
        <v>-4.3154719999999999E-3</v>
      </c>
      <c r="S2133">
        <v>-3.00528</v>
      </c>
      <c r="T2133">
        <v>-7.601368E-2</v>
      </c>
      <c r="U2133">
        <v>0.1208496</v>
      </c>
      <c r="V2133" s="1">
        <v>9.1057149999999993E-6</v>
      </c>
      <c r="W2133">
        <v>4.4582200000000002E-2</v>
      </c>
      <c r="X2133">
        <v>0.9990057</v>
      </c>
      <c r="Y2133">
        <v>4.4457190000000001E-2</v>
      </c>
      <c r="Z2133">
        <v>6.7053679999999995E-4</v>
      </c>
      <c r="AA2133">
        <v>0.99901099999999998</v>
      </c>
      <c r="AB2133">
        <v>42</v>
      </c>
      <c r="AC2133">
        <v>-43.587899999999898</v>
      </c>
      <c r="AD2133">
        <v>-1.1088042669736899</v>
      </c>
      <c r="AE2133">
        <v>1.7638</v>
      </c>
      <c r="AF2133">
        <v>1.9498053947967999</v>
      </c>
      <c r="AG2133">
        <v>-1.1088042669736899</v>
      </c>
      <c r="AH2133">
        <v>43.5517825441814</v>
      </c>
      <c r="AI2133">
        <v>91.456945025913797</v>
      </c>
      <c r="AJ2133">
        <v>87.4365900880737</v>
      </c>
      <c r="AK2133">
        <v>43.609505279878</v>
      </c>
      <c r="AL2133">
        <v>87.444781124783702</v>
      </c>
      <c r="AM2133">
        <v>89.999477761699495</v>
      </c>
      <c r="AN2133">
        <v>0.99999998063612106</v>
      </c>
    </row>
    <row r="2134" spans="1:40" x14ac:dyDescent="0.25">
      <c r="A2134" t="str">
        <f>"20190312151027594"</f>
        <v>20190312151027594</v>
      </c>
      <c r="B2134" t="str">
        <f>"1552374627582819"</f>
        <v>1552374627582819</v>
      </c>
      <c r="C2134" t="s">
        <v>40</v>
      </c>
      <c r="D2134">
        <v>4.944852</v>
      </c>
      <c r="E2134">
        <v>0.5178739</v>
      </c>
      <c r="F2134" t="s">
        <v>52</v>
      </c>
      <c r="G2134">
        <v>-365.06439999999998</v>
      </c>
      <c r="H2134" s="1">
        <v>1.1582059999999999E-6</v>
      </c>
      <c r="I2134">
        <v>284.54379999999998</v>
      </c>
      <c r="J2134">
        <v>-321.03800000000001</v>
      </c>
      <c r="K2134">
        <v>1.1088</v>
      </c>
      <c r="L2134">
        <v>282.73770000000002</v>
      </c>
      <c r="M2134">
        <v>-0.9999576</v>
      </c>
      <c r="N2134">
        <v>0</v>
      </c>
      <c r="O2134">
        <v>-4.088988E-3</v>
      </c>
      <c r="P2134">
        <v>-0.99933609999999995</v>
      </c>
      <c r="Q2134">
        <v>3.6170859999999999E-2</v>
      </c>
      <c r="R2134">
        <v>-4.3992459999999999E-3</v>
      </c>
      <c r="S2134">
        <v>-3.0052490000000001</v>
      </c>
      <c r="T2134">
        <v>-7.5072529999999998E-2</v>
      </c>
      <c r="U2134">
        <v>0.12219240000000001</v>
      </c>
      <c r="V2134">
        <v>-2.8183409999999999E-4</v>
      </c>
      <c r="W2134">
        <v>4.4435000000000002E-2</v>
      </c>
      <c r="X2134">
        <v>0.99901220000000002</v>
      </c>
      <c r="Y2134">
        <v>4.4696300000000001E-2</v>
      </c>
      <c r="Z2134">
        <v>6.6004189999999997E-4</v>
      </c>
      <c r="AA2134">
        <v>0.99900040000000001</v>
      </c>
      <c r="AB2134">
        <v>42</v>
      </c>
      <c r="AC2134">
        <v>-44.026399999999903</v>
      </c>
      <c r="AD2134">
        <v>-1.108798841794</v>
      </c>
      <c r="AE2134">
        <v>1.8060999999999501</v>
      </c>
      <c r="AF2134">
        <v>1.98485761448989</v>
      </c>
      <c r="AG2134">
        <v>-1.108798841794</v>
      </c>
      <c r="AH2134">
        <v>43.990791061134601</v>
      </c>
      <c r="AI2134">
        <v>91.442381845695706</v>
      </c>
      <c r="AJ2134">
        <v>87.416575548229304</v>
      </c>
      <c r="AK2134">
        <v>44.049503888304599</v>
      </c>
      <c r="AL2134">
        <v>87.453223383035393</v>
      </c>
      <c r="AM2134">
        <v>90.016163870695905</v>
      </c>
      <c r="AN2134">
        <v>0.99999996220214904</v>
      </c>
    </row>
    <row r="2135" spans="1:40" x14ac:dyDescent="0.25">
      <c r="A2135" t="str">
        <f>"20190312151027606"</f>
        <v>20190312151027606</v>
      </c>
      <c r="B2135" t="str">
        <f>"1552374627602339"</f>
        <v>1552374627602339</v>
      </c>
      <c r="C2135" t="s">
        <v>40</v>
      </c>
      <c r="D2135">
        <v>4.8834799999999996</v>
      </c>
      <c r="E2135">
        <v>0.51789839999999998</v>
      </c>
      <c r="F2135" t="s">
        <v>52</v>
      </c>
      <c r="G2135">
        <v>-366.69260000000003</v>
      </c>
      <c r="H2135" s="1">
        <v>2.02466E-6</v>
      </c>
      <c r="I2135">
        <v>284.60890000000001</v>
      </c>
      <c r="J2135">
        <v>-321.26819999999998</v>
      </c>
      <c r="K2135">
        <v>1.108797</v>
      </c>
      <c r="L2135">
        <v>282.73680000000002</v>
      </c>
      <c r="M2135">
        <v>-0.99995820000000002</v>
      </c>
      <c r="N2135">
        <v>0</v>
      </c>
      <c r="O2135">
        <v>-3.956261E-3</v>
      </c>
      <c r="P2135">
        <v>-0.99935200000000002</v>
      </c>
      <c r="Q2135">
        <v>3.5767029999999998E-2</v>
      </c>
      <c r="R2135">
        <v>-4.0525709999999996E-3</v>
      </c>
      <c r="S2135">
        <v>-3.005188</v>
      </c>
      <c r="T2135">
        <v>-7.2986010000000004E-2</v>
      </c>
      <c r="U2135">
        <v>0.123168899999999</v>
      </c>
      <c r="V2135" s="1">
        <v>-6.8135269999999894E-5</v>
      </c>
      <c r="W2135">
        <v>4.4019610000000001E-2</v>
      </c>
      <c r="X2135">
        <v>0.99903059999999999</v>
      </c>
      <c r="Y2135">
        <v>4.4889430000000001E-2</v>
      </c>
      <c r="Z2135">
        <v>6.408335E-4</v>
      </c>
      <c r="AA2135">
        <v>0.99899170000000004</v>
      </c>
      <c r="AB2135">
        <v>42</v>
      </c>
      <c r="AC2135">
        <v>-45.424399999999999</v>
      </c>
      <c r="AD2135">
        <v>-1.1087949753399999</v>
      </c>
      <c r="AE2135">
        <v>1.8720999999999799</v>
      </c>
      <c r="AF2135">
        <v>2.0505825040402099</v>
      </c>
      <c r="AG2135">
        <v>-1.1087949753399999</v>
      </c>
      <c r="AH2135">
        <v>45.389638957589902</v>
      </c>
      <c r="AI2135">
        <v>91.397938996399901</v>
      </c>
      <c r="AJ2135">
        <v>87.413288766999898</v>
      </c>
      <c r="AK2135">
        <v>45.449462478709002</v>
      </c>
      <c r="AL2135">
        <v>87.477046721192295</v>
      </c>
      <c r="AM2135">
        <v>90.003907651478201</v>
      </c>
      <c r="AN2135">
        <v>0.99999993522166097</v>
      </c>
    </row>
    <row r="2136" spans="1:40" x14ac:dyDescent="0.25">
      <c r="A2136" t="str">
        <f>"20190312151027619"</f>
        <v>20190312151027619</v>
      </c>
      <c r="B2136" t="str">
        <f>"1552374627613075"</f>
        <v>1552374627613075</v>
      </c>
      <c r="C2136" t="s">
        <v>40</v>
      </c>
      <c r="D2136">
        <v>4.914733</v>
      </c>
      <c r="E2136">
        <v>0.51792970000000005</v>
      </c>
      <c r="F2136" t="s">
        <v>52</v>
      </c>
      <c r="G2136">
        <v>-366.40230000000003</v>
      </c>
      <c r="H2136" s="1">
        <v>1.870227E-6</v>
      </c>
      <c r="I2136">
        <v>284.60739999999998</v>
      </c>
      <c r="J2136">
        <v>-321.51499999999999</v>
      </c>
      <c r="K2136">
        <v>1.1087910000000001</v>
      </c>
      <c r="L2136">
        <v>282.73599999999999</v>
      </c>
      <c r="M2136">
        <v>-0.99995880000000004</v>
      </c>
      <c r="N2136">
        <v>0</v>
      </c>
      <c r="O2136">
        <v>-3.8139960000000001E-3</v>
      </c>
      <c r="P2136">
        <v>-0.99935669999999999</v>
      </c>
      <c r="Q2136">
        <v>3.5639730000000001E-2</v>
      </c>
      <c r="R2136">
        <v>-4.0140280000000002E-3</v>
      </c>
      <c r="S2136">
        <v>-3.0050659999999998</v>
      </c>
      <c r="T2136">
        <v>-7.3824409999999993E-2</v>
      </c>
      <c r="U2136">
        <v>0.12454220000000001</v>
      </c>
      <c r="V2136">
        <v>-1.717977E-4</v>
      </c>
      <c r="W2136">
        <v>4.3880019999999999E-2</v>
      </c>
      <c r="X2136">
        <v>0.99903679999999995</v>
      </c>
      <c r="Y2136">
        <v>4.5204330000000001E-2</v>
      </c>
      <c r="Z2136">
        <v>6.4858530000000002E-4</v>
      </c>
      <c r="AA2136">
        <v>0.99897749999999996</v>
      </c>
      <c r="AB2136">
        <v>42</v>
      </c>
      <c r="AC2136">
        <v>-44.887300000000003</v>
      </c>
      <c r="AD2136">
        <v>-1.1087891297729999</v>
      </c>
      <c r="AE2136">
        <v>1.87139999999999</v>
      </c>
      <c r="AF2136">
        <v>2.0413487700148401</v>
      </c>
      <c r="AG2136">
        <v>-1.1087891297729999</v>
      </c>
      <c r="AH2136">
        <v>44.852515564977097</v>
      </c>
      <c r="AI2136">
        <v>91.414644104735899</v>
      </c>
      <c r="AJ2136">
        <v>87.394125815976494</v>
      </c>
      <c r="AK2136">
        <v>44.912633753117298</v>
      </c>
      <c r="AL2136">
        <v>87.485052555032794</v>
      </c>
      <c r="AM2136">
        <v>90.009852773234201</v>
      </c>
      <c r="AN2136">
        <v>1.0000000067119399</v>
      </c>
    </row>
    <row r="2137" spans="1:40" x14ac:dyDescent="0.25">
      <c r="A2137" t="str">
        <f>"20190312151027639"</f>
        <v>20190312151027639</v>
      </c>
      <c r="B2137" t="str">
        <f>"1552374627632594"</f>
        <v>1552374627632594</v>
      </c>
      <c r="C2137" t="s">
        <v>40</v>
      </c>
      <c r="D2137">
        <v>4.8954979999999999</v>
      </c>
      <c r="E2137">
        <v>0.51798350000000004</v>
      </c>
      <c r="F2137" t="s">
        <v>52</v>
      </c>
      <c r="G2137">
        <v>-366.42660000000001</v>
      </c>
      <c r="H2137" s="1">
        <v>1.883116E-6</v>
      </c>
      <c r="I2137">
        <v>284.60140000000001</v>
      </c>
      <c r="J2137">
        <v>-321.87700000000001</v>
      </c>
      <c r="K2137">
        <v>1.108784</v>
      </c>
      <c r="L2137">
        <v>282.73469999999998</v>
      </c>
      <c r="M2137">
        <v>-0.99995959999999995</v>
      </c>
      <c r="N2137">
        <v>0</v>
      </c>
      <c r="O2137">
        <v>-3.6055549999999999E-3</v>
      </c>
      <c r="P2137">
        <v>-0.99936570000000002</v>
      </c>
      <c r="Q2137">
        <v>3.5424020000000001E-2</v>
      </c>
      <c r="R2137">
        <v>-3.6813700000000002E-3</v>
      </c>
      <c r="S2137">
        <v>-3.0050349999999999</v>
      </c>
      <c r="T2137">
        <v>-7.4189069999999996E-2</v>
      </c>
      <c r="U2137">
        <v>0.124816899999999</v>
      </c>
      <c r="V2137" s="1">
        <v>-4.747178E-5</v>
      </c>
      <c r="W2137">
        <v>4.36485E-2</v>
      </c>
      <c r="X2137">
        <v>0.99904689999999996</v>
      </c>
      <c r="Y2137">
        <v>4.5087620000000002E-2</v>
      </c>
      <c r="Z2137">
        <v>6.4521019999999997E-4</v>
      </c>
      <c r="AA2137">
        <v>0.99898279999999995</v>
      </c>
      <c r="AB2137">
        <v>42</v>
      </c>
      <c r="AC2137">
        <v>-44.549599999999998</v>
      </c>
      <c r="AD2137">
        <v>-1.108782116884</v>
      </c>
      <c r="AE2137">
        <v>1.86670000000003</v>
      </c>
      <c r="AF2137">
        <v>2.0260665009252898</v>
      </c>
      <c r="AG2137">
        <v>-1.108782116884</v>
      </c>
      <c r="AH2137">
        <v>44.515053260431003</v>
      </c>
      <c r="AI2137">
        <v>91.425354790929006</v>
      </c>
      <c r="AJ2137">
        <v>87.394027589074796</v>
      </c>
      <c r="AK2137">
        <v>44.574929164586401</v>
      </c>
      <c r="AL2137">
        <v>87.498330256329695</v>
      </c>
      <c r="AM2137">
        <v>90.002722527478795</v>
      </c>
      <c r="AN2137">
        <v>0.999999951102713</v>
      </c>
    </row>
    <row r="2138" spans="1:40" x14ac:dyDescent="0.25">
      <c r="A2138" t="str">
        <f>"20190312151027652"</f>
        <v>20190312151027652</v>
      </c>
      <c r="B2138" t="str">
        <f>"1552374627643331"</f>
        <v>1552374627643331</v>
      </c>
      <c r="C2138" t="s">
        <v>40</v>
      </c>
      <c r="D2138">
        <v>5.3769729999999996</v>
      </c>
      <c r="E2138">
        <v>0.51802269999999995</v>
      </c>
      <c r="F2138" t="s">
        <v>52</v>
      </c>
      <c r="G2138">
        <v>-366.3655</v>
      </c>
      <c r="H2138" s="1">
        <v>1.8505980000000001E-6</v>
      </c>
      <c r="I2138">
        <v>284.60289999999998</v>
      </c>
      <c r="J2138">
        <v>-322.13049999999998</v>
      </c>
      <c r="K2138">
        <v>1.108779</v>
      </c>
      <c r="L2138">
        <v>282.73390000000001</v>
      </c>
      <c r="M2138">
        <v>-0.99996030000000002</v>
      </c>
      <c r="N2138">
        <v>0</v>
      </c>
      <c r="O2138">
        <v>-3.4597249999999999E-3</v>
      </c>
      <c r="P2138">
        <v>-0.99937469999999995</v>
      </c>
      <c r="Q2138">
        <v>3.5167669999999998E-2</v>
      </c>
      <c r="R2138">
        <v>-3.6906729999999998E-3</v>
      </c>
      <c r="S2138">
        <v>-3.0050349999999999</v>
      </c>
      <c r="T2138">
        <v>-7.4894189999999999E-2</v>
      </c>
      <c r="U2138">
        <v>0.1261902</v>
      </c>
      <c r="V2138">
        <v>-2.027668E-4</v>
      </c>
      <c r="W2138">
        <v>4.3383159999999997E-2</v>
      </c>
      <c r="X2138">
        <v>0.99905849999999996</v>
      </c>
      <c r="Y2138">
        <v>4.539733E-2</v>
      </c>
      <c r="Z2138">
        <v>6.5155900000000001E-4</v>
      </c>
      <c r="AA2138">
        <v>0.99896879999999999</v>
      </c>
      <c r="AB2138">
        <v>42</v>
      </c>
      <c r="AC2138">
        <v>-44.234999999999999</v>
      </c>
      <c r="AD2138">
        <v>-1.108777149402</v>
      </c>
      <c r="AE2138">
        <v>1.86899999999997</v>
      </c>
      <c r="AF2138">
        <v>2.0207675540255399</v>
      </c>
      <c r="AG2138">
        <v>-1.108777149402</v>
      </c>
      <c r="AH2138">
        <v>44.200547758043598</v>
      </c>
      <c r="AI2138">
        <v>91.435472810358704</v>
      </c>
      <c r="AJ2138">
        <v>87.382365327051602</v>
      </c>
      <c r="AK2138">
        <v>44.2606067557318</v>
      </c>
      <c r="AL2138">
        <v>87.513547688146105</v>
      </c>
      <c r="AM2138">
        <v>90.011628630060997</v>
      </c>
      <c r="AN2138">
        <v>1.0000000130541</v>
      </c>
    </row>
    <row r="2139" spans="1:40" x14ac:dyDescent="0.25">
      <c r="A2139" t="str">
        <f>"20190312151027672"</f>
        <v>20190312151027672</v>
      </c>
      <c r="B2139" t="str">
        <f>"1552374627662851"</f>
        <v>1552374627662851</v>
      </c>
      <c r="C2139" t="s">
        <v>40</v>
      </c>
      <c r="D2139">
        <v>5.3999839999999999</v>
      </c>
      <c r="E2139">
        <v>0.51808009999999904</v>
      </c>
      <c r="F2139" t="s">
        <v>52</v>
      </c>
      <c r="G2139">
        <v>-367.43939999999998</v>
      </c>
      <c r="H2139" s="1">
        <v>2.4221070000000001E-6</v>
      </c>
      <c r="I2139">
        <v>284.64260000000002</v>
      </c>
      <c r="J2139">
        <v>-322.51</v>
      </c>
      <c r="K2139">
        <v>1.1087720000000001</v>
      </c>
      <c r="L2139">
        <v>282.73270000000002</v>
      </c>
      <c r="M2139">
        <v>-0.99996099999999999</v>
      </c>
      <c r="N2139">
        <v>0</v>
      </c>
      <c r="O2139">
        <v>-3.2414039999999998E-3</v>
      </c>
      <c r="P2139">
        <v>-0.99939230000000001</v>
      </c>
      <c r="Q2139">
        <v>3.4705229999999997E-2</v>
      </c>
      <c r="R2139">
        <v>-3.269976E-3</v>
      </c>
      <c r="S2139">
        <v>-3.0049440000000001</v>
      </c>
      <c r="T2139">
        <v>-7.3535439999999994E-2</v>
      </c>
      <c r="U2139">
        <v>0.1265869</v>
      </c>
      <c r="V2139" s="1">
        <v>-3.2852399999999998E-7</v>
      </c>
      <c r="W2139">
        <v>4.290915E-2</v>
      </c>
      <c r="X2139">
        <v>0.99907900000000005</v>
      </c>
      <c r="Y2139">
        <v>4.53128E-2</v>
      </c>
      <c r="Z2139">
        <v>6.33386E-4</v>
      </c>
      <c r="AA2139">
        <v>0.99897270000000005</v>
      </c>
      <c r="AB2139">
        <v>42</v>
      </c>
      <c r="AC2139">
        <v>-44.929400000000001</v>
      </c>
      <c r="AD2139">
        <v>-1.10876957789299</v>
      </c>
      <c r="AE2139">
        <v>1.9098999999999899</v>
      </c>
      <c r="AF2139">
        <v>2.0542804057248301</v>
      </c>
      <c r="AG2139">
        <v>-1.10876957789299</v>
      </c>
      <c r="AH2139">
        <v>44.895680578912</v>
      </c>
      <c r="AI2139">
        <v>91.413243918757004</v>
      </c>
      <c r="AJ2139">
        <v>87.380158724891203</v>
      </c>
      <c r="AK2139">
        <v>44.956329616705801</v>
      </c>
      <c r="AL2139">
        <v>87.540731796371801</v>
      </c>
      <c r="AM2139">
        <v>90.000018840390595</v>
      </c>
      <c r="AN2139">
        <v>1.0000000216974101</v>
      </c>
    </row>
    <row r="2140" spans="1:40" x14ac:dyDescent="0.25">
      <c r="A2140" t="str">
        <f>"20190312151027695"</f>
        <v>20190312151027695</v>
      </c>
      <c r="B2140" t="str">
        <f>"1552374627682371"</f>
        <v>1552374627682371</v>
      </c>
      <c r="C2140" t="s">
        <v>40</v>
      </c>
      <c r="D2140">
        <v>4.919079</v>
      </c>
      <c r="E2140">
        <v>0.51792090000000002</v>
      </c>
      <c r="F2140" t="s">
        <v>52</v>
      </c>
      <c r="G2140">
        <v>-369.40890000000002</v>
      </c>
      <c r="H2140" s="1">
        <v>3.4701730000000001E-6</v>
      </c>
      <c r="I2140">
        <v>284.73669999999998</v>
      </c>
      <c r="J2140">
        <v>-322.93520000000001</v>
      </c>
      <c r="K2140">
        <v>1.108773</v>
      </c>
      <c r="L2140">
        <v>282.73160000000001</v>
      </c>
      <c r="M2140">
        <v>-0.99996189999999996</v>
      </c>
      <c r="N2140">
        <v>0</v>
      </c>
      <c r="O2140">
        <v>-2.996982E-3</v>
      </c>
      <c r="P2140">
        <v>-0.99939659999999997</v>
      </c>
      <c r="Q2140">
        <v>3.4612810000000001E-2</v>
      </c>
      <c r="R2140">
        <v>-2.938759E-3</v>
      </c>
      <c r="S2140">
        <v>-3.0046689999999998</v>
      </c>
      <c r="T2140">
        <v>-7.1035390000000004E-2</v>
      </c>
      <c r="U2140">
        <v>0.12838749999999999</v>
      </c>
      <c r="V2140" s="1">
        <v>8.6596239999999999E-5</v>
      </c>
      <c r="W2140">
        <v>4.2806240000000002E-2</v>
      </c>
      <c r="X2140">
        <v>0.99908339999999995</v>
      </c>
      <c r="Y2140">
        <v>4.5670950000000002E-2</v>
      </c>
      <c r="Z2140">
        <v>6.1036199999999895E-4</v>
      </c>
      <c r="AA2140">
        <v>0.99895630000000002</v>
      </c>
      <c r="AB2140">
        <v>42</v>
      </c>
      <c r="AC2140">
        <v>-46.473700000000001</v>
      </c>
      <c r="AD2140">
        <v>-1.1087695298269999</v>
      </c>
      <c r="AE2140">
        <v>2.0050999999999699</v>
      </c>
      <c r="AF2140">
        <v>2.1431588898074798</v>
      </c>
      <c r="AG2140">
        <v>-1.1087695298269999</v>
      </c>
      <c r="AH2140">
        <v>46.441096474277103</v>
      </c>
      <c r="AI2140">
        <v>91.366209113566697</v>
      </c>
      <c r="AJ2140">
        <v>87.357794900566603</v>
      </c>
      <c r="AK2140">
        <v>46.503741157355797</v>
      </c>
      <c r="AL2140">
        <v>87.546633501043701</v>
      </c>
      <c r="AM2140">
        <v>89.995033848964695</v>
      </c>
      <c r="AN2140">
        <v>1.0000000109186999</v>
      </c>
    </row>
    <row r="2141" spans="1:40" x14ac:dyDescent="0.25">
      <c r="A2141" t="str">
        <f>"20190312151027716"</f>
        <v>20190312151027716</v>
      </c>
      <c r="B2141" t="str">
        <f>"1552374627712627"</f>
        <v>1552374627712627</v>
      </c>
      <c r="C2141" t="s">
        <v>40</v>
      </c>
      <c r="D2141">
        <v>4.8714190000000004</v>
      </c>
      <c r="E2141">
        <v>0.51801839999999999</v>
      </c>
      <c r="F2141" t="s">
        <v>52</v>
      </c>
      <c r="G2141">
        <v>-370.0478</v>
      </c>
      <c r="H2141" s="1">
        <v>-1.511351E-6</v>
      </c>
      <c r="I2141">
        <v>284.7423</v>
      </c>
      <c r="J2141">
        <v>-323.33210000000003</v>
      </c>
      <c r="K2141">
        <v>1.1087659999999999</v>
      </c>
      <c r="L2141">
        <v>282.73050000000001</v>
      </c>
      <c r="M2141">
        <v>-0.99996269999999998</v>
      </c>
      <c r="N2141">
        <v>0</v>
      </c>
      <c r="O2141">
        <v>-2.769025E-3</v>
      </c>
      <c r="P2141">
        <v>-0.99940560000000001</v>
      </c>
      <c r="Q2141">
        <v>3.434487E-2</v>
      </c>
      <c r="R2141">
        <v>-2.9922450000000001E-3</v>
      </c>
      <c r="S2141">
        <v>-3.004578</v>
      </c>
      <c r="T2141">
        <v>-7.0711369999999996E-2</v>
      </c>
      <c r="U2141">
        <v>0.12823490000000001</v>
      </c>
      <c r="V2141">
        <v>-1.9467519999999999E-4</v>
      </c>
      <c r="W2141">
        <v>4.2531840000000001E-2</v>
      </c>
      <c r="X2141">
        <v>0.99909510000000001</v>
      </c>
      <c r="Y2141">
        <v>4.5394129999999998E-2</v>
      </c>
      <c r="Z2141">
        <v>5.989805E-4</v>
      </c>
      <c r="AA2141">
        <v>0.998969</v>
      </c>
      <c r="AB2141">
        <v>42</v>
      </c>
      <c r="AC2141">
        <v>-46.715699999999899</v>
      </c>
      <c r="AD2141">
        <v>-1.1087675113509901</v>
      </c>
      <c r="AE2141">
        <v>2.0117999999999898</v>
      </c>
      <c r="AF2141">
        <v>2.1399503115854599</v>
      </c>
      <c r="AG2141">
        <v>-1.1087675113509901</v>
      </c>
      <c r="AH2141">
        <v>46.683700793583</v>
      </c>
      <c r="AI2141">
        <v>91.359128679491803</v>
      </c>
      <c r="AJ2141">
        <v>87.375436196085303</v>
      </c>
      <c r="AK2141">
        <v>46.745873320701399</v>
      </c>
      <c r="AL2141">
        <v>87.562369785095896</v>
      </c>
      <c r="AM2141">
        <v>90.011164169651806</v>
      </c>
      <c r="AN2141">
        <v>1.0000000070781101</v>
      </c>
    </row>
    <row r="2142" spans="1:40" x14ac:dyDescent="0.25">
      <c r="A2142" t="str">
        <f>"20190312151027728"</f>
        <v>20190312151027728</v>
      </c>
      <c r="B2142" t="str">
        <f>"1552374627722386"</f>
        <v>1552374627722386</v>
      </c>
      <c r="C2142" t="s">
        <v>40</v>
      </c>
      <c r="D2142">
        <v>4.8845960000000002</v>
      </c>
      <c r="E2142">
        <v>0.5218045</v>
      </c>
      <c r="F2142" t="s">
        <v>52</v>
      </c>
      <c r="G2142">
        <v>-372.11290000000002</v>
      </c>
      <c r="H2142" s="1">
        <v>-4.1241410000000002E-7</v>
      </c>
      <c r="I2142">
        <v>284.8254</v>
      </c>
      <c r="J2142">
        <v>-323.56979999999999</v>
      </c>
      <c r="K2142">
        <v>1.1087640000000001</v>
      </c>
      <c r="L2142">
        <v>282.72989999999999</v>
      </c>
      <c r="M2142">
        <v>-0.99996300000000005</v>
      </c>
      <c r="N2142">
        <v>0</v>
      </c>
      <c r="O2142">
        <v>-2.6323980000000002E-3</v>
      </c>
      <c r="P2142">
        <v>-0.99942339999999996</v>
      </c>
      <c r="Q2142">
        <v>3.382247E-2</v>
      </c>
      <c r="R2142">
        <v>-2.9823100000000002E-3</v>
      </c>
      <c r="S2142">
        <v>-3.0045169999999999</v>
      </c>
      <c r="T2142">
        <v>-6.829143E-2</v>
      </c>
      <c r="U2142">
        <v>0.12902830000000001</v>
      </c>
      <c r="V2142">
        <v>-3.2188280000000001E-4</v>
      </c>
      <c r="W2142">
        <v>4.2006349999999998E-2</v>
      </c>
      <c r="X2142">
        <v>0.99911729999999999</v>
      </c>
      <c r="Y2142">
        <v>4.5522739999999999E-2</v>
      </c>
      <c r="Z2142">
        <v>5.7685240000000001E-4</v>
      </c>
      <c r="AA2142">
        <v>0.99896309999999999</v>
      </c>
      <c r="AB2142">
        <v>42</v>
      </c>
      <c r="AC2142">
        <v>-48.543100000000003</v>
      </c>
      <c r="AD2142">
        <v>-1.1087644124140901</v>
      </c>
      <c r="AE2142">
        <v>2.0955000000000101</v>
      </c>
      <c r="AF2142">
        <v>2.22212465049348</v>
      </c>
      <c r="AG2142">
        <v>-1.1087644124140901</v>
      </c>
      <c r="AH2142">
        <v>48.5121535496299</v>
      </c>
      <c r="AI2142">
        <v>91.307918797838298</v>
      </c>
      <c r="AJ2142">
        <v>87.377369948177005</v>
      </c>
      <c r="AK2142">
        <v>48.575675378809002</v>
      </c>
      <c r="AL2142">
        <v>87.592505079922304</v>
      </c>
      <c r="AM2142">
        <v>90.018458818899205</v>
      </c>
      <c r="AN2142">
        <v>1.0000000081040701</v>
      </c>
    </row>
    <row r="2143" spans="1:40" x14ac:dyDescent="0.25">
      <c r="A2143" t="str">
        <f>"20190312151027740"</f>
        <v>20190312151027740</v>
      </c>
      <c r="B2143" t="str">
        <f>"1552374627733122"</f>
        <v>1552374627733122</v>
      </c>
      <c r="C2143" t="s">
        <v>40</v>
      </c>
      <c r="D2143">
        <v>4.8486529999999997</v>
      </c>
      <c r="E2143">
        <v>0.52399269999999998</v>
      </c>
      <c r="F2143" t="s">
        <v>41</v>
      </c>
      <c r="G2143">
        <v>-324.47129999999999</v>
      </c>
      <c r="H2143">
        <v>1.0334620000000001</v>
      </c>
      <c r="I2143">
        <v>282.77600000000001</v>
      </c>
      <c r="J2143">
        <v>-323.79700000000003</v>
      </c>
      <c r="K2143">
        <v>1.10876</v>
      </c>
      <c r="L2143">
        <v>282.7294</v>
      </c>
      <c r="M2143">
        <v>-0.99996339999999995</v>
      </c>
      <c r="N2143">
        <v>0</v>
      </c>
      <c r="O2143">
        <v>-2.5019719999999999E-3</v>
      </c>
      <c r="P2143">
        <v>-0.99943349999999997</v>
      </c>
      <c r="Q2143">
        <v>3.3530539999999998E-2</v>
      </c>
      <c r="R2143">
        <v>-2.8966769999999998E-3</v>
      </c>
      <c r="S2143">
        <v>-3.0107119999999998</v>
      </c>
      <c r="T2143">
        <v>-0.25154579999999999</v>
      </c>
      <c r="U2143">
        <v>0.15325929999999999</v>
      </c>
      <c r="V2143">
        <v>-3.6667040000000001E-4</v>
      </c>
      <c r="W2143">
        <v>4.1712880000000001E-2</v>
      </c>
      <c r="X2143">
        <v>0.99912959999999995</v>
      </c>
      <c r="Y2143">
        <v>5.3144120000000003E-2</v>
      </c>
      <c r="Z2143">
        <v>2.423368E-3</v>
      </c>
      <c r="AA2143">
        <v>0.99858389999999997</v>
      </c>
      <c r="AB2143">
        <v>42</v>
      </c>
      <c r="AC2143">
        <v>-0.67429999999995904</v>
      </c>
      <c r="AD2143">
        <v>-7.5297999999999796E-2</v>
      </c>
      <c r="AE2143">
        <v>4.6600000000012097E-2</v>
      </c>
      <c r="AF2143">
        <v>4.7695067922659103E-2</v>
      </c>
      <c r="AG2143">
        <v>-7.5297999999999796E-2</v>
      </c>
      <c r="AH2143">
        <v>0.66591689340321902</v>
      </c>
      <c r="AI2143">
        <v>96.434925736951101</v>
      </c>
      <c r="AJ2143">
        <v>85.903291230503399</v>
      </c>
      <c r="AK2143">
        <v>0.67185557765634496</v>
      </c>
      <c r="AL2143">
        <v>87.609334471214694</v>
      </c>
      <c r="AM2143">
        <v>90.021026967321504</v>
      </c>
      <c r="AN2143">
        <v>1.0000000282006101</v>
      </c>
    </row>
    <row r="2144" spans="1:40" x14ac:dyDescent="0.25">
      <c r="A2144" t="str">
        <f>"20190312151027752"</f>
        <v>20190312151027752</v>
      </c>
      <c r="B2144" t="str">
        <f>"1552374627742883"</f>
        <v>1552374627742883</v>
      </c>
      <c r="C2144" t="s">
        <v>40</v>
      </c>
      <c r="D2144">
        <v>4.8721649999999999</v>
      </c>
      <c r="E2144">
        <v>0.52399269999999998</v>
      </c>
      <c r="F2144" t="s">
        <v>41</v>
      </c>
      <c r="G2144">
        <v>-324.83249999999998</v>
      </c>
      <c r="H2144">
        <v>0.99678160000000005</v>
      </c>
      <c r="I2144">
        <v>282.7878</v>
      </c>
      <c r="J2144">
        <v>-324.03680000000003</v>
      </c>
      <c r="K2144">
        <v>1.1087549999999999</v>
      </c>
      <c r="L2144">
        <v>282.72890000000001</v>
      </c>
      <c r="M2144">
        <v>-0.99996379999999996</v>
      </c>
      <c r="N2144">
        <v>0</v>
      </c>
      <c r="O2144">
        <v>-2.3647529999999998E-3</v>
      </c>
      <c r="P2144">
        <v>-0.99944880000000003</v>
      </c>
      <c r="Q2144">
        <v>3.3070450000000001E-2</v>
      </c>
      <c r="R2144">
        <v>-2.9894729999999999E-3</v>
      </c>
      <c r="S2144">
        <v>-3.013153</v>
      </c>
      <c r="T2144">
        <v>-0.32600180000000001</v>
      </c>
      <c r="U2144">
        <v>0.1687012</v>
      </c>
      <c r="V2144">
        <v>-5.967937E-4</v>
      </c>
      <c r="W2144">
        <v>4.1251690000000001E-2</v>
      </c>
      <c r="X2144">
        <v>0.99914860000000005</v>
      </c>
      <c r="Y2144">
        <v>5.7911009999999999E-2</v>
      </c>
      <c r="Z2144">
        <v>3.3761630000000002E-3</v>
      </c>
      <c r="AA2144">
        <v>0.99831599999999998</v>
      </c>
      <c r="AB2144">
        <v>42</v>
      </c>
      <c r="AC2144">
        <v>-0.795699999999953</v>
      </c>
      <c r="AD2144">
        <v>-0.111973399999999</v>
      </c>
      <c r="AE2144">
        <v>5.8899999999994103E-2</v>
      </c>
      <c r="AF2144">
        <v>5.9607556275915699E-2</v>
      </c>
      <c r="AG2144">
        <v>-0.111973399999999</v>
      </c>
      <c r="AH2144">
        <v>0.78019252883061097</v>
      </c>
      <c r="AI2144">
        <v>98.143916143408205</v>
      </c>
      <c r="AJ2144">
        <v>85.631027793098795</v>
      </c>
      <c r="AK2144">
        <v>0.790437527648991</v>
      </c>
      <c r="AL2144">
        <v>87.635781388942902</v>
      </c>
      <c r="AM2144">
        <v>90.034222893555096</v>
      </c>
      <c r="AN2144">
        <v>0.99999999148626795</v>
      </c>
    </row>
    <row r="2145" spans="1:40" x14ac:dyDescent="0.25">
      <c r="A2145" t="str">
        <f>"20190312151027769"</f>
        <v>20190312151027769</v>
      </c>
      <c r="B2145" t="str">
        <f>"1552374627762403"</f>
        <v>1552374627762403</v>
      </c>
      <c r="C2145" t="s">
        <v>40</v>
      </c>
      <c r="D2145">
        <v>4.8498609999999998</v>
      </c>
      <c r="E2145">
        <v>0.53399209999999997</v>
      </c>
      <c r="F2145" t="s">
        <v>41</v>
      </c>
      <c r="G2145">
        <v>-324.84440000000001</v>
      </c>
      <c r="H2145">
        <v>1.021061</v>
      </c>
      <c r="I2145">
        <v>282.77440000000001</v>
      </c>
      <c r="J2145">
        <v>-324.33629999999999</v>
      </c>
      <c r="K2145">
        <v>1.108752</v>
      </c>
      <c r="L2145">
        <v>282.72829999999999</v>
      </c>
      <c r="M2145">
        <v>-0.99996419999999997</v>
      </c>
      <c r="N2145">
        <v>0</v>
      </c>
      <c r="O2145">
        <v>-2.1932050000000002E-3</v>
      </c>
      <c r="P2145">
        <v>-0.99946219999999997</v>
      </c>
      <c r="Q2145">
        <v>3.2682700000000002E-2</v>
      </c>
      <c r="R2145">
        <v>-2.7498140000000002E-3</v>
      </c>
      <c r="S2145">
        <v>-3.0129700000000001</v>
      </c>
      <c r="T2145">
        <v>-0.3273742</v>
      </c>
      <c r="U2145">
        <v>0.16815189999999999</v>
      </c>
      <c r="V2145">
        <v>-5.2867249999999995E-4</v>
      </c>
      <c r="W2145">
        <v>4.0863410000000003E-2</v>
      </c>
      <c r="X2145">
        <v>0.99916459999999996</v>
      </c>
      <c r="Y2145">
        <v>5.7561750000000002E-2</v>
      </c>
      <c r="Z2145">
        <v>3.3530389999999999E-3</v>
      </c>
      <c r="AA2145">
        <v>0.99833629999999995</v>
      </c>
      <c r="AB2145">
        <v>42</v>
      </c>
      <c r="AC2145">
        <v>-0.50810000000001299</v>
      </c>
      <c r="AD2145">
        <v>-8.7690999999999894E-2</v>
      </c>
      <c r="AE2145">
        <v>4.6100000000023997E-2</v>
      </c>
      <c r="AF2145">
        <v>4.5859477849220801E-2</v>
      </c>
      <c r="AG2145">
        <v>-8.7690999999999894E-2</v>
      </c>
      <c r="AH2145">
        <v>0.493420655491774</v>
      </c>
      <c r="AI2145">
        <v>100.03505596110099</v>
      </c>
      <c r="AJ2145">
        <v>84.690072884043104</v>
      </c>
      <c r="AK2145">
        <v>0.50324620858535496</v>
      </c>
      <c r="AL2145">
        <v>87.658046984122507</v>
      </c>
      <c r="AM2145">
        <v>90.030316026176095</v>
      </c>
      <c r="AN2145">
        <v>0.99999999783229998</v>
      </c>
    </row>
    <row r="2146" spans="1:40" x14ac:dyDescent="0.25">
      <c r="A2146" t="str">
        <f>"20190312151027783"</f>
        <v>20190312151027783</v>
      </c>
      <c r="B2146" t="str">
        <f>"1552374627773139"</f>
        <v>1552374627773139</v>
      </c>
      <c r="C2146" t="s">
        <v>40</v>
      </c>
      <c r="D2146">
        <v>4.8036050000000001</v>
      </c>
      <c r="E2146">
        <v>0.5333099</v>
      </c>
      <c r="F2146" t="s">
        <v>41</v>
      </c>
      <c r="G2146">
        <v>-325.17750000000001</v>
      </c>
      <c r="H2146">
        <v>0.92541790000000002</v>
      </c>
      <c r="I2146">
        <v>282.7944</v>
      </c>
      <c r="J2146">
        <v>-324.61270000000002</v>
      </c>
      <c r="K2146">
        <v>1.1087480000000001</v>
      </c>
      <c r="L2146">
        <v>282.7278</v>
      </c>
      <c r="M2146">
        <v>-0.99996450000000003</v>
      </c>
      <c r="N2146">
        <v>0</v>
      </c>
      <c r="O2146">
        <v>-2.034891E-3</v>
      </c>
      <c r="P2146">
        <v>-0.99949580000000005</v>
      </c>
      <c r="Q2146">
        <v>3.1643999999999999E-2</v>
      </c>
      <c r="R2146">
        <v>-2.6829340000000001E-3</v>
      </c>
      <c r="S2146">
        <v>-3.0238040000000002</v>
      </c>
      <c r="T2146">
        <v>-0.65902380000000005</v>
      </c>
      <c r="U2146">
        <v>0.23718259999999999</v>
      </c>
      <c r="V2146">
        <v>-6.2065120000000002E-4</v>
      </c>
      <c r="W2146">
        <v>3.9824739999999997E-2</v>
      </c>
      <c r="X2146">
        <v>0.9992065</v>
      </c>
      <c r="Y2146">
        <v>7.8351180000000006E-2</v>
      </c>
      <c r="Z2146">
        <v>8.8643070000000001E-3</v>
      </c>
      <c r="AA2146">
        <v>0.99688639999999995</v>
      </c>
      <c r="AB2146">
        <v>42</v>
      </c>
      <c r="AC2146">
        <v>-0.56479999999999098</v>
      </c>
      <c r="AD2146">
        <v>-0.1833301</v>
      </c>
      <c r="AE2146">
        <v>6.6599999999993997E-2</v>
      </c>
      <c r="AF2146">
        <v>6.1371722810106603E-2</v>
      </c>
      <c r="AG2146">
        <v>-0.1833301</v>
      </c>
      <c r="AH2146">
        <v>0.511509451159329</v>
      </c>
      <c r="AI2146">
        <v>109.588495984907</v>
      </c>
      <c r="AJ2146">
        <v>83.158265817262603</v>
      </c>
      <c r="AK2146">
        <v>0.54682568753855099</v>
      </c>
      <c r="AL2146">
        <v>87.717606918388299</v>
      </c>
      <c r="AM2146">
        <v>90.035588929551906</v>
      </c>
      <c r="AN2146">
        <v>1.0000000123831101</v>
      </c>
    </row>
    <row r="2147" spans="1:40" x14ac:dyDescent="0.25">
      <c r="A2147" t="str">
        <f>"20190312151027795"</f>
        <v>20190312151027795</v>
      </c>
      <c r="B2147" t="str">
        <f>"1552374627782899"</f>
        <v>1552374627782899</v>
      </c>
      <c r="C2147" t="s">
        <v>40</v>
      </c>
      <c r="D2147">
        <v>4.7961769999999904</v>
      </c>
      <c r="E2147">
        <v>0.53367379999999998</v>
      </c>
      <c r="F2147" t="s">
        <v>41</v>
      </c>
      <c r="G2147">
        <v>-325.54989999999998</v>
      </c>
      <c r="H2147">
        <v>0.90755549999999996</v>
      </c>
      <c r="I2147">
        <v>282.8</v>
      </c>
      <c r="J2147">
        <v>-324.84249999999997</v>
      </c>
      <c r="K2147">
        <v>1.108744</v>
      </c>
      <c r="L2147">
        <v>282.72739999999999</v>
      </c>
      <c r="M2147">
        <v>-0.99996479999999999</v>
      </c>
      <c r="N2147">
        <v>0</v>
      </c>
      <c r="O2147">
        <v>-1.9032789999999999E-3</v>
      </c>
      <c r="P2147">
        <v>-0.9995001</v>
      </c>
      <c r="Q2147">
        <v>3.1509299999999997E-2</v>
      </c>
      <c r="R2147">
        <v>-2.6653200000000001E-3</v>
      </c>
      <c r="S2147">
        <v>-3.0227050000000002</v>
      </c>
      <c r="T2147">
        <v>-0.64894940000000001</v>
      </c>
      <c r="U2147">
        <v>0.23220830000000001</v>
      </c>
      <c r="V2147">
        <v>-7.3452890000000001E-4</v>
      </c>
      <c r="W2147">
        <v>3.9689429999999998E-2</v>
      </c>
      <c r="X2147">
        <v>0.99921179999999998</v>
      </c>
      <c r="Y2147">
        <v>7.6712210000000003E-2</v>
      </c>
      <c r="Z2147">
        <v>8.5338519999999998E-3</v>
      </c>
      <c r="AA2147">
        <v>0.99701669999999998</v>
      </c>
      <c r="AB2147">
        <v>42</v>
      </c>
      <c r="AC2147">
        <v>-0.70740000000000602</v>
      </c>
      <c r="AD2147">
        <v>-0.20118849999999899</v>
      </c>
      <c r="AE2147">
        <v>7.2600000000022605E-2</v>
      </c>
      <c r="AF2147">
        <v>6.8466035477380796E-2</v>
      </c>
      <c r="AG2147">
        <v>-0.20118849999999899</v>
      </c>
      <c r="AH2147">
        <v>0.65484452260256898</v>
      </c>
      <c r="AI2147">
        <v>106.99133710173599</v>
      </c>
      <c r="AJ2147">
        <v>84.0312335673257</v>
      </c>
      <c r="AK2147">
        <v>0.688466236883717</v>
      </c>
      <c r="AL2147">
        <v>87.725365729619298</v>
      </c>
      <c r="AM2147">
        <v>90.042118596197099</v>
      </c>
      <c r="AN2147">
        <v>1.00000000582283</v>
      </c>
    </row>
    <row r="2148" spans="1:40" x14ac:dyDescent="0.25">
      <c r="A2148" t="str">
        <f>"20190312151027807"</f>
        <v>20190312151027807</v>
      </c>
      <c r="B2148" t="str">
        <f>"1552374627802419"</f>
        <v>1552374627802419</v>
      </c>
      <c r="C2148" t="s">
        <v>40</v>
      </c>
      <c r="D2148">
        <v>4.8193359999999998</v>
      </c>
      <c r="E2148">
        <v>0.52912619999999999</v>
      </c>
      <c r="F2148" t="s">
        <v>41</v>
      </c>
      <c r="G2148">
        <v>-325.57130000000001</v>
      </c>
      <c r="H2148">
        <v>0.95251459999999999</v>
      </c>
      <c r="I2148">
        <v>282.78440000000001</v>
      </c>
      <c r="J2148">
        <v>-325.05959999999999</v>
      </c>
      <c r="K2148">
        <v>1.1087400000000001</v>
      </c>
      <c r="L2148">
        <v>282.72710000000001</v>
      </c>
      <c r="M2148">
        <v>-0.99996510000000005</v>
      </c>
      <c r="N2148">
        <v>0</v>
      </c>
      <c r="O2148">
        <v>-1.7790550000000001E-3</v>
      </c>
      <c r="P2148">
        <v>-0.99950660000000002</v>
      </c>
      <c r="Q2148">
        <v>3.130612E-2</v>
      </c>
      <c r="R2148">
        <v>-2.6929879999999999E-3</v>
      </c>
      <c r="S2148">
        <v>-3.022583</v>
      </c>
      <c r="T2148">
        <v>-0.64804219999999901</v>
      </c>
      <c r="U2148">
        <v>0.235321</v>
      </c>
      <c r="V2148">
        <v>-8.8605059999999998E-4</v>
      </c>
      <c r="W2148">
        <v>3.9485029999999997E-2</v>
      </c>
      <c r="X2148">
        <v>0.99921979999999999</v>
      </c>
      <c r="Y2148">
        <v>7.7599790000000002E-2</v>
      </c>
      <c r="Z2148">
        <v>8.5898390000000002E-3</v>
      </c>
      <c r="AA2148">
        <v>0.99694760000000004</v>
      </c>
      <c r="AB2148">
        <v>42</v>
      </c>
      <c r="AC2148">
        <v>-0.51170000000001803</v>
      </c>
      <c r="AD2148">
        <v>-0.15622539999999899</v>
      </c>
      <c r="AE2148">
        <v>5.7299999999997901E-2</v>
      </c>
      <c r="AF2148">
        <v>5.3303298667683303E-2</v>
      </c>
      <c r="AG2148">
        <v>-0.15622539999999899</v>
      </c>
      <c r="AH2148">
        <v>0.46847085894478901</v>
      </c>
      <c r="AI2148">
        <v>108.332177665926</v>
      </c>
      <c r="AJ2148">
        <v>83.508718971195407</v>
      </c>
      <c r="AK2148">
        <v>0.49670168404635501</v>
      </c>
      <c r="AL2148">
        <v>87.737086230660097</v>
      </c>
      <c r="AM2148">
        <v>90.050806585806995</v>
      </c>
      <c r="AN2148">
        <v>1.0000000306959</v>
      </c>
    </row>
    <row r="2149" spans="1:40" x14ac:dyDescent="0.25">
      <c r="A2149" t="str">
        <f>"20190312151027819"</f>
        <v>20190312151027819</v>
      </c>
      <c r="B2149" t="str">
        <f>"1552374627813155"</f>
        <v>1552374627813155</v>
      </c>
      <c r="C2149" t="s">
        <v>40</v>
      </c>
      <c r="D2149">
        <v>4.8497599999999998</v>
      </c>
      <c r="E2149">
        <v>0.52920999999999996</v>
      </c>
      <c r="F2149" t="s">
        <v>41</v>
      </c>
      <c r="G2149">
        <v>-325.95749999999998</v>
      </c>
      <c r="H2149">
        <v>0.96297469999999996</v>
      </c>
      <c r="I2149">
        <v>282.78809999999999</v>
      </c>
      <c r="J2149">
        <v>-325.30090000000001</v>
      </c>
      <c r="K2149">
        <v>1.1087370000000001</v>
      </c>
      <c r="L2149">
        <v>282.72669999999999</v>
      </c>
      <c r="M2149">
        <v>-0.9999652</v>
      </c>
      <c r="N2149">
        <v>0</v>
      </c>
      <c r="O2149">
        <v>-1.640882E-3</v>
      </c>
      <c r="P2149">
        <v>-0.99951129999999999</v>
      </c>
      <c r="Q2149">
        <v>3.113616E-2</v>
      </c>
      <c r="R2149">
        <v>-2.76743E-3</v>
      </c>
      <c r="S2149">
        <v>-3.0173649999999999</v>
      </c>
      <c r="T2149">
        <v>-0.48996420000000002</v>
      </c>
      <c r="U2149">
        <v>0.20452880000000001</v>
      </c>
      <c r="V2149">
        <v>-1.0990380000000001E-3</v>
      </c>
      <c r="W2149">
        <v>3.9313500000000001E-2</v>
      </c>
      <c r="X2149">
        <v>0.99922630000000001</v>
      </c>
      <c r="Y2149">
        <v>6.8353179999999999E-2</v>
      </c>
      <c r="Z2149">
        <v>5.7717719999999997E-3</v>
      </c>
      <c r="AA2149">
        <v>0.99764450000000005</v>
      </c>
      <c r="AB2149">
        <v>43</v>
      </c>
      <c r="AC2149">
        <v>-0.65659999999996899</v>
      </c>
      <c r="AD2149">
        <v>-0.14576230000000001</v>
      </c>
      <c r="AE2149">
        <v>6.1399999999991899E-2</v>
      </c>
      <c r="AF2149">
        <v>5.9567210670892497E-2</v>
      </c>
      <c r="AG2149">
        <v>-0.14576230000000001</v>
      </c>
      <c r="AH2149">
        <v>0.62591918821112502</v>
      </c>
      <c r="AI2149">
        <v>103.052293153066</v>
      </c>
      <c r="AJ2149">
        <v>84.563672244427494</v>
      </c>
      <c r="AK2149">
        <v>0.64542213384673597</v>
      </c>
      <c r="AL2149">
        <v>87.746921695507098</v>
      </c>
      <c r="AM2149">
        <v>90.063018971309702</v>
      </c>
      <c r="AN2149">
        <v>0.99999997888923198</v>
      </c>
    </row>
    <row r="2150" spans="1:40" x14ac:dyDescent="0.25">
      <c r="A2150" t="str">
        <f>"20190312151027839"</f>
        <v>20190312151027839</v>
      </c>
      <c r="B2150" t="str">
        <f>"1552374627832679"</f>
        <v>1552374627832679</v>
      </c>
      <c r="C2150" t="s">
        <v>40</v>
      </c>
      <c r="D2150">
        <v>4.8526660000000001</v>
      </c>
      <c r="E2150">
        <v>0.52904770000000001</v>
      </c>
      <c r="F2150" t="s">
        <v>41</v>
      </c>
      <c r="G2150">
        <v>-326.32760000000002</v>
      </c>
      <c r="H2150">
        <v>0.93923080000000003</v>
      </c>
      <c r="I2150">
        <v>282.79669999999999</v>
      </c>
      <c r="J2150">
        <v>-325.67450000000002</v>
      </c>
      <c r="K2150">
        <v>1.1087340000000001</v>
      </c>
      <c r="L2150">
        <v>282.72629999999998</v>
      </c>
      <c r="M2150">
        <v>-0.99996569999999996</v>
      </c>
      <c r="N2150">
        <v>0</v>
      </c>
      <c r="O2150">
        <v>-1.4270089999999999E-3</v>
      </c>
      <c r="P2150">
        <v>-0.9995153</v>
      </c>
      <c r="Q2150">
        <v>3.1018790000000001E-2</v>
      </c>
      <c r="R2150">
        <v>-2.7168549999999998E-3</v>
      </c>
      <c r="S2150">
        <v>-3.0176090000000002</v>
      </c>
      <c r="T2150">
        <v>-0.4982007</v>
      </c>
      <c r="U2150">
        <v>0.20483399999999999</v>
      </c>
      <c r="V2150">
        <v>-1.2624719999999999E-3</v>
      </c>
      <c r="W2150">
        <v>3.9193430000000001E-2</v>
      </c>
      <c r="X2150">
        <v>0.99923090000000003</v>
      </c>
      <c r="Y2150">
        <v>6.8209049999999993E-2</v>
      </c>
      <c r="Z2150">
        <v>5.8201889999999999E-3</v>
      </c>
      <c r="AA2150">
        <v>0.99765409999999999</v>
      </c>
      <c r="AB2150">
        <v>43</v>
      </c>
      <c r="AC2150">
        <v>-0.65309999999999402</v>
      </c>
      <c r="AD2150">
        <v>-0.16950319999999899</v>
      </c>
      <c r="AE2150">
        <v>7.0400000000006402E-2</v>
      </c>
      <c r="AF2150">
        <v>6.6878785679706496E-2</v>
      </c>
      <c r="AG2150">
        <v>-0.16950319999999899</v>
      </c>
      <c r="AH2150">
        <v>0.61223306355471996</v>
      </c>
      <c r="AI2150">
        <v>105.388147965812</v>
      </c>
      <c r="AJ2150">
        <v>83.765872988950306</v>
      </c>
      <c r="AK2150">
        <v>0.63877494541804802</v>
      </c>
      <c r="AL2150">
        <v>87.753806677515001</v>
      </c>
      <c r="AM2150">
        <v>90.072389953978202</v>
      </c>
      <c r="AN2150">
        <v>1.0000000551527599</v>
      </c>
    </row>
    <row r="2151" spans="1:40" x14ac:dyDescent="0.25">
      <c r="A2151" t="str">
        <f>"20190312151027851"</f>
        <v>20190312151027851</v>
      </c>
      <c r="B2151" t="str">
        <f>"1552374627842435"</f>
        <v>1552374627842435</v>
      </c>
      <c r="C2151" t="s">
        <v>40</v>
      </c>
      <c r="D2151">
        <v>4.8703310000000002</v>
      </c>
      <c r="E2151">
        <v>0.52913390000000005</v>
      </c>
      <c r="F2151" t="s">
        <v>41</v>
      </c>
      <c r="G2151">
        <v>-326.70940000000002</v>
      </c>
      <c r="H2151">
        <v>0.93791170000000001</v>
      </c>
      <c r="I2151">
        <v>282.79610000000002</v>
      </c>
      <c r="J2151">
        <v>-325.90460000000002</v>
      </c>
      <c r="K2151">
        <v>1.1087290000000001</v>
      </c>
      <c r="L2151">
        <v>282.726</v>
      </c>
      <c r="M2151">
        <v>-0.99996569999999996</v>
      </c>
      <c r="N2151">
        <v>0</v>
      </c>
      <c r="O2151">
        <v>-1.2953890000000001E-3</v>
      </c>
      <c r="P2151">
        <v>-0.99951789999999996</v>
      </c>
      <c r="Q2151">
        <v>3.0940160000000001E-2</v>
      </c>
      <c r="R2151">
        <v>-2.5890520000000001E-3</v>
      </c>
      <c r="S2151">
        <v>-3.0174560000000001</v>
      </c>
      <c r="T2151">
        <v>-0.49808140000000001</v>
      </c>
      <c r="U2151">
        <v>0.20364380000000001</v>
      </c>
      <c r="V2151">
        <v>-1.266288E-3</v>
      </c>
      <c r="W2151">
        <v>3.9112429999999997E-2</v>
      </c>
      <c r="X2151">
        <v>0.99923399999999996</v>
      </c>
      <c r="Y2151">
        <v>6.7698399999999895E-2</v>
      </c>
      <c r="Z2151">
        <v>5.7558080000000003E-3</v>
      </c>
      <c r="AA2151">
        <v>0.99768920000000005</v>
      </c>
      <c r="AB2151">
        <v>43</v>
      </c>
      <c r="AC2151">
        <v>-0.80479999999999996</v>
      </c>
      <c r="AD2151">
        <v>-0.17081730000000001</v>
      </c>
      <c r="AE2151">
        <v>7.0100000000024906E-2</v>
      </c>
      <c r="AF2151">
        <v>6.8097846086397296E-2</v>
      </c>
      <c r="AG2151">
        <v>-0.17081730000000001</v>
      </c>
      <c r="AH2151">
        <v>0.77026970711492404</v>
      </c>
      <c r="AI2151">
        <v>102.456670080743</v>
      </c>
      <c r="AJ2151">
        <v>84.947741880591593</v>
      </c>
      <c r="AK2151">
        <v>0.79191621294162695</v>
      </c>
      <c r="AL2151">
        <v>87.758451042062603</v>
      </c>
      <c r="AM2151">
        <v>90.072608537348998</v>
      </c>
      <c r="AN2151">
        <v>0.99999998621090103</v>
      </c>
    </row>
    <row r="2152" spans="1:40" x14ac:dyDescent="0.25">
      <c r="A2152" t="str">
        <f>"20190312151027862"</f>
        <v>20190312151027862</v>
      </c>
      <c r="B2152" t="str">
        <f>"1552374627853171"</f>
        <v>1552374627853171</v>
      </c>
      <c r="C2152" t="s">
        <v>40</v>
      </c>
      <c r="D2152">
        <v>4.8460269999999896</v>
      </c>
      <c r="E2152">
        <v>0.52913949999999998</v>
      </c>
      <c r="F2152" t="s">
        <v>41</v>
      </c>
      <c r="G2152">
        <v>-326.72640000000001</v>
      </c>
      <c r="H2152">
        <v>0.97264300000000004</v>
      </c>
      <c r="I2152">
        <v>282.78190000000001</v>
      </c>
      <c r="J2152">
        <v>-326.12200000000001</v>
      </c>
      <c r="K2152">
        <v>1.1087260000000001</v>
      </c>
      <c r="L2152">
        <v>282.72579999999999</v>
      </c>
      <c r="M2152">
        <v>-0.99996600000000002</v>
      </c>
      <c r="N2152">
        <v>0</v>
      </c>
      <c r="O2152">
        <v>-1.1711600000000001E-3</v>
      </c>
      <c r="P2152">
        <v>-0.99952430000000003</v>
      </c>
      <c r="Q2152">
        <v>3.0724540000000002E-2</v>
      </c>
      <c r="R2152">
        <v>-2.6922999999999999E-3</v>
      </c>
      <c r="S2152">
        <v>-3.0174259999999999</v>
      </c>
      <c r="T2152">
        <v>-0.49968390000000001</v>
      </c>
      <c r="U2152">
        <v>0.2048035</v>
      </c>
      <c r="V2152">
        <v>-1.494055E-3</v>
      </c>
      <c r="W2152">
        <v>3.8893730000000001E-2</v>
      </c>
      <c r="X2152">
        <v>0.99924219999999997</v>
      </c>
      <c r="Y2152">
        <v>6.7949170000000003E-2</v>
      </c>
      <c r="Z2152">
        <v>5.7742499999999999E-3</v>
      </c>
      <c r="AA2152">
        <v>0.99767209999999995</v>
      </c>
      <c r="AB2152">
        <v>43</v>
      </c>
      <c r="AC2152">
        <v>-0.60439999999999805</v>
      </c>
      <c r="AD2152">
        <v>-0.13608300000000001</v>
      </c>
      <c r="AE2152">
        <v>5.6100000000014902E-2</v>
      </c>
      <c r="AF2152">
        <v>5.4089241647389E-2</v>
      </c>
      <c r="AG2152">
        <v>-0.13608300000000001</v>
      </c>
      <c r="AH2152">
        <v>0.57541291251274096</v>
      </c>
      <c r="AI2152">
        <v>103.249431638435</v>
      </c>
      <c r="AJ2152">
        <v>84.629933908239494</v>
      </c>
      <c r="AK2152">
        <v>0.59375436742594501</v>
      </c>
      <c r="AL2152">
        <v>87.770991122386306</v>
      </c>
      <c r="AM2152">
        <v>90.085667901204999</v>
      </c>
      <c r="AN2152">
        <v>0.99999996434724703</v>
      </c>
    </row>
    <row r="2153" spans="1:40" x14ac:dyDescent="0.25">
      <c r="A2153" t="str">
        <f>"20190312151027885"</f>
        <v>20190312151027885</v>
      </c>
      <c r="B2153" t="str">
        <f>"1552374627872690"</f>
        <v>1552374627872690</v>
      </c>
      <c r="C2153" t="s">
        <v>40</v>
      </c>
      <c r="D2153">
        <v>4.8853600000000004</v>
      </c>
      <c r="E2153">
        <v>0.52892799999999995</v>
      </c>
      <c r="F2153" t="s">
        <v>41</v>
      </c>
      <c r="G2153">
        <v>-327.09690000000001</v>
      </c>
      <c r="H2153">
        <v>0.94695119999999999</v>
      </c>
      <c r="I2153">
        <v>282.79230000000001</v>
      </c>
      <c r="J2153">
        <v>-326.55259999999998</v>
      </c>
      <c r="K2153">
        <v>1.1087199999999999</v>
      </c>
      <c r="L2153">
        <v>282.72550000000001</v>
      </c>
      <c r="M2153">
        <v>-0.99996620000000003</v>
      </c>
      <c r="N2153">
        <v>0</v>
      </c>
      <c r="O2153">
        <v>-9.2460470000000001E-4</v>
      </c>
      <c r="P2153">
        <v>-0.99953320000000001</v>
      </c>
      <c r="Q2153">
        <v>3.0394089999999999E-2</v>
      </c>
      <c r="R2153">
        <v>-3.0738530000000001E-3</v>
      </c>
      <c r="S2153">
        <v>-3.017334</v>
      </c>
      <c r="T2153">
        <v>-0.50086960000000003</v>
      </c>
      <c r="U2153">
        <v>0.20443729999999999</v>
      </c>
      <c r="V2153">
        <v>-2.122077E-3</v>
      </c>
      <c r="W2153">
        <v>3.8556380000000001E-2</v>
      </c>
      <c r="X2153">
        <v>0.99925419999999998</v>
      </c>
      <c r="Y2153">
        <v>6.7588499999999996E-2</v>
      </c>
      <c r="Z2153">
        <v>5.7176600000000003E-3</v>
      </c>
      <c r="AA2153">
        <v>0.9976969</v>
      </c>
      <c r="AB2153">
        <v>43</v>
      </c>
      <c r="AC2153">
        <v>-0.54430000000002099</v>
      </c>
      <c r="AD2153">
        <v>-0.16176879999999999</v>
      </c>
      <c r="AE2153">
        <v>6.6800000000000595E-2</v>
      </c>
      <c r="AF2153">
        <v>6.1915359777888798E-2</v>
      </c>
      <c r="AG2153">
        <v>-0.16176879999999999</v>
      </c>
      <c r="AH2153">
        <v>0.50066960196613097</v>
      </c>
      <c r="AI2153">
        <v>107.779084407922</v>
      </c>
      <c r="AJ2153">
        <v>82.950303058065202</v>
      </c>
      <c r="AK2153">
        <v>0.52978552902357501</v>
      </c>
      <c r="AL2153">
        <v>87.790334502043805</v>
      </c>
      <c r="AM2153">
        <v>90.121676619543393</v>
      </c>
      <c r="AN2153">
        <v>1.00000002693356</v>
      </c>
    </row>
    <row r="2154" spans="1:40" x14ac:dyDescent="0.25">
      <c r="A2154" t="str">
        <f>"20190312151027906"</f>
        <v>20190312151027906</v>
      </c>
      <c r="B2154" t="str">
        <f>"1552374627902947"</f>
        <v>1552374627902947</v>
      </c>
      <c r="C2154" t="s">
        <v>40</v>
      </c>
      <c r="D2154">
        <v>4.869084</v>
      </c>
      <c r="E2154">
        <v>0.546566199999999</v>
      </c>
      <c r="F2154" t="s">
        <v>41</v>
      </c>
      <c r="G2154">
        <v>-327.48390000000001</v>
      </c>
      <c r="H2154">
        <v>0.9537525</v>
      </c>
      <c r="I2154">
        <v>282.78809999999999</v>
      </c>
      <c r="J2154">
        <v>-326.96679999999998</v>
      </c>
      <c r="K2154">
        <v>1.108714</v>
      </c>
      <c r="L2154">
        <v>282.7253</v>
      </c>
      <c r="M2154">
        <v>-0.99996649999999998</v>
      </c>
      <c r="N2154">
        <v>0</v>
      </c>
      <c r="O2154">
        <v>-6.8757649999999905E-4</v>
      </c>
      <c r="P2154">
        <v>-0.99953970000000003</v>
      </c>
      <c r="Q2154">
        <v>3.0130319999999999E-2</v>
      </c>
      <c r="R2154">
        <v>-3.5293360000000001E-3</v>
      </c>
      <c r="S2154">
        <v>-3.0173030000000001</v>
      </c>
      <c r="T2154">
        <v>-0.50208969999999997</v>
      </c>
      <c r="U2154">
        <v>0.2018433</v>
      </c>
      <c r="V2154">
        <v>-2.8144340000000002E-3</v>
      </c>
      <c r="W2154">
        <v>3.8282879999999998E-2</v>
      </c>
      <c r="X2154">
        <v>0.99926300000000001</v>
      </c>
      <c r="Y2154">
        <v>6.6512169999999995E-2</v>
      </c>
      <c r="Z2154">
        <v>5.6036439999999996E-3</v>
      </c>
      <c r="AA2154">
        <v>0.99776989999999999</v>
      </c>
      <c r="AB2154">
        <v>43</v>
      </c>
      <c r="AC2154">
        <v>-0.51710000000002698</v>
      </c>
      <c r="AD2154">
        <v>-0.154961499999999</v>
      </c>
      <c r="AE2154">
        <v>6.2799999999981496E-2</v>
      </c>
      <c r="AF2154">
        <v>5.8020747606046301E-2</v>
      </c>
      <c r="AG2154">
        <v>-0.154961499999999</v>
      </c>
      <c r="AH2154">
        <v>0.475017943978361</v>
      </c>
      <c r="AI2154">
        <v>107.94277327226099</v>
      </c>
      <c r="AJ2154">
        <v>83.036140615610407</v>
      </c>
      <c r="AK2154">
        <v>0.50301244590610705</v>
      </c>
      <c r="AL2154">
        <v>87.806016463662999</v>
      </c>
      <c r="AM2154">
        <v>90.161373695936206</v>
      </c>
      <c r="AN2154">
        <v>1.00000002155441</v>
      </c>
    </row>
    <row r="2155" spans="1:40" x14ac:dyDescent="0.25">
      <c r="A2155" t="str">
        <f>"20190312151027929"</f>
        <v>20190312151027929</v>
      </c>
      <c r="B2155" t="str">
        <f>"1552374627922467"</f>
        <v>1552374627922467</v>
      </c>
      <c r="C2155" t="s">
        <v>40</v>
      </c>
      <c r="D2155">
        <v>4.8939059999999897</v>
      </c>
      <c r="E2155">
        <v>0.56442539999999997</v>
      </c>
      <c r="F2155" t="s">
        <v>41</v>
      </c>
      <c r="G2155">
        <v>-327.85739999999998</v>
      </c>
      <c r="H2155">
        <v>0.9296546</v>
      </c>
      <c r="I2155">
        <v>282.82499999999999</v>
      </c>
      <c r="J2155">
        <v>-327.40170000000001</v>
      </c>
      <c r="K2155">
        <v>1.1087070000000001</v>
      </c>
      <c r="L2155">
        <v>282.7251</v>
      </c>
      <c r="M2155">
        <v>-0.99996689999999999</v>
      </c>
      <c r="N2155">
        <v>0</v>
      </c>
      <c r="O2155">
        <v>-4.3873490000000001E-4</v>
      </c>
      <c r="P2155">
        <v>-0.99954229999999999</v>
      </c>
      <c r="Q2155">
        <v>3.0054600000000001E-2</v>
      </c>
      <c r="R2155">
        <v>-3.4881349999999998E-3</v>
      </c>
      <c r="S2155">
        <v>-3.020905</v>
      </c>
      <c r="T2155">
        <v>-0.60745979999999999</v>
      </c>
      <c r="U2155">
        <v>0.33764650000000002</v>
      </c>
      <c r="V2155">
        <v>-3.0221919999999999E-3</v>
      </c>
      <c r="W2155">
        <v>3.8193770000000002E-2</v>
      </c>
      <c r="X2155">
        <v>0.99926579999999998</v>
      </c>
      <c r="Y2155">
        <v>0.1093436</v>
      </c>
      <c r="Z2155">
        <v>1.0939050000000001E-2</v>
      </c>
      <c r="AA2155">
        <v>0.99394380000000004</v>
      </c>
      <c r="AB2155">
        <v>43</v>
      </c>
      <c r="AC2155">
        <v>-0.45569999999997801</v>
      </c>
      <c r="AD2155">
        <v>-0.179052399999999</v>
      </c>
      <c r="AE2155">
        <v>9.9899999999990996E-2</v>
      </c>
      <c r="AF2155">
        <v>8.7247902817682493E-2</v>
      </c>
      <c r="AG2155">
        <v>-0.179052399999999</v>
      </c>
      <c r="AH2155">
        <v>0.39715354370033401</v>
      </c>
      <c r="AI2155">
        <v>113.76576104500801</v>
      </c>
      <c r="AJ2155">
        <v>77.609904018945301</v>
      </c>
      <c r="AK2155">
        <v>0.44430045663444501</v>
      </c>
      <c r="AL2155">
        <v>87.811125820260401</v>
      </c>
      <c r="AM2155">
        <v>90.173285544762606</v>
      </c>
      <c r="AN2155">
        <v>1.00000001838046</v>
      </c>
    </row>
    <row r="2156" spans="1:40" x14ac:dyDescent="0.25">
      <c r="A2156" t="str">
        <f>"20190312151027941"</f>
        <v>20190312151027941</v>
      </c>
      <c r="B2156" t="str">
        <f>"1552374627933203"</f>
        <v>1552374627933203</v>
      </c>
      <c r="C2156" t="s">
        <v>40</v>
      </c>
      <c r="D2156">
        <v>4.8604669999999999</v>
      </c>
      <c r="E2156">
        <v>0.56380140000000001</v>
      </c>
      <c r="F2156" t="s">
        <v>41</v>
      </c>
      <c r="G2156">
        <v>-328.22609999999997</v>
      </c>
      <c r="H2156">
        <v>0.88917299999999999</v>
      </c>
      <c r="I2156">
        <v>282.8544</v>
      </c>
      <c r="J2156">
        <v>-327.62880000000001</v>
      </c>
      <c r="K2156">
        <v>1.1087039999999999</v>
      </c>
      <c r="L2156">
        <v>282.7251</v>
      </c>
      <c r="M2156">
        <v>-0.99996700000000005</v>
      </c>
      <c r="N2156">
        <v>0</v>
      </c>
      <c r="O2156">
        <v>-3.088853E-4</v>
      </c>
      <c r="P2156">
        <v>-0.99954860000000001</v>
      </c>
      <c r="Q2156">
        <v>2.98351E-2</v>
      </c>
      <c r="R2156">
        <v>-3.5474310000000002E-3</v>
      </c>
      <c r="S2156">
        <v>-3.0272830000000002</v>
      </c>
      <c r="T2156">
        <v>-0.80623719999999999</v>
      </c>
      <c r="U2156">
        <v>0.47390749999999998</v>
      </c>
      <c r="V2156">
        <v>-3.2109080000000002E-3</v>
      </c>
      <c r="W2156">
        <v>3.7966970000000003E-2</v>
      </c>
      <c r="X2156">
        <v>0.99927379999999999</v>
      </c>
      <c r="Y2156">
        <v>0.14985589999999999</v>
      </c>
      <c r="Z2156">
        <v>1.9580819999999999E-2</v>
      </c>
      <c r="AA2156">
        <v>0.98851389999999995</v>
      </c>
      <c r="AB2156">
        <v>43</v>
      </c>
      <c r="AC2156">
        <v>-0.59729999999996097</v>
      </c>
      <c r="AD2156">
        <v>-0.219531</v>
      </c>
      <c r="AE2156">
        <v>0.1293</v>
      </c>
      <c r="AF2156">
        <v>0.114685685090419</v>
      </c>
      <c r="AG2156">
        <v>-0.219531</v>
      </c>
      <c r="AH2156">
        <v>0.52899904932668496</v>
      </c>
      <c r="AI2156">
        <v>112.07607011512199</v>
      </c>
      <c r="AJ2156">
        <v>77.767716029341997</v>
      </c>
      <c r="AK2156">
        <v>0.58411185616643202</v>
      </c>
      <c r="AL2156">
        <v>87.824129816726995</v>
      </c>
      <c r="AM2156">
        <v>90.184104540362299</v>
      </c>
      <c r="AN2156">
        <v>0.99999996405380198</v>
      </c>
    </row>
    <row r="2157" spans="1:40" x14ac:dyDescent="0.25">
      <c r="A2157" t="str">
        <f>"20190312151027952"</f>
        <v>20190312151027952</v>
      </c>
      <c r="B2157" t="str">
        <f>"1552374627942963"</f>
        <v>1552374627942963</v>
      </c>
      <c r="C2157" t="s">
        <v>40</v>
      </c>
      <c r="D2157">
        <v>4.8842689999999997</v>
      </c>
      <c r="E2157">
        <v>0.56354409999999999</v>
      </c>
      <c r="F2157" t="s">
        <v>41</v>
      </c>
      <c r="G2157">
        <v>-328.59609999999998</v>
      </c>
      <c r="H2157">
        <v>0.84970829999999997</v>
      </c>
      <c r="I2157">
        <v>282.87529999999998</v>
      </c>
      <c r="J2157">
        <v>-327.85610000000003</v>
      </c>
      <c r="K2157">
        <v>1.108697</v>
      </c>
      <c r="L2157">
        <v>282.7251</v>
      </c>
      <c r="M2157">
        <v>-0.99996700000000005</v>
      </c>
      <c r="N2157">
        <v>0</v>
      </c>
      <c r="O2157">
        <v>-1.7903339999999999E-4</v>
      </c>
      <c r="P2157">
        <v>-0.99954860000000001</v>
      </c>
      <c r="Q2157">
        <v>2.979909E-2</v>
      </c>
      <c r="R2157">
        <v>-3.8391879999999999E-3</v>
      </c>
      <c r="S2157">
        <v>-3.0272220000000001</v>
      </c>
      <c r="T2157">
        <v>-0.81059749999999997</v>
      </c>
      <c r="U2157">
        <v>0.46884160000000002</v>
      </c>
      <c r="V2157">
        <v>-3.6326090000000002E-3</v>
      </c>
      <c r="W2157">
        <v>3.7923129999999999E-2</v>
      </c>
      <c r="X2157">
        <v>0.99927410000000005</v>
      </c>
      <c r="Y2157">
        <v>0.14812310000000001</v>
      </c>
      <c r="Z2157">
        <v>1.9425290000000001E-2</v>
      </c>
      <c r="AA2157">
        <v>0.98877809999999999</v>
      </c>
      <c r="AB2157">
        <v>43</v>
      </c>
      <c r="AC2157">
        <v>-0.73999999999995203</v>
      </c>
      <c r="AD2157">
        <v>-0.25898870000000002</v>
      </c>
      <c r="AE2157">
        <v>0.15019999999998301</v>
      </c>
      <c r="AF2157">
        <v>0.13450854316152699</v>
      </c>
      <c r="AG2157">
        <v>-0.25898870000000002</v>
      </c>
      <c r="AH2157">
        <v>0.66208379425711505</v>
      </c>
      <c r="AI2157">
        <v>110.97388207328299</v>
      </c>
      <c r="AJ2157">
        <v>78.516116051123902</v>
      </c>
      <c r="AK2157">
        <v>0.72354864765890103</v>
      </c>
      <c r="AL2157">
        <v>87.826643646337004</v>
      </c>
      <c r="AM2157">
        <v>90.208283440449406</v>
      </c>
      <c r="AN2157">
        <v>1.00000004328397</v>
      </c>
    </row>
    <row r="2158" spans="1:40" x14ac:dyDescent="0.25">
      <c r="A2158" t="str">
        <f>"20190312151027964"</f>
        <v>20190312151027964</v>
      </c>
      <c r="B2158" t="str">
        <f>"1552374627952726"</f>
        <v>1552374627952726</v>
      </c>
      <c r="C2158" t="s">
        <v>40</v>
      </c>
      <c r="D2158">
        <v>4.9075100000000003</v>
      </c>
      <c r="E2158">
        <v>0.56363839999999998</v>
      </c>
      <c r="F2158" t="s">
        <v>41</v>
      </c>
      <c r="G2158">
        <v>-328.61810000000003</v>
      </c>
      <c r="H2158">
        <v>0.9055377</v>
      </c>
      <c r="I2158">
        <v>282.84280000000001</v>
      </c>
      <c r="J2158">
        <v>-328.08010000000002</v>
      </c>
      <c r="K2158">
        <v>1.108687</v>
      </c>
      <c r="L2158">
        <v>282.72519999999997</v>
      </c>
      <c r="M2158">
        <v>-0.9999671</v>
      </c>
      <c r="N2158">
        <v>0</v>
      </c>
      <c r="O2158" s="1">
        <v>-5.1087230000000003E-5</v>
      </c>
      <c r="P2158">
        <v>-0.99954659999999995</v>
      </c>
      <c r="Q2158">
        <v>2.987749E-2</v>
      </c>
      <c r="R2158">
        <v>-3.7535789999999999E-3</v>
      </c>
      <c r="S2158">
        <v>-3.0272220000000001</v>
      </c>
      <c r="T2158">
        <v>-0.80711449999999996</v>
      </c>
      <c r="U2158">
        <v>0.46606449999999999</v>
      </c>
      <c r="V2158">
        <v>-3.6750070000000001E-3</v>
      </c>
      <c r="W2158">
        <v>3.799222E-2</v>
      </c>
      <c r="X2158">
        <v>0.99927129999999997</v>
      </c>
      <c r="Y2158">
        <v>0.14718909999999999</v>
      </c>
      <c r="Z2158">
        <v>1.9190849999999999E-2</v>
      </c>
      <c r="AA2158">
        <v>0.98892219999999997</v>
      </c>
      <c r="AB2158">
        <v>43</v>
      </c>
      <c r="AC2158">
        <v>-0.53800000000001003</v>
      </c>
      <c r="AD2158">
        <v>-0.2031493</v>
      </c>
      <c r="AE2158">
        <v>0.11760000000003799</v>
      </c>
      <c r="AF2158">
        <v>0.103537986968825</v>
      </c>
      <c r="AG2158">
        <v>-0.2031493</v>
      </c>
      <c r="AH2158">
        <v>0.473552712040404</v>
      </c>
      <c r="AI2158">
        <v>112.738056806613</v>
      </c>
      <c r="AJ2158">
        <v>77.666878851793101</v>
      </c>
      <c r="AK2158">
        <v>0.52558721818254694</v>
      </c>
      <c r="AL2158">
        <v>87.822682181521699</v>
      </c>
      <c r="AM2158">
        <v>90.210714989489304</v>
      </c>
      <c r="AN2158">
        <v>1.0000000227303301</v>
      </c>
    </row>
    <row r="2159" spans="1:40" x14ac:dyDescent="0.25">
      <c r="A2159" t="str">
        <f>"20190312151027976"</f>
        <v>20190312151027976</v>
      </c>
      <c r="B2159" t="str">
        <f>"1552374627972526"</f>
        <v>1552374627972526</v>
      </c>
      <c r="C2159" t="s">
        <v>40</v>
      </c>
      <c r="D2159">
        <v>4.9445940000000004</v>
      </c>
      <c r="E2159">
        <v>0.56377349999999904</v>
      </c>
      <c r="F2159" t="s">
        <v>41</v>
      </c>
      <c r="G2159">
        <v>-328.98880000000003</v>
      </c>
      <c r="H2159">
        <v>0.86576769999999903</v>
      </c>
      <c r="I2159">
        <v>282.8655</v>
      </c>
      <c r="J2159">
        <v>-328.31950000000001</v>
      </c>
      <c r="K2159">
        <v>1.108684</v>
      </c>
      <c r="L2159">
        <v>282.72519999999997</v>
      </c>
      <c r="M2159">
        <v>-0.9999673</v>
      </c>
      <c r="N2159">
        <v>0</v>
      </c>
      <c r="O2159" s="1">
        <v>8.5684380000000001E-5</v>
      </c>
      <c r="P2159">
        <v>-0.99955959999999999</v>
      </c>
      <c r="Q2159">
        <v>2.9415859999999999E-2</v>
      </c>
      <c r="R2159">
        <v>-3.9630289999999999E-3</v>
      </c>
      <c r="S2159">
        <v>-3.0273129999999999</v>
      </c>
      <c r="T2159">
        <v>-0.80934349999999999</v>
      </c>
      <c r="U2159">
        <v>0.4670105</v>
      </c>
      <c r="V2159">
        <v>-4.0210100000000002E-3</v>
      </c>
      <c r="W2159">
        <v>3.7520489999999997E-2</v>
      </c>
      <c r="X2159">
        <v>0.99928779999999995</v>
      </c>
      <c r="Y2159">
        <v>0.1473246</v>
      </c>
      <c r="Z2159">
        <v>1.9223049999999998E-2</v>
      </c>
      <c r="AA2159">
        <v>0.98890140000000004</v>
      </c>
      <c r="AB2159">
        <v>43</v>
      </c>
      <c r="AC2159">
        <v>-0.66930000000002099</v>
      </c>
      <c r="AD2159">
        <v>-0.2429163</v>
      </c>
      <c r="AE2159">
        <v>0.14030000000002399</v>
      </c>
      <c r="AF2159">
        <v>0.12452935328961701</v>
      </c>
      <c r="AG2159">
        <v>-0.2429163</v>
      </c>
      <c r="AH2159">
        <v>0.594319869837726</v>
      </c>
      <c r="AI2159">
        <v>111.803509446757</v>
      </c>
      <c r="AJ2159">
        <v>78.165875383118205</v>
      </c>
      <c r="AK2159">
        <v>0.65401222948837201</v>
      </c>
      <c r="AL2159">
        <v>87.849729623507301</v>
      </c>
      <c r="AM2159">
        <v>90.230549856557403</v>
      </c>
      <c r="AN2159">
        <v>1.0000000314600399</v>
      </c>
    </row>
    <row r="2160" spans="1:40" x14ac:dyDescent="0.25">
      <c r="A2160" t="str">
        <f>"20190312151027992"</f>
        <v>20190312151027992</v>
      </c>
      <c r="B2160" t="str">
        <f>"1552374627983262"</f>
        <v>1552374627983262</v>
      </c>
      <c r="C2160" t="s">
        <v>40</v>
      </c>
      <c r="D2160">
        <v>4.9399410000000001</v>
      </c>
      <c r="E2160">
        <v>0.56379609999999902</v>
      </c>
      <c r="F2160" t="s">
        <v>41</v>
      </c>
      <c r="G2160">
        <v>-329.01199999999898</v>
      </c>
      <c r="H2160">
        <v>0.92360589999999998</v>
      </c>
      <c r="I2160">
        <v>282.83229999999998</v>
      </c>
      <c r="J2160">
        <v>-328.6071</v>
      </c>
      <c r="K2160">
        <v>1.1086800000000001</v>
      </c>
      <c r="L2160">
        <v>282.7253</v>
      </c>
      <c r="M2160">
        <v>-0.99996739999999995</v>
      </c>
      <c r="N2160">
        <v>0</v>
      </c>
      <c r="O2160">
        <v>2.4976909999999998E-4</v>
      </c>
      <c r="P2160">
        <v>-0.99955729999999998</v>
      </c>
      <c r="Q2160">
        <v>2.9472829999999998E-2</v>
      </c>
      <c r="R2160">
        <v>-4.0970260000000001E-3</v>
      </c>
      <c r="S2160">
        <v>-3.0269780000000002</v>
      </c>
      <c r="T2160">
        <v>-0.80904500000000001</v>
      </c>
      <c r="U2160">
        <v>0.46740720000000002</v>
      </c>
      <c r="V2160">
        <v>-4.3192889999999996E-3</v>
      </c>
      <c r="W2160">
        <v>3.756433E-2</v>
      </c>
      <c r="X2160">
        <v>0.99928490000000003</v>
      </c>
      <c r="Y2160">
        <v>0.14731429999999901</v>
      </c>
      <c r="Z2160">
        <v>1.9173849999999999E-2</v>
      </c>
      <c r="AA2160">
        <v>0.98890389999999995</v>
      </c>
      <c r="AB2160">
        <v>43</v>
      </c>
      <c r="AC2160">
        <v>-0.40489999999994097</v>
      </c>
      <c r="AD2160">
        <v>-0.18507409999999899</v>
      </c>
      <c r="AE2160">
        <v>0.10699999999996999</v>
      </c>
      <c r="AF2160">
        <v>8.9433444480009103E-2</v>
      </c>
      <c r="AG2160">
        <v>-0.18507409999999899</v>
      </c>
      <c r="AH2160">
        <v>0.33876872141803999</v>
      </c>
      <c r="AI2160">
        <v>117.843789615053</v>
      </c>
      <c r="AJ2160">
        <v>75.211559230609396</v>
      </c>
      <c r="AK2160">
        <v>0.39625119569987699</v>
      </c>
      <c r="AL2160">
        <v>87.847215986931801</v>
      </c>
      <c r="AM2160">
        <v>90.2476525853765</v>
      </c>
      <c r="AN2160">
        <v>1.00000002325691</v>
      </c>
    </row>
    <row r="2161" spans="1:40" x14ac:dyDescent="0.25">
      <c r="A2161" t="str">
        <f>"20190312151028007"</f>
        <v>20190312151028007</v>
      </c>
      <c r="B2161" t="str">
        <f>"1552374628002782"</f>
        <v>1552374628002782</v>
      </c>
      <c r="C2161" t="s">
        <v>40</v>
      </c>
      <c r="D2161">
        <v>4.934933</v>
      </c>
      <c r="E2161">
        <v>0.56373949999999995</v>
      </c>
      <c r="F2161" t="s">
        <v>41</v>
      </c>
      <c r="G2161">
        <v>-329.38920000000002</v>
      </c>
      <c r="H2161">
        <v>0.89957569999999998</v>
      </c>
      <c r="I2161">
        <v>282.84629999999999</v>
      </c>
      <c r="J2161">
        <v>-328.90710000000001</v>
      </c>
      <c r="K2161">
        <v>1.1086769999999999</v>
      </c>
      <c r="L2161">
        <v>282.72550000000001</v>
      </c>
      <c r="M2161">
        <v>-0.9999673</v>
      </c>
      <c r="N2161">
        <v>0</v>
      </c>
      <c r="O2161">
        <v>4.2059109999999998E-4</v>
      </c>
      <c r="P2161">
        <v>-0.99955689999999997</v>
      </c>
      <c r="Q2161">
        <v>2.942086E-2</v>
      </c>
      <c r="R2161">
        <v>-4.5137559999999998E-3</v>
      </c>
      <c r="S2161">
        <v>-3.0270999999999999</v>
      </c>
      <c r="T2161">
        <v>-0.80941929999999995</v>
      </c>
      <c r="U2161">
        <v>0.4676208</v>
      </c>
      <c r="V2161">
        <v>-4.9068209999999996E-3</v>
      </c>
      <c r="W2161">
        <v>3.7499039999999997E-2</v>
      </c>
      <c r="X2161">
        <v>0.99928459999999997</v>
      </c>
      <c r="Y2161">
        <v>0.1472128</v>
      </c>
      <c r="Z2161">
        <v>1.9123689999999999E-2</v>
      </c>
      <c r="AA2161">
        <v>0.98892000000000002</v>
      </c>
      <c r="AB2161">
        <v>43</v>
      </c>
      <c r="AC2161">
        <v>-0.48210000000000203</v>
      </c>
      <c r="AD2161">
        <v>-0.20910129999999999</v>
      </c>
      <c r="AE2161">
        <v>0.120799999999974</v>
      </c>
      <c r="AF2161">
        <v>0.102460805404642</v>
      </c>
      <c r="AG2161">
        <v>-0.20910129999999999</v>
      </c>
      <c r="AH2161">
        <v>0.40964093203598401</v>
      </c>
      <c r="AI2161">
        <v>116.344385719839</v>
      </c>
      <c r="AJ2161">
        <v>75.957099337389394</v>
      </c>
      <c r="AK2161">
        <v>0.47119769047096099</v>
      </c>
      <c r="AL2161">
        <v>87.850959379990101</v>
      </c>
      <c r="AM2161">
        <v>90.281339144624098</v>
      </c>
      <c r="AN2161">
        <v>0.99999998334520301</v>
      </c>
    </row>
    <row r="2162" spans="1:40" x14ac:dyDescent="0.25">
      <c r="A2162" t="str">
        <f>"20190312151028019"</f>
        <v>20190312151028019</v>
      </c>
      <c r="B2162" t="str">
        <f>"1552374628012541"</f>
        <v>1552374628012541</v>
      </c>
      <c r="C2162" t="s">
        <v>40</v>
      </c>
      <c r="D2162">
        <v>4.8986219999999996</v>
      </c>
      <c r="E2162">
        <v>0.56366000000000005</v>
      </c>
      <c r="F2162" t="s">
        <v>41</v>
      </c>
      <c r="G2162">
        <v>-329.76819999999998</v>
      </c>
      <c r="H2162">
        <v>0.87776759999999998</v>
      </c>
      <c r="I2162">
        <v>282.85820000000001</v>
      </c>
      <c r="J2162">
        <v>-329.1454</v>
      </c>
      <c r="K2162">
        <v>1.108671</v>
      </c>
      <c r="L2162">
        <v>282.72559999999999</v>
      </c>
      <c r="M2162">
        <v>-0.9999673</v>
      </c>
      <c r="N2162">
        <v>0</v>
      </c>
      <c r="O2162">
        <v>5.5629349999999998E-4</v>
      </c>
      <c r="P2162">
        <v>-0.99955360000000004</v>
      </c>
      <c r="Q2162">
        <v>2.952099E-2</v>
      </c>
      <c r="R2162">
        <v>-4.5729480000000003E-3</v>
      </c>
      <c r="S2162">
        <v>-3.0273439999999998</v>
      </c>
      <c r="T2162">
        <v>-0.81186210000000003</v>
      </c>
      <c r="U2162">
        <v>0.4665222</v>
      </c>
      <c r="V2162">
        <v>-5.1016909999999898E-3</v>
      </c>
      <c r="W2162">
        <v>3.7588629999999998E-2</v>
      </c>
      <c r="X2162">
        <v>0.99928030000000001</v>
      </c>
      <c r="Y2162">
        <v>0.1467088</v>
      </c>
      <c r="Z2162">
        <v>1.9076889999999999E-2</v>
      </c>
      <c r="AA2162">
        <v>0.98899570000000003</v>
      </c>
      <c r="AB2162">
        <v>43</v>
      </c>
      <c r="AC2162">
        <v>-0.62279999999998303</v>
      </c>
      <c r="AD2162">
        <v>-0.23090340000000001</v>
      </c>
      <c r="AE2162">
        <v>0.132600000000024</v>
      </c>
      <c r="AF2162">
        <v>0.11688384556369801</v>
      </c>
      <c r="AG2162">
        <v>-0.23090340000000001</v>
      </c>
      <c r="AH2162">
        <v>0.55048724738584198</v>
      </c>
      <c r="AI2162">
        <v>112.30862632821599</v>
      </c>
      <c r="AJ2162">
        <v>78.012531178961297</v>
      </c>
      <c r="AK2162">
        <v>0.60828810856350002</v>
      </c>
      <c r="AL2162">
        <v>87.845822719636899</v>
      </c>
      <c r="AM2162">
        <v>90.292513344951303</v>
      </c>
      <c r="AN2162">
        <v>1.0000000251622101</v>
      </c>
    </row>
    <row r="2163" spans="1:40" x14ac:dyDescent="0.25">
      <c r="A2163" t="str">
        <f>"20190312151028031"</f>
        <v>20190312151028031</v>
      </c>
      <c r="B2163" t="str">
        <f>"1552374628023277"</f>
        <v>1552374628023277</v>
      </c>
      <c r="C2163" t="s">
        <v>40</v>
      </c>
      <c r="D2163">
        <v>4.9483629999999996</v>
      </c>
      <c r="E2163">
        <v>0.56374399999999902</v>
      </c>
      <c r="F2163" t="s">
        <v>41</v>
      </c>
      <c r="G2163">
        <v>-330.14179999999999</v>
      </c>
      <c r="H2163">
        <v>0.84048319999999999</v>
      </c>
      <c r="I2163">
        <v>282.87939999999998</v>
      </c>
      <c r="J2163">
        <v>-329.38639999999998</v>
      </c>
      <c r="K2163">
        <v>1.10867</v>
      </c>
      <c r="L2163">
        <v>282.72579999999999</v>
      </c>
      <c r="M2163">
        <v>-0.99996719999999895</v>
      </c>
      <c r="N2163">
        <v>0</v>
      </c>
      <c r="O2163">
        <v>6.9354059999999996E-4</v>
      </c>
      <c r="P2163">
        <v>-0.99955170000000004</v>
      </c>
      <c r="Q2163">
        <v>2.9575239999999999E-2</v>
      </c>
      <c r="R2163">
        <v>-4.6552479999999999E-3</v>
      </c>
      <c r="S2163">
        <v>-3.0275569999999998</v>
      </c>
      <c r="T2163">
        <v>-0.81496190000000002</v>
      </c>
      <c r="U2163">
        <v>0.4655762</v>
      </c>
      <c r="V2163">
        <v>-5.3208680000000003E-3</v>
      </c>
      <c r="W2163">
        <v>3.7633890000000003E-2</v>
      </c>
      <c r="X2163">
        <v>0.99927739999999998</v>
      </c>
      <c r="Y2163">
        <v>0.14624409999999999</v>
      </c>
      <c r="Z2163">
        <v>1.904921E-2</v>
      </c>
      <c r="AA2163">
        <v>0.98906510000000003</v>
      </c>
      <c r="AB2163">
        <v>43</v>
      </c>
      <c r="AC2163">
        <v>-0.75540000000000795</v>
      </c>
      <c r="AD2163">
        <v>-0.2681868</v>
      </c>
      <c r="AE2163">
        <v>0.153599999999983</v>
      </c>
      <c r="AF2163">
        <v>0.13654834532420901</v>
      </c>
      <c r="AG2163">
        <v>-0.2681868</v>
      </c>
      <c r="AH2163">
        <v>0.67393393677823898</v>
      </c>
      <c r="AI2163">
        <v>111.306640038476</v>
      </c>
      <c r="AJ2163">
        <v>78.546138050083101</v>
      </c>
      <c r="AK2163">
        <v>0.73807625720276104</v>
      </c>
      <c r="AL2163">
        <v>87.843227561296999</v>
      </c>
      <c r="AM2163">
        <v>90.305080849995505</v>
      </c>
      <c r="AN2163">
        <v>0.99999997173178201</v>
      </c>
    </row>
    <row r="2164" spans="1:40" x14ac:dyDescent="0.25">
      <c r="A2164" t="str">
        <f>"20190312151028042"</f>
        <v>20190312151028042</v>
      </c>
      <c r="B2164" t="str">
        <f>"1552374628033037"</f>
        <v>1552374628033037</v>
      </c>
      <c r="C2164" t="s">
        <v>40</v>
      </c>
      <c r="D2164">
        <v>5.063974</v>
      </c>
      <c r="E2164">
        <v>0.56374399999999902</v>
      </c>
      <c r="F2164" t="s">
        <v>41</v>
      </c>
      <c r="G2164">
        <v>-330.1651</v>
      </c>
      <c r="H2164">
        <v>0.89918419999999899</v>
      </c>
      <c r="I2164">
        <v>282.84620000000001</v>
      </c>
      <c r="J2164">
        <v>-329.59930000000003</v>
      </c>
      <c r="K2164">
        <v>1.108668</v>
      </c>
      <c r="L2164">
        <v>282.72609999999997</v>
      </c>
      <c r="M2164">
        <v>-0.9999673</v>
      </c>
      <c r="N2164">
        <v>0</v>
      </c>
      <c r="O2164">
        <v>8.1438940000000003E-4</v>
      </c>
      <c r="P2164">
        <v>-0.99956420000000001</v>
      </c>
      <c r="Q2164">
        <v>2.9139459999999999E-2</v>
      </c>
      <c r="R2164">
        <v>-4.7606870000000004E-3</v>
      </c>
      <c r="S2164">
        <v>-3.0276179999999999</v>
      </c>
      <c r="T2164">
        <v>-0.81453439999999999</v>
      </c>
      <c r="U2164">
        <v>0.46594239999999998</v>
      </c>
      <c r="V2164">
        <v>-5.5472949999999998E-3</v>
      </c>
      <c r="W2164">
        <v>3.7190269999999997E-2</v>
      </c>
      <c r="X2164">
        <v>0.99929279999999998</v>
      </c>
      <c r="Y2164">
        <v>0.14624809999999999</v>
      </c>
      <c r="Z2164">
        <v>1.9007779999999998E-2</v>
      </c>
      <c r="AA2164">
        <v>0.98906530000000004</v>
      </c>
      <c r="AB2164">
        <v>43</v>
      </c>
      <c r="AC2164">
        <v>-0.565799999999967</v>
      </c>
      <c r="AD2164">
        <v>-0.2094838</v>
      </c>
      <c r="AE2164">
        <v>0.120100000000036</v>
      </c>
      <c r="AF2164">
        <v>0.105765839532203</v>
      </c>
      <c r="AG2164">
        <v>-0.2094838</v>
      </c>
      <c r="AH2164">
        <v>0.50027629240930804</v>
      </c>
      <c r="AI2164">
        <v>112.277965605299</v>
      </c>
      <c r="AJ2164">
        <v>78.062601804752802</v>
      </c>
      <c r="AK2164">
        <v>0.55258143655138803</v>
      </c>
      <c r="AL2164">
        <v>87.868662970975095</v>
      </c>
      <c r="AM2164">
        <v>90.318058257250797</v>
      </c>
      <c r="AN2164">
        <v>0.999999994398165</v>
      </c>
    </row>
    <row r="2165" spans="1:40" x14ac:dyDescent="0.25">
      <c r="A2165" t="str">
        <f>"20190312151028055"</f>
        <v>20190312151028055</v>
      </c>
      <c r="B2165" t="str">
        <f>"1552374628042800"</f>
        <v>1552374628042800</v>
      </c>
      <c r="C2165" t="s">
        <v>40</v>
      </c>
      <c r="D2165">
        <v>4.9599260000000003</v>
      </c>
      <c r="E2165">
        <v>0.5642585</v>
      </c>
      <c r="F2165" t="s">
        <v>41</v>
      </c>
      <c r="G2165">
        <v>-330.53699999999998</v>
      </c>
      <c r="H2165">
        <v>0.85591779999999995</v>
      </c>
      <c r="I2165">
        <v>282.87049999999999</v>
      </c>
      <c r="J2165">
        <v>-329.8476</v>
      </c>
      <c r="K2165">
        <v>1.1086609999999999</v>
      </c>
      <c r="L2165">
        <v>282.72640000000001</v>
      </c>
      <c r="M2165">
        <v>-0.99996719999999895</v>
      </c>
      <c r="N2165">
        <v>0</v>
      </c>
      <c r="O2165">
        <v>9.558031E-4</v>
      </c>
      <c r="P2165">
        <v>-0.99956489999999998</v>
      </c>
      <c r="Q2165">
        <v>2.911919E-2</v>
      </c>
      <c r="R2165">
        <v>-4.7101390000000003E-3</v>
      </c>
      <c r="S2165">
        <v>-3.0272830000000002</v>
      </c>
      <c r="T2165">
        <v>-0.81604239999999995</v>
      </c>
      <c r="U2165">
        <v>0.4653931</v>
      </c>
      <c r="V2165">
        <v>-5.6383120000000004E-3</v>
      </c>
      <c r="W2165">
        <v>3.716216E-2</v>
      </c>
      <c r="X2165">
        <v>0.99929330000000005</v>
      </c>
      <c r="Y2165">
        <v>0.1459454</v>
      </c>
      <c r="Z2165">
        <v>1.896693E-2</v>
      </c>
      <c r="AA2165">
        <v>0.98911079999999996</v>
      </c>
      <c r="AB2165">
        <v>43</v>
      </c>
      <c r="AC2165">
        <v>-0.68939999999997703</v>
      </c>
      <c r="AD2165">
        <v>-0.2527432</v>
      </c>
      <c r="AE2165">
        <v>0.14409999999997999</v>
      </c>
      <c r="AF2165">
        <v>0.12707624245138099</v>
      </c>
      <c r="AG2165">
        <v>-0.2527432</v>
      </c>
      <c r="AH2165">
        <v>0.61087022072130004</v>
      </c>
      <c r="AI2165">
        <v>112.051446873895</v>
      </c>
      <c r="AJ2165">
        <v>78.248646607627705</v>
      </c>
      <c r="AK2165">
        <v>0.67319382283699802</v>
      </c>
      <c r="AL2165">
        <v>87.870274592049398</v>
      </c>
      <c r="AM2165">
        <v>90.323276512581799</v>
      </c>
      <c r="AN2165">
        <v>0.99999995806148101</v>
      </c>
    </row>
    <row r="2166" spans="1:40" x14ac:dyDescent="0.25">
      <c r="A2166" t="str">
        <f>"20190312151028068"</f>
        <v>20190312151028068</v>
      </c>
      <c r="B2166" t="str">
        <f>"1552374628062824"</f>
        <v>1552374628062824</v>
      </c>
      <c r="C2166" t="s">
        <v>40</v>
      </c>
      <c r="D2166">
        <v>5.0644669999999996</v>
      </c>
      <c r="E2166">
        <v>0.57304089999999996</v>
      </c>
      <c r="F2166" t="s">
        <v>41</v>
      </c>
      <c r="G2166">
        <v>-330.5609</v>
      </c>
      <c r="H2166">
        <v>0.91613529999999999</v>
      </c>
      <c r="I2166">
        <v>282.83730000000003</v>
      </c>
      <c r="J2166">
        <v>-330.09730000000002</v>
      </c>
      <c r="K2166">
        <v>1.1086549999999999</v>
      </c>
      <c r="L2166">
        <v>282.72669999999999</v>
      </c>
      <c r="M2166">
        <v>-0.9999671</v>
      </c>
      <c r="N2166">
        <v>0</v>
      </c>
      <c r="O2166">
        <v>1.098045E-3</v>
      </c>
      <c r="P2166">
        <v>-0.99957450000000003</v>
      </c>
      <c r="Q2166">
        <v>2.876393E-2</v>
      </c>
      <c r="R2166">
        <v>-4.8071629999999997E-3</v>
      </c>
      <c r="S2166">
        <v>-3.0273129999999999</v>
      </c>
      <c r="T2166">
        <v>-0.81717799999999996</v>
      </c>
      <c r="U2166">
        <v>0.46978760000000003</v>
      </c>
      <c r="V2166">
        <v>-5.87807E-3</v>
      </c>
      <c r="W2166">
        <v>3.6800960000000001E-2</v>
      </c>
      <c r="X2166">
        <v>0.99930529999999995</v>
      </c>
      <c r="Y2166">
        <v>0.1471558</v>
      </c>
      <c r="Z2166">
        <v>1.9112339999999998E-2</v>
      </c>
      <c r="AA2166">
        <v>0.98892869999999999</v>
      </c>
      <c r="AB2166">
        <v>43</v>
      </c>
      <c r="AC2166">
        <v>-0.46359999999998502</v>
      </c>
      <c r="AD2166">
        <v>-0.19251969999999899</v>
      </c>
      <c r="AE2166">
        <v>0.11060000000003301</v>
      </c>
      <c r="AF2166">
        <v>9.4647778885893305E-2</v>
      </c>
      <c r="AG2166">
        <v>-0.19251969999999899</v>
      </c>
      <c r="AH2166">
        <v>0.39867230858198099</v>
      </c>
      <c r="AI2166">
        <v>115.16615100186399</v>
      </c>
      <c r="AJ2166">
        <v>76.644800877882801</v>
      </c>
      <c r="AK2166">
        <v>0.45272690064343302</v>
      </c>
      <c r="AL2166">
        <v>87.890984025332401</v>
      </c>
      <c r="AM2166">
        <v>90.337018845486398</v>
      </c>
      <c r="AN2166">
        <v>0.99999997248596695</v>
      </c>
    </row>
    <row r="2167" spans="1:40" x14ac:dyDescent="0.25">
      <c r="A2167" t="str">
        <f>"20190312151028082"</f>
        <v>20190312151028082</v>
      </c>
      <c r="B2167" t="str">
        <f>"1552374628072584"</f>
        <v>1552374628072584</v>
      </c>
      <c r="C2167" t="s">
        <v>40</v>
      </c>
      <c r="D2167">
        <v>5.0380710000000004</v>
      </c>
      <c r="E2167">
        <v>0.57297640000000005</v>
      </c>
      <c r="F2167" t="s">
        <v>41</v>
      </c>
      <c r="G2167">
        <v>-330.9316</v>
      </c>
      <c r="H2167">
        <v>0.86682689999999996</v>
      </c>
      <c r="I2167">
        <v>282.87520000000001</v>
      </c>
      <c r="J2167">
        <v>-330.3596</v>
      </c>
      <c r="K2167">
        <v>1.1086510000000001</v>
      </c>
      <c r="L2167">
        <v>282.72710000000001</v>
      </c>
      <c r="M2167">
        <v>-0.9999671</v>
      </c>
      <c r="N2167">
        <v>0</v>
      </c>
      <c r="O2167">
        <v>1.2471989999999901E-3</v>
      </c>
      <c r="P2167">
        <v>-0.99958000000000002</v>
      </c>
      <c r="Q2167">
        <v>2.8577769999999999E-2</v>
      </c>
      <c r="R2167">
        <v>-4.8144620000000003E-3</v>
      </c>
      <c r="S2167">
        <v>-3.0291440000000001</v>
      </c>
      <c r="T2167">
        <v>-0.87798399999999999</v>
      </c>
      <c r="U2167">
        <v>0.53771969999999902</v>
      </c>
      <c r="V2167">
        <v>-6.0344070000000003E-3</v>
      </c>
      <c r="W2167">
        <v>3.6608920000000003E-2</v>
      </c>
      <c r="X2167">
        <v>0.99931139999999996</v>
      </c>
      <c r="Y2167">
        <v>0.1669398</v>
      </c>
      <c r="Z2167">
        <v>2.318071E-2</v>
      </c>
      <c r="AA2167">
        <v>0.98569450000000003</v>
      </c>
      <c r="AB2167">
        <v>44</v>
      </c>
      <c r="AC2167">
        <v>-0.57200000000000195</v>
      </c>
      <c r="AD2167">
        <v>-0.24182409999999999</v>
      </c>
      <c r="AE2167">
        <v>0.14809999999999901</v>
      </c>
      <c r="AF2167">
        <v>0.126240557526137</v>
      </c>
      <c r="AG2167">
        <v>-0.24182409999999999</v>
      </c>
      <c r="AH2167">
        <v>0.490091555310673</v>
      </c>
      <c r="AI2167">
        <v>115.539818298179</v>
      </c>
      <c r="AJ2167">
        <v>75.5554321230711</v>
      </c>
      <c r="AK2167">
        <v>0.56089687670030297</v>
      </c>
      <c r="AL2167">
        <v>87.901994480740399</v>
      </c>
      <c r="AM2167">
        <v>90.345980092488702</v>
      </c>
      <c r="AN2167">
        <v>0.99999995063068203</v>
      </c>
    </row>
    <row r="2168" spans="1:40" x14ac:dyDescent="0.25">
      <c r="A2168" t="str">
        <f>"20190312151028096"</f>
        <v>20190312151028096</v>
      </c>
      <c r="B2168" t="str">
        <f>"1552374628093081"</f>
        <v>1552374628093081</v>
      </c>
      <c r="C2168" t="s">
        <v>40</v>
      </c>
      <c r="D2168">
        <v>5.0123319999999998</v>
      </c>
      <c r="E2168">
        <v>0.57268640000000004</v>
      </c>
      <c r="F2168" t="s">
        <v>41</v>
      </c>
      <c r="G2168">
        <v>-331.30829999999997</v>
      </c>
      <c r="H2168">
        <v>0.832122899999999</v>
      </c>
      <c r="I2168">
        <v>282.8956</v>
      </c>
      <c r="J2168">
        <v>-330.64080000000001</v>
      </c>
      <c r="K2168">
        <v>1.1086419999999999</v>
      </c>
      <c r="L2168">
        <v>282.72750000000002</v>
      </c>
      <c r="M2168">
        <v>-0.99996689999999999</v>
      </c>
      <c r="N2168">
        <v>0</v>
      </c>
      <c r="O2168">
        <v>1.40708E-3</v>
      </c>
      <c r="P2168">
        <v>-0.99959520000000002</v>
      </c>
      <c r="Q2168">
        <v>2.8038230000000001E-2</v>
      </c>
      <c r="R2168">
        <v>-4.8500390000000004E-3</v>
      </c>
      <c r="S2168">
        <v>-3.0291139999999999</v>
      </c>
      <c r="T2168">
        <v>-0.88293219999999994</v>
      </c>
      <c r="U2168">
        <v>0.53741459999999996</v>
      </c>
      <c r="V2168">
        <v>-6.2298989999999997E-3</v>
      </c>
      <c r="W2168">
        <v>3.6064260000000001E-2</v>
      </c>
      <c r="X2168">
        <v>0.99933000000000005</v>
      </c>
      <c r="Y2168">
        <v>0.16663310000000001</v>
      </c>
      <c r="Z2168">
        <v>2.321788E-2</v>
      </c>
      <c r="AA2168">
        <v>0.9857456</v>
      </c>
      <c r="AB2168">
        <v>44</v>
      </c>
      <c r="AC2168">
        <v>-0.66749999999996101</v>
      </c>
      <c r="AD2168">
        <v>-0.27651909999999902</v>
      </c>
      <c r="AE2168">
        <v>0.16809999999998099</v>
      </c>
      <c r="AF2168">
        <v>0.14393304751883601</v>
      </c>
      <c r="AG2168">
        <v>-0.27651909999999902</v>
      </c>
      <c r="AH2168">
        <v>0.57495170887509195</v>
      </c>
      <c r="AI2168">
        <v>115.011222291804</v>
      </c>
      <c r="AJ2168">
        <v>75.945457417035001</v>
      </c>
      <c r="AK2168">
        <v>0.65402523068399898</v>
      </c>
      <c r="AL2168">
        <v>87.933221814022104</v>
      </c>
      <c r="AM2168">
        <v>90.357181607184501</v>
      </c>
      <c r="AN2168">
        <v>0.99999994569544703</v>
      </c>
    </row>
    <row r="2169" spans="1:40" x14ac:dyDescent="0.25">
      <c r="A2169" t="str">
        <f>"20190312151028120"</f>
        <v>20190312151028120</v>
      </c>
      <c r="B2169" t="str">
        <f>"1552374628112600"</f>
        <v>1552374628112600</v>
      </c>
      <c r="C2169" t="s">
        <v>40</v>
      </c>
      <c r="D2169">
        <v>5.059666</v>
      </c>
      <c r="E2169">
        <v>0.57284299999999999</v>
      </c>
      <c r="F2169" t="s">
        <v>41</v>
      </c>
      <c r="G2169">
        <v>-331.33760000000001</v>
      </c>
      <c r="H2169">
        <v>0.90654659999999998</v>
      </c>
      <c r="I2169">
        <v>282.85109999999997</v>
      </c>
      <c r="J2169">
        <v>-331.089</v>
      </c>
      <c r="K2169">
        <v>1.1086389999999999</v>
      </c>
      <c r="L2169">
        <v>282.72829999999999</v>
      </c>
      <c r="M2169">
        <v>-0.99996660000000004</v>
      </c>
      <c r="N2169">
        <v>0</v>
      </c>
      <c r="O2169">
        <v>1.6613209999999999E-3</v>
      </c>
      <c r="P2169">
        <v>-0.99960550000000004</v>
      </c>
      <c r="Q2169">
        <v>2.7665410000000001E-2</v>
      </c>
      <c r="R2169">
        <v>-4.8772779999999996E-3</v>
      </c>
      <c r="S2169">
        <v>-3.0284420000000001</v>
      </c>
      <c r="T2169">
        <v>-0.87830580000000003</v>
      </c>
      <c r="U2169">
        <v>0.53631589999999996</v>
      </c>
      <c r="V2169">
        <v>-6.5116089999999998E-3</v>
      </c>
      <c r="W2169">
        <v>3.5686370000000002E-2</v>
      </c>
      <c r="X2169">
        <v>0.99934179999999995</v>
      </c>
      <c r="Y2169">
        <v>0.1661675</v>
      </c>
      <c r="Z2169">
        <v>2.2969079999999999E-2</v>
      </c>
      <c r="AA2169">
        <v>0.98582999999999998</v>
      </c>
      <c r="AB2169">
        <v>44</v>
      </c>
      <c r="AC2169">
        <v>-0.24860000000001001</v>
      </c>
      <c r="AD2169">
        <v>-0.20209239999999901</v>
      </c>
      <c r="AE2169">
        <v>0.12279999999998301</v>
      </c>
      <c r="AF2169">
        <v>7.9927519949674605E-2</v>
      </c>
      <c r="AG2169">
        <v>-0.20209239999999901</v>
      </c>
      <c r="AH2169">
        <v>0.162486955244279</v>
      </c>
      <c r="AI2169">
        <v>138.13864433406499</v>
      </c>
      <c r="AJ2169">
        <v>63.807374075574103</v>
      </c>
      <c r="AK2169">
        <v>0.27135172232293298</v>
      </c>
      <c r="AL2169">
        <v>87.954887325338106</v>
      </c>
      <c r="AM2169">
        <v>90.373328158215401</v>
      </c>
      <c r="AN2169">
        <v>0.99999997564139198</v>
      </c>
    </row>
    <row r="2170" spans="1:40" x14ac:dyDescent="0.25">
      <c r="A2170" t="str">
        <f>"20190312151028140"</f>
        <v>20190312151028140</v>
      </c>
      <c r="B2170" t="str">
        <f>"1552374628133099"</f>
        <v>1552374628133099</v>
      </c>
      <c r="C2170" t="s">
        <v>40</v>
      </c>
      <c r="D2170">
        <v>5.0741379999999996</v>
      </c>
      <c r="E2170">
        <v>0.57306020000000002</v>
      </c>
      <c r="F2170" t="s">
        <v>41</v>
      </c>
      <c r="G2170">
        <v>-332.08569999999997</v>
      </c>
      <c r="H2170">
        <v>0.81843710000000003</v>
      </c>
      <c r="I2170">
        <v>282.90539999999999</v>
      </c>
      <c r="J2170">
        <v>-331.50850000000003</v>
      </c>
      <c r="K2170">
        <v>1.108643</v>
      </c>
      <c r="L2170">
        <v>282.72919999999999</v>
      </c>
      <c r="M2170">
        <v>-0.99996609999999997</v>
      </c>
      <c r="N2170">
        <v>0</v>
      </c>
      <c r="O2170">
        <v>1.8995150000000001E-3</v>
      </c>
      <c r="P2170">
        <v>-0.99960629999999995</v>
      </c>
      <c r="Q2170">
        <v>2.7577830000000001E-2</v>
      </c>
      <c r="R2170">
        <v>-5.178963E-3</v>
      </c>
      <c r="S2170">
        <v>-3.028168</v>
      </c>
      <c r="T2170">
        <v>-0.88161669999999903</v>
      </c>
      <c r="U2170">
        <v>0.53735350000000004</v>
      </c>
      <c r="V2170">
        <v>-7.0515309999999998E-3</v>
      </c>
      <c r="W2170">
        <v>3.5596309999999999E-2</v>
      </c>
      <c r="X2170">
        <v>0.99934140000000005</v>
      </c>
      <c r="Y2170">
        <v>0.166233299999999</v>
      </c>
      <c r="Z2170">
        <v>2.299551E-2</v>
      </c>
      <c r="AA2170">
        <v>0.98581830000000004</v>
      </c>
      <c r="AB2170">
        <v>44</v>
      </c>
      <c r="AC2170">
        <v>-0.57719999999994798</v>
      </c>
      <c r="AD2170">
        <v>-0.29020590000000002</v>
      </c>
      <c r="AE2170">
        <v>0.176199999999994</v>
      </c>
      <c r="AF2170">
        <v>0.14221686187490001</v>
      </c>
      <c r="AG2170">
        <v>-0.29020590000000002</v>
      </c>
      <c r="AH2170">
        <v>0.46906626110189498</v>
      </c>
      <c r="AI2170">
        <v>120.628651379826</v>
      </c>
      <c r="AJ2170">
        <v>73.133147118395698</v>
      </c>
      <c r="AK2170">
        <v>0.56962115260975499</v>
      </c>
      <c r="AL2170">
        <v>87.960050769883793</v>
      </c>
      <c r="AM2170">
        <v>90.404282520686607</v>
      </c>
      <c r="AN2170">
        <v>1.0000000275645</v>
      </c>
    </row>
    <row r="2171" spans="1:40" x14ac:dyDescent="0.25">
      <c r="A2171" t="str">
        <f>"20190312151028152"</f>
        <v>20190312151028152</v>
      </c>
      <c r="B2171" t="str">
        <f>"1552374628142858"</f>
        <v>1552374628142858</v>
      </c>
      <c r="C2171" t="s">
        <v>40</v>
      </c>
      <c r="D2171">
        <v>4.9630409999999996</v>
      </c>
      <c r="E2171">
        <v>0.57275050000000005</v>
      </c>
      <c r="F2171" t="s">
        <v>41</v>
      </c>
      <c r="G2171">
        <v>-332.4803</v>
      </c>
      <c r="H2171">
        <v>0.82413999999999998</v>
      </c>
      <c r="I2171">
        <v>282.90190000000001</v>
      </c>
      <c r="J2171">
        <v>-331.7423</v>
      </c>
      <c r="K2171">
        <v>1.1086400000000001</v>
      </c>
      <c r="L2171">
        <v>282.72969999999998</v>
      </c>
      <c r="M2171">
        <v>-0.99996589999999996</v>
      </c>
      <c r="N2171">
        <v>0</v>
      </c>
      <c r="O2171">
        <v>2.0319029999999998E-3</v>
      </c>
      <c r="P2171">
        <v>-0.99960830000000001</v>
      </c>
      <c r="Q2171">
        <v>2.753214E-2</v>
      </c>
      <c r="R2171">
        <v>-5.0574829999999998E-3</v>
      </c>
      <c r="S2171">
        <v>-3.0284119999999999</v>
      </c>
      <c r="T2171">
        <v>-0.88659310000000002</v>
      </c>
      <c r="U2171">
        <v>0.53750609999999999</v>
      </c>
      <c r="V2171">
        <v>-7.0620269999999898E-3</v>
      </c>
      <c r="W2171">
        <v>3.5550560000000002E-2</v>
      </c>
      <c r="X2171">
        <v>0.99934290000000003</v>
      </c>
      <c r="Y2171">
        <v>0.166076799999999</v>
      </c>
      <c r="Z2171">
        <v>2.30584E-2</v>
      </c>
      <c r="AA2171">
        <v>0.98584320000000003</v>
      </c>
      <c r="AB2171">
        <v>44</v>
      </c>
      <c r="AC2171">
        <v>-0.73799999999999899</v>
      </c>
      <c r="AD2171">
        <v>-0.28449999999999998</v>
      </c>
      <c r="AE2171">
        <v>0.17220000000003199</v>
      </c>
      <c r="AF2171">
        <v>0.14961378404069101</v>
      </c>
      <c r="AG2171">
        <v>-0.28449999999999998</v>
      </c>
      <c r="AH2171">
        <v>0.64714154417613301</v>
      </c>
      <c r="AI2171">
        <v>113.186789031766</v>
      </c>
      <c r="AJ2171">
        <v>76.982400969686793</v>
      </c>
      <c r="AK2171">
        <v>0.72257644064392601</v>
      </c>
      <c r="AL2171">
        <v>87.962673600991707</v>
      </c>
      <c r="AM2171">
        <v>90.404883655805307</v>
      </c>
      <c r="AN2171">
        <v>0.99999997316103495</v>
      </c>
    </row>
    <row r="2172" spans="1:40" x14ac:dyDescent="0.25">
      <c r="A2172" t="str">
        <f>"20190312151028163"</f>
        <v>20190312151028163</v>
      </c>
      <c r="B2172" t="str">
        <f>"1552374628152616"</f>
        <v>1552374628152616</v>
      </c>
      <c r="C2172" t="s">
        <v>40</v>
      </c>
      <c r="D2172">
        <v>4.8879359999999998</v>
      </c>
      <c r="E2172">
        <v>0.57228919999999905</v>
      </c>
      <c r="F2172" t="s">
        <v>41</v>
      </c>
      <c r="G2172">
        <v>-332.50470000000001</v>
      </c>
      <c r="H2172">
        <v>0.88586209999999899</v>
      </c>
      <c r="I2172">
        <v>282.86470000000003</v>
      </c>
      <c r="J2172">
        <v>-331.96179999999998</v>
      </c>
      <c r="K2172">
        <v>1.108641</v>
      </c>
      <c r="L2172">
        <v>282.73020000000002</v>
      </c>
      <c r="M2172">
        <v>-0.99996569999999996</v>
      </c>
      <c r="N2172">
        <v>0</v>
      </c>
      <c r="O2172">
        <v>2.1561810000000001E-3</v>
      </c>
      <c r="P2172">
        <v>-0.99960079999999996</v>
      </c>
      <c r="Q2172">
        <v>2.7811720000000002E-2</v>
      </c>
      <c r="R2172">
        <v>-5.0210309999999996E-3</v>
      </c>
      <c r="S2172">
        <v>-3.0282589999999998</v>
      </c>
      <c r="T2172">
        <v>-0.88491520000000001</v>
      </c>
      <c r="U2172">
        <v>0.53543090000000004</v>
      </c>
      <c r="V2172">
        <v>-7.149636E-3</v>
      </c>
      <c r="W2172">
        <v>3.5829800000000002E-2</v>
      </c>
      <c r="X2172">
        <v>0.99933229999999995</v>
      </c>
      <c r="Y2172">
        <v>0.16536500000000001</v>
      </c>
      <c r="Z2172">
        <v>2.2882409999999999E-2</v>
      </c>
      <c r="AA2172">
        <v>0.98596689999999998</v>
      </c>
      <c r="AB2172">
        <v>44</v>
      </c>
      <c r="AC2172">
        <v>-0.54290000000003102</v>
      </c>
      <c r="AD2172">
        <v>-0.2227789</v>
      </c>
      <c r="AE2172">
        <v>0.13450000000000201</v>
      </c>
      <c r="AF2172">
        <v>0.11507281138183099</v>
      </c>
      <c r="AG2172">
        <v>-0.2227789</v>
      </c>
      <c r="AH2172">
        <v>0.46881195547945098</v>
      </c>
      <c r="AI2172">
        <v>114.77331308130999</v>
      </c>
      <c r="AJ2172">
        <v>76.209042506635498</v>
      </c>
      <c r="AK2172">
        <v>0.53165481264161996</v>
      </c>
      <c r="AL2172">
        <v>87.946664118574006</v>
      </c>
      <c r="AM2172">
        <v>90.409910676133606</v>
      </c>
      <c r="AN2172">
        <v>0.99999996884313003</v>
      </c>
    </row>
    <row r="2173" spans="1:40" x14ac:dyDescent="0.25">
      <c r="A2173" t="str">
        <f>"20190312151028174"</f>
        <v>20190312151028174</v>
      </c>
      <c r="B2173" t="str">
        <f>"1552374628162883"</f>
        <v>1552374628162883</v>
      </c>
      <c r="C2173" t="s">
        <v>40</v>
      </c>
      <c r="D2173">
        <v>5.0512189999999997</v>
      </c>
      <c r="E2173">
        <v>0.57218910000000001</v>
      </c>
      <c r="F2173" t="s">
        <v>41</v>
      </c>
      <c r="G2173">
        <v>-332.87990000000002</v>
      </c>
      <c r="H2173">
        <v>0.84089910000000001</v>
      </c>
      <c r="I2173">
        <v>282.89159999999998</v>
      </c>
      <c r="J2173">
        <v>-332.19139999999999</v>
      </c>
      <c r="K2173">
        <v>1.1086389999999999</v>
      </c>
      <c r="L2173">
        <v>282.73079999999999</v>
      </c>
      <c r="M2173">
        <v>-0.9999654</v>
      </c>
      <c r="N2173">
        <v>0</v>
      </c>
      <c r="O2173">
        <v>2.2863580000000001E-3</v>
      </c>
      <c r="P2173">
        <v>-0.99959980000000004</v>
      </c>
      <c r="Q2173">
        <v>2.7815929999999999E-2</v>
      </c>
      <c r="R2173">
        <v>-5.1806220000000002E-3</v>
      </c>
      <c r="S2173">
        <v>-3.0284119999999999</v>
      </c>
      <c r="T2173">
        <v>-0.88314400000000004</v>
      </c>
      <c r="U2173">
        <v>0.53201290000000001</v>
      </c>
      <c r="V2173">
        <v>-7.4393580000000001E-3</v>
      </c>
      <c r="W2173">
        <v>3.5835520000000003E-2</v>
      </c>
      <c r="X2173">
        <v>0.99933000000000005</v>
      </c>
      <c r="Y2173">
        <v>0.16422529999999999</v>
      </c>
      <c r="Z2173">
        <v>2.2640859999999999E-2</v>
      </c>
      <c r="AA2173">
        <v>0.98616300000000001</v>
      </c>
      <c r="AB2173">
        <v>44</v>
      </c>
      <c r="AC2173">
        <v>-0.68850000000003297</v>
      </c>
      <c r="AD2173">
        <v>-0.26773989999999898</v>
      </c>
      <c r="AE2173">
        <v>0.160799999999994</v>
      </c>
      <c r="AF2173">
        <v>0.139255910674562</v>
      </c>
      <c r="AG2173">
        <v>-0.26773989999999898</v>
      </c>
      <c r="AH2173">
        <v>0.60247083324716699</v>
      </c>
      <c r="AI2173">
        <v>113.411990656947</v>
      </c>
      <c r="AJ2173">
        <v>76.985143017186601</v>
      </c>
      <c r="AK2173">
        <v>0.67383081528180899</v>
      </c>
      <c r="AL2173">
        <v>87.946336216940693</v>
      </c>
      <c r="AM2173">
        <v>90.426521711595299</v>
      </c>
      <c r="AN2173">
        <v>0.99999998872056095</v>
      </c>
    </row>
    <row r="2174" spans="1:40" x14ac:dyDescent="0.25">
      <c r="A2174" t="str">
        <f>"20190312151028186"</f>
        <v>20190312151028186</v>
      </c>
      <c r="B2174" t="str">
        <f>"1552374628182404"</f>
        <v>1552374628182404</v>
      </c>
      <c r="C2174" t="s">
        <v>40</v>
      </c>
      <c r="D2174">
        <v>4.9763320000000002</v>
      </c>
      <c r="E2174">
        <v>0.57218359999999902</v>
      </c>
      <c r="F2174" t="s">
        <v>41</v>
      </c>
      <c r="G2174">
        <v>-332.90350000000001</v>
      </c>
      <c r="H2174">
        <v>0.90048459999999997</v>
      </c>
      <c r="I2174">
        <v>282.85570000000001</v>
      </c>
      <c r="J2174">
        <v>-332.41199999999998</v>
      </c>
      <c r="K2174">
        <v>1.1086389999999999</v>
      </c>
      <c r="L2174">
        <v>282.73140000000001</v>
      </c>
      <c r="M2174">
        <v>-0.99996499999999999</v>
      </c>
      <c r="N2174">
        <v>0</v>
      </c>
      <c r="O2174">
        <v>2.4116430000000002E-3</v>
      </c>
      <c r="P2174">
        <v>-0.99960649999999995</v>
      </c>
      <c r="Q2174">
        <v>2.7574290000000001E-2</v>
      </c>
      <c r="R2174">
        <v>-5.1845709999999998E-3</v>
      </c>
      <c r="S2174">
        <v>-3.0286249999999999</v>
      </c>
      <c r="T2174">
        <v>-0.88526859999999996</v>
      </c>
      <c r="U2174">
        <v>0.53070069999999903</v>
      </c>
      <c r="V2174">
        <v>-7.5685600000000002E-3</v>
      </c>
      <c r="W2174">
        <v>3.559536E-2</v>
      </c>
      <c r="X2174">
        <v>0.99933760000000005</v>
      </c>
      <c r="Y2174">
        <v>0.1636724</v>
      </c>
      <c r="Z2174">
        <v>2.2578270000000001E-2</v>
      </c>
      <c r="AA2174">
        <v>0.98625640000000003</v>
      </c>
      <c r="AB2174">
        <v>44</v>
      </c>
      <c r="AC2174">
        <v>-0.49150000000003002</v>
      </c>
      <c r="AD2174">
        <v>-0.20815439999999999</v>
      </c>
      <c r="AE2174">
        <v>0.124300000000005</v>
      </c>
      <c r="AF2174">
        <v>0.10535396804080401</v>
      </c>
      <c r="AG2174">
        <v>-0.20815439999999999</v>
      </c>
      <c r="AH2174">
        <v>0.42085214038601498</v>
      </c>
      <c r="AI2174">
        <v>115.63154263363</v>
      </c>
      <c r="AJ2174">
        <v>75.945699663144595</v>
      </c>
      <c r="AK2174">
        <v>0.48119043723747501</v>
      </c>
      <c r="AL2174">
        <v>87.960105129676904</v>
      </c>
      <c r="AM2174">
        <v>90.433925686464804</v>
      </c>
      <c r="AN2174">
        <v>0.999999975763881</v>
      </c>
    </row>
    <row r="2175" spans="1:40" x14ac:dyDescent="0.25">
      <c r="A2175" t="str">
        <f>"20190312151028198"</f>
        <v>20190312151028198</v>
      </c>
      <c r="B2175" t="str">
        <f>"1552374628193140"</f>
        <v>1552374628193140</v>
      </c>
      <c r="C2175" t="s">
        <v>40</v>
      </c>
      <c r="D2175">
        <v>5.0565480000000003</v>
      </c>
      <c r="E2175">
        <v>0.57227299999999903</v>
      </c>
      <c r="F2175" t="s">
        <v>41</v>
      </c>
      <c r="G2175">
        <v>-333.2792</v>
      </c>
      <c r="H2175">
        <v>0.85498560000000001</v>
      </c>
      <c r="I2175">
        <v>282.88369999999998</v>
      </c>
      <c r="J2175">
        <v>-332.66</v>
      </c>
      <c r="K2175">
        <v>1.1086389999999999</v>
      </c>
      <c r="L2175">
        <v>282.7321</v>
      </c>
      <c r="M2175">
        <v>-0.99996470000000004</v>
      </c>
      <c r="N2175">
        <v>0</v>
      </c>
      <c r="O2175">
        <v>2.5521839999999999E-3</v>
      </c>
      <c r="P2175">
        <v>-0.99962200000000001</v>
      </c>
      <c r="Q2175">
        <v>2.70543E-2</v>
      </c>
      <c r="R2175">
        <v>-4.9250220000000003E-3</v>
      </c>
      <c r="S2175">
        <v>-3.0283509999999998</v>
      </c>
      <c r="T2175">
        <v>-0.88585400000000003</v>
      </c>
      <c r="U2175">
        <v>0.53082280000000004</v>
      </c>
      <c r="V2175">
        <v>-7.4500410000000001E-3</v>
      </c>
      <c r="W2175">
        <v>3.5077360000000002E-2</v>
      </c>
      <c r="X2175">
        <v>0.99935680000000005</v>
      </c>
      <c r="Y2175">
        <v>0.16358729999999999</v>
      </c>
      <c r="Z2175">
        <v>2.2542389999999999E-2</v>
      </c>
      <c r="AA2175">
        <v>0.98627129999999996</v>
      </c>
      <c r="AB2175">
        <v>44</v>
      </c>
      <c r="AC2175">
        <v>-0.61919999999997799</v>
      </c>
      <c r="AD2175">
        <v>-0.25365339999999897</v>
      </c>
      <c r="AE2175">
        <v>0.15159999999997301</v>
      </c>
      <c r="AF2175">
        <v>0.129514367270852</v>
      </c>
      <c r="AG2175">
        <v>-0.25365339999999897</v>
      </c>
      <c r="AH2175">
        <v>0.53489938298706896</v>
      </c>
      <c r="AI2175">
        <v>114.744502921603</v>
      </c>
      <c r="AJ2175">
        <v>76.389012274865905</v>
      </c>
      <c r="AK2175">
        <v>0.60599617868521005</v>
      </c>
      <c r="AL2175">
        <v>87.989802877888195</v>
      </c>
      <c r="AM2175">
        <v>90.427122724653799</v>
      </c>
      <c r="AN2175">
        <v>0.99999996900085497</v>
      </c>
    </row>
    <row r="2176" spans="1:40" x14ac:dyDescent="0.25">
      <c r="A2176" t="str">
        <f>"20190312151028219"</f>
        <v>20190312151028219</v>
      </c>
      <c r="B2176" t="str">
        <f>"1552374628212664"</f>
        <v>1552374628212664</v>
      </c>
      <c r="C2176" t="s">
        <v>40</v>
      </c>
      <c r="D2176">
        <v>4.9894040000000004</v>
      </c>
      <c r="E2176">
        <v>0.57218459999999904</v>
      </c>
      <c r="F2176" t="s">
        <v>41</v>
      </c>
      <c r="G2176">
        <v>-333.65809999999999</v>
      </c>
      <c r="H2176">
        <v>0.81590269999999898</v>
      </c>
      <c r="I2176">
        <v>282.90769999999998</v>
      </c>
      <c r="J2176">
        <v>-333.05990000000003</v>
      </c>
      <c r="K2176">
        <v>1.108636</v>
      </c>
      <c r="L2176">
        <v>282.73320000000001</v>
      </c>
      <c r="M2176">
        <v>-0.99996390000000002</v>
      </c>
      <c r="N2176">
        <v>0</v>
      </c>
      <c r="O2176">
        <v>2.778965E-3</v>
      </c>
      <c r="P2176">
        <v>-0.99963769999999996</v>
      </c>
      <c r="Q2176">
        <v>2.6560790000000001E-2</v>
      </c>
      <c r="R2176">
        <v>-4.3720909999999998E-3</v>
      </c>
      <c r="S2176">
        <v>-3.0278019999999999</v>
      </c>
      <c r="T2176">
        <v>-0.88803909999999997</v>
      </c>
      <c r="U2176">
        <v>0.53250120000000001</v>
      </c>
      <c r="V2176">
        <v>-7.1246919999999898E-3</v>
      </c>
      <c r="W2176">
        <v>3.4587939999999998E-2</v>
      </c>
      <c r="X2176">
        <v>0.99937619999999905</v>
      </c>
      <c r="Y2176">
        <v>0.16388839999999999</v>
      </c>
      <c r="Z2176">
        <v>2.257694E-2</v>
      </c>
      <c r="AA2176">
        <v>0.98622050000000006</v>
      </c>
      <c r="AB2176">
        <v>44</v>
      </c>
      <c r="AC2176">
        <v>-0.59819999999996298</v>
      </c>
      <c r="AD2176">
        <v>-0.29273329999999997</v>
      </c>
      <c r="AE2176">
        <v>0.17449999999996599</v>
      </c>
      <c r="AF2176">
        <v>0.14158941931601501</v>
      </c>
      <c r="AG2176">
        <v>-0.29273329999999997</v>
      </c>
      <c r="AH2176">
        <v>0.49044578304053499</v>
      </c>
      <c r="AI2176">
        <v>119.83223897023601</v>
      </c>
      <c r="AJ2176">
        <v>73.8968168423674</v>
      </c>
      <c r="AK2176">
        <v>0.58845340911016897</v>
      </c>
      <c r="AL2176">
        <v>88.017861545116602</v>
      </c>
      <c r="AM2176">
        <v>90.408462665364397</v>
      </c>
      <c r="AN2176">
        <v>0.99999993797798703</v>
      </c>
    </row>
    <row r="2177" spans="1:40" x14ac:dyDescent="0.25">
      <c r="A2177" t="str">
        <f>"20190312151028240"</f>
        <v>20190312151028240</v>
      </c>
      <c r="B2177" t="str">
        <f>"1552374628233159"</f>
        <v>1552374628233159</v>
      </c>
      <c r="C2177" t="s">
        <v>40</v>
      </c>
      <c r="D2177">
        <v>5.0553179999999998</v>
      </c>
      <c r="E2177">
        <v>0.57222359999999906</v>
      </c>
      <c r="F2177" t="s">
        <v>41</v>
      </c>
      <c r="G2177">
        <v>-334.05349999999999</v>
      </c>
      <c r="H2177">
        <v>0.81676919999999897</v>
      </c>
      <c r="I2177">
        <v>282.9085</v>
      </c>
      <c r="J2177">
        <v>-333.48430000000002</v>
      </c>
      <c r="K2177">
        <v>1.10863</v>
      </c>
      <c r="L2177">
        <v>282.7346</v>
      </c>
      <c r="M2177">
        <v>-0.9999633</v>
      </c>
      <c r="N2177">
        <v>0</v>
      </c>
      <c r="O2177">
        <v>3.0193300000000002E-3</v>
      </c>
      <c r="P2177">
        <v>-0.9996448</v>
      </c>
      <c r="Q2177">
        <v>2.6408089999999999E-2</v>
      </c>
      <c r="R2177">
        <v>-3.618137E-3</v>
      </c>
      <c r="S2177">
        <v>-3.027069</v>
      </c>
      <c r="T2177">
        <v>-0.88921049999999902</v>
      </c>
      <c r="U2177">
        <v>0.5331726</v>
      </c>
      <c r="V2177">
        <v>-6.6105390000000003E-3</v>
      </c>
      <c r="W2177">
        <v>3.4441640000000003E-2</v>
      </c>
      <c r="X2177">
        <v>0.99938479999999996</v>
      </c>
      <c r="Y2177">
        <v>0.16389429999999999</v>
      </c>
      <c r="Z2177">
        <v>2.25425E-2</v>
      </c>
      <c r="AA2177">
        <v>0.98622030000000005</v>
      </c>
      <c r="AB2177">
        <v>44</v>
      </c>
      <c r="AC2177">
        <v>-0.56919999999996596</v>
      </c>
      <c r="AD2177">
        <v>-0.29186079999999998</v>
      </c>
      <c r="AE2177">
        <v>0.173900000000003</v>
      </c>
      <c r="AF2177">
        <v>0.138802331656915</v>
      </c>
      <c r="AG2177">
        <v>-0.29186079999999998</v>
      </c>
      <c r="AH2177">
        <v>0.45927841097942301</v>
      </c>
      <c r="AI2177">
        <v>121.312307543114</v>
      </c>
      <c r="AJ2177">
        <v>73.184223300730807</v>
      </c>
      <c r="AK2177">
        <v>0.56159190934505199</v>
      </c>
      <c r="AL2177">
        <v>88.026248943436897</v>
      </c>
      <c r="AM2177">
        <v>90.378983611960706</v>
      </c>
      <c r="AN2177">
        <v>0.99999995213139803</v>
      </c>
    </row>
    <row r="2178" spans="1:40" x14ac:dyDescent="0.25">
      <c r="A2178" t="str">
        <f>"20190312151028263"</f>
        <v>20190312151028263</v>
      </c>
      <c r="B2178" t="str">
        <f>"1552374628252675"</f>
        <v>1552374628252675</v>
      </c>
      <c r="C2178" t="s">
        <v>40</v>
      </c>
      <c r="D2178">
        <v>5.0285729999999997</v>
      </c>
      <c r="E2178">
        <v>0.57230530000000002</v>
      </c>
      <c r="F2178" t="s">
        <v>41</v>
      </c>
      <c r="G2178">
        <v>-334.4522</v>
      </c>
      <c r="H2178">
        <v>0.82430550000000002</v>
      </c>
      <c r="I2178">
        <v>282.90589999999997</v>
      </c>
      <c r="J2178">
        <v>-333.93099999999998</v>
      </c>
      <c r="K2178">
        <v>1.1086290000000001</v>
      </c>
      <c r="L2178">
        <v>282.73610000000002</v>
      </c>
      <c r="M2178">
        <v>-0.99996229999999997</v>
      </c>
      <c r="N2178">
        <v>0</v>
      </c>
      <c r="O2178">
        <v>3.2731570000000001E-3</v>
      </c>
      <c r="P2178">
        <v>-0.99963869999999999</v>
      </c>
      <c r="Q2178">
        <v>2.6672439999999999E-2</v>
      </c>
      <c r="R2178">
        <v>-3.3037750000000001E-3</v>
      </c>
      <c r="S2178">
        <v>-3.0265499999999999</v>
      </c>
      <c r="T2178">
        <v>-0.88906059999999998</v>
      </c>
      <c r="U2178">
        <v>0.53573609999999905</v>
      </c>
      <c r="V2178">
        <v>-6.5494780000000001E-3</v>
      </c>
      <c r="W2178">
        <v>3.4714700000000001E-2</v>
      </c>
      <c r="X2178">
        <v>0.99937580000000004</v>
      </c>
      <c r="Y2178">
        <v>0.16447110000000001</v>
      </c>
      <c r="Z2178">
        <v>2.2550839999999999E-2</v>
      </c>
      <c r="AA2178">
        <v>0.98612409999999995</v>
      </c>
      <c r="AB2178">
        <v>44</v>
      </c>
      <c r="AC2178">
        <v>-0.52120000000002098</v>
      </c>
      <c r="AD2178">
        <v>-0.28432350000000001</v>
      </c>
      <c r="AE2178">
        <v>0.16979999999995199</v>
      </c>
      <c r="AF2178">
        <v>0.13245745477541601</v>
      </c>
      <c r="AG2178">
        <v>-0.28432350000000001</v>
      </c>
      <c r="AH2178">
        <v>0.411141739477207</v>
      </c>
      <c r="AI2178">
        <v>123.354088878528</v>
      </c>
      <c r="AJ2178">
        <v>72.142626670795707</v>
      </c>
      <c r="AK2178">
        <v>0.51712895869229303</v>
      </c>
      <c r="AL2178">
        <v>88.010594486579805</v>
      </c>
      <c r="AM2178">
        <v>90.375486453853</v>
      </c>
      <c r="AN2178">
        <v>0.99999999784190097</v>
      </c>
    </row>
    <row r="2179" spans="1:40" x14ac:dyDescent="0.25">
      <c r="A2179" t="str">
        <f>"20190312151028285"</f>
        <v>20190312151028285</v>
      </c>
      <c r="B2179" t="str">
        <f>"1552374628282931"</f>
        <v>1552374628282931</v>
      </c>
      <c r="C2179" t="s">
        <v>40</v>
      </c>
      <c r="D2179">
        <v>5.1057379999999997</v>
      </c>
      <c r="E2179">
        <v>0.57234019999999997</v>
      </c>
      <c r="F2179" t="s">
        <v>41</v>
      </c>
      <c r="G2179">
        <v>-334.85379999999998</v>
      </c>
      <c r="H2179">
        <v>0.83763809999999905</v>
      </c>
      <c r="I2179">
        <v>282.90039999999999</v>
      </c>
      <c r="J2179">
        <v>-334.36880000000002</v>
      </c>
      <c r="K2179">
        <v>1.108625</v>
      </c>
      <c r="L2179">
        <v>282.73770000000002</v>
      </c>
      <c r="M2179">
        <v>-0.9999614</v>
      </c>
      <c r="N2179">
        <v>0</v>
      </c>
      <c r="O2179">
        <v>3.520844E-3</v>
      </c>
      <c r="P2179">
        <v>-0.99964549999999996</v>
      </c>
      <c r="Q2179">
        <v>2.645718E-2</v>
      </c>
      <c r="R2179">
        <v>-2.9701509999999999E-3</v>
      </c>
      <c r="S2179">
        <v>-3.0265810000000002</v>
      </c>
      <c r="T2179">
        <v>-0.88879589999999997</v>
      </c>
      <c r="U2179">
        <v>0.53756709999999996</v>
      </c>
      <c r="V2179">
        <v>-6.4637469999999997E-3</v>
      </c>
      <c r="W2179">
        <v>3.4508829999999997E-2</v>
      </c>
      <c r="X2179">
        <v>0.99938349999999998</v>
      </c>
      <c r="Y2179">
        <v>0.16480510000000001</v>
      </c>
      <c r="Z2179">
        <v>2.252003E-2</v>
      </c>
      <c r="AA2179">
        <v>0.98606899999999997</v>
      </c>
      <c r="AB2179">
        <v>44</v>
      </c>
      <c r="AC2179">
        <v>-0.48499999999995602</v>
      </c>
      <c r="AD2179">
        <v>-0.27098689999999998</v>
      </c>
      <c r="AE2179">
        <v>0.16269999999997201</v>
      </c>
      <c r="AF2179">
        <v>0.12571482430157199</v>
      </c>
      <c r="AG2179">
        <v>-0.27098689999999998</v>
      </c>
      <c r="AH2179">
        <v>0.37917153696024902</v>
      </c>
      <c r="AI2179">
        <v>124.151722062991</v>
      </c>
      <c r="AJ2179">
        <v>71.656991811346799</v>
      </c>
      <c r="AK2179">
        <v>0.48271023550530101</v>
      </c>
      <c r="AL2179">
        <v>88.022397063956006</v>
      </c>
      <c r="AM2179">
        <v>90.370568714636804</v>
      </c>
      <c r="AN2179">
        <v>1.0000000097227399</v>
      </c>
    </row>
    <row r="2180" spans="1:40" x14ac:dyDescent="0.25">
      <c r="A2180" t="str">
        <f>"20190312151028308"</f>
        <v>20190312151028308</v>
      </c>
      <c r="B2180" t="str">
        <f>"1552374628302451"</f>
        <v>1552374628302451</v>
      </c>
      <c r="C2180" t="s">
        <v>40</v>
      </c>
      <c r="D2180">
        <v>4.9949250000000003</v>
      </c>
      <c r="E2180">
        <v>0.57225599999999999</v>
      </c>
      <c r="F2180" t="s">
        <v>41</v>
      </c>
      <c r="G2180">
        <v>-335.25490000000002</v>
      </c>
      <c r="H2180">
        <v>0.84812869999999996</v>
      </c>
      <c r="I2180">
        <v>282.89580000000001</v>
      </c>
      <c r="J2180">
        <v>-334.8168</v>
      </c>
      <c r="K2180">
        <v>1.1086199999999999</v>
      </c>
      <c r="L2180">
        <v>282.73950000000002</v>
      </c>
      <c r="M2180">
        <v>-0.99996050000000003</v>
      </c>
      <c r="N2180">
        <v>0</v>
      </c>
      <c r="O2180">
        <v>3.7744250000000001E-3</v>
      </c>
      <c r="P2180">
        <v>-0.99964960000000003</v>
      </c>
      <c r="Q2180">
        <v>2.629865E-2</v>
      </c>
      <c r="R2180">
        <v>-3.0186340000000001E-3</v>
      </c>
      <c r="S2180">
        <v>-3.0262150000000001</v>
      </c>
      <c r="T2180">
        <v>-0.88955779999999995</v>
      </c>
      <c r="U2180">
        <v>0.53927609999999904</v>
      </c>
      <c r="V2180">
        <v>-6.76591E-3</v>
      </c>
      <c r="W2180">
        <v>3.436206E-2</v>
      </c>
      <c r="X2180">
        <v>0.99938649999999996</v>
      </c>
      <c r="Y2180">
        <v>0.165102</v>
      </c>
      <c r="Z2180">
        <v>2.251009E-2</v>
      </c>
      <c r="AA2180">
        <v>0.9860196</v>
      </c>
      <c r="AB2180">
        <v>44</v>
      </c>
      <c r="AC2180">
        <v>-0.43810000000001897</v>
      </c>
      <c r="AD2180">
        <v>-0.26049129999999998</v>
      </c>
      <c r="AE2180">
        <v>0.156299999999987</v>
      </c>
      <c r="AF2180">
        <v>0.11772429831497699</v>
      </c>
      <c r="AG2180">
        <v>-0.26049129999999998</v>
      </c>
      <c r="AH2180">
        <v>0.33395204854099902</v>
      </c>
      <c r="AI2180">
        <v>126.340227951164</v>
      </c>
      <c r="AJ2180">
        <v>70.581499519462398</v>
      </c>
      <c r="AK2180">
        <v>0.43958923839668101</v>
      </c>
      <c r="AL2180">
        <v>88.030811243113405</v>
      </c>
      <c r="AM2180">
        <v>90.387890135717299</v>
      </c>
      <c r="AN2180">
        <v>0.99999995254390905</v>
      </c>
    </row>
    <row r="2181" spans="1:40" x14ac:dyDescent="0.25">
      <c r="A2181" t="str">
        <f>"20190312151028330"</f>
        <v>20190312151028330</v>
      </c>
      <c r="B2181" t="str">
        <f>"1552374628322947"</f>
        <v>1552374628322947</v>
      </c>
      <c r="C2181" t="s">
        <v>40</v>
      </c>
      <c r="D2181">
        <v>4.9756710000000002</v>
      </c>
      <c r="E2181">
        <v>0.57209009999999905</v>
      </c>
      <c r="F2181" t="s">
        <v>41</v>
      </c>
      <c r="G2181">
        <v>-335.6576</v>
      </c>
      <c r="H2181">
        <v>0.8609928</v>
      </c>
      <c r="I2181">
        <v>282.88959999999997</v>
      </c>
      <c r="J2181">
        <v>-335.26319999999998</v>
      </c>
      <c r="K2181">
        <v>1.1086180000000001</v>
      </c>
      <c r="L2181">
        <v>282.74130000000002</v>
      </c>
      <c r="M2181">
        <v>-0.9999593</v>
      </c>
      <c r="N2181">
        <v>0</v>
      </c>
      <c r="O2181">
        <v>4.0269299999999997E-3</v>
      </c>
      <c r="P2181">
        <v>-0.99964949999999997</v>
      </c>
      <c r="Q2181">
        <v>2.6314339999999999E-2</v>
      </c>
      <c r="R2181">
        <v>-2.9654E-3</v>
      </c>
      <c r="S2181">
        <v>-3.0261230000000001</v>
      </c>
      <c r="T2181">
        <v>-0.8911386</v>
      </c>
      <c r="U2181">
        <v>0.53863530000000004</v>
      </c>
      <c r="V2181">
        <v>-6.9646219999999898E-3</v>
      </c>
      <c r="W2181">
        <v>3.4389700000000002E-2</v>
      </c>
      <c r="X2181">
        <v>0.99938419999999895</v>
      </c>
      <c r="Y2181">
        <v>0.1646609</v>
      </c>
      <c r="Z2181">
        <v>2.2414119999999999E-2</v>
      </c>
      <c r="AA2181">
        <v>0.98609550000000001</v>
      </c>
      <c r="AB2181">
        <v>44</v>
      </c>
      <c r="AC2181">
        <v>-0.39440000000001801</v>
      </c>
      <c r="AD2181">
        <v>-0.24762519999999999</v>
      </c>
      <c r="AE2181">
        <v>0.148299999999949</v>
      </c>
      <c r="AF2181">
        <v>0.10904855794024</v>
      </c>
      <c r="AG2181">
        <v>-0.24762519999999999</v>
      </c>
      <c r="AH2181">
        <v>0.29359534963758499</v>
      </c>
      <c r="AI2181">
        <v>128.331569547501</v>
      </c>
      <c r="AJ2181">
        <v>69.623760863742703</v>
      </c>
      <c r="AK2181">
        <v>0.399259385603772</v>
      </c>
      <c r="AL2181">
        <v>88.029226682257402</v>
      </c>
      <c r="AM2181">
        <v>90.399282865131795</v>
      </c>
      <c r="AN2181">
        <v>0.99999996831766502</v>
      </c>
    </row>
    <row r="2182" spans="1:40" x14ac:dyDescent="0.25">
      <c r="A2182" t="str">
        <f>"20190312151028353"</f>
        <v>20190312151028353</v>
      </c>
      <c r="B2182" t="str">
        <f>"1552374628342468"</f>
        <v>1552374628342468</v>
      </c>
      <c r="C2182" t="s">
        <v>40</v>
      </c>
      <c r="D2182">
        <v>5.068181</v>
      </c>
      <c r="E2182">
        <v>0.57197929999999997</v>
      </c>
      <c r="F2182" t="s">
        <v>41</v>
      </c>
      <c r="G2182">
        <v>-336.06079999999997</v>
      </c>
      <c r="H2182">
        <v>0.87350799999999995</v>
      </c>
      <c r="I2182">
        <v>282.88299999999998</v>
      </c>
      <c r="J2182">
        <v>-335.7072</v>
      </c>
      <c r="K2182">
        <v>1.1086180000000001</v>
      </c>
      <c r="L2182">
        <v>282.74329999999998</v>
      </c>
      <c r="M2182">
        <v>-0.99995820000000002</v>
      </c>
      <c r="N2182">
        <v>0</v>
      </c>
      <c r="O2182">
        <v>4.2774070000000004E-3</v>
      </c>
      <c r="P2182">
        <v>-0.99964459999999999</v>
      </c>
      <c r="Q2182">
        <v>2.651413E-2</v>
      </c>
      <c r="R2182">
        <v>-2.734935E-3</v>
      </c>
      <c r="S2182">
        <v>-3.0261230000000001</v>
      </c>
      <c r="T2182">
        <v>-0.89206149999999995</v>
      </c>
      <c r="U2182">
        <v>0.53701779999999999</v>
      </c>
      <c r="V2182">
        <v>-6.9845860000000001E-3</v>
      </c>
      <c r="W2182">
        <v>3.4601760000000002E-2</v>
      </c>
      <c r="X2182">
        <v>0.99937679999999995</v>
      </c>
      <c r="Y2182">
        <v>0.16392960000000001</v>
      </c>
      <c r="Z2182">
        <v>2.226086E-2</v>
      </c>
      <c r="AA2182">
        <v>0.98622080000000001</v>
      </c>
      <c r="AB2182">
        <v>44</v>
      </c>
      <c r="AC2182">
        <v>-0.35359999999997099</v>
      </c>
      <c r="AD2182">
        <v>-0.23511000000000001</v>
      </c>
      <c r="AE2182">
        <v>0.13970000000000399</v>
      </c>
      <c r="AF2182">
        <v>9.9960490765743204E-2</v>
      </c>
      <c r="AG2182">
        <v>-0.23511000000000001</v>
      </c>
      <c r="AH2182">
        <v>0.25621548780675402</v>
      </c>
      <c r="AI2182">
        <v>130.52611588555001</v>
      </c>
      <c r="AJ2182">
        <v>68.687141651650705</v>
      </c>
      <c r="AK2182">
        <v>0.36182203913827699</v>
      </c>
      <c r="AL2182">
        <v>88.017069420342594</v>
      </c>
      <c r="AM2182">
        <v>90.400430332063294</v>
      </c>
      <c r="AN2182">
        <v>1.0000000273074601</v>
      </c>
    </row>
    <row r="2183" spans="1:40" x14ac:dyDescent="0.25">
      <c r="A2183" t="str">
        <f>"20190312151028375"</f>
        <v>20190312151028375</v>
      </c>
      <c r="B2183" t="str">
        <f>"1552374628362495"</f>
        <v>1552374628362495</v>
      </c>
      <c r="C2183" t="s">
        <v>40</v>
      </c>
      <c r="D2183">
        <v>5.0354429999999999</v>
      </c>
      <c r="E2183">
        <v>0.57190940000000001</v>
      </c>
      <c r="F2183" t="s">
        <v>41</v>
      </c>
      <c r="G2183">
        <v>-336.46449999999999</v>
      </c>
      <c r="H2183">
        <v>0.88544449999999997</v>
      </c>
      <c r="I2183">
        <v>282.87799999999999</v>
      </c>
      <c r="J2183">
        <v>-336.1447</v>
      </c>
      <c r="K2183">
        <v>1.1086100000000001</v>
      </c>
      <c r="L2183">
        <v>282.74529999999999</v>
      </c>
      <c r="M2183">
        <v>-0.99995710000000004</v>
      </c>
      <c r="N2183">
        <v>0</v>
      </c>
      <c r="O2183">
        <v>4.5244229999999996E-3</v>
      </c>
      <c r="P2183">
        <v>-0.99963990000000003</v>
      </c>
      <c r="Q2183">
        <v>2.668885E-2</v>
      </c>
      <c r="R2183">
        <v>-2.9088790000000001E-3</v>
      </c>
      <c r="S2183">
        <v>-3.0262150000000001</v>
      </c>
      <c r="T2183">
        <v>-0.89175819999999995</v>
      </c>
      <c r="U2183">
        <v>0.53677369999999902</v>
      </c>
      <c r="V2183">
        <v>-7.4048459999999997E-3</v>
      </c>
      <c r="W2183">
        <v>3.4790479999999999E-2</v>
      </c>
      <c r="X2183">
        <v>0.99936720000000001</v>
      </c>
      <c r="Y2183">
        <v>0.1636311</v>
      </c>
      <c r="Z2183">
        <v>2.2139599999999999E-2</v>
      </c>
      <c r="AA2183">
        <v>0.98627319999999996</v>
      </c>
      <c r="AB2183">
        <v>45</v>
      </c>
      <c r="AC2183">
        <v>-0.31979999999998598</v>
      </c>
      <c r="AD2183">
        <v>-0.22316549999999999</v>
      </c>
      <c r="AE2183">
        <v>0.13269999999999901</v>
      </c>
      <c r="AF2183">
        <v>9.2728899819657498E-2</v>
      </c>
      <c r="AG2183">
        <v>-0.22316549999999999</v>
      </c>
      <c r="AH2183">
        <v>0.22635956456590101</v>
      </c>
      <c r="AI2183">
        <v>132.37441998334401</v>
      </c>
      <c r="AJ2183">
        <v>67.723387960157098</v>
      </c>
      <c r="AK2183">
        <v>0.33111952784829601</v>
      </c>
      <c r="AL2183">
        <v>88.006250002044297</v>
      </c>
      <c r="AM2183">
        <v>90.424527300629904</v>
      </c>
      <c r="AN2183">
        <v>1.00000000483937</v>
      </c>
    </row>
    <row r="2184" spans="1:40" x14ac:dyDescent="0.25">
      <c r="A2184" t="str">
        <f>"20190312151028397"</f>
        <v>20190312151028397</v>
      </c>
      <c r="B2184" t="str">
        <f>"1552374628392751"</f>
        <v>1552374628392751</v>
      </c>
      <c r="C2184" t="s">
        <v>40</v>
      </c>
      <c r="D2184">
        <v>5.0035970000000001</v>
      </c>
      <c r="E2184">
        <v>0.57175540000000002</v>
      </c>
      <c r="F2184" t="s">
        <v>41</v>
      </c>
      <c r="G2184">
        <v>-336.86810000000003</v>
      </c>
      <c r="H2184">
        <v>0.89581499999999903</v>
      </c>
      <c r="I2184">
        <v>282.87349999999998</v>
      </c>
      <c r="J2184">
        <v>-336.59519999999998</v>
      </c>
      <c r="K2184">
        <v>1.1086129999999901</v>
      </c>
      <c r="L2184">
        <v>282.74759999999998</v>
      </c>
      <c r="M2184">
        <v>-0.99995579999999995</v>
      </c>
      <c r="N2184">
        <v>0</v>
      </c>
      <c r="O2184">
        <v>4.7788869999999999E-3</v>
      </c>
      <c r="P2184">
        <v>-0.99964370000000002</v>
      </c>
      <c r="Q2184">
        <v>2.6565990000000001E-2</v>
      </c>
      <c r="R2184">
        <v>-2.6403939999999999E-3</v>
      </c>
      <c r="S2184">
        <v>-3.026367</v>
      </c>
      <c r="T2184">
        <v>-0.89011479999999998</v>
      </c>
      <c r="U2184">
        <v>0.53536989999999995</v>
      </c>
      <c r="V2184">
        <v>-7.3910540000000002E-3</v>
      </c>
      <c r="W2184">
        <v>3.4681339999999998E-2</v>
      </c>
      <c r="X2184">
        <v>0.99937109999999996</v>
      </c>
      <c r="Y2184">
        <v>0.16298879999999999</v>
      </c>
      <c r="Z2184">
        <v>2.1935630000000001E-2</v>
      </c>
      <c r="AA2184">
        <v>0.98638400000000004</v>
      </c>
      <c r="AB2184">
        <v>45</v>
      </c>
      <c r="AC2184">
        <v>-0.27290000000004899</v>
      </c>
      <c r="AD2184">
        <v>-0.21279799999999999</v>
      </c>
      <c r="AE2184">
        <v>0.12590000000000101</v>
      </c>
      <c r="AF2184">
        <v>8.2989172923403201E-2</v>
      </c>
      <c r="AG2184">
        <v>-0.21279799999999999</v>
      </c>
      <c r="AH2184">
        <v>0.18217052113472099</v>
      </c>
      <c r="AI2184">
        <v>136.74959997254399</v>
      </c>
      <c r="AJ2184">
        <v>65.508000005738296</v>
      </c>
      <c r="AK2184">
        <v>0.292157988761229</v>
      </c>
      <c r="AL2184">
        <v>88.012507048159407</v>
      </c>
      <c r="AM2184">
        <v>90.423734966644801</v>
      </c>
      <c r="AN2184">
        <v>1.00000000926931</v>
      </c>
    </row>
    <row r="2185" spans="1:40" x14ac:dyDescent="0.25">
      <c r="A2185" t="str">
        <f>"20190312151028420"</f>
        <v>20190312151028420</v>
      </c>
      <c r="B2185" t="str">
        <f>"1552374628413251"</f>
        <v>1552374628413251</v>
      </c>
      <c r="C2185" t="s">
        <v>40</v>
      </c>
      <c r="D2185">
        <v>5.017004</v>
      </c>
      <c r="E2185">
        <v>0.57176899999999997</v>
      </c>
      <c r="F2185" t="s">
        <v>41</v>
      </c>
      <c r="G2185">
        <v>-337.27350000000001</v>
      </c>
      <c r="H2185">
        <v>0.9088039</v>
      </c>
      <c r="I2185">
        <v>282.86770000000001</v>
      </c>
      <c r="J2185">
        <v>-337.03949999999998</v>
      </c>
      <c r="K2185">
        <v>1.108611</v>
      </c>
      <c r="L2185">
        <v>282.74979999999999</v>
      </c>
      <c r="M2185">
        <v>-0.99995440000000002</v>
      </c>
      <c r="N2185">
        <v>0</v>
      </c>
      <c r="O2185">
        <v>5.0294160000000001E-3</v>
      </c>
      <c r="P2185">
        <v>-0.99964410000000004</v>
      </c>
      <c r="Q2185">
        <v>2.6569880000000001E-2</v>
      </c>
      <c r="R2185">
        <v>-2.4457749999999999E-3</v>
      </c>
      <c r="S2185">
        <v>-3.0261840000000002</v>
      </c>
      <c r="T2185">
        <v>-0.89152909999999996</v>
      </c>
      <c r="U2185">
        <v>0.53509519999999899</v>
      </c>
      <c r="V2185">
        <v>-7.4463269999999896E-3</v>
      </c>
      <c r="W2185">
        <v>3.4699929999999997E-2</v>
      </c>
      <c r="X2185">
        <v>0.99936999999999998</v>
      </c>
      <c r="Y2185">
        <v>0.1626678</v>
      </c>
      <c r="Z2185">
        <v>2.185281E-2</v>
      </c>
      <c r="AA2185">
        <v>0.98643890000000001</v>
      </c>
      <c r="AB2185">
        <v>45</v>
      </c>
      <c r="AC2185">
        <v>-0.23400000000003701</v>
      </c>
      <c r="AD2185">
        <v>-0.19980709999999899</v>
      </c>
      <c r="AE2185">
        <v>0.11790000000002</v>
      </c>
      <c r="AF2185">
        <v>7.3804915403650695E-2</v>
      </c>
      <c r="AG2185">
        <v>-0.19980709999999899</v>
      </c>
      <c r="AH2185">
        <v>0.14833500527562801</v>
      </c>
      <c r="AI2185">
        <v>140.334189643305</v>
      </c>
      <c r="AJ2185">
        <v>63.5471004976229</v>
      </c>
      <c r="AK2185">
        <v>0.25956370420047298</v>
      </c>
      <c r="AL2185">
        <v>88.011441189901007</v>
      </c>
      <c r="AM2185">
        <v>90.426904164443798</v>
      </c>
      <c r="AN2185">
        <v>0.99999996491389698</v>
      </c>
    </row>
    <row r="2186" spans="1:40" x14ac:dyDescent="0.25">
      <c r="A2186" t="str">
        <f>"20190312151028441"</f>
        <v>20190312151028441</v>
      </c>
      <c r="B2186" t="str">
        <f>"1552374628432781"</f>
        <v>1552374628432781</v>
      </c>
      <c r="C2186" t="s">
        <v>40</v>
      </c>
      <c r="D2186">
        <v>5.2175349999999998</v>
      </c>
      <c r="E2186">
        <v>0.57177609999999901</v>
      </c>
      <c r="F2186" t="s">
        <v>41</v>
      </c>
      <c r="G2186">
        <v>-338.03800000000001</v>
      </c>
      <c r="H2186">
        <v>0.81404540000000003</v>
      </c>
      <c r="I2186">
        <v>282.92680000000001</v>
      </c>
      <c r="J2186">
        <v>-337.48750000000001</v>
      </c>
      <c r="K2186">
        <v>1.1086100000000001</v>
      </c>
      <c r="L2186">
        <v>282.75229999999999</v>
      </c>
      <c r="M2186">
        <v>-0.99995299999999998</v>
      </c>
      <c r="N2186">
        <v>0</v>
      </c>
      <c r="O2186">
        <v>5.2819090000000004E-3</v>
      </c>
      <c r="P2186">
        <v>-0.99963930000000001</v>
      </c>
      <c r="Q2186">
        <v>2.679078E-2</v>
      </c>
      <c r="R2186">
        <v>-1.9761169999999999E-3</v>
      </c>
      <c r="S2186">
        <v>-3.0260929999999999</v>
      </c>
      <c r="T2186">
        <v>-0.89263609999999904</v>
      </c>
      <c r="U2186">
        <v>0.53536989999999995</v>
      </c>
      <c r="V2186">
        <v>-7.2294450000000001E-3</v>
      </c>
      <c r="W2186">
        <v>3.4935819999999999E-2</v>
      </c>
      <c r="X2186">
        <v>0.99936340000000001</v>
      </c>
      <c r="Y2186">
        <v>0.16251160000000001</v>
      </c>
      <c r="Z2186">
        <v>2.1784560000000001E-2</v>
      </c>
      <c r="AA2186">
        <v>0.98646610000000001</v>
      </c>
      <c r="AB2186">
        <v>45</v>
      </c>
      <c r="AC2186">
        <v>-0.55049999999999899</v>
      </c>
      <c r="AD2186">
        <v>-0.29456460000000001</v>
      </c>
      <c r="AE2186">
        <v>0.174500000000023</v>
      </c>
      <c r="AF2186">
        <v>0.13616351366840701</v>
      </c>
      <c r="AG2186">
        <v>-0.29456460000000001</v>
      </c>
      <c r="AH2186">
        <v>0.43756961687026003</v>
      </c>
      <c r="AI2186">
        <v>122.732135740972</v>
      </c>
      <c r="AJ2186">
        <v>72.714831313414194</v>
      </c>
      <c r="AK2186">
        <v>0.544771489374832</v>
      </c>
      <c r="AL2186">
        <v>87.997917540093994</v>
      </c>
      <c r="AM2186">
        <v>90.414473315136803</v>
      </c>
      <c r="AN2186">
        <v>0.99999999082682001</v>
      </c>
    </row>
    <row r="2187" spans="1:40" x14ac:dyDescent="0.25">
      <c r="A2187" t="str">
        <f>"20190312151028463"</f>
        <v>20190312151028463</v>
      </c>
      <c r="B2187" t="str">
        <f>"1552374628453263"</f>
        <v>1552374628453263</v>
      </c>
      <c r="C2187" t="s">
        <v>40</v>
      </c>
      <c r="D2187">
        <v>5.2054939999999998</v>
      </c>
      <c r="E2187">
        <v>0.57177880000000003</v>
      </c>
      <c r="F2187" t="s">
        <v>41</v>
      </c>
      <c r="G2187">
        <v>-338.44490000000002</v>
      </c>
      <c r="H2187">
        <v>0.82603609999999905</v>
      </c>
      <c r="I2187">
        <v>282.92219999999998</v>
      </c>
      <c r="J2187">
        <v>-337.94150000000002</v>
      </c>
      <c r="K2187">
        <v>1.108606</v>
      </c>
      <c r="L2187">
        <v>282.75490000000002</v>
      </c>
      <c r="M2187">
        <v>-0.99995140000000005</v>
      </c>
      <c r="N2187">
        <v>0</v>
      </c>
      <c r="O2187">
        <v>5.537915E-3</v>
      </c>
      <c r="P2187">
        <v>-0.99964059999999999</v>
      </c>
      <c r="Q2187">
        <v>2.6775980000000001E-2</v>
      </c>
      <c r="R2187">
        <v>-1.269486E-3</v>
      </c>
      <c r="S2187">
        <v>-3.0260929999999999</v>
      </c>
      <c r="T2187">
        <v>-0.89323039999999998</v>
      </c>
      <c r="U2187">
        <v>0.53631589999999996</v>
      </c>
      <c r="V2187">
        <v>-6.7791179999999998E-3</v>
      </c>
      <c r="W2187">
        <v>3.4936769999999999E-2</v>
      </c>
      <c r="X2187">
        <v>0.99936650000000005</v>
      </c>
      <c r="Y2187">
        <v>0.16255899999999901</v>
      </c>
      <c r="Z2187">
        <v>2.173129E-2</v>
      </c>
      <c r="AA2187">
        <v>0.98645950000000004</v>
      </c>
      <c r="AB2187">
        <v>45</v>
      </c>
      <c r="AC2187">
        <v>-0.50339999999999896</v>
      </c>
      <c r="AD2187">
        <v>-0.28256989999999998</v>
      </c>
      <c r="AE2187">
        <v>0.16729999999995401</v>
      </c>
      <c r="AF2187">
        <v>0.12814827567724599</v>
      </c>
      <c r="AG2187">
        <v>-0.28256989999999998</v>
      </c>
      <c r="AH2187">
        <v>0.392850038719328</v>
      </c>
      <c r="AI2187">
        <v>124.36508640856501</v>
      </c>
      <c r="AJ2187">
        <v>71.933595683462201</v>
      </c>
      <c r="AK2187">
        <v>0.50059852363629598</v>
      </c>
      <c r="AL2187">
        <v>87.997863029794402</v>
      </c>
      <c r="AM2187">
        <v>90.388655105794498</v>
      </c>
      <c r="AN2187">
        <v>0.99999996783056999</v>
      </c>
    </row>
    <row r="2188" spans="1:40" x14ac:dyDescent="0.25">
      <c r="A2188" t="str">
        <f>"20190312151028487"</f>
        <v>20190312151028487</v>
      </c>
      <c r="B2188" t="str">
        <f>"1552374628482543"</f>
        <v>1552374628482543</v>
      </c>
      <c r="C2188" t="s">
        <v>40</v>
      </c>
      <c r="D2188">
        <v>5.087961</v>
      </c>
      <c r="E2188">
        <v>0.57155349999999905</v>
      </c>
      <c r="F2188" t="s">
        <v>41</v>
      </c>
      <c r="G2188">
        <v>-338.8528</v>
      </c>
      <c r="H2188">
        <v>0.83910450000000003</v>
      </c>
      <c r="I2188">
        <v>282.91730000000001</v>
      </c>
      <c r="J2188">
        <v>-338.39769999999999</v>
      </c>
      <c r="K2188">
        <v>1.1085989999999999</v>
      </c>
      <c r="L2188">
        <v>282.75760000000002</v>
      </c>
      <c r="M2188">
        <v>-0.9999498</v>
      </c>
      <c r="N2188">
        <v>0</v>
      </c>
      <c r="O2188">
        <v>5.7949339999999998E-3</v>
      </c>
      <c r="P2188">
        <v>-0.99965000000000004</v>
      </c>
      <c r="Q2188">
        <v>2.644912E-2</v>
      </c>
      <c r="R2188">
        <v>-6.4065249999999997E-4</v>
      </c>
      <c r="S2188">
        <v>-3.025757</v>
      </c>
      <c r="T2188">
        <v>-0.89485239999999999</v>
      </c>
      <c r="U2188">
        <v>0.53820800000000002</v>
      </c>
      <c r="V2188">
        <v>-6.4070129999999996E-3</v>
      </c>
      <c r="W2188">
        <v>3.462606E-2</v>
      </c>
      <c r="X2188">
        <v>0.99937980000000004</v>
      </c>
      <c r="Y2188">
        <v>0.1628956</v>
      </c>
      <c r="Z2188">
        <v>2.1744860000000001E-2</v>
      </c>
      <c r="AA2188">
        <v>0.98640360000000005</v>
      </c>
      <c r="AB2188">
        <v>45</v>
      </c>
      <c r="AC2188">
        <v>-0.45510000000001499</v>
      </c>
      <c r="AD2188">
        <v>-0.26949449999999903</v>
      </c>
      <c r="AE2188">
        <v>0.15969999999998599</v>
      </c>
      <c r="AF2188">
        <v>0.119690796209569</v>
      </c>
      <c r="AG2188">
        <v>-0.26949449999999903</v>
      </c>
      <c r="AH2188">
        <v>0.347517851241747</v>
      </c>
      <c r="AI2188">
        <v>126.24940719573</v>
      </c>
      <c r="AJ2188">
        <v>70.995459750454003</v>
      </c>
      <c r="AK2188">
        <v>0.45576510305113499</v>
      </c>
      <c r="AL2188">
        <v>88.01567624242</v>
      </c>
      <c r="AM2188">
        <v>90.3673175853815</v>
      </c>
      <c r="AN2188">
        <v>0.99999999924737204</v>
      </c>
    </row>
    <row r="2189" spans="1:40" x14ac:dyDescent="0.25">
      <c r="A2189" t="str">
        <f>"20190312151028509"</f>
        <v>20190312151028509</v>
      </c>
      <c r="B2189" t="str">
        <f>"1552374628503039"</f>
        <v>1552374628503039</v>
      </c>
      <c r="C2189" t="s">
        <v>40</v>
      </c>
      <c r="D2189">
        <v>5.1795669999999996</v>
      </c>
      <c r="E2189">
        <v>0.57152530000000001</v>
      </c>
      <c r="F2189" t="s">
        <v>41</v>
      </c>
      <c r="G2189">
        <v>-339.26139999999998</v>
      </c>
      <c r="H2189">
        <v>0.85261030000000004</v>
      </c>
      <c r="I2189">
        <v>282.91160000000002</v>
      </c>
      <c r="J2189">
        <v>-338.85300000000001</v>
      </c>
      <c r="K2189">
        <v>1.108598</v>
      </c>
      <c r="L2189">
        <v>282.76029999999997</v>
      </c>
      <c r="M2189">
        <v>-0.99994819999999995</v>
      </c>
      <c r="N2189">
        <v>0</v>
      </c>
      <c r="O2189">
        <v>6.0511760000000001E-3</v>
      </c>
      <c r="P2189">
        <v>-0.99967260000000002</v>
      </c>
      <c r="Q2189">
        <v>2.5584570000000001E-2</v>
      </c>
      <c r="R2189" s="1">
        <v>-1.6183239999999899E-5</v>
      </c>
      <c r="S2189">
        <v>-3.0251160000000001</v>
      </c>
      <c r="T2189">
        <v>-0.89654829999999996</v>
      </c>
      <c r="U2189">
        <v>0.53839110000000001</v>
      </c>
      <c r="V2189">
        <v>-6.0392980000000002E-3</v>
      </c>
      <c r="W2189">
        <v>3.3777309999999998E-2</v>
      </c>
      <c r="X2189">
        <v>0.99941120000000006</v>
      </c>
      <c r="Y2189">
        <v>0.16272790000000001</v>
      </c>
      <c r="Z2189">
        <v>2.169072E-2</v>
      </c>
      <c r="AA2189">
        <v>0.98643259999999999</v>
      </c>
      <c r="AB2189">
        <v>45</v>
      </c>
      <c r="AC2189">
        <v>-0.40839999999997101</v>
      </c>
      <c r="AD2189">
        <v>-0.25598769999999899</v>
      </c>
      <c r="AE2189">
        <v>0.15130000000004801</v>
      </c>
      <c r="AF2189">
        <v>0.110612458293623</v>
      </c>
      <c r="AG2189">
        <v>-0.25598769999999899</v>
      </c>
      <c r="AH2189">
        <v>0.30421177297850599</v>
      </c>
      <c r="AI2189">
        <v>128.33780807198701</v>
      </c>
      <c r="AJ2189">
        <v>70.0185577185254</v>
      </c>
      <c r="AK2189">
        <v>0.41268586273311397</v>
      </c>
      <c r="AL2189">
        <v>88.064334628153205</v>
      </c>
      <c r="AM2189">
        <v>90.346225932698701</v>
      </c>
      <c r="AN2189">
        <v>1.0000000632382999</v>
      </c>
    </row>
    <row r="2190" spans="1:40" x14ac:dyDescent="0.25">
      <c r="A2190" t="str">
        <f>"20190312151028531"</f>
        <v>20190312151028531</v>
      </c>
      <c r="B2190" t="str">
        <f>"1552374628522562"</f>
        <v>1552374628522562</v>
      </c>
      <c r="C2190" t="s">
        <v>40</v>
      </c>
      <c r="D2190">
        <v>5.1202449999999997</v>
      </c>
      <c r="E2190">
        <v>0.57155140000000004</v>
      </c>
      <c r="F2190" t="s">
        <v>41</v>
      </c>
      <c r="G2190">
        <v>-339.67039999999997</v>
      </c>
      <c r="H2190">
        <v>0.86507699999999998</v>
      </c>
      <c r="I2190">
        <v>282.90679999999998</v>
      </c>
      <c r="J2190">
        <v>-339.29640000000001</v>
      </c>
      <c r="K2190">
        <v>1.1085959999999999</v>
      </c>
      <c r="L2190">
        <v>282.76319999999998</v>
      </c>
      <c r="M2190">
        <v>-0.99994649999999996</v>
      </c>
      <c r="N2190">
        <v>0</v>
      </c>
      <c r="O2190">
        <v>6.3006769999999898E-3</v>
      </c>
      <c r="P2190">
        <v>-0.99967709999999999</v>
      </c>
      <c r="Q2190">
        <v>2.5403640000000002E-2</v>
      </c>
      <c r="R2190">
        <v>5.4504710000000004E-4</v>
      </c>
      <c r="S2190">
        <v>-3.0240480000000001</v>
      </c>
      <c r="T2190">
        <v>-0.90084059999999999</v>
      </c>
      <c r="U2190">
        <v>0.5400085</v>
      </c>
      <c r="V2190">
        <v>-5.7271850000000001E-3</v>
      </c>
      <c r="W2190">
        <v>3.3614329999999998E-2</v>
      </c>
      <c r="X2190">
        <v>0.99941849999999999</v>
      </c>
      <c r="Y2190">
        <v>0.16298779999999999</v>
      </c>
      <c r="Z2190">
        <v>2.17621E-2</v>
      </c>
      <c r="AA2190">
        <v>0.98638800000000004</v>
      </c>
      <c r="AB2190">
        <v>45</v>
      </c>
      <c r="AC2190">
        <v>-0.37399999999996603</v>
      </c>
      <c r="AD2190">
        <v>-0.24351899999999899</v>
      </c>
      <c r="AE2190">
        <v>0.14359999999999201</v>
      </c>
      <c r="AF2190">
        <v>0.10313397691326499</v>
      </c>
      <c r="AG2190">
        <v>-0.24351899999999899</v>
      </c>
      <c r="AH2190">
        <v>0.27375027758635301</v>
      </c>
      <c r="AI2190">
        <v>129.77563271400601</v>
      </c>
      <c r="AJ2190">
        <v>69.356363502765802</v>
      </c>
      <c r="AK2190">
        <v>0.38062755422269601</v>
      </c>
      <c r="AL2190">
        <v>88.073677937342495</v>
      </c>
      <c r="AM2190">
        <v>90.328330861507595</v>
      </c>
      <c r="AN2190">
        <v>1.0000000309858099</v>
      </c>
    </row>
    <row r="2191" spans="1:40" x14ac:dyDescent="0.25">
      <c r="A2191" t="str">
        <f>"20190312151028553"</f>
        <v>20190312151028553</v>
      </c>
      <c r="B2191" t="str">
        <f>"1552374628543055"</f>
        <v>1552374628543055</v>
      </c>
      <c r="C2191" t="s">
        <v>40</v>
      </c>
      <c r="D2191">
        <v>4.9937440000000004</v>
      </c>
      <c r="E2191">
        <v>0.57142559999999998</v>
      </c>
      <c r="F2191" t="s">
        <v>41</v>
      </c>
      <c r="G2191">
        <v>-340.07889999999998</v>
      </c>
      <c r="H2191">
        <v>0.87489039999999996</v>
      </c>
      <c r="I2191">
        <v>282.90370000000001</v>
      </c>
      <c r="J2191">
        <v>-339.74250000000001</v>
      </c>
      <c r="K2191">
        <v>1.1085959999999999</v>
      </c>
      <c r="L2191">
        <v>282.76620000000003</v>
      </c>
      <c r="M2191">
        <v>-0.99994470000000002</v>
      </c>
      <c r="N2191">
        <v>0</v>
      </c>
      <c r="O2191">
        <v>6.5501650000000002E-3</v>
      </c>
      <c r="P2191">
        <v>-0.9996659</v>
      </c>
      <c r="Q2191">
        <v>2.5818199999999999E-2</v>
      </c>
      <c r="R2191">
        <v>1.3649039999999999E-3</v>
      </c>
      <c r="S2191">
        <v>-3.02359</v>
      </c>
      <c r="T2191">
        <v>-0.90301129999999996</v>
      </c>
      <c r="U2191">
        <v>0.5417786</v>
      </c>
      <c r="V2191">
        <v>-5.1566659999999999E-3</v>
      </c>
      <c r="W2191">
        <v>3.4049910000000003E-2</v>
      </c>
      <c r="X2191">
        <v>0.99940680000000004</v>
      </c>
      <c r="Y2191">
        <v>0.16329279999999999</v>
      </c>
      <c r="Z2191">
        <v>2.1786340000000001E-2</v>
      </c>
      <c r="AA2191">
        <v>0.98633709999999997</v>
      </c>
      <c r="AB2191">
        <v>45</v>
      </c>
      <c r="AC2191">
        <v>-0.336399999999969</v>
      </c>
      <c r="AD2191">
        <v>-0.23370559999999899</v>
      </c>
      <c r="AE2191">
        <v>0.13749999999998799</v>
      </c>
      <c r="AF2191">
        <v>9.5711727632460303E-2</v>
      </c>
      <c r="AG2191">
        <v>-0.23370559999999899</v>
      </c>
      <c r="AH2191">
        <v>0.23861412321553799</v>
      </c>
      <c r="AI2191">
        <v>132.27168635430399</v>
      </c>
      <c r="AJ2191">
        <v>68.143533717512597</v>
      </c>
      <c r="AK2191">
        <v>0.347441710328034</v>
      </c>
      <c r="AL2191">
        <v>88.048706627447203</v>
      </c>
      <c r="AM2191">
        <v>90.295627942749803</v>
      </c>
      <c r="AN2191">
        <v>0.99999996973074101</v>
      </c>
    </row>
    <row r="2192" spans="1:40" x14ac:dyDescent="0.25">
      <c r="A2192" t="str">
        <f>"20190312151028575"</f>
        <v>20190312151028575</v>
      </c>
      <c r="B2192" t="str">
        <f>"1552374628573311"</f>
        <v>1552374628573311</v>
      </c>
      <c r="C2192" t="s">
        <v>40</v>
      </c>
      <c r="D2192">
        <v>4.9504039999999998</v>
      </c>
      <c r="E2192">
        <v>0.57119399999999998</v>
      </c>
      <c r="F2192" t="s">
        <v>41</v>
      </c>
      <c r="G2192">
        <v>-340.48840000000001</v>
      </c>
      <c r="H2192">
        <v>0.88592660000000001</v>
      </c>
      <c r="I2192">
        <v>282.90030000000002</v>
      </c>
      <c r="J2192">
        <v>-340.1859</v>
      </c>
      <c r="K2192">
        <v>1.1085989999999999</v>
      </c>
      <c r="L2192">
        <v>282.76929999999999</v>
      </c>
      <c r="M2192">
        <v>-0.99994289999999997</v>
      </c>
      <c r="N2192">
        <v>0</v>
      </c>
      <c r="O2192">
        <v>6.7958719999999997E-3</v>
      </c>
      <c r="P2192">
        <v>-0.99966880000000002</v>
      </c>
      <c r="Q2192">
        <v>2.5708620000000001E-2</v>
      </c>
      <c r="R2192">
        <v>1.3865349999999999E-3</v>
      </c>
      <c r="S2192">
        <v>-3.0235289999999999</v>
      </c>
      <c r="T2192">
        <v>-0.90243090000000004</v>
      </c>
      <c r="U2192">
        <v>0.54278559999999998</v>
      </c>
      <c r="V2192">
        <v>-5.3806619999999996E-3</v>
      </c>
      <c r="W2192">
        <v>3.3966509999999998E-2</v>
      </c>
      <c r="X2192">
        <v>0.99940850000000003</v>
      </c>
      <c r="Y2192">
        <v>0.16338739999999999</v>
      </c>
      <c r="Z2192">
        <v>2.1715229999999999E-2</v>
      </c>
      <c r="AA2192">
        <v>0.98632299999999995</v>
      </c>
      <c r="AB2192">
        <v>45</v>
      </c>
      <c r="AC2192">
        <v>-0.30250000000000898</v>
      </c>
      <c r="AD2192">
        <v>-0.22267239999999899</v>
      </c>
      <c r="AE2192">
        <v>0.13100000000002801</v>
      </c>
      <c r="AF2192">
        <v>8.8541286771449096E-2</v>
      </c>
      <c r="AG2192">
        <v>-0.22267239999999899</v>
      </c>
      <c r="AH2192">
        <v>0.208327189228488</v>
      </c>
      <c r="AI2192">
        <v>134.52921973027</v>
      </c>
      <c r="AJ2192">
        <v>66.973988198267605</v>
      </c>
      <c r="AK2192">
        <v>0.31752602248752199</v>
      </c>
      <c r="AL2192">
        <v>88.053487944767696</v>
      </c>
      <c r="AM2192">
        <v>90.308468704206405</v>
      </c>
      <c r="AN2192">
        <v>1.0000000125986901</v>
      </c>
    </row>
    <row r="2193" spans="1:40" x14ac:dyDescent="0.25">
      <c r="A2193" t="str">
        <f>"20190312151028597"</f>
        <v>20190312151028597</v>
      </c>
      <c r="B2193" t="str">
        <f>"1552374628592831"</f>
        <v>1552374628592831</v>
      </c>
      <c r="C2193" t="s">
        <v>40</v>
      </c>
      <c r="D2193">
        <v>5.1901619999999999</v>
      </c>
      <c r="E2193">
        <v>0.57117069999999903</v>
      </c>
      <c r="F2193" t="s">
        <v>41</v>
      </c>
      <c r="G2193">
        <v>-340.89819999999997</v>
      </c>
      <c r="H2193">
        <v>0.89584989999999998</v>
      </c>
      <c r="I2193">
        <v>282.8972</v>
      </c>
      <c r="J2193">
        <v>-340.64499999999998</v>
      </c>
      <c r="K2193">
        <v>1.1086009999999999</v>
      </c>
      <c r="L2193">
        <v>282.77260000000001</v>
      </c>
      <c r="M2193">
        <v>-0.99994090000000002</v>
      </c>
      <c r="N2193">
        <v>0</v>
      </c>
      <c r="O2193">
        <v>7.0462509999999999E-3</v>
      </c>
      <c r="P2193">
        <v>-0.99967620000000001</v>
      </c>
      <c r="Q2193">
        <v>2.541796E-2</v>
      </c>
      <c r="R2193">
        <v>1.3647990000000001E-3</v>
      </c>
      <c r="S2193">
        <v>-3.0234679999999998</v>
      </c>
      <c r="T2193">
        <v>-0.90307269999999995</v>
      </c>
      <c r="U2193">
        <v>0.54132080000000005</v>
      </c>
      <c r="V2193">
        <v>-5.6533E-3</v>
      </c>
      <c r="W2193">
        <v>3.3707260000000003E-2</v>
      </c>
      <c r="X2193">
        <v>0.99941579999999997</v>
      </c>
      <c r="Y2193">
        <v>0.1627102</v>
      </c>
      <c r="Z2193">
        <v>2.1560449999999998E-2</v>
      </c>
      <c r="AA2193">
        <v>0.98643829999999999</v>
      </c>
      <c r="AB2193">
        <v>45</v>
      </c>
      <c r="AC2193">
        <v>-0.25319999999999199</v>
      </c>
      <c r="AD2193">
        <v>-0.2127511</v>
      </c>
      <c r="AE2193">
        <v>0.124599999999986</v>
      </c>
      <c r="AF2193">
        <v>7.8305557624327005E-2</v>
      </c>
      <c r="AG2193">
        <v>-0.2127511</v>
      </c>
      <c r="AH2193">
        <v>0.161996447123919</v>
      </c>
      <c r="AI2193">
        <v>139.77788016039401</v>
      </c>
      <c r="AJ2193">
        <v>64.201887789664795</v>
      </c>
      <c r="AK2193">
        <v>0.278635316833382</v>
      </c>
      <c r="AL2193">
        <v>88.068350439561996</v>
      </c>
      <c r="AM2193">
        <v>90.324096112599094</v>
      </c>
      <c r="AN2193">
        <v>1.00000004023361</v>
      </c>
    </row>
    <row r="2194" spans="1:40" x14ac:dyDescent="0.25">
      <c r="A2194" t="str">
        <f>"20190312151028621"</f>
        <v>20190312151028621</v>
      </c>
      <c r="B2194" t="str">
        <f>"1552374628613327"</f>
        <v>1552374628613327</v>
      </c>
      <c r="C2194" t="s">
        <v>40</v>
      </c>
      <c r="D2194">
        <v>4.9935470000000004</v>
      </c>
      <c r="E2194">
        <v>0.57110780000000005</v>
      </c>
      <c r="F2194" t="s">
        <v>41</v>
      </c>
      <c r="G2194">
        <v>-341.67349999999999</v>
      </c>
      <c r="H2194">
        <v>0.80051779999999995</v>
      </c>
      <c r="I2194">
        <v>282.95659999999998</v>
      </c>
      <c r="J2194">
        <v>-341.1096</v>
      </c>
      <c r="K2194">
        <v>1.108609</v>
      </c>
      <c r="L2194">
        <v>282.77600000000001</v>
      </c>
      <c r="M2194">
        <v>-0.99993869999999896</v>
      </c>
      <c r="N2194">
        <v>0</v>
      </c>
      <c r="O2194">
        <v>7.2914800000000004E-3</v>
      </c>
      <c r="P2194">
        <v>-0.99968000000000001</v>
      </c>
      <c r="Q2194">
        <v>2.5204399999999998E-2</v>
      </c>
      <c r="R2194">
        <v>2.1322509999999999E-3</v>
      </c>
      <c r="S2194">
        <v>-3.023285</v>
      </c>
      <c r="T2194">
        <v>-0.90565249999999997</v>
      </c>
      <c r="U2194">
        <v>0.54022219999999999</v>
      </c>
      <c r="V2194">
        <v>-5.1310230000000002E-3</v>
      </c>
      <c r="W2194">
        <v>3.3526159999999999E-2</v>
      </c>
      <c r="X2194">
        <v>0.99942470000000005</v>
      </c>
      <c r="Y2194">
        <v>0.16212860000000001</v>
      </c>
      <c r="Z2194">
        <v>2.1465450000000001E-2</v>
      </c>
      <c r="AA2194">
        <v>0.98653610000000003</v>
      </c>
      <c r="AB2194">
        <v>45</v>
      </c>
      <c r="AC2194">
        <v>-0.56389999999998897</v>
      </c>
      <c r="AD2194">
        <v>-0.30809119999999901</v>
      </c>
      <c r="AE2194">
        <v>0.18059999999996901</v>
      </c>
      <c r="AF2194">
        <v>0.13888273135147799</v>
      </c>
      <c r="AG2194">
        <v>-0.30809119999999901</v>
      </c>
      <c r="AH2194">
        <v>0.44478283679313801</v>
      </c>
      <c r="AI2194">
        <v>123.47245596827</v>
      </c>
      <c r="AJ2194">
        <v>72.659109134095502</v>
      </c>
      <c r="AK2194">
        <v>0.55860573975822903</v>
      </c>
      <c r="AL2194">
        <v>88.078732554856998</v>
      </c>
      <c r="AM2194">
        <v>90.294152605586603</v>
      </c>
      <c r="AN2194">
        <v>1.00000003088573</v>
      </c>
    </row>
    <row r="2195" spans="1:40" x14ac:dyDescent="0.25">
      <c r="A2195" t="str">
        <f>"20190312151028643"</f>
        <v>20190312151028643</v>
      </c>
      <c r="B2195" t="str">
        <f>"1552374628632847"</f>
        <v>1552374628632847</v>
      </c>
      <c r="C2195" t="s">
        <v>40</v>
      </c>
      <c r="D2195">
        <v>5.1436169999999999</v>
      </c>
      <c r="E2195">
        <v>0.57106800000000002</v>
      </c>
      <c r="F2195" t="s">
        <v>41</v>
      </c>
      <c r="G2195">
        <v>-342.08659999999998</v>
      </c>
      <c r="H2195">
        <v>0.81516529999999998</v>
      </c>
      <c r="I2195">
        <v>282.95119999999997</v>
      </c>
      <c r="J2195">
        <v>-341.57729999999998</v>
      </c>
      <c r="K2195">
        <v>1.108611</v>
      </c>
      <c r="L2195">
        <v>282.77949999999998</v>
      </c>
      <c r="M2195">
        <v>-0.99993679999999996</v>
      </c>
      <c r="N2195">
        <v>0</v>
      </c>
      <c r="O2195">
        <v>7.5304930000000001E-3</v>
      </c>
      <c r="P2195">
        <v>-0.99969209999999997</v>
      </c>
      <c r="Q2195">
        <v>2.4675619999999999E-2</v>
      </c>
      <c r="R2195">
        <v>2.683572E-3</v>
      </c>
      <c r="S2195">
        <v>-3.0227360000000001</v>
      </c>
      <c r="T2195">
        <v>-0.90788100000000005</v>
      </c>
      <c r="U2195">
        <v>0.54147339999999999</v>
      </c>
      <c r="V2195">
        <v>-4.8199050000000002E-3</v>
      </c>
      <c r="W2195">
        <v>3.3030999999999998E-2</v>
      </c>
      <c r="X2195">
        <v>0.99944270000000002</v>
      </c>
      <c r="Y2195">
        <v>0.16228960000000001</v>
      </c>
      <c r="Z2195">
        <v>2.1472829999999998E-2</v>
      </c>
      <c r="AA2195">
        <v>0.98650950000000004</v>
      </c>
      <c r="AB2195">
        <v>46</v>
      </c>
      <c r="AC2195">
        <v>-0.50929999999999598</v>
      </c>
      <c r="AD2195">
        <v>-0.29344569999999998</v>
      </c>
      <c r="AE2195">
        <v>0.171699999999987</v>
      </c>
      <c r="AF2195">
        <v>0.12931219424170701</v>
      </c>
      <c r="AG2195">
        <v>-0.29344569999999998</v>
      </c>
      <c r="AH2195">
        <v>0.39332865943751399</v>
      </c>
      <c r="AI2195">
        <v>125.326636475177</v>
      </c>
      <c r="AJ2195">
        <v>71.801010791418406</v>
      </c>
      <c r="AK2195">
        <v>0.50748345466922096</v>
      </c>
      <c r="AL2195">
        <v>88.107118786338205</v>
      </c>
      <c r="AM2195">
        <v>90.276312061973101</v>
      </c>
      <c r="AN2195">
        <v>0.99999999451424904</v>
      </c>
    </row>
    <row r="2196" spans="1:40" x14ac:dyDescent="0.25">
      <c r="A2196" t="str">
        <f>"20190312151028666"</f>
        <v>20190312151028666</v>
      </c>
      <c r="B2196" t="str">
        <f>"1552374628663103"</f>
        <v>1552374628663103</v>
      </c>
      <c r="C2196" t="s">
        <v>40</v>
      </c>
      <c r="D2196">
        <v>5.0260150000000001</v>
      </c>
      <c r="E2196">
        <v>0.57099750000000005</v>
      </c>
      <c r="F2196" t="s">
        <v>41</v>
      </c>
      <c r="G2196">
        <v>-342.50080000000003</v>
      </c>
      <c r="H2196">
        <v>0.83038349999999905</v>
      </c>
      <c r="I2196">
        <v>282.94549999999998</v>
      </c>
      <c r="J2196">
        <v>-342.0213</v>
      </c>
      <c r="K2196">
        <v>1.1086210000000001</v>
      </c>
      <c r="L2196">
        <v>282.78300000000002</v>
      </c>
      <c r="M2196">
        <v>-0.99993489999999996</v>
      </c>
      <c r="N2196">
        <v>0</v>
      </c>
      <c r="O2196">
        <v>7.7474309999999999E-3</v>
      </c>
      <c r="P2196">
        <v>-0.99969730000000001</v>
      </c>
      <c r="Q2196">
        <v>2.4485679999999999E-2</v>
      </c>
      <c r="R2196">
        <v>2.4672679999999999E-3</v>
      </c>
      <c r="S2196">
        <v>-3.0220030000000002</v>
      </c>
      <c r="T2196">
        <v>-0.9104757</v>
      </c>
      <c r="U2196">
        <v>0.54266359999999902</v>
      </c>
      <c r="V2196">
        <v>-5.2536129999999999E-3</v>
      </c>
      <c r="W2196">
        <v>3.2876589999999997E-2</v>
      </c>
      <c r="X2196">
        <v>0.99944560000000005</v>
      </c>
      <c r="Y2196">
        <v>0.1624563</v>
      </c>
      <c r="Z2196">
        <v>2.149682E-2</v>
      </c>
      <c r="AA2196">
        <v>0.98648150000000001</v>
      </c>
      <c r="AB2196">
        <v>46</v>
      </c>
      <c r="AC2196">
        <v>-0.47950000000003001</v>
      </c>
      <c r="AD2196">
        <v>-0.27823749999999903</v>
      </c>
      <c r="AE2196">
        <v>0.16249999999996501</v>
      </c>
      <c r="AF2196">
        <v>0.12194891009808401</v>
      </c>
      <c r="AG2196">
        <v>-0.27823749999999903</v>
      </c>
      <c r="AH2196">
        <v>0.369229402904794</v>
      </c>
      <c r="AI2196">
        <v>125.585431946532</v>
      </c>
      <c r="AJ2196">
        <v>71.722668714957507</v>
      </c>
      <c r="AK2196">
        <v>0.478140141642376</v>
      </c>
      <c r="AL2196">
        <v>88.115970624947494</v>
      </c>
      <c r="AM2196">
        <v>90.301174050625704</v>
      </c>
      <c r="AN2196">
        <v>0.99999998898946996</v>
      </c>
    </row>
    <row r="2197" spans="1:40" x14ac:dyDescent="0.25">
      <c r="A2197" t="str">
        <f>"20190312151028688"</f>
        <v>20190312151028688</v>
      </c>
      <c r="B2197" t="str">
        <f>"1552374628682623"</f>
        <v>1552374628682623</v>
      </c>
      <c r="C2197" t="s">
        <v>40</v>
      </c>
      <c r="D2197">
        <v>5.0105950000000004</v>
      </c>
      <c r="E2197">
        <v>0.57090109999999905</v>
      </c>
      <c r="F2197" t="s">
        <v>41</v>
      </c>
      <c r="G2197">
        <v>-342.91309999999999</v>
      </c>
      <c r="H2197">
        <v>0.83941939999999904</v>
      </c>
      <c r="I2197">
        <v>282.94330000000002</v>
      </c>
      <c r="J2197">
        <v>-342.49110000000002</v>
      </c>
      <c r="K2197">
        <v>1.1086290000000001</v>
      </c>
      <c r="L2197">
        <v>282.78680000000003</v>
      </c>
      <c r="M2197">
        <v>-0.99993290000000001</v>
      </c>
      <c r="N2197">
        <v>0</v>
      </c>
      <c r="O2197">
        <v>7.9620960000000001E-3</v>
      </c>
      <c r="P2197">
        <v>-0.99968829999999997</v>
      </c>
      <c r="Q2197">
        <v>2.4813100000000001E-2</v>
      </c>
      <c r="R2197">
        <v>2.8406310000000001E-3</v>
      </c>
      <c r="S2197">
        <v>-3.0219420000000001</v>
      </c>
      <c r="T2197">
        <v>-0.91225590000000001</v>
      </c>
      <c r="U2197">
        <v>0.54211430000000005</v>
      </c>
      <c r="V2197">
        <v>-5.0953279999999997E-3</v>
      </c>
      <c r="W2197">
        <v>3.3247369999999998E-2</v>
      </c>
      <c r="X2197">
        <v>0.99943419999999905</v>
      </c>
      <c r="Y2197">
        <v>0.1620742</v>
      </c>
      <c r="Z2197">
        <v>2.1418929999999999E-2</v>
      </c>
      <c r="AA2197">
        <v>0.98654609999999998</v>
      </c>
      <c r="AB2197">
        <v>46</v>
      </c>
      <c r="AC2197">
        <v>-0.42199999999996801</v>
      </c>
      <c r="AD2197">
        <v>-0.26920959999999999</v>
      </c>
      <c r="AE2197">
        <v>0.15649999999999401</v>
      </c>
      <c r="AF2197">
        <v>0.11278491289530899</v>
      </c>
      <c r="AG2197">
        <v>-0.26920959999999999</v>
      </c>
      <c r="AH2197">
        <v>0.311713804591149</v>
      </c>
      <c r="AI2197">
        <v>129.08069579356999</v>
      </c>
      <c r="AJ2197">
        <v>70.108761424803106</v>
      </c>
      <c r="AK2197">
        <v>0.427035995299754</v>
      </c>
      <c r="AL2197">
        <v>88.094714962814294</v>
      </c>
      <c r="AM2197">
        <v>90.292103532500207</v>
      </c>
      <c r="AN2197">
        <v>1.00000003505449</v>
      </c>
    </row>
    <row r="2198" spans="1:40" x14ac:dyDescent="0.25">
      <c r="A2198" t="str">
        <f>"20190312151028710"</f>
        <v>20190312151028710</v>
      </c>
      <c r="B2198" t="str">
        <f>"1552374628703119"</f>
        <v>1552374628703119</v>
      </c>
      <c r="C2198" t="s">
        <v>40</v>
      </c>
      <c r="D2198">
        <v>5.0576049999999997</v>
      </c>
      <c r="E2198">
        <v>0.57087270000000001</v>
      </c>
      <c r="F2198" t="s">
        <v>41</v>
      </c>
      <c r="G2198">
        <v>-343.3288</v>
      </c>
      <c r="H2198">
        <v>0.85584349999999998</v>
      </c>
      <c r="I2198">
        <v>282.9375</v>
      </c>
      <c r="J2198">
        <v>-342.94130000000001</v>
      </c>
      <c r="K2198">
        <v>1.108643</v>
      </c>
      <c r="L2198">
        <v>282.79050000000001</v>
      </c>
      <c r="M2198">
        <v>-0.99993089999999996</v>
      </c>
      <c r="N2198">
        <v>0</v>
      </c>
      <c r="O2198">
        <v>8.1483419999999994E-3</v>
      </c>
      <c r="P2198">
        <v>-0.99969810000000003</v>
      </c>
      <c r="Q2198">
        <v>2.4387490000000001E-2</v>
      </c>
      <c r="R2198">
        <v>3.0862179999999999E-3</v>
      </c>
      <c r="S2198">
        <v>-3.0220950000000002</v>
      </c>
      <c r="T2198">
        <v>-0.91194750000000002</v>
      </c>
      <c r="U2198">
        <v>0.54266359999999902</v>
      </c>
      <c r="V2198">
        <v>-5.0377260000000002E-3</v>
      </c>
      <c r="W2198">
        <v>3.2868019999999998E-2</v>
      </c>
      <c r="X2198">
        <v>0.99944699999999997</v>
      </c>
      <c r="Y2198">
        <v>0.1620693</v>
      </c>
      <c r="Z2198">
        <v>2.135538E-2</v>
      </c>
      <c r="AA2198">
        <v>0.98654819999999999</v>
      </c>
      <c r="AB2198">
        <v>46</v>
      </c>
      <c r="AC2198">
        <v>-0.38749999999998802</v>
      </c>
      <c r="AD2198">
        <v>-0.25279950000000001</v>
      </c>
      <c r="AE2198">
        <v>0.146999999999991</v>
      </c>
      <c r="AF2198">
        <v>0.10483299007598799</v>
      </c>
      <c r="AG2198">
        <v>-0.25279950000000001</v>
      </c>
      <c r="AH2198">
        <v>0.28328497354190901</v>
      </c>
      <c r="AI2198">
        <v>129.92656095758201</v>
      </c>
      <c r="AJ2198">
        <v>69.692404225599006</v>
      </c>
      <c r="AK2198">
        <v>0.39388820652967299</v>
      </c>
      <c r="AL2198">
        <v>88.116461927781302</v>
      </c>
      <c r="AM2198">
        <v>90.288797698833704</v>
      </c>
      <c r="AN2198">
        <v>0.99999999561548503</v>
      </c>
    </row>
    <row r="2199" spans="1:40" x14ac:dyDescent="0.25">
      <c r="A2199" t="str">
        <f>"20190312151028724"</f>
        <v>20190312151028724</v>
      </c>
      <c r="B2199" t="str">
        <f>"1552374628712880"</f>
        <v>1552374628712880</v>
      </c>
      <c r="C2199" t="s">
        <v>40</v>
      </c>
      <c r="D2199">
        <v>5.0488220000000004</v>
      </c>
      <c r="E2199">
        <v>0.5708299</v>
      </c>
      <c r="F2199" t="s">
        <v>41</v>
      </c>
      <c r="G2199">
        <v>-343.74270000000001</v>
      </c>
      <c r="H2199">
        <v>0.86625339999999995</v>
      </c>
      <c r="I2199">
        <v>282.93470000000002</v>
      </c>
      <c r="J2199">
        <v>-343.21230000000003</v>
      </c>
      <c r="K2199">
        <v>1.1086530000000001</v>
      </c>
      <c r="L2199">
        <v>282.79270000000002</v>
      </c>
      <c r="M2199">
        <v>-0.99992990000000004</v>
      </c>
      <c r="N2199">
        <v>0</v>
      </c>
      <c r="O2199">
        <v>8.2496900000000005E-3</v>
      </c>
      <c r="P2199">
        <v>-0.99969609999999998</v>
      </c>
      <c r="Q2199">
        <v>2.4456749999999999E-2</v>
      </c>
      <c r="R2199">
        <v>3.12226E-3</v>
      </c>
      <c r="S2199">
        <v>-3.0214840000000001</v>
      </c>
      <c r="T2199">
        <v>-0.91395029999999999</v>
      </c>
      <c r="U2199">
        <v>0.54251099999999997</v>
      </c>
      <c r="V2199">
        <v>-5.1034770000000004E-3</v>
      </c>
      <c r="W2199">
        <v>3.2967139999999999E-2</v>
      </c>
      <c r="X2199">
        <v>0.99944339999999998</v>
      </c>
      <c r="Y2199">
        <v>0.16193479999999999</v>
      </c>
      <c r="Z2199">
        <v>2.1354990000000001E-2</v>
      </c>
      <c r="AA2199">
        <v>0.98657039999999996</v>
      </c>
      <c r="AB2199">
        <v>46</v>
      </c>
      <c r="AC2199">
        <v>-0.53039999999998599</v>
      </c>
      <c r="AD2199">
        <v>-0.24239959999999999</v>
      </c>
      <c r="AE2199">
        <v>0.14199999999999499</v>
      </c>
      <c r="AF2199">
        <v>0.115173085674164</v>
      </c>
      <c r="AG2199">
        <v>-0.24239959999999999</v>
      </c>
      <c r="AH2199">
        <v>0.44485488465032202</v>
      </c>
      <c r="AI2199">
        <v>117.811803669651</v>
      </c>
      <c r="AJ2199">
        <v>75.484815382737096</v>
      </c>
      <c r="AK2199">
        <v>0.51953659557447895</v>
      </c>
      <c r="AL2199">
        <v>88.110779687281394</v>
      </c>
      <c r="AM2199">
        <v>90.292567994866701</v>
      </c>
      <c r="AN2199">
        <v>0.99999999380041404</v>
      </c>
    </row>
    <row r="2200" spans="1:40" x14ac:dyDescent="0.25">
      <c r="A2200" t="str">
        <f>"20190312151028744"</f>
        <v>20190312151028744</v>
      </c>
      <c r="B2200" t="str">
        <f>"1552374628732399"</f>
        <v>1552374628732399</v>
      </c>
      <c r="C2200" t="s">
        <v>40</v>
      </c>
      <c r="D2200">
        <v>5.0812359999999996</v>
      </c>
      <c r="E2200">
        <v>0.57076419999999894</v>
      </c>
      <c r="F2200" t="s">
        <v>41</v>
      </c>
      <c r="G2200">
        <v>-344.13780000000003</v>
      </c>
      <c r="H2200">
        <v>0.82882339999999999</v>
      </c>
      <c r="I2200">
        <v>282.959</v>
      </c>
      <c r="J2200">
        <v>-343.6259</v>
      </c>
      <c r="K2200">
        <v>1.1086800000000001</v>
      </c>
      <c r="L2200">
        <v>282.7962</v>
      </c>
      <c r="M2200">
        <v>-0.99992820000000004</v>
      </c>
      <c r="N2200">
        <v>0</v>
      </c>
      <c r="O2200">
        <v>8.3861040000000001E-3</v>
      </c>
      <c r="P2200">
        <v>-0.99970999999999999</v>
      </c>
      <c r="Q2200">
        <v>2.3849530000000001E-2</v>
      </c>
      <c r="R2200">
        <v>3.30576E-3</v>
      </c>
      <c r="S2200">
        <v>-3.0216059999999998</v>
      </c>
      <c r="T2200">
        <v>-0.91356230000000005</v>
      </c>
      <c r="U2200">
        <v>0.54238889999999995</v>
      </c>
      <c r="V2200">
        <v>-5.058295E-3</v>
      </c>
      <c r="W2200">
        <v>3.2408579999999999E-2</v>
      </c>
      <c r="X2200">
        <v>0.99946190000000001</v>
      </c>
      <c r="Y2200">
        <v>0.16177369999999999</v>
      </c>
      <c r="Z2200">
        <v>2.128188E-2</v>
      </c>
      <c r="AA2200">
        <v>0.98659839999999999</v>
      </c>
      <c r="AB2200">
        <v>46</v>
      </c>
      <c r="AC2200">
        <v>-0.511900000000025</v>
      </c>
      <c r="AD2200">
        <v>-0.27985659999999901</v>
      </c>
      <c r="AE2200">
        <v>0.162800000000004</v>
      </c>
      <c r="AF2200">
        <v>0.12466384036065099</v>
      </c>
      <c r="AG2200">
        <v>-0.27985659999999901</v>
      </c>
      <c r="AH2200">
        <v>0.40367739530501301</v>
      </c>
      <c r="AI2200">
        <v>123.52051315975601</v>
      </c>
      <c r="AJ2200">
        <v>72.838241561426599</v>
      </c>
      <c r="AK2200">
        <v>0.50677039094373399</v>
      </c>
      <c r="AL2200">
        <v>88.142799933875395</v>
      </c>
      <c r="AM2200">
        <v>90.289972514815105</v>
      </c>
      <c r="AN2200">
        <v>0.99999999597876599</v>
      </c>
    </row>
    <row r="2201" spans="1:40" x14ac:dyDescent="0.25">
      <c r="A2201" t="str">
        <f>"20190312151028754"</f>
        <v>20190312151028754</v>
      </c>
      <c r="B2201" t="str">
        <f>"1552374628743136"</f>
        <v>1552374628743136</v>
      </c>
      <c r="C2201" t="s">
        <v>40</v>
      </c>
      <c r="D2201">
        <v>5.0729989999999896</v>
      </c>
      <c r="E2201">
        <v>0.57068599999999903</v>
      </c>
      <c r="F2201" t="s">
        <v>41</v>
      </c>
      <c r="G2201">
        <v>-344.54840000000002</v>
      </c>
      <c r="H2201">
        <v>0.82857729999999996</v>
      </c>
      <c r="I2201">
        <v>282.96210000000002</v>
      </c>
      <c r="J2201">
        <v>-343.86930000000001</v>
      </c>
      <c r="K2201">
        <v>1.108695</v>
      </c>
      <c r="L2201">
        <v>282.79829999999998</v>
      </c>
      <c r="M2201">
        <v>-0.99992740000000002</v>
      </c>
      <c r="N2201">
        <v>0</v>
      </c>
      <c r="O2201">
        <v>8.4569060000000001E-3</v>
      </c>
      <c r="P2201">
        <v>-0.99971580000000004</v>
      </c>
      <c r="Q2201">
        <v>2.3573670000000001E-2</v>
      </c>
      <c r="R2201">
        <v>3.6032210000000002E-3</v>
      </c>
      <c r="S2201">
        <v>-3.0209959999999998</v>
      </c>
      <c r="T2201">
        <v>-0.91731980000000002</v>
      </c>
      <c r="U2201">
        <v>0.54232789999999997</v>
      </c>
      <c r="V2201">
        <v>-4.8329100000000002E-3</v>
      </c>
      <c r="W2201">
        <v>3.216314E-2</v>
      </c>
      <c r="X2201">
        <v>0.99947090000000005</v>
      </c>
      <c r="Y2201">
        <v>0.1616706</v>
      </c>
      <c r="Z2201">
        <v>2.133378E-2</v>
      </c>
      <c r="AA2201">
        <v>0.9866142</v>
      </c>
      <c r="AB2201">
        <v>46</v>
      </c>
      <c r="AC2201">
        <v>-0.67910000000000503</v>
      </c>
      <c r="AD2201">
        <v>-0.28011769999999903</v>
      </c>
      <c r="AE2201">
        <v>0.163800000000037</v>
      </c>
      <c r="AF2201">
        <v>0.13615818331415799</v>
      </c>
      <c r="AG2201">
        <v>-0.28011769999999903</v>
      </c>
      <c r="AH2201">
        <v>0.58620587567578197</v>
      </c>
      <c r="AI2201">
        <v>114.95999959207001</v>
      </c>
      <c r="AJ2201">
        <v>76.923756644211807</v>
      </c>
      <c r="AK2201">
        <v>0.66380893743117997</v>
      </c>
      <c r="AL2201">
        <v>88.156869864541207</v>
      </c>
      <c r="AM2201">
        <v>90.277049774654898</v>
      </c>
      <c r="AN2201">
        <v>0.99999995227026695</v>
      </c>
    </row>
    <row r="2202" spans="1:40" x14ac:dyDescent="0.25">
      <c r="A2202" t="str">
        <f>"20190312151028767"</f>
        <v>20190312151028767</v>
      </c>
      <c r="B2202" t="str">
        <f>"1552374628762657"</f>
        <v>1552374628762657</v>
      </c>
      <c r="C2202" t="s">
        <v>40</v>
      </c>
      <c r="D2202">
        <v>5.0886170000000002</v>
      </c>
      <c r="E2202">
        <v>0.5706755</v>
      </c>
      <c r="F2202" t="s">
        <v>41</v>
      </c>
      <c r="G2202">
        <v>-344.57479999999998</v>
      </c>
      <c r="H2202">
        <v>0.89418829999999905</v>
      </c>
      <c r="I2202">
        <v>282.92529999999999</v>
      </c>
      <c r="J2202">
        <v>-344.10599999999999</v>
      </c>
      <c r="K2202">
        <v>1.1087049999999901</v>
      </c>
      <c r="L2202">
        <v>282.80029999999999</v>
      </c>
      <c r="M2202">
        <v>-0.99992669999999995</v>
      </c>
      <c r="N2202">
        <v>0</v>
      </c>
      <c r="O2202">
        <v>8.5152460000000006E-3</v>
      </c>
      <c r="P2202">
        <v>-0.99971849999999995</v>
      </c>
      <c r="Q2202">
        <v>2.344162E-2</v>
      </c>
      <c r="R2202">
        <v>3.7268840000000002E-3</v>
      </c>
      <c r="S2202">
        <v>-3.0206300000000001</v>
      </c>
      <c r="T2202">
        <v>-0.9184928</v>
      </c>
      <c r="U2202">
        <v>0.54278559999999998</v>
      </c>
      <c r="V2202">
        <v>-4.7690639999999999E-3</v>
      </c>
      <c r="W2202">
        <v>3.2061149999999997E-2</v>
      </c>
      <c r="X2202">
        <v>0.99947450000000004</v>
      </c>
      <c r="Y2202">
        <v>0.16175929999999999</v>
      </c>
      <c r="Z2202">
        <v>2.1357959999999999E-2</v>
      </c>
      <c r="AA2202">
        <v>0.98659909999999995</v>
      </c>
      <c r="AB2202">
        <v>46</v>
      </c>
      <c r="AC2202">
        <v>-0.468799999999987</v>
      </c>
      <c r="AD2202">
        <v>-0.21451669999999901</v>
      </c>
      <c r="AE2202">
        <v>0.125</v>
      </c>
      <c r="AF2202">
        <v>0.1012167746303</v>
      </c>
      <c r="AG2202">
        <v>-0.21451669999999901</v>
      </c>
      <c r="AH2202">
        <v>0.39301750188505602</v>
      </c>
      <c r="AI2202">
        <v>117.85968416497499</v>
      </c>
      <c r="AJ2202">
        <v>75.558015845897799</v>
      </c>
      <c r="AK2202">
        <v>0.459047935224003</v>
      </c>
      <c r="AL2202">
        <v>88.162716506889097</v>
      </c>
      <c r="AM2202">
        <v>90.273388831532301</v>
      </c>
      <c r="AN2202">
        <v>0.99999996873050301</v>
      </c>
    </row>
    <row r="2203" spans="1:40" x14ac:dyDescent="0.25">
      <c r="A2203" t="str">
        <f>"20190312151028788"</f>
        <v>20190312151028788</v>
      </c>
      <c r="B2203" t="str">
        <f>"1552374628783150"</f>
        <v>1552374628783150</v>
      </c>
      <c r="C2203" t="s">
        <v>40</v>
      </c>
      <c r="D2203">
        <v>5.4869469999999998</v>
      </c>
      <c r="E2203">
        <v>0.57061490000000004</v>
      </c>
      <c r="F2203" t="s">
        <v>41</v>
      </c>
      <c r="G2203">
        <v>-344.96690000000001</v>
      </c>
      <c r="H2203">
        <v>0.84665369999999995</v>
      </c>
      <c r="I2203">
        <v>282.9554</v>
      </c>
      <c r="J2203">
        <v>-344.54090000000002</v>
      </c>
      <c r="K2203">
        <v>1.108738</v>
      </c>
      <c r="L2203">
        <v>282.80410000000001</v>
      </c>
      <c r="M2203">
        <v>-0.99992530000000002</v>
      </c>
      <c r="N2203">
        <v>0</v>
      </c>
      <c r="O2203">
        <v>8.6063709999999998E-3</v>
      </c>
      <c r="P2203">
        <v>-0.99971270000000001</v>
      </c>
      <c r="Q2203">
        <v>2.3608730000000001E-2</v>
      </c>
      <c r="R2203">
        <v>4.143267E-3</v>
      </c>
      <c r="S2203">
        <v>-3.0203859999999998</v>
      </c>
      <c r="T2203">
        <v>-0.9193306</v>
      </c>
      <c r="U2203">
        <v>0.54293819999999904</v>
      </c>
      <c r="V2203">
        <v>-4.4454289999999999E-3</v>
      </c>
      <c r="W2203">
        <v>3.2287059999999999E-2</v>
      </c>
      <c r="X2203">
        <v>0.99946869999999999</v>
      </c>
      <c r="Y2203">
        <v>0.16172429999999999</v>
      </c>
      <c r="Z2203">
        <v>2.1346070000000002E-2</v>
      </c>
      <c r="AA2203">
        <v>0.98660510000000001</v>
      </c>
      <c r="AB2203">
        <v>46</v>
      </c>
      <c r="AC2203">
        <v>-0.425999999999987</v>
      </c>
      <c r="AD2203">
        <v>-0.26208429999999899</v>
      </c>
      <c r="AE2203">
        <v>0.151299999999992</v>
      </c>
      <c r="AF2203">
        <v>0.110491606919074</v>
      </c>
      <c r="AG2203">
        <v>-0.26208429999999899</v>
      </c>
      <c r="AH2203">
        <v>0.31980098957704001</v>
      </c>
      <c r="AI2203">
        <v>127.761150911098</v>
      </c>
      <c r="AJ2203">
        <v>70.939910410031899</v>
      </c>
      <c r="AK2203">
        <v>0.42798276652279299</v>
      </c>
      <c r="AL2203">
        <v>88.149766076037594</v>
      </c>
      <c r="AM2203">
        <v>90.254838035700502</v>
      </c>
      <c r="AN2203">
        <v>0.99999994918106205</v>
      </c>
    </row>
    <row r="2204" spans="1:40" x14ac:dyDescent="0.25">
      <c r="A2204" t="str">
        <f>"20190312151028800"</f>
        <v>20190312151028800</v>
      </c>
      <c r="B2204" t="str">
        <f>"1552374628792912"</f>
        <v>1552374628792912</v>
      </c>
      <c r="C2204" t="s">
        <v>40</v>
      </c>
      <c r="D2204">
        <v>5.0708060000000001</v>
      </c>
      <c r="E2204">
        <v>0.57056280000000004</v>
      </c>
      <c r="F2204" t="s">
        <v>41</v>
      </c>
      <c r="G2204">
        <v>-345.38119999999998</v>
      </c>
      <c r="H2204">
        <v>0.85306610000000005</v>
      </c>
      <c r="I2204">
        <v>282.95569999999998</v>
      </c>
      <c r="J2204">
        <v>-344.78899999999999</v>
      </c>
      <c r="K2204">
        <v>1.108765</v>
      </c>
      <c r="L2204">
        <v>282.80630000000002</v>
      </c>
      <c r="M2204">
        <v>-0.99992479999999995</v>
      </c>
      <c r="N2204">
        <v>0</v>
      </c>
      <c r="O2204">
        <v>8.6487549999999993E-3</v>
      </c>
      <c r="P2204">
        <v>-0.99970539999999997</v>
      </c>
      <c r="Q2204">
        <v>2.388916E-2</v>
      </c>
      <c r="R2204">
        <v>4.3698950000000004E-3</v>
      </c>
      <c r="S2204">
        <v>-3.0203250000000001</v>
      </c>
      <c r="T2204">
        <v>-0.91896869999999997</v>
      </c>
      <c r="U2204">
        <v>0.54357909999999998</v>
      </c>
      <c r="V2204">
        <v>-4.2619019999999997E-3</v>
      </c>
      <c r="W2204">
        <v>3.2602079999999999E-2</v>
      </c>
      <c r="X2204">
        <v>0.99945930000000005</v>
      </c>
      <c r="Y2204">
        <v>0.16188859999999999</v>
      </c>
      <c r="Z2204">
        <v>2.134981E-2</v>
      </c>
      <c r="AA2204">
        <v>0.98657799999999995</v>
      </c>
      <c r="AB2204">
        <v>46</v>
      </c>
      <c r="AC2204">
        <v>-0.59219999999999096</v>
      </c>
      <c r="AD2204">
        <v>-0.25569889999999901</v>
      </c>
      <c r="AE2204">
        <v>0.14939999999995701</v>
      </c>
      <c r="AF2204">
        <v>0.12275613454360799</v>
      </c>
      <c r="AG2204">
        <v>-0.25569889999999901</v>
      </c>
      <c r="AH2204">
        <v>0.50496195390089904</v>
      </c>
      <c r="AI2204">
        <v>116.19912638913399</v>
      </c>
      <c r="AJ2204">
        <v>76.336454358664696</v>
      </c>
      <c r="AK2204">
        <v>0.57916972548356804</v>
      </c>
      <c r="AL2204">
        <v>88.131707301190502</v>
      </c>
      <c r="AM2204">
        <v>90.244319620865994</v>
      </c>
      <c r="AN2204">
        <v>0.99999997589273604</v>
      </c>
    </row>
    <row r="2205" spans="1:40" x14ac:dyDescent="0.25">
      <c r="A2205" t="str">
        <f>"20190312151028811"</f>
        <v>20190312151028811</v>
      </c>
      <c r="B2205" t="str">
        <f>"1552374628802672"</f>
        <v>1552374628802672</v>
      </c>
      <c r="C2205" t="s">
        <v>40</v>
      </c>
      <c r="D2205">
        <v>5.2333889999999998</v>
      </c>
      <c r="E2205">
        <v>0.57053169999999898</v>
      </c>
      <c r="F2205" t="s">
        <v>41</v>
      </c>
      <c r="G2205">
        <v>-345.77569999999997</v>
      </c>
      <c r="H2205">
        <v>0.80878819999999996</v>
      </c>
      <c r="I2205">
        <v>282.98390000000001</v>
      </c>
      <c r="J2205">
        <v>-345.03300000000002</v>
      </c>
      <c r="K2205">
        <v>1.1087849999999999</v>
      </c>
      <c r="L2205">
        <v>282.80840000000001</v>
      </c>
      <c r="M2205">
        <v>-0.99992409999999998</v>
      </c>
      <c r="N2205">
        <v>0</v>
      </c>
      <c r="O2205">
        <v>8.6811869999999999E-3</v>
      </c>
      <c r="P2205">
        <v>-0.99970340000000002</v>
      </c>
      <c r="Q2205">
        <v>2.3912650000000001E-2</v>
      </c>
      <c r="R2205">
        <v>4.6083039999999997E-3</v>
      </c>
      <c r="S2205">
        <v>-3.020416</v>
      </c>
      <c r="T2205">
        <v>-0.9182633</v>
      </c>
      <c r="U2205">
        <v>0.54357909999999998</v>
      </c>
      <c r="V2205">
        <v>-4.0569639999999997E-3</v>
      </c>
      <c r="W2205">
        <v>3.2661179999999998E-2</v>
      </c>
      <c r="X2205">
        <v>0.99945830000000002</v>
      </c>
      <c r="Y2205">
        <v>0.16186439999999999</v>
      </c>
      <c r="Z2205">
        <v>2.1320370000000002E-2</v>
      </c>
      <c r="AA2205">
        <v>0.98658259999999998</v>
      </c>
      <c r="AB2205">
        <v>46</v>
      </c>
      <c r="AC2205">
        <v>-0.74269999999995595</v>
      </c>
      <c r="AD2205">
        <v>-0.29999680000000001</v>
      </c>
      <c r="AE2205">
        <v>0.17549999999999899</v>
      </c>
      <c r="AF2205">
        <v>0.14641958898118401</v>
      </c>
      <c r="AG2205">
        <v>-0.29999680000000001</v>
      </c>
      <c r="AH2205">
        <v>0.64458821837392999</v>
      </c>
      <c r="AI2205">
        <v>114.41077483658501</v>
      </c>
      <c r="AJ2205">
        <v>77.2023042573731</v>
      </c>
      <c r="AK2205">
        <v>0.72589995682196895</v>
      </c>
      <c r="AL2205">
        <v>88.1283194597614</v>
      </c>
      <c r="AM2205">
        <v>90.232571622236193</v>
      </c>
      <c r="AN2205">
        <v>1.00000005253738</v>
      </c>
    </row>
    <row r="2206" spans="1:40" x14ac:dyDescent="0.25">
      <c r="A2206" t="str">
        <f>"20190312151028824"</f>
        <v>20190312151028824</v>
      </c>
      <c r="B2206" t="str">
        <f>"1552374628813408"</f>
        <v>1552374628813408</v>
      </c>
      <c r="C2206" t="s">
        <v>40</v>
      </c>
      <c r="D2206">
        <v>5.2697240000000001</v>
      </c>
      <c r="E2206">
        <v>0.57054649999999996</v>
      </c>
      <c r="F2206" t="s">
        <v>41</v>
      </c>
      <c r="G2206">
        <v>-345.8021</v>
      </c>
      <c r="H2206">
        <v>0.87477179999999999</v>
      </c>
      <c r="I2206">
        <v>282.947</v>
      </c>
      <c r="J2206">
        <v>-345.27440000000001</v>
      </c>
      <c r="K2206">
        <v>1.1088020000000001</v>
      </c>
      <c r="L2206">
        <v>282.81049999999999</v>
      </c>
      <c r="M2206">
        <v>-0.99992360000000002</v>
      </c>
      <c r="N2206">
        <v>0</v>
      </c>
      <c r="O2206">
        <v>8.7082600000000007E-3</v>
      </c>
      <c r="P2206">
        <v>-0.99969790000000003</v>
      </c>
      <c r="Q2206">
        <v>2.4101870000000001E-2</v>
      </c>
      <c r="R2206">
        <v>4.84287E-3</v>
      </c>
      <c r="S2206">
        <v>-3.0203859999999998</v>
      </c>
      <c r="T2206">
        <v>-0.91899589999999998</v>
      </c>
      <c r="U2206">
        <v>0.54431149999999995</v>
      </c>
      <c r="V2206">
        <v>-3.8505760000000001E-3</v>
      </c>
      <c r="W2206">
        <v>3.2886119999999998E-2</v>
      </c>
      <c r="X2206">
        <v>0.99945170000000005</v>
      </c>
      <c r="Y2206">
        <v>0.162053799999999</v>
      </c>
      <c r="Z2206">
        <v>2.1356400000000001E-2</v>
      </c>
      <c r="AA2206">
        <v>0.98655079999999995</v>
      </c>
      <c r="AB2206">
        <v>46</v>
      </c>
      <c r="AC2206">
        <v>-0.52769999999998096</v>
      </c>
      <c r="AD2206">
        <v>-0.23403019999999999</v>
      </c>
      <c r="AE2206">
        <v>0.136500000000012</v>
      </c>
      <c r="AF2206">
        <v>0.111368565300226</v>
      </c>
      <c r="AG2206">
        <v>-0.23403019999999999</v>
      </c>
      <c r="AH2206">
        <v>0.44654786304657201</v>
      </c>
      <c r="AI2206">
        <v>116.953859606233</v>
      </c>
      <c r="AJ2206">
        <v>75.996173344982594</v>
      </c>
      <c r="AK2206">
        <v>0.516312004354471</v>
      </c>
      <c r="AL2206">
        <v>88.115424344556004</v>
      </c>
      <c r="AM2206">
        <v>90.220741694596995</v>
      </c>
      <c r="AN2206">
        <v>1.00000001222853</v>
      </c>
    </row>
    <row r="2207" spans="1:40" x14ac:dyDescent="0.25">
      <c r="A2207" t="str">
        <f>"20190312151028836"</f>
        <v>20190312151028836</v>
      </c>
      <c r="B2207" t="str">
        <f>"1552374628832928"</f>
        <v>1552374628832928</v>
      </c>
      <c r="C2207" t="s">
        <v>40</v>
      </c>
      <c r="D2207">
        <v>5.2419719999999996</v>
      </c>
      <c r="E2207">
        <v>0.57048549999999998</v>
      </c>
      <c r="F2207" t="s">
        <v>41</v>
      </c>
      <c r="G2207">
        <v>-346.1961</v>
      </c>
      <c r="H2207">
        <v>0.82834660000000004</v>
      </c>
      <c r="I2207">
        <v>282.97710000000001</v>
      </c>
      <c r="J2207">
        <v>-345.54320000000001</v>
      </c>
      <c r="K2207">
        <v>1.1088199999999999</v>
      </c>
      <c r="L2207">
        <v>282.81290000000001</v>
      </c>
      <c r="M2207">
        <v>-0.99992289999999995</v>
      </c>
      <c r="N2207">
        <v>0</v>
      </c>
      <c r="O2207">
        <v>8.7336310000000004E-3</v>
      </c>
      <c r="P2207">
        <v>-0.9997026</v>
      </c>
      <c r="Q2207">
        <v>2.391221E-2</v>
      </c>
      <c r="R2207">
        <v>4.799645E-3</v>
      </c>
      <c r="S2207">
        <v>-3.0203859999999998</v>
      </c>
      <c r="T2207">
        <v>-0.9190083</v>
      </c>
      <c r="U2207">
        <v>0.54507450000000002</v>
      </c>
      <c r="V2207">
        <v>-3.9201749999999997E-3</v>
      </c>
      <c r="W2207">
        <v>3.2737910000000002E-2</v>
      </c>
      <c r="X2207">
        <v>0.99945629999999996</v>
      </c>
      <c r="Y2207">
        <v>0.162262299999999</v>
      </c>
      <c r="Z2207">
        <v>2.1379530000000001E-2</v>
      </c>
      <c r="AA2207">
        <v>0.98651599999999995</v>
      </c>
      <c r="AB2207">
        <v>46</v>
      </c>
      <c r="AC2207">
        <v>-0.65289999999998805</v>
      </c>
      <c r="AD2207">
        <v>-0.28047339999999998</v>
      </c>
      <c r="AE2207">
        <v>0.16419999999999299</v>
      </c>
      <c r="AF2207">
        <v>0.135051496093511</v>
      </c>
      <c r="AG2207">
        <v>-0.28047339999999998</v>
      </c>
      <c r="AH2207">
        <v>0.55754115985399499</v>
      </c>
      <c r="AI2207">
        <v>116.05471737652</v>
      </c>
      <c r="AJ2207">
        <v>76.383682048886897</v>
      </c>
      <c r="AK2207">
        <v>0.63855804719382703</v>
      </c>
      <c r="AL2207">
        <v>88.123920735975702</v>
      </c>
      <c r="AM2207">
        <v>90.224730516610606</v>
      </c>
      <c r="AN2207">
        <v>1.00000001706644</v>
      </c>
    </row>
    <row r="2208" spans="1:40" x14ac:dyDescent="0.25">
      <c r="A2208" t="str">
        <f>"20190312151028848"</f>
        <v>20190312151028848</v>
      </c>
      <c r="B2208" t="str">
        <f>"1552374628842687"</f>
        <v>1552374628842687</v>
      </c>
      <c r="C2208" t="s">
        <v>40</v>
      </c>
      <c r="D2208">
        <v>5.0997279999999998</v>
      </c>
      <c r="E2208">
        <v>0.57043580000000005</v>
      </c>
      <c r="F2208" t="s">
        <v>41</v>
      </c>
      <c r="G2208">
        <v>-346.2253</v>
      </c>
      <c r="H2208">
        <v>0.90085289999999996</v>
      </c>
      <c r="I2208">
        <v>282.93610000000001</v>
      </c>
      <c r="J2208">
        <v>-345.79090000000002</v>
      </c>
      <c r="K2208">
        <v>1.10883</v>
      </c>
      <c r="L2208">
        <v>282.815</v>
      </c>
      <c r="M2208">
        <v>-0.99992250000000005</v>
      </c>
      <c r="N2208">
        <v>0</v>
      </c>
      <c r="O2208">
        <v>8.7501009999999997E-3</v>
      </c>
      <c r="P2208">
        <v>-0.99970079999999995</v>
      </c>
      <c r="Q2208">
        <v>2.3953869999999999E-2</v>
      </c>
      <c r="R2208">
        <v>4.9404189999999997E-3</v>
      </c>
      <c r="S2208">
        <v>-3.0202640000000001</v>
      </c>
      <c r="T2208">
        <v>-0.92091389999999995</v>
      </c>
      <c r="U2208">
        <v>0.54437259999999998</v>
      </c>
      <c r="V2208">
        <v>-3.7972079999999998E-3</v>
      </c>
      <c r="W2208">
        <v>3.2817499999999999E-2</v>
      </c>
      <c r="X2208">
        <v>0.99945410000000001</v>
      </c>
      <c r="Y2208">
        <v>0.1620144</v>
      </c>
      <c r="Z2208">
        <v>2.138166E-2</v>
      </c>
      <c r="AA2208">
        <v>0.98655669999999995</v>
      </c>
      <c r="AB2208">
        <v>46</v>
      </c>
      <c r="AC2208">
        <v>-0.43439999999998202</v>
      </c>
      <c r="AD2208">
        <v>-0.207977099999999</v>
      </c>
      <c r="AE2208">
        <v>0.121100000000012</v>
      </c>
      <c r="AF2208">
        <v>9.6722298750361799E-2</v>
      </c>
      <c r="AG2208">
        <v>-0.207977099999999</v>
      </c>
      <c r="AH2208">
        <v>0.35907200067892697</v>
      </c>
      <c r="AI2208">
        <v>119.217082315528</v>
      </c>
      <c r="AJ2208">
        <v>74.924211696090396</v>
      </c>
      <c r="AK2208">
        <v>0.42607790235065202</v>
      </c>
      <c r="AL2208">
        <v>88.119357991937406</v>
      </c>
      <c r="AM2208">
        <v>90.217681778012604</v>
      </c>
      <c r="AN2208">
        <v>0.99999995255082597</v>
      </c>
    </row>
    <row r="2209" spans="1:40" x14ac:dyDescent="0.25">
      <c r="A2209" t="str">
        <f>"20190312151028861"</f>
        <v>20190312151028861</v>
      </c>
      <c r="B2209" t="str">
        <f>"1552374628852448"</f>
        <v>1552374628852448</v>
      </c>
      <c r="C2209" t="s">
        <v>40</v>
      </c>
      <c r="D2209">
        <v>5.1367690000000001</v>
      </c>
      <c r="E2209">
        <v>0.57039309999999999</v>
      </c>
      <c r="F2209" t="s">
        <v>41</v>
      </c>
      <c r="G2209">
        <v>-346.62020000000001</v>
      </c>
      <c r="H2209">
        <v>0.85601059999999995</v>
      </c>
      <c r="I2209">
        <v>282.96449999999999</v>
      </c>
      <c r="J2209">
        <v>-346.0557</v>
      </c>
      <c r="K2209">
        <v>1.1088439999999999</v>
      </c>
      <c r="L2209">
        <v>282.81729999999999</v>
      </c>
      <c r="M2209">
        <v>-0.99992190000000003</v>
      </c>
      <c r="N2209">
        <v>0</v>
      </c>
      <c r="O2209">
        <v>8.7656019999999904E-3</v>
      </c>
      <c r="P2209">
        <v>-0.99970119999999896</v>
      </c>
      <c r="Q2209">
        <v>2.3986049999999998E-2</v>
      </c>
      <c r="R2209">
        <v>4.7462279999999999E-3</v>
      </c>
      <c r="S2209">
        <v>-3.0202330000000002</v>
      </c>
      <c r="T2209">
        <v>-0.92063899999999999</v>
      </c>
      <c r="U2209">
        <v>0.54458619999999902</v>
      </c>
      <c r="V2209">
        <v>-4.0068930000000001E-3</v>
      </c>
      <c r="W2209">
        <v>3.2890410000000002E-2</v>
      </c>
      <c r="X2209">
        <v>0.99945090000000003</v>
      </c>
      <c r="Y2209">
        <v>0.16207060000000001</v>
      </c>
      <c r="Z2209">
        <v>2.1379349999999998E-2</v>
      </c>
      <c r="AA2209">
        <v>0.98654750000000002</v>
      </c>
      <c r="AB2209">
        <v>46</v>
      </c>
      <c r="AC2209">
        <v>-0.56450000000000899</v>
      </c>
      <c r="AD2209">
        <v>-0.25283339999999999</v>
      </c>
      <c r="AE2209">
        <v>0.147199999999998</v>
      </c>
      <c r="AF2209">
        <v>0.11975253016297401</v>
      </c>
      <c r="AG2209">
        <v>-0.25283339999999999</v>
      </c>
      <c r="AH2209">
        <v>0.47630333884277198</v>
      </c>
      <c r="AI2209">
        <v>117.23953146029</v>
      </c>
      <c r="AJ2209">
        <v>75.887169028814895</v>
      </c>
      <c r="AK2209">
        <v>0.55238597667642397</v>
      </c>
      <c r="AL2209">
        <v>88.115178329016601</v>
      </c>
      <c r="AM2209">
        <v>90.229702957776198</v>
      </c>
      <c r="AN2209">
        <v>0.99999996788614498</v>
      </c>
    </row>
    <row r="2210" spans="1:40" x14ac:dyDescent="0.25">
      <c r="A2210" t="str">
        <f>"20190312151028876"</f>
        <v>20190312151028876</v>
      </c>
      <c r="B2210" t="str">
        <f>"1552374628873071"</f>
        <v>1552374628873071</v>
      </c>
      <c r="C2210" t="s">
        <v>40</v>
      </c>
      <c r="D2210">
        <v>5.2872269999999997</v>
      </c>
      <c r="E2210">
        <v>0.57038140000000004</v>
      </c>
      <c r="F2210" t="s">
        <v>41</v>
      </c>
      <c r="G2210">
        <v>-347.01769999999999</v>
      </c>
      <c r="H2210">
        <v>0.81570169999999997</v>
      </c>
      <c r="I2210">
        <v>282.99090000000001</v>
      </c>
      <c r="J2210">
        <v>-346.38029999999998</v>
      </c>
      <c r="K2210">
        <v>1.108857</v>
      </c>
      <c r="L2210">
        <v>282.82010000000002</v>
      </c>
      <c r="M2210">
        <v>-0.99992150000000002</v>
      </c>
      <c r="N2210">
        <v>0</v>
      </c>
      <c r="O2210">
        <v>8.7794989999999996E-3</v>
      </c>
      <c r="P2210">
        <v>-0.99970519999999996</v>
      </c>
      <c r="Q2210">
        <v>2.3834339999999999E-2</v>
      </c>
      <c r="R2210">
        <v>4.6639749999999999E-3</v>
      </c>
      <c r="S2210">
        <v>-3.0203549999999999</v>
      </c>
      <c r="T2210">
        <v>-0.92038549999999997</v>
      </c>
      <c r="U2210">
        <v>0.54397580000000001</v>
      </c>
      <c r="V2210">
        <v>-4.1046040000000004E-3</v>
      </c>
      <c r="W2210">
        <v>3.278938E-2</v>
      </c>
      <c r="X2210">
        <v>0.99945379999999995</v>
      </c>
      <c r="Y2210">
        <v>0.16187009999999999</v>
      </c>
      <c r="Z2210">
        <v>2.1339500000000001E-2</v>
      </c>
      <c r="AA2210">
        <v>0.98658129999999999</v>
      </c>
      <c r="AB2210">
        <v>46</v>
      </c>
      <c r="AC2210">
        <v>-0.63740000000001296</v>
      </c>
      <c r="AD2210">
        <v>-0.29315530000000001</v>
      </c>
      <c r="AE2210">
        <v>0.17079999999998499</v>
      </c>
      <c r="AF2210">
        <v>0.13796798713265701</v>
      </c>
      <c r="AG2210">
        <v>-0.29315530000000001</v>
      </c>
      <c r="AH2210">
        <v>0.53357038600087003</v>
      </c>
      <c r="AI2210">
        <v>118.009721028057</v>
      </c>
      <c r="AJ2210">
        <v>75.502284496268402</v>
      </c>
      <c r="AK2210">
        <v>0.62423757673552804</v>
      </c>
      <c r="AL2210">
        <v>88.120970002272699</v>
      </c>
      <c r="AM2210">
        <v>90.235303686481998</v>
      </c>
      <c r="AN2210">
        <v>0.99999994477460896</v>
      </c>
    </row>
    <row r="2211" spans="1:40" x14ac:dyDescent="0.25">
      <c r="A2211" t="str">
        <f>"20190312151028890"</f>
        <v>20190312151028890</v>
      </c>
      <c r="B2211" t="str">
        <f>"1552374628882831"</f>
        <v>1552374628882831</v>
      </c>
      <c r="C2211" t="s">
        <v>40</v>
      </c>
      <c r="D2211">
        <v>5.1292859999999996</v>
      </c>
      <c r="E2211">
        <v>0.57032169999999904</v>
      </c>
      <c r="F2211" t="s">
        <v>41</v>
      </c>
      <c r="G2211">
        <v>-347.05290000000002</v>
      </c>
      <c r="H2211">
        <v>0.90345240000000004</v>
      </c>
      <c r="I2211">
        <v>282.94139999999999</v>
      </c>
      <c r="J2211">
        <v>-346.64429999999999</v>
      </c>
      <c r="K2211">
        <v>1.1088659999999999</v>
      </c>
      <c r="L2211">
        <v>282.82240000000002</v>
      </c>
      <c r="M2211">
        <v>-0.9999209</v>
      </c>
      <c r="N2211">
        <v>0</v>
      </c>
      <c r="O2211">
        <v>8.7864450000000004E-3</v>
      </c>
      <c r="P2211">
        <v>-0.9996988</v>
      </c>
      <c r="Q2211">
        <v>2.4132899999999999E-2</v>
      </c>
      <c r="R2211">
        <v>4.4894260000000004E-3</v>
      </c>
      <c r="S2211">
        <v>-3.0203549999999999</v>
      </c>
      <c r="T2211">
        <v>-0.92239590000000005</v>
      </c>
      <c r="U2211">
        <v>0.54296880000000003</v>
      </c>
      <c r="V2211">
        <v>-4.2866079999999999E-3</v>
      </c>
      <c r="W2211">
        <v>3.3127749999999997E-2</v>
      </c>
      <c r="X2211">
        <v>0.99944189999999999</v>
      </c>
      <c r="Y2211">
        <v>0.1615306</v>
      </c>
      <c r="Z2211">
        <v>2.133235E-2</v>
      </c>
      <c r="AA2211">
        <v>0.98663710000000004</v>
      </c>
      <c r="AB2211">
        <v>46</v>
      </c>
      <c r="AC2211">
        <v>-0.40860000000003499</v>
      </c>
      <c r="AD2211">
        <v>-0.2054136</v>
      </c>
      <c r="AE2211">
        <v>0.118999999999971</v>
      </c>
      <c r="AF2211">
        <v>9.3599126639695607E-2</v>
      </c>
      <c r="AG2211">
        <v>-0.2054136</v>
      </c>
      <c r="AH2211">
        <v>0.33222960101329801</v>
      </c>
      <c r="AI2211">
        <v>120.75776737804399</v>
      </c>
      <c r="AJ2211">
        <v>74.265866403049301</v>
      </c>
      <c r="AK2211">
        <v>0.40166161300543601</v>
      </c>
      <c r="AL2211">
        <v>88.101572332281194</v>
      </c>
      <c r="AM2211">
        <v>90.2457401884337</v>
      </c>
      <c r="AN2211">
        <v>0.99999996715190798</v>
      </c>
    </row>
    <row r="2212" spans="1:40" x14ac:dyDescent="0.25">
      <c r="A2212" t="str">
        <f>"20190312151028912"</f>
        <v>20190312151028912</v>
      </c>
      <c r="B2212" t="str">
        <f>"1552374628903327"</f>
        <v>1552374628903327</v>
      </c>
      <c r="C2212" t="s">
        <v>40</v>
      </c>
      <c r="D2212">
        <v>5.1381550000000002</v>
      </c>
      <c r="E2212">
        <v>0.57023330000000005</v>
      </c>
      <c r="F2212" t="s">
        <v>41</v>
      </c>
      <c r="G2212">
        <v>-347.45049999999998</v>
      </c>
      <c r="H2212">
        <v>0.8627667</v>
      </c>
      <c r="I2212">
        <v>282.9674</v>
      </c>
      <c r="J2212">
        <v>-347.09300000000002</v>
      </c>
      <c r="K2212">
        <v>1.108892</v>
      </c>
      <c r="L2212">
        <v>282.82639999999998</v>
      </c>
      <c r="M2212">
        <v>-0.99992020000000004</v>
      </c>
      <c r="N2212">
        <v>0</v>
      </c>
      <c r="O2212">
        <v>8.79542E-3</v>
      </c>
      <c r="P2212">
        <v>-0.99970360000000003</v>
      </c>
      <c r="Q2212">
        <v>2.3972830000000001E-2</v>
      </c>
      <c r="R2212">
        <v>4.247677E-3</v>
      </c>
      <c r="S2212">
        <v>-3.020721</v>
      </c>
      <c r="T2212">
        <v>-0.92203630000000003</v>
      </c>
      <c r="U2212">
        <v>0.54171749999999996</v>
      </c>
      <c r="V2212">
        <v>-4.5387279999999997E-3</v>
      </c>
      <c r="W2212">
        <v>3.3036250000000003E-2</v>
      </c>
      <c r="X2212">
        <v>0.99944379999999999</v>
      </c>
      <c r="Y2212">
        <v>0.1611293</v>
      </c>
      <c r="Z2212">
        <v>2.1260569999999999E-2</v>
      </c>
      <c r="AA2212">
        <v>0.98670429999999998</v>
      </c>
      <c r="AB2212">
        <v>46</v>
      </c>
      <c r="AC2212">
        <v>-0.35749999999995902</v>
      </c>
      <c r="AD2212">
        <v>-0.24612529999999899</v>
      </c>
      <c r="AE2212">
        <v>0.141000000000019</v>
      </c>
      <c r="AF2212">
        <v>9.7753841562364704E-2</v>
      </c>
      <c r="AG2212">
        <v>-0.24612529999999899</v>
      </c>
      <c r="AH2212">
        <v>0.254384241239066</v>
      </c>
      <c r="AI2212">
        <v>132.08663731157799</v>
      </c>
      <c r="AJ2212">
        <v>68.979414103540194</v>
      </c>
      <c r="AK2212">
        <v>0.367212226145951</v>
      </c>
      <c r="AL2212">
        <v>88.106817737987598</v>
      </c>
      <c r="AM2212">
        <v>90.260192890396695</v>
      </c>
      <c r="AN2212">
        <v>0.99999995161217903</v>
      </c>
    </row>
    <row r="2213" spans="1:40" x14ac:dyDescent="0.25">
      <c r="A2213" t="str">
        <f>"20190312151028933"</f>
        <v>20190312151028933</v>
      </c>
      <c r="B2213" t="str">
        <f>"1552374628922847"</f>
        <v>1552374628922847</v>
      </c>
      <c r="C2213" t="s">
        <v>40</v>
      </c>
      <c r="D2213">
        <v>5.1093339999999996</v>
      </c>
      <c r="E2213">
        <v>0.57011259999999997</v>
      </c>
      <c r="F2213" t="s">
        <v>41</v>
      </c>
      <c r="G2213">
        <v>-347.86849999999998</v>
      </c>
      <c r="H2213">
        <v>0.87190009999999996</v>
      </c>
      <c r="I2213">
        <v>282.96539999999999</v>
      </c>
      <c r="J2213">
        <v>-347.54790000000003</v>
      </c>
      <c r="K2213">
        <v>1.108905</v>
      </c>
      <c r="L2213">
        <v>282.8304</v>
      </c>
      <c r="M2213">
        <v>-0.99991960000000002</v>
      </c>
      <c r="N2213">
        <v>0</v>
      </c>
      <c r="O2213">
        <v>8.8011859999999904E-3</v>
      </c>
      <c r="P2213">
        <v>-0.99970539999999997</v>
      </c>
      <c r="Q2213">
        <v>2.4017859999999999E-2</v>
      </c>
      <c r="R2213">
        <v>3.5321329999999998E-3</v>
      </c>
      <c r="S2213">
        <v>-3.020721</v>
      </c>
      <c r="T2213">
        <v>-0.92306940000000004</v>
      </c>
      <c r="U2213">
        <v>0.54013059999999902</v>
      </c>
      <c r="V2213">
        <v>-5.2607130000000002E-3</v>
      </c>
      <c r="W2213">
        <v>3.3150140000000002E-2</v>
      </c>
      <c r="X2213">
        <v>0.99943660000000001</v>
      </c>
      <c r="Y2213">
        <v>0.1606282</v>
      </c>
      <c r="Z2213">
        <v>2.1208270000000001E-2</v>
      </c>
      <c r="AA2213">
        <v>0.98678710000000003</v>
      </c>
      <c r="AB2213">
        <v>46</v>
      </c>
      <c r="AC2213">
        <v>-0.32059999999995598</v>
      </c>
      <c r="AD2213">
        <v>-0.23700489999999999</v>
      </c>
      <c r="AE2213">
        <v>0.13499999999998999</v>
      </c>
      <c r="AF2213">
        <v>9.0270389869805998E-2</v>
      </c>
      <c r="AG2213">
        <v>-0.23700489999999999</v>
      </c>
      <c r="AH2213">
        <v>0.21976370109875801</v>
      </c>
      <c r="AI2213">
        <v>134.93042429250099</v>
      </c>
      <c r="AJ2213">
        <v>67.669046261637703</v>
      </c>
      <c r="AK2213">
        <v>0.33558329849961399</v>
      </c>
      <c r="AL2213">
        <v>88.100288955284995</v>
      </c>
      <c r="AM2213">
        <v>90.301583780763295</v>
      </c>
      <c r="AN2213">
        <v>1.00000006215142</v>
      </c>
    </row>
    <row r="2214" spans="1:40" x14ac:dyDescent="0.25">
      <c r="A2214" t="str">
        <f>"20190312151028945"</f>
        <v>20190312151028945</v>
      </c>
      <c r="B2214" t="str">
        <f>"1552374628932607"</f>
        <v>1552374628932607</v>
      </c>
      <c r="C2214" t="s">
        <v>40</v>
      </c>
      <c r="D2214">
        <v>4.967841</v>
      </c>
      <c r="E2214">
        <v>0.56999279999999997</v>
      </c>
      <c r="F2214" t="s">
        <v>41</v>
      </c>
      <c r="G2214">
        <v>-348.2876</v>
      </c>
      <c r="H2214">
        <v>0.88264379999999998</v>
      </c>
      <c r="I2214">
        <v>282.9622</v>
      </c>
      <c r="J2214">
        <v>-347.7912</v>
      </c>
      <c r="K2214">
        <v>1.10891299999999</v>
      </c>
      <c r="L2214">
        <v>282.83260000000001</v>
      </c>
      <c r="M2214">
        <v>-0.99991940000000001</v>
      </c>
      <c r="N2214">
        <v>0</v>
      </c>
      <c r="O2214">
        <v>8.8033480000000008E-3</v>
      </c>
      <c r="P2214">
        <v>-0.99970300000000001</v>
      </c>
      <c r="Q2214">
        <v>2.4158829999999999E-2</v>
      </c>
      <c r="R2214">
        <v>3.235698E-3</v>
      </c>
      <c r="S2214">
        <v>-3.0211790000000001</v>
      </c>
      <c r="T2214">
        <v>-0.92410950000000003</v>
      </c>
      <c r="U2214">
        <v>0.53759769999999996</v>
      </c>
      <c r="V2214">
        <v>-5.5599660000000004E-3</v>
      </c>
      <c r="W2214">
        <v>3.3326960000000003E-2</v>
      </c>
      <c r="X2214">
        <v>0.99942900000000001</v>
      </c>
      <c r="Y2214">
        <v>0.15982009999999999</v>
      </c>
      <c r="Z2214">
        <v>2.1108990000000001E-2</v>
      </c>
      <c r="AA2214">
        <v>0.98692040000000003</v>
      </c>
      <c r="AB2214">
        <v>46</v>
      </c>
      <c r="AC2214">
        <v>-0.49639999999999401</v>
      </c>
      <c r="AD2214">
        <v>-0.226269199999999</v>
      </c>
      <c r="AE2214">
        <v>0.12959999999998201</v>
      </c>
      <c r="AF2214">
        <v>0.10483330935905</v>
      </c>
      <c r="AG2214">
        <v>-0.226269199999999</v>
      </c>
      <c r="AH2214">
        <v>0.41650570455445302</v>
      </c>
      <c r="AI2214">
        <v>117.78136600874601</v>
      </c>
      <c r="AJ2214">
        <v>75.872272215329602</v>
      </c>
      <c r="AK2214">
        <v>0.48545316514182002</v>
      </c>
      <c r="AL2214">
        <v>88.090152125247698</v>
      </c>
      <c r="AM2214">
        <v>90.318741301029505</v>
      </c>
      <c r="AN2214">
        <v>0.99999996276287995</v>
      </c>
    </row>
    <row r="2215" spans="1:40" x14ac:dyDescent="0.25">
      <c r="A2215" t="str">
        <f>"20190312151028957"</f>
        <v>20190312151028957</v>
      </c>
      <c r="B2215" t="str">
        <f>"1552374628953103"</f>
        <v>1552374628953103</v>
      </c>
      <c r="C2215" t="s">
        <v>40</v>
      </c>
      <c r="D2215">
        <v>5.148854</v>
      </c>
      <c r="E2215">
        <v>0.56995600000000002</v>
      </c>
      <c r="F2215" t="s">
        <v>41</v>
      </c>
      <c r="G2215">
        <v>-348.68400000000003</v>
      </c>
      <c r="H2215">
        <v>0.83593580000000001</v>
      </c>
      <c r="I2215">
        <v>282.99110000000002</v>
      </c>
      <c r="J2215">
        <v>-348.05</v>
      </c>
      <c r="K2215">
        <v>1.1089209999999901</v>
      </c>
      <c r="L2215">
        <v>282.8349</v>
      </c>
      <c r="M2215">
        <v>-0.9999188</v>
      </c>
      <c r="N2215">
        <v>0</v>
      </c>
      <c r="O2215">
        <v>8.8056190000000006E-3</v>
      </c>
      <c r="P2215">
        <v>-0.99970130000000001</v>
      </c>
      <c r="Q2215">
        <v>2.4241479999999999E-2</v>
      </c>
      <c r="R2215">
        <v>3.1818789999999999E-3</v>
      </c>
      <c r="S2215">
        <v>-3.021515</v>
      </c>
      <c r="T2215">
        <v>-0.92387339999999996</v>
      </c>
      <c r="U2215">
        <v>0.53585819999999995</v>
      </c>
      <c r="V2215">
        <v>-5.6161780000000003E-3</v>
      </c>
      <c r="W2215">
        <v>3.3447049999999999E-2</v>
      </c>
      <c r="X2215">
        <v>0.99942470000000005</v>
      </c>
      <c r="Y2215">
        <v>0.15927639999999901</v>
      </c>
      <c r="Z2215">
        <v>2.102124E-2</v>
      </c>
      <c r="AA2215">
        <v>0.98701019999999995</v>
      </c>
      <c r="AB2215">
        <v>46</v>
      </c>
      <c r="AC2215">
        <v>-0.634000000000014</v>
      </c>
      <c r="AD2215">
        <v>-0.27298519999999898</v>
      </c>
      <c r="AE2215">
        <v>0.156200000000012</v>
      </c>
      <c r="AF2215">
        <v>0.128202842461137</v>
      </c>
      <c r="AG2215">
        <v>-0.27298519999999898</v>
      </c>
      <c r="AH2215">
        <v>0.54082253777674305</v>
      </c>
      <c r="AI2215">
        <v>116.15788113904701</v>
      </c>
      <c r="AJ2215">
        <v>76.664104198226298</v>
      </c>
      <c r="AK2215">
        <v>0.61923009100126203</v>
      </c>
      <c r="AL2215">
        <v>88.083267686617802</v>
      </c>
      <c r="AM2215">
        <v>90.321965135933894</v>
      </c>
      <c r="AN2215">
        <v>0.99999998878955998</v>
      </c>
    </row>
    <row r="2216" spans="1:40" x14ac:dyDescent="0.25">
      <c r="A2216" t="str">
        <f>"20190312151028969"</f>
        <v>20190312151028969</v>
      </c>
      <c r="B2216" t="str">
        <f>"1552374628962864"</f>
        <v>1552374628962864</v>
      </c>
      <c r="C2216" t="s">
        <v>40</v>
      </c>
      <c r="D2216">
        <v>5.2902129999999996</v>
      </c>
      <c r="E2216">
        <v>0.56995280000000004</v>
      </c>
      <c r="F2216" t="s">
        <v>41</v>
      </c>
      <c r="G2216">
        <v>-349.0829</v>
      </c>
      <c r="H2216">
        <v>0.79327179999999997</v>
      </c>
      <c r="I2216">
        <v>283.0181</v>
      </c>
      <c r="J2216">
        <v>-348.31</v>
      </c>
      <c r="K2216">
        <v>1.1089310000000001</v>
      </c>
      <c r="L2216">
        <v>282.8372</v>
      </c>
      <c r="M2216">
        <v>-0.99991850000000004</v>
      </c>
      <c r="N2216">
        <v>0</v>
      </c>
      <c r="O2216">
        <v>8.8077239999999994E-3</v>
      </c>
      <c r="P2216">
        <v>-0.99970519999999996</v>
      </c>
      <c r="Q2216">
        <v>2.4059400000000002E-2</v>
      </c>
      <c r="R2216">
        <v>3.27794E-3</v>
      </c>
      <c r="S2216">
        <v>-3.021576</v>
      </c>
      <c r="T2216">
        <v>-0.92340180000000005</v>
      </c>
      <c r="U2216">
        <v>0.53512569999999904</v>
      </c>
      <c r="V2216">
        <v>-5.5223210000000002E-3</v>
      </c>
      <c r="W2216">
        <v>3.3299799999999997E-2</v>
      </c>
      <c r="X2216">
        <v>0.99943020000000005</v>
      </c>
      <c r="Y2216">
        <v>0.15905529999999901</v>
      </c>
      <c r="Z2216">
        <v>2.0977570000000001E-2</v>
      </c>
      <c r="AA2216">
        <v>0.9870468</v>
      </c>
      <c r="AB2216">
        <v>46</v>
      </c>
      <c r="AC2216">
        <v>-0.77289999999999204</v>
      </c>
      <c r="AD2216">
        <v>-0.31565919999999897</v>
      </c>
      <c r="AE2216">
        <v>0.180900000000008</v>
      </c>
      <c r="AF2216">
        <v>0.15031512230486299</v>
      </c>
      <c r="AG2216">
        <v>-0.31565919999999897</v>
      </c>
      <c r="AH2216">
        <v>0.66871600731775904</v>
      </c>
      <c r="AI2216">
        <v>114.728252217939</v>
      </c>
      <c r="AJ2216">
        <v>77.331521932555901</v>
      </c>
      <c r="AK2216">
        <v>0.75459688906141897</v>
      </c>
      <c r="AL2216">
        <v>88.091709306927598</v>
      </c>
      <c r="AM2216">
        <v>90.316582855345501</v>
      </c>
      <c r="AN2216">
        <v>1.00000004869065</v>
      </c>
    </row>
    <row r="2217" spans="1:40" x14ac:dyDescent="0.25">
      <c r="A2217" t="str">
        <f>"20190312151028983"</f>
        <v>20190312151028983</v>
      </c>
      <c r="B2217" t="str">
        <f>"1552374628972623"</f>
        <v>1552374628972623</v>
      </c>
      <c r="C2217" t="s">
        <v>40</v>
      </c>
      <c r="D2217">
        <v>5.2513769999999997</v>
      </c>
      <c r="E2217">
        <v>0.56994429999999996</v>
      </c>
      <c r="F2217" t="s">
        <v>41</v>
      </c>
      <c r="G2217">
        <v>-349.11090000000002</v>
      </c>
      <c r="H2217">
        <v>0.86382320000000001</v>
      </c>
      <c r="I2217">
        <v>282.9794</v>
      </c>
      <c r="J2217">
        <v>-348.56549999999999</v>
      </c>
      <c r="K2217">
        <v>1.1089389999999999</v>
      </c>
      <c r="L2217">
        <v>282.83940000000001</v>
      </c>
      <c r="M2217">
        <v>-0.99991819999999998</v>
      </c>
      <c r="N2217">
        <v>0</v>
      </c>
      <c r="O2217">
        <v>8.8097209999999995E-3</v>
      </c>
      <c r="P2217">
        <v>-0.99970650000000005</v>
      </c>
      <c r="Q2217">
        <v>2.4002880000000001E-2</v>
      </c>
      <c r="R2217">
        <v>3.2695509999999999E-3</v>
      </c>
      <c r="S2217">
        <v>-3.0213930000000002</v>
      </c>
      <c r="T2217">
        <v>-0.92469199999999996</v>
      </c>
      <c r="U2217">
        <v>0.53558349999999999</v>
      </c>
      <c r="V2217">
        <v>-5.533764E-3</v>
      </c>
      <c r="W2217">
        <v>3.3276920000000001E-2</v>
      </c>
      <c r="X2217">
        <v>0.99943079999999995</v>
      </c>
      <c r="Y2217">
        <v>0.1591842</v>
      </c>
      <c r="Z2217">
        <v>2.102511E-2</v>
      </c>
      <c r="AA2217">
        <v>0.98702500000000004</v>
      </c>
      <c r="AB2217">
        <v>46</v>
      </c>
      <c r="AC2217">
        <v>-0.54540000000002897</v>
      </c>
      <c r="AD2217">
        <v>-0.245115799999999</v>
      </c>
      <c r="AE2217">
        <v>0.139999999999986</v>
      </c>
      <c r="AF2217">
        <v>0.1136528092158</v>
      </c>
      <c r="AG2217">
        <v>-0.245115799999999</v>
      </c>
      <c r="AH2217">
        <v>0.459532729041287</v>
      </c>
      <c r="AI2217">
        <v>117.375155924745</v>
      </c>
      <c r="AJ2217">
        <v>76.108229574563694</v>
      </c>
      <c r="AK2217">
        <v>0.53307508431028405</v>
      </c>
      <c r="AL2217">
        <v>88.093020772901895</v>
      </c>
      <c r="AM2217">
        <v>90.317238654227396</v>
      </c>
      <c r="AN2217">
        <v>0.99999994996866504</v>
      </c>
    </row>
    <row r="2218" spans="1:40" x14ac:dyDescent="0.25">
      <c r="A2218" t="str">
        <f>"20190312151029000"</f>
        <v>20190312151029000</v>
      </c>
      <c r="B2218" t="str">
        <f>"1552374628993119"</f>
        <v>1552374628993119</v>
      </c>
      <c r="C2218" t="s">
        <v>40</v>
      </c>
      <c r="D2218">
        <v>5.2519479999999996</v>
      </c>
      <c r="E2218">
        <v>0.56992410000000004</v>
      </c>
      <c r="F2218" t="s">
        <v>41</v>
      </c>
      <c r="G2218">
        <v>-349.50940000000003</v>
      </c>
      <c r="H2218">
        <v>0.81990810000000003</v>
      </c>
      <c r="I2218">
        <v>283.00700000000001</v>
      </c>
      <c r="J2218">
        <v>-348.94510000000002</v>
      </c>
      <c r="K2218">
        <v>1.108948</v>
      </c>
      <c r="L2218">
        <v>282.84280000000001</v>
      </c>
      <c r="M2218">
        <v>-0.99991770000000002</v>
      </c>
      <c r="N2218">
        <v>0</v>
      </c>
      <c r="O2218">
        <v>8.8124680000000004E-3</v>
      </c>
      <c r="P2218">
        <v>-0.99971730000000003</v>
      </c>
      <c r="Q2218">
        <v>2.3610619999999999E-2</v>
      </c>
      <c r="R2218">
        <v>2.8682669999999999E-3</v>
      </c>
      <c r="S2218">
        <v>-3.0213930000000002</v>
      </c>
      <c r="T2218">
        <v>-0.92512890000000003</v>
      </c>
      <c r="U2218">
        <v>0.53533940000000002</v>
      </c>
      <c r="V2218">
        <v>-5.9384349999999997E-3</v>
      </c>
      <c r="W2218">
        <v>3.2931879999999997E-2</v>
      </c>
      <c r="X2218">
        <v>0.99944</v>
      </c>
      <c r="Y2218">
        <v>0.15910170000000001</v>
      </c>
      <c r="Z2218">
        <v>2.1021680000000001E-2</v>
      </c>
      <c r="AA2218">
        <v>0.98703839999999998</v>
      </c>
      <c r="AB2218">
        <v>46</v>
      </c>
      <c r="AC2218">
        <v>-0.56430000000000202</v>
      </c>
      <c r="AD2218">
        <v>-0.28903990000000002</v>
      </c>
      <c r="AE2218">
        <v>0.16419999999999299</v>
      </c>
      <c r="AF2218">
        <v>0.12820937797339901</v>
      </c>
      <c r="AG2218">
        <v>-0.28903990000000002</v>
      </c>
      <c r="AH2218">
        <v>0.45553968224473601</v>
      </c>
      <c r="AI2218">
        <v>121.415371299591</v>
      </c>
      <c r="AJ2218">
        <v>74.281007602236897</v>
      </c>
      <c r="AK2218">
        <v>0.55452512160584</v>
      </c>
      <c r="AL2218">
        <v>88.112801128174695</v>
      </c>
      <c r="AM2218">
        <v>90.340433901391293</v>
      </c>
      <c r="AN2218">
        <v>1.0000000436652901</v>
      </c>
    </row>
    <row r="2219" spans="1:40" x14ac:dyDescent="0.25">
      <c r="A2219" t="str">
        <f>"20190312151029013"</f>
        <v>20190312151029013</v>
      </c>
      <c r="B2219" t="str">
        <f>"1552374629002879"</f>
        <v>1552374629002879</v>
      </c>
      <c r="C2219" t="s">
        <v>40</v>
      </c>
      <c r="D2219">
        <v>5.1491889999999998</v>
      </c>
      <c r="E2219">
        <v>0.56988070000000002</v>
      </c>
      <c r="F2219" t="s">
        <v>41</v>
      </c>
      <c r="G2219">
        <v>-349.92169999999999</v>
      </c>
      <c r="H2219">
        <v>0.80926919999999902</v>
      </c>
      <c r="I2219">
        <v>283.0154</v>
      </c>
      <c r="J2219">
        <v>-349.2149</v>
      </c>
      <c r="K2219">
        <v>1.1089549999999999</v>
      </c>
      <c r="L2219">
        <v>282.84519999999998</v>
      </c>
      <c r="M2219">
        <v>-0.99991739999999996</v>
      </c>
      <c r="N2219">
        <v>0</v>
      </c>
      <c r="O2219">
        <v>8.814601E-3</v>
      </c>
      <c r="P2219">
        <v>-0.99971299999999996</v>
      </c>
      <c r="Q2219">
        <v>2.3765620000000001E-2</v>
      </c>
      <c r="R2219">
        <v>2.9867840000000001E-3</v>
      </c>
      <c r="S2219">
        <v>-3.0211790000000001</v>
      </c>
      <c r="T2219">
        <v>-0.92701750000000005</v>
      </c>
      <c r="U2219">
        <v>0.53359990000000002</v>
      </c>
      <c r="V2219">
        <v>-5.8221169999999999E-3</v>
      </c>
      <c r="W2219">
        <v>3.311774E-2</v>
      </c>
      <c r="X2219">
        <v>0.9994345</v>
      </c>
      <c r="Y2219">
        <v>0.15855649999999999</v>
      </c>
      <c r="Z2219">
        <v>2.098332E-2</v>
      </c>
      <c r="AA2219">
        <v>0.98712690000000003</v>
      </c>
      <c r="AB2219">
        <v>47</v>
      </c>
      <c r="AC2219">
        <v>-0.70679999999998699</v>
      </c>
      <c r="AD2219">
        <v>-0.299685799999999</v>
      </c>
      <c r="AE2219">
        <v>0.170200000000022</v>
      </c>
      <c r="AF2219">
        <v>0.14014817272066599</v>
      </c>
      <c r="AG2219">
        <v>-0.299685799999999</v>
      </c>
      <c r="AH2219">
        <v>0.60539983462139002</v>
      </c>
      <c r="AI2219">
        <v>115.746496673433</v>
      </c>
      <c r="AJ2219">
        <v>76.965806290902506</v>
      </c>
      <c r="AK2219">
        <v>0.68990002811870299</v>
      </c>
      <c r="AL2219">
        <v>88.102146241751996</v>
      </c>
      <c r="AM2219">
        <v>90.333767704221898</v>
      </c>
      <c r="AN2219">
        <v>1.0000000007696499</v>
      </c>
    </row>
    <row r="2220" spans="1:40" x14ac:dyDescent="0.25">
      <c r="A2220" t="str">
        <f>"20190312151029034"</f>
        <v>20190312151029034</v>
      </c>
      <c r="B2220" t="str">
        <f>"1552374629022399"</f>
        <v>1552374629022399</v>
      </c>
      <c r="C2220" t="s">
        <v>40</v>
      </c>
      <c r="D2220">
        <v>5.249873</v>
      </c>
      <c r="E2220">
        <v>0.56976139999999997</v>
      </c>
      <c r="F2220" t="s">
        <v>41</v>
      </c>
      <c r="G2220">
        <v>-349.95119999999997</v>
      </c>
      <c r="H2220">
        <v>0.88314380000000003</v>
      </c>
      <c r="I2220">
        <v>282.9753</v>
      </c>
      <c r="J2220">
        <v>-349.63260000000002</v>
      </c>
      <c r="K2220">
        <v>1.1089629999999999</v>
      </c>
      <c r="L2220">
        <v>282.84879999999998</v>
      </c>
      <c r="M2220">
        <v>-0.99991699999999994</v>
      </c>
      <c r="N2220">
        <v>0</v>
      </c>
      <c r="O2220">
        <v>8.8173669999999996E-3</v>
      </c>
      <c r="P2220">
        <v>-0.99969839999999999</v>
      </c>
      <c r="Q2220">
        <v>2.434482E-2</v>
      </c>
      <c r="R2220">
        <v>3.2017840000000001E-3</v>
      </c>
      <c r="S2220">
        <v>-3.0213009999999998</v>
      </c>
      <c r="T2220">
        <v>-0.92647029999999997</v>
      </c>
      <c r="U2220">
        <v>0.5334778</v>
      </c>
      <c r="V2220">
        <v>-5.6104040000000003E-3</v>
      </c>
      <c r="W2220">
        <v>3.3741569999999999E-2</v>
      </c>
      <c r="X2220">
        <v>0.99941489999999999</v>
      </c>
      <c r="Y2220">
        <v>0.1585182</v>
      </c>
      <c r="Z2220">
        <v>2.0964219999999999E-2</v>
      </c>
      <c r="AA2220">
        <v>0.98713340000000005</v>
      </c>
      <c r="AB2220">
        <v>47</v>
      </c>
      <c r="AC2220">
        <v>-0.31859999999994598</v>
      </c>
      <c r="AD2220">
        <v>-0.225819199999999</v>
      </c>
      <c r="AE2220">
        <v>0.12650000000002101</v>
      </c>
      <c r="AF2220">
        <v>8.6254439386807297E-2</v>
      </c>
      <c r="AG2220">
        <v>-0.225819199999999</v>
      </c>
      <c r="AH2220">
        <v>0.222950576971469</v>
      </c>
      <c r="AI2220">
        <v>133.36925361978601</v>
      </c>
      <c r="AJ2220">
        <v>68.849694615658507</v>
      </c>
      <c r="AK2220">
        <v>0.328848139989393</v>
      </c>
      <c r="AL2220">
        <v>88.0663835335952</v>
      </c>
      <c r="AM2220">
        <v>90.321637283904494</v>
      </c>
      <c r="AN2220">
        <v>1.00000005626055</v>
      </c>
    </row>
    <row r="2221" spans="1:40" x14ac:dyDescent="0.25">
      <c r="A2221" t="str">
        <f>"20190312151029045"</f>
        <v>20190312151029045</v>
      </c>
      <c r="B2221" t="str">
        <f>"1552374629042895"</f>
        <v>1552374629042895</v>
      </c>
      <c r="C2221" t="s">
        <v>40</v>
      </c>
      <c r="D2221">
        <v>5.0559180000000001</v>
      </c>
      <c r="E2221">
        <v>0.51892939999999999</v>
      </c>
      <c r="F2221" t="s">
        <v>41</v>
      </c>
      <c r="G2221">
        <v>-350.36840000000001</v>
      </c>
      <c r="H2221">
        <v>0.88375170000000003</v>
      </c>
      <c r="I2221">
        <v>282.97890000000001</v>
      </c>
      <c r="J2221">
        <v>-349.88369999999998</v>
      </c>
      <c r="K2221">
        <v>1.1089659999999999</v>
      </c>
      <c r="L2221">
        <v>282.85109999999997</v>
      </c>
      <c r="M2221">
        <v>-0.99991669999999999</v>
      </c>
      <c r="N2221">
        <v>0</v>
      </c>
      <c r="O2221">
        <v>8.8190619999999904E-3</v>
      </c>
      <c r="P2221">
        <v>-0.99969430000000004</v>
      </c>
      <c r="Q2221">
        <v>2.4514660000000001E-2</v>
      </c>
      <c r="R2221">
        <v>3.222407E-3</v>
      </c>
      <c r="S2221">
        <v>-3.0217589999999999</v>
      </c>
      <c r="T2221">
        <v>-0.92477600000000004</v>
      </c>
      <c r="U2221">
        <v>0.53326419999999997</v>
      </c>
      <c r="V2221">
        <v>-5.5917809999999997E-3</v>
      </c>
      <c r="W2221">
        <v>3.393649E-2</v>
      </c>
      <c r="X2221">
        <v>0.99940839999999997</v>
      </c>
      <c r="Y2221">
        <v>0.15845200000000001</v>
      </c>
      <c r="Z2221">
        <v>2.091432E-2</v>
      </c>
      <c r="AA2221">
        <v>0.9871451</v>
      </c>
      <c r="AB2221">
        <v>47</v>
      </c>
      <c r="AC2221">
        <v>-0.48470000000003199</v>
      </c>
      <c r="AD2221">
        <v>-0.22521429999999901</v>
      </c>
      <c r="AE2221">
        <v>0.127800000000036</v>
      </c>
      <c r="AF2221">
        <v>0.10277398228989899</v>
      </c>
      <c r="AG2221">
        <v>-0.22521429999999901</v>
      </c>
      <c r="AH2221">
        <v>0.40421270966747702</v>
      </c>
      <c r="AI2221">
        <v>118.368466003188</v>
      </c>
      <c r="AJ2221">
        <v>75.734417367315402</v>
      </c>
      <c r="AK2221">
        <v>0.47399566139041699</v>
      </c>
      <c r="AL2221">
        <v>88.055209032274803</v>
      </c>
      <c r="AM2221">
        <v>90.320571758349601</v>
      </c>
      <c r="AN2221">
        <v>1.0000000516794101</v>
      </c>
    </row>
    <row r="2222" spans="1:40" x14ac:dyDescent="0.25">
      <c r="A2222" t="str">
        <f>"20190312151029058"</f>
        <v>20190312151029058</v>
      </c>
      <c r="B2222" t="str">
        <f>"1552374629052655"</f>
        <v>1552374629052655</v>
      </c>
      <c r="C2222" t="s">
        <v>40</v>
      </c>
      <c r="D2222">
        <v>5.1329029999999998</v>
      </c>
      <c r="E2222">
        <v>0.51257589999999997</v>
      </c>
      <c r="F2222" t="s">
        <v>41</v>
      </c>
      <c r="G2222">
        <v>-350.8245</v>
      </c>
      <c r="H2222">
        <v>0.96915289999999998</v>
      </c>
      <c r="I2222">
        <v>282.89589999999998</v>
      </c>
      <c r="J2222">
        <v>-350.1429</v>
      </c>
      <c r="K2222">
        <v>1.10897</v>
      </c>
      <c r="L2222">
        <v>282.85340000000002</v>
      </c>
      <c r="M2222">
        <v>-0.99991640000000004</v>
      </c>
      <c r="N2222">
        <v>0</v>
      </c>
      <c r="O2222">
        <v>8.8207559999999904E-3</v>
      </c>
      <c r="P2222">
        <v>-0.99968959999999996</v>
      </c>
      <c r="Q2222">
        <v>2.4686320000000001E-2</v>
      </c>
      <c r="R2222">
        <v>3.3762050000000002E-3</v>
      </c>
      <c r="S2222">
        <v>-3.0114749999999999</v>
      </c>
      <c r="T2222">
        <v>-0.44755889999999998</v>
      </c>
      <c r="U2222">
        <v>0.14321900000000001</v>
      </c>
      <c r="V2222">
        <v>-5.4392470000000004E-3</v>
      </c>
      <c r="W2222">
        <v>3.4133780000000002E-2</v>
      </c>
      <c r="X2222">
        <v>0.99940249999999997</v>
      </c>
      <c r="Y2222">
        <v>3.8367279999999997E-2</v>
      </c>
      <c r="Z2222">
        <v>1.5308699999999999E-3</v>
      </c>
      <c r="AA2222">
        <v>0.99926250000000005</v>
      </c>
      <c r="AB2222">
        <v>47</v>
      </c>
      <c r="AC2222">
        <v>-0.68160000000000298</v>
      </c>
      <c r="AD2222">
        <v>-0.139817099999999</v>
      </c>
      <c r="AE2222">
        <v>4.2499999999961298E-2</v>
      </c>
      <c r="AF2222">
        <v>3.5018046334095901E-2</v>
      </c>
      <c r="AG2222">
        <v>-0.139817099999999</v>
      </c>
      <c r="AH2222">
        <v>0.65451400141701599</v>
      </c>
      <c r="AI2222">
        <v>102.04155042619399</v>
      </c>
      <c r="AJ2222">
        <v>86.9374602990016</v>
      </c>
      <c r="AK2222">
        <v>0.67019673460289297</v>
      </c>
      <c r="AL2222">
        <v>88.043898550636996</v>
      </c>
      <c r="AM2222">
        <v>90.311829137727301</v>
      </c>
      <c r="AN2222">
        <v>1.0000000286756301</v>
      </c>
    </row>
    <row r="2223" spans="1:40" x14ac:dyDescent="0.25">
      <c r="A2223" t="str">
        <f>"20190312151029079"</f>
        <v>20190312151029079</v>
      </c>
      <c r="B2223" t="str">
        <f>"1552374629073155"</f>
        <v>1552374629073155</v>
      </c>
      <c r="C2223" t="s">
        <v>40</v>
      </c>
      <c r="D2223">
        <v>5.2270409999999998</v>
      </c>
      <c r="E2223">
        <v>0.50541150000000001</v>
      </c>
      <c r="F2223" t="s">
        <v>41</v>
      </c>
      <c r="G2223">
        <v>-351.24380000000002</v>
      </c>
      <c r="H2223">
        <v>0.97152959999999999</v>
      </c>
      <c r="I2223">
        <v>282.8886</v>
      </c>
      <c r="J2223">
        <v>-350.57060000000001</v>
      </c>
      <c r="K2223">
        <v>1.108981</v>
      </c>
      <c r="L2223">
        <v>282.85719999999998</v>
      </c>
      <c r="M2223">
        <v>-0.99991600000000003</v>
      </c>
      <c r="N2223">
        <v>0</v>
      </c>
      <c r="O2223">
        <v>8.822369E-3</v>
      </c>
      <c r="P2223">
        <v>-0.99969870000000005</v>
      </c>
      <c r="Q2223">
        <v>2.4286220000000001E-2</v>
      </c>
      <c r="R2223">
        <v>3.5772170000000002E-3</v>
      </c>
      <c r="S2223">
        <v>-3.0098880000000001</v>
      </c>
      <c r="T2223">
        <v>-0.37585089999999999</v>
      </c>
      <c r="U2223">
        <v>9.5672610000000005E-2</v>
      </c>
      <c r="V2223">
        <v>-5.2401119999999999E-3</v>
      </c>
      <c r="W2223">
        <v>3.3774930000000002E-2</v>
      </c>
      <c r="X2223">
        <v>0.99941579999999997</v>
      </c>
      <c r="Y2223">
        <v>2.2841750000000001E-2</v>
      </c>
      <c r="Z2223">
        <v>3.2314460000000002E-4</v>
      </c>
      <c r="AA2223">
        <v>0.99973909999999999</v>
      </c>
      <c r="AB2223">
        <v>47</v>
      </c>
      <c r="AC2223">
        <v>-0.67320000000000801</v>
      </c>
      <c r="AD2223">
        <v>-0.1374514</v>
      </c>
      <c r="AE2223">
        <v>3.14000000000191E-2</v>
      </c>
      <c r="AF2223">
        <v>2.4442544698081201E-2</v>
      </c>
      <c r="AG2223">
        <v>-0.1374514</v>
      </c>
      <c r="AH2223">
        <v>0.64655578552138304</v>
      </c>
      <c r="AI2223">
        <v>101.99352306010999</v>
      </c>
      <c r="AJ2223">
        <v>87.835008058521097</v>
      </c>
      <c r="AK2223">
        <v>0.66145650585994697</v>
      </c>
      <c r="AL2223">
        <v>88.064471088812695</v>
      </c>
      <c r="AM2223">
        <v>90.300409049534096</v>
      </c>
      <c r="AN2223">
        <v>1.0000000729799501</v>
      </c>
    </row>
    <row r="2224" spans="1:40" x14ac:dyDescent="0.25">
      <c r="A2224" t="str">
        <f>"20190312151029101"</f>
        <v>20190312151029101</v>
      </c>
      <c r="B2224" t="str">
        <f>"1552374629092671"</f>
        <v>1552374629092671</v>
      </c>
      <c r="C2224" t="s">
        <v>40</v>
      </c>
      <c r="D2224">
        <v>5.2731089999999998</v>
      </c>
      <c r="E2224">
        <v>0.50169490000000005</v>
      </c>
      <c r="F2224" t="s">
        <v>41</v>
      </c>
      <c r="G2224">
        <v>-351.67520000000002</v>
      </c>
      <c r="H2224">
        <v>0.99780950000000002</v>
      </c>
      <c r="I2224">
        <v>282.8725</v>
      </c>
      <c r="J2224">
        <v>-351.04169999999999</v>
      </c>
      <c r="K2224">
        <v>1.108984</v>
      </c>
      <c r="L2224">
        <v>282.86130000000003</v>
      </c>
      <c r="M2224">
        <v>-0.99991569999999996</v>
      </c>
      <c r="N2224">
        <v>0</v>
      </c>
      <c r="O2224">
        <v>8.8236089999999996E-3</v>
      </c>
      <c r="P2224">
        <v>-0.99969549999999996</v>
      </c>
      <c r="Q2224">
        <v>2.4341939999999999E-2</v>
      </c>
      <c r="R2224">
        <v>4.0652919999999999E-3</v>
      </c>
      <c r="S2224">
        <v>-3.0081180000000001</v>
      </c>
      <c r="T2224">
        <v>-0.30275370000000001</v>
      </c>
      <c r="U2224">
        <v>4.1503909999999998E-2</v>
      </c>
      <c r="V2224">
        <v>-4.7535290000000003E-3</v>
      </c>
      <c r="W2224">
        <v>3.3875009999999997E-2</v>
      </c>
      <c r="X2224">
        <v>0.99941480000000005</v>
      </c>
      <c r="Y2224">
        <v>4.9916379999999996E-3</v>
      </c>
      <c r="Z2224">
        <v>-6.3524739999999897E-4</v>
      </c>
      <c r="AA2224">
        <v>0.99998739999999997</v>
      </c>
      <c r="AB2224">
        <v>47</v>
      </c>
      <c r="AC2224">
        <v>-0.63350000000002604</v>
      </c>
      <c r="AD2224">
        <v>-0.1111745</v>
      </c>
      <c r="AE2224">
        <v>1.1199999999973899E-2</v>
      </c>
      <c r="AF2224">
        <v>5.4420055998902301E-3</v>
      </c>
      <c r="AG2224">
        <v>-0.1111745</v>
      </c>
      <c r="AH2224">
        <v>0.61465031449916196</v>
      </c>
      <c r="AI2224">
        <v>100.252099543638</v>
      </c>
      <c r="AJ2224">
        <v>89.492726516963003</v>
      </c>
      <c r="AK2224">
        <v>0.62464741573876503</v>
      </c>
      <c r="AL2224">
        <v>88.058733555971997</v>
      </c>
      <c r="AM2224">
        <v>90.272514571247399</v>
      </c>
      <c r="AN2224">
        <v>1.00000002739974</v>
      </c>
    </row>
    <row r="2225" spans="1:40" x14ac:dyDescent="0.25">
      <c r="A2225" t="str">
        <f>"20190312151029124"</f>
        <v>20190312151029124</v>
      </c>
      <c r="B2225" t="str">
        <f>"1552374629113167"</f>
        <v>1552374629113167</v>
      </c>
      <c r="C2225" t="s">
        <v>40</v>
      </c>
      <c r="D2225">
        <v>5.1581199999999896</v>
      </c>
      <c r="E2225">
        <v>0.50054500000000002</v>
      </c>
      <c r="F2225" t="s">
        <v>41</v>
      </c>
      <c r="G2225">
        <v>-352.1053</v>
      </c>
      <c r="H2225">
        <v>1.0212559999999999</v>
      </c>
      <c r="I2225">
        <v>282.86700000000002</v>
      </c>
      <c r="J2225">
        <v>-351.5215</v>
      </c>
      <c r="K2225">
        <v>1.108989</v>
      </c>
      <c r="L2225">
        <v>282.8655</v>
      </c>
      <c r="M2225">
        <v>-0.99991509999999995</v>
      </c>
      <c r="N2225">
        <v>0</v>
      </c>
      <c r="O2225">
        <v>8.8247410000000005E-3</v>
      </c>
      <c r="P2225">
        <v>-0.99969819999999998</v>
      </c>
      <c r="Q2225">
        <v>2.4221690000000001E-2</v>
      </c>
      <c r="R2225">
        <v>4.1138750000000003E-3</v>
      </c>
      <c r="S2225">
        <v>-3.0068969999999999</v>
      </c>
      <c r="T2225">
        <v>-0.2481669</v>
      </c>
      <c r="U2225">
        <v>1.528931E-2</v>
      </c>
      <c r="V2225">
        <v>-4.706839E-3</v>
      </c>
      <c r="W2225">
        <v>3.379828E-2</v>
      </c>
      <c r="X2225">
        <v>0.99941760000000002</v>
      </c>
      <c r="Y2225">
        <v>-3.697975E-3</v>
      </c>
      <c r="Z2225">
        <v>-8.7945179999999903E-4</v>
      </c>
      <c r="AA2225">
        <v>0.99999280000000002</v>
      </c>
      <c r="AB2225">
        <v>47</v>
      </c>
      <c r="AC2225">
        <v>-0.58379999999999599</v>
      </c>
      <c r="AD2225">
        <v>-8.7733000000000005E-2</v>
      </c>
      <c r="AE2225">
        <v>1.5000000000213701E-3</v>
      </c>
      <c r="AF2225">
        <v>-3.57152087600731E-3</v>
      </c>
      <c r="AG2225">
        <v>-8.7733000000000005E-2</v>
      </c>
      <c r="AH2225">
        <v>0.57089753008231103</v>
      </c>
      <c r="AI2225">
        <v>98.736445616755006</v>
      </c>
      <c r="AJ2225">
        <v>90.358436308317593</v>
      </c>
      <c r="AK2225">
        <v>0.57761044390181504</v>
      </c>
      <c r="AL2225">
        <v>88.063132343509096</v>
      </c>
      <c r="AM2225">
        <v>90.2698371688777</v>
      </c>
      <c r="AN2225">
        <v>1.00000000862704</v>
      </c>
    </row>
    <row r="2226" spans="1:40" x14ac:dyDescent="0.25">
      <c r="A2226" t="str">
        <f>"20190312151029146"</f>
        <v>20190312151029146</v>
      </c>
      <c r="B2226" t="str">
        <f>"1552374629142448"</f>
        <v>1552374629142448</v>
      </c>
      <c r="C2226" t="s">
        <v>40</v>
      </c>
      <c r="D2226">
        <v>5.3340560000000004</v>
      </c>
      <c r="E2226">
        <v>0.4983262</v>
      </c>
      <c r="F2226" t="s">
        <v>41</v>
      </c>
      <c r="G2226">
        <v>-352.53050000000002</v>
      </c>
      <c r="H2226">
        <v>1.0321450000000001</v>
      </c>
      <c r="I2226">
        <v>282.86790000000002</v>
      </c>
      <c r="J2226">
        <v>-351.97399999999999</v>
      </c>
      <c r="K2226">
        <v>1.108992</v>
      </c>
      <c r="L2226">
        <v>282.86950000000002</v>
      </c>
      <c r="M2226">
        <v>-0.99991490000000005</v>
      </c>
      <c r="N2226">
        <v>0</v>
      </c>
      <c r="O2226">
        <v>8.8251919999999904E-3</v>
      </c>
      <c r="P2226">
        <v>-0.99970479999999995</v>
      </c>
      <c r="Q2226">
        <v>2.3992759999999998E-2</v>
      </c>
      <c r="R2226">
        <v>3.8843749999999998E-3</v>
      </c>
      <c r="S2226">
        <v>-3.0064090000000001</v>
      </c>
      <c r="T2226">
        <v>-0.2289369</v>
      </c>
      <c r="U2226">
        <v>7.0495610000000002E-3</v>
      </c>
      <c r="V2226">
        <v>-4.9370480000000003E-3</v>
      </c>
      <c r="W2226">
        <v>3.3607659999999998E-2</v>
      </c>
      <c r="X2226">
        <v>0.9994229</v>
      </c>
      <c r="Y2226">
        <v>-6.4366419999999898E-3</v>
      </c>
      <c r="Z2226">
        <v>-9.1580480000000004E-4</v>
      </c>
      <c r="AA2226">
        <v>0.99997879999999995</v>
      </c>
      <c r="AB2226">
        <v>47</v>
      </c>
      <c r="AC2226">
        <v>-0.55650000000002797</v>
      </c>
      <c r="AD2226">
        <v>-7.6846999999999804E-2</v>
      </c>
      <c r="AE2226">
        <v>-1.59999999999627E-3</v>
      </c>
      <c r="AF2226">
        <v>-6.3895437610489696E-3</v>
      </c>
      <c r="AG2226">
        <v>-7.6846999999999804E-2</v>
      </c>
      <c r="AH2226">
        <v>0.54605173687318498</v>
      </c>
      <c r="AI2226">
        <v>98.010204116115503</v>
      </c>
      <c r="AJ2226">
        <v>90.670407506191594</v>
      </c>
      <c r="AK2226">
        <v>0.551469661015632</v>
      </c>
      <c r="AL2226">
        <v>88.074060239475401</v>
      </c>
      <c r="AM2226">
        <v>90.283033051123397</v>
      </c>
      <c r="AN2226">
        <v>0.99999999114901905</v>
      </c>
    </row>
    <row r="2227" spans="1:40" x14ac:dyDescent="0.25">
      <c r="A2227" t="str">
        <f>"20190312151029159"</f>
        <v>20190312151029159</v>
      </c>
      <c r="B2227" t="str">
        <f>"1552374629153185"</f>
        <v>1552374629153185</v>
      </c>
      <c r="C2227" t="s">
        <v>40</v>
      </c>
      <c r="D2227">
        <v>5.1582949999999999</v>
      </c>
      <c r="E2227">
        <v>0.49775609999999998</v>
      </c>
      <c r="F2227" t="s">
        <v>52</v>
      </c>
      <c r="G2227">
        <v>-369.31470000000002</v>
      </c>
      <c r="H2227" s="1">
        <v>3.420034E-6</v>
      </c>
      <c r="I2227">
        <v>282.81209999999999</v>
      </c>
      <c r="J2227">
        <v>-352.23719999999997</v>
      </c>
      <c r="K2227">
        <v>1.1089929999999999</v>
      </c>
      <c r="L2227">
        <v>282.87180000000001</v>
      </c>
      <c r="M2227">
        <v>-0.99991459999999999</v>
      </c>
      <c r="N2227">
        <v>0</v>
      </c>
      <c r="O2227">
        <v>8.8255550000000006E-3</v>
      </c>
      <c r="P2227">
        <v>-0.99970029999999999</v>
      </c>
      <c r="Q2227">
        <v>2.42156E-2</v>
      </c>
      <c r="R2227">
        <v>3.5965179999999999E-3</v>
      </c>
      <c r="S2227">
        <v>-3.0055540000000001</v>
      </c>
      <c r="T2227">
        <v>-0.19221389999999999</v>
      </c>
      <c r="U2227">
        <v>-9.9487299999999994E-3</v>
      </c>
      <c r="V2227">
        <v>-5.2253250000000003E-3</v>
      </c>
      <c r="W2227">
        <v>3.3851180000000002E-2</v>
      </c>
      <c r="X2227">
        <v>0.99941329999999995</v>
      </c>
      <c r="Y2227">
        <v>-1.209315E-2</v>
      </c>
      <c r="Z2227">
        <v>-9.5016540000000002E-4</v>
      </c>
      <c r="AA2227">
        <v>0.99992639999999999</v>
      </c>
      <c r="AB2227">
        <v>47</v>
      </c>
      <c r="AC2227">
        <v>-17.077500000000001</v>
      </c>
      <c r="AD2227">
        <v>-1.1089895799659999</v>
      </c>
      <c r="AE2227">
        <v>-5.9700000000020702E-2</v>
      </c>
      <c r="AF2227">
        <v>-0.20953946903121801</v>
      </c>
      <c r="AG2227">
        <v>-1.1089895799659999</v>
      </c>
      <c r="AH2227">
        <v>17.004599953876301</v>
      </c>
      <c r="AI2227">
        <v>93.7310941740852</v>
      </c>
      <c r="AJ2227">
        <v>90.705992474815901</v>
      </c>
      <c r="AK2227">
        <v>17.042012330382999</v>
      </c>
      <c r="AL2227">
        <v>88.060099790850899</v>
      </c>
      <c r="AM2227">
        <v>90.299562094167598</v>
      </c>
      <c r="AN2227">
        <v>1.00000007531281</v>
      </c>
    </row>
    <row r="2228" spans="1:40" x14ac:dyDescent="0.25">
      <c r="A2228" t="str">
        <f>"20190312151029170"</f>
        <v>20190312151029170</v>
      </c>
      <c r="B2228" t="str">
        <f>"1552374629162943"</f>
        <v>1552374629162943</v>
      </c>
      <c r="C2228" t="s">
        <v>40</v>
      </c>
      <c r="D2228">
        <v>5.2585059999999997</v>
      </c>
      <c r="E2228">
        <v>0.49701339999999999</v>
      </c>
      <c r="F2228" t="s">
        <v>52</v>
      </c>
      <c r="G2228">
        <v>-370.36239999999998</v>
      </c>
      <c r="H2228" s="1">
        <v>-1.3439169999999901E-6</v>
      </c>
      <c r="I2228">
        <v>282.77940000000001</v>
      </c>
      <c r="J2228">
        <v>-352.50299999999999</v>
      </c>
      <c r="K2228">
        <v>1.1089899999999999</v>
      </c>
      <c r="L2228">
        <v>282.87419999999997</v>
      </c>
      <c r="M2228">
        <v>-0.99991439999999998</v>
      </c>
      <c r="N2228">
        <v>0</v>
      </c>
      <c r="O2228">
        <v>8.8256189999999998E-3</v>
      </c>
      <c r="P2228">
        <v>-0.99970230000000004</v>
      </c>
      <c r="Q2228">
        <v>2.4149750000000001E-2</v>
      </c>
      <c r="R2228">
        <v>3.4743389999999999E-3</v>
      </c>
      <c r="S2228">
        <v>-3.0054020000000001</v>
      </c>
      <c r="T2228">
        <v>-0.18388560000000001</v>
      </c>
      <c r="U2228">
        <v>-1.531982E-2</v>
      </c>
      <c r="V2228">
        <v>-5.3473310000000003E-3</v>
      </c>
      <c r="W2228">
        <v>3.3807339999999998E-2</v>
      </c>
      <c r="X2228">
        <v>0.99941409999999997</v>
      </c>
      <c r="Y2228">
        <v>-1.388062E-2</v>
      </c>
      <c r="Z2228">
        <v>-9.6375439999999996E-4</v>
      </c>
      <c r="AA2228">
        <v>0.99990319999999999</v>
      </c>
      <c r="AB2228">
        <v>47</v>
      </c>
      <c r="AC2228">
        <v>-17.859399999999901</v>
      </c>
      <c r="AD2228">
        <v>-1.1089913439169901</v>
      </c>
      <c r="AE2228">
        <v>-9.4799999999963802E-2</v>
      </c>
      <c r="AF2228">
        <v>-0.251454372579406</v>
      </c>
      <c r="AG2228">
        <v>-1.1089913439169901</v>
      </c>
      <c r="AH2228">
        <v>17.7892764292998</v>
      </c>
      <c r="AI2228">
        <v>93.566872421650004</v>
      </c>
      <c r="AJ2228">
        <v>90.809831412914406</v>
      </c>
      <c r="AK2228">
        <v>17.825584057203098</v>
      </c>
      <c r="AL2228">
        <v>88.062613001399697</v>
      </c>
      <c r="AM2228">
        <v>90.306556185654003</v>
      </c>
      <c r="AN2228">
        <v>1.00000003673275</v>
      </c>
    </row>
    <row r="2229" spans="1:40" x14ac:dyDescent="0.25">
      <c r="A2229" t="str">
        <f>"20190312151029190"</f>
        <v>20190312151029190</v>
      </c>
      <c r="B2229" t="str">
        <f>"1552374629182467"</f>
        <v>1552374629182467</v>
      </c>
      <c r="C2229" t="s">
        <v>40</v>
      </c>
      <c r="D2229">
        <v>5.3352199999999996</v>
      </c>
      <c r="E2229">
        <v>0.49655759999999999</v>
      </c>
      <c r="F2229" t="s">
        <v>52</v>
      </c>
      <c r="G2229">
        <v>-370.59539999999998</v>
      </c>
      <c r="H2229" s="1">
        <v>-1.2199679999999999E-6</v>
      </c>
      <c r="I2229">
        <v>282.74430000000001</v>
      </c>
      <c r="J2229">
        <v>-352.90370000000001</v>
      </c>
      <c r="K2229">
        <v>1.108995</v>
      </c>
      <c r="L2229">
        <v>282.8777</v>
      </c>
      <c r="M2229">
        <v>-0.99991419999999998</v>
      </c>
      <c r="N2229">
        <v>0</v>
      </c>
      <c r="O2229">
        <v>8.8258039999999996E-3</v>
      </c>
      <c r="P2229">
        <v>-0.99970789999999998</v>
      </c>
      <c r="Q2229">
        <v>2.4010750000000001E-2</v>
      </c>
      <c r="R2229">
        <v>2.831334E-3</v>
      </c>
      <c r="S2229">
        <v>-3.0054020000000001</v>
      </c>
      <c r="T2229">
        <v>-0.18421940000000001</v>
      </c>
      <c r="U2229">
        <v>-2.157593E-2</v>
      </c>
      <c r="V2229">
        <v>-5.9907049999999998E-3</v>
      </c>
      <c r="W2229">
        <v>3.3700590000000002E-2</v>
      </c>
      <c r="X2229">
        <v>0.99941400000000002</v>
      </c>
      <c r="Y2229">
        <v>-1.595806E-2</v>
      </c>
      <c r="Z2229">
        <v>-1.0291160000000001E-3</v>
      </c>
      <c r="AA2229">
        <v>0.99987210000000004</v>
      </c>
      <c r="AB2229">
        <v>47</v>
      </c>
      <c r="AC2229">
        <v>-17.691699999999901</v>
      </c>
      <c r="AD2229">
        <v>-1.1089962199679999</v>
      </c>
      <c r="AE2229">
        <v>-0.133399999999994</v>
      </c>
      <c r="AF2229">
        <v>-0.28841238659629298</v>
      </c>
      <c r="AG2229">
        <v>-1.1089962199679999</v>
      </c>
      <c r="AH2229">
        <v>17.620599845705801</v>
      </c>
      <c r="AI2229">
        <v>93.600821100578699</v>
      </c>
      <c r="AJ2229">
        <v>90.937728407700106</v>
      </c>
      <c r="AK2229">
        <v>17.657819606144201</v>
      </c>
      <c r="AL2229">
        <v>88.068732704920194</v>
      </c>
      <c r="AM2229">
        <v>90.343439257331198</v>
      </c>
      <c r="AN2229">
        <v>0.99999998085437203</v>
      </c>
    </row>
    <row r="2230" spans="1:40" x14ac:dyDescent="0.25">
      <c r="A2230" t="str">
        <f>"20190312151029202"</f>
        <v>20190312151029202</v>
      </c>
      <c r="B2230" t="str">
        <f>"1552374629193200"</f>
        <v>1552374629193200</v>
      </c>
      <c r="C2230" t="s">
        <v>40</v>
      </c>
      <c r="D2230">
        <v>5.3498580000000002</v>
      </c>
      <c r="E2230">
        <v>0.49588680000000002</v>
      </c>
      <c r="F2230" t="s">
        <v>52</v>
      </c>
      <c r="G2230">
        <v>-371.83920000000001</v>
      </c>
      <c r="H2230" s="1">
        <v>-5.5806980000000004E-7</v>
      </c>
      <c r="I2230">
        <v>282.70850000000002</v>
      </c>
      <c r="J2230">
        <v>-353.15269999999998</v>
      </c>
      <c r="K2230">
        <v>1.109</v>
      </c>
      <c r="L2230">
        <v>282.87990000000002</v>
      </c>
      <c r="M2230">
        <v>-0.99991399999999997</v>
      </c>
      <c r="N2230">
        <v>0</v>
      </c>
      <c r="O2230">
        <v>8.8259930000000007E-3</v>
      </c>
      <c r="P2230">
        <v>-0.99970550000000002</v>
      </c>
      <c r="Q2230">
        <v>2.4155220000000002E-2</v>
      </c>
      <c r="R2230">
        <v>2.40661E-3</v>
      </c>
      <c r="S2230">
        <v>-3.0051570000000001</v>
      </c>
      <c r="T2230">
        <v>-0.1760031</v>
      </c>
      <c r="U2230">
        <v>-2.6855469999999999E-2</v>
      </c>
      <c r="V2230">
        <v>-6.4157579999999997E-3</v>
      </c>
      <c r="W2230">
        <v>3.3865949999999999E-2</v>
      </c>
      <c r="X2230">
        <v>0.99940580000000001</v>
      </c>
      <c r="Y2230">
        <v>-1.7716329999999999E-2</v>
      </c>
      <c r="Z2230">
        <v>-1.0348250000000001E-3</v>
      </c>
      <c r="AA2230">
        <v>0.99984249999999997</v>
      </c>
      <c r="AB2230">
        <v>47</v>
      </c>
      <c r="AC2230">
        <v>-18.686499999999999</v>
      </c>
      <c r="AD2230">
        <v>-1.1090005580697999</v>
      </c>
      <c r="AE2230">
        <v>-0.17140000000000499</v>
      </c>
      <c r="AF2230">
        <v>-0.335147661112772</v>
      </c>
      <c r="AG2230">
        <v>-1.1090005580697999</v>
      </c>
      <c r="AH2230">
        <v>18.618686994966801</v>
      </c>
      <c r="AI2230">
        <v>93.408178612592593</v>
      </c>
      <c r="AJ2230">
        <v>91.031247417658307</v>
      </c>
      <c r="AK2230">
        <v>18.654696770762399</v>
      </c>
      <c r="AL2230">
        <v>88.0592529176173</v>
      </c>
      <c r="AM2230">
        <v>90.367809358569602</v>
      </c>
      <c r="AN2230">
        <v>1.0000000087968699</v>
      </c>
    </row>
    <row r="2231" spans="1:40" x14ac:dyDescent="0.25">
      <c r="A2231" t="str">
        <f>"20190312151029224"</f>
        <v>20190312151029224</v>
      </c>
      <c r="B2231" t="str">
        <f>"1552374629212719"</f>
        <v>1552374629212719</v>
      </c>
      <c r="C2231" t="s">
        <v>40</v>
      </c>
      <c r="D2231">
        <v>5.1340890000000003</v>
      </c>
      <c r="E2231">
        <v>0.49533899999999997</v>
      </c>
      <c r="F2231" t="s">
        <v>52</v>
      </c>
      <c r="G2231">
        <v>-372.06119999999999</v>
      </c>
      <c r="H2231" s="1">
        <v>-4.399211E-7</v>
      </c>
      <c r="I2231">
        <v>282.66890000000001</v>
      </c>
      <c r="J2231">
        <v>-353.61950000000002</v>
      </c>
      <c r="K2231">
        <v>1.109008</v>
      </c>
      <c r="L2231">
        <v>282.88400000000001</v>
      </c>
      <c r="M2231">
        <v>-0.99991359999999996</v>
      </c>
      <c r="N2231">
        <v>0</v>
      </c>
      <c r="O2231">
        <v>8.8266159999999903E-3</v>
      </c>
      <c r="P2231">
        <v>-0.99970970000000003</v>
      </c>
      <c r="Q2231">
        <v>2.399389E-2</v>
      </c>
      <c r="R2231">
        <v>2.2520130000000002E-3</v>
      </c>
      <c r="S2231">
        <v>-3.0052189999999999</v>
      </c>
      <c r="T2231">
        <v>-0.1762592</v>
      </c>
      <c r="U2231">
        <v>-3.3538819999999997E-2</v>
      </c>
      <c r="V2231">
        <v>-6.571141E-3</v>
      </c>
      <c r="W2231">
        <v>3.3744910000000003E-2</v>
      </c>
      <c r="X2231">
        <v>0.99940890000000004</v>
      </c>
      <c r="Y2231">
        <v>-1.993613E-2</v>
      </c>
      <c r="Z2231">
        <v>-1.1013729999999999E-3</v>
      </c>
      <c r="AA2231">
        <v>0.99980060000000004</v>
      </c>
      <c r="AB2231">
        <v>47</v>
      </c>
      <c r="AC2231">
        <v>-18.441699999999901</v>
      </c>
      <c r="AD2231">
        <v>-1.1090084399211</v>
      </c>
      <c r="AE2231">
        <v>-0.21510000000000601</v>
      </c>
      <c r="AF2231">
        <v>-0.37651572810038098</v>
      </c>
      <c r="AG2231">
        <v>-1.1090084399211</v>
      </c>
      <c r="AH2231">
        <v>18.372650344547498</v>
      </c>
      <c r="AI2231">
        <v>93.453568614116506</v>
      </c>
      <c r="AJ2231">
        <v>91.174013683134305</v>
      </c>
      <c r="AK2231">
        <v>18.409941458253599</v>
      </c>
      <c r="AL2231">
        <v>88.066191994489699</v>
      </c>
      <c r="AM2231">
        <v>90.376715897323606</v>
      </c>
      <c r="AN2231">
        <v>1.0000000241220699</v>
      </c>
    </row>
    <row r="2232" spans="1:40" x14ac:dyDescent="0.25">
      <c r="A2232" t="str">
        <f>"20190312151029246"</f>
        <v>20190312151029246</v>
      </c>
      <c r="B2232" t="str">
        <f>"1552374629242975"</f>
        <v>1552374629242975</v>
      </c>
      <c r="C2232" t="s">
        <v>40</v>
      </c>
      <c r="D2232">
        <v>5.1421089999999996</v>
      </c>
      <c r="E2232">
        <v>0.49460409999999999</v>
      </c>
      <c r="F2232" t="s">
        <v>52</v>
      </c>
      <c r="G2232">
        <v>-373.0489</v>
      </c>
      <c r="H2232" s="1">
        <v>8.5691339999999999E-8</v>
      </c>
      <c r="I2232">
        <v>282.63760000000002</v>
      </c>
      <c r="J2232">
        <v>-354.077</v>
      </c>
      <c r="K2232">
        <v>1.1090139999999999</v>
      </c>
      <c r="L2232">
        <v>282.88810000000001</v>
      </c>
      <c r="M2232">
        <v>-0.9999133</v>
      </c>
      <c r="N2232">
        <v>0</v>
      </c>
      <c r="O2232">
        <v>8.8267680000000005E-3</v>
      </c>
      <c r="P2232">
        <v>-0.99970899999999996</v>
      </c>
      <c r="Q2232">
        <v>2.402263E-2</v>
      </c>
      <c r="R2232">
        <v>2.3207599999999998E-3</v>
      </c>
      <c r="S2232">
        <v>-3.0050659999999998</v>
      </c>
      <c r="T2232">
        <v>-0.17152539999999999</v>
      </c>
      <c r="U2232">
        <v>-3.8116459999999998E-2</v>
      </c>
      <c r="V2232">
        <v>-6.5025029999999998E-3</v>
      </c>
      <c r="W2232">
        <v>3.3813540000000003E-2</v>
      </c>
      <c r="X2232">
        <v>0.99940700000000005</v>
      </c>
      <c r="Y2232">
        <v>-2.1459740000000001E-2</v>
      </c>
      <c r="Z2232">
        <v>-1.1153420000000001E-3</v>
      </c>
      <c r="AA2232">
        <v>0.99976909999999997</v>
      </c>
      <c r="AB2232">
        <v>47</v>
      </c>
      <c r="AC2232">
        <v>-18.971900000000002</v>
      </c>
      <c r="AD2232">
        <v>-1.1090139143086599</v>
      </c>
      <c r="AE2232">
        <v>-0.25049999999998801</v>
      </c>
      <c r="AF2232">
        <v>-0.41653571687391699</v>
      </c>
      <c r="AG2232">
        <v>-1.1090139143086599</v>
      </c>
      <c r="AH2232">
        <v>18.9043635913978</v>
      </c>
      <c r="AI2232">
        <v>93.356564063665601</v>
      </c>
      <c r="AJ2232">
        <v>91.262241778698495</v>
      </c>
      <c r="AK2232">
        <v>18.941446002386598</v>
      </c>
      <c r="AL2232">
        <v>88.062257483156799</v>
      </c>
      <c r="AM2232">
        <v>90.372781780654705</v>
      </c>
      <c r="AN2232">
        <v>0.99999999484079805</v>
      </c>
    </row>
    <row r="2233" spans="1:40" x14ac:dyDescent="0.25">
      <c r="A2233" t="str">
        <f>"20190312151029258"</f>
        <v>20190312151029258</v>
      </c>
      <c r="B2233" t="str">
        <f>"1552374629252736"</f>
        <v>1552374629252736</v>
      </c>
      <c r="C2233" t="s">
        <v>40</v>
      </c>
      <c r="D2233">
        <v>5.1249859999999998</v>
      </c>
      <c r="E2233">
        <v>0.49443239999999999</v>
      </c>
      <c r="F2233" t="s">
        <v>52</v>
      </c>
      <c r="G2233">
        <v>-374.26490000000001</v>
      </c>
      <c r="H2233" s="1">
        <v>7.3279190000000005E-7</v>
      </c>
      <c r="I2233">
        <v>282.59469999999999</v>
      </c>
      <c r="J2233">
        <v>-354.33150000000001</v>
      </c>
      <c r="K2233">
        <v>1.109016</v>
      </c>
      <c r="L2233">
        <v>282.89030000000002</v>
      </c>
      <c r="M2233">
        <v>-0.99991289999999999</v>
      </c>
      <c r="N2233">
        <v>0</v>
      </c>
      <c r="O2233">
        <v>8.8270139999999993E-3</v>
      </c>
      <c r="P2233">
        <v>-0.99970360000000003</v>
      </c>
      <c r="Q2233">
        <v>2.4230450000000001E-2</v>
      </c>
      <c r="R2233">
        <v>2.3807020000000002E-3</v>
      </c>
      <c r="S2233">
        <v>-3.0049739999999998</v>
      </c>
      <c r="T2233">
        <v>-0.16507659999999999</v>
      </c>
      <c r="U2233">
        <v>-4.3670649999999998E-2</v>
      </c>
      <c r="V2233">
        <v>-6.4428829999999999E-3</v>
      </c>
      <c r="W2233">
        <v>3.4043709999999998E-2</v>
      </c>
      <c r="X2233">
        <v>0.99939960000000005</v>
      </c>
      <c r="Y2233">
        <v>-2.330875E-2</v>
      </c>
      <c r="Z2233">
        <v>-1.124253E-3</v>
      </c>
      <c r="AA2233">
        <v>0.9997277</v>
      </c>
      <c r="AB2233">
        <v>47</v>
      </c>
      <c r="AC2233">
        <v>-19.933399999999999</v>
      </c>
      <c r="AD2233">
        <v>-1.1090152672081</v>
      </c>
      <c r="AE2233">
        <v>-0.295600000000035</v>
      </c>
      <c r="AF2233">
        <v>-0.47009455843223003</v>
      </c>
      <c r="AG2233">
        <v>-1.1090152672081</v>
      </c>
      <c r="AH2233">
        <v>19.868527071025898</v>
      </c>
      <c r="AI2233">
        <v>93.193910823993505</v>
      </c>
      <c r="AJ2233">
        <v>91.355380281798801</v>
      </c>
      <c r="AK2233">
        <v>19.9050061976594</v>
      </c>
      <c r="AL2233">
        <v>88.049062170752507</v>
      </c>
      <c r="AM2233">
        <v>90.369366657629499</v>
      </c>
      <c r="AN2233">
        <v>1.0000000227060299</v>
      </c>
    </row>
    <row r="2234" spans="1:40" x14ac:dyDescent="0.25">
      <c r="A2234" t="str">
        <f>"20190312151029270"</f>
        <v>20190312151029270</v>
      </c>
      <c r="B2234" t="str">
        <f>"1552374629262496"</f>
        <v>1552374629262496</v>
      </c>
      <c r="C2234" t="s">
        <v>40</v>
      </c>
      <c r="D2234">
        <v>5.1291409999999997</v>
      </c>
      <c r="E2234">
        <v>0.49430220000000002</v>
      </c>
      <c r="F2234" t="s">
        <v>52</v>
      </c>
      <c r="G2234">
        <v>-374.81689999999998</v>
      </c>
      <c r="H2234" s="1">
        <v>1.026506E-6</v>
      </c>
      <c r="I2234">
        <v>282.58569999999997</v>
      </c>
      <c r="J2234">
        <v>-354.59249999999997</v>
      </c>
      <c r="K2234">
        <v>1.1090180000000001</v>
      </c>
      <c r="L2234">
        <v>282.89260000000002</v>
      </c>
      <c r="M2234">
        <v>-0.99991269999999999</v>
      </c>
      <c r="N2234">
        <v>0</v>
      </c>
      <c r="O2234">
        <v>8.826904E-3</v>
      </c>
      <c r="P2234">
        <v>-0.99970170000000003</v>
      </c>
      <c r="Q2234">
        <v>2.428698E-2</v>
      </c>
      <c r="R2234">
        <v>2.6319939999999999E-3</v>
      </c>
      <c r="S2234">
        <v>-3.004883</v>
      </c>
      <c r="T2234">
        <v>-0.16267529999999999</v>
      </c>
      <c r="U2234">
        <v>-4.4677729999999999E-2</v>
      </c>
      <c r="V2234">
        <v>-6.1912460000000001E-3</v>
      </c>
      <c r="W2234">
        <v>3.4121390000000001E-2</v>
      </c>
      <c r="X2234">
        <v>0.99939849999999997</v>
      </c>
      <c r="Y2234">
        <v>-2.3644970000000001E-2</v>
      </c>
      <c r="Z2234">
        <v>-1.1170419999999999E-3</v>
      </c>
      <c r="AA2234">
        <v>0.99971980000000005</v>
      </c>
      <c r="AB2234">
        <v>47</v>
      </c>
      <c r="AC2234">
        <v>-20.224399999999999</v>
      </c>
      <c r="AD2234">
        <v>-1.1090169734940001</v>
      </c>
      <c r="AE2234">
        <v>-0.30690000000004097</v>
      </c>
      <c r="AF2234">
        <v>-0.48396060340823099</v>
      </c>
      <c r="AG2234">
        <v>-1.1090169734940001</v>
      </c>
      <c r="AH2234">
        <v>20.160296025679202</v>
      </c>
      <c r="AI2234">
        <v>93.147759723053497</v>
      </c>
      <c r="AJ2234">
        <v>91.375157159630604</v>
      </c>
      <c r="AK2234">
        <v>20.196575758186501</v>
      </c>
      <c r="AL2234">
        <v>88.044608766401893</v>
      </c>
      <c r="AM2234">
        <v>90.354941225044598</v>
      </c>
      <c r="AN2234">
        <v>0.99999998129240697</v>
      </c>
    </row>
    <row r="2235" spans="1:40" x14ac:dyDescent="0.25">
      <c r="A2235" t="str">
        <f>"20190312151029282"</f>
        <v>20190312151029282</v>
      </c>
      <c r="B2235" t="str">
        <f>"1552374629273232"</f>
        <v>1552374629273232</v>
      </c>
      <c r="C2235" t="s">
        <v>40</v>
      </c>
      <c r="D2235">
        <v>5.153759</v>
      </c>
      <c r="E2235">
        <v>0.49414209999999897</v>
      </c>
      <c r="F2235" t="s">
        <v>52</v>
      </c>
      <c r="G2235">
        <v>-375.29480000000001</v>
      </c>
      <c r="H2235" s="1">
        <v>1.28082E-6</v>
      </c>
      <c r="I2235">
        <v>282.5829</v>
      </c>
      <c r="J2235">
        <v>-354.83440000000002</v>
      </c>
      <c r="K2235">
        <v>1.1090230000000001</v>
      </c>
      <c r="L2235">
        <v>282.89479999999998</v>
      </c>
      <c r="M2235">
        <v>-0.99991249999999998</v>
      </c>
      <c r="N2235">
        <v>0</v>
      </c>
      <c r="O2235">
        <v>8.8268040000000006E-3</v>
      </c>
      <c r="P2235">
        <v>-0.99970950000000003</v>
      </c>
      <c r="Q2235">
        <v>2.3940380000000001E-2</v>
      </c>
      <c r="R2235">
        <v>2.875257E-3</v>
      </c>
      <c r="S2235">
        <v>-3.0049130000000002</v>
      </c>
      <c r="T2235">
        <v>-0.160973</v>
      </c>
      <c r="U2235">
        <v>-4.4952390000000002E-2</v>
      </c>
      <c r="V2235">
        <v>-5.9477970000000003E-3</v>
      </c>
      <c r="W2235">
        <v>3.379447E-2</v>
      </c>
      <c r="X2235">
        <v>0.9994111</v>
      </c>
      <c r="Y2235">
        <v>-2.3736940000000002E-2</v>
      </c>
      <c r="Z2235">
        <v>-1.1078139999999999E-3</v>
      </c>
      <c r="AA2235">
        <v>0.99971770000000004</v>
      </c>
      <c r="AB2235">
        <v>47</v>
      </c>
      <c r="AC2235">
        <v>-20.4604</v>
      </c>
      <c r="AD2235">
        <v>-1.10902171917999</v>
      </c>
      <c r="AE2235">
        <v>-0.31189999999998003</v>
      </c>
      <c r="AF2235">
        <v>-0.49105417342764901</v>
      </c>
      <c r="AG2235">
        <v>-1.10902171917999</v>
      </c>
      <c r="AH2235">
        <v>20.396937343858099</v>
      </c>
      <c r="AI2235">
        <v>93.111320313761993</v>
      </c>
      <c r="AJ2235">
        <v>91.379123606281397</v>
      </c>
      <c r="AK2235">
        <v>20.4329664117604</v>
      </c>
      <c r="AL2235">
        <v>88.063350738118999</v>
      </c>
      <c r="AM2235">
        <v>90.340980445679406</v>
      </c>
      <c r="AN2235">
        <v>0.99999999464747202</v>
      </c>
    </row>
    <row r="2236" spans="1:40" x14ac:dyDescent="0.25">
      <c r="A2236" t="str">
        <f>"20190312151029303"</f>
        <v>20190312151029303</v>
      </c>
      <c r="B2236" t="str">
        <f>"1552374629292752"</f>
        <v>1552374629292752</v>
      </c>
      <c r="C2236" t="s">
        <v>40</v>
      </c>
      <c r="D2236">
        <v>5.2282279999999997</v>
      </c>
      <c r="E2236">
        <v>0.4939462</v>
      </c>
      <c r="F2236" t="s">
        <v>52</v>
      </c>
      <c r="G2236">
        <v>-375.64170000000001</v>
      </c>
      <c r="H2236" s="1">
        <v>1.465423E-6</v>
      </c>
      <c r="I2236">
        <v>282.57990000000001</v>
      </c>
      <c r="J2236">
        <v>-355.27409999999998</v>
      </c>
      <c r="K2236">
        <v>1.109022</v>
      </c>
      <c r="L2236">
        <v>282.89870000000002</v>
      </c>
      <c r="M2236">
        <v>-0.99991220000000003</v>
      </c>
      <c r="N2236">
        <v>0</v>
      </c>
      <c r="O2236">
        <v>8.8266339999999999E-3</v>
      </c>
      <c r="P2236">
        <v>-0.99970979999999998</v>
      </c>
      <c r="Q2236">
        <v>2.386278E-2</v>
      </c>
      <c r="R2236">
        <v>3.350801E-3</v>
      </c>
      <c r="S2236">
        <v>-3.0048520000000001</v>
      </c>
      <c r="T2236">
        <v>-0.1601582</v>
      </c>
      <c r="U2236">
        <v>-4.5471190000000002E-2</v>
      </c>
      <c r="V2236">
        <v>-5.4722E-3</v>
      </c>
      <c r="W2236">
        <v>3.375015E-2</v>
      </c>
      <c r="X2236">
        <v>0.99941530000000001</v>
      </c>
      <c r="Y2236">
        <v>-2.390987E-2</v>
      </c>
      <c r="Z2236">
        <v>-1.1068320000000001E-3</v>
      </c>
      <c r="AA2236">
        <v>0.99971350000000003</v>
      </c>
      <c r="AB2236">
        <v>47</v>
      </c>
      <c r="AC2236">
        <v>-20.367599999999999</v>
      </c>
      <c r="AD2236">
        <v>-1.1090205345769999</v>
      </c>
      <c r="AE2236">
        <v>-0.31880000000001002</v>
      </c>
      <c r="AF2236">
        <v>-0.49710025603347402</v>
      </c>
      <c r="AG2236">
        <v>-1.1090205345769999</v>
      </c>
      <c r="AH2236">
        <v>20.3038098705686</v>
      </c>
      <c r="AI2236">
        <v>93.125528545498696</v>
      </c>
      <c r="AJ2236">
        <v>91.402498251720004</v>
      </c>
      <c r="AK2236">
        <v>20.340150699315402</v>
      </c>
      <c r="AL2236">
        <v>88.065891507620705</v>
      </c>
      <c r="AM2236">
        <v>90.313714260184099</v>
      </c>
      <c r="AN2236">
        <v>0.99999997973597599</v>
      </c>
    </row>
    <row r="2237" spans="1:40" x14ac:dyDescent="0.25">
      <c r="A2237" t="str">
        <f>"20190312151029335"</f>
        <v>20190312151029335</v>
      </c>
      <c r="B2237" t="str">
        <f>"1552374629332767"</f>
        <v>1552374629332767</v>
      </c>
      <c r="C2237" t="s">
        <v>40</v>
      </c>
      <c r="D2237">
        <v>5.1163089999999896</v>
      </c>
      <c r="E2237">
        <v>0.4935504</v>
      </c>
      <c r="F2237" t="s">
        <v>52</v>
      </c>
      <c r="G2237">
        <v>-376.39069999999998</v>
      </c>
      <c r="H2237" s="1">
        <v>1.8640080000000001E-6</v>
      </c>
      <c r="I2237">
        <v>282.57819999999998</v>
      </c>
      <c r="J2237">
        <v>-355.97489999999999</v>
      </c>
      <c r="K2237">
        <v>1.109024</v>
      </c>
      <c r="L2237">
        <v>282.90480000000002</v>
      </c>
      <c r="M2237">
        <v>-0.99991180000000002</v>
      </c>
      <c r="N2237">
        <v>0</v>
      </c>
      <c r="O2237">
        <v>8.8256700000000007E-3</v>
      </c>
      <c r="P2237">
        <v>-0.99970689999999995</v>
      </c>
      <c r="Q2237">
        <v>2.39516E-2</v>
      </c>
      <c r="R2237">
        <v>3.576559E-3</v>
      </c>
      <c r="S2237">
        <v>-3.004791</v>
      </c>
      <c r="T2237">
        <v>-0.15780849999999999</v>
      </c>
      <c r="U2237">
        <v>-4.5593259999999997E-2</v>
      </c>
      <c r="V2237">
        <v>-5.2453339999999999E-3</v>
      </c>
      <c r="W2237">
        <v>3.3888359999999999E-2</v>
      </c>
      <c r="X2237">
        <v>0.99941190000000002</v>
      </c>
      <c r="Y2237">
        <v>-2.3951110000000001E-2</v>
      </c>
      <c r="Z2237">
        <v>-1.0916700000000001E-3</v>
      </c>
      <c r="AA2237">
        <v>0.9997125</v>
      </c>
      <c r="AB2237">
        <v>47</v>
      </c>
      <c r="AC2237">
        <v>-20.415799999999901</v>
      </c>
      <c r="AD2237">
        <v>-1.1090221359920001</v>
      </c>
      <c r="AE2237">
        <v>-0.32660000000004102</v>
      </c>
      <c r="AF2237">
        <v>-0.50528861578816997</v>
      </c>
      <c r="AG2237">
        <v>-1.1090221359920001</v>
      </c>
      <c r="AH2237">
        <v>20.352081539817899</v>
      </c>
      <c r="AI2237">
        <v>93.118108065791006</v>
      </c>
      <c r="AJ2237">
        <v>91.422211228589205</v>
      </c>
      <c r="AK2237">
        <v>20.3885377034931</v>
      </c>
      <c r="AL2237">
        <v>88.057968242722097</v>
      </c>
      <c r="AM2237">
        <v>90.300709588182002</v>
      </c>
      <c r="AN2237">
        <v>1.00000004016693</v>
      </c>
    </row>
    <row r="2238" spans="1:40" x14ac:dyDescent="0.25">
      <c r="A2238" t="str">
        <f>"20190312151029359"</f>
        <v>20190312151029359</v>
      </c>
      <c r="B2238" t="str">
        <f>"1552374629353263"</f>
        <v>1552374629353263</v>
      </c>
      <c r="C2238" t="s">
        <v>40</v>
      </c>
      <c r="D2238">
        <v>5.1065139999999998</v>
      </c>
      <c r="E2238">
        <v>0.49337379999999997</v>
      </c>
      <c r="F2238" t="s">
        <v>52</v>
      </c>
      <c r="G2238">
        <v>-378.0206</v>
      </c>
      <c r="H2238" s="1">
        <v>2.7313750000000002E-6</v>
      </c>
      <c r="I2238">
        <v>282.55220000000003</v>
      </c>
      <c r="J2238">
        <v>-356.4409</v>
      </c>
      <c r="K2238">
        <v>1.1090420000000001</v>
      </c>
      <c r="L2238">
        <v>282.90890000000002</v>
      </c>
      <c r="M2238">
        <v>-0.99991079999999999</v>
      </c>
      <c r="N2238">
        <v>0</v>
      </c>
      <c r="O2238">
        <v>8.8255569999999995E-3</v>
      </c>
      <c r="P2238">
        <v>-0.9996969</v>
      </c>
      <c r="Q2238">
        <v>2.4306700000000001E-2</v>
      </c>
      <c r="R2238">
        <v>3.9185299999999999E-3</v>
      </c>
      <c r="S2238">
        <v>-3.0046390000000001</v>
      </c>
      <c r="T2238">
        <v>-0.15115029999999999</v>
      </c>
      <c r="U2238">
        <v>-4.8065190000000001E-2</v>
      </c>
      <c r="V2238">
        <v>-4.9035670000000002E-3</v>
      </c>
      <c r="W2238">
        <v>3.4336319999999997E-2</v>
      </c>
      <c r="X2238">
        <v>0.99939829999999996</v>
      </c>
      <c r="Y2238">
        <v>-2.4776719999999999E-2</v>
      </c>
      <c r="Z2238">
        <v>-1.066464E-3</v>
      </c>
      <c r="AA2238">
        <v>0.99969240000000004</v>
      </c>
      <c r="AB2238">
        <v>47</v>
      </c>
      <c r="AC2238">
        <v>-21.579699999999999</v>
      </c>
      <c r="AD2238">
        <v>-1.1090392686249999</v>
      </c>
      <c r="AE2238">
        <v>-0.35669999999998903</v>
      </c>
      <c r="AF2238">
        <v>-0.54570761501568799</v>
      </c>
      <c r="AG2238">
        <v>-1.1090392686249999</v>
      </c>
      <c r="AH2238">
        <v>21.518890839059299</v>
      </c>
      <c r="AI2238">
        <v>92.949349506102607</v>
      </c>
      <c r="AJ2238">
        <v>91.452679110314804</v>
      </c>
      <c r="AK2238">
        <v>21.5543598337735</v>
      </c>
      <c r="AL2238">
        <v>88.032286990808302</v>
      </c>
      <c r="AM2238">
        <v>90.281120589397503</v>
      </c>
      <c r="AN2238">
        <v>0.99999999494167702</v>
      </c>
    </row>
    <row r="2239" spans="1:40" x14ac:dyDescent="0.25">
      <c r="A2239" t="str">
        <f>"20190312151029380"</f>
        <v>20190312151029380</v>
      </c>
      <c r="B2239" t="str">
        <f>"1552374629372788"</f>
        <v>1552374629372788</v>
      </c>
      <c r="C2239" t="s">
        <v>40</v>
      </c>
      <c r="D2239">
        <v>5.0833329999999997</v>
      </c>
      <c r="E2239">
        <v>0.49320580000000003</v>
      </c>
      <c r="F2239" t="s">
        <v>52</v>
      </c>
      <c r="G2239">
        <v>-378.82569999999998</v>
      </c>
      <c r="H2239" s="1">
        <v>3.1597929999999998E-6</v>
      </c>
      <c r="I2239">
        <v>282.54989999999998</v>
      </c>
      <c r="J2239">
        <v>-356.90899999999999</v>
      </c>
      <c r="K2239">
        <v>1.1091089999999999</v>
      </c>
      <c r="L2239">
        <v>282.91309999999999</v>
      </c>
      <c r="M2239">
        <v>-0.99990809999999997</v>
      </c>
      <c r="N2239">
        <v>0</v>
      </c>
      <c r="O2239">
        <v>8.8250469999999904E-3</v>
      </c>
      <c r="P2239">
        <v>-0.99970479999999995</v>
      </c>
      <c r="Q2239">
        <v>2.3965529999999999E-2</v>
      </c>
      <c r="R2239">
        <v>4.0126650000000003E-3</v>
      </c>
      <c r="S2239">
        <v>-3.0047609999999998</v>
      </c>
      <c r="T2239">
        <v>-0.148869</v>
      </c>
      <c r="U2239">
        <v>-4.8187260000000003E-2</v>
      </c>
      <c r="V2239">
        <v>-4.809224E-3</v>
      </c>
      <c r="W2239">
        <v>3.4258650000000002E-2</v>
      </c>
      <c r="X2239">
        <v>0.99940150000000005</v>
      </c>
      <c r="Y2239">
        <v>-2.4817410000000002E-2</v>
      </c>
      <c r="Z2239">
        <v>-1.0513269999999999E-3</v>
      </c>
      <c r="AA2239">
        <v>0.99969140000000001</v>
      </c>
      <c r="AB2239">
        <v>47</v>
      </c>
      <c r="AC2239">
        <v>-21.916699999999899</v>
      </c>
      <c r="AD2239">
        <v>-1.109105840207</v>
      </c>
      <c r="AE2239">
        <v>-0.36320000000000602</v>
      </c>
      <c r="AF2239">
        <v>-0.55519059850669195</v>
      </c>
      <c r="AG2239">
        <v>-1.109105840207</v>
      </c>
      <c r="AH2239">
        <v>21.856683209771798</v>
      </c>
      <c r="AI2239">
        <v>92.904017220154103</v>
      </c>
      <c r="AJ2239">
        <v>91.455080756694002</v>
      </c>
      <c r="AK2239">
        <v>21.891846731095399</v>
      </c>
      <c r="AL2239">
        <v>88.036739923059997</v>
      </c>
      <c r="AM2239">
        <v>90.275711124173597</v>
      </c>
      <c r="AN2239">
        <v>1.00000007096877</v>
      </c>
    </row>
    <row r="2240" spans="1:40" x14ac:dyDescent="0.25">
      <c r="A2240" t="str">
        <f>"20190312151029402"</f>
        <v>20190312151029402</v>
      </c>
      <c r="B2240" t="str">
        <f>"1552374629393283"</f>
        <v>1552374629393283</v>
      </c>
      <c r="C2240" t="s">
        <v>40</v>
      </c>
      <c r="D2240">
        <v>5.2439999999999998</v>
      </c>
      <c r="E2240">
        <v>0.49293680000000001</v>
      </c>
      <c r="F2240" t="s">
        <v>52</v>
      </c>
      <c r="G2240">
        <v>-379.3254</v>
      </c>
      <c r="H2240" s="1">
        <v>3.4257359999999998E-6</v>
      </c>
      <c r="I2240">
        <v>282.54349999999999</v>
      </c>
      <c r="J2240">
        <v>-357.38010000000003</v>
      </c>
      <c r="K2240">
        <v>1.1091569999999999</v>
      </c>
      <c r="L2240">
        <v>282.91719999999998</v>
      </c>
      <c r="M2240">
        <v>-0.99990520000000005</v>
      </c>
      <c r="N2240">
        <v>0</v>
      </c>
      <c r="O2240">
        <v>8.8245430000000007E-3</v>
      </c>
      <c r="P2240">
        <v>-0.99970899999999996</v>
      </c>
      <c r="Q2240">
        <v>2.386363E-2</v>
      </c>
      <c r="R2240">
        <v>3.61641E-3</v>
      </c>
      <c r="S2240">
        <v>-3.0046390000000001</v>
      </c>
      <c r="T2240">
        <v>-0.1486614</v>
      </c>
      <c r="U2240">
        <v>-4.9530030000000003E-2</v>
      </c>
      <c r="V2240">
        <v>-5.2052039999999997E-3</v>
      </c>
      <c r="W2240">
        <v>3.444593E-2</v>
      </c>
      <c r="X2240">
        <v>0.99939299999999998</v>
      </c>
      <c r="Y2240">
        <v>-2.5263790000000001E-2</v>
      </c>
      <c r="Z2240">
        <v>-1.060914E-3</v>
      </c>
      <c r="AA2240">
        <v>0.99968029999999997</v>
      </c>
      <c r="AB2240">
        <v>47</v>
      </c>
      <c r="AC2240">
        <v>-21.9452999999999</v>
      </c>
      <c r="AD2240">
        <v>-1.109153574264</v>
      </c>
      <c r="AE2240">
        <v>-0.37369999999998499</v>
      </c>
      <c r="AF2240">
        <v>-0.56590833436974197</v>
      </c>
      <c r="AG2240">
        <v>-1.109153574264</v>
      </c>
      <c r="AH2240">
        <v>21.8852585361543</v>
      </c>
      <c r="AI2240">
        <v>92.900322706675595</v>
      </c>
      <c r="AJ2240">
        <v>91.481222410837503</v>
      </c>
      <c r="AK2240">
        <v>21.9206527067176</v>
      </c>
      <c r="AL2240">
        <v>88.026003078010504</v>
      </c>
      <c r="AM2240">
        <v>90.298414661689705</v>
      </c>
      <c r="AN2240">
        <v>0.99999999234562298</v>
      </c>
    </row>
    <row r="2241" spans="1:40" x14ac:dyDescent="0.25">
      <c r="A2241" t="str">
        <f>"20190312151029424"</f>
        <v>20190312151029424</v>
      </c>
      <c r="B2241" t="str">
        <f>"1552374629412799"</f>
        <v>1552374629412799</v>
      </c>
      <c r="C2241" t="s">
        <v>40</v>
      </c>
      <c r="D2241">
        <v>5.0613060000000001</v>
      </c>
      <c r="E2241">
        <v>0.4927899</v>
      </c>
      <c r="F2241" t="s">
        <v>52</v>
      </c>
      <c r="G2241">
        <v>-379.30079999999998</v>
      </c>
      <c r="H2241" s="1">
        <v>3.4126499999999998E-6</v>
      </c>
      <c r="I2241">
        <v>282.53140000000002</v>
      </c>
      <c r="J2241">
        <v>-357.8485</v>
      </c>
      <c r="K2241">
        <v>1.109205</v>
      </c>
      <c r="L2241">
        <v>282.92140000000001</v>
      </c>
      <c r="M2241">
        <v>-0.99990199999999996</v>
      </c>
      <c r="N2241">
        <v>0</v>
      </c>
      <c r="O2241">
        <v>8.8243729999999999E-3</v>
      </c>
      <c r="P2241">
        <v>-0.99972280000000002</v>
      </c>
      <c r="Q2241">
        <v>2.329786E-2</v>
      </c>
      <c r="R2241">
        <v>3.4200290000000002E-3</v>
      </c>
      <c r="S2241">
        <v>-3.0047299999999999</v>
      </c>
      <c r="T2241">
        <v>-0.15203429999999901</v>
      </c>
      <c r="U2241">
        <v>-5.2886959999999997E-2</v>
      </c>
      <c r="V2241">
        <v>-5.4011170000000004E-3</v>
      </c>
      <c r="W2241">
        <v>3.4166670000000003E-2</v>
      </c>
      <c r="X2241">
        <v>0.9994016</v>
      </c>
      <c r="Y2241">
        <v>-2.637633E-2</v>
      </c>
      <c r="Z2241">
        <v>-1.1130300000000001E-3</v>
      </c>
      <c r="AA2241">
        <v>0.99965150000000003</v>
      </c>
      <c r="AB2241">
        <v>47</v>
      </c>
      <c r="AC2241">
        <v>-21.452299999999902</v>
      </c>
      <c r="AD2241">
        <v>-1.1092015873500001</v>
      </c>
      <c r="AE2241">
        <v>-0.38999999999998602</v>
      </c>
      <c r="AF2241">
        <v>-0.57775499861881796</v>
      </c>
      <c r="AG2241">
        <v>-1.1092015873500001</v>
      </c>
      <c r="AH2241">
        <v>21.390854296253501</v>
      </c>
      <c r="AI2241">
        <v>92.967277193777704</v>
      </c>
      <c r="AJ2241">
        <v>91.547150779507305</v>
      </c>
      <c r="AK2241">
        <v>21.4273838002532</v>
      </c>
      <c r="AL2241">
        <v>88.042013026108506</v>
      </c>
      <c r="AM2241">
        <v>90.309643486659397</v>
      </c>
      <c r="AN2241">
        <v>1.0000000457431399</v>
      </c>
    </row>
    <row r="2242" spans="1:40" x14ac:dyDescent="0.25">
      <c r="A2242" t="str">
        <f>"20190312151029446"</f>
        <v>20190312151029446</v>
      </c>
      <c r="B2242" t="str">
        <f>"1552374629443056"</f>
        <v>1552374629443056</v>
      </c>
      <c r="C2242" t="s">
        <v>40</v>
      </c>
      <c r="D2242">
        <v>5.2907830000000002</v>
      </c>
      <c r="E2242">
        <v>0.49273980000000001</v>
      </c>
      <c r="F2242" t="s">
        <v>52</v>
      </c>
      <c r="G2242">
        <v>-379.30779999999999</v>
      </c>
      <c r="H2242" s="1">
        <v>3.416375E-6</v>
      </c>
      <c r="I2242">
        <v>282.53210000000001</v>
      </c>
      <c r="J2242">
        <v>-358.31319999999999</v>
      </c>
      <c r="K2242">
        <v>1.109248</v>
      </c>
      <c r="L2242">
        <v>282.92540000000002</v>
      </c>
      <c r="M2242">
        <v>-0.99989899999999998</v>
      </c>
      <c r="N2242">
        <v>0</v>
      </c>
      <c r="O2242">
        <v>8.8239549999999996E-3</v>
      </c>
      <c r="P2242">
        <v>-0.99972280000000002</v>
      </c>
      <c r="Q2242">
        <v>2.323917E-2</v>
      </c>
      <c r="R2242">
        <v>3.8335520000000001E-3</v>
      </c>
      <c r="S2242">
        <v>-3.0046080000000002</v>
      </c>
      <c r="T2242">
        <v>-0.15530379999999999</v>
      </c>
      <c r="U2242">
        <v>-5.450439E-2</v>
      </c>
      <c r="V2242">
        <v>-4.9874309999999996E-3</v>
      </c>
      <c r="W2242">
        <v>3.4387790000000001E-2</v>
      </c>
      <c r="X2242">
        <v>0.99939610000000001</v>
      </c>
      <c r="Y2242">
        <v>-2.6911939999999999E-2</v>
      </c>
      <c r="Z2242">
        <v>-1.1507869999999999E-3</v>
      </c>
      <c r="AA2242">
        <v>0.99963709999999995</v>
      </c>
      <c r="AB2242">
        <v>47</v>
      </c>
      <c r="AC2242">
        <v>-20.994599999999899</v>
      </c>
      <c r="AD2242">
        <v>-1.109244583625</v>
      </c>
      <c r="AE2242">
        <v>-0.39330000000000997</v>
      </c>
      <c r="AF2242">
        <v>-0.57694161640882502</v>
      </c>
      <c r="AG2242">
        <v>-1.109244583625</v>
      </c>
      <c r="AH2242">
        <v>20.931900719856401</v>
      </c>
      <c r="AI2242">
        <v>93.032289357563599</v>
      </c>
      <c r="AJ2242">
        <v>91.578831891915797</v>
      </c>
      <c r="AK2242">
        <v>20.9692096398737</v>
      </c>
      <c r="AL2242">
        <v>88.029336204271104</v>
      </c>
      <c r="AM2242">
        <v>90.285929047269804</v>
      </c>
      <c r="AN2242">
        <v>0.99999997963213605</v>
      </c>
    </row>
    <row r="2243" spans="1:40" x14ac:dyDescent="0.25">
      <c r="A2243" t="str">
        <f>"20190312151029469"</f>
        <v>20190312151029469</v>
      </c>
      <c r="B2243" t="str">
        <f>"1552374629462579"</f>
        <v>1552374629462579</v>
      </c>
      <c r="C2243" t="s">
        <v>40</v>
      </c>
      <c r="D2243">
        <v>5.3663470000000002</v>
      </c>
      <c r="E2243">
        <v>0.49269970000000002</v>
      </c>
      <c r="F2243" t="s">
        <v>52</v>
      </c>
      <c r="G2243">
        <v>-379.82260000000002</v>
      </c>
      <c r="H2243" s="1">
        <v>3.6902970000000002E-6</v>
      </c>
      <c r="I2243">
        <v>282.5394</v>
      </c>
      <c r="J2243">
        <v>-358.7928</v>
      </c>
      <c r="K2243">
        <v>1.109283</v>
      </c>
      <c r="L2243">
        <v>282.92970000000003</v>
      </c>
      <c r="M2243">
        <v>-0.9998958</v>
      </c>
      <c r="N2243">
        <v>0</v>
      </c>
      <c r="O2243">
        <v>8.8239219999999997E-3</v>
      </c>
      <c r="P2243">
        <v>-0.99973710000000005</v>
      </c>
      <c r="Q2243">
        <v>2.2560119999999999E-2</v>
      </c>
      <c r="R2243">
        <v>4.1540170000000003E-3</v>
      </c>
      <c r="S2243">
        <v>-3.0046390000000001</v>
      </c>
      <c r="T2243">
        <v>-0.15495030000000001</v>
      </c>
      <c r="U2243">
        <v>-5.3924560000000003E-2</v>
      </c>
      <c r="V2243">
        <v>-4.6667760000000001E-3</v>
      </c>
      <c r="W2243">
        <v>3.3988440000000002E-2</v>
      </c>
      <c r="X2243">
        <v>0.9994113</v>
      </c>
      <c r="Y2243">
        <v>-2.6719369999999999E-2</v>
      </c>
      <c r="Z2243">
        <v>-1.1431989999999999E-3</v>
      </c>
      <c r="AA2243">
        <v>0.99964229999999998</v>
      </c>
      <c r="AB2243">
        <v>47</v>
      </c>
      <c r="AC2243">
        <v>-21.029800000000002</v>
      </c>
      <c r="AD2243">
        <v>-1.109279309703</v>
      </c>
      <c r="AE2243">
        <v>-0.39030000000002402</v>
      </c>
      <c r="AF2243">
        <v>-0.57426497461545201</v>
      </c>
      <c r="AG2243">
        <v>-1.109279309703</v>
      </c>
      <c r="AH2243">
        <v>20.967218944290401</v>
      </c>
      <c r="AI2243">
        <v>93.027300162297095</v>
      </c>
      <c r="AJ2243">
        <v>91.568864991965995</v>
      </c>
      <c r="AK2243">
        <v>21.004393614332599</v>
      </c>
      <c r="AL2243">
        <v>88.052230638847305</v>
      </c>
      <c r="AM2243">
        <v>90.267542127401896</v>
      </c>
      <c r="AN2243">
        <v>0.999999969709778</v>
      </c>
    </row>
    <row r="2244" spans="1:40" x14ac:dyDescent="0.25">
      <c r="A2244" t="str">
        <f>"20190312151029491"</f>
        <v>20190312151029491</v>
      </c>
      <c r="B2244" t="str">
        <f>"1552374629483071"</f>
        <v>1552374629483071</v>
      </c>
      <c r="C2244" t="s">
        <v>40</v>
      </c>
      <c r="D2244">
        <v>5.0993389999999996</v>
      </c>
      <c r="E2244">
        <v>0.49252810000000002</v>
      </c>
      <c r="F2244" t="s">
        <v>52</v>
      </c>
      <c r="G2244">
        <v>-380.20530000000002</v>
      </c>
      <c r="H2244" s="1">
        <v>-1.4275629999999999E-6</v>
      </c>
      <c r="I2244">
        <v>282.54950000000002</v>
      </c>
      <c r="J2244">
        <v>-359.2697</v>
      </c>
      <c r="K2244">
        <v>1.109313</v>
      </c>
      <c r="L2244">
        <v>282.93389999999999</v>
      </c>
      <c r="M2244">
        <v>-0.99989269999999997</v>
      </c>
      <c r="N2244">
        <v>0</v>
      </c>
      <c r="O2244">
        <v>8.8237279999999994E-3</v>
      </c>
      <c r="P2244">
        <v>-0.99974099999999999</v>
      </c>
      <c r="Q2244">
        <v>2.2396019999999999E-2</v>
      </c>
      <c r="R2244">
        <v>4.0456290000000002E-3</v>
      </c>
      <c r="S2244">
        <v>-3.0045470000000001</v>
      </c>
      <c r="T2244">
        <v>-0.1556526</v>
      </c>
      <c r="U2244">
        <v>-5.334473E-2</v>
      </c>
      <c r="V2244">
        <v>-4.7749400000000001E-3</v>
      </c>
      <c r="W2244">
        <v>3.4083750000000003E-2</v>
      </c>
      <c r="X2244">
        <v>0.99940759999999995</v>
      </c>
      <c r="Y2244">
        <v>-2.6526729999999998E-2</v>
      </c>
      <c r="Z2244">
        <v>-1.143416E-3</v>
      </c>
      <c r="AA2244">
        <v>0.99964739999999996</v>
      </c>
      <c r="AB2244">
        <v>47</v>
      </c>
      <c r="AC2244">
        <v>-20.935600000000001</v>
      </c>
      <c r="AD2244">
        <v>-1.109314427563</v>
      </c>
      <c r="AE2244">
        <v>-0.38439999999997099</v>
      </c>
      <c r="AF2244">
        <v>-0.56753481790435301</v>
      </c>
      <c r="AG2244">
        <v>-1.109314427563</v>
      </c>
      <c r="AH2244">
        <v>20.872809605173899</v>
      </c>
      <c r="AI2244">
        <v>93.0410797596452</v>
      </c>
      <c r="AJ2244">
        <v>91.557497076600995</v>
      </c>
      <c r="AK2244">
        <v>20.909970231508499</v>
      </c>
      <c r="AL2244">
        <v>88.046766723071798</v>
      </c>
      <c r="AM2244">
        <v>90.273743993690402</v>
      </c>
      <c r="AN2244">
        <v>1.00000002650191</v>
      </c>
    </row>
    <row r="2245" spans="1:40" x14ac:dyDescent="0.25">
      <c r="A2245" t="str">
        <f>"20190312151029515"</f>
        <v>20190312151029515</v>
      </c>
      <c r="B2245" t="str">
        <f>"1552374629502591"</f>
        <v>1552374629502591</v>
      </c>
      <c r="C2245" t="s">
        <v>40</v>
      </c>
      <c r="D2245">
        <v>5.0742760000000002</v>
      </c>
      <c r="E2245">
        <v>0.49252370000000001</v>
      </c>
      <c r="F2245" t="s">
        <v>52</v>
      </c>
      <c r="G2245">
        <v>-380.56369999999998</v>
      </c>
      <c r="H2245" s="1">
        <v>-1.236841E-6</v>
      </c>
      <c r="I2245">
        <v>282.54500000000002</v>
      </c>
      <c r="J2245">
        <v>-359.75020000000001</v>
      </c>
      <c r="K2245">
        <v>1.109337</v>
      </c>
      <c r="L2245">
        <v>282.93810000000002</v>
      </c>
      <c r="M2245">
        <v>-0.99988999999999995</v>
      </c>
      <c r="N2245">
        <v>0</v>
      </c>
      <c r="O2245">
        <v>8.8231500000000001E-3</v>
      </c>
      <c r="P2245">
        <v>-0.99973869999999998</v>
      </c>
      <c r="Q2245">
        <v>2.2570690000000001E-2</v>
      </c>
      <c r="R2245">
        <v>3.6944690000000001E-3</v>
      </c>
      <c r="S2245">
        <v>-3.0045169999999999</v>
      </c>
      <c r="T2245">
        <v>-0.1565212</v>
      </c>
      <c r="U2245">
        <v>-5.487061E-2</v>
      </c>
      <c r="V2245">
        <v>-5.1256110000000004E-3</v>
      </c>
      <c r="W2245">
        <v>3.4496449999999998E-2</v>
      </c>
      <c r="X2245">
        <v>0.99939169999999999</v>
      </c>
      <c r="Y2245">
        <v>-2.7032649999999998E-2</v>
      </c>
      <c r="Z2245">
        <v>-1.162934E-3</v>
      </c>
      <c r="AA2245">
        <v>0.99963380000000002</v>
      </c>
      <c r="AB2245">
        <v>47</v>
      </c>
      <c r="AC2245">
        <v>-20.813499999999902</v>
      </c>
      <c r="AD2245">
        <v>-1.1093382368410001</v>
      </c>
      <c r="AE2245">
        <v>-0.393100000000003</v>
      </c>
      <c r="AF2245">
        <v>-0.57510521644272095</v>
      </c>
      <c r="AG2245">
        <v>-1.1093382368410001</v>
      </c>
      <c r="AH2245">
        <v>20.750295076655</v>
      </c>
      <c r="AI2245">
        <v>93.059022522341607</v>
      </c>
      <c r="AJ2245">
        <v>91.587575902550597</v>
      </c>
      <c r="AK2245">
        <v>20.7878840458078</v>
      </c>
      <c r="AL2245">
        <v>88.023106835503299</v>
      </c>
      <c r="AM2245">
        <v>90.293852053031998</v>
      </c>
      <c r="AN2245">
        <v>1.0000000234898001</v>
      </c>
    </row>
    <row r="2246" spans="1:40" x14ac:dyDescent="0.25">
      <c r="A2246" t="str">
        <f>"20190312151029536"</f>
        <v>20190312151029536</v>
      </c>
      <c r="B2246" t="str">
        <f>"1552374629532849"</f>
        <v>1552374629532849</v>
      </c>
      <c r="C2246" t="s">
        <v>40</v>
      </c>
      <c r="D2246">
        <v>5.1548020000000001</v>
      </c>
      <c r="E2246">
        <v>0.49241230000000002</v>
      </c>
      <c r="F2246" t="s">
        <v>52</v>
      </c>
      <c r="G2246">
        <v>-381.34269999999998</v>
      </c>
      <c r="H2246" s="1">
        <v>-8.222844E-7</v>
      </c>
      <c r="I2246">
        <v>282.53739999999999</v>
      </c>
      <c r="J2246">
        <v>-360.2099</v>
      </c>
      <c r="K2246">
        <v>1.1093500000000001</v>
      </c>
      <c r="L2246">
        <v>282.94220000000001</v>
      </c>
      <c r="M2246">
        <v>-0.99988750000000004</v>
      </c>
      <c r="N2246">
        <v>0</v>
      </c>
      <c r="O2246">
        <v>8.8237530000000002E-3</v>
      </c>
      <c r="P2246">
        <v>-0.99974600000000002</v>
      </c>
      <c r="Q2246">
        <v>2.225539E-2</v>
      </c>
      <c r="R2246">
        <v>3.5860890000000002E-3</v>
      </c>
      <c r="S2246">
        <v>-3.0045169999999999</v>
      </c>
      <c r="T2246">
        <v>-0.15436029999999901</v>
      </c>
      <c r="U2246">
        <v>-5.5755619999999999E-2</v>
      </c>
      <c r="V2246">
        <v>-5.2347610000000001E-3</v>
      </c>
      <c r="W2246">
        <v>3.4386359999999998E-2</v>
      </c>
      <c r="X2246">
        <v>0.99939489999999997</v>
      </c>
      <c r="Y2246">
        <v>-2.732857E-2</v>
      </c>
      <c r="Z2246">
        <v>-1.154525E-3</v>
      </c>
      <c r="AA2246">
        <v>0.99962589999999996</v>
      </c>
      <c r="AB2246">
        <v>47</v>
      </c>
      <c r="AC2246">
        <v>-21.1327999999999</v>
      </c>
      <c r="AD2246">
        <v>-1.1093508222844</v>
      </c>
      <c r="AE2246">
        <v>-0.40480000000002198</v>
      </c>
      <c r="AF2246">
        <v>-0.58964430912725796</v>
      </c>
      <c r="AG2246">
        <v>-1.1093508222844</v>
      </c>
      <c r="AH2246">
        <v>21.070363850900598</v>
      </c>
      <c r="AI2246">
        <v>93.012652387393501</v>
      </c>
      <c r="AJ2246">
        <v>91.602977316339704</v>
      </c>
      <c r="AK2246">
        <v>21.107784641395401</v>
      </c>
      <c r="AL2246">
        <v>88.029418216631598</v>
      </c>
      <c r="AM2246">
        <v>90.3001085648486</v>
      </c>
      <c r="AN2246">
        <v>0.99999999531139305</v>
      </c>
    </row>
    <row r="2247" spans="1:40" x14ac:dyDescent="0.25">
      <c r="A2247" t="str">
        <f>"20190312151029559"</f>
        <v>20190312151029559</v>
      </c>
      <c r="B2247" t="str">
        <f>"1552374629553347"</f>
        <v>1552374629553347</v>
      </c>
      <c r="C2247" t="s">
        <v>40</v>
      </c>
      <c r="D2247">
        <v>5.1080439999999996</v>
      </c>
      <c r="E2247">
        <v>0.49217820000000001</v>
      </c>
      <c r="F2247" t="s">
        <v>52</v>
      </c>
      <c r="G2247">
        <v>-381.32389999999998</v>
      </c>
      <c r="H2247" s="1">
        <v>-8.3229319999999996E-7</v>
      </c>
      <c r="I2247">
        <v>282.53899999999999</v>
      </c>
      <c r="J2247">
        <v>-360.68450000000001</v>
      </c>
      <c r="K2247">
        <v>1.109362</v>
      </c>
      <c r="L2247">
        <v>282.94639999999998</v>
      </c>
      <c r="M2247">
        <v>-0.99988509999999997</v>
      </c>
      <c r="N2247">
        <v>0</v>
      </c>
      <c r="O2247">
        <v>8.8234400000000001E-3</v>
      </c>
      <c r="P2247">
        <v>-0.99975309999999995</v>
      </c>
      <c r="Q2247">
        <v>2.199533E-2</v>
      </c>
      <c r="R2247">
        <v>3.1441329999999999E-3</v>
      </c>
      <c r="S2247">
        <v>-3.0045169999999999</v>
      </c>
      <c r="T2247">
        <v>-0.15786029999999901</v>
      </c>
      <c r="U2247">
        <v>-5.7373050000000002E-2</v>
      </c>
      <c r="V2247">
        <v>-5.6765339999999996E-3</v>
      </c>
      <c r="W2247">
        <v>3.4313919999999998E-2</v>
      </c>
      <c r="X2247">
        <v>0.99939500000000003</v>
      </c>
      <c r="Y2247">
        <v>-2.7863289999999999E-2</v>
      </c>
      <c r="Z2247">
        <v>-1.194683E-3</v>
      </c>
      <c r="AA2247">
        <v>0.99961100000000003</v>
      </c>
      <c r="AB2247">
        <v>47</v>
      </c>
      <c r="AC2247">
        <v>-20.639399999999899</v>
      </c>
      <c r="AD2247">
        <v>-1.1093628322931901</v>
      </c>
      <c r="AE2247">
        <v>-0.40739999999999499</v>
      </c>
      <c r="AF2247">
        <v>-0.58781093601268897</v>
      </c>
      <c r="AG2247">
        <v>-1.1093628322931901</v>
      </c>
      <c r="AH2247">
        <v>20.575581038320699</v>
      </c>
      <c r="AI2247">
        <v>93.084942152587999</v>
      </c>
      <c r="AJ2247">
        <v>91.636402286168007</v>
      </c>
      <c r="AK2247">
        <v>20.613848322297201</v>
      </c>
      <c r="AL2247">
        <v>88.033571216578906</v>
      </c>
      <c r="AM2247">
        <v>90.325434830949604</v>
      </c>
      <c r="AN2247">
        <v>1.0000000170845</v>
      </c>
    </row>
    <row r="2248" spans="1:40" x14ac:dyDescent="0.25">
      <c r="A2248" t="str">
        <f>"20190312151029581"</f>
        <v>20190312151029581</v>
      </c>
      <c r="B2248" t="str">
        <f>"1552374629572863"</f>
        <v>1552374629572863</v>
      </c>
      <c r="C2248" t="s">
        <v>40</v>
      </c>
      <c r="D2248">
        <v>5.0606119999999999</v>
      </c>
      <c r="E2248">
        <v>0.49221090000000001</v>
      </c>
      <c r="F2248" t="s">
        <v>52</v>
      </c>
      <c r="G2248">
        <v>-381.44009999999997</v>
      </c>
      <c r="H2248" s="1">
        <v>-7.7043639999999997E-7</v>
      </c>
      <c r="I2248">
        <v>282.5283</v>
      </c>
      <c r="J2248">
        <v>-361.15100000000001</v>
      </c>
      <c r="K2248">
        <v>1.10937</v>
      </c>
      <c r="L2248">
        <v>282.95049999999998</v>
      </c>
      <c r="M2248">
        <v>-0.99988319999999997</v>
      </c>
      <c r="N2248">
        <v>0</v>
      </c>
      <c r="O2248">
        <v>8.8226119999999901E-3</v>
      </c>
      <c r="P2248">
        <v>-0.9997625</v>
      </c>
      <c r="Q2248">
        <v>2.1601789999999999E-2</v>
      </c>
      <c r="R2248">
        <v>2.9463639999999999E-3</v>
      </c>
      <c r="S2248">
        <v>-3.004486</v>
      </c>
      <c r="T2248">
        <v>-0.16058639999999999</v>
      </c>
      <c r="U2248">
        <v>-6.0516359999999998E-2</v>
      </c>
      <c r="V2248">
        <v>-5.8729189999999999E-3</v>
      </c>
      <c r="W2248">
        <v>3.4082800000000003E-2</v>
      </c>
      <c r="X2248">
        <v>0.99940169999999995</v>
      </c>
      <c r="Y2248">
        <v>-2.890481E-2</v>
      </c>
      <c r="Z2248">
        <v>-1.243053E-3</v>
      </c>
      <c r="AA2248">
        <v>0.99958139999999995</v>
      </c>
      <c r="AB2248">
        <v>47</v>
      </c>
      <c r="AC2248">
        <v>-20.289099999999902</v>
      </c>
      <c r="AD2248">
        <v>-1.1093707704364</v>
      </c>
      <c r="AE2248">
        <v>-0.42219999999997498</v>
      </c>
      <c r="AF2248">
        <v>-0.59940908507758295</v>
      </c>
      <c r="AG2248">
        <v>-1.1093707704364</v>
      </c>
      <c r="AH2248">
        <v>20.2241470306626</v>
      </c>
      <c r="AI2248">
        <v>93.138367754587193</v>
      </c>
      <c r="AJ2248">
        <v>91.697651816451199</v>
      </c>
      <c r="AK2248">
        <v>20.263418217947098</v>
      </c>
      <c r="AL2248">
        <v>88.046821022933699</v>
      </c>
      <c r="AM2248">
        <v>90.336691041133506</v>
      </c>
      <c r="AN2248">
        <v>0.999999943198153</v>
      </c>
    </row>
    <row r="2249" spans="1:40" x14ac:dyDescent="0.25">
      <c r="A2249" t="str">
        <f>"20190312151029603"</f>
        <v>20190312151029603</v>
      </c>
      <c r="B2249" t="str">
        <f>"1552374629593360"</f>
        <v>1552374629593360</v>
      </c>
      <c r="C2249" t="s">
        <v>40</v>
      </c>
      <c r="D2249">
        <v>5.1638199999999896</v>
      </c>
      <c r="E2249">
        <v>0.49219950000000001</v>
      </c>
      <c r="F2249" t="s">
        <v>52</v>
      </c>
      <c r="G2249">
        <v>-381.9434</v>
      </c>
      <c r="H2249" s="1">
        <v>-5.0261959999999896E-7</v>
      </c>
      <c r="I2249">
        <v>282.53149999999999</v>
      </c>
      <c r="J2249">
        <v>-361.62360000000001</v>
      </c>
      <c r="K2249">
        <v>1.109375</v>
      </c>
      <c r="L2249">
        <v>282.9547</v>
      </c>
      <c r="M2249">
        <v>-0.99988140000000003</v>
      </c>
      <c r="N2249">
        <v>0</v>
      </c>
      <c r="O2249">
        <v>8.822056E-3</v>
      </c>
      <c r="P2249">
        <v>-0.99976149999999997</v>
      </c>
      <c r="Q2249">
        <v>2.1645109999999999E-2</v>
      </c>
      <c r="R2249">
        <v>2.9474660000000001E-3</v>
      </c>
      <c r="S2249">
        <v>-3.0043639999999998</v>
      </c>
      <c r="T2249">
        <v>-0.1602972</v>
      </c>
      <c r="U2249">
        <v>-6.0546879999999997E-2</v>
      </c>
      <c r="V2249">
        <v>-5.8719280000000002E-3</v>
      </c>
      <c r="W2249">
        <v>3.4271040000000003E-2</v>
      </c>
      <c r="X2249">
        <v>0.99939529999999999</v>
      </c>
      <c r="Y2249">
        <v>-2.8915409999999999E-2</v>
      </c>
      <c r="Z2249">
        <v>-1.241121E-3</v>
      </c>
      <c r="AA2249">
        <v>0.9995811</v>
      </c>
      <c r="AB2249">
        <v>47</v>
      </c>
      <c r="AC2249">
        <v>-20.319799999999901</v>
      </c>
      <c r="AD2249">
        <v>-1.1093755026195999</v>
      </c>
      <c r="AE2249">
        <v>-0.42320000000000801</v>
      </c>
      <c r="AF2249">
        <v>-0.60067058450543298</v>
      </c>
      <c r="AG2249">
        <v>-1.1093755026195999</v>
      </c>
      <c r="AH2249">
        <v>20.254927646784601</v>
      </c>
      <c r="AI2249">
        <v>93.133619755781794</v>
      </c>
      <c r="AJ2249">
        <v>91.698638783998803</v>
      </c>
      <c r="AK2249">
        <v>20.294176828178699</v>
      </c>
      <c r="AL2249">
        <v>88.036029422138895</v>
      </c>
      <c r="AM2249">
        <v>90.336636384698707</v>
      </c>
      <c r="AN2249">
        <v>0.99999997469160395</v>
      </c>
    </row>
    <row r="2250" spans="1:40" x14ac:dyDescent="0.25">
      <c r="A2250" t="str">
        <f>"20190312151029625"</f>
        <v>20190312151029625</v>
      </c>
      <c r="B2250" t="str">
        <f>"1552374629612879"</f>
        <v>1552374629612879</v>
      </c>
      <c r="C2250" t="s">
        <v>40</v>
      </c>
      <c r="D2250">
        <v>5.0547550000000001</v>
      </c>
      <c r="E2250">
        <v>0.49219839999999998</v>
      </c>
      <c r="F2250" t="s">
        <v>52</v>
      </c>
      <c r="G2250">
        <v>-382.64690000000002</v>
      </c>
      <c r="H2250" s="1">
        <v>-1.28233999999999E-7</v>
      </c>
      <c r="I2250">
        <v>282.5299</v>
      </c>
      <c r="J2250">
        <v>-362.09379999999999</v>
      </c>
      <c r="K2250">
        <v>1.109383</v>
      </c>
      <c r="L2250">
        <v>282.9588</v>
      </c>
      <c r="M2250">
        <v>-0.99987979999999999</v>
      </c>
      <c r="N2250">
        <v>0</v>
      </c>
      <c r="O2250">
        <v>8.8220859999999998E-3</v>
      </c>
      <c r="P2250">
        <v>-0.99976229999999999</v>
      </c>
      <c r="Q2250">
        <v>2.1597849999999998E-2</v>
      </c>
      <c r="R2250">
        <v>3.0618350000000002E-3</v>
      </c>
      <c r="S2250">
        <v>-3.0043030000000002</v>
      </c>
      <c r="T2250">
        <v>-0.15853320000000001</v>
      </c>
      <c r="U2250">
        <v>-6.0699459999999997E-2</v>
      </c>
      <c r="V2250">
        <v>-5.7575409999999997E-3</v>
      </c>
      <c r="W2250">
        <v>3.4349669999999999E-2</v>
      </c>
      <c r="X2250">
        <v>0.99939330000000004</v>
      </c>
      <c r="Y2250">
        <v>-2.8967710000000001E-2</v>
      </c>
      <c r="Z2250">
        <v>-1.228888E-3</v>
      </c>
      <c r="AA2250">
        <v>0.99957960000000001</v>
      </c>
      <c r="AB2250">
        <v>47</v>
      </c>
      <c r="AC2250">
        <v>-20.553100000000001</v>
      </c>
      <c r="AD2250">
        <v>-1.1093831282340001</v>
      </c>
      <c r="AE2250">
        <v>-0.42889999999999801</v>
      </c>
      <c r="AF2250">
        <v>-0.60844734862984196</v>
      </c>
      <c r="AG2250">
        <v>-1.1093831282340001</v>
      </c>
      <c r="AH2250">
        <v>20.4888485658132</v>
      </c>
      <c r="AI2250">
        <v>93.097930842488694</v>
      </c>
      <c r="AJ2250">
        <v>91.700984929925497</v>
      </c>
      <c r="AK2250">
        <v>20.527879935689601</v>
      </c>
      <c r="AL2250">
        <v>88.031521667561194</v>
      </c>
      <c r="AM2250">
        <v>90.330079409371194</v>
      </c>
      <c r="AN2250">
        <v>1.00000000859618</v>
      </c>
    </row>
    <row r="2251" spans="1:40" x14ac:dyDescent="0.25">
      <c r="A2251" t="str">
        <f>"20190312151029648"</f>
        <v>20190312151029648</v>
      </c>
      <c r="B2251" t="str">
        <f>"1552374629643135"</f>
        <v>1552374629643135</v>
      </c>
      <c r="C2251" t="s">
        <v>40</v>
      </c>
      <c r="D2251">
        <v>5.0173769999999998</v>
      </c>
      <c r="E2251">
        <v>0.4921353</v>
      </c>
      <c r="F2251" t="s">
        <v>52</v>
      </c>
      <c r="G2251">
        <v>-383.28109999999998</v>
      </c>
      <c r="H2251" s="1">
        <v>2.0926329999999999E-7</v>
      </c>
      <c r="I2251">
        <v>282.53179999999998</v>
      </c>
      <c r="J2251">
        <v>-362.58370000000002</v>
      </c>
      <c r="K2251">
        <v>1.109386</v>
      </c>
      <c r="L2251">
        <v>282.9631</v>
      </c>
      <c r="M2251">
        <v>-0.9998783</v>
      </c>
      <c r="N2251">
        <v>0</v>
      </c>
      <c r="O2251">
        <v>8.8223639999999992E-3</v>
      </c>
      <c r="P2251">
        <v>-0.99975389999999997</v>
      </c>
      <c r="Q2251">
        <v>2.1869909999999999E-2</v>
      </c>
      <c r="R2251">
        <v>3.7592680000000001E-3</v>
      </c>
      <c r="S2251">
        <v>-3.0043030000000002</v>
      </c>
      <c r="T2251">
        <v>-0.15730710000000001</v>
      </c>
      <c r="U2251">
        <v>-6.0546879999999997E-2</v>
      </c>
      <c r="V2251">
        <v>-5.0602820000000001E-3</v>
      </c>
      <c r="W2251">
        <v>3.4735670000000003E-2</v>
      </c>
      <c r="X2251">
        <v>0.99938369999999999</v>
      </c>
      <c r="Y2251">
        <v>-2.891813E-2</v>
      </c>
      <c r="Z2251">
        <v>-1.218116E-3</v>
      </c>
      <c r="AA2251">
        <v>0.99958100000000005</v>
      </c>
      <c r="AB2251">
        <v>47</v>
      </c>
      <c r="AC2251">
        <v>-20.697399999999899</v>
      </c>
      <c r="AD2251">
        <v>-1.1093857907367</v>
      </c>
      <c r="AE2251">
        <v>-0.431300000000021</v>
      </c>
      <c r="AF2251">
        <v>-0.61214041739855796</v>
      </c>
      <c r="AG2251">
        <v>-1.1093857907367</v>
      </c>
      <c r="AH2251">
        <v>20.6335348282248</v>
      </c>
      <c r="AI2251">
        <v>93.076259466315804</v>
      </c>
      <c r="AJ2251">
        <v>91.699310287872606</v>
      </c>
      <c r="AK2251">
        <v>20.672402188204199</v>
      </c>
      <c r="AL2251">
        <v>88.009392226571293</v>
      </c>
      <c r="AM2251">
        <v>90.290109118263501</v>
      </c>
      <c r="AN2251">
        <v>0.99999997652497896</v>
      </c>
    </row>
    <row r="2252" spans="1:40" x14ac:dyDescent="0.25">
      <c r="A2252" t="str">
        <f>"20190312151029671"</f>
        <v>20190312151029671</v>
      </c>
      <c r="B2252" t="str">
        <f>"1552374629662656"</f>
        <v>1552374629662656</v>
      </c>
      <c r="C2252" t="s">
        <v>40</v>
      </c>
      <c r="D2252">
        <v>5.1421429999999999</v>
      </c>
      <c r="E2252">
        <v>0.49212489999999998</v>
      </c>
      <c r="F2252" t="s">
        <v>52</v>
      </c>
      <c r="G2252">
        <v>-383.94389999999999</v>
      </c>
      <c r="H2252" s="1">
        <v>5.6196350000000003E-7</v>
      </c>
      <c r="I2252">
        <v>282.54629999999997</v>
      </c>
      <c r="J2252">
        <v>-363.0496</v>
      </c>
      <c r="K2252">
        <v>1.1093949999999999</v>
      </c>
      <c r="L2252">
        <v>282.96719999999999</v>
      </c>
      <c r="M2252">
        <v>-0.99987709999999996</v>
      </c>
      <c r="N2252">
        <v>0</v>
      </c>
      <c r="O2252">
        <v>8.8220509999999992E-3</v>
      </c>
      <c r="P2252">
        <v>-0.99974569999999996</v>
      </c>
      <c r="Q2252">
        <v>2.2196359999999998E-2</v>
      </c>
      <c r="R2252">
        <v>3.9886110000000004E-3</v>
      </c>
      <c r="S2252">
        <v>-3.0043639999999998</v>
      </c>
      <c r="T2252">
        <v>-0.15603800000000001</v>
      </c>
      <c r="U2252">
        <v>-5.8624269999999999E-2</v>
      </c>
      <c r="V2252">
        <v>-4.8305170000000003E-3</v>
      </c>
      <c r="W2252">
        <v>3.5155989999999998E-2</v>
      </c>
      <c r="X2252">
        <v>0.99937019999999999</v>
      </c>
      <c r="Y2252">
        <v>-2.827969E-2</v>
      </c>
      <c r="Z2252">
        <v>-1.1917029999999999E-3</v>
      </c>
      <c r="AA2252">
        <v>0.99959929999999997</v>
      </c>
      <c r="AB2252">
        <v>47</v>
      </c>
      <c r="AC2252">
        <v>-20.894299999999902</v>
      </c>
      <c r="AD2252">
        <v>-1.1093944380365</v>
      </c>
      <c r="AE2252">
        <v>-0.42090000000001698</v>
      </c>
      <c r="AF2252">
        <v>-0.60352893866127399</v>
      </c>
      <c r="AG2252">
        <v>-1.1093944380365</v>
      </c>
      <c r="AH2252">
        <v>20.831071405847499</v>
      </c>
      <c r="AI2252">
        <v>93.047228800907405</v>
      </c>
      <c r="AJ2252">
        <v>91.659539719163007</v>
      </c>
      <c r="AK2252">
        <v>20.869320523545198</v>
      </c>
      <c r="AL2252">
        <v>87.985295067420694</v>
      </c>
      <c r="AM2252">
        <v>90.276940498714794</v>
      </c>
      <c r="AN2252">
        <v>1.0000000370877</v>
      </c>
    </row>
    <row r="2253" spans="1:40" x14ac:dyDescent="0.25">
      <c r="A2253" t="str">
        <f>"20190312151029715"</f>
        <v>20190312151029715</v>
      </c>
      <c r="B2253" t="str">
        <f>"1552374629712685"</f>
        <v>1552374629712685</v>
      </c>
      <c r="C2253" t="s">
        <v>40</v>
      </c>
      <c r="D2253">
        <v>5.4279799999999998</v>
      </c>
      <c r="E2253">
        <v>0.51349009999999995</v>
      </c>
      <c r="F2253" t="s">
        <v>52</v>
      </c>
      <c r="G2253">
        <v>-384.69690000000003</v>
      </c>
      <c r="H2253" s="1">
        <v>9.6265809999999996E-7</v>
      </c>
      <c r="I2253">
        <v>282.54860000000002</v>
      </c>
      <c r="J2253">
        <v>-363.98759999999999</v>
      </c>
      <c r="K2253">
        <v>1.109162</v>
      </c>
      <c r="L2253">
        <v>282.97550000000001</v>
      </c>
      <c r="M2253">
        <v>-0.99988670000000002</v>
      </c>
      <c r="N2253">
        <v>0</v>
      </c>
      <c r="O2253">
        <v>8.8215140000000008E-3</v>
      </c>
      <c r="P2253">
        <v>-0.9997066</v>
      </c>
      <c r="Q2253">
        <v>2.3844319999999999E-2</v>
      </c>
      <c r="R2253">
        <v>4.2516740000000004E-3</v>
      </c>
      <c r="S2253">
        <v>-3.0043950000000001</v>
      </c>
      <c r="T2253">
        <v>-0.15397130000000001</v>
      </c>
      <c r="U2253">
        <v>-5.8105469999999999E-2</v>
      </c>
      <c r="V2253">
        <v>-4.5663709999999996E-3</v>
      </c>
      <c r="W2253">
        <v>3.6039960000000003E-2</v>
      </c>
      <c r="X2253">
        <v>0.99933989999999995</v>
      </c>
      <c r="Y2253">
        <v>-2.810787E-2</v>
      </c>
      <c r="Z2253">
        <v>-1.171498E-3</v>
      </c>
      <c r="AA2253">
        <v>0.99960420000000005</v>
      </c>
      <c r="AB2253">
        <v>47</v>
      </c>
      <c r="AC2253">
        <v>-20.709299999999999</v>
      </c>
      <c r="AD2253">
        <v>-1.1091610373418901</v>
      </c>
      <c r="AE2253">
        <v>-0.42689999999998901</v>
      </c>
      <c r="AF2253">
        <v>-0.60784149030277801</v>
      </c>
      <c r="AG2253">
        <v>-1.1091610373418901</v>
      </c>
      <c r="AH2253">
        <v>20.645530860216802</v>
      </c>
      <c r="AI2253">
        <v>93.073874197906306</v>
      </c>
      <c r="AJ2253">
        <v>91.686403446816698</v>
      </c>
      <c r="AK2253">
        <v>20.6842368480023</v>
      </c>
      <c r="AL2253">
        <v>87.934615084520104</v>
      </c>
      <c r="AM2253">
        <v>90.261804782440507</v>
      </c>
      <c r="AN2253">
        <v>0.99999998309645999</v>
      </c>
    </row>
    <row r="2254" spans="1:40" x14ac:dyDescent="0.25">
      <c r="A2254" t="str">
        <f>"20190312151029738"</f>
        <v>20190312151029738</v>
      </c>
      <c r="B2254" t="str">
        <f>"1552374629733182"</f>
        <v>1552374629733182</v>
      </c>
      <c r="C2254" t="s">
        <v>40</v>
      </c>
      <c r="D2254">
        <v>5.2472510000000003</v>
      </c>
      <c r="E2254">
        <v>0.51349009999999995</v>
      </c>
      <c r="F2254" t="s">
        <v>44</v>
      </c>
      <c r="G2254">
        <v>0</v>
      </c>
      <c r="H2254">
        <v>0</v>
      </c>
      <c r="I2254">
        <v>0</v>
      </c>
      <c r="J2254">
        <v>-364.46300000000002</v>
      </c>
      <c r="K2254">
        <v>1.108806</v>
      </c>
      <c r="L2254">
        <v>282.97969999999998</v>
      </c>
      <c r="M2254">
        <v>-0.99990299999999999</v>
      </c>
      <c r="N2254">
        <v>0</v>
      </c>
      <c r="O2254">
        <v>8.8214590000000002E-3</v>
      </c>
      <c r="P2254">
        <v>-0.99965959999999998</v>
      </c>
      <c r="Q2254">
        <v>2.575212E-2</v>
      </c>
      <c r="R2254">
        <v>4.1906979999999996E-3</v>
      </c>
      <c r="S2254">
        <v>-2.9685670000000002</v>
      </c>
      <c r="T2254">
        <v>1.3256139999999901</v>
      </c>
      <c r="U2254">
        <v>0.16244510000000001</v>
      </c>
      <c r="V2254">
        <v>-4.6272830000000003E-3</v>
      </c>
      <c r="W2254">
        <v>3.6532679999999998E-2</v>
      </c>
      <c r="X2254">
        <v>0.99932180000000004</v>
      </c>
      <c r="Y2254">
        <v>4.262175E-2</v>
      </c>
      <c r="Z2254">
        <v>-5.3203740000000001E-3</v>
      </c>
      <c r="AA2254">
        <v>0.99907710000000005</v>
      </c>
      <c r="AB2254">
        <v>47</v>
      </c>
      <c r="AC2254">
        <v>-2.9685670000000002</v>
      </c>
      <c r="AD2254">
        <v>1.3256139999999901</v>
      </c>
      <c r="AE2254">
        <v>0.16244510000000001</v>
      </c>
      <c r="AF2254">
        <v>0.11365435156232299</v>
      </c>
      <c r="AG2254">
        <v>1.3256139999999901</v>
      </c>
      <c r="AH2254">
        <v>2.4773570292976701</v>
      </c>
      <c r="AI2254">
        <v>61.874167982130899</v>
      </c>
      <c r="AJ2254">
        <v>87.373268463328898</v>
      </c>
      <c r="AK2254">
        <v>2.8120219841309302</v>
      </c>
      <c r="AL2254">
        <v>87.906365852152206</v>
      </c>
      <c r="AM2254">
        <v>90.2653018194071</v>
      </c>
      <c r="AN2254">
        <v>1.00000005420559</v>
      </c>
    </row>
    <row r="2255" spans="1:40" x14ac:dyDescent="0.25">
      <c r="A2255" t="str">
        <f>"20190312151029760"</f>
        <v>20190312151029760</v>
      </c>
      <c r="B2255" t="str">
        <f>"1552374629752701"</f>
        <v>1552374629752701</v>
      </c>
      <c r="C2255" t="s">
        <v>40</v>
      </c>
      <c r="D2255">
        <v>4.9835849999999997</v>
      </c>
      <c r="E2255">
        <v>0.48582570000000003</v>
      </c>
      <c r="F2255" t="s">
        <v>44</v>
      </c>
      <c r="G2255">
        <v>0</v>
      </c>
      <c r="H2255">
        <v>0</v>
      </c>
      <c r="I2255">
        <v>0</v>
      </c>
      <c r="J2255">
        <v>-364.94819999999999</v>
      </c>
      <c r="K2255">
        <v>1.1085039999999999</v>
      </c>
      <c r="L2255">
        <v>282.98399999999998</v>
      </c>
      <c r="M2255">
        <v>-0.99991770000000002</v>
      </c>
      <c r="N2255">
        <v>0</v>
      </c>
      <c r="O2255">
        <v>8.8209789999999996E-3</v>
      </c>
      <c r="P2255">
        <v>-0.99962340000000005</v>
      </c>
      <c r="Q2255">
        <v>2.7105540000000001E-2</v>
      </c>
      <c r="R2255">
        <v>4.3052740000000004E-3</v>
      </c>
      <c r="S2255">
        <v>-2.9660340000000001</v>
      </c>
      <c r="T2255">
        <v>1.3311759999999999</v>
      </c>
      <c r="U2255">
        <v>0.16308590000000001</v>
      </c>
      <c r="V2255">
        <v>-4.511508E-3</v>
      </c>
      <c r="W2255">
        <v>3.6423560000000001E-2</v>
      </c>
      <c r="X2255">
        <v>0.99932619999999905</v>
      </c>
      <c r="Y2255">
        <v>4.2832830000000002E-2</v>
      </c>
      <c r="Z2255">
        <v>-5.3903049999999997E-3</v>
      </c>
      <c r="AA2255">
        <v>0.9990677</v>
      </c>
      <c r="AB2255">
        <v>48</v>
      </c>
      <c r="AC2255">
        <v>-2.9660340000000001</v>
      </c>
      <c r="AD2255">
        <v>1.3311759999999999</v>
      </c>
      <c r="AE2255">
        <v>0.16308590000000001</v>
      </c>
      <c r="AF2255">
        <v>0.11401796878162999</v>
      </c>
      <c r="AG2255">
        <v>1.3311759999999999</v>
      </c>
      <c r="AH2255">
        <v>2.4711084137746</v>
      </c>
      <c r="AI2255">
        <v>61.714265546716398</v>
      </c>
      <c r="AJ2255">
        <v>87.358222594522303</v>
      </c>
      <c r="AK2255">
        <v>2.80916472155136</v>
      </c>
      <c r="AL2255">
        <v>87.912621896220799</v>
      </c>
      <c r="AM2255">
        <v>90.258662898610794</v>
      </c>
      <c r="AN2255">
        <v>0.99999994171697204</v>
      </c>
    </row>
    <row r="2256" spans="1:40" x14ac:dyDescent="0.25">
      <c r="A2256" t="str">
        <f>"20190312151029782"</f>
        <v>20190312151029782</v>
      </c>
      <c r="B2256" t="str">
        <f>"1552374629772727"</f>
        <v>1552374629772727</v>
      </c>
      <c r="C2256" t="s">
        <v>40</v>
      </c>
      <c r="D2256">
        <v>5.0288639999999996</v>
      </c>
      <c r="E2256">
        <v>0.4832727</v>
      </c>
      <c r="F2256" t="s">
        <v>60</v>
      </c>
      <c r="G2256">
        <v>-511.95920000000001</v>
      </c>
      <c r="H2256">
        <v>1.625129</v>
      </c>
      <c r="I2256">
        <v>277.95240000000001</v>
      </c>
      <c r="J2256">
        <v>-365.42939999999999</v>
      </c>
      <c r="K2256">
        <v>1.108314</v>
      </c>
      <c r="L2256">
        <v>282.98829999999998</v>
      </c>
      <c r="M2256">
        <v>-0.99992829999999999</v>
      </c>
      <c r="N2256">
        <v>0</v>
      </c>
      <c r="O2256">
        <v>8.8209280000000004E-3</v>
      </c>
      <c r="P2256">
        <v>-0.99957750000000001</v>
      </c>
      <c r="Q2256">
        <v>2.8735429999999999E-2</v>
      </c>
      <c r="R2256">
        <v>4.4041690000000003E-3</v>
      </c>
      <c r="S2256">
        <v>-3.001312</v>
      </c>
      <c r="T2256">
        <v>1.054883E-2</v>
      </c>
      <c r="U2256">
        <v>-0.1027222</v>
      </c>
      <c r="V2256">
        <v>-4.4118500000000001E-3</v>
      </c>
      <c r="W2256">
        <v>3.6838610000000001E-2</v>
      </c>
      <c r="X2256">
        <v>0.99931150000000002</v>
      </c>
      <c r="Y2256">
        <v>-4.3020129999999997E-2</v>
      </c>
      <c r="Z2256">
        <v>1.065759E-4</v>
      </c>
      <c r="AA2256">
        <v>0.99907420000000002</v>
      </c>
      <c r="AB2256">
        <v>48</v>
      </c>
      <c r="AC2256">
        <v>-146.52979999999999</v>
      </c>
      <c r="AD2256">
        <v>0.51681499999999903</v>
      </c>
      <c r="AE2256">
        <v>-5.0358999999999696</v>
      </c>
      <c r="AF2256">
        <v>-6.3281966389198896</v>
      </c>
      <c r="AG2256">
        <v>0.51681499999999903</v>
      </c>
      <c r="AH2256">
        <v>146.47785606915701</v>
      </c>
      <c r="AI2256">
        <v>89.798033633363701</v>
      </c>
      <c r="AJ2256">
        <v>92.473777559569598</v>
      </c>
      <c r="AK2256">
        <v>146.615399904177</v>
      </c>
      <c r="AL2256">
        <v>87.888825456406707</v>
      </c>
      <c r="AM2256">
        <v>90.252952900600704</v>
      </c>
      <c r="AN2256">
        <v>1.0000000108197</v>
      </c>
    </row>
    <row r="2257" spans="1:40" x14ac:dyDescent="0.25">
      <c r="A2257" t="str">
        <f>"20190312151029804"</f>
        <v>20190312151029804</v>
      </c>
      <c r="B2257" t="str">
        <f>"1552374629793224"</f>
        <v>1552374629793224</v>
      </c>
      <c r="C2257" t="s">
        <v>40</v>
      </c>
      <c r="D2257">
        <v>4.9606849999999998</v>
      </c>
      <c r="E2257">
        <v>0.48351820000000001</v>
      </c>
      <c r="F2257" t="s">
        <v>60</v>
      </c>
      <c r="G2257">
        <v>-511.95909999999998</v>
      </c>
      <c r="H2257">
        <v>1.5244799999999901</v>
      </c>
      <c r="I2257">
        <v>276.99020000000002</v>
      </c>
      <c r="J2257">
        <v>-365.90989999999999</v>
      </c>
      <c r="K2257">
        <v>1.10826</v>
      </c>
      <c r="L2257">
        <v>282.99250000000001</v>
      </c>
      <c r="M2257">
        <v>-0.99993430000000005</v>
      </c>
      <c r="N2257">
        <v>0</v>
      </c>
      <c r="O2257">
        <v>8.8200629999999995E-3</v>
      </c>
      <c r="P2257">
        <v>-0.9995617</v>
      </c>
      <c r="Q2257">
        <v>2.9231110000000001E-2</v>
      </c>
      <c r="R2257">
        <v>4.6886000000000002E-3</v>
      </c>
      <c r="S2257">
        <v>-3.0014949999999998</v>
      </c>
      <c r="T2257">
        <v>8.5263249999999995E-3</v>
      </c>
      <c r="U2257">
        <v>-0.1228638</v>
      </c>
      <c r="V2257">
        <v>-4.1269399999999999E-3</v>
      </c>
      <c r="W2257">
        <v>3.6556989999999998E-2</v>
      </c>
      <c r="X2257">
        <v>0.99932310000000002</v>
      </c>
      <c r="Y2257">
        <v>-4.9711020000000002E-2</v>
      </c>
      <c r="Z2257" s="1">
        <v>9.5623279999999995E-5</v>
      </c>
      <c r="AA2257">
        <v>0.99876359999999997</v>
      </c>
      <c r="AB2257">
        <v>48</v>
      </c>
      <c r="AC2257">
        <v>-146.04919999999899</v>
      </c>
      <c r="AD2257">
        <v>0.41621999999999898</v>
      </c>
      <c r="AE2257">
        <v>-6.0022999999999902</v>
      </c>
      <c r="AF2257">
        <v>-7.2902050745051197</v>
      </c>
      <c r="AG2257">
        <v>0.41621999999999898</v>
      </c>
      <c r="AH2257">
        <v>145.98939297749899</v>
      </c>
      <c r="AI2257">
        <v>89.836851801050301</v>
      </c>
      <c r="AJ2257">
        <v>92.858778257524307</v>
      </c>
      <c r="AK2257">
        <v>146.171896037013</v>
      </c>
      <c r="AL2257">
        <v>87.904972055486198</v>
      </c>
      <c r="AM2257">
        <v>90.236615064823596</v>
      </c>
      <c r="AN2257">
        <v>1.00000005167261</v>
      </c>
    </row>
    <row r="2258" spans="1:40" x14ac:dyDescent="0.25">
      <c r="A2258" t="str">
        <f>"20190312151029826"</f>
        <v>20190312151029826</v>
      </c>
      <c r="B2258" t="str">
        <f>"1552374629822504"</f>
        <v>1552374629822504</v>
      </c>
      <c r="C2258" t="s">
        <v>40</v>
      </c>
      <c r="D2258">
        <v>4.9736750000000001</v>
      </c>
      <c r="E2258">
        <v>0.48388530000000002</v>
      </c>
      <c r="F2258" t="s">
        <v>60</v>
      </c>
      <c r="G2258">
        <v>-511.9588</v>
      </c>
      <c r="H2258">
        <v>0.58614460000000002</v>
      </c>
      <c r="I2258">
        <v>277.11939999999998</v>
      </c>
      <c r="J2258">
        <v>-366.3843</v>
      </c>
      <c r="K2258">
        <v>1.108333</v>
      </c>
      <c r="L2258">
        <v>282.99669999999998</v>
      </c>
      <c r="M2258">
        <v>-0.99993620000000005</v>
      </c>
      <c r="N2258">
        <v>0</v>
      </c>
      <c r="O2258">
        <v>8.8187259999999903E-3</v>
      </c>
      <c r="P2258">
        <v>-0.99956449999999997</v>
      </c>
      <c r="Q2258">
        <v>2.911217E-2</v>
      </c>
      <c r="R2258">
        <v>4.8053890000000002E-3</v>
      </c>
      <c r="S2258">
        <v>-3.0021969999999998</v>
      </c>
      <c r="T2258">
        <v>-1.0730979999999999E-2</v>
      </c>
      <c r="U2258">
        <v>-0.1207275</v>
      </c>
      <c r="V2258">
        <v>-4.0088220000000004E-3</v>
      </c>
      <c r="W2258">
        <v>3.6164330000000001E-2</v>
      </c>
      <c r="X2258">
        <v>0.99933780000000005</v>
      </c>
      <c r="Y2258">
        <v>-4.8990480000000003E-2</v>
      </c>
      <c r="Z2258">
        <v>-1.1903E-4</v>
      </c>
      <c r="AA2258">
        <v>0.99879929999999995</v>
      </c>
      <c r="AB2258">
        <v>49</v>
      </c>
      <c r="AC2258">
        <v>-145.5745</v>
      </c>
      <c r="AD2258">
        <v>-0.5221884</v>
      </c>
      <c r="AE2258">
        <v>-5.8772999999999902</v>
      </c>
      <c r="AF2258">
        <v>-7.1607930683364298</v>
      </c>
      <c r="AG2258">
        <v>-0.5221884</v>
      </c>
      <c r="AH2258">
        <v>145.51513803460699</v>
      </c>
      <c r="AI2258">
        <v>90.205359408546002</v>
      </c>
      <c r="AJ2258">
        <v>92.817249967339905</v>
      </c>
      <c r="AK2258">
        <v>145.69215845516001</v>
      </c>
      <c r="AL2258">
        <v>87.927484561741807</v>
      </c>
      <c r="AM2258">
        <v>90.229839549134098</v>
      </c>
      <c r="AN2258">
        <v>0.99999998396350798</v>
      </c>
    </row>
    <row r="2259" spans="1:40" x14ac:dyDescent="0.25">
      <c r="A2259" t="str">
        <f>"20190312151029849"</f>
        <v>20190312151029849</v>
      </c>
      <c r="B2259" t="str">
        <f>"1552374629843000"</f>
        <v>1552374629843000</v>
      </c>
      <c r="C2259" t="s">
        <v>40</v>
      </c>
      <c r="D2259">
        <v>5.0064989999999998</v>
      </c>
      <c r="E2259">
        <v>0.48367209999999999</v>
      </c>
      <c r="F2259" t="s">
        <v>52</v>
      </c>
      <c r="G2259">
        <v>-452.09399999999999</v>
      </c>
      <c r="H2259">
        <v>2.6447340000000001E-3</v>
      </c>
      <c r="I2259">
        <v>279.61630000000002</v>
      </c>
      <c r="J2259">
        <v>-366.87799999999999</v>
      </c>
      <c r="K2259">
        <v>1.108471</v>
      </c>
      <c r="L2259">
        <v>283.00110000000001</v>
      </c>
      <c r="M2259">
        <v>-0.99993609999999999</v>
      </c>
      <c r="N2259">
        <v>0</v>
      </c>
      <c r="O2259">
        <v>8.8167519999999902E-3</v>
      </c>
      <c r="P2259">
        <v>-0.99956509999999998</v>
      </c>
      <c r="Q2259">
        <v>2.9069149999999998E-2</v>
      </c>
      <c r="R2259">
        <v>4.9730800000000004E-3</v>
      </c>
      <c r="S2259">
        <v>-3.0030519999999998</v>
      </c>
      <c r="T2259">
        <v>-3.8740520000000001E-2</v>
      </c>
      <c r="U2259">
        <v>-0.11843869999999999</v>
      </c>
      <c r="V2259">
        <v>-3.8387040000000001E-3</v>
      </c>
      <c r="W2259">
        <v>3.6156229999999998E-2</v>
      </c>
      <c r="X2259">
        <v>0.99933879999999997</v>
      </c>
      <c r="Y2259">
        <v>-4.8212669999999999E-2</v>
      </c>
      <c r="Z2259">
        <v>-4.245443E-4</v>
      </c>
      <c r="AA2259">
        <v>0.99883699999999997</v>
      </c>
      <c r="AB2259">
        <v>49</v>
      </c>
      <c r="AC2259">
        <v>-85.215999999999894</v>
      </c>
      <c r="AD2259">
        <v>-1.105826266</v>
      </c>
      <c r="AE2259">
        <v>-3.3847999999999798</v>
      </c>
      <c r="AF2259">
        <v>-4.1353203030824499</v>
      </c>
      <c r="AG2259">
        <v>-1.105826266</v>
      </c>
      <c r="AH2259">
        <v>85.168524504232494</v>
      </c>
      <c r="AI2259">
        <v>90.743010125921799</v>
      </c>
      <c r="AJ2259">
        <v>92.779788290465703</v>
      </c>
      <c r="AK2259">
        <v>85.276029996521899</v>
      </c>
      <c r="AL2259">
        <v>87.927949041994395</v>
      </c>
      <c r="AM2259">
        <v>90.220085977100496</v>
      </c>
      <c r="AN2259">
        <v>1.0000000229008199</v>
      </c>
    </row>
    <row r="2260" spans="1:40" x14ac:dyDescent="0.25">
      <c r="A2260" t="str">
        <f>"20190312151029862"</f>
        <v>20190312151029862</v>
      </c>
      <c r="B2260" t="str">
        <f>"1552374629852760"</f>
        <v>1552374629852760</v>
      </c>
      <c r="C2260" t="s">
        <v>40</v>
      </c>
      <c r="D2260">
        <v>5.1559080000000002</v>
      </c>
      <c r="E2260">
        <v>0.48379800000000001</v>
      </c>
      <c r="F2260" t="s">
        <v>52</v>
      </c>
      <c r="G2260">
        <v>-441.91469999999998</v>
      </c>
      <c r="H2260" s="1">
        <v>-3.1629240000000001E-7</v>
      </c>
      <c r="I2260">
        <v>280.00450000000001</v>
      </c>
      <c r="J2260">
        <v>-367.15679999999998</v>
      </c>
      <c r="K2260">
        <v>1.1085480000000001</v>
      </c>
      <c r="L2260">
        <v>283.00349999999997</v>
      </c>
      <c r="M2260">
        <v>-0.99993560000000004</v>
      </c>
      <c r="N2260">
        <v>0</v>
      </c>
      <c r="O2260">
        <v>8.8156550000000004E-3</v>
      </c>
      <c r="P2260">
        <v>-0.9995638</v>
      </c>
      <c r="Q2260">
        <v>2.9066649999999999E-2</v>
      </c>
      <c r="R2260">
        <v>5.2529179999999997E-3</v>
      </c>
      <c r="S2260">
        <v>-3.0032350000000001</v>
      </c>
      <c r="T2260">
        <v>-4.4364929999999997E-2</v>
      </c>
      <c r="U2260">
        <v>-0.1199341</v>
      </c>
      <c r="V2260">
        <v>-3.5580239999999999E-3</v>
      </c>
      <c r="W2260">
        <v>3.6226750000000002E-2</v>
      </c>
      <c r="X2260">
        <v>0.99933729999999998</v>
      </c>
      <c r="Y2260">
        <v>-4.8704200000000003E-2</v>
      </c>
      <c r="Z2260">
        <v>-4.8975259999999997E-4</v>
      </c>
      <c r="AA2260">
        <v>0.99881319999999996</v>
      </c>
      <c r="AB2260">
        <v>49</v>
      </c>
      <c r="AC2260">
        <v>-74.757900000000006</v>
      </c>
      <c r="AD2260">
        <v>-1.1085483162923999</v>
      </c>
      <c r="AE2260">
        <v>-2.9989999999999601</v>
      </c>
      <c r="AF2260">
        <v>-3.65713728785849</v>
      </c>
      <c r="AG2260">
        <v>-1.1085483162923999</v>
      </c>
      <c r="AH2260">
        <v>74.7121543701208</v>
      </c>
      <c r="AI2260">
        <v>90.849052470003201</v>
      </c>
      <c r="AJ2260">
        <v>92.802374220396004</v>
      </c>
      <c r="AK2260">
        <v>74.809822504378104</v>
      </c>
      <c r="AL2260">
        <v>87.923905926429299</v>
      </c>
      <c r="AM2260">
        <v>90.203994084094404</v>
      </c>
      <c r="AN2260">
        <v>1.0000000380608101</v>
      </c>
    </row>
    <row r="2261" spans="1:40" x14ac:dyDescent="0.25">
      <c r="A2261" t="str">
        <f>"20190312151029874"</f>
        <v>20190312151029874</v>
      </c>
      <c r="B2261" t="str">
        <f>"1552374629862520"</f>
        <v>1552374629862520</v>
      </c>
      <c r="C2261" t="s">
        <v>40</v>
      </c>
      <c r="D2261">
        <v>4.9729910000000004</v>
      </c>
      <c r="E2261">
        <v>0.48390509999999898</v>
      </c>
      <c r="F2261" t="s">
        <v>52</v>
      </c>
      <c r="G2261">
        <v>-443.92070000000001</v>
      </c>
      <c r="H2261" s="1">
        <v>7.5188090000000002E-7</v>
      </c>
      <c r="I2261">
        <v>279.98939999999999</v>
      </c>
      <c r="J2261">
        <v>-367.42880000000002</v>
      </c>
      <c r="K2261">
        <v>1.1086119999999999</v>
      </c>
      <c r="L2261">
        <v>283.0059</v>
      </c>
      <c r="M2261">
        <v>-0.99993489999999996</v>
      </c>
      <c r="N2261">
        <v>0</v>
      </c>
      <c r="O2261">
        <v>8.8149909999999995E-3</v>
      </c>
      <c r="P2261">
        <v>-0.9995617</v>
      </c>
      <c r="Q2261">
        <v>2.90896E-2</v>
      </c>
      <c r="R2261">
        <v>5.5137619999999898E-3</v>
      </c>
      <c r="S2261">
        <v>-3.003174</v>
      </c>
      <c r="T2261">
        <v>-4.3368820000000002E-2</v>
      </c>
      <c r="U2261">
        <v>-0.11791989999999899</v>
      </c>
      <c r="V2261">
        <v>-3.296401E-3</v>
      </c>
      <c r="W2261">
        <v>3.6333499999999998E-2</v>
      </c>
      <c r="X2261">
        <v>0.99933430000000001</v>
      </c>
      <c r="Y2261">
        <v>-4.803586E-2</v>
      </c>
      <c r="Z2261">
        <v>-4.739403E-4</v>
      </c>
      <c r="AA2261">
        <v>0.99884550000000005</v>
      </c>
      <c r="AB2261">
        <v>49</v>
      </c>
      <c r="AC2261">
        <v>-76.491899999999902</v>
      </c>
      <c r="AD2261">
        <v>-1.1086112481190999</v>
      </c>
      <c r="AE2261">
        <v>-3.0165000000000002</v>
      </c>
      <c r="AF2261">
        <v>-3.6899020327981198</v>
      </c>
      <c r="AG2261">
        <v>-1.1086112481190999</v>
      </c>
      <c r="AH2261">
        <v>76.446304005529399</v>
      </c>
      <c r="AI2261">
        <v>90.829869359874706</v>
      </c>
      <c r="AJ2261">
        <v>92.763401846450293</v>
      </c>
      <c r="AK2261">
        <v>76.543332773122202</v>
      </c>
      <c r="AL2261">
        <v>87.917785527629405</v>
      </c>
      <c r="AM2261">
        <v>90.188994993839799</v>
      </c>
      <c r="AN2261">
        <v>1.00000001631914</v>
      </c>
    </row>
    <row r="2262" spans="1:40" x14ac:dyDescent="0.25">
      <c r="A2262" t="str">
        <f>"20190312151029894"</f>
        <v>20190312151029894</v>
      </c>
      <c r="B2262" t="str">
        <f>"1552374629882550"</f>
        <v>1552374629882550</v>
      </c>
      <c r="C2262" t="s">
        <v>40</v>
      </c>
      <c r="D2262">
        <v>4.9436359999999997</v>
      </c>
      <c r="E2262">
        <v>0.48426459999999999</v>
      </c>
      <c r="F2262" t="s">
        <v>52</v>
      </c>
      <c r="G2262">
        <v>-445.3664</v>
      </c>
      <c r="H2262" s="1">
        <v>1.5213430000000001E-6</v>
      </c>
      <c r="I2262">
        <v>279.98540000000003</v>
      </c>
      <c r="J2262">
        <v>-367.84469999999999</v>
      </c>
      <c r="K2262">
        <v>1.1086879999999999</v>
      </c>
      <c r="L2262">
        <v>283.00959999999998</v>
      </c>
      <c r="M2262">
        <v>-0.99993399999999999</v>
      </c>
      <c r="N2262">
        <v>0</v>
      </c>
      <c r="O2262">
        <v>8.8138379999999992E-3</v>
      </c>
      <c r="P2262">
        <v>-0.99957260000000003</v>
      </c>
      <c r="Q2262">
        <v>2.8652380000000002E-2</v>
      </c>
      <c r="R2262">
        <v>5.8378900000000001E-3</v>
      </c>
      <c r="S2262">
        <v>-3.0032350000000001</v>
      </c>
      <c r="T2262">
        <v>-4.2719010000000002E-2</v>
      </c>
      <c r="U2262">
        <v>-0.116394</v>
      </c>
      <c r="V2262">
        <v>-2.9714469999999999E-3</v>
      </c>
      <c r="W2262">
        <v>3.6031380000000002E-2</v>
      </c>
      <c r="X2262">
        <v>0.99934630000000002</v>
      </c>
      <c r="Y2262">
        <v>-4.7527409999999999E-2</v>
      </c>
      <c r="Z2262">
        <v>-4.6320399999999999E-4</v>
      </c>
      <c r="AA2262">
        <v>0.99886980000000003</v>
      </c>
      <c r="AB2262">
        <v>49</v>
      </c>
      <c r="AC2262">
        <v>-77.521699999999996</v>
      </c>
      <c r="AD2262">
        <v>-1.1086864786570001</v>
      </c>
      <c r="AE2262">
        <v>-3.0241999999999498</v>
      </c>
      <c r="AF2262">
        <v>-3.7066078017236701</v>
      </c>
      <c r="AG2262">
        <v>-1.1086864786570001</v>
      </c>
      <c r="AH2262">
        <v>77.476210520438997</v>
      </c>
      <c r="AI2262">
        <v>90.818911537873404</v>
      </c>
      <c r="AJ2262">
        <v>92.739049501886598</v>
      </c>
      <c r="AK2262">
        <v>77.572748589379898</v>
      </c>
      <c r="AL2262">
        <v>87.935107157753507</v>
      </c>
      <c r="AM2262">
        <v>90.170362236209499</v>
      </c>
      <c r="AN2262">
        <v>1.0000000585828299</v>
      </c>
    </row>
    <row r="2263" spans="1:40" x14ac:dyDescent="0.25">
      <c r="A2263" t="str">
        <f>"20190312151029907"</f>
        <v>20190312151029907</v>
      </c>
      <c r="B2263" t="str">
        <f>"1552374629903042"</f>
        <v>1552374629903042</v>
      </c>
      <c r="C2263" t="s">
        <v>40</v>
      </c>
      <c r="D2263">
        <v>4.9613659999999999</v>
      </c>
      <c r="E2263">
        <v>0.48429299999999997</v>
      </c>
      <c r="F2263" t="s">
        <v>52</v>
      </c>
      <c r="G2263">
        <v>-448.88690000000003</v>
      </c>
      <c r="H2263" s="1">
        <v>3.3952070000000001E-6</v>
      </c>
      <c r="I2263">
        <v>279.97570000000002</v>
      </c>
      <c r="J2263">
        <v>-368.14949999999999</v>
      </c>
      <c r="K2263">
        <v>1.1087340000000001</v>
      </c>
      <c r="L2263">
        <v>283.01229999999998</v>
      </c>
      <c r="M2263">
        <v>-0.99993319999999997</v>
      </c>
      <c r="N2263">
        <v>0</v>
      </c>
      <c r="O2263">
        <v>8.813263E-3</v>
      </c>
      <c r="P2263">
        <v>-0.99957660000000004</v>
      </c>
      <c r="Q2263">
        <v>2.8403790000000002E-2</v>
      </c>
      <c r="R2263">
        <v>6.3325090000000001E-3</v>
      </c>
      <c r="S2263">
        <v>-3.0031129999999999</v>
      </c>
      <c r="T2263">
        <v>-4.108357E-2</v>
      </c>
      <c r="U2263">
        <v>-0.11242679999999999</v>
      </c>
      <c r="V2263">
        <v>-2.4763490000000001E-3</v>
      </c>
      <c r="W2263">
        <v>3.5887950000000002E-2</v>
      </c>
      <c r="X2263">
        <v>0.99935280000000004</v>
      </c>
      <c r="Y2263">
        <v>-4.621128E-2</v>
      </c>
      <c r="Z2263">
        <v>-4.3649500000000001E-4</v>
      </c>
      <c r="AA2263">
        <v>0.99893160000000003</v>
      </c>
      <c r="AB2263">
        <v>49</v>
      </c>
      <c r="AC2263">
        <v>-80.737399999999994</v>
      </c>
      <c r="AD2263">
        <v>-1.1087306047929999</v>
      </c>
      <c r="AE2263">
        <v>-3.03659999999996</v>
      </c>
      <c r="AF2263">
        <v>-3.74735620670958</v>
      </c>
      <c r="AG2263">
        <v>-1.1087306047929999</v>
      </c>
      <c r="AH2263">
        <v>80.692305376542905</v>
      </c>
      <c r="AI2263">
        <v>90.786360087293602</v>
      </c>
      <c r="AJ2263">
        <v>92.658909563577296</v>
      </c>
      <c r="AK2263">
        <v>80.786880798030694</v>
      </c>
      <c r="AL2263">
        <v>87.943330387743501</v>
      </c>
      <c r="AM2263">
        <v>90.141975942730795</v>
      </c>
      <c r="AN2263">
        <v>1.0000000480636999</v>
      </c>
    </row>
    <row r="2264" spans="1:40" x14ac:dyDescent="0.25">
      <c r="A2264" t="str">
        <f>"20190312151029928"</f>
        <v>20190312151029928</v>
      </c>
      <c r="B2264" t="str">
        <f>"1552374629922563"</f>
        <v>1552374629922563</v>
      </c>
      <c r="C2264" t="s">
        <v>40</v>
      </c>
      <c r="D2264">
        <v>5.1055849999999996</v>
      </c>
      <c r="E2264">
        <v>0.48431869999999999</v>
      </c>
      <c r="F2264" t="s">
        <v>52</v>
      </c>
      <c r="G2264">
        <v>-447.24979999999999</v>
      </c>
      <c r="H2264" s="1">
        <v>2.5188879999999998E-6</v>
      </c>
      <c r="I2264">
        <v>280.09370000000001</v>
      </c>
      <c r="J2264">
        <v>-368.58929999999998</v>
      </c>
      <c r="K2264">
        <v>1.1087940000000001</v>
      </c>
      <c r="L2264">
        <v>283.01620000000003</v>
      </c>
      <c r="M2264">
        <v>-0.99993189999999998</v>
      </c>
      <c r="N2264">
        <v>0</v>
      </c>
      <c r="O2264">
        <v>8.8129460000000003E-3</v>
      </c>
      <c r="P2264">
        <v>-0.99958230000000003</v>
      </c>
      <c r="Q2264">
        <v>2.8103300000000001E-2</v>
      </c>
      <c r="R2264">
        <v>6.750275E-3</v>
      </c>
      <c r="S2264">
        <v>-3.003174</v>
      </c>
      <c r="T2264">
        <v>-4.209483E-2</v>
      </c>
      <c r="U2264">
        <v>-0.1108093</v>
      </c>
      <c r="V2264">
        <v>-2.058444E-3</v>
      </c>
      <c r="W2264">
        <v>3.5749280000000001E-2</v>
      </c>
      <c r="X2264">
        <v>0.99935870000000004</v>
      </c>
      <c r="Y2264">
        <v>-4.5672749999999998E-2</v>
      </c>
      <c r="Z2264">
        <v>-4.434563E-4</v>
      </c>
      <c r="AA2264">
        <v>0.99895639999999997</v>
      </c>
      <c r="AB2264">
        <v>49</v>
      </c>
      <c r="AC2264">
        <v>-78.660499999999999</v>
      </c>
      <c r="AD2264">
        <v>-1.1087914811120001</v>
      </c>
      <c r="AE2264">
        <v>-2.9225000000000101</v>
      </c>
      <c r="AF2264">
        <v>-3.61492024945459</v>
      </c>
      <c r="AG2264">
        <v>-1.1087914811120001</v>
      </c>
      <c r="AH2264">
        <v>78.616089400491802</v>
      </c>
      <c r="AI2264">
        <v>90.807186155842899</v>
      </c>
      <c r="AJ2264">
        <v>92.632716614822996</v>
      </c>
      <c r="AK2264">
        <v>78.706966525108996</v>
      </c>
      <c r="AL2264">
        <v>87.951280657206496</v>
      </c>
      <c r="AM2264">
        <v>90.118015670221496</v>
      </c>
      <c r="AN2264">
        <v>1.00000002973895</v>
      </c>
    </row>
    <row r="2265" spans="1:40" x14ac:dyDescent="0.25">
      <c r="A2265" t="str">
        <f>"20190312151029950"</f>
        <v>20190312151029950</v>
      </c>
      <c r="B2265" t="str">
        <f>"1552374629943058"</f>
        <v>1552374629943058</v>
      </c>
      <c r="C2265" t="s">
        <v>40</v>
      </c>
      <c r="D2265">
        <v>4.9940720000000001</v>
      </c>
      <c r="E2265">
        <v>0.48442469999999999</v>
      </c>
      <c r="F2265" t="s">
        <v>52</v>
      </c>
      <c r="G2265">
        <v>-440.7919</v>
      </c>
      <c r="H2265" s="1">
        <v>-9.3038360000000003E-7</v>
      </c>
      <c r="I2265">
        <v>280.38380000000001</v>
      </c>
      <c r="J2265">
        <v>-369.08519999999999</v>
      </c>
      <c r="K2265">
        <v>1.108843</v>
      </c>
      <c r="L2265">
        <v>283.02050000000003</v>
      </c>
      <c r="M2265">
        <v>-0.9999304</v>
      </c>
      <c r="N2265">
        <v>0</v>
      </c>
      <c r="O2265">
        <v>8.8123850000000007E-3</v>
      </c>
      <c r="P2265">
        <v>-0.99957739999999995</v>
      </c>
      <c r="Q2265">
        <v>2.8160439999999998E-2</v>
      </c>
      <c r="R2265">
        <v>7.2149010000000001E-3</v>
      </c>
      <c r="S2265">
        <v>-3.0032649999999999</v>
      </c>
      <c r="T2265">
        <v>-4.6120290000000001E-2</v>
      </c>
      <c r="U2265">
        <v>-0.1094971</v>
      </c>
      <c r="V2265">
        <v>-1.593335E-3</v>
      </c>
      <c r="W2265">
        <v>3.599612E-2</v>
      </c>
      <c r="X2265">
        <v>0.99935070000000004</v>
      </c>
      <c r="Y2265">
        <v>-4.5234160000000002E-2</v>
      </c>
      <c r="Z2265">
        <v>-4.8247289999999999E-4</v>
      </c>
      <c r="AA2265">
        <v>0.99897630000000004</v>
      </c>
      <c r="AB2265">
        <v>49</v>
      </c>
      <c r="AC2265">
        <v>-71.706699999999998</v>
      </c>
      <c r="AD2265">
        <v>-1.1088439303836</v>
      </c>
      <c r="AE2265">
        <v>-2.63670000000001</v>
      </c>
      <c r="AF2265">
        <v>-3.2677437646767902</v>
      </c>
      <c r="AG2265">
        <v>-1.1088439303836</v>
      </c>
      <c r="AH2265">
        <v>71.663565870694796</v>
      </c>
      <c r="AI2265">
        <v>90.885541731193598</v>
      </c>
      <c r="AJ2265">
        <v>92.610787271265806</v>
      </c>
      <c r="AK2265">
        <v>71.746598229302506</v>
      </c>
      <c r="AL2265">
        <v>87.937128680860297</v>
      </c>
      <c r="AM2265">
        <v>90.091350607445193</v>
      </c>
      <c r="AN2265">
        <v>1.0000000404809799</v>
      </c>
    </row>
    <row r="2266" spans="1:40" x14ac:dyDescent="0.25">
      <c r="A2266" t="str">
        <f>"20190312151029972"</f>
        <v>20190312151029972</v>
      </c>
      <c r="B2266" t="str">
        <f>"1552374629962583"</f>
        <v>1552374629962583</v>
      </c>
      <c r="C2266" t="s">
        <v>40</v>
      </c>
      <c r="D2266">
        <v>5.0458829999999999</v>
      </c>
      <c r="E2266">
        <v>0.48447259999999998</v>
      </c>
      <c r="F2266" t="s">
        <v>52</v>
      </c>
      <c r="G2266">
        <v>-445.68049999999999</v>
      </c>
      <c r="H2266" s="1">
        <v>1.675098E-6</v>
      </c>
      <c r="I2266">
        <v>280.29169999999999</v>
      </c>
      <c r="J2266">
        <v>-369.56529999999998</v>
      </c>
      <c r="K2266">
        <v>1.1088709999999999</v>
      </c>
      <c r="L2266">
        <v>283.02480000000003</v>
      </c>
      <c r="M2266">
        <v>-0.99992910000000002</v>
      </c>
      <c r="N2266">
        <v>0</v>
      </c>
      <c r="O2266">
        <v>8.8118309999999991E-3</v>
      </c>
      <c r="P2266">
        <v>-0.99958270000000005</v>
      </c>
      <c r="Q2266">
        <v>2.7918800000000001E-2</v>
      </c>
      <c r="R2266">
        <v>7.4212359999999899E-3</v>
      </c>
      <c r="S2266">
        <v>-3.0032350000000001</v>
      </c>
      <c r="T2266">
        <v>-4.34767E-2</v>
      </c>
      <c r="U2266">
        <v>-0.1069946</v>
      </c>
      <c r="V2266">
        <v>-1.386048E-3</v>
      </c>
      <c r="W2266">
        <v>3.5937509999999999E-2</v>
      </c>
      <c r="X2266">
        <v>0.99935309999999999</v>
      </c>
      <c r="Y2266">
        <v>-4.4403440000000002E-2</v>
      </c>
      <c r="Z2266">
        <v>-4.4881350000000001E-4</v>
      </c>
      <c r="AA2266">
        <v>0.99901359999999995</v>
      </c>
      <c r="AB2266">
        <v>49</v>
      </c>
      <c r="AC2266">
        <v>-76.115200000000002</v>
      </c>
      <c r="AD2266">
        <v>-1.1088693249020001</v>
      </c>
      <c r="AE2266">
        <v>-2.7331000000000301</v>
      </c>
      <c r="AF2266">
        <v>-3.4030083637059398</v>
      </c>
      <c r="AG2266">
        <v>-1.1088693249020001</v>
      </c>
      <c r="AH2266">
        <v>76.072035860930299</v>
      </c>
      <c r="AI2266">
        <v>90.834282553473798</v>
      </c>
      <c r="AJ2266">
        <v>92.561363208407499</v>
      </c>
      <c r="AK2266">
        <v>76.156186203944301</v>
      </c>
      <c r="AL2266">
        <v>87.940488922676494</v>
      </c>
      <c r="AM2266">
        <v>90.079466056273205</v>
      </c>
      <c r="AN2266">
        <v>1.0000000221168299</v>
      </c>
    </row>
    <row r="2267" spans="1:40" x14ac:dyDescent="0.25">
      <c r="A2267" t="str">
        <f>"20190312151029994"</f>
        <v>20190312151029994</v>
      </c>
      <c r="B2267" t="str">
        <f>"1552374629983074"</f>
        <v>1552374629983074</v>
      </c>
      <c r="C2267" t="s">
        <v>40</v>
      </c>
      <c r="D2267">
        <v>5.0246120000000003</v>
      </c>
      <c r="E2267">
        <v>0.48421449999999999</v>
      </c>
      <c r="F2267" t="s">
        <v>52</v>
      </c>
      <c r="G2267">
        <v>-447.82400000000001</v>
      </c>
      <c r="H2267" s="1">
        <v>2.8169629999999999E-6</v>
      </c>
      <c r="I2267">
        <v>280.2645</v>
      </c>
      <c r="J2267">
        <v>-370.04430000000002</v>
      </c>
      <c r="K2267">
        <v>1.108894</v>
      </c>
      <c r="L2267">
        <v>283.029</v>
      </c>
      <c r="M2267">
        <v>-0.99992760000000003</v>
      </c>
      <c r="N2267">
        <v>0</v>
      </c>
      <c r="O2267">
        <v>8.8112940000000008E-3</v>
      </c>
      <c r="P2267">
        <v>-0.99959129999999996</v>
      </c>
      <c r="Q2267">
        <v>2.7619060000000001E-2</v>
      </c>
      <c r="R2267">
        <v>7.3878090000000004E-3</v>
      </c>
      <c r="S2267">
        <v>-3.0032350000000001</v>
      </c>
      <c r="T2267">
        <v>-4.255366E-2</v>
      </c>
      <c r="U2267">
        <v>-0.10592650000000001</v>
      </c>
      <c r="V2267">
        <v>-1.4189350000000001E-3</v>
      </c>
      <c r="W2267">
        <v>3.5814079999999998E-2</v>
      </c>
      <c r="X2267">
        <v>0.99935750000000001</v>
      </c>
      <c r="Y2267">
        <v>-4.4048339999999998E-2</v>
      </c>
      <c r="Z2267">
        <v>-4.3676640000000003E-4</v>
      </c>
      <c r="AA2267">
        <v>0.99902930000000001</v>
      </c>
      <c r="AB2267">
        <v>49</v>
      </c>
      <c r="AC2267">
        <v>-77.779699999999906</v>
      </c>
      <c r="AD2267">
        <v>-1.1088911830370001</v>
      </c>
      <c r="AE2267">
        <v>-2.7644999999999902</v>
      </c>
      <c r="AF2267">
        <v>-3.4490553318664401</v>
      </c>
      <c r="AG2267">
        <v>-1.1088911830370001</v>
      </c>
      <c r="AH2267">
        <v>77.736540178964205</v>
      </c>
      <c r="AI2267">
        <v>90.816450595429501</v>
      </c>
      <c r="AJ2267">
        <v>92.540462860218199</v>
      </c>
      <c r="AK2267">
        <v>77.820918147589396</v>
      </c>
      <c r="AL2267">
        <v>87.947565527170397</v>
      </c>
      <c r="AM2267">
        <v>90.0813512004177</v>
      </c>
      <c r="AN2267">
        <v>1.0000000372545099</v>
      </c>
    </row>
    <row r="2268" spans="1:40" x14ac:dyDescent="0.25">
      <c r="A2268" t="str">
        <f>"20190312151030016"</f>
        <v>20190312151030016</v>
      </c>
      <c r="B2268" t="str">
        <f>"1552374630013330"</f>
        <v>1552374630013330</v>
      </c>
      <c r="C2268" t="s">
        <v>40</v>
      </c>
      <c r="D2268">
        <v>5.0885220000000002</v>
      </c>
      <c r="E2268">
        <v>0.48429729999999999</v>
      </c>
      <c r="F2268" t="s">
        <v>52</v>
      </c>
      <c r="G2268">
        <v>-448.66590000000002</v>
      </c>
      <c r="H2268" s="1">
        <v>3.2679070000000001E-6</v>
      </c>
      <c r="I2268">
        <v>280.19760000000002</v>
      </c>
      <c r="J2268">
        <v>-370.53280000000001</v>
      </c>
      <c r="K2268">
        <v>1.108908</v>
      </c>
      <c r="L2268">
        <v>283.0333</v>
      </c>
      <c r="M2268">
        <v>-0.99992630000000005</v>
      </c>
      <c r="N2268">
        <v>0</v>
      </c>
      <c r="O2268">
        <v>8.8105969999999999E-3</v>
      </c>
      <c r="P2268">
        <v>-0.99959810000000004</v>
      </c>
      <c r="Q2268">
        <v>2.747552E-2</v>
      </c>
      <c r="R2268">
        <v>6.9985550000000001E-3</v>
      </c>
      <c r="S2268">
        <v>-3.003174</v>
      </c>
      <c r="T2268">
        <v>-4.2357209999999999E-2</v>
      </c>
      <c r="U2268">
        <v>-0.10815429999999999</v>
      </c>
      <c r="V2268">
        <v>-1.807782E-3</v>
      </c>
      <c r="W2268">
        <v>3.5837910000000001E-2</v>
      </c>
      <c r="X2268">
        <v>0.99935600000000002</v>
      </c>
      <c r="Y2268">
        <v>-4.4788479999999999E-2</v>
      </c>
      <c r="Z2268">
        <v>-4.3996129999999999E-4</v>
      </c>
      <c r="AA2268">
        <v>0.99899640000000001</v>
      </c>
      <c r="AB2268">
        <v>49</v>
      </c>
      <c r="AC2268">
        <v>-78.133099999999999</v>
      </c>
      <c r="AD2268">
        <v>-1.1089047320929999</v>
      </c>
      <c r="AE2268">
        <v>-2.8356999999999699</v>
      </c>
      <c r="AF2268">
        <v>-3.5233044429206402</v>
      </c>
      <c r="AG2268">
        <v>-1.1089047320929999</v>
      </c>
      <c r="AH2268">
        <v>78.089373402425906</v>
      </c>
      <c r="AI2268">
        <v>90.812744802204406</v>
      </c>
      <c r="AJ2268">
        <v>92.583368893592095</v>
      </c>
      <c r="AK2268">
        <v>78.176681832154202</v>
      </c>
      <c r="AL2268">
        <v>87.946199254845396</v>
      </c>
      <c r="AM2268">
        <v>90.103644913224699</v>
      </c>
      <c r="AN2268">
        <v>1.0000000193024601</v>
      </c>
    </row>
    <row r="2269" spans="1:40" x14ac:dyDescent="0.25">
      <c r="A2269" t="str">
        <f>"20190312151030028"</f>
        <v>20190312151030028</v>
      </c>
      <c r="B2269" t="str">
        <f>"1552374630023091"</f>
        <v>1552374630023091</v>
      </c>
      <c r="C2269" t="s">
        <v>40</v>
      </c>
      <c r="D2269">
        <v>5.0003019999999996</v>
      </c>
      <c r="E2269">
        <v>0.48427799999999999</v>
      </c>
      <c r="F2269" t="s">
        <v>52</v>
      </c>
      <c r="G2269">
        <v>-445.3587</v>
      </c>
      <c r="H2269" s="1">
        <v>1.502477E-6</v>
      </c>
      <c r="I2269">
        <v>280.32420000000002</v>
      </c>
      <c r="J2269">
        <v>-370.80790000000002</v>
      </c>
      <c r="K2269">
        <v>1.108911</v>
      </c>
      <c r="L2269">
        <v>283.03570000000002</v>
      </c>
      <c r="M2269">
        <v>-0.99992539999999996</v>
      </c>
      <c r="N2269">
        <v>0</v>
      </c>
      <c r="O2269">
        <v>8.8102289999999993E-3</v>
      </c>
      <c r="P2269">
        <v>-0.99959480000000001</v>
      </c>
      <c r="Q2269">
        <v>2.7628639999999999E-2</v>
      </c>
      <c r="R2269">
        <v>6.8564849999999998E-3</v>
      </c>
      <c r="S2269">
        <v>-3.0032350000000001</v>
      </c>
      <c r="T2269">
        <v>-4.4507379999999999E-2</v>
      </c>
      <c r="U2269">
        <v>-0.1087341</v>
      </c>
      <c r="V2269">
        <v>-1.949295E-3</v>
      </c>
      <c r="W2269">
        <v>3.6078550000000001E-2</v>
      </c>
      <c r="X2269">
        <v>0.99934699999999999</v>
      </c>
      <c r="Y2269">
        <v>-4.4979440000000002E-2</v>
      </c>
      <c r="Z2269">
        <v>-4.636908E-4</v>
      </c>
      <c r="AA2269">
        <v>0.99898779999999998</v>
      </c>
      <c r="AB2269">
        <v>49</v>
      </c>
      <c r="AC2269">
        <v>-74.550799999999896</v>
      </c>
      <c r="AD2269">
        <v>-1.1089094975229901</v>
      </c>
      <c r="AE2269">
        <v>-2.7115</v>
      </c>
      <c r="AF2269">
        <v>-3.3674838047934799</v>
      </c>
      <c r="AG2269">
        <v>-1.1089094975229901</v>
      </c>
      <c r="AH2269">
        <v>74.507553442970107</v>
      </c>
      <c r="AI2269">
        <v>90.851811137180505</v>
      </c>
      <c r="AJ2269">
        <v>92.587810028382506</v>
      </c>
      <c r="AK2269">
        <v>74.591857112598305</v>
      </c>
      <c r="AL2269">
        <v>87.932402520527503</v>
      </c>
      <c r="AM2269">
        <v>90.111759213647701</v>
      </c>
      <c r="AN2269">
        <v>0.99999994396504799</v>
      </c>
    </row>
    <row r="2270" spans="1:40" x14ac:dyDescent="0.25">
      <c r="A2270" t="str">
        <f>"20190312151030050"</f>
        <v>20190312151030050</v>
      </c>
      <c r="B2270" t="str">
        <f>"1552374630042611"</f>
        <v>1552374630042611</v>
      </c>
      <c r="C2270" t="s">
        <v>40</v>
      </c>
      <c r="D2270">
        <v>5.1190170000000004</v>
      </c>
      <c r="E2270">
        <v>0.48425020000000002</v>
      </c>
      <c r="F2270" t="s">
        <v>52</v>
      </c>
      <c r="G2270">
        <v>-445.62569999999999</v>
      </c>
      <c r="H2270" s="1">
        <v>1.6451679999999999E-6</v>
      </c>
      <c r="I2270">
        <v>280.30939999999998</v>
      </c>
      <c r="J2270">
        <v>-371.26979999999998</v>
      </c>
      <c r="K2270">
        <v>1.10891299999999</v>
      </c>
      <c r="L2270">
        <v>283.03980000000001</v>
      </c>
      <c r="M2270">
        <v>-0.99992440000000005</v>
      </c>
      <c r="N2270">
        <v>0</v>
      </c>
      <c r="O2270">
        <v>8.8092780000000002E-3</v>
      </c>
      <c r="P2270">
        <v>-0.99959620000000005</v>
      </c>
      <c r="Q2270">
        <v>2.7613260000000001E-2</v>
      </c>
      <c r="R2270">
        <v>6.7216109999999997E-3</v>
      </c>
      <c r="S2270">
        <v>-3.0032040000000002</v>
      </c>
      <c r="T2270">
        <v>-4.4511910000000002E-2</v>
      </c>
      <c r="U2270">
        <v>-0.10943600000000001</v>
      </c>
      <c r="V2270">
        <v>-2.083189E-3</v>
      </c>
      <c r="W2270">
        <v>3.6201499999999998E-2</v>
      </c>
      <c r="X2270">
        <v>0.99934230000000002</v>
      </c>
      <c r="Y2270">
        <v>-4.5212019999999999E-2</v>
      </c>
      <c r="Z2270">
        <v>-4.6544959999999998E-4</v>
      </c>
      <c r="AA2270">
        <v>0.99897729999999996</v>
      </c>
      <c r="AB2270">
        <v>49</v>
      </c>
      <c r="AC2270">
        <v>-74.355900000000005</v>
      </c>
      <c r="AD2270">
        <v>-1.10891135483199</v>
      </c>
      <c r="AE2270">
        <v>-2.7304000000000301</v>
      </c>
      <c r="AF2270">
        <v>-3.3845881759406899</v>
      </c>
      <c r="AG2270">
        <v>-1.10891135483199</v>
      </c>
      <c r="AH2270">
        <v>74.312454960217806</v>
      </c>
      <c r="AI2270">
        <v>90.854035078293094</v>
      </c>
      <c r="AJ2270">
        <v>92.607755252414194</v>
      </c>
      <c r="AK2270">
        <v>74.397755905188404</v>
      </c>
      <c r="AL2270">
        <v>87.925353433260199</v>
      </c>
      <c r="AM2270">
        <v>90.119436318009207</v>
      </c>
      <c r="AN2270">
        <v>0.99999996042397399</v>
      </c>
    </row>
    <row r="2271" spans="1:40" x14ac:dyDescent="0.25">
      <c r="A2271" t="str">
        <f>"20190312151030072"</f>
        <v>20190312151030072</v>
      </c>
      <c r="B2271" t="str">
        <f>"1552374630063117"</f>
        <v>1552374630063117</v>
      </c>
      <c r="C2271" t="s">
        <v>40</v>
      </c>
      <c r="D2271">
        <v>4.952725</v>
      </c>
      <c r="E2271">
        <v>0.48404520000000001</v>
      </c>
      <c r="F2271" t="s">
        <v>52</v>
      </c>
      <c r="G2271">
        <v>-447.19569999999999</v>
      </c>
      <c r="H2271" s="1">
        <v>2.4828779999999998E-6</v>
      </c>
      <c r="I2271">
        <v>280.25920000000002</v>
      </c>
      <c r="J2271">
        <v>-371.76229999999998</v>
      </c>
      <c r="K2271">
        <v>1.1089169999999999</v>
      </c>
      <c r="L2271">
        <v>283.04419999999999</v>
      </c>
      <c r="M2271">
        <v>-0.99992320000000001</v>
      </c>
      <c r="N2271">
        <v>0</v>
      </c>
      <c r="O2271">
        <v>8.8085160000000006E-3</v>
      </c>
      <c r="P2271">
        <v>-0.99960559999999998</v>
      </c>
      <c r="Q2271">
        <v>2.7270909999999999E-2</v>
      </c>
      <c r="R2271">
        <v>6.7184209999999996E-3</v>
      </c>
      <c r="S2271">
        <v>-3.003174</v>
      </c>
      <c r="T2271">
        <v>-4.3861869999999997E-2</v>
      </c>
      <c r="U2271">
        <v>-0.1099854</v>
      </c>
      <c r="V2271">
        <v>-2.0860639999999999E-3</v>
      </c>
      <c r="W2271">
        <v>3.5993249999999997E-2</v>
      </c>
      <c r="X2271">
        <v>0.99934979999999995</v>
      </c>
      <c r="Y2271">
        <v>-4.539427E-2</v>
      </c>
      <c r="Z2271">
        <v>-4.5997559999999999E-4</v>
      </c>
      <c r="AA2271">
        <v>0.998969</v>
      </c>
      <c r="AB2271">
        <v>49</v>
      </c>
      <c r="AC2271">
        <v>-75.433400000000006</v>
      </c>
      <c r="AD2271">
        <v>-1.1089145171219901</v>
      </c>
      <c r="AE2271">
        <v>-2.7849999999999602</v>
      </c>
      <c r="AF2271">
        <v>-3.4486292503455598</v>
      </c>
      <c r="AG2271">
        <v>-1.1089145171219901</v>
      </c>
      <c r="AH2271">
        <v>75.389670578677297</v>
      </c>
      <c r="AI2271">
        <v>90.841828632891193</v>
      </c>
      <c r="AJ2271">
        <v>92.619115468177696</v>
      </c>
      <c r="AK2271">
        <v>75.476653112562602</v>
      </c>
      <c r="AL2271">
        <v>87.937293027754905</v>
      </c>
      <c r="AM2271">
        <v>90.119600253479604</v>
      </c>
      <c r="AN2271">
        <v>0.99999994423430505</v>
      </c>
    </row>
    <row r="2272" spans="1:40" x14ac:dyDescent="0.25">
      <c r="A2272" t="str">
        <f>"20190312151030094"</f>
        <v>20190312151030094</v>
      </c>
      <c r="B2272" t="str">
        <f>"1552374630082631"</f>
        <v>1552374630082631</v>
      </c>
      <c r="C2272" t="s">
        <v>40</v>
      </c>
      <c r="D2272">
        <v>5.0847389999999999</v>
      </c>
      <c r="E2272">
        <v>0.47058499999999998</v>
      </c>
      <c r="F2272" t="s">
        <v>52</v>
      </c>
      <c r="G2272">
        <v>-443.1277</v>
      </c>
      <c r="H2272" s="1">
        <v>3.1250039999999999E-7</v>
      </c>
      <c r="I2272">
        <v>280.38639999999998</v>
      </c>
      <c r="J2272">
        <v>-372.2466</v>
      </c>
      <c r="K2272">
        <v>1.10891299999999</v>
      </c>
      <c r="L2272">
        <v>283.04849999999999</v>
      </c>
      <c r="M2272">
        <v>-0.99992219999999998</v>
      </c>
      <c r="N2272">
        <v>0</v>
      </c>
      <c r="O2272">
        <v>8.8076950000000008E-3</v>
      </c>
      <c r="P2272">
        <v>-0.99960039999999994</v>
      </c>
      <c r="Q2272">
        <v>2.751663E-2</v>
      </c>
      <c r="R2272">
        <v>6.4742009999999997E-3</v>
      </c>
      <c r="S2272">
        <v>-3.0032040000000002</v>
      </c>
      <c r="T2272">
        <v>-4.666555E-2</v>
      </c>
      <c r="U2272">
        <v>-0.1118469</v>
      </c>
      <c r="V2272">
        <v>-2.3295389999999998E-3</v>
      </c>
      <c r="W2272">
        <v>3.6357319999999999E-2</v>
      </c>
      <c r="X2272">
        <v>0.99933609999999995</v>
      </c>
      <c r="Y2272">
        <v>-4.601061E-2</v>
      </c>
      <c r="Z2272">
        <v>-4.9413759999999995E-4</v>
      </c>
      <c r="AA2272">
        <v>0.99894079999999996</v>
      </c>
      <c r="AB2272">
        <v>49</v>
      </c>
      <c r="AC2272">
        <v>-70.881100000000004</v>
      </c>
      <c r="AD2272">
        <v>-1.10891268749959</v>
      </c>
      <c r="AE2272">
        <v>-2.6621000000000001</v>
      </c>
      <c r="AF2272">
        <v>-3.2855171797990499</v>
      </c>
      <c r="AG2272">
        <v>-1.10891268749959</v>
      </c>
      <c r="AH2272">
        <v>70.837589012753099</v>
      </c>
      <c r="AI2272">
        <v>90.8958889773034</v>
      </c>
      <c r="AJ2272">
        <v>92.655531613107797</v>
      </c>
      <c r="AK2272">
        <v>70.922410616299302</v>
      </c>
      <c r="AL2272">
        <v>87.916419724786294</v>
      </c>
      <c r="AM2272">
        <v>90.133561182418802</v>
      </c>
      <c r="AN2272">
        <v>0.99999996111637102</v>
      </c>
    </row>
    <row r="2273" spans="1:40" x14ac:dyDescent="0.25">
      <c r="A2273" t="str">
        <f>"20190312151030107"</f>
        <v>20190312151030107</v>
      </c>
      <c r="B2273" t="str">
        <f>"1552374630103125"</f>
        <v>1552374630103125</v>
      </c>
      <c r="C2273" t="s">
        <v>40</v>
      </c>
      <c r="D2273">
        <v>5.0955159999999999</v>
      </c>
      <c r="E2273">
        <v>0.47195799999999999</v>
      </c>
      <c r="F2273" t="s">
        <v>52</v>
      </c>
      <c r="G2273">
        <v>-389.02730000000003</v>
      </c>
      <c r="H2273" s="1">
        <v>3.2670709999999999E-6</v>
      </c>
      <c r="I2273">
        <v>281.7928</v>
      </c>
      <c r="J2273">
        <v>-372.50970000000001</v>
      </c>
      <c r="K2273">
        <v>1.1089119999999999</v>
      </c>
      <c r="L2273">
        <v>283.05079999999998</v>
      </c>
      <c r="M2273">
        <v>-0.99992150000000002</v>
      </c>
      <c r="N2273">
        <v>0</v>
      </c>
      <c r="O2273">
        <v>8.8074280000000008E-3</v>
      </c>
      <c r="P2273">
        <v>-0.99959790000000004</v>
      </c>
      <c r="Q2273">
        <v>2.7562679999999999E-2</v>
      </c>
      <c r="R2273">
        <v>6.6511599999999997E-3</v>
      </c>
      <c r="S2273">
        <v>-3.0081180000000001</v>
      </c>
      <c r="T2273">
        <v>-0.19878470000000001</v>
      </c>
      <c r="U2273">
        <v>-0.22509770000000001</v>
      </c>
      <c r="V2273">
        <v>-2.152265E-3</v>
      </c>
      <c r="W2273">
        <v>3.6463580000000002E-2</v>
      </c>
      <c r="X2273">
        <v>0.99933269999999996</v>
      </c>
      <c r="Y2273">
        <v>-8.3202180000000001E-2</v>
      </c>
      <c r="Z2273">
        <v>-3.3229399999999999E-3</v>
      </c>
      <c r="AA2273">
        <v>0.9965271</v>
      </c>
      <c r="AB2273">
        <v>49</v>
      </c>
      <c r="AC2273">
        <v>-16.517600000000002</v>
      </c>
      <c r="AD2273">
        <v>-1.1089087329289999</v>
      </c>
      <c r="AE2273">
        <v>-1.25799999999998</v>
      </c>
      <c r="AF2273">
        <v>-1.3971736608347001</v>
      </c>
      <c r="AG2273">
        <v>-1.1089087329289999</v>
      </c>
      <c r="AH2273">
        <v>16.432244372903501</v>
      </c>
      <c r="AI2273">
        <v>93.846839631047999</v>
      </c>
      <c r="AJ2273">
        <v>94.8599614819246</v>
      </c>
      <c r="AK2273">
        <v>16.5287757546443</v>
      </c>
      <c r="AL2273">
        <v>87.910327590008905</v>
      </c>
      <c r="AM2273">
        <v>90.123397853618101</v>
      </c>
      <c r="AN2273">
        <v>1.0000000351001599</v>
      </c>
    </row>
    <row r="2274" spans="1:40" x14ac:dyDescent="0.25">
      <c r="A2274" t="str">
        <f>"20190312151030129"</f>
        <v>20190312151030129</v>
      </c>
      <c r="B2274" t="str">
        <f>"1552374630122643"</f>
        <v>1552374630122643</v>
      </c>
      <c r="C2274" t="s">
        <v>40</v>
      </c>
      <c r="D2274">
        <v>5.0232720000000004</v>
      </c>
      <c r="E2274">
        <v>0.47297339999999999</v>
      </c>
      <c r="F2274" t="s">
        <v>52</v>
      </c>
      <c r="G2274">
        <v>-390.90940000000001</v>
      </c>
      <c r="H2274" s="1">
        <v>-1.0528680000000001E-6</v>
      </c>
      <c r="I2274">
        <v>281.74630000000002</v>
      </c>
      <c r="J2274">
        <v>-373.0179</v>
      </c>
      <c r="K2274">
        <v>1.10891299999999</v>
      </c>
      <c r="L2274">
        <v>283.05520000000001</v>
      </c>
      <c r="M2274">
        <v>-0.99992060000000005</v>
      </c>
      <c r="N2274">
        <v>0</v>
      </c>
      <c r="O2274">
        <v>8.8065780000000007E-3</v>
      </c>
      <c r="P2274">
        <v>-0.99960919999999998</v>
      </c>
      <c r="Q2274">
        <v>2.7161830000000001E-2</v>
      </c>
      <c r="R2274">
        <v>6.6305330000000001E-3</v>
      </c>
      <c r="S2274">
        <v>-3.0075989999999999</v>
      </c>
      <c r="T2274">
        <v>-0.1812626</v>
      </c>
      <c r="U2274">
        <v>-0.21322630000000001</v>
      </c>
      <c r="V2274">
        <v>-2.1718250000000001E-3</v>
      </c>
      <c r="W2274">
        <v>3.6172429999999998E-2</v>
      </c>
      <c r="X2274">
        <v>0.99934319999999999</v>
      </c>
      <c r="Y2274">
        <v>-7.9341339999999996E-2</v>
      </c>
      <c r="Z2274">
        <v>-2.915398E-3</v>
      </c>
      <c r="AA2274">
        <v>0.99684320000000004</v>
      </c>
      <c r="AB2274">
        <v>49</v>
      </c>
      <c r="AC2274">
        <v>-17.891500000000001</v>
      </c>
      <c r="AD2274">
        <v>-1.1089140528679899</v>
      </c>
      <c r="AE2274">
        <v>-1.30889999999999</v>
      </c>
      <c r="AF2274">
        <v>-1.46083658179079</v>
      </c>
      <c r="AG2274">
        <v>-1.1089140528679899</v>
      </c>
      <c r="AH2274">
        <v>17.8112209543077</v>
      </c>
      <c r="AI2274">
        <v>93.550704460208294</v>
      </c>
      <c r="AJ2274">
        <v>94.688777058124401</v>
      </c>
      <c r="AK2274">
        <v>17.905399347082898</v>
      </c>
      <c r="AL2274">
        <v>87.927020187966093</v>
      </c>
      <c r="AM2274">
        <v>90.124517993854397</v>
      </c>
      <c r="AN2274">
        <v>0.99999999645108695</v>
      </c>
    </row>
    <row r="2275" spans="1:40" x14ac:dyDescent="0.25">
      <c r="A2275" t="str">
        <f>"20190312151030151"</f>
        <v>20190312151030151</v>
      </c>
      <c r="B2275" t="str">
        <f>"1552374630143139"</f>
        <v>1552374630143139</v>
      </c>
      <c r="C2275" t="s">
        <v>40</v>
      </c>
      <c r="D2275">
        <v>5.149966</v>
      </c>
      <c r="E2275">
        <v>0.47312130000000002</v>
      </c>
      <c r="F2275" t="s">
        <v>52</v>
      </c>
      <c r="G2275">
        <v>-392.58100000000002</v>
      </c>
      <c r="H2275" s="1">
        <v>-1.63315299999999E-7</v>
      </c>
      <c r="I2275">
        <v>281.72289999999998</v>
      </c>
      <c r="J2275">
        <v>-373.50310000000002</v>
      </c>
      <c r="K2275">
        <v>1.1089089999999999</v>
      </c>
      <c r="L2275">
        <v>283.05950000000001</v>
      </c>
      <c r="M2275">
        <v>-0.99991989999999997</v>
      </c>
      <c r="N2275">
        <v>0</v>
      </c>
      <c r="O2275">
        <v>8.806141E-3</v>
      </c>
      <c r="P2275">
        <v>-0.99960649999999995</v>
      </c>
      <c r="Q2275">
        <v>2.7132369999999999E-2</v>
      </c>
      <c r="R2275">
        <v>7.1411469999999996E-3</v>
      </c>
      <c r="S2275">
        <v>-3.0071720000000002</v>
      </c>
      <c r="T2275">
        <v>-0.170458</v>
      </c>
      <c r="U2275">
        <v>-0.2048035</v>
      </c>
      <c r="V2275">
        <v>-1.6609870000000001E-3</v>
      </c>
      <c r="W2275">
        <v>3.6238190000000003E-2</v>
      </c>
      <c r="X2275">
        <v>0.99934179999999995</v>
      </c>
      <c r="Y2275">
        <v>-7.659465E-2</v>
      </c>
      <c r="Z2275">
        <v>-2.6648370000000002E-3</v>
      </c>
      <c r="AA2275">
        <v>0.99705869999999996</v>
      </c>
      <c r="AB2275">
        <v>49</v>
      </c>
      <c r="AC2275">
        <v>-19.0778999999999</v>
      </c>
      <c r="AD2275">
        <v>-1.1089091633153001</v>
      </c>
      <c r="AE2275">
        <v>-1.33660000000003</v>
      </c>
      <c r="AF2275">
        <v>-1.4995163387411701</v>
      </c>
      <c r="AG2275">
        <v>-1.1089091633153001</v>
      </c>
      <c r="AH2275">
        <v>19.001505388417399</v>
      </c>
      <c r="AI2275">
        <v>93.329608698116999</v>
      </c>
      <c r="AJ2275">
        <v>94.512182948021604</v>
      </c>
      <c r="AK2275">
        <v>19.092811102839001</v>
      </c>
      <c r="AL2275">
        <v>87.9232499514534</v>
      </c>
      <c r="AM2275">
        <v>90.095230137768993</v>
      </c>
      <c r="AN2275">
        <v>0.99999999925976502</v>
      </c>
    </row>
    <row r="2276" spans="1:40" x14ac:dyDescent="0.25">
      <c r="A2276" t="str">
        <f>"20190312151030173"</f>
        <v>20190312151030173</v>
      </c>
      <c r="B2276" t="str">
        <f>"1552374630162659"</f>
        <v>1552374630162659</v>
      </c>
      <c r="C2276" t="s">
        <v>40</v>
      </c>
      <c r="D2276">
        <v>5.0276699999999996</v>
      </c>
      <c r="E2276">
        <v>0.47302709999999998</v>
      </c>
      <c r="F2276" t="s">
        <v>52</v>
      </c>
      <c r="G2276">
        <v>-393.47120000000001</v>
      </c>
      <c r="H2276" s="1">
        <v>3.1038639999999998E-7</v>
      </c>
      <c r="I2276">
        <v>281.71910000000003</v>
      </c>
      <c r="J2276">
        <v>-373.98489999999998</v>
      </c>
      <c r="K2276">
        <v>1.1089</v>
      </c>
      <c r="L2276">
        <v>283.06380000000001</v>
      </c>
      <c r="M2276">
        <v>-0.99991909999999895</v>
      </c>
      <c r="N2276">
        <v>0</v>
      </c>
      <c r="O2276">
        <v>8.8054429999999996E-3</v>
      </c>
      <c r="P2276">
        <v>-0.99960479999999996</v>
      </c>
      <c r="Q2276">
        <v>2.7112480000000001E-2</v>
      </c>
      <c r="R2276">
        <v>7.4496199999999997E-3</v>
      </c>
      <c r="S2276">
        <v>-3.0072019999999999</v>
      </c>
      <c r="T2276">
        <v>-0.1670026</v>
      </c>
      <c r="U2276">
        <v>-0.20187379999999999</v>
      </c>
      <c r="V2276">
        <v>-1.35172E-3</v>
      </c>
      <c r="W2276">
        <v>3.6305379999999998E-2</v>
      </c>
      <c r="X2276">
        <v>0.9993398</v>
      </c>
      <c r="Y2276">
        <v>-7.5633259999999994E-2</v>
      </c>
      <c r="Z2276">
        <v>-2.5842769999999998E-3</v>
      </c>
      <c r="AA2276">
        <v>0.99713240000000003</v>
      </c>
      <c r="AB2276">
        <v>49</v>
      </c>
      <c r="AC2276">
        <v>-19.4863</v>
      </c>
      <c r="AD2276">
        <v>-1.1088996896136001</v>
      </c>
      <c r="AE2276">
        <v>-1.34469999999998</v>
      </c>
      <c r="AF2276">
        <v>-1.5113694277290599</v>
      </c>
      <c r="AG2276">
        <v>-1.1088996896136001</v>
      </c>
      <c r="AH2276">
        <v>19.411140871422301</v>
      </c>
      <c r="AI2276">
        <v>93.259736212757204</v>
      </c>
      <c r="AJ2276">
        <v>94.452120288278905</v>
      </c>
      <c r="AK2276">
        <v>19.501443177336899</v>
      </c>
      <c r="AL2276">
        <v>87.919397655977406</v>
      </c>
      <c r="AM2276">
        <v>90.077498968670696</v>
      </c>
      <c r="AN2276">
        <v>0.99999997181397104</v>
      </c>
    </row>
    <row r="2277" spans="1:40" x14ac:dyDescent="0.25">
      <c r="A2277" t="str">
        <f>"20190312151030194"</f>
        <v>20190312151030194</v>
      </c>
      <c r="B2277" t="str">
        <f>"1552374630183155"</f>
        <v>1552374630183155</v>
      </c>
      <c r="C2277" t="s">
        <v>40</v>
      </c>
      <c r="D2277">
        <v>5.0966740000000001</v>
      </c>
      <c r="E2277">
        <v>0.47286099999999998</v>
      </c>
      <c r="F2277" t="s">
        <v>52</v>
      </c>
      <c r="G2277">
        <v>-393.35129999999998</v>
      </c>
      <c r="H2277" s="1">
        <v>2.4658750000000002E-7</v>
      </c>
      <c r="I2277">
        <v>281.76429999999999</v>
      </c>
      <c r="J2277">
        <v>-374.46539999999999</v>
      </c>
      <c r="K2277">
        <v>1.108895</v>
      </c>
      <c r="L2277">
        <v>283.06799999999998</v>
      </c>
      <c r="M2277">
        <v>-0.99991819999999998</v>
      </c>
      <c r="N2277">
        <v>0</v>
      </c>
      <c r="O2277">
        <v>8.80505E-3</v>
      </c>
      <c r="P2277">
        <v>-0.99959160000000002</v>
      </c>
      <c r="Q2277">
        <v>2.7526209999999999E-2</v>
      </c>
      <c r="R2277">
        <v>7.6665240000000001E-3</v>
      </c>
      <c r="S2277">
        <v>-3.0073240000000001</v>
      </c>
      <c r="T2277">
        <v>-0.17219670000000001</v>
      </c>
      <c r="U2277">
        <v>-0.20178219999999999</v>
      </c>
      <c r="V2277">
        <v>-1.134405E-3</v>
      </c>
      <c r="W2277">
        <v>3.6803339999999997E-2</v>
      </c>
      <c r="X2277">
        <v>0.99932189999999999</v>
      </c>
      <c r="Y2277">
        <v>-7.5591839999999993E-2</v>
      </c>
      <c r="Z2277">
        <v>-2.6632140000000001E-3</v>
      </c>
      <c r="AA2277">
        <v>0.99713529999999995</v>
      </c>
      <c r="AB2277">
        <v>49</v>
      </c>
      <c r="AC2277">
        <v>-18.8858999999999</v>
      </c>
      <c r="AD2277">
        <v>-1.1088947534125</v>
      </c>
      <c r="AE2277">
        <v>-1.3036999999999901</v>
      </c>
      <c r="AF2277">
        <v>-1.4649215304860499</v>
      </c>
      <c r="AG2277">
        <v>-1.1088947534125</v>
      </c>
      <c r="AH2277">
        <v>18.809151016135299</v>
      </c>
      <c r="AI2277">
        <v>93.363807927150603</v>
      </c>
      <c r="AJ2277">
        <v>94.453402839219507</v>
      </c>
      <c r="AK2277">
        <v>18.8986720330401</v>
      </c>
      <c r="AL2277">
        <v>87.890847661311795</v>
      </c>
      <c r="AM2277">
        <v>90.065040694935107</v>
      </c>
      <c r="AN2277">
        <v>1.00000001626473</v>
      </c>
    </row>
    <row r="2278" spans="1:40" x14ac:dyDescent="0.25">
      <c r="A2278" t="str">
        <f>"20190312151030218"</f>
        <v>20190312151030218</v>
      </c>
      <c r="B2278" t="str">
        <f>"1552374630213411"</f>
        <v>1552374630213411</v>
      </c>
      <c r="C2278" t="s">
        <v>40</v>
      </c>
      <c r="D2278">
        <v>4.9868189999999997</v>
      </c>
      <c r="E2278">
        <v>0.47259519999999999</v>
      </c>
      <c r="F2278" t="s">
        <v>52</v>
      </c>
      <c r="G2278">
        <v>-393.31060000000002</v>
      </c>
      <c r="H2278" s="1">
        <v>2.2495199999999999E-7</v>
      </c>
      <c r="I2278">
        <v>281.79849999999999</v>
      </c>
      <c r="J2278">
        <v>-374.97289999999998</v>
      </c>
      <c r="K2278">
        <v>1.1089</v>
      </c>
      <c r="L2278">
        <v>283.07249999999999</v>
      </c>
      <c r="M2278">
        <v>-0.99991739999999996</v>
      </c>
      <c r="N2278">
        <v>0</v>
      </c>
      <c r="O2278">
        <v>8.8039190000000003E-3</v>
      </c>
      <c r="P2278">
        <v>-0.9996041</v>
      </c>
      <c r="Q2278">
        <v>2.7073779999999999E-2</v>
      </c>
      <c r="R2278">
        <v>7.6704599999999996E-3</v>
      </c>
      <c r="S2278">
        <v>-3.0076900000000002</v>
      </c>
      <c r="T2278">
        <v>-0.1769792</v>
      </c>
      <c r="U2278">
        <v>-0.20260619999999999</v>
      </c>
      <c r="V2278">
        <v>-1.129655E-3</v>
      </c>
      <c r="W2278">
        <v>3.6439279999999998E-2</v>
      </c>
      <c r="X2278">
        <v>0.99933519999999998</v>
      </c>
      <c r="Y2278">
        <v>-7.5846399999999994E-2</v>
      </c>
      <c r="Z2278">
        <v>-2.7441060000000001E-3</v>
      </c>
      <c r="AA2278">
        <v>0.99711570000000005</v>
      </c>
      <c r="AB2278">
        <v>49</v>
      </c>
      <c r="AC2278">
        <v>-18.337700000000002</v>
      </c>
      <c r="AD2278">
        <v>-1.1088997750480001</v>
      </c>
      <c r="AE2278">
        <v>-1.274</v>
      </c>
      <c r="AF2278">
        <v>-1.43019658064571</v>
      </c>
      <c r="AG2278">
        <v>-1.1088997750480001</v>
      </c>
      <c r="AH2278">
        <v>18.259323580467001</v>
      </c>
      <c r="AI2278">
        <v>93.464752889090306</v>
      </c>
      <c r="AJ2278">
        <v>94.478657870844899</v>
      </c>
      <c r="AK2278">
        <v>18.348787932356402</v>
      </c>
      <c r="AL2278">
        <v>87.911720666459203</v>
      </c>
      <c r="AM2278">
        <v>90.064767493666906</v>
      </c>
      <c r="AN2278">
        <v>0.99999996960318804</v>
      </c>
    </row>
    <row r="2279" spans="1:40" x14ac:dyDescent="0.25">
      <c r="A2279" t="str">
        <f>"20190312151030230"</f>
        <v>20190312151030230</v>
      </c>
      <c r="B2279" t="str">
        <f>"1552374630223171"</f>
        <v>1552374630223171</v>
      </c>
      <c r="C2279" t="s">
        <v>40</v>
      </c>
      <c r="D2279">
        <v>5.082897</v>
      </c>
      <c r="E2279">
        <v>0.4725239</v>
      </c>
      <c r="F2279" t="s">
        <v>52</v>
      </c>
      <c r="G2279">
        <v>-393.32100000000003</v>
      </c>
      <c r="H2279" s="1">
        <v>2.3049420000000001E-7</v>
      </c>
      <c r="I2279">
        <v>281.8218</v>
      </c>
      <c r="J2279">
        <v>-375.25549999999998</v>
      </c>
      <c r="K2279">
        <v>1.1089020000000001</v>
      </c>
      <c r="L2279">
        <v>283.07499999999999</v>
      </c>
      <c r="M2279">
        <v>-0.99991699999999994</v>
      </c>
      <c r="N2279">
        <v>0</v>
      </c>
      <c r="O2279">
        <v>8.8036869999999993E-3</v>
      </c>
      <c r="P2279">
        <v>-0.99959609999999999</v>
      </c>
      <c r="Q2279">
        <v>2.740223E-2</v>
      </c>
      <c r="R2279">
        <v>7.5629299999999998E-3</v>
      </c>
      <c r="S2279">
        <v>-3.0076900000000002</v>
      </c>
      <c r="T2279">
        <v>-0.18177450000000001</v>
      </c>
      <c r="U2279">
        <v>-0.20501710000000001</v>
      </c>
      <c r="V2279">
        <v>-1.236378E-3</v>
      </c>
      <c r="W2279">
        <v>3.6816679999999997E-2</v>
      </c>
      <c r="X2279">
        <v>0.99932129999999997</v>
      </c>
      <c r="Y2279">
        <v>-7.6632350000000002E-2</v>
      </c>
      <c r="Z2279">
        <v>-2.8419370000000001E-3</v>
      </c>
      <c r="AA2279">
        <v>0.99705540000000004</v>
      </c>
      <c r="AB2279">
        <v>50</v>
      </c>
      <c r="AC2279">
        <v>-18.065499999999901</v>
      </c>
      <c r="AD2279">
        <v>-1.1089017695058001</v>
      </c>
      <c r="AE2279">
        <v>-1.2531999999999901</v>
      </c>
      <c r="AF2279">
        <v>-1.4069258669728899</v>
      </c>
      <c r="AG2279">
        <v>-1.1089017695058001</v>
      </c>
      <c r="AH2279">
        <v>17.986322518660899</v>
      </c>
      <c r="AI2279">
        <v>93.517245724187703</v>
      </c>
      <c r="AJ2279">
        <v>94.472682193416304</v>
      </c>
      <c r="AK2279">
        <v>18.075311927456699</v>
      </c>
      <c r="AL2279">
        <v>87.890082843304995</v>
      </c>
      <c r="AM2279">
        <v>90.070887316359702</v>
      </c>
      <c r="AN2279">
        <v>1.00000002859523</v>
      </c>
    </row>
    <row r="2280" spans="1:40" x14ac:dyDescent="0.25">
      <c r="A2280" t="str">
        <f>"20190312151030242"</f>
        <v>20190312151030242</v>
      </c>
      <c r="B2280" t="str">
        <f>"1552374630232932"</f>
        <v>1552374630232932</v>
      </c>
      <c r="C2280" t="s">
        <v>40</v>
      </c>
      <c r="D2280">
        <v>4.9829140000000001</v>
      </c>
      <c r="E2280">
        <v>0.47267579999999998</v>
      </c>
      <c r="F2280" t="s">
        <v>52</v>
      </c>
      <c r="G2280">
        <v>-393.50470000000001</v>
      </c>
      <c r="H2280" s="1">
        <v>3.2822070000000001E-7</v>
      </c>
      <c r="I2280">
        <v>281.82549999999998</v>
      </c>
      <c r="J2280">
        <v>-375.51710000000003</v>
      </c>
      <c r="K2280">
        <v>1.1089039999999999</v>
      </c>
      <c r="L2280">
        <v>283.07729999999998</v>
      </c>
      <c r="M2280">
        <v>-0.99991640000000004</v>
      </c>
      <c r="N2280">
        <v>0</v>
      </c>
      <c r="O2280">
        <v>8.8033539999999993E-3</v>
      </c>
      <c r="P2280">
        <v>-0.99959900000000002</v>
      </c>
      <c r="Q2280">
        <v>2.7300370000000001E-2</v>
      </c>
      <c r="R2280">
        <v>7.5232509999999999E-3</v>
      </c>
      <c r="S2280">
        <v>-3.0077820000000002</v>
      </c>
      <c r="T2280">
        <v>-0.1827666</v>
      </c>
      <c r="U2280">
        <v>-0.20593259999999999</v>
      </c>
      <c r="V2280">
        <v>-1.275932E-3</v>
      </c>
      <c r="W2280">
        <v>3.6759979999999998E-2</v>
      </c>
      <c r="X2280">
        <v>0.99932330000000003</v>
      </c>
      <c r="Y2280">
        <v>-7.6929819999999996E-2</v>
      </c>
      <c r="Z2280">
        <v>-2.8663019999999998E-3</v>
      </c>
      <c r="AA2280">
        <v>0.99703240000000004</v>
      </c>
      <c r="AB2280">
        <v>50</v>
      </c>
      <c r="AC2280">
        <v>-17.987599999999901</v>
      </c>
      <c r="AD2280">
        <v>-1.1089036717792999</v>
      </c>
      <c r="AE2280">
        <v>-1.2518</v>
      </c>
      <c r="AF2280">
        <v>-1.40479659772791</v>
      </c>
      <c r="AG2280">
        <v>-1.1089036717792999</v>
      </c>
      <c r="AH2280">
        <v>17.908150414721799</v>
      </c>
      <c r="AI2280">
        <v>93.532505292900098</v>
      </c>
      <c r="AJ2280">
        <v>94.485355759899207</v>
      </c>
      <c r="AK2280">
        <v>17.997360142825801</v>
      </c>
      <c r="AL2280">
        <v>87.893333635311194</v>
      </c>
      <c r="AM2280">
        <v>90.073154982796794</v>
      </c>
      <c r="AN2280">
        <v>0.99999999102747905</v>
      </c>
    </row>
    <row r="2281" spans="1:40" x14ac:dyDescent="0.25">
      <c r="A2281" t="str">
        <f>"20190312151030255"</f>
        <v>20190312151030255</v>
      </c>
      <c r="B2281" t="str">
        <f>"1552374630242691"</f>
        <v>1552374630242691</v>
      </c>
      <c r="C2281" t="s">
        <v>40</v>
      </c>
      <c r="D2281">
        <v>5.0263330000000002</v>
      </c>
      <c r="E2281">
        <v>0.47271030000000003</v>
      </c>
      <c r="F2281" t="s">
        <v>52</v>
      </c>
      <c r="G2281">
        <v>-393.80459999999999</v>
      </c>
      <c r="H2281" s="1">
        <v>4.8781900000000001E-7</v>
      </c>
      <c r="I2281">
        <v>281.8322</v>
      </c>
      <c r="J2281">
        <v>-375.80119999999999</v>
      </c>
      <c r="K2281">
        <v>1.1089020000000001</v>
      </c>
      <c r="L2281">
        <v>283.07979999999998</v>
      </c>
      <c r="M2281">
        <v>-0.99991609999999997</v>
      </c>
      <c r="N2281">
        <v>0</v>
      </c>
      <c r="O2281">
        <v>8.8027690000000002E-3</v>
      </c>
      <c r="P2281">
        <v>-0.99959699999999996</v>
      </c>
      <c r="Q2281">
        <v>2.7450180000000001E-2</v>
      </c>
      <c r="R2281">
        <v>7.2790579999999997E-3</v>
      </c>
      <c r="S2281">
        <v>-3.0077210000000001</v>
      </c>
      <c r="T2281">
        <v>-0.18237999999999999</v>
      </c>
      <c r="U2281">
        <v>-0.20477290000000001</v>
      </c>
      <c r="V2281">
        <v>-1.519896E-3</v>
      </c>
      <c r="W2281">
        <v>3.6957259999999999E-2</v>
      </c>
      <c r="X2281">
        <v>0.99931570000000003</v>
      </c>
      <c r="Y2281">
        <v>-7.6549309999999995E-2</v>
      </c>
      <c r="Z2281">
        <v>-2.8487970000000001E-3</v>
      </c>
      <c r="AA2281">
        <v>0.99706170000000005</v>
      </c>
      <c r="AB2281">
        <v>50</v>
      </c>
      <c r="AC2281">
        <v>-18.003399999999999</v>
      </c>
      <c r="AD2281">
        <v>-1.108901512181</v>
      </c>
      <c r="AE2281">
        <v>-1.2475999999999701</v>
      </c>
      <c r="AF2281">
        <v>-1.40074978813909</v>
      </c>
      <c r="AG2281">
        <v>-1.108901512181</v>
      </c>
      <c r="AH2281">
        <v>17.924043932850299</v>
      </c>
      <c r="AI2281">
        <v>93.529454943366702</v>
      </c>
      <c r="AJ2281">
        <v>94.468537503850897</v>
      </c>
      <c r="AK2281">
        <v>18.0128596685656</v>
      </c>
      <c r="AL2281">
        <v>87.882022675340394</v>
      </c>
      <c r="AM2281">
        <v>90.087143191035807</v>
      </c>
      <c r="AN2281">
        <v>1.0000000087085199</v>
      </c>
    </row>
    <row r="2282" spans="1:40" x14ac:dyDescent="0.25">
      <c r="A2282" t="str">
        <f>"20190312151030273"</f>
        <v>20190312151030273</v>
      </c>
      <c r="B2282" t="str">
        <f>"1552374630263187"</f>
        <v>1552374630263187</v>
      </c>
      <c r="C2282" t="s">
        <v>40</v>
      </c>
      <c r="D2282">
        <v>5.148269</v>
      </c>
      <c r="E2282">
        <v>0.47278540000000002</v>
      </c>
      <c r="F2282" t="s">
        <v>52</v>
      </c>
      <c r="G2282">
        <v>-394.27519999999998</v>
      </c>
      <c r="H2282" s="1">
        <v>7.3825749999999998E-7</v>
      </c>
      <c r="I2282">
        <v>281.81880000000001</v>
      </c>
      <c r="J2282">
        <v>-376.21839999999997</v>
      </c>
      <c r="K2282">
        <v>1.108908</v>
      </c>
      <c r="L2282">
        <v>283.08339999999998</v>
      </c>
      <c r="M2282">
        <v>-0.99991549999999996</v>
      </c>
      <c r="N2282">
        <v>0</v>
      </c>
      <c r="O2282">
        <v>8.8020819999999993E-3</v>
      </c>
      <c r="P2282">
        <v>-0.99961619999999995</v>
      </c>
      <c r="Q2282">
        <v>2.696935E-2</v>
      </c>
      <c r="R2282">
        <v>6.3557509999999998E-3</v>
      </c>
      <c r="S2282">
        <v>-3.0076900000000002</v>
      </c>
      <c r="T2282">
        <v>-0.18053640000000001</v>
      </c>
      <c r="U2282">
        <v>-0.20529169999999999</v>
      </c>
      <c r="V2282">
        <v>-2.4424569999999999E-3</v>
      </c>
      <c r="W2282">
        <v>3.6545550000000003E-2</v>
      </c>
      <c r="X2282">
        <v>0.99932900000000002</v>
      </c>
      <c r="Y2282">
        <v>-7.6723340000000001E-2</v>
      </c>
      <c r="Z2282">
        <v>-2.8252360000000001E-3</v>
      </c>
      <c r="AA2282">
        <v>0.99704839999999995</v>
      </c>
      <c r="AB2282">
        <v>50</v>
      </c>
      <c r="AC2282">
        <v>-18.056799999999999</v>
      </c>
      <c r="AD2282">
        <v>-1.1089072617425</v>
      </c>
      <c r="AE2282">
        <v>-1.26459999999997</v>
      </c>
      <c r="AF2282">
        <v>-1.4181732434310801</v>
      </c>
      <c r="AG2282">
        <v>-1.1089072617425</v>
      </c>
      <c r="AH2282">
        <v>17.977498423001499</v>
      </c>
      <c r="AI2282">
        <v>93.518803211638797</v>
      </c>
      <c r="AJ2282">
        <v>94.510495028175598</v>
      </c>
      <c r="AK2282">
        <v>18.067410999159598</v>
      </c>
      <c r="AL2282">
        <v>87.9056278419189</v>
      </c>
      <c r="AM2282">
        <v>90.140036163354793</v>
      </c>
      <c r="AN2282">
        <v>0.99999999653099902</v>
      </c>
    </row>
    <row r="2283" spans="1:40" x14ac:dyDescent="0.25">
      <c r="A2283" t="str">
        <f>"20190312151030308"</f>
        <v>20190312151030308</v>
      </c>
      <c r="B2283" t="str">
        <f>"1552374630303203"</f>
        <v>1552374630303203</v>
      </c>
      <c r="C2283" t="s">
        <v>40</v>
      </c>
      <c r="D2283">
        <v>5.1558109999999999</v>
      </c>
      <c r="E2283">
        <v>0.47294920000000001</v>
      </c>
      <c r="F2283" t="s">
        <v>52</v>
      </c>
      <c r="G2283">
        <v>-394.8193</v>
      </c>
      <c r="H2283" s="1">
        <v>1.0277849999999999E-6</v>
      </c>
      <c r="I2283">
        <v>281.80290000000002</v>
      </c>
      <c r="J2283">
        <v>-376.95530000000002</v>
      </c>
      <c r="K2283">
        <v>1.1089180000000001</v>
      </c>
      <c r="L2283">
        <v>283.0899</v>
      </c>
      <c r="M2283">
        <v>-0.99991419999999998</v>
      </c>
      <c r="N2283">
        <v>0</v>
      </c>
      <c r="O2283">
        <v>8.801461E-3</v>
      </c>
      <c r="P2283">
        <v>-0.9996275</v>
      </c>
      <c r="Q2283">
        <v>2.6554319999999999E-2</v>
      </c>
      <c r="R2283">
        <v>6.3103539999999998E-3</v>
      </c>
      <c r="S2283">
        <v>-3.0073240000000001</v>
      </c>
      <c r="T2283">
        <v>-0.1792839</v>
      </c>
      <c r="U2283">
        <v>-0.2070313</v>
      </c>
      <c r="V2283">
        <v>-2.4872760000000001E-3</v>
      </c>
      <c r="W2283">
        <v>3.6258680000000001E-2</v>
      </c>
      <c r="X2283">
        <v>0.99933930000000004</v>
      </c>
      <c r="Y2283">
        <v>-7.7306040000000006E-2</v>
      </c>
      <c r="Z2283">
        <v>-2.8232520000000001E-3</v>
      </c>
      <c r="AA2283">
        <v>0.99700339999999998</v>
      </c>
      <c r="AB2283">
        <v>50</v>
      </c>
      <c r="AC2283">
        <v>-17.863999999999901</v>
      </c>
      <c r="AD2283">
        <v>-1.1089169722149901</v>
      </c>
      <c r="AE2283">
        <v>-1.2869999999999699</v>
      </c>
      <c r="AF2283">
        <v>-1.4386717366728099</v>
      </c>
      <c r="AG2283">
        <v>-1.1089169722149901</v>
      </c>
      <c r="AH2283">
        <v>17.783806257891801</v>
      </c>
      <c r="AI2283">
        <v>93.556494828725903</v>
      </c>
      <c r="AJ2283">
        <v>94.625033618377898</v>
      </c>
      <c r="AK2283">
        <v>17.876331789139499</v>
      </c>
      <c r="AL2283">
        <v>87.922075102015299</v>
      </c>
      <c r="AM2283">
        <v>90.142604341702906</v>
      </c>
      <c r="AN2283">
        <v>0.99999995747086501</v>
      </c>
    </row>
    <row r="2284" spans="1:40" x14ac:dyDescent="0.25">
      <c r="A2284" t="str">
        <f>"20190312151030330"</f>
        <v>20190312151030330</v>
      </c>
      <c r="B2284" t="str">
        <f>"1552374630322723"</f>
        <v>1552374630322723</v>
      </c>
      <c r="C2284" t="s">
        <v>40</v>
      </c>
      <c r="D2284">
        <v>5.0570190000000004</v>
      </c>
      <c r="E2284">
        <v>0.47297489999999998</v>
      </c>
      <c r="F2284" t="s">
        <v>52</v>
      </c>
      <c r="G2284">
        <v>-395.80130000000003</v>
      </c>
      <c r="H2284" s="1">
        <v>1.5503790000000001E-6</v>
      </c>
      <c r="I2284">
        <v>281.79849999999999</v>
      </c>
      <c r="J2284">
        <v>-377.46140000000003</v>
      </c>
      <c r="K2284">
        <v>1.1089260000000001</v>
      </c>
      <c r="L2284">
        <v>283.09440000000001</v>
      </c>
      <c r="M2284">
        <v>-0.9999133</v>
      </c>
      <c r="N2284">
        <v>0</v>
      </c>
      <c r="O2284">
        <v>8.8009950000000007E-3</v>
      </c>
      <c r="P2284">
        <v>-0.99962810000000002</v>
      </c>
      <c r="Q2284">
        <v>2.6546799999999999E-2</v>
      </c>
      <c r="R2284">
        <v>6.2408139999999999E-3</v>
      </c>
      <c r="S2284">
        <v>-3.0070800000000002</v>
      </c>
      <c r="T2284">
        <v>-0.17693900000000001</v>
      </c>
      <c r="U2284">
        <v>-0.20605470000000001</v>
      </c>
      <c r="V2284">
        <v>-2.5563640000000002E-3</v>
      </c>
      <c r="W2284">
        <v>3.6345889999999999E-2</v>
      </c>
      <c r="X2284">
        <v>0.999336</v>
      </c>
      <c r="Y2284">
        <v>-7.6993339999999993E-2</v>
      </c>
      <c r="Z2284">
        <v>-2.777439E-3</v>
      </c>
      <c r="AA2284">
        <v>0.99702780000000002</v>
      </c>
      <c r="AB2284">
        <v>50</v>
      </c>
      <c r="AC2284">
        <v>-18.3399</v>
      </c>
      <c r="AD2284">
        <v>-1.108924449621</v>
      </c>
      <c r="AE2284">
        <v>-1.29590000000001</v>
      </c>
      <c r="AF2284">
        <v>-1.45198478681137</v>
      </c>
      <c r="AG2284">
        <v>-1.108924449621</v>
      </c>
      <c r="AH2284">
        <v>18.261351481614099</v>
      </c>
      <c r="AI2284">
        <v>93.464124934718896</v>
      </c>
      <c r="AJ2284">
        <v>94.546100886026295</v>
      </c>
      <c r="AK2284">
        <v>18.352518388252498</v>
      </c>
      <c r="AL2284">
        <v>87.917075129324104</v>
      </c>
      <c r="AM2284">
        <v>90.146565868354998</v>
      </c>
      <c r="AN2284">
        <v>0.99999999980639598</v>
      </c>
    </row>
    <row r="2285" spans="1:40" x14ac:dyDescent="0.25">
      <c r="A2285" t="str">
        <f>"20190312151030352"</f>
        <v>20190312151030352</v>
      </c>
      <c r="B2285" t="str">
        <f>"1552374630343219"</f>
        <v>1552374630343219</v>
      </c>
      <c r="C2285" t="s">
        <v>40</v>
      </c>
      <c r="D2285">
        <v>5.1337830000000002</v>
      </c>
      <c r="E2285">
        <v>0.47299570000000002</v>
      </c>
      <c r="F2285" t="s">
        <v>52</v>
      </c>
      <c r="G2285">
        <v>-396.40949999999998</v>
      </c>
      <c r="H2285" s="1">
        <v>1.8740289999999999E-6</v>
      </c>
      <c r="I2285">
        <v>281.79689999999999</v>
      </c>
      <c r="J2285">
        <v>-377.95589999999999</v>
      </c>
      <c r="K2285">
        <v>1.108938</v>
      </c>
      <c r="L2285">
        <v>283.09870000000001</v>
      </c>
      <c r="M2285">
        <v>-0.99991240000000003</v>
      </c>
      <c r="N2285">
        <v>0</v>
      </c>
      <c r="O2285">
        <v>8.8002240000000006E-3</v>
      </c>
      <c r="P2285">
        <v>-0.99962850000000003</v>
      </c>
      <c r="Q2285">
        <v>2.658487E-2</v>
      </c>
      <c r="R2285">
        <v>6.0268099999999996E-3</v>
      </c>
      <c r="S2285">
        <v>-3.0070800000000002</v>
      </c>
      <c r="T2285">
        <v>-0.17598749999999999</v>
      </c>
      <c r="U2285">
        <v>-0.2059021</v>
      </c>
      <c r="V2285">
        <v>-2.7693539999999999E-3</v>
      </c>
      <c r="W2285">
        <v>3.6479310000000001E-2</v>
      </c>
      <c r="X2285">
        <v>0.99933059999999996</v>
      </c>
      <c r="Y2285">
        <v>-7.6943880000000006E-2</v>
      </c>
      <c r="Z2285">
        <v>-2.7610439999999998E-3</v>
      </c>
      <c r="AA2285">
        <v>0.99703160000000002</v>
      </c>
      <c r="AB2285">
        <v>50</v>
      </c>
      <c r="AC2285">
        <v>-18.453599999999899</v>
      </c>
      <c r="AD2285">
        <v>-1.108936125971</v>
      </c>
      <c r="AE2285">
        <v>-1.3018000000000101</v>
      </c>
      <c r="AF2285">
        <v>-1.4589110143794899</v>
      </c>
      <c r="AG2285">
        <v>-1.108936125971</v>
      </c>
      <c r="AH2285">
        <v>18.375400117326301</v>
      </c>
      <c r="AI2285">
        <v>93.442744163369497</v>
      </c>
      <c r="AJ2285">
        <v>94.539464083422402</v>
      </c>
      <c r="AK2285">
        <v>18.4665505753293</v>
      </c>
      <c r="AL2285">
        <v>87.909425714109105</v>
      </c>
      <c r="AM2285">
        <v>90.158778176110701</v>
      </c>
      <c r="AN2285">
        <v>1.000000028738</v>
      </c>
    </row>
    <row r="2286" spans="1:40" x14ac:dyDescent="0.25">
      <c r="A2286" t="str">
        <f>"20190312151030374"</f>
        <v>20190312151030374</v>
      </c>
      <c r="B2286" t="str">
        <f>"1552374630362739"</f>
        <v>1552374630362739</v>
      </c>
      <c r="C2286" t="s">
        <v>40</v>
      </c>
      <c r="D2286">
        <v>5.1390960000000003</v>
      </c>
      <c r="E2286">
        <v>0.4730511</v>
      </c>
      <c r="F2286" t="s">
        <v>52</v>
      </c>
      <c r="G2286">
        <v>-397.08440000000002</v>
      </c>
      <c r="H2286" s="1">
        <v>2.2331470000000001E-6</v>
      </c>
      <c r="I2286">
        <v>281.78710000000001</v>
      </c>
      <c r="J2286">
        <v>-378.44839999999999</v>
      </c>
      <c r="K2286">
        <v>1.1089519999999999</v>
      </c>
      <c r="L2286">
        <v>283.10300000000001</v>
      </c>
      <c r="M2286">
        <v>-0.99991129999999995</v>
      </c>
      <c r="N2286">
        <v>0</v>
      </c>
      <c r="O2286">
        <v>8.7998429999999999E-3</v>
      </c>
      <c r="P2286">
        <v>-0.99961730000000004</v>
      </c>
      <c r="Q2286">
        <v>2.6857639999999999E-2</v>
      </c>
      <c r="R2286">
        <v>6.6280159999999996E-3</v>
      </c>
      <c r="S2286">
        <v>-3.0069889999999999</v>
      </c>
      <c r="T2286">
        <v>-0.17432429999999999</v>
      </c>
      <c r="U2286">
        <v>-0.20617679999999999</v>
      </c>
      <c r="V2286">
        <v>-2.1679590000000001E-3</v>
      </c>
      <c r="W2286">
        <v>3.685194E-2</v>
      </c>
      <c r="X2286">
        <v>0.99931840000000005</v>
      </c>
      <c r="Y2286">
        <v>-7.7038800000000004E-2</v>
      </c>
      <c r="Z2286">
        <v>-2.7377920000000002E-3</v>
      </c>
      <c r="AA2286">
        <v>0.99702440000000003</v>
      </c>
      <c r="AB2286">
        <v>50</v>
      </c>
      <c r="AC2286">
        <v>-18.635999999999999</v>
      </c>
      <c r="AD2286">
        <v>-1.108949766853</v>
      </c>
      <c r="AE2286">
        <v>-1.3158999999999901</v>
      </c>
      <c r="AF2286">
        <v>-1.4746553567363201</v>
      </c>
      <c r="AG2286">
        <v>-1.108949766853</v>
      </c>
      <c r="AH2286">
        <v>18.558310246993798</v>
      </c>
      <c r="AI2286">
        <v>93.408917153214901</v>
      </c>
      <c r="AJ2286">
        <v>94.543213867992407</v>
      </c>
      <c r="AK2286">
        <v>18.6498058228558</v>
      </c>
      <c r="AL2286">
        <v>87.888061193665095</v>
      </c>
      <c r="AM2286">
        <v>90.124299428477499</v>
      </c>
      <c r="AN2286">
        <v>1.00000001505327</v>
      </c>
    </row>
    <row r="2287" spans="1:40" x14ac:dyDescent="0.25">
      <c r="A2287" t="str">
        <f>"20190312151030395"</f>
        <v>20190312151030395</v>
      </c>
      <c r="B2287" t="str">
        <f>"1552374630392995"</f>
        <v>1552374630392995</v>
      </c>
      <c r="C2287" t="s">
        <v>40</v>
      </c>
      <c r="D2287">
        <v>5.037077</v>
      </c>
      <c r="E2287">
        <v>0.47304269999999998</v>
      </c>
      <c r="F2287" t="s">
        <v>52</v>
      </c>
      <c r="G2287">
        <v>-397.82150000000001</v>
      </c>
      <c r="H2287" s="1">
        <v>2.6254190000000002E-6</v>
      </c>
      <c r="I2287">
        <v>281.78949999999998</v>
      </c>
      <c r="J2287">
        <v>-378.93299999999999</v>
      </c>
      <c r="K2287">
        <v>1.108965</v>
      </c>
      <c r="L2287">
        <v>283.10730000000001</v>
      </c>
      <c r="M2287">
        <v>-0.99991039999999998</v>
      </c>
      <c r="N2287">
        <v>0</v>
      </c>
      <c r="O2287">
        <v>8.7992009999999996E-3</v>
      </c>
      <c r="P2287">
        <v>-0.99963009999999997</v>
      </c>
      <c r="Q2287">
        <v>2.6319639999999998E-2</v>
      </c>
      <c r="R2287">
        <v>6.8771250000000004E-3</v>
      </c>
      <c r="S2287">
        <v>-3.0071409999999998</v>
      </c>
      <c r="T2287">
        <v>-0.17213429999999999</v>
      </c>
      <c r="U2287">
        <v>-0.20388790000000001</v>
      </c>
      <c r="V2287">
        <v>-1.918297E-3</v>
      </c>
      <c r="W2287">
        <v>3.641784E-2</v>
      </c>
      <c r="X2287">
        <v>0.99933479999999997</v>
      </c>
      <c r="Y2287">
        <v>-7.6284160000000004E-2</v>
      </c>
      <c r="Z2287">
        <v>-2.6817949999999998E-3</v>
      </c>
      <c r="AA2287">
        <v>0.99708249999999998</v>
      </c>
      <c r="AB2287">
        <v>50</v>
      </c>
      <c r="AC2287">
        <v>-18.888499999999901</v>
      </c>
      <c r="AD2287">
        <v>-1.108962374581</v>
      </c>
      <c r="AE2287">
        <v>-1.3178000000000301</v>
      </c>
      <c r="AF2287">
        <v>-1.4788881394090601</v>
      </c>
      <c r="AG2287">
        <v>-1.108962374581</v>
      </c>
      <c r="AH2287">
        <v>18.811643253251901</v>
      </c>
      <c r="AI2287">
        <v>93.363376853621403</v>
      </c>
      <c r="AJ2287">
        <v>94.495095320659701</v>
      </c>
      <c r="AK2287">
        <v>18.902244035159899</v>
      </c>
      <c r="AL2287">
        <v>87.912949947979101</v>
      </c>
      <c r="AM2287">
        <v>90.109983347878</v>
      </c>
      <c r="AN2287">
        <v>0.99999999071234202</v>
      </c>
    </row>
    <row r="2288" spans="1:40" x14ac:dyDescent="0.25">
      <c r="A2288" t="str">
        <f>"20190312151030419"</f>
        <v>20190312151030419</v>
      </c>
      <c r="B2288" t="str">
        <f>"1552374630412515"</f>
        <v>1552374630412515</v>
      </c>
      <c r="C2288" t="s">
        <v>40</v>
      </c>
      <c r="D2288">
        <v>5.0497670000000001</v>
      </c>
      <c r="E2288">
        <v>0.4730375</v>
      </c>
      <c r="F2288" t="s">
        <v>52</v>
      </c>
      <c r="G2288">
        <v>-398.22190000000001</v>
      </c>
      <c r="H2288" s="1">
        <v>2.8384709999999998E-6</v>
      </c>
      <c r="I2288">
        <v>281.80290000000002</v>
      </c>
      <c r="J2288">
        <v>-379.43819999999999</v>
      </c>
      <c r="K2288">
        <v>1.108978</v>
      </c>
      <c r="L2288">
        <v>283.11180000000002</v>
      </c>
      <c r="M2288">
        <v>-0.99990919999999905</v>
      </c>
      <c r="N2288">
        <v>0</v>
      </c>
      <c r="O2288">
        <v>8.7987410000000005E-3</v>
      </c>
      <c r="P2288">
        <v>-0.99964090000000005</v>
      </c>
      <c r="Q2288">
        <v>2.5900240000000001E-2</v>
      </c>
      <c r="R2288">
        <v>6.8969819999999899E-3</v>
      </c>
      <c r="S2288">
        <v>-3.0070800000000002</v>
      </c>
      <c r="T2288">
        <v>-0.17288410000000001</v>
      </c>
      <c r="U2288">
        <v>-0.20333860000000001</v>
      </c>
      <c r="V2288">
        <v>-1.898304E-3</v>
      </c>
      <c r="W2288">
        <v>3.6111909999999997E-2</v>
      </c>
      <c r="X2288">
        <v>0.99934599999999996</v>
      </c>
      <c r="Y2288">
        <v>-7.610285E-2</v>
      </c>
      <c r="Z2288">
        <v>-2.6883010000000001E-3</v>
      </c>
      <c r="AA2288">
        <v>0.99709639999999999</v>
      </c>
      <c r="AB2288">
        <v>50</v>
      </c>
      <c r="AC2288">
        <v>-18.7837</v>
      </c>
      <c r="AD2288">
        <v>-1.108975161529</v>
      </c>
      <c r="AE2288">
        <v>-1.30889999999999</v>
      </c>
      <c r="AF2288">
        <v>-1.46903507812843</v>
      </c>
      <c r="AG2288">
        <v>-1.108975161529</v>
      </c>
      <c r="AH2288">
        <v>18.7065664433288</v>
      </c>
      <c r="AI2288">
        <v>93.382286908907005</v>
      </c>
      <c r="AJ2288">
        <v>94.4902479710276</v>
      </c>
      <c r="AK2288">
        <v>18.7969018210005</v>
      </c>
      <c r="AL2288">
        <v>87.930490107757393</v>
      </c>
      <c r="AM2288">
        <v>90.108835855264601</v>
      </c>
      <c r="AN2288">
        <v>1.0000000506589599</v>
      </c>
    </row>
    <row r="2289" spans="1:40" x14ac:dyDescent="0.25">
      <c r="A2289" t="str">
        <f>"20190312151030441"</f>
        <v>20190312151030441</v>
      </c>
      <c r="B2289" t="str">
        <f>"1552374630433011"</f>
        <v>1552374630433011</v>
      </c>
      <c r="C2289" t="s">
        <v>40</v>
      </c>
      <c r="D2289">
        <v>4.9925009999999999</v>
      </c>
      <c r="E2289">
        <v>0.47295120000000002</v>
      </c>
      <c r="F2289" t="s">
        <v>52</v>
      </c>
      <c r="G2289">
        <v>-398.6447</v>
      </c>
      <c r="H2289" s="1">
        <v>3.063507E-6</v>
      </c>
      <c r="I2289">
        <v>281.81380000000001</v>
      </c>
      <c r="J2289">
        <v>-379.93880000000001</v>
      </c>
      <c r="K2289">
        <v>1.1089899999999999</v>
      </c>
      <c r="L2289">
        <v>283.11610000000002</v>
      </c>
      <c r="M2289">
        <v>-0.99990800000000002</v>
      </c>
      <c r="N2289">
        <v>0</v>
      </c>
      <c r="O2289">
        <v>8.7980269999999999E-3</v>
      </c>
      <c r="P2289">
        <v>-0.99964090000000005</v>
      </c>
      <c r="Q2289">
        <v>2.5803369999999999E-2</v>
      </c>
      <c r="R2289">
        <v>7.2300589999999996E-3</v>
      </c>
      <c r="S2289">
        <v>-3.0070190000000001</v>
      </c>
      <c r="T2289">
        <v>-0.17362339999999901</v>
      </c>
      <c r="U2289">
        <v>-0.2032166</v>
      </c>
      <c r="V2289">
        <v>-1.5642589999999999E-3</v>
      </c>
      <c r="W2289">
        <v>3.6130019999999999E-2</v>
      </c>
      <c r="X2289">
        <v>0.99934590000000001</v>
      </c>
      <c r="Y2289">
        <v>-7.6062080000000004E-2</v>
      </c>
      <c r="Z2289">
        <v>-2.698621E-3</v>
      </c>
      <c r="AA2289">
        <v>0.99709950000000003</v>
      </c>
      <c r="AB2289">
        <v>50</v>
      </c>
      <c r="AC2289">
        <v>-18.7058999999999</v>
      </c>
      <c r="AD2289">
        <v>-1.1089869364929901</v>
      </c>
      <c r="AE2289">
        <v>-1.3023</v>
      </c>
      <c r="AF2289">
        <v>-1.46172056064352</v>
      </c>
      <c r="AG2289">
        <v>-1.1089869364929901</v>
      </c>
      <c r="AH2289">
        <v>18.628558572227401</v>
      </c>
      <c r="AI2289">
        <v>93.396470134684506</v>
      </c>
      <c r="AJ2289">
        <v>94.486614819459902</v>
      </c>
      <c r="AK2289">
        <v>18.718698499137901</v>
      </c>
      <c r="AL2289">
        <v>87.929451753729495</v>
      </c>
      <c r="AM2289">
        <v>90.089684027890698</v>
      </c>
      <c r="AN2289">
        <v>1.00000002654911</v>
      </c>
    </row>
    <row r="2290" spans="1:40" x14ac:dyDescent="0.25">
      <c r="A2290" t="str">
        <f>"20190312151030464"</f>
        <v>20190312151030464</v>
      </c>
      <c r="B2290" t="str">
        <f>"1552374630452531"</f>
        <v>1552374630452531</v>
      </c>
      <c r="C2290" t="s">
        <v>40</v>
      </c>
      <c r="D2290">
        <v>5.1614309999999897</v>
      </c>
      <c r="E2290">
        <v>0.47282390000000002</v>
      </c>
      <c r="F2290" t="s">
        <v>52</v>
      </c>
      <c r="G2290">
        <v>-399.11900000000003</v>
      </c>
      <c r="H2290" s="1">
        <v>3.3158979999999998E-6</v>
      </c>
      <c r="I2290">
        <v>281.82170000000002</v>
      </c>
      <c r="J2290">
        <v>-380.44839999999999</v>
      </c>
      <c r="K2290">
        <v>1.1090100000000001</v>
      </c>
      <c r="L2290">
        <v>283.1207</v>
      </c>
      <c r="M2290">
        <v>-0.99990679999999998</v>
      </c>
      <c r="N2290">
        <v>0</v>
      </c>
      <c r="O2290">
        <v>8.7975520000000001E-3</v>
      </c>
      <c r="P2290">
        <v>-0.99964299999999995</v>
      </c>
      <c r="Q2290">
        <v>2.570217E-2</v>
      </c>
      <c r="R2290">
        <v>7.3139579999999997E-3</v>
      </c>
      <c r="S2290">
        <v>-3.0070190000000001</v>
      </c>
      <c r="T2290">
        <v>-0.17386360000000001</v>
      </c>
      <c r="U2290">
        <v>-0.20294190000000001</v>
      </c>
      <c r="V2290">
        <v>-1.47991299999999E-3</v>
      </c>
      <c r="W2290">
        <v>3.6142889999999997E-2</v>
      </c>
      <c r="X2290">
        <v>0.9993455</v>
      </c>
      <c r="Y2290">
        <v>-7.5970720000000005E-2</v>
      </c>
      <c r="Z2290">
        <v>-2.6996939999999999E-3</v>
      </c>
      <c r="AA2290">
        <v>0.99710639999999995</v>
      </c>
      <c r="AB2290">
        <v>50</v>
      </c>
      <c r="AC2290">
        <v>-18.6706</v>
      </c>
      <c r="AD2290">
        <v>-1.1090066841020001</v>
      </c>
      <c r="AE2290">
        <v>-1.29899999999997</v>
      </c>
      <c r="AF2290">
        <v>-1.4580946005661199</v>
      </c>
      <c r="AG2290">
        <v>-1.1090066841020001</v>
      </c>
      <c r="AH2290">
        <v>18.593164568214899</v>
      </c>
      <c r="AI2290">
        <v>93.402993021139807</v>
      </c>
      <c r="AJ2290">
        <v>94.484015467796993</v>
      </c>
      <c r="AK2290">
        <v>18.6831930983519</v>
      </c>
      <c r="AL2290">
        <v>87.928713744493393</v>
      </c>
      <c r="AM2290">
        <v>90.084848240135898</v>
      </c>
      <c r="AN2290">
        <v>0.99999996350514397</v>
      </c>
    </row>
    <row r="2291" spans="1:40" x14ac:dyDescent="0.25">
      <c r="A2291" t="str">
        <f>"20190312151030485"</f>
        <v>20190312151030485</v>
      </c>
      <c r="B2291" t="str">
        <f>"1552374630482787"</f>
        <v>1552374630482787</v>
      </c>
      <c r="C2291" t="s">
        <v>40</v>
      </c>
      <c r="D2291">
        <v>4.9701370000000002</v>
      </c>
      <c r="E2291">
        <v>0.47255930000000002</v>
      </c>
      <c r="F2291" t="s">
        <v>52</v>
      </c>
      <c r="G2291">
        <v>-399.59</v>
      </c>
      <c r="H2291" s="1">
        <v>3.5665340000000002E-6</v>
      </c>
      <c r="I2291">
        <v>281.82400000000001</v>
      </c>
      <c r="J2291">
        <v>-380.92410000000001</v>
      </c>
      <c r="K2291">
        <v>1.1090249999999999</v>
      </c>
      <c r="L2291">
        <v>283.12490000000003</v>
      </c>
      <c r="M2291">
        <v>-0.99990559999999995</v>
      </c>
      <c r="N2291">
        <v>0</v>
      </c>
      <c r="O2291">
        <v>8.7971609999999995E-3</v>
      </c>
      <c r="P2291">
        <v>-0.99964410000000004</v>
      </c>
      <c r="Q2291">
        <v>2.5631910000000001E-2</v>
      </c>
      <c r="R2291">
        <v>7.42098699999999E-3</v>
      </c>
      <c r="S2291">
        <v>-3.00705</v>
      </c>
      <c r="T2291">
        <v>-0.17421929999999999</v>
      </c>
      <c r="U2291">
        <v>-0.20370479999999999</v>
      </c>
      <c r="V2291">
        <v>-1.372217E-3</v>
      </c>
      <c r="W2291">
        <v>3.618101E-2</v>
      </c>
      <c r="X2291">
        <v>0.99934429999999996</v>
      </c>
      <c r="Y2291">
        <v>-7.6220499999999997E-2</v>
      </c>
      <c r="Z2291">
        <v>-2.7123569999999999E-3</v>
      </c>
      <c r="AA2291">
        <v>0.99708730000000001</v>
      </c>
      <c r="AB2291">
        <v>50</v>
      </c>
      <c r="AC2291">
        <v>-18.665899999999901</v>
      </c>
      <c r="AD2291">
        <v>-1.109021433466</v>
      </c>
      <c r="AE2291">
        <v>-1.3009000000000099</v>
      </c>
      <c r="AF2291">
        <v>-1.4599369771503199</v>
      </c>
      <c r="AG2291">
        <v>-1.109021433466</v>
      </c>
      <c r="AH2291">
        <v>18.588431679819099</v>
      </c>
      <c r="AI2291">
        <v>93.403871057661505</v>
      </c>
      <c r="AJ2291">
        <v>94.490796557107402</v>
      </c>
      <c r="AK2291">
        <v>18.678627809141702</v>
      </c>
      <c r="AL2291">
        <v>87.926528253134805</v>
      </c>
      <c r="AM2291">
        <v>90.078673779660605</v>
      </c>
      <c r="AN2291">
        <v>0.99999998920330202</v>
      </c>
    </row>
    <row r="2292" spans="1:40" x14ac:dyDescent="0.25">
      <c r="A2292" t="str">
        <f>"20190312151030508"</f>
        <v>20190312151030508</v>
      </c>
      <c r="B2292" t="str">
        <f>"1552374630503294"</f>
        <v>1552374630503294</v>
      </c>
      <c r="C2292" t="s">
        <v>40</v>
      </c>
      <c r="D2292">
        <v>5.1233740000000001</v>
      </c>
      <c r="E2292">
        <v>0.47234759999999998</v>
      </c>
      <c r="F2292" t="s">
        <v>52</v>
      </c>
      <c r="G2292">
        <v>-399.86099999999999</v>
      </c>
      <c r="H2292" s="1">
        <v>3.71075E-6</v>
      </c>
      <c r="I2292">
        <v>281.8304</v>
      </c>
      <c r="J2292">
        <v>-381.42779999999999</v>
      </c>
      <c r="K2292">
        <v>1.1090409999999999</v>
      </c>
      <c r="L2292">
        <v>283.1293</v>
      </c>
      <c r="M2292">
        <v>-0.99990449999999997</v>
      </c>
      <c r="N2292">
        <v>0</v>
      </c>
      <c r="O2292">
        <v>8.7965279999999996E-3</v>
      </c>
      <c r="P2292">
        <v>-0.99964390000000003</v>
      </c>
      <c r="Q2292">
        <v>2.5668839999999998E-2</v>
      </c>
      <c r="R2292">
        <v>7.3155640000000001E-3</v>
      </c>
      <c r="S2292">
        <v>-3.0071409999999998</v>
      </c>
      <c r="T2292">
        <v>-0.17610990000000001</v>
      </c>
      <c r="U2292">
        <v>-0.20556640000000001</v>
      </c>
      <c r="V2292">
        <v>-1.47752E-3</v>
      </c>
      <c r="W2292">
        <v>3.6336350000000003E-2</v>
      </c>
      <c r="X2292">
        <v>0.99933850000000002</v>
      </c>
      <c r="Y2292">
        <v>-7.6828110000000005E-2</v>
      </c>
      <c r="Z2292">
        <v>-2.7593209999999999E-3</v>
      </c>
      <c r="AA2292">
        <v>0.9970405</v>
      </c>
      <c r="AB2292">
        <v>50</v>
      </c>
      <c r="AC2292">
        <v>-18.433199999999999</v>
      </c>
      <c r="AD2292">
        <v>-1.10903728925</v>
      </c>
      <c r="AE2292">
        <v>-1.2988999999999999</v>
      </c>
      <c r="AF2292">
        <v>-1.4557634990983701</v>
      </c>
      <c r="AG2292">
        <v>-1.10903728925</v>
      </c>
      <c r="AH2292">
        <v>18.3549463629912</v>
      </c>
      <c r="AI2292">
        <v>93.446907492539395</v>
      </c>
      <c r="AJ2292">
        <v>94.534737878507698</v>
      </c>
      <c r="AK2292">
        <v>18.445955303603501</v>
      </c>
      <c r="AL2292">
        <v>87.917622041701506</v>
      </c>
      <c r="AM2292">
        <v>90.084711635208393</v>
      </c>
      <c r="AN2292">
        <v>0.99999997548946096</v>
      </c>
    </row>
    <row r="2293" spans="1:40" x14ac:dyDescent="0.25">
      <c r="A2293" t="str">
        <f>"20190312151030530"</f>
        <v>20190312151030530</v>
      </c>
      <c r="B2293" t="str">
        <f>"1552374630522803"</f>
        <v>1552374630522803</v>
      </c>
      <c r="C2293" t="s">
        <v>40</v>
      </c>
      <c r="D2293">
        <v>4.9896000000000003</v>
      </c>
      <c r="E2293">
        <v>0.4722423</v>
      </c>
      <c r="F2293" t="s">
        <v>61</v>
      </c>
      <c r="G2293">
        <v>-400.27980000000002</v>
      </c>
      <c r="H2293" s="1">
        <v>8.8543019999999997E-6</v>
      </c>
      <c r="I2293">
        <v>281.82819999999998</v>
      </c>
      <c r="J2293">
        <v>-381.93900000000002</v>
      </c>
      <c r="K2293">
        <v>1.109051</v>
      </c>
      <c r="L2293">
        <v>283.13380000000001</v>
      </c>
      <c r="M2293">
        <v>-0.99990319999999999</v>
      </c>
      <c r="N2293">
        <v>0</v>
      </c>
      <c r="O2293">
        <v>8.7960369999999996E-3</v>
      </c>
      <c r="P2293">
        <v>-0.99964339999999996</v>
      </c>
      <c r="Q2293">
        <v>2.5788579999999998E-2</v>
      </c>
      <c r="R2293">
        <v>6.965461E-3</v>
      </c>
      <c r="S2293">
        <v>-3.0071720000000002</v>
      </c>
      <c r="T2293">
        <v>-0.17690739999999999</v>
      </c>
      <c r="U2293">
        <v>-0.20755000000000001</v>
      </c>
      <c r="V2293">
        <v>-1.8267940000000001E-3</v>
      </c>
      <c r="W2293">
        <v>3.6579859999999999E-2</v>
      </c>
      <c r="X2293">
        <v>0.99932909999999997</v>
      </c>
      <c r="Y2293">
        <v>-7.747909E-2</v>
      </c>
      <c r="Z2293">
        <v>-2.790786E-3</v>
      </c>
      <c r="AA2293">
        <v>0.99699009999999999</v>
      </c>
      <c r="AB2293">
        <v>50</v>
      </c>
      <c r="AC2293">
        <v>-18.340800000000002</v>
      </c>
      <c r="AD2293">
        <v>-1.109042145698</v>
      </c>
      <c r="AE2293">
        <v>-1.3056000000000201</v>
      </c>
      <c r="AF2293">
        <v>-1.46156801181566</v>
      </c>
      <c r="AG2293">
        <v>-1.109042145698</v>
      </c>
      <c r="AH2293">
        <v>18.262167591979299</v>
      </c>
      <c r="AI2293">
        <v>93.464194482854893</v>
      </c>
      <c r="AJ2293">
        <v>94.575774905551896</v>
      </c>
      <c r="AK2293">
        <v>18.3540981988121</v>
      </c>
      <c r="AL2293">
        <v>87.903660792702397</v>
      </c>
      <c r="AM2293">
        <v>90.104737738200797</v>
      </c>
      <c r="AN2293">
        <v>1.0000000367203701</v>
      </c>
    </row>
    <row r="2294" spans="1:40" x14ac:dyDescent="0.25">
      <c r="A2294" t="str">
        <f>"20190312151030554"</f>
        <v>20190312151030554</v>
      </c>
      <c r="B2294" t="str">
        <f>"1552374630543299"</f>
        <v>1552374630543299</v>
      </c>
      <c r="C2294" t="s">
        <v>40</v>
      </c>
      <c r="D2294">
        <v>4.9429499999999997</v>
      </c>
      <c r="E2294">
        <v>0.472194</v>
      </c>
      <c r="F2294" t="s">
        <v>61</v>
      </c>
      <c r="G2294">
        <v>-400.69330000000002</v>
      </c>
      <c r="H2294" s="1">
        <v>8.6709179999999995E-6</v>
      </c>
      <c r="I2294">
        <v>281.82819999999998</v>
      </c>
      <c r="J2294">
        <v>-382.4443</v>
      </c>
      <c r="K2294">
        <v>1.109067</v>
      </c>
      <c r="L2294">
        <v>283.13819999999998</v>
      </c>
      <c r="M2294">
        <v>-0.9999017</v>
      </c>
      <c r="N2294">
        <v>0</v>
      </c>
      <c r="O2294">
        <v>8.7955040000000009E-3</v>
      </c>
      <c r="P2294">
        <v>-0.99963769999999996</v>
      </c>
      <c r="Q2294">
        <v>2.6222639999999998E-2</v>
      </c>
      <c r="R2294">
        <v>6.1023999999999896E-3</v>
      </c>
      <c r="S2294">
        <v>-3.0071409999999998</v>
      </c>
      <c r="T2294">
        <v>-0.17782829999999999</v>
      </c>
      <c r="U2294">
        <v>-0.2093506</v>
      </c>
      <c r="V2294">
        <v>-2.689234E-3</v>
      </c>
      <c r="W2294">
        <v>3.7144049999999998E-2</v>
      </c>
      <c r="X2294">
        <v>0.99930629999999998</v>
      </c>
      <c r="Y2294">
        <v>-7.8070769999999998E-2</v>
      </c>
      <c r="Z2294">
        <v>-2.822686E-3</v>
      </c>
      <c r="AA2294">
        <v>0.99694380000000005</v>
      </c>
      <c r="AB2294">
        <v>50</v>
      </c>
      <c r="AC2294">
        <v>-18.248999999999999</v>
      </c>
      <c r="AD2294">
        <v>-1.109058329082</v>
      </c>
      <c r="AE2294">
        <v>-1.31</v>
      </c>
      <c r="AF2294">
        <v>-1.4650845880285199</v>
      </c>
      <c r="AG2294">
        <v>-1.109058329082</v>
      </c>
      <c r="AH2294">
        <v>18.1700055116691</v>
      </c>
      <c r="AI2294">
        <v>93.481606984494405</v>
      </c>
      <c r="AJ2294">
        <v>94.609902308478695</v>
      </c>
      <c r="AK2294">
        <v>18.2626828128145</v>
      </c>
      <c r="AL2294">
        <v>87.871313018100807</v>
      </c>
      <c r="AM2294">
        <v>90.154188346826302</v>
      </c>
      <c r="AN2294">
        <v>0.99999999682479901</v>
      </c>
    </row>
    <row r="2295" spans="1:40" x14ac:dyDescent="0.25">
      <c r="A2295" t="str">
        <f>"20190312151030576"</f>
        <v>20190312151030576</v>
      </c>
      <c r="B2295" t="str">
        <f>"1552374630572580"</f>
        <v>1552374630572580</v>
      </c>
      <c r="C2295" t="s">
        <v>40</v>
      </c>
      <c r="D2295">
        <v>5.0519230000000004</v>
      </c>
      <c r="E2295">
        <v>0.47215659999999998</v>
      </c>
      <c r="F2295" t="s">
        <v>61</v>
      </c>
      <c r="G2295">
        <v>-401.1037</v>
      </c>
      <c r="H2295" s="1">
        <v>8.4907089999999995E-6</v>
      </c>
      <c r="I2295">
        <v>281.81950000000001</v>
      </c>
      <c r="J2295">
        <v>-382.94540000000001</v>
      </c>
      <c r="K2295">
        <v>1.1090949999999999</v>
      </c>
      <c r="L2295">
        <v>283.14269999999999</v>
      </c>
      <c r="M2295">
        <v>-0.99990009999999996</v>
      </c>
      <c r="N2295">
        <v>0</v>
      </c>
      <c r="O2295">
        <v>8.7950559999999903E-3</v>
      </c>
      <c r="P2295">
        <v>-0.99963219999999997</v>
      </c>
      <c r="Q2295">
        <v>2.6511159999999999E-2</v>
      </c>
      <c r="R2295">
        <v>5.7256850000000003E-3</v>
      </c>
      <c r="S2295">
        <v>-3.0070800000000002</v>
      </c>
      <c r="T2295">
        <v>-0.17873120000000001</v>
      </c>
      <c r="U2295">
        <v>-0.2125244</v>
      </c>
      <c r="V2295">
        <v>-3.0656239999999999E-3</v>
      </c>
      <c r="W2295">
        <v>3.757862E-2</v>
      </c>
      <c r="X2295">
        <v>0.99928899999999998</v>
      </c>
      <c r="Y2295">
        <v>-7.9115409999999997E-2</v>
      </c>
      <c r="Z2295">
        <v>-2.8678990000000001E-3</v>
      </c>
      <c r="AA2295">
        <v>0.99686129999999995</v>
      </c>
      <c r="AB2295">
        <v>50</v>
      </c>
      <c r="AC2295">
        <v>-18.158300000000001</v>
      </c>
      <c r="AD2295">
        <v>-1.1090865092910001</v>
      </c>
      <c r="AE2295">
        <v>-1.3231999999999799</v>
      </c>
      <c r="AF2295">
        <v>-1.4773794367345101</v>
      </c>
      <c r="AG2295">
        <v>-1.1090865092910001</v>
      </c>
      <c r="AH2295">
        <v>18.0788702076707</v>
      </c>
      <c r="AI2295">
        <v>93.498897069615396</v>
      </c>
      <c r="AJ2295">
        <v>94.671748479146302</v>
      </c>
      <c r="AK2295">
        <v>18.173009406011399</v>
      </c>
      <c r="AL2295">
        <v>87.846396662255799</v>
      </c>
      <c r="AM2295">
        <v>90.175771739453097</v>
      </c>
      <c r="AN2295">
        <v>1.0000000281263</v>
      </c>
    </row>
    <row r="2296" spans="1:40" x14ac:dyDescent="0.25">
      <c r="A2296" t="str">
        <f>"20190312151030596"</f>
        <v>20190312151030596</v>
      </c>
      <c r="B2296" t="str">
        <f>"1552374630593075"</f>
        <v>1552374630593075</v>
      </c>
      <c r="C2296" t="s">
        <v>40</v>
      </c>
      <c r="D2296">
        <v>4.9745999999999997</v>
      </c>
      <c r="E2296">
        <v>0.47203119999999998</v>
      </c>
      <c r="F2296" t="s">
        <v>61</v>
      </c>
      <c r="G2296">
        <v>-401.78050000000002</v>
      </c>
      <c r="H2296" s="1">
        <v>8.1945420000000008E-6</v>
      </c>
      <c r="I2296">
        <v>281.80040000000002</v>
      </c>
      <c r="J2296">
        <v>-383.41739999999999</v>
      </c>
      <c r="K2296">
        <v>1.109119</v>
      </c>
      <c r="L2296">
        <v>283.14690000000002</v>
      </c>
      <c r="M2296">
        <v>-0.99989839999999997</v>
      </c>
      <c r="N2296">
        <v>0</v>
      </c>
      <c r="O2296">
        <v>8.7944670000000003E-3</v>
      </c>
      <c r="P2296">
        <v>-0.9996391</v>
      </c>
      <c r="Q2296">
        <v>2.6202590000000001E-2</v>
      </c>
      <c r="R2296">
        <v>5.9423509999999898E-3</v>
      </c>
      <c r="S2296">
        <v>-3.0070190000000001</v>
      </c>
      <c r="T2296">
        <v>-0.17706559999999999</v>
      </c>
      <c r="U2296">
        <v>-0.2142944</v>
      </c>
      <c r="V2296">
        <v>-2.8483570000000001E-3</v>
      </c>
      <c r="W2296">
        <v>3.742852E-2</v>
      </c>
      <c r="X2296">
        <v>0.99929520000000005</v>
      </c>
      <c r="Y2296">
        <v>-7.9701949999999994E-2</v>
      </c>
      <c r="Z2296">
        <v>-2.8584169999999998E-3</v>
      </c>
      <c r="AA2296">
        <v>0.99681470000000005</v>
      </c>
      <c r="AB2296">
        <v>50</v>
      </c>
      <c r="AC2296">
        <v>-18.363099999999999</v>
      </c>
      <c r="AD2296">
        <v>-1.1091108054579999</v>
      </c>
      <c r="AE2296">
        <v>-1.34649999999999</v>
      </c>
      <c r="AF2296">
        <v>-1.5024999163220301</v>
      </c>
      <c r="AG2296">
        <v>-1.1091108054579999</v>
      </c>
      <c r="AH2296">
        <v>18.284202755827099</v>
      </c>
      <c r="AI2296">
        <v>93.459647701093004</v>
      </c>
      <c r="AJ2296">
        <v>94.697711661384204</v>
      </c>
      <c r="AK2296">
        <v>18.379328148589298</v>
      </c>
      <c r="AL2296">
        <v>87.855002649630507</v>
      </c>
      <c r="AM2296">
        <v>90.163313496026305</v>
      </c>
      <c r="AN2296">
        <v>0.99999995199501301</v>
      </c>
    </row>
    <row r="2297" spans="1:40" x14ac:dyDescent="0.25">
      <c r="A2297" t="str">
        <f>"20190312151030621"</f>
        <v>20190312151030621</v>
      </c>
      <c r="B2297" t="str">
        <f>"1552374630612595"</f>
        <v>1552374630612595</v>
      </c>
      <c r="C2297" t="s">
        <v>40</v>
      </c>
      <c r="D2297">
        <v>4.945449</v>
      </c>
      <c r="E2297">
        <v>0.47188289999999999</v>
      </c>
      <c r="F2297" t="s">
        <v>61</v>
      </c>
      <c r="G2297">
        <v>-402.15030000000002</v>
      </c>
      <c r="H2297" s="1">
        <v>8.0287839999999997E-6</v>
      </c>
      <c r="I2297">
        <v>281.80900000000003</v>
      </c>
      <c r="J2297">
        <v>-383.9402</v>
      </c>
      <c r="K2297">
        <v>1.1091519999999999</v>
      </c>
      <c r="L2297">
        <v>283.1515</v>
      </c>
      <c r="M2297">
        <v>-0.99989600000000001</v>
      </c>
      <c r="N2297">
        <v>0</v>
      </c>
      <c r="O2297">
        <v>8.7938870000000002E-3</v>
      </c>
      <c r="P2297">
        <v>-0.99965700000000002</v>
      </c>
      <c r="Q2297">
        <v>2.5521599999999998E-2</v>
      </c>
      <c r="R2297">
        <v>5.8902950000000003E-3</v>
      </c>
      <c r="S2297">
        <v>-3.00705</v>
      </c>
      <c r="T2297">
        <v>-0.178038</v>
      </c>
      <c r="U2297">
        <v>-0.2147522</v>
      </c>
      <c r="V2297">
        <v>-2.899871E-3</v>
      </c>
      <c r="W2297">
        <v>3.6943440000000001E-2</v>
      </c>
      <c r="X2297">
        <v>0.99931320000000001</v>
      </c>
      <c r="Y2297">
        <v>-7.9849710000000004E-2</v>
      </c>
      <c r="Z2297">
        <v>-2.8783749999999999E-3</v>
      </c>
      <c r="AA2297">
        <v>0.99680270000000004</v>
      </c>
      <c r="AB2297">
        <v>50</v>
      </c>
      <c r="AC2297">
        <v>-18.210100000000001</v>
      </c>
      <c r="AD2297">
        <v>-1.1091439712160001</v>
      </c>
      <c r="AE2297">
        <v>-1.3424999999999701</v>
      </c>
      <c r="AF2297">
        <v>-1.49707228176582</v>
      </c>
      <c r="AG2297">
        <v>-1.1091439712160001</v>
      </c>
      <c r="AH2297">
        <v>18.130691461221701</v>
      </c>
      <c r="AI2297">
        <v>93.488859436603803</v>
      </c>
      <c r="AJ2297">
        <v>94.720270992195495</v>
      </c>
      <c r="AK2297">
        <v>18.226173449952</v>
      </c>
      <c r="AL2297">
        <v>87.882815130202999</v>
      </c>
      <c r="AM2297">
        <v>90.166264093240102</v>
      </c>
      <c r="AN2297">
        <v>1.0000000493525401</v>
      </c>
    </row>
    <row r="2298" spans="1:40" x14ac:dyDescent="0.25">
      <c r="A2298" t="str">
        <f>"20190312151030642"</f>
        <v>20190312151030642</v>
      </c>
      <c r="B2298" t="str">
        <f>"1552374630633091"</f>
        <v>1552374630633091</v>
      </c>
      <c r="C2298" t="s">
        <v>40</v>
      </c>
      <c r="D2298">
        <v>5.0731539999999997</v>
      </c>
      <c r="E2298">
        <v>0.47181030000000002</v>
      </c>
      <c r="F2298" t="s">
        <v>61</v>
      </c>
      <c r="G2298">
        <v>-402.34050000000002</v>
      </c>
      <c r="H2298" s="1">
        <v>7.9399410000000005E-6</v>
      </c>
      <c r="I2298">
        <v>281.8306</v>
      </c>
      <c r="J2298">
        <v>-384.44319999999999</v>
      </c>
      <c r="K2298">
        <v>1.1091879999999901</v>
      </c>
      <c r="L2298">
        <v>283.15589999999997</v>
      </c>
      <c r="M2298">
        <v>-0.99989380000000005</v>
      </c>
      <c r="N2298">
        <v>0</v>
      </c>
      <c r="O2298">
        <v>8.7935359999999994E-3</v>
      </c>
      <c r="P2298">
        <v>-0.99965999999999999</v>
      </c>
      <c r="Q2298">
        <v>2.534755E-2</v>
      </c>
      <c r="R2298">
        <v>6.147273E-3</v>
      </c>
      <c r="S2298">
        <v>-3.0069270000000001</v>
      </c>
      <c r="T2298">
        <v>-0.18125330000000001</v>
      </c>
      <c r="U2298">
        <v>-0.21585080000000001</v>
      </c>
      <c r="V2298">
        <v>-2.6425530000000002E-3</v>
      </c>
      <c r="W2298">
        <v>3.6973930000000002E-2</v>
      </c>
      <c r="X2298">
        <v>0.9993128</v>
      </c>
      <c r="Y2298">
        <v>-8.0208310000000005E-2</v>
      </c>
      <c r="Z2298">
        <v>-2.9411089999999999E-3</v>
      </c>
      <c r="AA2298">
        <v>0.99677380000000004</v>
      </c>
      <c r="AB2298">
        <v>50</v>
      </c>
      <c r="AC2298">
        <v>-17.897300000000001</v>
      </c>
      <c r="AD2298">
        <v>-1.1091800600589901</v>
      </c>
      <c r="AE2298">
        <v>-1.3252999999999699</v>
      </c>
      <c r="AF2298">
        <v>-1.4769979205252901</v>
      </c>
      <c r="AG2298">
        <v>-1.1091800600589901</v>
      </c>
      <c r="AH2298">
        <v>17.816893976200401</v>
      </c>
      <c r="AI2298">
        <v>93.550170573410995</v>
      </c>
      <c r="AJ2298">
        <v>94.738911715928694</v>
      </c>
      <c r="AK2298">
        <v>17.912384381260701</v>
      </c>
      <c r="AL2298">
        <v>87.881067017442007</v>
      </c>
      <c r="AM2298">
        <v>90.151510899416607</v>
      </c>
      <c r="AN2298">
        <v>1.00000006341491</v>
      </c>
    </row>
    <row r="2299" spans="1:40" x14ac:dyDescent="0.25">
      <c r="A2299" t="str">
        <f>"20190312151030665"</f>
        <v>20190312151030665</v>
      </c>
      <c r="B2299" t="str">
        <f>"1552374630652611"</f>
        <v>1552374630652611</v>
      </c>
      <c r="C2299" t="s">
        <v>40</v>
      </c>
      <c r="D2299">
        <v>4.9534580000000004</v>
      </c>
      <c r="E2299">
        <v>0.47176970000000001</v>
      </c>
      <c r="F2299" t="s">
        <v>61</v>
      </c>
      <c r="G2299">
        <v>-402.73329999999999</v>
      </c>
      <c r="H2299" s="1">
        <v>7.7631119999999997E-6</v>
      </c>
      <c r="I2299">
        <v>281.84350000000001</v>
      </c>
      <c r="J2299">
        <v>-384.93529999999998</v>
      </c>
      <c r="K2299">
        <v>1.1092169999999999</v>
      </c>
      <c r="L2299">
        <v>283.16019999999997</v>
      </c>
      <c r="M2299">
        <v>-0.99989130000000004</v>
      </c>
      <c r="N2299">
        <v>0</v>
      </c>
      <c r="O2299">
        <v>8.7936460000000004E-3</v>
      </c>
      <c r="P2299">
        <v>-0.99964900000000001</v>
      </c>
      <c r="Q2299">
        <v>2.5630139999999999E-2</v>
      </c>
      <c r="R2299">
        <v>6.7162890000000003E-3</v>
      </c>
      <c r="S2299">
        <v>-3.0069270000000001</v>
      </c>
      <c r="T2299">
        <v>-0.1823514</v>
      </c>
      <c r="U2299">
        <v>-0.21575929999999999</v>
      </c>
      <c r="V2299">
        <v>-2.0735620000000001E-3</v>
      </c>
      <c r="W2299">
        <v>3.7459489999999998E-2</v>
      </c>
      <c r="X2299">
        <v>0.99929599999999996</v>
      </c>
      <c r="Y2299">
        <v>-8.0176360000000002E-2</v>
      </c>
      <c r="Z2299">
        <v>-2.9579390000000001E-3</v>
      </c>
      <c r="AA2299">
        <v>0.99677629999999995</v>
      </c>
      <c r="AB2299">
        <v>50</v>
      </c>
      <c r="AC2299">
        <v>-17.797999999999998</v>
      </c>
      <c r="AD2299">
        <v>-1.109209236888</v>
      </c>
      <c r="AE2299">
        <v>-1.31669999999996</v>
      </c>
      <c r="AF2299">
        <v>-1.46750053967455</v>
      </c>
      <c r="AG2299">
        <v>-1.109209236888</v>
      </c>
      <c r="AH2299">
        <v>17.717292113390599</v>
      </c>
      <c r="AI2299">
        <v>93.5701913923875</v>
      </c>
      <c r="AJ2299">
        <v>94.734927391833807</v>
      </c>
      <c r="AK2299">
        <v>17.812533306533201</v>
      </c>
      <c r="AL2299">
        <v>87.853227066417702</v>
      </c>
      <c r="AM2299">
        <v>90.118889879118399</v>
      </c>
      <c r="AN2299">
        <v>1.00000000433321</v>
      </c>
    </row>
    <row r="2300" spans="1:40" x14ac:dyDescent="0.25">
      <c r="A2300" t="str">
        <f>"20190312151030686"</f>
        <v>20190312151030686</v>
      </c>
      <c r="B2300" t="str">
        <f>"1552374630682868"</f>
        <v>1552374630682868</v>
      </c>
      <c r="C2300" t="s">
        <v>40</v>
      </c>
      <c r="D2300">
        <v>5.2373669999999999</v>
      </c>
      <c r="E2300">
        <v>0.47202959999999999</v>
      </c>
      <c r="F2300" t="s">
        <v>61</v>
      </c>
      <c r="G2300">
        <v>-403.21719999999999</v>
      </c>
      <c r="H2300" s="1">
        <v>7.5457499999999997E-6</v>
      </c>
      <c r="I2300">
        <v>281.8569</v>
      </c>
      <c r="J2300">
        <v>-385.42149999999998</v>
      </c>
      <c r="K2300">
        <v>1.1092519999999999</v>
      </c>
      <c r="L2300">
        <v>283.16449999999998</v>
      </c>
      <c r="M2300">
        <v>-0.99988889999999997</v>
      </c>
      <c r="N2300">
        <v>0</v>
      </c>
      <c r="O2300">
        <v>8.79355699999999E-3</v>
      </c>
      <c r="P2300">
        <v>-0.99963469999999999</v>
      </c>
      <c r="Q2300">
        <v>2.6263749999999999E-2</v>
      </c>
      <c r="R2300">
        <v>6.3854869999999996E-3</v>
      </c>
      <c r="S2300">
        <v>-3.0071409999999998</v>
      </c>
      <c r="T2300">
        <v>-0.1824511</v>
      </c>
      <c r="U2300">
        <v>-0.21438599999999999</v>
      </c>
      <c r="V2300">
        <v>-2.4041779999999999E-3</v>
      </c>
      <c r="W2300">
        <v>3.8306229999999997E-2</v>
      </c>
      <c r="X2300">
        <v>0.99926320000000002</v>
      </c>
      <c r="Y2300">
        <v>-7.9719040000000005E-2</v>
      </c>
      <c r="Z2300">
        <v>-2.9455459999999998E-3</v>
      </c>
      <c r="AA2300">
        <v>0.99681299999999995</v>
      </c>
      <c r="AB2300">
        <v>50</v>
      </c>
      <c r="AC2300">
        <v>-17.7957</v>
      </c>
      <c r="AD2300">
        <v>-1.10924445425</v>
      </c>
      <c r="AE2300">
        <v>-1.3075999999999699</v>
      </c>
      <c r="AF2300">
        <v>-1.4584123352873399</v>
      </c>
      <c r="AG2300">
        <v>-1.10924445425</v>
      </c>
      <c r="AH2300">
        <v>17.7150539009574</v>
      </c>
      <c r="AI2300">
        <v>93.570901180794493</v>
      </c>
      <c r="AJ2300">
        <v>94.706328043827</v>
      </c>
      <c r="AK2300">
        <v>17.809562726603598</v>
      </c>
      <c r="AL2300">
        <v>87.804677676913499</v>
      </c>
      <c r="AM2300">
        <v>90.137850555096406</v>
      </c>
      <c r="AN2300">
        <v>1.0000000451014499</v>
      </c>
    </row>
    <row r="2301" spans="1:40" x14ac:dyDescent="0.25">
      <c r="A2301" t="str">
        <f>"20190312151030709"</f>
        <v>20190312151030709</v>
      </c>
      <c r="B2301" t="str">
        <f>"1552374630703367"</f>
        <v>1552374630703367</v>
      </c>
      <c r="C2301" t="s">
        <v>40</v>
      </c>
      <c r="D2301">
        <v>5.2954489999999996</v>
      </c>
      <c r="E2301">
        <v>0.48432500000000001</v>
      </c>
      <c r="F2301" t="s">
        <v>61</v>
      </c>
      <c r="G2301">
        <v>-403.9597</v>
      </c>
      <c r="H2301" s="1">
        <v>7.218438E-6</v>
      </c>
      <c r="I2301">
        <v>281.84739999999999</v>
      </c>
      <c r="J2301">
        <v>-385.92230000000001</v>
      </c>
      <c r="K2301">
        <v>1.1092879999999901</v>
      </c>
      <c r="L2301">
        <v>283.16890000000001</v>
      </c>
      <c r="M2301">
        <v>-0.99988589999999999</v>
      </c>
      <c r="N2301">
        <v>0</v>
      </c>
      <c r="O2301">
        <v>8.7932600000000007E-3</v>
      </c>
      <c r="P2301">
        <v>-0.99963409999999997</v>
      </c>
      <c r="Q2301">
        <v>2.6336450000000001E-2</v>
      </c>
      <c r="R2301">
        <v>6.1630950000000004E-3</v>
      </c>
      <c r="S2301">
        <v>-3.0072019999999999</v>
      </c>
      <c r="T2301">
        <v>-0.17993770000000001</v>
      </c>
      <c r="U2301">
        <v>-0.2136536</v>
      </c>
      <c r="V2301">
        <v>-2.6266639999999999E-3</v>
      </c>
      <c r="W2301">
        <v>3.8622610000000002E-2</v>
      </c>
      <c r="X2301">
        <v>0.99925039999999998</v>
      </c>
      <c r="Y2301">
        <v>-7.9480599999999998E-2</v>
      </c>
      <c r="Z2301">
        <v>-2.897873E-3</v>
      </c>
      <c r="AA2301">
        <v>0.99683219999999995</v>
      </c>
      <c r="AB2301">
        <v>50</v>
      </c>
      <c r="AC2301">
        <v>-18.037399999999899</v>
      </c>
      <c r="AD2301">
        <v>-1.1092807815619901</v>
      </c>
      <c r="AE2301">
        <v>-1.3215000000000101</v>
      </c>
      <c r="AF2301">
        <v>-1.47452137515661</v>
      </c>
      <c r="AG2301">
        <v>-1.1092807815619901</v>
      </c>
      <c r="AH2301">
        <v>17.957526496712799</v>
      </c>
      <c r="AI2301">
        <v>93.522983774745597</v>
      </c>
      <c r="AJ2301">
        <v>94.694117742886206</v>
      </c>
      <c r="AK2301">
        <v>18.052076750841699</v>
      </c>
      <c r="AL2301">
        <v>87.786536878181494</v>
      </c>
      <c r="AM2301">
        <v>90.150609311510195</v>
      </c>
      <c r="AN2301">
        <v>0.99999998363357001</v>
      </c>
    </row>
    <row r="2302" spans="1:40" x14ac:dyDescent="0.25">
      <c r="A2302" t="str">
        <f>"20190312151030732"</f>
        <v>20190312151030732</v>
      </c>
      <c r="B2302" t="str">
        <f>"1552374630722883"</f>
        <v>1552374630722883</v>
      </c>
      <c r="C2302" t="s">
        <v>40</v>
      </c>
      <c r="D2302">
        <v>5.1219939999999999</v>
      </c>
      <c r="E2302">
        <v>0.48429470000000002</v>
      </c>
      <c r="F2302" t="s">
        <v>61</v>
      </c>
      <c r="G2302">
        <v>-423.79880000000003</v>
      </c>
      <c r="H2302" s="1">
        <v>3.5416210000000001E-6</v>
      </c>
      <c r="I2302">
        <v>281.74680000000001</v>
      </c>
      <c r="J2302">
        <v>-386.44589999999999</v>
      </c>
      <c r="K2302">
        <v>1.109332</v>
      </c>
      <c r="L2302">
        <v>283.17349999999999</v>
      </c>
      <c r="M2302">
        <v>-0.9998823</v>
      </c>
      <c r="N2302">
        <v>0</v>
      </c>
      <c r="O2302">
        <v>8.7928309999999992E-3</v>
      </c>
      <c r="P2302">
        <v>-0.99964410000000004</v>
      </c>
      <c r="Q2302">
        <v>2.6165460000000001E-2</v>
      </c>
      <c r="R2302">
        <v>5.2270329999999999E-3</v>
      </c>
      <c r="S2302">
        <v>-3.004089</v>
      </c>
      <c r="T2302">
        <v>-8.7980390000000006E-2</v>
      </c>
      <c r="U2302">
        <v>-0.112793</v>
      </c>
      <c r="V2302">
        <v>-3.561977E-3</v>
      </c>
      <c r="W2302">
        <v>3.8730290000000001E-2</v>
      </c>
      <c r="X2302">
        <v>0.9992434</v>
      </c>
      <c r="Y2302">
        <v>-4.6282339999999998E-2</v>
      </c>
      <c r="Z2302">
        <v>-9.3474610000000001E-4</v>
      </c>
      <c r="AA2302">
        <v>0.99892800000000004</v>
      </c>
      <c r="AB2302">
        <v>50</v>
      </c>
      <c r="AC2302">
        <v>-37.352899999999998</v>
      </c>
      <c r="AD2302">
        <v>-1.109328458379</v>
      </c>
      <c r="AE2302">
        <v>-1.4266999999999801</v>
      </c>
      <c r="AF2302">
        <v>-1.7535641355159499</v>
      </c>
      <c r="AG2302">
        <v>-1.109328458379</v>
      </c>
      <c r="AH2302">
        <v>37.306053832108098</v>
      </c>
      <c r="AI2302">
        <v>91.701361314417099</v>
      </c>
      <c r="AJ2302">
        <v>92.691196623261305</v>
      </c>
      <c r="AK2302">
        <v>37.363715678851896</v>
      </c>
      <c r="AL2302">
        <v>87.780362791268104</v>
      </c>
      <c r="AM2302">
        <v>90.204239912312303</v>
      </c>
      <c r="AN2302">
        <v>1.00000004774359</v>
      </c>
    </row>
    <row r="2303" spans="1:40" x14ac:dyDescent="0.25">
      <c r="A2303" t="str">
        <f>"20190312151030754"</f>
        <v>20190312151030754</v>
      </c>
      <c r="B2303" t="str">
        <f>"1552374630743379"</f>
        <v>1552374630743379</v>
      </c>
      <c r="C2303" t="s">
        <v>40</v>
      </c>
      <c r="D2303">
        <v>4.9768299999999996</v>
      </c>
      <c r="E2303">
        <v>0.48389399999999999</v>
      </c>
      <c r="F2303" t="s">
        <v>61</v>
      </c>
      <c r="G2303">
        <v>-425.78930000000003</v>
      </c>
      <c r="H2303" s="1">
        <v>3.196168E-6</v>
      </c>
      <c r="I2303">
        <v>281.65949999999998</v>
      </c>
      <c r="J2303">
        <v>-386.92259999999999</v>
      </c>
      <c r="K2303">
        <v>1.10937</v>
      </c>
      <c r="L2303">
        <v>283.17770000000002</v>
      </c>
      <c r="M2303">
        <v>-0.99987919999999997</v>
      </c>
      <c r="N2303">
        <v>0</v>
      </c>
      <c r="O2303">
        <v>8.7922019999999903E-3</v>
      </c>
      <c r="P2303">
        <v>-0.99966259999999996</v>
      </c>
      <c r="Q2303">
        <v>2.550962E-2</v>
      </c>
      <c r="R2303">
        <v>4.952326E-3</v>
      </c>
      <c r="S2303">
        <v>-3.003876</v>
      </c>
      <c r="T2303">
        <v>-8.4697369999999994E-2</v>
      </c>
      <c r="U2303">
        <v>-0.1156006</v>
      </c>
      <c r="V2303">
        <v>-3.836487E-3</v>
      </c>
      <c r="W2303">
        <v>3.8331480000000001E-2</v>
      </c>
      <c r="X2303">
        <v>0.99925770000000003</v>
      </c>
      <c r="Y2303">
        <v>-4.7218049999999998E-2</v>
      </c>
      <c r="Z2303">
        <v>-9.1309520000000001E-4</v>
      </c>
      <c r="AA2303">
        <v>0.9988842</v>
      </c>
      <c r="AB2303">
        <v>50</v>
      </c>
      <c r="AC2303">
        <v>-38.866700000000002</v>
      </c>
      <c r="AD2303">
        <v>-1.1093668038319999</v>
      </c>
      <c r="AE2303">
        <v>-1.51820000000003</v>
      </c>
      <c r="AF2303">
        <v>-1.8583815518539299</v>
      </c>
      <c r="AG2303">
        <v>-1.1093668038319999</v>
      </c>
      <c r="AH2303">
        <v>38.820269561303299</v>
      </c>
      <c r="AI2303">
        <v>91.635024561654205</v>
      </c>
      <c r="AJ2303">
        <v>92.740738159641296</v>
      </c>
      <c r="AK2303">
        <v>38.880555622444099</v>
      </c>
      <c r="AL2303">
        <v>87.8032297653466</v>
      </c>
      <c r="AM2303">
        <v>90.219976721927793</v>
      </c>
      <c r="AN2303">
        <v>0.99999998600038997</v>
      </c>
    </row>
    <row r="2304" spans="1:40" x14ac:dyDescent="0.25">
      <c r="A2304" t="str">
        <f>"20190312151030777"</f>
        <v>20190312151030777</v>
      </c>
      <c r="B2304" t="str">
        <f>"1552374630772660"</f>
        <v>1552374630772660</v>
      </c>
      <c r="C2304" t="s">
        <v>40</v>
      </c>
      <c r="D2304">
        <v>5.019863</v>
      </c>
      <c r="E2304">
        <v>0.4836742</v>
      </c>
      <c r="F2304" t="s">
        <v>61</v>
      </c>
      <c r="G2304">
        <v>-421.75580000000002</v>
      </c>
      <c r="H2304" s="1">
        <v>3.9005540000000004E-6</v>
      </c>
      <c r="I2304">
        <v>281.78629999999998</v>
      </c>
      <c r="J2304">
        <v>-387.42869999999999</v>
      </c>
      <c r="K2304">
        <v>1.1094109999999999</v>
      </c>
      <c r="L2304">
        <v>283.18209999999999</v>
      </c>
      <c r="M2304">
        <v>-0.99987570000000003</v>
      </c>
      <c r="N2304">
        <v>0</v>
      </c>
      <c r="O2304">
        <v>8.7920189999999999E-3</v>
      </c>
      <c r="P2304">
        <v>-0.99966929999999998</v>
      </c>
      <c r="Q2304">
        <v>2.5324159999999998E-2</v>
      </c>
      <c r="R2304">
        <v>4.5129489999999996E-3</v>
      </c>
      <c r="S2304">
        <v>-3.0040589999999998</v>
      </c>
      <c r="T2304">
        <v>-9.5673079999999994E-2</v>
      </c>
      <c r="U2304">
        <v>-0.11999509999999999</v>
      </c>
      <c r="V2304">
        <v>-4.2753160000000004E-3</v>
      </c>
      <c r="W2304">
        <v>3.8402480000000003E-2</v>
      </c>
      <c r="X2304">
        <v>0.99925319999999995</v>
      </c>
      <c r="Y2304">
        <v>-4.8667639999999998E-2</v>
      </c>
      <c r="Z2304">
        <v>-1.0543359999999999E-3</v>
      </c>
      <c r="AA2304">
        <v>0.99881450000000005</v>
      </c>
      <c r="AB2304">
        <v>50</v>
      </c>
      <c r="AC2304">
        <v>-34.327100000000002</v>
      </c>
      <c r="AD2304">
        <v>-1.1094070994459999</v>
      </c>
      <c r="AE2304">
        <v>-1.3957999999999999</v>
      </c>
      <c r="AF2304">
        <v>-1.6958080638017701</v>
      </c>
      <c r="AG2304">
        <v>-1.1094070994459999</v>
      </c>
      <c r="AH2304">
        <v>34.277756107697499</v>
      </c>
      <c r="AI2304">
        <v>91.851480572859103</v>
      </c>
      <c r="AJ2304">
        <v>92.832259241689897</v>
      </c>
      <c r="AK2304">
        <v>34.337604938031802</v>
      </c>
      <c r="AL2304">
        <v>87.799158783505305</v>
      </c>
      <c r="AM2304">
        <v>90.245139138106296</v>
      </c>
      <c r="AN2304">
        <v>0.99999999325364497</v>
      </c>
    </row>
    <row r="2305" spans="1:40" x14ac:dyDescent="0.25">
      <c r="A2305" t="str">
        <f>"20190312151030799"</f>
        <v>20190312151030799</v>
      </c>
      <c r="B2305" t="str">
        <f>"1552374630793155"</f>
        <v>1552374630793155</v>
      </c>
      <c r="C2305" t="s">
        <v>40</v>
      </c>
      <c r="D2305">
        <v>5.1120979999999996</v>
      </c>
      <c r="E2305">
        <v>0.48372660000000001</v>
      </c>
      <c r="F2305" t="s">
        <v>61</v>
      </c>
      <c r="G2305">
        <v>-421.59840000000003</v>
      </c>
      <c r="H2305" s="1">
        <v>3.9288639999999996E-6</v>
      </c>
      <c r="I2305">
        <v>281.78179999999998</v>
      </c>
      <c r="J2305">
        <v>-387.90890000000002</v>
      </c>
      <c r="K2305">
        <v>1.1094389999999901</v>
      </c>
      <c r="L2305">
        <v>283.18639999999999</v>
      </c>
      <c r="M2305">
        <v>-0.99987289999999995</v>
      </c>
      <c r="N2305">
        <v>0</v>
      </c>
      <c r="O2305">
        <v>8.7915749999999994E-3</v>
      </c>
      <c r="P2305">
        <v>-0.99966489999999997</v>
      </c>
      <c r="Q2305">
        <v>2.5467090000000001E-2</v>
      </c>
      <c r="R2305">
        <v>4.6441499999999997E-3</v>
      </c>
      <c r="S2305">
        <v>-3.0039980000000002</v>
      </c>
      <c r="T2305">
        <v>-9.7532510000000003E-2</v>
      </c>
      <c r="U2305">
        <v>-0.12310790000000001</v>
      </c>
      <c r="V2305">
        <v>-4.144226E-3</v>
      </c>
      <c r="W2305">
        <v>3.876508E-2</v>
      </c>
      <c r="X2305">
        <v>0.99923969999999995</v>
      </c>
      <c r="Y2305">
        <v>-4.969962E-2</v>
      </c>
      <c r="Z2305">
        <v>-1.0915439999999901E-3</v>
      </c>
      <c r="AA2305">
        <v>0.99876359999999997</v>
      </c>
      <c r="AB2305">
        <v>50</v>
      </c>
      <c r="AC2305">
        <v>-33.689500000000002</v>
      </c>
      <c r="AD2305">
        <v>-1.1094350711359999</v>
      </c>
      <c r="AE2305">
        <v>-1.4046000000000101</v>
      </c>
      <c r="AF2305">
        <v>-1.6989164584207099</v>
      </c>
      <c r="AG2305">
        <v>-1.1094350711359999</v>
      </c>
      <c r="AH2305">
        <v>33.639430637761599</v>
      </c>
      <c r="AI2305">
        <v>91.886538813603707</v>
      </c>
      <c r="AJ2305">
        <v>92.8911936810713</v>
      </c>
      <c r="AK2305">
        <v>33.700570572952302</v>
      </c>
      <c r="AL2305">
        <v>87.778367738200203</v>
      </c>
      <c r="AM2305">
        <v>90.237625964762799</v>
      </c>
      <c r="AN2305">
        <v>0.99999994204631504</v>
      </c>
    </row>
    <row r="2306" spans="1:40" x14ac:dyDescent="0.25">
      <c r="A2306" t="str">
        <f>"20190312151030820"</f>
        <v>20190312151030820</v>
      </c>
      <c r="B2306" t="str">
        <f>"1552374630812680"</f>
        <v>1552374630812680</v>
      </c>
      <c r="C2306" t="s">
        <v>40</v>
      </c>
      <c r="D2306">
        <v>5.0432829999999997</v>
      </c>
      <c r="E2306">
        <v>0.48347669999999998</v>
      </c>
      <c r="F2306" t="s">
        <v>61</v>
      </c>
      <c r="G2306">
        <v>-421.73329999999999</v>
      </c>
      <c r="H2306" s="1">
        <v>3.9025509999999998E-6</v>
      </c>
      <c r="I2306">
        <v>281.80919999999998</v>
      </c>
      <c r="J2306">
        <v>-388.40199999999999</v>
      </c>
      <c r="K2306">
        <v>1.109459</v>
      </c>
      <c r="L2306">
        <v>283.19069999999999</v>
      </c>
      <c r="M2306">
        <v>-0.99987009999999998</v>
      </c>
      <c r="N2306">
        <v>0</v>
      </c>
      <c r="O2306">
        <v>8.7915890000000007E-3</v>
      </c>
      <c r="P2306">
        <v>-0.99965599999999999</v>
      </c>
      <c r="Q2306">
        <v>2.578449E-2</v>
      </c>
      <c r="R2306">
        <v>4.8255349999999997E-3</v>
      </c>
      <c r="S2306">
        <v>-3.0041199999999999</v>
      </c>
      <c r="T2306">
        <v>-9.8534819999999995E-2</v>
      </c>
      <c r="U2306">
        <v>-0.12231450000000001</v>
      </c>
      <c r="V2306">
        <v>-3.9626089999999997E-3</v>
      </c>
      <c r="W2306">
        <v>3.9283480000000003E-2</v>
      </c>
      <c r="X2306">
        <v>0.99922029999999995</v>
      </c>
      <c r="Y2306">
        <v>-4.9434140000000001E-2</v>
      </c>
      <c r="Z2306">
        <v>-1.098367E-3</v>
      </c>
      <c r="AA2306">
        <v>0.99877680000000002</v>
      </c>
      <c r="AB2306">
        <v>50</v>
      </c>
      <c r="AC2306">
        <v>-33.331299999999999</v>
      </c>
      <c r="AD2306">
        <v>-1.1094550974490001</v>
      </c>
      <c r="AE2306">
        <v>-1.3815000000000099</v>
      </c>
      <c r="AF2306">
        <v>-1.6726584104717299</v>
      </c>
      <c r="AG2306">
        <v>-1.1094550974490001</v>
      </c>
      <c r="AH2306">
        <v>33.281054862654599</v>
      </c>
      <c r="AI2306">
        <v>91.9068963204422</v>
      </c>
      <c r="AJ2306">
        <v>92.877183377511997</v>
      </c>
      <c r="AK2306">
        <v>33.341525003250801</v>
      </c>
      <c r="AL2306">
        <v>87.748643206993293</v>
      </c>
      <c r="AM2306">
        <v>90.227216742258605</v>
      </c>
      <c r="AN2306">
        <v>1.0000000510015401</v>
      </c>
    </row>
    <row r="2307" spans="1:40" x14ac:dyDescent="0.25">
      <c r="A2307" t="str">
        <f>"20190312151030834"</f>
        <v>20190312151030834</v>
      </c>
      <c r="B2307" t="str">
        <f>"1552374630823411"</f>
        <v>1552374630823411</v>
      </c>
      <c r="C2307" t="s">
        <v>40</v>
      </c>
      <c r="D2307">
        <v>5.0282330000000002</v>
      </c>
      <c r="E2307">
        <v>0.48334709999999997</v>
      </c>
      <c r="F2307" t="s">
        <v>61</v>
      </c>
      <c r="G2307">
        <v>-420.75850000000003</v>
      </c>
      <c r="H2307" s="1">
        <v>4.0713279999999901E-6</v>
      </c>
      <c r="I2307">
        <v>281.85660000000001</v>
      </c>
      <c r="J2307">
        <v>-388.71030000000002</v>
      </c>
      <c r="K2307">
        <v>1.1094710000000001</v>
      </c>
      <c r="L2307">
        <v>283.1934</v>
      </c>
      <c r="M2307">
        <v>-0.99986870000000005</v>
      </c>
      <c r="N2307">
        <v>0</v>
      </c>
      <c r="O2307">
        <v>8.7912809999999997E-3</v>
      </c>
      <c r="P2307">
        <v>-0.99965800000000005</v>
      </c>
      <c r="Q2307">
        <v>2.5681010000000001E-2</v>
      </c>
      <c r="R2307">
        <v>4.9837340000000001E-3</v>
      </c>
      <c r="S2307">
        <v>-3.0043030000000002</v>
      </c>
      <c r="T2307">
        <v>-0.1030132</v>
      </c>
      <c r="U2307">
        <v>-0.1238708</v>
      </c>
      <c r="V2307">
        <v>-3.8039440000000001E-3</v>
      </c>
      <c r="W2307">
        <v>3.929444E-2</v>
      </c>
      <c r="X2307">
        <v>0.99922040000000001</v>
      </c>
      <c r="Y2307">
        <v>-4.9944719999999998E-2</v>
      </c>
      <c r="Z2307">
        <v>-1.1569130000000001E-3</v>
      </c>
      <c r="AA2307">
        <v>0.99875130000000001</v>
      </c>
      <c r="AB2307">
        <v>50</v>
      </c>
      <c r="AC2307">
        <v>-32.048200000000001</v>
      </c>
      <c r="AD2307">
        <v>-1.10946692867199</v>
      </c>
      <c r="AE2307">
        <v>-1.33679999999998</v>
      </c>
      <c r="AF2307">
        <v>-1.6165851313472701</v>
      </c>
      <c r="AG2307">
        <v>-1.10946692867199</v>
      </c>
      <c r="AH2307">
        <v>31.996927776435001</v>
      </c>
      <c r="AI2307">
        <v>91.983360292847095</v>
      </c>
      <c r="AJ2307">
        <v>92.892303177300505</v>
      </c>
      <c r="AK2307">
        <v>32.056943888697603</v>
      </c>
      <c r="AL2307">
        <v>87.748014567158094</v>
      </c>
      <c r="AM2307">
        <v>90.218118929345096</v>
      </c>
      <c r="AN2307">
        <v>0.99999996539051295</v>
      </c>
    </row>
    <row r="2308" spans="1:40" x14ac:dyDescent="0.25">
      <c r="A2308" t="str">
        <f>"20190312151030853"</f>
        <v>20190312151030853</v>
      </c>
      <c r="B2308" t="str">
        <f>"1552374630842931"</f>
        <v>1552374630842931</v>
      </c>
      <c r="C2308" t="s">
        <v>40</v>
      </c>
      <c r="D2308">
        <v>5.0305010000000001</v>
      </c>
      <c r="E2308">
        <v>0.48326619999999998</v>
      </c>
      <c r="F2308" t="s">
        <v>61</v>
      </c>
      <c r="G2308">
        <v>-420.44490000000002</v>
      </c>
      <c r="H2308" s="1">
        <v>4.1251520000000003E-6</v>
      </c>
      <c r="I2308">
        <v>281.87729999999999</v>
      </c>
      <c r="J2308">
        <v>-389.14640000000003</v>
      </c>
      <c r="K2308">
        <v>1.109483</v>
      </c>
      <c r="L2308">
        <v>283.19729999999998</v>
      </c>
      <c r="M2308">
        <v>-0.99986660000000005</v>
      </c>
      <c r="N2308">
        <v>0</v>
      </c>
      <c r="O2308">
        <v>8.7910890000000002E-3</v>
      </c>
      <c r="P2308">
        <v>-0.9996526</v>
      </c>
      <c r="Q2308">
        <v>2.5774459999999999E-2</v>
      </c>
      <c r="R2308">
        <v>5.5535339999999997E-3</v>
      </c>
      <c r="S2308">
        <v>-3.0043329999999999</v>
      </c>
      <c r="T2308">
        <v>-0.105034</v>
      </c>
      <c r="U2308">
        <v>-0.1246033</v>
      </c>
      <c r="V2308">
        <v>-3.2335839999999999E-3</v>
      </c>
      <c r="W2308">
        <v>3.9536490000000001E-2</v>
      </c>
      <c r="X2308">
        <v>0.99921289999999996</v>
      </c>
      <c r="Y2308">
        <v>-5.0185689999999998E-2</v>
      </c>
      <c r="Z2308">
        <v>-1.1837810000000001E-3</v>
      </c>
      <c r="AA2308">
        <v>0.99873920000000005</v>
      </c>
      <c r="AB2308">
        <v>50</v>
      </c>
      <c r="AC2308">
        <v>-31.298499999999901</v>
      </c>
      <c r="AD2308">
        <v>-1.109478874848</v>
      </c>
      <c r="AE2308">
        <v>-1.3199999999999901</v>
      </c>
      <c r="AF2308">
        <v>-1.5931246171223801</v>
      </c>
      <c r="AG2308">
        <v>-1.109478874848</v>
      </c>
      <c r="AH2308">
        <v>31.246490904239799</v>
      </c>
      <c r="AI2308">
        <v>92.030928922556797</v>
      </c>
      <c r="AJ2308">
        <v>92.918738791580495</v>
      </c>
      <c r="AK2308">
        <v>31.306743414928299</v>
      </c>
      <c r="AL2308">
        <v>87.734135427163693</v>
      </c>
      <c r="AM2308">
        <v>90.185416010094599</v>
      </c>
      <c r="AN2308">
        <v>1.0000000048166999</v>
      </c>
    </row>
    <row r="2309" spans="1:40" x14ac:dyDescent="0.25">
      <c r="A2309" t="str">
        <f>"20190312151030867"</f>
        <v>20190312151030867</v>
      </c>
      <c r="B2309" t="str">
        <f>"1552374630863428"</f>
        <v>1552374630863428</v>
      </c>
      <c r="C2309" t="s">
        <v>40</v>
      </c>
      <c r="D2309">
        <v>5.0511030000000003</v>
      </c>
      <c r="E2309">
        <v>0.48317690000000002</v>
      </c>
      <c r="F2309" t="s">
        <v>61</v>
      </c>
      <c r="G2309">
        <v>-419.76339999999999</v>
      </c>
      <c r="H2309" s="1">
        <v>4.1718969999999999E-6</v>
      </c>
      <c r="I2309">
        <v>281.9366</v>
      </c>
      <c r="J2309">
        <v>-389.44349999999997</v>
      </c>
      <c r="K2309">
        <v>1.109491</v>
      </c>
      <c r="L2309">
        <v>283.19990000000001</v>
      </c>
      <c r="M2309">
        <v>-0.99986540000000002</v>
      </c>
      <c r="N2309">
        <v>0</v>
      </c>
      <c r="O2309">
        <v>8.7909849999999994E-3</v>
      </c>
      <c r="P2309">
        <v>-0.99966069999999996</v>
      </c>
      <c r="Q2309">
        <v>2.5460940000000001E-2</v>
      </c>
      <c r="R2309">
        <v>5.519642E-3</v>
      </c>
      <c r="S2309">
        <v>-3.004578</v>
      </c>
      <c r="T2309">
        <v>-0.1088779</v>
      </c>
      <c r="U2309">
        <v>-0.1237183</v>
      </c>
      <c r="V2309">
        <v>-3.267917E-3</v>
      </c>
      <c r="W2309">
        <v>3.9315879999999997E-2</v>
      </c>
      <c r="X2309">
        <v>0.99922149999999998</v>
      </c>
      <c r="Y2309">
        <v>-4.9886069999999998E-2</v>
      </c>
      <c r="Z2309">
        <v>-1.221555E-3</v>
      </c>
      <c r="AA2309">
        <v>0.99875409999999998</v>
      </c>
      <c r="AB2309">
        <v>50</v>
      </c>
      <c r="AC2309">
        <v>-30.319900000000001</v>
      </c>
      <c r="AD2309">
        <v>-1.1094868281029999</v>
      </c>
      <c r="AE2309">
        <v>-1.2633000000000101</v>
      </c>
      <c r="AF2309">
        <v>-1.5277763535674</v>
      </c>
      <c r="AG2309">
        <v>-1.1094868281029999</v>
      </c>
      <c r="AH2309">
        <v>30.267163193484699</v>
      </c>
      <c r="AI2309">
        <v>92.096653164259095</v>
      </c>
      <c r="AJ2309">
        <v>92.889630173138499</v>
      </c>
      <c r="AK2309">
        <v>30.325999231505801</v>
      </c>
      <c r="AL2309">
        <v>87.746785300419603</v>
      </c>
      <c r="AM2309">
        <v>90.187383062056199</v>
      </c>
      <c r="AN2309">
        <v>1.0000000118819701</v>
      </c>
    </row>
    <row r="2310" spans="1:40" x14ac:dyDescent="0.25">
      <c r="A2310" t="str">
        <f>"20190312151030887"</f>
        <v>20190312151030887</v>
      </c>
      <c r="B2310" t="str">
        <f>"1552374630882947"</f>
        <v>1552374630882947</v>
      </c>
      <c r="C2310" t="s">
        <v>40</v>
      </c>
      <c r="D2310">
        <v>5.047949</v>
      </c>
      <c r="E2310">
        <v>0.48320099999999999</v>
      </c>
      <c r="F2310" t="s">
        <v>61</v>
      </c>
      <c r="G2310">
        <v>-419.02019999999999</v>
      </c>
      <c r="H2310" s="1">
        <v>4.036789E-6</v>
      </c>
      <c r="I2310">
        <v>281.97390000000001</v>
      </c>
      <c r="J2310">
        <v>-389.89510000000001</v>
      </c>
      <c r="K2310">
        <v>1.109499</v>
      </c>
      <c r="L2310">
        <v>283.20389999999998</v>
      </c>
      <c r="M2310">
        <v>-0.99986350000000002</v>
      </c>
      <c r="N2310">
        <v>0</v>
      </c>
      <c r="O2310">
        <v>8.7909169999999901E-3</v>
      </c>
      <c r="P2310">
        <v>-0.9996623</v>
      </c>
      <c r="Q2310">
        <v>2.5332190000000001E-2</v>
      </c>
      <c r="R2310">
        <v>5.8091319999999998E-3</v>
      </c>
      <c r="S2310">
        <v>-3.0045470000000001</v>
      </c>
      <c r="T2310">
        <v>-0.1127073</v>
      </c>
      <c r="U2310">
        <v>-0.12454220000000001</v>
      </c>
      <c r="V2310">
        <v>-2.9782260000000001E-3</v>
      </c>
      <c r="W2310">
        <v>3.93154E-2</v>
      </c>
      <c r="X2310">
        <v>0.99922239999999996</v>
      </c>
      <c r="Y2310">
        <v>-5.0156930000000002E-2</v>
      </c>
      <c r="Z2310">
        <v>-1.2695689999999999E-3</v>
      </c>
      <c r="AA2310">
        <v>0.99874059999999998</v>
      </c>
      <c r="AB2310">
        <v>50</v>
      </c>
      <c r="AC2310">
        <v>-29.1250999999999</v>
      </c>
      <c r="AD2310">
        <v>-1.1094949632110001</v>
      </c>
      <c r="AE2310">
        <v>-1.22999999999996</v>
      </c>
      <c r="AF2310">
        <v>-1.48386436259013</v>
      </c>
      <c r="AG2310">
        <v>-1.1094949632110001</v>
      </c>
      <c r="AH2310">
        <v>29.071048787606301</v>
      </c>
      <c r="AI2310">
        <v>92.182790618249498</v>
      </c>
      <c r="AJ2310">
        <v>92.921994528623401</v>
      </c>
      <c r="AK2310">
        <v>29.130031069865701</v>
      </c>
      <c r="AL2310">
        <v>87.746812768898295</v>
      </c>
      <c r="AM2310">
        <v>90.170772067297506</v>
      </c>
      <c r="AN2310">
        <v>0.99999998758451303</v>
      </c>
    </row>
    <row r="2311" spans="1:40" x14ac:dyDescent="0.25">
      <c r="A2311" t="str">
        <f>"20190312151030910"</f>
        <v>20190312151030910</v>
      </c>
      <c r="B2311" t="str">
        <f>"1552374630903448"</f>
        <v>1552374630903448</v>
      </c>
      <c r="C2311" t="s">
        <v>40</v>
      </c>
      <c r="D2311">
        <v>5.0613000000000001</v>
      </c>
      <c r="E2311">
        <v>0.48334070000000001</v>
      </c>
      <c r="F2311" t="s">
        <v>61</v>
      </c>
      <c r="G2311">
        <v>-418.70260000000002</v>
      </c>
      <c r="H2311" s="1">
        <v>3.9765479999999996E-6</v>
      </c>
      <c r="I2311">
        <v>282.01859999999999</v>
      </c>
      <c r="J2311">
        <v>-390.38780000000003</v>
      </c>
      <c r="K2311">
        <v>1.109505</v>
      </c>
      <c r="L2311">
        <v>283.20819999999998</v>
      </c>
      <c r="M2311">
        <v>-0.99986180000000002</v>
      </c>
      <c r="N2311">
        <v>0</v>
      </c>
      <c r="O2311">
        <v>8.7906939999999999E-3</v>
      </c>
      <c r="P2311">
        <v>-0.99965950000000003</v>
      </c>
      <c r="Q2311">
        <v>2.5455209999999999E-2</v>
      </c>
      <c r="R2311">
        <v>5.7714970000000004E-3</v>
      </c>
      <c r="S2311">
        <v>-3.0046689999999998</v>
      </c>
      <c r="T2311">
        <v>-0.1157223</v>
      </c>
      <c r="U2311">
        <v>-0.12362670000000001</v>
      </c>
      <c r="V2311">
        <v>-3.0153599999999999E-3</v>
      </c>
      <c r="W2311">
        <v>3.956221E-2</v>
      </c>
      <c r="X2311">
        <v>0.99921260000000001</v>
      </c>
      <c r="Y2311">
        <v>-4.9849230000000001E-2</v>
      </c>
      <c r="Z2311">
        <v>-1.297533E-3</v>
      </c>
      <c r="AA2311">
        <v>0.99875590000000003</v>
      </c>
      <c r="AB2311">
        <v>50</v>
      </c>
      <c r="AC2311">
        <v>-28.314799999999899</v>
      </c>
      <c r="AD2311">
        <v>-1.109501023452</v>
      </c>
      <c r="AE2311">
        <v>-1.18959999999998</v>
      </c>
      <c r="AF2311">
        <v>-1.43628413160294</v>
      </c>
      <c r="AG2311">
        <v>-1.109501023452</v>
      </c>
      <c r="AH2311">
        <v>28.259932745891199</v>
      </c>
      <c r="AI2311">
        <v>92.245414966159004</v>
      </c>
      <c r="AJ2311">
        <v>92.909499916074097</v>
      </c>
      <c r="AK2311">
        <v>28.318151483280602</v>
      </c>
      <c r="AL2311">
        <v>87.732660706647906</v>
      </c>
      <c r="AM2311">
        <v>90.172903021105398</v>
      </c>
      <c r="AN2311">
        <v>1.0000000404273801</v>
      </c>
    </row>
    <row r="2312" spans="1:40" x14ac:dyDescent="0.25">
      <c r="A2312" t="str">
        <f>"20190312151030922"</f>
        <v>20190312151030922</v>
      </c>
      <c r="B2312" t="str">
        <f>"1552374630913204"</f>
        <v>1552374630913204</v>
      </c>
      <c r="C2312" t="s">
        <v>40</v>
      </c>
      <c r="D2312">
        <v>5.0143069999999996</v>
      </c>
      <c r="E2312">
        <v>0.48334680000000002</v>
      </c>
      <c r="F2312" t="s">
        <v>61</v>
      </c>
      <c r="G2312">
        <v>-418.5129</v>
      </c>
      <c r="H2312" s="1">
        <v>3.9393139999999997E-6</v>
      </c>
      <c r="I2312">
        <v>282.05959999999999</v>
      </c>
      <c r="J2312">
        <v>-390.67070000000001</v>
      </c>
      <c r="K2312">
        <v>1.10951</v>
      </c>
      <c r="L2312">
        <v>283.21069999999997</v>
      </c>
      <c r="M2312">
        <v>-0.99986090000000005</v>
      </c>
      <c r="N2312">
        <v>0</v>
      </c>
      <c r="O2312">
        <v>8.7905940000000005E-3</v>
      </c>
      <c r="P2312">
        <v>-0.99965950000000003</v>
      </c>
      <c r="Q2312">
        <v>2.5460130000000001E-2</v>
      </c>
      <c r="R2312">
        <v>5.70719E-3</v>
      </c>
      <c r="S2312">
        <v>-3.0047609999999998</v>
      </c>
      <c r="T2312">
        <v>-0.1185344</v>
      </c>
      <c r="U2312">
        <v>-0.12271120000000001</v>
      </c>
      <c r="V2312">
        <v>-3.0801510000000002E-3</v>
      </c>
      <c r="W2312">
        <v>3.9631769999999997E-2</v>
      </c>
      <c r="X2312">
        <v>0.99920960000000003</v>
      </c>
      <c r="Y2312">
        <v>-4.9542179999999998E-2</v>
      </c>
      <c r="Z2312">
        <v>-1.3229520000000001E-3</v>
      </c>
      <c r="AA2312">
        <v>0.99877110000000002</v>
      </c>
      <c r="AB2312">
        <v>50</v>
      </c>
      <c r="AC2312">
        <v>-27.842199999999899</v>
      </c>
      <c r="AD2312">
        <v>-1.1095060606859899</v>
      </c>
      <c r="AE2312">
        <v>-1.15109999999998</v>
      </c>
      <c r="AF2312">
        <v>-1.3936202790277299</v>
      </c>
      <c r="AG2312">
        <v>-1.1095060606859899</v>
      </c>
      <c r="AH2312">
        <v>27.786953581462701</v>
      </c>
      <c r="AI2312">
        <v>92.283682818759999</v>
      </c>
      <c r="AJ2312">
        <v>92.871193148507302</v>
      </c>
      <c r="AK2312">
        <v>27.843993436990701</v>
      </c>
      <c r="AL2312">
        <v>87.728671980154999</v>
      </c>
      <c r="AM2312">
        <v>90.1766186929909</v>
      </c>
      <c r="AN2312">
        <v>0.99999999462783695</v>
      </c>
    </row>
    <row r="2313" spans="1:40" x14ac:dyDescent="0.25">
      <c r="A2313" t="str">
        <f>"20190312151030945"</f>
        <v>20190312151030945</v>
      </c>
      <c r="B2313" t="str">
        <f>"1552374630932723"</f>
        <v>1552374630932723</v>
      </c>
      <c r="C2313" t="s">
        <v>40</v>
      </c>
      <c r="D2313">
        <v>5.0586609999999999</v>
      </c>
      <c r="E2313">
        <v>0.48340919999999998</v>
      </c>
      <c r="F2313" t="s">
        <v>61</v>
      </c>
      <c r="G2313">
        <v>-418.57130000000001</v>
      </c>
      <c r="H2313" s="1">
        <v>3.9487720000000003E-6</v>
      </c>
      <c r="I2313">
        <v>282.06979999999999</v>
      </c>
      <c r="J2313">
        <v>-391.1533</v>
      </c>
      <c r="K2313">
        <v>1.1095139999999999</v>
      </c>
      <c r="L2313">
        <v>283.2149</v>
      </c>
      <c r="M2313">
        <v>-0.99985950000000001</v>
      </c>
      <c r="N2313">
        <v>0</v>
      </c>
      <c r="O2313">
        <v>8.7903679999999998E-3</v>
      </c>
      <c r="P2313">
        <v>-0.99966869999999997</v>
      </c>
      <c r="Q2313">
        <v>2.519441E-2</v>
      </c>
      <c r="R2313">
        <v>5.2945240000000001E-3</v>
      </c>
      <c r="S2313">
        <v>-3.0047609999999998</v>
      </c>
      <c r="T2313">
        <v>-0.1194886</v>
      </c>
      <c r="U2313">
        <v>-0.1228638</v>
      </c>
      <c r="V2313">
        <v>-3.492312E-3</v>
      </c>
      <c r="W2313">
        <v>3.9464069999999997E-2</v>
      </c>
      <c r="X2313">
        <v>0.99921490000000002</v>
      </c>
      <c r="Y2313">
        <v>-4.9591839999999998E-2</v>
      </c>
      <c r="Z2313">
        <v>-1.33457E-3</v>
      </c>
      <c r="AA2313">
        <v>0.99876869999999995</v>
      </c>
      <c r="AB2313">
        <v>49</v>
      </c>
      <c r="AC2313">
        <v>-27.417999999999999</v>
      </c>
      <c r="AD2313">
        <v>-1.1095100512279901</v>
      </c>
      <c r="AE2313">
        <v>-1.14510000000001</v>
      </c>
      <c r="AF2313">
        <v>-1.3838324807673701</v>
      </c>
      <c r="AG2313">
        <v>-1.1095100512279901</v>
      </c>
      <c r="AH2313">
        <v>27.362145098467099</v>
      </c>
      <c r="AI2313">
        <v>92.319058855720797</v>
      </c>
      <c r="AJ2313">
        <v>92.895250471065395</v>
      </c>
      <c r="AK2313">
        <v>27.419573105323298</v>
      </c>
      <c r="AL2313">
        <v>87.738288046246595</v>
      </c>
      <c r="AM2313">
        <v>90.200251140772593</v>
      </c>
      <c r="AN2313">
        <v>1.00000001272304</v>
      </c>
    </row>
    <row r="2314" spans="1:40" x14ac:dyDescent="0.25">
      <c r="A2314" t="str">
        <f>"20190312151030966"</f>
        <v>20190312151030966</v>
      </c>
      <c r="B2314" t="str">
        <f>"1552374630962980"</f>
        <v>1552374630962980</v>
      </c>
      <c r="C2314" t="s">
        <v>40</v>
      </c>
      <c r="D2314">
        <v>5.119097</v>
      </c>
      <c r="E2314">
        <v>0.4834348</v>
      </c>
      <c r="F2314" t="s">
        <v>61</v>
      </c>
      <c r="G2314">
        <v>-418.95510000000002</v>
      </c>
      <c r="H2314" s="1">
        <v>4.0167820000000002E-6</v>
      </c>
      <c r="I2314">
        <v>282.07069999999999</v>
      </c>
      <c r="J2314">
        <v>-391.62450000000001</v>
      </c>
      <c r="K2314">
        <v>1.109513</v>
      </c>
      <c r="L2314">
        <v>283.21910000000003</v>
      </c>
      <c r="M2314">
        <v>-0.99985840000000004</v>
      </c>
      <c r="N2314">
        <v>0</v>
      </c>
      <c r="O2314">
        <v>8.7901239999999999E-3</v>
      </c>
      <c r="P2314">
        <v>-0.99968449999999998</v>
      </c>
      <c r="Q2314">
        <v>2.465871E-2</v>
      </c>
      <c r="R2314">
        <v>4.812045E-3</v>
      </c>
      <c r="S2314">
        <v>-3.0046390000000001</v>
      </c>
      <c r="T2314">
        <v>-0.1199088</v>
      </c>
      <c r="U2314">
        <v>-0.12365719999999999</v>
      </c>
      <c r="V2314">
        <v>-3.9750389999999997E-3</v>
      </c>
      <c r="W2314">
        <v>3.9011900000000002E-2</v>
      </c>
      <c r="X2314">
        <v>0.99923090000000003</v>
      </c>
      <c r="Y2314">
        <v>-4.9856030000000003E-2</v>
      </c>
      <c r="Z2314">
        <v>-1.344565E-3</v>
      </c>
      <c r="AA2314">
        <v>0.99875550000000002</v>
      </c>
      <c r="AB2314">
        <v>49</v>
      </c>
      <c r="AC2314">
        <v>-27.3306</v>
      </c>
      <c r="AD2314">
        <v>-1.1095089832179901</v>
      </c>
      <c r="AE2314">
        <v>-1.1484000000000301</v>
      </c>
      <c r="AF2314">
        <v>-1.38633903270725</v>
      </c>
      <c r="AG2314">
        <v>-1.1095089832179901</v>
      </c>
      <c r="AH2314">
        <v>27.274578361777301</v>
      </c>
      <c r="AI2314">
        <v>92.326464050248404</v>
      </c>
      <c r="AJ2314">
        <v>92.909781937872907</v>
      </c>
      <c r="AK2314">
        <v>27.332317335165399</v>
      </c>
      <c r="AL2314">
        <v>87.764215552253702</v>
      </c>
      <c r="AM2314">
        <v>90.227927055392399</v>
      </c>
      <c r="AN2314">
        <v>1.00000006039573</v>
      </c>
    </row>
    <row r="2315" spans="1:40" x14ac:dyDescent="0.25">
      <c r="A2315" t="str">
        <f>"20190312151030989"</f>
        <v>20190312151030989</v>
      </c>
      <c r="B2315" t="str">
        <f>"1552374630982499"</f>
        <v>1552374630982499</v>
      </c>
      <c r="C2315" t="s">
        <v>40</v>
      </c>
      <c r="D2315">
        <v>5.0686999999999998</v>
      </c>
      <c r="E2315">
        <v>0.4834464</v>
      </c>
      <c r="F2315" t="s">
        <v>61</v>
      </c>
      <c r="G2315">
        <v>-419.32979999999998</v>
      </c>
      <c r="H2315" s="1">
        <v>4.0835789999999901E-6</v>
      </c>
      <c r="I2315">
        <v>282.06700000000001</v>
      </c>
      <c r="J2315">
        <v>-392.12830000000002</v>
      </c>
      <c r="K2315">
        <v>1.109521</v>
      </c>
      <c r="L2315">
        <v>283.22340000000003</v>
      </c>
      <c r="M2315">
        <v>-0.99985710000000005</v>
      </c>
      <c r="N2315">
        <v>0</v>
      </c>
      <c r="O2315">
        <v>8.7900400000000007E-3</v>
      </c>
      <c r="P2315">
        <v>-0.99969419999999998</v>
      </c>
      <c r="Q2315">
        <v>2.4270690000000001E-2</v>
      </c>
      <c r="R2315">
        <v>4.7490400000000004E-3</v>
      </c>
      <c r="S2315">
        <v>-3.0045470000000001</v>
      </c>
      <c r="T2315">
        <v>-0.1203222</v>
      </c>
      <c r="U2315">
        <v>-0.12493899999999999</v>
      </c>
      <c r="V2315">
        <v>-4.0379819999999999E-3</v>
      </c>
      <c r="W2315">
        <v>3.870171E-2</v>
      </c>
      <c r="X2315">
        <v>0.99924270000000004</v>
      </c>
      <c r="Y2315">
        <v>-5.0281890000000003E-2</v>
      </c>
      <c r="Z2315">
        <v>-1.35774299999999E-3</v>
      </c>
      <c r="AA2315">
        <v>0.99873409999999996</v>
      </c>
      <c r="AB2315">
        <v>49</v>
      </c>
      <c r="AC2315">
        <v>-27.2014999999999</v>
      </c>
      <c r="AD2315">
        <v>-1.1095169164209999</v>
      </c>
      <c r="AE2315">
        <v>-1.1564000000000101</v>
      </c>
      <c r="AF2315">
        <v>-1.39316884886668</v>
      </c>
      <c r="AG2315">
        <v>-1.1095169164209999</v>
      </c>
      <c r="AH2315">
        <v>27.145202298738699</v>
      </c>
      <c r="AI2315">
        <v>92.337497832863903</v>
      </c>
      <c r="AJ2315">
        <v>92.9380042794172</v>
      </c>
      <c r="AK2315">
        <v>27.203565116887201</v>
      </c>
      <c r="AL2315">
        <v>87.782001539500499</v>
      </c>
      <c r="AM2315">
        <v>90.231533407243703</v>
      </c>
      <c r="AN2315">
        <v>1.00000005057942</v>
      </c>
    </row>
    <row r="2316" spans="1:40" x14ac:dyDescent="0.25">
      <c r="A2316" t="str">
        <f>"20190312151031010"</f>
        <v>20190312151031010</v>
      </c>
      <c r="B2316" t="str">
        <f>"1552374631002995"</f>
        <v>1552374631002995</v>
      </c>
      <c r="C2316" t="s">
        <v>40</v>
      </c>
      <c r="D2316">
        <v>5.0740449999999999</v>
      </c>
      <c r="E2316">
        <v>0.483539</v>
      </c>
      <c r="F2316" t="s">
        <v>61</v>
      </c>
      <c r="G2316">
        <v>-419.29539999999997</v>
      </c>
      <c r="H2316" s="1">
        <v>4.075255E-6</v>
      </c>
      <c r="I2316">
        <v>282.0924</v>
      </c>
      <c r="J2316">
        <v>-392.60669999999999</v>
      </c>
      <c r="K2316">
        <v>1.1095299999999999</v>
      </c>
      <c r="L2316">
        <v>283.22770000000003</v>
      </c>
      <c r="M2316">
        <v>-0.99985619999999997</v>
      </c>
      <c r="N2316">
        <v>0</v>
      </c>
      <c r="O2316">
        <v>8.7897559999999993E-3</v>
      </c>
      <c r="P2316">
        <v>-0.99969050000000004</v>
      </c>
      <c r="Q2316">
        <v>2.4454679999999999E-2</v>
      </c>
      <c r="R2316">
        <v>4.5972870000000002E-3</v>
      </c>
      <c r="S2316">
        <v>-3.0045169999999999</v>
      </c>
      <c r="T2316">
        <v>-0.12270590000000001</v>
      </c>
      <c r="U2316">
        <v>-0.1250916</v>
      </c>
      <c r="V2316">
        <v>-4.1889850000000001E-3</v>
      </c>
      <c r="W2316">
        <v>3.8948999999999998E-2</v>
      </c>
      <c r="X2316">
        <v>0.99923240000000002</v>
      </c>
      <c r="Y2316">
        <v>-5.0330720000000002E-2</v>
      </c>
      <c r="Z2316">
        <v>-1.385617E-3</v>
      </c>
      <c r="AA2316">
        <v>0.9987317</v>
      </c>
      <c r="AB2316">
        <v>49</v>
      </c>
      <c r="AC2316">
        <v>-26.688699999999901</v>
      </c>
      <c r="AD2316">
        <v>-1.109525924745</v>
      </c>
      <c r="AE2316">
        <v>-1.13530000000002</v>
      </c>
      <c r="AF2316">
        <v>-1.3675087659166001</v>
      </c>
      <c r="AG2316">
        <v>-1.109525924745</v>
      </c>
      <c r="AH2316">
        <v>26.6317441171235</v>
      </c>
      <c r="AI2316">
        <v>92.382529342120804</v>
      </c>
      <c r="AJ2316">
        <v>92.939489245864905</v>
      </c>
      <c r="AK2316">
        <v>26.689903010735701</v>
      </c>
      <c r="AL2316">
        <v>87.767822019735704</v>
      </c>
      <c r="AM2316">
        <v>90.240194127940399</v>
      </c>
      <c r="AN2316">
        <v>0.99999998070304397</v>
      </c>
    </row>
    <row r="2317" spans="1:40" x14ac:dyDescent="0.25">
      <c r="A2317" t="str">
        <f>"20190312151031033"</f>
        <v>20190312151031033</v>
      </c>
      <c r="B2317" t="str">
        <f>"1552374631022516"</f>
        <v>1552374631022516</v>
      </c>
      <c r="C2317" t="s">
        <v>40</v>
      </c>
      <c r="D2317">
        <v>5.1909460000000003</v>
      </c>
      <c r="E2317">
        <v>0.4835352</v>
      </c>
      <c r="F2317" t="s">
        <v>61</v>
      </c>
      <c r="G2317">
        <v>-420.02530000000002</v>
      </c>
      <c r="H2317" s="1">
        <v>4.1811179999999997E-6</v>
      </c>
      <c r="I2317">
        <v>282.0883</v>
      </c>
      <c r="J2317">
        <v>-393.11439999999999</v>
      </c>
      <c r="K2317">
        <v>1.109532</v>
      </c>
      <c r="L2317">
        <v>283.2321</v>
      </c>
      <c r="M2317">
        <v>-0.99985539999999995</v>
      </c>
      <c r="N2317">
        <v>0</v>
      </c>
      <c r="O2317">
        <v>8.7896869999999992E-3</v>
      </c>
      <c r="P2317">
        <v>-0.99969330000000001</v>
      </c>
      <c r="Q2317">
        <v>2.4419690000000001E-2</v>
      </c>
      <c r="R2317">
        <v>4.1623210000000001E-3</v>
      </c>
      <c r="S2317">
        <v>-3.004486</v>
      </c>
      <c r="T2317">
        <v>-0.12157999999999999</v>
      </c>
      <c r="U2317">
        <v>-0.1248474</v>
      </c>
      <c r="V2317">
        <v>-4.6244739999999999E-3</v>
      </c>
      <c r="W2317">
        <v>3.8971869999999999E-2</v>
      </c>
      <c r="X2317">
        <v>0.99922960000000005</v>
      </c>
      <c r="Y2317">
        <v>-5.0251030000000002E-2</v>
      </c>
      <c r="Z2317">
        <v>-1.371316E-3</v>
      </c>
      <c r="AA2317">
        <v>0.9987357</v>
      </c>
      <c r="AB2317">
        <v>49</v>
      </c>
      <c r="AC2317">
        <v>-26.910900000000002</v>
      </c>
      <c r="AD2317">
        <v>-1.1095278188819999</v>
      </c>
      <c r="AE2317">
        <v>-1.1437999999999899</v>
      </c>
      <c r="AF2317">
        <v>-1.37798107357856</v>
      </c>
      <c r="AG2317">
        <v>-1.1095278188819999</v>
      </c>
      <c r="AH2317">
        <v>26.854238658482998</v>
      </c>
      <c r="AI2317">
        <v>92.362820231036196</v>
      </c>
      <c r="AJ2317">
        <v>92.937462293093205</v>
      </c>
      <c r="AK2317">
        <v>26.912450979923399</v>
      </c>
      <c r="AL2317">
        <v>87.766510696993294</v>
      </c>
      <c r="AM2317">
        <v>90.265165234264501</v>
      </c>
      <c r="AN2317">
        <v>0.99999999296361597</v>
      </c>
    </row>
    <row r="2318" spans="1:40" x14ac:dyDescent="0.25">
      <c r="A2318" t="str">
        <f>"20190312151031054"</f>
        <v>20190312151031054</v>
      </c>
      <c r="B2318" t="str">
        <f>"1552374631043012"</f>
        <v>1552374631043012</v>
      </c>
      <c r="C2318" t="s">
        <v>40</v>
      </c>
      <c r="D2318">
        <v>5.1146500000000001</v>
      </c>
      <c r="E2318">
        <v>0.48354900000000001</v>
      </c>
      <c r="F2318" t="s">
        <v>61</v>
      </c>
      <c r="G2318">
        <v>-420.48719999999997</v>
      </c>
      <c r="H2318" s="1">
        <v>4.0994920000000001E-6</v>
      </c>
      <c r="I2318">
        <v>282.0849</v>
      </c>
      <c r="J2318">
        <v>-393.58190000000002</v>
      </c>
      <c r="K2318">
        <v>1.1095379999999999</v>
      </c>
      <c r="L2318">
        <v>283.2362</v>
      </c>
      <c r="M2318">
        <v>-0.99985480000000004</v>
      </c>
      <c r="N2318">
        <v>0</v>
      </c>
      <c r="O2318">
        <v>8.7893490000000001E-3</v>
      </c>
      <c r="P2318">
        <v>-0.99969669999999999</v>
      </c>
      <c r="Q2318">
        <v>2.4353639999999999E-2</v>
      </c>
      <c r="R2318">
        <v>3.721972E-3</v>
      </c>
      <c r="S2318">
        <v>-3.0044249999999999</v>
      </c>
      <c r="T2318">
        <v>-0.1217813</v>
      </c>
      <c r="U2318">
        <v>-0.12591550000000001</v>
      </c>
      <c r="V2318">
        <v>-5.0642589999999998E-3</v>
      </c>
      <c r="W2318">
        <v>3.8952340000000002E-2</v>
      </c>
      <c r="X2318">
        <v>0.99922820000000001</v>
      </c>
      <c r="Y2318">
        <v>-5.0605530000000003E-2</v>
      </c>
      <c r="Z2318">
        <v>-1.3807680000000001E-3</v>
      </c>
      <c r="AA2318">
        <v>0.99871779999999999</v>
      </c>
      <c r="AB2318">
        <v>49</v>
      </c>
      <c r="AC2318">
        <v>-26.905299999999901</v>
      </c>
      <c r="AD2318">
        <v>-1.1095339005079901</v>
      </c>
      <c r="AE2318">
        <v>-1.15129999999999</v>
      </c>
      <c r="AF2318">
        <v>-1.38540905652401</v>
      </c>
      <c r="AG2318">
        <v>-1.1095339005079901</v>
      </c>
      <c r="AH2318">
        <v>26.848564684770501</v>
      </c>
      <c r="AI2318">
        <v>92.363297113292703</v>
      </c>
      <c r="AJ2318">
        <v>92.953891692667796</v>
      </c>
      <c r="AK2318">
        <v>26.907170965424498</v>
      </c>
      <c r="AL2318">
        <v>87.767630468280302</v>
      </c>
      <c r="AM2318">
        <v>90.290382299768495</v>
      </c>
      <c r="AN2318">
        <v>0.99999996359296595</v>
      </c>
    </row>
    <row r="2319" spans="1:40" x14ac:dyDescent="0.25">
      <c r="A2319" t="str">
        <f>"20190312151031077"</f>
        <v>20190312151031077</v>
      </c>
      <c r="B2319" t="str">
        <f>"1552374631073267"</f>
        <v>1552374631073267</v>
      </c>
      <c r="C2319" t="s">
        <v>40</v>
      </c>
      <c r="D2319">
        <v>5.1977349999999998</v>
      </c>
      <c r="E2319">
        <v>0.48362040000000001</v>
      </c>
      <c r="F2319" t="s">
        <v>61</v>
      </c>
      <c r="G2319">
        <v>-420.89510000000001</v>
      </c>
      <c r="H2319" s="1">
        <v>4.027599E-6</v>
      </c>
      <c r="I2319">
        <v>282.07960000000003</v>
      </c>
      <c r="J2319">
        <v>-394.06810000000002</v>
      </c>
      <c r="K2319">
        <v>1.1095459999999999</v>
      </c>
      <c r="L2319">
        <v>283.2405</v>
      </c>
      <c r="M2319">
        <v>-0.99985420000000003</v>
      </c>
      <c r="N2319">
        <v>0</v>
      </c>
      <c r="O2319">
        <v>8.7890439999999993E-3</v>
      </c>
      <c r="P2319">
        <v>-0.99970780000000004</v>
      </c>
      <c r="Q2319">
        <v>2.4006820000000002E-2</v>
      </c>
      <c r="R2319">
        <v>2.8669379999999999E-3</v>
      </c>
      <c r="S2319">
        <v>-3.0043950000000001</v>
      </c>
      <c r="T2319">
        <v>-0.12204669999999899</v>
      </c>
      <c r="U2319">
        <v>-0.1272278</v>
      </c>
      <c r="V2319">
        <v>-5.9195910000000001E-3</v>
      </c>
      <c r="W2319">
        <v>3.864691E-2</v>
      </c>
      <c r="X2319">
        <v>0.9992354</v>
      </c>
      <c r="Y2319">
        <v>-5.1040530000000001E-2</v>
      </c>
      <c r="Z2319">
        <v>-1.392592E-3</v>
      </c>
      <c r="AA2319">
        <v>0.99869560000000002</v>
      </c>
      <c r="AB2319">
        <v>49</v>
      </c>
      <c r="AC2319">
        <v>-26.827000000000002</v>
      </c>
      <c r="AD2319">
        <v>-1.1095419724009901</v>
      </c>
      <c r="AE2319">
        <v>-1.1608999999999601</v>
      </c>
      <c r="AF2319">
        <v>-1.3942835318073801</v>
      </c>
      <c r="AG2319">
        <v>-1.1095419724009901</v>
      </c>
      <c r="AH2319">
        <v>26.770052594847701</v>
      </c>
      <c r="AI2319">
        <v>92.370178495156395</v>
      </c>
      <c r="AJ2319">
        <v>92.981482477843201</v>
      </c>
      <c r="AK2319">
        <v>26.829290446944398</v>
      </c>
      <c r="AL2319">
        <v>87.785143597607998</v>
      </c>
      <c r="AM2319">
        <v>90.339423136038405</v>
      </c>
      <c r="AN2319">
        <v>1.00000000491165</v>
      </c>
    </row>
    <row r="2320" spans="1:40" x14ac:dyDescent="0.25">
      <c r="A2320" t="str">
        <f>"20190312151031101"</f>
        <v>20190312151031101</v>
      </c>
      <c r="B2320" t="str">
        <f>"1552374631092788"</f>
        <v>1552374631092788</v>
      </c>
      <c r="C2320" t="s">
        <v>40</v>
      </c>
      <c r="D2320">
        <v>5.1363810000000001</v>
      </c>
      <c r="E2320">
        <v>0.48367169999999998</v>
      </c>
      <c r="F2320" t="s">
        <v>61</v>
      </c>
      <c r="G2320">
        <v>-421.24770000000001</v>
      </c>
      <c r="H2320" s="1">
        <v>3.9657839999999998E-6</v>
      </c>
      <c r="I2320">
        <v>282.07119999999998</v>
      </c>
      <c r="J2320">
        <v>-394.58420000000001</v>
      </c>
      <c r="K2320">
        <v>1.1095549999999901</v>
      </c>
      <c r="L2320">
        <v>283.24509999999998</v>
      </c>
      <c r="M2320">
        <v>-0.99985360000000001</v>
      </c>
      <c r="N2320">
        <v>0</v>
      </c>
      <c r="O2320">
        <v>8.7889509999999997E-3</v>
      </c>
      <c r="P2320">
        <v>-0.9997066</v>
      </c>
      <c r="Q2320">
        <v>2.4091910000000001E-2</v>
      </c>
      <c r="R2320">
        <v>2.5329829999999999E-3</v>
      </c>
      <c r="S2320">
        <v>-3.0041199999999999</v>
      </c>
      <c r="T2320">
        <v>-0.122636</v>
      </c>
      <c r="U2320">
        <v>-0.12924189999999999</v>
      </c>
      <c r="V2320">
        <v>-6.2526150000000004E-3</v>
      </c>
      <c r="W2320">
        <v>3.8768410000000003E-2</v>
      </c>
      <c r="X2320">
        <v>0.99922869999999997</v>
      </c>
      <c r="Y2320">
        <v>-5.171162E-2</v>
      </c>
      <c r="Z2320">
        <v>-1.4130989999999999E-3</v>
      </c>
      <c r="AA2320">
        <v>0.99866100000000002</v>
      </c>
      <c r="AB2320">
        <v>49</v>
      </c>
      <c r="AC2320">
        <v>-26.663499999999999</v>
      </c>
      <c r="AD2320">
        <v>-1.10955103421599</v>
      </c>
      <c r="AE2320">
        <v>-1.1738999999999999</v>
      </c>
      <c r="AF2320">
        <v>-1.40579446821681</v>
      </c>
      <c r="AG2320">
        <v>-1.10955103421599</v>
      </c>
      <c r="AH2320">
        <v>26.6061680226763</v>
      </c>
      <c r="AI2320">
        <v>92.384686712003898</v>
      </c>
      <c r="AJ2320">
        <v>93.024534004730199</v>
      </c>
      <c r="AK2320">
        <v>26.666374677396298</v>
      </c>
      <c r="AL2320">
        <v>87.778177017137196</v>
      </c>
      <c r="AM2320">
        <v>90.358520301430801</v>
      </c>
      <c r="AN2320">
        <v>1.0000000398559701</v>
      </c>
    </row>
    <row r="2321" spans="1:40" x14ac:dyDescent="0.25">
      <c r="A2321" t="str">
        <f>"20190312151031115"</f>
        <v>20190312151031115</v>
      </c>
      <c r="B2321" t="str">
        <f>"1552374631102548"</f>
        <v>1552374631102548</v>
      </c>
      <c r="C2321" t="s">
        <v>40</v>
      </c>
      <c r="D2321">
        <v>5.1327210000000001</v>
      </c>
      <c r="E2321">
        <v>0.48372330000000002</v>
      </c>
      <c r="F2321" t="s">
        <v>61</v>
      </c>
      <c r="G2321">
        <v>-421.8954</v>
      </c>
      <c r="H2321" s="1">
        <v>3.851587E-6</v>
      </c>
      <c r="I2321">
        <v>282.06319999999999</v>
      </c>
      <c r="J2321">
        <v>-394.90789999999998</v>
      </c>
      <c r="K2321">
        <v>1.1095600000000001</v>
      </c>
      <c r="L2321">
        <v>283.24790000000002</v>
      </c>
      <c r="M2321">
        <v>-0.99985329999999994</v>
      </c>
      <c r="N2321">
        <v>0</v>
      </c>
      <c r="O2321">
        <v>8.7886209999999999E-3</v>
      </c>
      <c r="P2321">
        <v>-0.99969850000000005</v>
      </c>
      <c r="Q2321">
        <v>2.44364E-2</v>
      </c>
      <c r="R2321">
        <v>2.426887E-3</v>
      </c>
      <c r="S2321">
        <v>-3.004181</v>
      </c>
      <c r="T2321">
        <v>-0.1220483</v>
      </c>
      <c r="U2321">
        <v>-0.13000490000000001</v>
      </c>
      <c r="V2321">
        <v>-6.3592529999999996E-3</v>
      </c>
      <c r="W2321">
        <v>3.9133870000000001E-2</v>
      </c>
      <c r="X2321">
        <v>0.99921380000000004</v>
      </c>
      <c r="Y2321">
        <v>-5.1963839999999997E-2</v>
      </c>
      <c r="Z2321">
        <v>-1.4114030000000001E-3</v>
      </c>
      <c r="AA2321">
        <v>0.99864799999999998</v>
      </c>
      <c r="AB2321">
        <v>49</v>
      </c>
      <c r="AC2321">
        <v>-26.987500000000001</v>
      </c>
      <c r="AD2321">
        <v>-1.1095561484129901</v>
      </c>
      <c r="AE2321">
        <v>-1.1847000000000201</v>
      </c>
      <c r="AF2321">
        <v>-1.4194680175057399</v>
      </c>
      <c r="AG2321">
        <v>-1.1095561484129901</v>
      </c>
      <c r="AH2321">
        <v>26.930610245527301</v>
      </c>
      <c r="AI2321">
        <v>92.356016950776507</v>
      </c>
      <c r="AJ2321">
        <v>93.017173965174194</v>
      </c>
      <c r="AK2321">
        <v>26.990809037442801</v>
      </c>
      <c r="AL2321">
        <v>87.757221842650907</v>
      </c>
      <c r="AM2321">
        <v>90.364640118642001</v>
      </c>
      <c r="AN2321">
        <v>1.0000000589951601</v>
      </c>
    </row>
    <row r="2322" spans="1:40" x14ac:dyDescent="0.25">
      <c r="A2322" t="str">
        <f>"20190312151031133"</f>
        <v>20190312151031133</v>
      </c>
      <c r="B2322" t="str">
        <f>"1552374631123044"</f>
        <v>1552374631123044</v>
      </c>
      <c r="C2322" t="s">
        <v>40</v>
      </c>
      <c r="D2322">
        <v>5.2748540000000004</v>
      </c>
      <c r="E2322">
        <v>0.48369279999999998</v>
      </c>
      <c r="F2322" t="s">
        <v>61</v>
      </c>
      <c r="G2322">
        <v>-422.56650000000002</v>
      </c>
      <c r="H2322" s="1">
        <v>3.7334900000000001E-6</v>
      </c>
      <c r="I2322">
        <v>282.05239999999998</v>
      </c>
      <c r="J2322">
        <v>-395.3141</v>
      </c>
      <c r="K2322">
        <v>1.1095729999999999</v>
      </c>
      <c r="L2322">
        <v>283.25150000000002</v>
      </c>
      <c r="M2322">
        <v>-0.99985290000000004</v>
      </c>
      <c r="N2322">
        <v>0</v>
      </c>
      <c r="O2322">
        <v>8.7886319999999993E-3</v>
      </c>
      <c r="P2322">
        <v>-0.99968120000000005</v>
      </c>
      <c r="Q2322">
        <v>2.5166549999999999E-2</v>
      </c>
      <c r="R2322">
        <v>2.0801079999999998E-3</v>
      </c>
      <c r="S2322">
        <v>-3.0042110000000002</v>
      </c>
      <c r="T2322">
        <v>-0.1205174</v>
      </c>
      <c r="U2322">
        <v>-0.1298523</v>
      </c>
      <c r="V2322">
        <v>-6.7054410000000004E-3</v>
      </c>
      <c r="W2322">
        <v>3.9885730000000001E-2</v>
      </c>
      <c r="X2322">
        <v>0.99918169999999995</v>
      </c>
      <c r="Y2322">
        <v>-5.1914080000000001E-2</v>
      </c>
      <c r="Z2322">
        <v>-1.392704E-3</v>
      </c>
      <c r="AA2322">
        <v>0.99865060000000005</v>
      </c>
      <c r="AB2322">
        <v>49</v>
      </c>
      <c r="AC2322">
        <v>-27.252400000000002</v>
      </c>
      <c r="AD2322">
        <v>-1.1095692665100001</v>
      </c>
      <c r="AE2322">
        <v>-1.19910000000004</v>
      </c>
      <c r="AF2322">
        <v>-1.43621480150785</v>
      </c>
      <c r="AG2322">
        <v>-1.1095692665100001</v>
      </c>
      <c r="AH2322">
        <v>27.195812966817801</v>
      </c>
      <c r="AI2322">
        <v>92.333082597399795</v>
      </c>
      <c r="AJ2322">
        <v>93.0229901751634</v>
      </c>
      <c r="AK2322">
        <v>27.256303855060501</v>
      </c>
      <c r="AL2322">
        <v>87.7141095320613</v>
      </c>
      <c r="AM2322">
        <v>90.384502339903307</v>
      </c>
      <c r="AN2322">
        <v>0.99999995200576197</v>
      </c>
    </row>
    <row r="2323" spans="1:40" x14ac:dyDescent="0.25">
      <c r="A2323" t="str">
        <f>"20190312151031147"</f>
        <v>20190312151031147</v>
      </c>
      <c r="B2323" t="str">
        <f>"1552374631142564"</f>
        <v>1552374631142564</v>
      </c>
      <c r="C2323" t="s">
        <v>40</v>
      </c>
      <c r="D2323">
        <v>5.2931220000000003</v>
      </c>
      <c r="E2323">
        <v>0.48366809999999899</v>
      </c>
      <c r="F2323" t="s">
        <v>61</v>
      </c>
      <c r="G2323">
        <v>-423.49549999999999</v>
      </c>
      <c r="H2323" s="1">
        <v>3.5713719999999999E-6</v>
      </c>
      <c r="I2323">
        <v>282.02190000000002</v>
      </c>
      <c r="J2323">
        <v>-395.61130000000003</v>
      </c>
      <c r="K2323">
        <v>1.109577</v>
      </c>
      <c r="L2323">
        <v>283.25409999999999</v>
      </c>
      <c r="M2323">
        <v>-0.99985270000000004</v>
      </c>
      <c r="N2323">
        <v>0</v>
      </c>
      <c r="O2323">
        <v>8.7885229999999995E-3</v>
      </c>
      <c r="P2323">
        <v>-0.9996777</v>
      </c>
      <c r="Q2323">
        <v>2.5338159999999998E-2</v>
      </c>
      <c r="R2323">
        <v>1.6460839999999999E-3</v>
      </c>
      <c r="S2323">
        <v>-3.0042110000000002</v>
      </c>
      <c r="T2323">
        <v>-0.11828320000000001</v>
      </c>
      <c r="U2323">
        <v>-0.131073</v>
      </c>
      <c r="V2323">
        <v>-7.1389540000000003E-3</v>
      </c>
      <c r="W2323">
        <v>4.007202E-2</v>
      </c>
      <c r="X2323">
        <v>0.99917129999999998</v>
      </c>
      <c r="Y2323">
        <v>-5.2320449999999998E-2</v>
      </c>
      <c r="Z2323">
        <v>-1.374882E-3</v>
      </c>
      <c r="AA2323">
        <v>0.9986294</v>
      </c>
      <c r="AB2323">
        <v>49</v>
      </c>
      <c r="AC2323">
        <v>-27.8841999999999</v>
      </c>
      <c r="AD2323">
        <v>-1.1095734286279999</v>
      </c>
      <c r="AE2323">
        <v>-1.23219999999997</v>
      </c>
      <c r="AF2323">
        <v>-1.4749091236363501</v>
      </c>
      <c r="AG2323">
        <v>-1.1095734286279999</v>
      </c>
      <c r="AH2323">
        <v>27.828314497819299</v>
      </c>
      <c r="AI2323">
        <v>92.280096964259897</v>
      </c>
      <c r="AJ2323">
        <v>93.033855115284396</v>
      </c>
      <c r="AK2323">
        <v>27.889453166135102</v>
      </c>
      <c r="AL2323">
        <v>87.703427491825593</v>
      </c>
      <c r="AM2323">
        <v>90.409364214419497</v>
      </c>
      <c r="AN2323">
        <v>1.00000000909739</v>
      </c>
    </row>
    <row r="2324" spans="1:40" x14ac:dyDescent="0.25">
      <c r="A2324" t="str">
        <f>"20190312151031166"</f>
        <v>20190312151031166</v>
      </c>
      <c r="B2324" t="str">
        <f>"1552374631163060"</f>
        <v>1552374631163060</v>
      </c>
      <c r="C2324" t="s">
        <v>40</v>
      </c>
      <c r="D2324">
        <v>5.1544980000000002</v>
      </c>
      <c r="E2324">
        <v>0.48365439999999998</v>
      </c>
      <c r="F2324" t="s">
        <v>61</v>
      </c>
      <c r="G2324">
        <v>-423.91879999999998</v>
      </c>
      <c r="H2324" s="1">
        <v>3.4977200000000001E-6</v>
      </c>
      <c r="I2324">
        <v>282.00549999999998</v>
      </c>
      <c r="J2324">
        <v>-396.04320000000001</v>
      </c>
      <c r="K2324">
        <v>1.1095919999999999</v>
      </c>
      <c r="L2324">
        <v>283.25790000000001</v>
      </c>
      <c r="M2324">
        <v>-0.99985250000000003</v>
      </c>
      <c r="N2324">
        <v>0</v>
      </c>
      <c r="O2324">
        <v>8.7885020000000001E-3</v>
      </c>
      <c r="P2324">
        <v>-0.99967289999999998</v>
      </c>
      <c r="Q2324">
        <v>2.554824E-2</v>
      </c>
      <c r="R2324">
        <v>1.306949E-3</v>
      </c>
      <c r="S2324">
        <v>-3.004181</v>
      </c>
      <c r="T2324">
        <v>-0.11775529999999999</v>
      </c>
      <c r="U2324">
        <v>-0.13250729999999999</v>
      </c>
      <c r="V2324">
        <v>-7.478111E-3</v>
      </c>
      <c r="W2324">
        <v>4.0300719999999998E-2</v>
      </c>
      <c r="X2324">
        <v>0.99915960000000004</v>
      </c>
      <c r="Y2324">
        <v>-5.279681E-2</v>
      </c>
      <c r="Z2324">
        <v>-1.3780779999999901E-3</v>
      </c>
      <c r="AA2324">
        <v>0.9986043</v>
      </c>
      <c r="AB2324">
        <v>49</v>
      </c>
      <c r="AC2324">
        <v>-27.875599999999899</v>
      </c>
      <c r="AD2324">
        <v>-1.1095885022799901</v>
      </c>
      <c r="AE2324">
        <v>-1.2524000000000199</v>
      </c>
      <c r="AF2324">
        <v>-1.49499910178907</v>
      </c>
      <c r="AG2324">
        <v>-1.1095885022799901</v>
      </c>
      <c r="AH2324">
        <v>27.819525762633599</v>
      </c>
      <c r="AI2324">
        <v>92.280757890690097</v>
      </c>
      <c r="AJ2324">
        <v>93.0760705898483</v>
      </c>
      <c r="AK2324">
        <v>27.8817542958936</v>
      </c>
      <c r="AL2324">
        <v>87.690313305325105</v>
      </c>
      <c r="AM2324">
        <v>90.428816576429895</v>
      </c>
      <c r="AN2324">
        <v>0.99999998822440295</v>
      </c>
    </row>
    <row r="2325" spans="1:40" x14ac:dyDescent="0.25">
      <c r="A2325" t="str">
        <f>"20190312151031189"</f>
        <v>20190312151031189</v>
      </c>
      <c r="B2325" t="str">
        <f>"1552374631182579"</f>
        <v>1552374631182579</v>
      </c>
      <c r="C2325" t="s">
        <v>40</v>
      </c>
      <c r="D2325">
        <v>5.1909390000000002</v>
      </c>
      <c r="E2325">
        <v>0.4836106</v>
      </c>
      <c r="F2325" t="s">
        <v>61</v>
      </c>
      <c r="G2325">
        <v>-424.2602</v>
      </c>
      <c r="H2325" s="1">
        <v>3.4374829999999999E-6</v>
      </c>
      <c r="I2325">
        <v>282.0018</v>
      </c>
      <c r="J2325">
        <v>-396.53949999999998</v>
      </c>
      <c r="K2325">
        <v>1.1095980000000001</v>
      </c>
      <c r="L2325">
        <v>283.26220000000001</v>
      </c>
      <c r="M2325">
        <v>-0.99985230000000003</v>
      </c>
      <c r="N2325">
        <v>0</v>
      </c>
      <c r="O2325">
        <v>8.7882459999999996E-3</v>
      </c>
      <c r="P2325">
        <v>-0.99966809999999995</v>
      </c>
      <c r="Q2325">
        <v>2.5715140000000001E-2</v>
      </c>
      <c r="R2325">
        <v>1.5499800000000001E-3</v>
      </c>
      <c r="S2325">
        <v>-3.004181</v>
      </c>
      <c r="T2325">
        <v>-0.1181345</v>
      </c>
      <c r="U2325">
        <v>-0.13372800000000001</v>
      </c>
      <c r="V2325">
        <v>-7.2350749999999997E-3</v>
      </c>
      <c r="W2325">
        <v>4.0486059999999997E-2</v>
      </c>
      <c r="X2325">
        <v>0.99915390000000004</v>
      </c>
      <c r="Y2325">
        <v>-5.3200919999999999E-2</v>
      </c>
      <c r="Z2325">
        <v>-1.3904290000000001E-3</v>
      </c>
      <c r="AA2325">
        <v>0.99858279999999999</v>
      </c>
      <c r="AB2325">
        <v>49</v>
      </c>
      <c r="AC2325">
        <v>-27.720700000000001</v>
      </c>
      <c r="AD2325">
        <v>-1.1095945625169901</v>
      </c>
      <c r="AE2325">
        <v>-1.2604</v>
      </c>
      <c r="AF2325">
        <v>-1.50159331421745</v>
      </c>
      <c r="AG2325">
        <v>-1.1095945625169901</v>
      </c>
      <c r="AH2325">
        <v>27.664318663986201</v>
      </c>
      <c r="AI2325">
        <v>92.293486068047201</v>
      </c>
      <c r="AJ2325">
        <v>93.106912445370597</v>
      </c>
      <c r="AK2325">
        <v>27.727252112624601</v>
      </c>
      <c r="AL2325">
        <v>87.679685439407095</v>
      </c>
      <c r="AM2325">
        <v>90.414883049280704</v>
      </c>
      <c r="AN2325">
        <v>0.99999999162489395</v>
      </c>
    </row>
    <row r="2326" spans="1:40" x14ac:dyDescent="0.25">
      <c r="A2326" t="str">
        <f>"20190312151031203"</f>
        <v>20190312151031203</v>
      </c>
      <c r="B2326" t="str">
        <f>"1552374631193316"</f>
        <v>1552374631193316</v>
      </c>
      <c r="C2326" t="s">
        <v>40</v>
      </c>
      <c r="D2326">
        <v>5.1889010000000004</v>
      </c>
      <c r="E2326">
        <v>0.4835875</v>
      </c>
      <c r="F2326" t="s">
        <v>61</v>
      </c>
      <c r="G2326">
        <v>-424.50110000000001</v>
      </c>
      <c r="H2326" s="1">
        <v>3.3932199999999899E-6</v>
      </c>
      <c r="I2326">
        <v>282.01929999999999</v>
      </c>
      <c r="J2326">
        <v>-396.84030000000001</v>
      </c>
      <c r="K2326">
        <v>1.1096029999999999</v>
      </c>
      <c r="L2326">
        <v>283.26490000000001</v>
      </c>
      <c r="M2326">
        <v>-0.99985210000000002</v>
      </c>
      <c r="N2326">
        <v>0</v>
      </c>
      <c r="O2326">
        <v>8.7881729999999998E-3</v>
      </c>
      <c r="P2326">
        <v>-0.99966619999999995</v>
      </c>
      <c r="Q2326">
        <v>2.5804770000000001E-2</v>
      </c>
      <c r="R2326">
        <v>1.335656E-3</v>
      </c>
      <c r="S2326">
        <v>-3.0042719999999998</v>
      </c>
      <c r="T2326">
        <v>-0.1192178</v>
      </c>
      <c r="U2326">
        <v>-0.13354489999999999</v>
      </c>
      <c r="V2326">
        <v>-7.4489619999999999E-3</v>
      </c>
      <c r="W2326">
        <v>4.0585639999999999E-2</v>
      </c>
      <c r="X2326">
        <v>0.99914829999999999</v>
      </c>
      <c r="Y2326">
        <v>-5.3137919999999998E-2</v>
      </c>
      <c r="Z2326">
        <v>-1.401876E-3</v>
      </c>
      <c r="AA2326">
        <v>0.99858619999999998</v>
      </c>
      <c r="AB2326">
        <v>49</v>
      </c>
      <c r="AC2326">
        <v>-27.660799999999899</v>
      </c>
      <c r="AD2326">
        <v>-1.10959960677999</v>
      </c>
      <c r="AE2326">
        <v>-1.24560000000002</v>
      </c>
      <c r="AF2326">
        <v>-1.48627950864058</v>
      </c>
      <c r="AG2326">
        <v>-1.10959960677999</v>
      </c>
      <c r="AH2326">
        <v>27.604453366161898</v>
      </c>
      <c r="AI2326">
        <v>92.298519110209497</v>
      </c>
      <c r="AJ2326">
        <v>93.081944612601703</v>
      </c>
      <c r="AK2326">
        <v>27.666696291927899</v>
      </c>
      <c r="AL2326">
        <v>87.673975259499997</v>
      </c>
      <c r="AM2326">
        <v>90.427149980946098</v>
      </c>
      <c r="AN2326">
        <v>1.0000000033009799</v>
      </c>
    </row>
    <row r="2327" spans="1:40" x14ac:dyDescent="0.25">
      <c r="A2327" t="str">
        <f>"20190312151031222"</f>
        <v>20190312151031222</v>
      </c>
      <c r="B2327" t="str">
        <f>"1552374631212836"</f>
        <v>1552374631212836</v>
      </c>
      <c r="C2327" t="s">
        <v>40</v>
      </c>
      <c r="D2327">
        <v>5.2052329999999998</v>
      </c>
      <c r="E2327">
        <v>0.48351660000000002</v>
      </c>
      <c r="F2327" t="s">
        <v>61</v>
      </c>
      <c r="G2327">
        <v>-424.60109999999997</v>
      </c>
      <c r="H2327" s="1">
        <v>3.3754610000000001E-6</v>
      </c>
      <c r="I2327">
        <v>282.01960000000003</v>
      </c>
      <c r="J2327">
        <v>-397.26769999999999</v>
      </c>
      <c r="K2327">
        <v>1.1096109999999999</v>
      </c>
      <c r="L2327">
        <v>283.26859999999999</v>
      </c>
      <c r="M2327">
        <v>-0.99985190000000002</v>
      </c>
      <c r="N2327">
        <v>0</v>
      </c>
      <c r="O2327">
        <v>8.7880830000000004E-3</v>
      </c>
      <c r="P2327">
        <v>-0.99966529999999998</v>
      </c>
      <c r="Q2327">
        <v>2.584873E-2</v>
      </c>
      <c r="R2327">
        <v>1.053043E-3</v>
      </c>
      <c r="S2327">
        <v>-3.0042719999999998</v>
      </c>
      <c r="T2327">
        <v>-0.1200811</v>
      </c>
      <c r="U2327">
        <v>-0.13476560000000001</v>
      </c>
      <c r="V2327">
        <v>-7.731468E-3</v>
      </c>
      <c r="W2327">
        <v>4.0641379999999998E-2</v>
      </c>
      <c r="X2327">
        <v>0.99914389999999997</v>
      </c>
      <c r="Y2327">
        <v>-5.3541730000000003E-2</v>
      </c>
      <c r="Z2327">
        <v>-1.4200669999999999E-3</v>
      </c>
      <c r="AA2327">
        <v>0.99856460000000002</v>
      </c>
      <c r="AB2327">
        <v>49</v>
      </c>
      <c r="AC2327">
        <v>-27.333399999999902</v>
      </c>
      <c r="AD2327">
        <v>-1.1096076245389901</v>
      </c>
      <c r="AE2327">
        <v>-1.2489999999999599</v>
      </c>
      <c r="AF2327">
        <v>-1.4867412344486901</v>
      </c>
      <c r="AG2327">
        <v>-1.1096076245389901</v>
      </c>
      <c r="AH2327">
        <v>27.276509308236999</v>
      </c>
      <c r="AI2327">
        <v>92.326057329346597</v>
      </c>
      <c r="AJ2327">
        <v>93.119892957765202</v>
      </c>
      <c r="AK2327">
        <v>27.339524293977401</v>
      </c>
      <c r="AL2327">
        <v>87.670778983171601</v>
      </c>
      <c r="AM2327">
        <v>90.443351197511703</v>
      </c>
      <c r="AN2327">
        <v>1.0000000151364701</v>
      </c>
    </row>
    <row r="2328" spans="1:40" x14ac:dyDescent="0.25">
      <c r="A2328" t="str">
        <f>"20190312151031245"</f>
        <v>20190312151031245</v>
      </c>
      <c r="B2328" t="str">
        <f>"1552374631233332"</f>
        <v>1552374631233332</v>
      </c>
      <c r="C2328" t="s">
        <v>40</v>
      </c>
      <c r="D2328">
        <v>5.4106009999999998</v>
      </c>
      <c r="E2328">
        <v>0.4816974</v>
      </c>
      <c r="F2328" t="s">
        <v>61</v>
      </c>
      <c r="G2328">
        <v>-424.92079999999999</v>
      </c>
      <c r="H2328" s="1">
        <v>3.3188010000000001E-6</v>
      </c>
      <c r="I2328">
        <v>282.01889999999997</v>
      </c>
      <c r="J2328">
        <v>-397.74540000000002</v>
      </c>
      <c r="K2328">
        <v>1.1096170000000001</v>
      </c>
      <c r="L2328">
        <v>283.27280000000002</v>
      </c>
      <c r="M2328">
        <v>-0.99985170000000001</v>
      </c>
      <c r="N2328">
        <v>0</v>
      </c>
      <c r="O2328">
        <v>8.7879989999999995E-3</v>
      </c>
      <c r="P2328">
        <v>-0.99966029999999995</v>
      </c>
      <c r="Q2328">
        <v>2.606346E-2</v>
      </c>
      <c r="R2328">
        <v>7.0920009999999895E-4</v>
      </c>
      <c r="S2328">
        <v>-3.0042719999999998</v>
      </c>
      <c r="T2328">
        <v>-0.1205493</v>
      </c>
      <c r="U2328">
        <v>-0.1357727</v>
      </c>
      <c r="V2328">
        <v>-8.0753749999999992E-3</v>
      </c>
      <c r="W2328">
        <v>4.0867689999999998E-2</v>
      </c>
      <c r="X2328">
        <v>0.99913189999999996</v>
      </c>
      <c r="Y2328">
        <v>-5.3875060000000002E-2</v>
      </c>
      <c r="Z2328">
        <v>-1.4322670000000001E-3</v>
      </c>
      <c r="AA2328">
        <v>0.99854670000000001</v>
      </c>
      <c r="AB2328">
        <v>49</v>
      </c>
      <c r="AC2328">
        <v>-27.1753999999999</v>
      </c>
      <c r="AD2328">
        <v>-1.1096136811990001</v>
      </c>
      <c r="AE2328">
        <v>-1.25390000000004</v>
      </c>
      <c r="AF2328">
        <v>-1.4902159216084501</v>
      </c>
      <c r="AG2328">
        <v>-1.1096136811990001</v>
      </c>
      <c r="AH2328">
        <v>27.118214052319299</v>
      </c>
      <c r="AI2328">
        <v>92.339575860927695</v>
      </c>
      <c r="AJ2328">
        <v>93.145387519627803</v>
      </c>
      <c r="AK2328">
        <v>27.181786538083301</v>
      </c>
      <c r="AL2328">
        <v>87.657801480166299</v>
      </c>
      <c r="AM2328">
        <v>90.463076827903095</v>
      </c>
      <c r="AN2328">
        <v>0.99999996668246705</v>
      </c>
    </row>
    <row r="2329" spans="1:40" x14ac:dyDescent="0.25">
      <c r="A2329" t="str">
        <f>"20190312151031257"</f>
        <v>20190312151031257</v>
      </c>
      <c r="B2329" t="str">
        <f>"1552374631252852"</f>
        <v>1552374631252852</v>
      </c>
      <c r="C2329" t="s">
        <v>40</v>
      </c>
      <c r="D2329">
        <v>5.1286329999999998</v>
      </c>
      <c r="E2329">
        <v>0.47737499999999999</v>
      </c>
      <c r="F2329" t="s">
        <v>61</v>
      </c>
      <c r="G2329">
        <v>-412.41539999999998</v>
      </c>
      <c r="H2329" s="1">
        <v>2.8180380000000002E-6</v>
      </c>
      <c r="I2329">
        <v>282.51350000000002</v>
      </c>
      <c r="J2329">
        <v>-398.0317</v>
      </c>
      <c r="K2329">
        <v>1.109621</v>
      </c>
      <c r="L2329">
        <v>283.27530000000002</v>
      </c>
      <c r="M2329">
        <v>-0.99985159999999995</v>
      </c>
      <c r="N2329">
        <v>0</v>
      </c>
      <c r="O2329">
        <v>8.7877749999999994E-3</v>
      </c>
      <c r="P2329">
        <v>-0.9996564</v>
      </c>
      <c r="Q2329">
        <v>2.620662E-2</v>
      </c>
      <c r="R2329">
        <v>7.7327660000000003E-4</v>
      </c>
      <c r="S2329">
        <v>-3.0070190000000001</v>
      </c>
      <c r="T2329">
        <v>-0.22744610000000001</v>
      </c>
      <c r="U2329">
        <v>-0.15563959999999999</v>
      </c>
      <c r="V2329">
        <v>-8.0110089999999995E-3</v>
      </c>
      <c r="W2329">
        <v>4.1016820000000002E-2</v>
      </c>
      <c r="X2329">
        <v>0.99912630000000002</v>
      </c>
      <c r="Y2329">
        <v>-6.0267830000000001E-2</v>
      </c>
      <c r="Z2329">
        <v>-2.937921E-3</v>
      </c>
      <c r="AA2329">
        <v>0.99817789999999995</v>
      </c>
      <c r="AB2329">
        <v>49</v>
      </c>
      <c r="AC2329">
        <v>-14.3836999999999</v>
      </c>
      <c r="AD2329">
        <v>-1.1096181819619999</v>
      </c>
      <c r="AE2329">
        <v>-0.76179999999999304</v>
      </c>
      <c r="AF2329">
        <v>-0.88294527329818795</v>
      </c>
      <c r="AG2329">
        <v>-1.1096181819619999</v>
      </c>
      <c r="AH2329">
        <v>14.291634484791301</v>
      </c>
      <c r="AI2329">
        <v>94.431185873935803</v>
      </c>
      <c r="AJ2329">
        <v>93.535272425226097</v>
      </c>
      <c r="AK2329">
        <v>14.3618125984242</v>
      </c>
      <c r="AL2329">
        <v>87.649249773075397</v>
      </c>
      <c r="AM2329">
        <v>90.459388537401196</v>
      </c>
      <c r="AN2329">
        <v>0.99999995956989896</v>
      </c>
    </row>
    <row r="2330" spans="1:40" x14ac:dyDescent="0.25">
      <c r="A2330" t="str">
        <f>"20190312151031279"</f>
        <v>20190312151031279</v>
      </c>
      <c r="B2330" t="str">
        <f>"1552374631273351"</f>
        <v>1552374631273351</v>
      </c>
      <c r="C2330" t="s">
        <v>40</v>
      </c>
      <c r="D2330">
        <v>5.2533379999999896</v>
      </c>
      <c r="E2330">
        <v>0.4763366</v>
      </c>
      <c r="F2330" t="s">
        <v>61</v>
      </c>
      <c r="G2330">
        <v>-413.76150000000001</v>
      </c>
      <c r="H2330" s="1">
        <v>3.0767600000000001E-6</v>
      </c>
      <c r="I2330">
        <v>282.28530000000001</v>
      </c>
      <c r="J2330">
        <v>-398.48379999999997</v>
      </c>
      <c r="K2330">
        <v>1.109631</v>
      </c>
      <c r="L2330">
        <v>283.27929999999998</v>
      </c>
      <c r="M2330">
        <v>-0.99985159999999995</v>
      </c>
      <c r="N2330">
        <v>0</v>
      </c>
      <c r="O2330">
        <v>8.7875379999999993E-3</v>
      </c>
      <c r="P2330">
        <v>-0.99964149999999996</v>
      </c>
      <c r="Q2330">
        <v>2.677506E-2</v>
      </c>
      <c r="R2330">
        <v>5.4478190000000002E-4</v>
      </c>
      <c r="S2330">
        <v>-3.0066830000000002</v>
      </c>
      <c r="T2330">
        <v>-0.21209939999999999</v>
      </c>
      <c r="U2330">
        <v>-0.1892395</v>
      </c>
      <c r="V2330">
        <v>-8.2390169999999995E-3</v>
      </c>
      <c r="W2330">
        <v>4.1592339999999998E-2</v>
      </c>
      <c r="X2330">
        <v>0.99910069999999995</v>
      </c>
      <c r="Y2330">
        <v>-7.1385580000000004E-2</v>
      </c>
      <c r="Z2330">
        <v>-3.1308849999999999E-3</v>
      </c>
      <c r="AA2330">
        <v>0.99744390000000005</v>
      </c>
      <c r="AB2330">
        <v>49</v>
      </c>
      <c r="AC2330">
        <v>-15.277699999999999</v>
      </c>
      <c r="AD2330">
        <v>-1.1096279232399999</v>
      </c>
      <c r="AE2330">
        <v>-0.99399999999997102</v>
      </c>
      <c r="AF2330">
        <v>-1.1223341431490099</v>
      </c>
      <c r="AG2330">
        <v>-1.1096279232399999</v>
      </c>
      <c r="AH2330">
        <v>15.188589124730999</v>
      </c>
      <c r="AI2330">
        <v>94.167095355001905</v>
      </c>
      <c r="AJ2330">
        <v>94.226090479559502</v>
      </c>
      <c r="AK2330">
        <v>15.270368288185001</v>
      </c>
      <c r="AL2330">
        <v>87.616246851324505</v>
      </c>
      <c r="AM2330">
        <v>90.472475098106202</v>
      </c>
      <c r="AN2330">
        <v>1.0000000064441401</v>
      </c>
    </row>
    <row r="2331" spans="1:40" x14ac:dyDescent="0.25">
      <c r="A2331" t="str">
        <f>"20190312151031300"</f>
        <v>20190312151031300</v>
      </c>
      <c r="B2331" t="str">
        <f>"1552374631292868"</f>
        <v>1552374631292868</v>
      </c>
      <c r="C2331" t="s">
        <v>40</v>
      </c>
      <c r="D2331">
        <v>5.1732699999999996</v>
      </c>
      <c r="E2331">
        <v>0.47654790000000002</v>
      </c>
      <c r="F2331" t="s">
        <v>61</v>
      </c>
      <c r="G2331">
        <v>-414.41480000000001</v>
      </c>
      <c r="H2331" s="1">
        <v>3.197598E-6</v>
      </c>
      <c r="I2331">
        <v>282.22859999999997</v>
      </c>
      <c r="J2331">
        <v>-398.9676</v>
      </c>
      <c r="K2331">
        <v>1.1096360000000001</v>
      </c>
      <c r="L2331">
        <v>283.2835</v>
      </c>
      <c r="M2331">
        <v>-0.9998515</v>
      </c>
      <c r="N2331">
        <v>0</v>
      </c>
      <c r="O2331">
        <v>8.7873080000000006E-3</v>
      </c>
      <c r="P2331">
        <v>-0.99964010000000003</v>
      </c>
      <c r="Q2331">
        <v>2.6830880000000001E-2</v>
      </c>
      <c r="R2331">
        <v>-1.109463E-4</v>
      </c>
      <c r="S2331">
        <v>-3.0068049999999999</v>
      </c>
      <c r="T2331">
        <v>-0.20943110000000001</v>
      </c>
      <c r="U2331">
        <v>-0.19830320000000001</v>
      </c>
      <c r="V2331">
        <v>-8.8945309999999903E-3</v>
      </c>
      <c r="W2331">
        <v>4.1655230000000001E-2</v>
      </c>
      <c r="X2331">
        <v>0.99909250000000005</v>
      </c>
      <c r="Y2331">
        <v>-7.4374549999999998E-2</v>
      </c>
      <c r="Z2331">
        <v>-3.1950110000000002E-3</v>
      </c>
      <c r="AA2331">
        <v>0.99722529999999998</v>
      </c>
      <c r="AB2331">
        <v>49</v>
      </c>
      <c r="AC2331">
        <v>-15.4472</v>
      </c>
      <c r="AD2331">
        <v>-1.1096328024019999</v>
      </c>
      <c r="AE2331">
        <v>-1.0549000000000299</v>
      </c>
      <c r="AF2331">
        <v>-1.1845295532720299</v>
      </c>
      <c r="AG2331">
        <v>-1.1096328024019999</v>
      </c>
      <c r="AH2331">
        <v>15.358449296718399</v>
      </c>
      <c r="AI2331">
        <v>94.120189577158996</v>
      </c>
      <c r="AJ2331">
        <v>94.410240399962802</v>
      </c>
      <c r="AK2331">
        <v>15.443974877557</v>
      </c>
      <c r="AL2331">
        <v>87.612640491638899</v>
      </c>
      <c r="AM2331">
        <v>90.510068511326395</v>
      </c>
      <c r="AN2331">
        <v>1.00000004721215</v>
      </c>
    </row>
    <row r="2332" spans="1:40" x14ac:dyDescent="0.25">
      <c r="A2332" t="str">
        <f>"20190312151031323"</f>
        <v>20190312151031323</v>
      </c>
      <c r="B2332" t="str">
        <f>"1552374631313363"</f>
        <v>1552374631313363</v>
      </c>
      <c r="C2332" t="s">
        <v>40</v>
      </c>
      <c r="D2332">
        <v>5.2622010000000001</v>
      </c>
      <c r="E2332">
        <v>0.47537639999999998</v>
      </c>
      <c r="F2332" t="s">
        <v>61</v>
      </c>
      <c r="G2332">
        <v>-415.56380000000001</v>
      </c>
      <c r="H2332" s="1">
        <v>3.4048189999999999E-6</v>
      </c>
      <c r="I2332">
        <v>282.18970000000002</v>
      </c>
      <c r="J2332">
        <v>-399.46230000000003</v>
      </c>
      <c r="K2332">
        <v>1.1096469999999901</v>
      </c>
      <c r="L2332">
        <v>283.28789999999998</v>
      </c>
      <c r="M2332">
        <v>-0.9998513</v>
      </c>
      <c r="N2332">
        <v>0</v>
      </c>
      <c r="O2332">
        <v>8.7872650000000007E-3</v>
      </c>
      <c r="P2332">
        <v>-0.99963449999999998</v>
      </c>
      <c r="Q2332">
        <v>2.7031240000000002E-2</v>
      </c>
      <c r="R2332">
        <v>-6.8710369999999904E-4</v>
      </c>
      <c r="S2332">
        <v>-3.0064090000000001</v>
      </c>
      <c r="T2332">
        <v>-0.20100999999999999</v>
      </c>
      <c r="U2332">
        <v>-0.19815060000000001</v>
      </c>
      <c r="V2332">
        <v>-9.4708970000000007E-3</v>
      </c>
      <c r="W2332">
        <v>4.1861040000000002E-2</v>
      </c>
      <c r="X2332">
        <v>0.99907860000000004</v>
      </c>
      <c r="Y2332">
        <v>-7.4348559999999994E-2</v>
      </c>
      <c r="Z2332">
        <v>-3.066371E-3</v>
      </c>
      <c r="AA2332">
        <v>0.99722759999999999</v>
      </c>
      <c r="AB2332">
        <v>49</v>
      </c>
      <c r="AC2332">
        <v>-16.101499999999898</v>
      </c>
      <c r="AD2332">
        <v>-1.10964359518099</v>
      </c>
      <c r="AE2332">
        <v>-1.0981999999999601</v>
      </c>
      <c r="AF2332">
        <v>-1.2338285629927499</v>
      </c>
      <c r="AG2332">
        <v>-1.10964359518099</v>
      </c>
      <c r="AH2332">
        <v>16.0155158472142</v>
      </c>
      <c r="AI2332">
        <v>93.951762307546801</v>
      </c>
      <c r="AJ2332">
        <v>94.405340982300203</v>
      </c>
      <c r="AK2332">
        <v>16.101254289140101</v>
      </c>
      <c r="AL2332">
        <v>87.600838152124595</v>
      </c>
      <c r="AM2332">
        <v>90.543126609470406</v>
      </c>
      <c r="AN2332">
        <v>1.0000000467689101</v>
      </c>
    </row>
    <row r="2333" spans="1:40" x14ac:dyDescent="0.25">
      <c r="A2333" t="str">
        <f>"20190312151031345"</f>
        <v>20190312151031345</v>
      </c>
      <c r="B2333" t="str">
        <f>"1552374631342644"</f>
        <v>1552374631342644</v>
      </c>
      <c r="C2333" t="s">
        <v>40</v>
      </c>
      <c r="D2333">
        <v>5.3968299999999996</v>
      </c>
      <c r="E2333">
        <v>0.47457840000000001</v>
      </c>
      <c r="F2333" t="s">
        <v>61</v>
      </c>
      <c r="G2333">
        <v>-415.09809999999999</v>
      </c>
      <c r="H2333" s="1">
        <v>3.321665E-6</v>
      </c>
      <c r="I2333">
        <v>282.19589999999999</v>
      </c>
      <c r="J2333">
        <v>-399.9425</v>
      </c>
      <c r="K2333">
        <v>1.1096490000000001</v>
      </c>
      <c r="L2333">
        <v>283.2921</v>
      </c>
      <c r="M2333">
        <v>-0.99985119999999905</v>
      </c>
      <c r="N2333">
        <v>0</v>
      </c>
      <c r="O2333">
        <v>8.7870550000000002E-3</v>
      </c>
      <c r="P2333">
        <v>-0.99960979999999999</v>
      </c>
      <c r="Q2333">
        <v>2.7904910000000002E-2</v>
      </c>
      <c r="R2333">
        <v>-1.360001E-3</v>
      </c>
      <c r="S2333">
        <v>-3.0066830000000002</v>
      </c>
      <c r="T2333">
        <v>-0.21337900000000001</v>
      </c>
      <c r="U2333">
        <v>-0.2099915</v>
      </c>
      <c r="V2333">
        <v>-1.0142719999999999E-2</v>
      </c>
      <c r="W2333">
        <v>4.2738600000000002E-2</v>
      </c>
      <c r="X2333">
        <v>0.9990348</v>
      </c>
      <c r="Y2333">
        <v>-7.8218029999999994E-2</v>
      </c>
      <c r="Z2333">
        <v>-3.390826E-3</v>
      </c>
      <c r="AA2333">
        <v>0.99693050000000005</v>
      </c>
      <c r="AB2333">
        <v>49</v>
      </c>
      <c r="AC2333">
        <v>-15.1555999999999</v>
      </c>
      <c r="AD2333">
        <v>-1.1096456783349999</v>
      </c>
      <c r="AE2333">
        <v>-1.0962000000000101</v>
      </c>
      <c r="AF2333">
        <v>-1.22282434424716</v>
      </c>
      <c r="AG2333">
        <v>-1.1096456783349999</v>
      </c>
      <c r="AH2333">
        <v>15.0650422936427</v>
      </c>
      <c r="AI2333">
        <v>94.198867546980907</v>
      </c>
      <c r="AJ2333">
        <v>94.640505379192604</v>
      </c>
      <c r="AK2333">
        <v>15.1552668144633</v>
      </c>
      <c r="AL2333">
        <v>87.550512503727703</v>
      </c>
      <c r="AM2333">
        <v>90.581676517622896</v>
      </c>
      <c r="AN2333">
        <v>0.99999999715499899</v>
      </c>
    </row>
    <row r="2334" spans="1:40" x14ac:dyDescent="0.25">
      <c r="A2334" t="str">
        <f>"20190312151031368"</f>
        <v>20190312151031368</v>
      </c>
      <c r="B2334" t="str">
        <f>"1552374631363140"</f>
        <v>1552374631363140</v>
      </c>
      <c r="C2334" t="s">
        <v>40</v>
      </c>
      <c r="D2334">
        <v>5.1549319999999996</v>
      </c>
      <c r="E2334">
        <v>0.47423920000000003</v>
      </c>
      <c r="F2334" t="s">
        <v>61</v>
      </c>
      <c r="G2334">
        <v>-415.68450000000001</v>
      </c>
      <c r="H2334" s="1">
        <v>3.4298300000000002E-6</v>
      </c>
      <c r="I2334">
        <v>282.14859999999999</v>
      </c>
      <c r="J2334">
        <v>-400.44189999999998</v>
      </c>
      <c r="K2334">
        <v>1.1096520000000001</v>
      </c>
      <c r="L2334">
        <v>283.29649999999998</v>
      </c>
      <c r="M2334">
        <v>-0.9998513</v>
      </c>
      <c r="N2334">
        <v>0</v>
      </c>
      <c r="O2334">
        <v>8.7867320000000002E-3</v>
      </c>
      <c r="P2334">
        <v>-0.99961049999999996</v>
      </c>
      <c r="Q2334">
        <v>2.7847779999999999E-2</v>
      </c>
      <c r="R2334">
        <v>-1.8165569999999999E-3</v>
      </c>
      <c r="S2334">
        <v>-3.0067750000000002</v>
      </c>
      <c r="T2334">
        <v>-0.21194579999999999</v>
      </c>
      <c r="U2334">
        <v>-0.21841430000000001</v>
      </c>
      <c r="V2334">
        <v>-1.059911E-2</v>
      </c>
      <c r="W2334">
        <v>4.2684279999999998E-2</v>
      </c>
      <c r="X2334">
        <v>0.99903240000000004</v>
      </c>
      <c r="Y2334">
        <v>-8.0990010000000001E-2</v>
      </c>
      <c r="Z2334">
        <v>-3.4650990000000001E-3</v>
      </c>
      <c r="AA2334">
        <v>0.99670890000000001</v>
      </c>
      <c r="AB2334">
        <v>49</v>
      </c>
      <c r="AC2334">
        <v>-15.242599999999999</v>
      </c>
      <c r="AD2334">
        <v>-1.1096485701700001</v>
      </c>
      <c r="AE2334">
        <v>-1.1478999999999899</v>
      </c>
      <c r="AF2334">
        <v>-1.2750835889026699</v>
      </c>
      <c r="AG2334">
        <v>-1.1096485701700001</v>
      </c>
      <c r="AH2334">
        <v>15.1520751639091</v>
      </c>
      <c r="AI2334">
        <v>94.173827182269306</v>
      </c>
      <c r="AJ2334">
        <v>94.8102443072234</v>
      </c>
      <c r="AK2334">
        <v>15.2460663740101</v>
      </c>
      <c r="AL2334">
        <v>87.553627690945305</v>
      </c>
      <c r="AM2334">
        <v>90.607849641373306</v>
      </c>
      <c r="AN2334">
        <v>1.0000000125708299</v>
      </c>
    </row>
    <row r="2335" spans="1:40" x14ac:dyDescent="0.25">
      <c r="A2335" t="str">
        <f>"20190312151031391"</f>
        <v>20190312151031391</v>
      </c>
      <c r="B2335" t="str">
        <f>"1552374631382660"</f>
        <v>1552374631382660</v>
      </c>
      <c r="C2335" t="s">
        <v>40</v>
      </c>
      <c r="D2335">
        <v>5.4260919999999997</v>
      </c>
      <c r="E2335">
        <v>0.4740125</v>
      </c>
      <c r="F2335" t="s">
        <v>61</v>
      </c>
      <c r="G2335">
        <v>-416.19880000000001</v>
      </c>
      <c r="H2335" s="1">
        <v>3.522503E-6</v>
      </c>
      <c r="I2335">
        <v>282.13200000000001</v>
      </c>
      <c r="J2335">
        <v>-400.93509999999998</v>
      </c>
      <c r="K2335">
        <v>1.109658</v>
      </c>
      <c r="L2335">
        <v>283.30079999999998</v>
      </c>
      <c r="M2335">
        <v>-0.9998513</v>
      </c>
      <c r="N2335">
        <v>0</v>
      </c>
      <c r="O2335">
        <v>8.7865359999999993E-3</v>
      </c>
      <c r="P2335">
        <v>-0.99960150000000003</v>
      </c>
      <c r="Q2335">
        <v>2.8112290000000002E-2</v>
      </c>
      <c r="R2335">
        <v>-2.6547379999999998E-3</v>
      </c>
      <c r="S2335">
        <v>-3.006653</v>
      </c>
      <c r="T2335">
        <v>-0.2117375</v>
      </c>
      <c r="U2335">
        <v>-0.22219849999999999</v>
      </c>
      <c r="V2335">
        <v>-1.143692E-2</v>
      </c>
      <c r="W2335">
        <v>4.2951070000000001E-2</v>
      </c>
      <c r="X2335">
        <v>0.99901169999999995</v>
      </c>
      <c r="Y2335">
        <v>-8.2237790000000005E-2</v>
      </c>
      <c r="Z2335">
        <v>-3.5054940000000001E-3</v>
      </c>
      <c r="AA2335">
        <v>0.99660660000000001</v>
      </c>
      <c r="AB2335">
        <v>49</v>
      </c>
      <c r="AC2335">
        <v>-15.2637</v>
      </c>
      <c r="AD2335">
        <v>-1.1096544774969901</v>
      </c>
      <c r="AE2335">
        <v>-1.1687999999999701</v>
      </c>
      <c r="AF2335">
        <v>-1.2960746920050701</v>
      </c>
      <c r="AG2335">
        <v>-1.1096544774969901</v>
      </c>
      <c r="AH2335">
        <v>15.173115361739899</v>
      </c>
      <c r="AI2335">
        <v>94.167639081850893</v>
      </c>
      <c r="AJ2335">
        <v>94.882305613724199</v>
      </c>
      <c r="AK2335">
        <v>15.2687449532485</v>
      </c>
      <c r="AL2335">
        <v>87.538327655885894</v>
      </c>
      <c r="AM2335">
        <v>90.655906853856095</v>
      </c>
      <c r="AN2335">
        <v>0.99999998714506</v>
      </c>
    </row>
    <row r="2336" spans="1:40" x14ac:dyDescent="0.25">
      <c r="A2336" t="str">
        <f>"20190312151031412"</f>
        <v>20190312151031412</v>
      </c>
      <c r="B2336" t="str">
        <f>"1552374631403156"</f>
        <v>1552374631403156</v>
      </c>
      <c r="C2336" t="s">
        <v>40</v>
      </c>
      <c r="D2336">
        <v>5.3179150000000002</v>
      </c>
      <c r="E2336">
        <v>0.474049</v>
      </c>
      <c r="F2336" t="s">
        <v>61</v>
      </c>
      <c r="G2336">
        <v>-416.65089999999998</v>
      </c>
      <c r="H2336" s="1">
        <v>3.6039459999999999E-6</v>
      </c>
      <c r="I2336">
        <v>282.11779999999999</v>
      </c>
      <c r="J2336">
        <v>-401.41340000000002</v>
      </c>
      <c r="K2336">
        <v>1.109664</v>
      </c>
      <c r="L2336">
        <v>283.30500000000001</v>
      </c>
      <c r="M2336">
        <v>-0.99985119999999905</v>
      </c>
      <c r="N2336">
        <v>0</v>
      </c>
      <c r="O2336">
        <v>8.7865240000000004E-3</v>
      </c>
      <c r="P2336">
        <v>-0.99960119999999997</v>
      </c>
      <c r="Q2336">
        <v>2.80784E-2</v>
      </c>
      <c r="R2336">
        <v>-3.0584309999999999E-3</v>
      </c>
      <c r="S2336">
        <v>-3.0065309999999998</v>
      </c>
      <c r="T2336">
        <v>-0.21228369999999999</v>
      </c>
      <c r="U2336">
        <v>-0.2263184</v>
      </c>
      <c r="V2336">
        <v>-1.1840420000000001E-2</v>
      </c>
      <c r="W2336">
        <v>4.2919150000000003E-2</v>
      </c>
      <c r="X2336">
        <v>0.99900840000000002</v>
      </c>
      <c r="Y2336">
        <v>-8.3594280000000007E-2</v>
      </c>
      <c r="Z2336">
        <v>-3.5622409999999998E-3</v>
      </c>
      <c r="AA2336">
        <v>0.99649350000000003</v>
      </c>
      <c r="AB2336">
        <v>49</v>
      </c>
      <c r="AC2336">
        <v>-15.237499999999899</v>
      </c>
      <c r="AD2336">
        <v>-1.1096603960539999</v>
      </c>
      <c r="AE2336">
        <v>-1.18720000000001</v>
      </c>
      <c r="AF2336">
        <v>-1.31412631609203</v>
      </c>
      <c r="AG2336">
        <v>-1.1096603960539999</v>
      </c>
      <c r="AH2336">
        <v>15.1466354825265</v>
      </c>
      <c r="AI2336">
        <v>94.174444785110097</v>
      </c>
      <c r="AJ2336">
        <v>94.958581024295398</v>
      </c>
      <c r="AK2336">
        <v>15.2439771913286</v>
      </c>
      <c r="AL2336">
        <v>87.540158296560904</v>
      </c>
      <c r="AM2336">
        <v>90.679047673874607</v>
      </c>
      <c r="AN2336">
        <v>1.0000000161265199</v>
      </c>
    </row>
    <row r="2337" spans="1:40" x14ac:dyDescent="0.25">
      <c r="A2337" t="str">
        <f>"20190312151031434"</f>
        <v>20190312151031434</v>
      </c>
      <c r="B2337" t="str">
        <f>"1552374631422679"</f>
        <v>1552374631422679</v>
      </c>
      <c r="C2337" t="s">
        <v>40</v>
      </c>
      <c r="D2337">
        <v>5.1841249999999999</v>
      </c>
      <c r="E2337">
        <v>0.47407349999999998</v>
      </c>
      <c r="F2337" t="s">
        <v>61</v>
      </c>
      <c r="G2337">
        <v>-417.31349999999998</v>
      </c>
      <c r="H2337" s="1">
        <v>3.7227369999999999E-6</v>
      </c>
      <c r="I2337">
        <v>282.10340000000002</v>
      </c>
      <c r="J2337">
        <v>-401.88339999999999</v>
      </c>
      <c r="K2337">
        <v>1.1096729999999999</v>
      </c>
      <c r="L2337">
        <v>283.3091</v>
      </c>
      <c r="M2337">
        <v>-0.9998513</v>
      </c>
      <c r="N2337">
        <v>0</v>
      </c>
      <c r="O2337">
        <v>8.786159E-3</v>
      </c>
      <c r="P2337">
        <v>-0.99958639999999999</v>
      </c>
      <c r="Q2337">
        <v>2.8498059999999999E-2</v>
      </c>
      <c r="R2337">
        <v>-3.9062790000000003E-3</v>
      </c>
      <c r="S2337">
        <v>-3.0064090000000001</v>
      </c>
      <c r="T2337">
        <v>-0.2098159</v>
      </c>
      <c r="U2337">
        <v>-0.2272034</v>
      </c>
      <c r="V2337">
        <v>-1.268763E-2</v>
      </c>
      <c r="W2337">
        <v>4.3339330000000002E-2</v>
      </c>
      <c r="X2337">
        <v>0.99897990000000003</v>
      </c>
      <c r="Y2337">
        <v>-8.3893190000000006E-2</v>
      </c>
      <c r="Z2337">
        <v>-3.53141E-3</v>
      </c>
      <c r="AA2337">
        <v>0.99646849999999998</v>
      </c>
      <c r="AB2337">
        <v>49</v>
      </c>
      <c r="AC2337">
        <v>-15.4300999999999</v>
      </c>
      <c r="AD2337">
        <v>-1.1096692772629999</v>
      </c>
      <c r="AE2337">
        <v>-1.20569999999997</v>
      </c>
      <c r="AF2337">
        <v>-1.33438029850046</v>
      </c>
      <c r="AG2337">
        <v>-1.1096692772629999</v>
      </c>
      <c r="AH2337">
        <v>15.340053980446299</v>
      </c>
      <c r="AI2337">
        <v>94.121945633445407</v>
      </c>
      <c r="AJ2337">
        <v>94.971455443937401</v>
      </c>
      <c r="AK2337">
        <v>15.4379141340057</v>
      </c>
      <c r="AL2337">
        <v>87.516061435641106</v>
      </c>
      <c r="AM2337">
        <v>90.727650844697806</v>
      </c>
      <c r="AN2337">
        <v>1.0000000570419301</v>
      </c>
    </row>
    <row r="2338" spans="1:40" x14ac:dyDescent="0.25">
      <c r="A2338" t="str">
        <f>"20190312151031456"</f>
        <v>20190312151031456</v>
      </c>
      <c r="B2338" t="str">
        <f>"1552374631452931"</f>
        <v>1552374631452931</v>
      </c>
      <c r="C2338" t="s">
        <v>40</v>
      </c>
      <c r="D2338">
        <v>5.3145280000000001</v>
      </c>
      <c r="E2338">
        <v>0.4737712</v>
      </c>
      <c r="F2338" t="s">
        <v>61</v>
      </c>
      <c r="G2338">
        <v>-417.9803</v>
      </c>
      <c r="H2338" s="1">
        <v>3.842797E-6</v>
      </c>
      <c r="I2338">
        <v>282.0829</v>
      </c>
      <c r="J2338">
        <v>-402.36500000000001</v>
      </c>
      <c r="K2338">
        <v>1.1096820000000001</v>
      </c>
      <c r="L2338">
        <v>283.3134</v>
      </c>
      <c r="M2338">
        <v>-0.99985109999999999</v>
      </c>
      <c r="N2338">
        <v>0</v>
      </c>
      <c r="O2338">
        <v>8.7861550000000004E-3</v>
      </c>
      <c r="P2338">
        <v>-0.99956639999999997</v>
      </c>
      <c r="Q2338">
        <v>2.9144860000000002E-2</v>
      </c>
      <c r="R2338">
        <v>-4.1920909999999898E-3</v>
      </c>
      <c r="S2338">
        <v>-3.0062869999999999</v>
      </c>
      <c r="T2338">
        <v>-0.2072444</v>
      </c>
      <c r="U2338">
        <v>-0.22900390000000001</v>
      </c>
      <c r="V2338">
        <v>-1.297355E-2</v>
      </c>
      <c r="W2338">
        <v>4.3986249999999998E-2</v>
      </c>
      <c r="X2338">
        <v>0.9989479</v>
      </c>
      <c r="Y2338">
        <v>-8.4493639999999995E-2</v>
      </c>
      <c r="Z2338">
        <v>-3.5089370000000002E-3</v>
      </c>
      <c r="AA2338">
        <v>0.99641780000000002</v>
      </c>
      <c r="AB2338">
        <v>49</v>
      </c>
      <c r="AC2338">
        <v>-15.6152999999999</v>
      </c>
      <c r="AD2338">
        <v>-1.1096781572029999</v>
      </c>
      <c r="AE2338">
        <v>-1.2304999999999999</v>
      </c>
      <c r="AF2338">
        <v>-1.3608362292102301</v>
      </c>
      <c r="AG2338">
        <v>-1.1096781572029999</v>
      </c>
      <c r="AH2338">
        <v>15.525961967860299</v>
      </c>
      <c r="AI2338">
        <v>94.072556005602095</v>
      </c>
      <c r="AJ2338">
        <v>95.009121046904298</v>
      </c>
      <c r="AK2338">
        <v>15.624940188133399</v>
      </c>
      <c r="AL2338">
        <v>87.478960137839593</v>
      </c>
      <c r="AM2338">
        <v>90.744070709416903</v>
      </c>
      <c r="AN2338">
        <v>1.0000000050515301</v>
      </c>
    </row>
    <row r="2339" spans="1:40" x14ac:dyDescent="0.25">
      <c r="A2339" t="str">
        <f>"20190312151031480"</f>
        <v>20190312151031480</v>
      </c>
      <c r="B2339" t="str">
        <f>"1552374631473433"</f>
        <v>1552374631473433</v>
      </c>
      <c r="C2339" t="s">
        <v>40</v>
      </c>
      <c r="D2339">
        <v>5.2098199999999997</v>
      </c>
      <c r="E2339">
        <v>0.4736803</v>
      </c>
      <c r="F2339" t="s">
        <v>61</v>
      </c>
      <c r="G2339">
        <v>-418.27440000000001</v>
      </c>
      <c r="H2339" s="1">
        <v>3.8949620000000002E-6</v>
      </c>
      <c r="I2339">
        <v>282.0831</v>
      </c>
      <c r="J2339">
        <v>-402.85599999999999</v>
      </c>
      <c r="K2339">
        <v>1.10968</v>
      </c>
      <c r="L2339">
        <v>283.3177</v>
      </c>
      <c r="M2339">
        <v>-0.99985119999999905</v>
      </c>
      <c r="N2339">
        <v>0</v>
      </c>
      <c r="O2339">
        <v>8.7859759999999992E-3</v>
      </c>
      <c r="P2339">
        <v>-0.9995484</v>
      </c>
      <c r="Q2339">
        <v>2.973953E-2</v>
      </c>
      <c r="R2339">
        <v>-4.2858970000000003E-3</v>
      </c>
      <c r="S2339">
        <v>-3.0064700000000002</v>
      </c>
      <c r="T2339">
        <v>-0.20970050000000001</v>
      </c>
      <c r="U2339">
        <v>-0.23248289999999999</v>
      </c>
      <c r="V2339">
        <v>-1.306705E-2</v>
      </c>
      <c r="W2339">
        <v>4.458028E-2</v>
      </c>
      <c r="X2339">
        <v>0.99892029999999998</v>
      </c>
      <c r="Y2339">
        <v>-8.5627129999999996E-2</v>
      </c>
      <c r="Z2339">
        <v>-3.5894630000000002E-3</v>
      </c>
      <c r="AA2339">
        <v>0.99632080000000001</v>
      </c>
      <c r="AB2339">
        <v>49</v>
      </c>
      <c r="AC2339">
        <v>-15.4184</v>
      </c>
      <c r="AD2339">
        <v>-1.109676105038</v>
      </c>
      <c r="AE2339">
        <v>-1.2345999999999999</v>
      </c>
      <c r="AF2339">
        <v>-1.36301776518527</v>
      </c>
      <c r="AG2339">
        <v>-1.109676105038</v>
      </c>
      <c r="AH2339">
        <v>15.328065748454399</v>
      </c>
      <c r="AI2339">
        <v>94.124488915790494</v>
      </c>
      <c r="AJ2339">
        <v>95.081547603246506</v>
      </c>
      <c r="AK2339">
        <v>15.4285060221411</v>
      </c>
      <c r="AL2339">
        <v>87.444891182899198</v>
      </c>
      <c r="AM2339">
        <v>90.749453300424904</v>
      </c>
      <c r="AN2339">
        <v>0.99999995745633397</v>
      </c>
    </row>
    <row r="2340" spans="1:40" x14ac:dyDescent="0.25">
      <c r="A2340" t="str">
        <f>"20190312151031500"</f>
        <v>20190312151031500</v>
      </c>
      <c r="B2340" t="str">
        <f>"1552374631492964"</f>
        <v>1552374631492964</v>
      </c>
      <c r="C2340" t="s">
        <v>40</v>
      </c>
      <c r="D2340">
        <v>5.2525469999999999</v>
      </c>
      <c r="E2340">
        <v>0.47361170000000002</v>
      </c>
      <c r="F2340" t="s">
        <v>61</v>
      </c>
      <c r="G2340">
        <v>-418.77379999999999</v>
      </c>
      <c r="H2340" s="1">
        <v>3.9838129999999996E-6</v>
      </c>
      <c r="I2340">
        <v>282.07990000000001</v>
      </c>
      <c r="J2340">
        <v>-403.32479999999998</v>
      </c>
      <c r="K2340">
        <v>1.1096870000000001</v>
      </c>
      <c r="L2340">
        <v>283.3218</v>
      </c>
      <c r="M2340">
        <v>-0.99985119999999905</v>
      </c>
      <c r="N2340">
        <v>0</v>
      </c>
      <c r="O2340">
        <v>8.7858620000000002E-3</v>
      </c>
      <c r="P2340">
        <v>-0.9995463</v>
      </c>
      <c r="Q2340">
        <v>2.973282E-2</v>
      </c>
      <c r="R2340">
        <v>-4.82155E-3</v>
      </c>
      <c r="S2340">
        <v>-3.0066220000000001</v>
      </c>
      <c r="T2340">
        <v>-0.20960139999999999</v>
      </c>
      <c r="U2340">
        <v>-0.23379520000000001</v>
      </c>
      <c r="V2340">
        <v>-1.360243E-2</v>
      </c>
      <c r="W2340">
        <v>4.4573139999999997E-2</v>
      </c>
      <c r="X2340">
        <v>0.99891350000000001</v>
      </c>
      <c r="Y2340">
        <v>-8.6054599999999995E-2</v>
      </c>
      <c r="Z2340">
        <v>-3.6023819999999999E-3</v>
      </c>
      <c r="AA2340">
        <v>0.9962839</v>
      </c>
      <c r="AB2340">
        <v>48</v>
      </c>
      <c r="AC2340">
        <v>-15.449</v>
      </c>
      <c r="AD2340">
        <v>-1.1096830161869999</v>
      </c>
      <c r="AE2340">
        <v>-1.24189999999998</v>
      </c>
      <c r="AF2340">
        <v>-1.37057389455071</v>
      </c>
      <c r="AG2340">
        <v>-1.1096830161869999</v>
      </c>
      <c r="AH2340">
        <v>15.3587584048573</v>
      </c>
      <c r="AI2340">
        <v>94.116186586217694</v>
      </c>
      <c r="AJ2340">
        <v>95.099412368467</v>
      </c>
      <c r="AK2340">
        <v>15.459667814529899</v>
      </c>
      <c r="AL2340">
        <v>87.445300754032701</v>
      </c>
      <c r="AM2340">
        <v>90.780161308694602</v>
      </c>
      <c r="AN2340">
        <v>0.99999998569680704</v>
      </c>
    </row>
    <row r="2341" spans="1:40" x14ac:dyDescent="0.25">
      <c r="A2341" t="str">
        <f>"20190312151031524"</f>
        <v>20190312151031524</v>
      </c>
      <c r="B2341" t="str">
        <f>"1552374631513464"</f>
        <v>1552374631513464</v>
      </c>
      <c r="C2341" t="s">
        <v>40</v>
      </c>
      <c r="D2341">
        <v>5.3362470000000002</v>
      </c>
      <c r="E2341">
        <v>0.47364060000000002</v>
      </c>
      <c r="F2341" t="s">
        <v>61</v>
      </c>
      <c r="G2341">
        <v>-419.08710000000002</v>
      </c>
      <c r="H2341" s="1">
        <v>4.0388420000000001E-6</v>
      </c>
      <c r="I2341">
        <v>282.08620000000002</v>
      </c>
      <c r="J2341">
        <v>-403.82389999999998</v>
      </c>
      <c r="K2341">
        <v>1.1096900000000001</v>
      </c>
      <c r="L2341">
        <v>283.32619999999997</v>
      </c>
      <c r="M2341">
        <v>-0.99985119999999905</v>
      </c>
      <c r="N2341">
        <v>0</v>
      </c>
      <c r="O2341">
        <v>8.785869E-3</v>
      </c>
      <c r="P2341">
        <v>-0.99954989999999999</v>
      </c>
      <c r="Q2341">
        <v>2.9589259999999999E-2</v>
      </c>
      <c r="R2341">
        <v>-4.9881459999999997E-3</v>
      </c>
      <c r="S2341">
        <v>-3.0065309999999998</v>
      </c>
      <c r="T2341">
        <v>-0.2116635</v>
      </c>
      <c r="U2341">
        <v>-0.23568729999999999</v>
      </c>
      <c r="V2341">
        <v>-1.376876E-2</v>
      </c>
      <c r="W2341">
        <v>4.4428809999999999E-2</v>
      </c>
      <c r="X2341">
        <v>0.99891759999999996</v>
      </c>
      <c r="Y2341">
        <v>-8.6674059999999997E-2</v>
      </c>
      <c r="Z2341">
        <v>-3.6595030000000001E-3</v>
      </c>
      <c r="AA2341">
        <v>0.99622999999999995</v>
      </c>
      <c r="AB2341">
        <v>48</v>
      </c>
      <c r="AC2341">
        <v>-15.263199999999999</v>
      </c>
      <c r="AD2341">
        <v>-1.1096859611579999</v>
      </c>
      <c r="AE2341">
        <v>-1.23999999999995</v>
      </c>
      <c r="AF2341">
        <v>-1.3668896820123999</v>
      </c>
      <c r="AG2341">
        <v>-1.1096859611579999</v>
      </c>
      <c r="AH2341">
        <v>15.1720448448798</v>
      </c>
      <c r="AI2341">
        <v>94.166359909731995</v>
      </c>
      <c r="AJ2341">
        <v>95.148030150542297</v>
      </c>
      <c r="AK2341">
        <v>15.2738578987179</v>
      </c>
      <c r="AL2341">
        <v>87.453578324576696</v>
      </c>
      <c r="AM2341">
        <v>90.789696650004402</v>
      </c>
      <c r="AN2341">
        <v>0.99999993474985405</v>
      </c>
    </row>
    <row r="2342" spans="1:40" x14ac:dyDescent="0.25">
      <c r="A2342" t="str">
        <f>"20190312151031546"</f>
        <v>20190312151031546</v>
      </c>
      <c r="B2342" t="str">
        <f>"1552374631542739"</f>
        <v>1552374631542739</v>
      </c>
      <c r="C2342" t="s">
        <v>40</v>
      </c>
      <c r="D2342">
        <v>5.2500239999999998</v>
      </c>
      <c r="E2342">
        <v>0.47359000000000001</v>
      </c>
      <c r="F2342" t="s">
        <v>61</v>
      </c>
      <c r="G2342">
        <v>-419.63119999999998</v>
      </c>
      <c r="H2342" s="1">
        <v>4.1353360000000002E-6</v>
      </c>
      <c r="I2342">
        <v>282.08640000000003</v>
      </c>
      <c r="J2342">
        <v>-404.30349999999999</v>
      </c>
      <c r="K2342">
        <v>1.109694</v>
      </c>
      <c r="L2342">
        <v>283.3304</v>
      </c>
      <c r="M2342">
        <v>-0.9998513</v>
      </c>
      <c r="N2342">
        <v>0</v>
      </c>
      <c r="O2342">
        <v>8.7855209999999993E-3</v>
      </c>
      <c r="P2342">
        <v>-0.99954980000000004</v>
      </c>
      <c r="Q2342">
        <v>2.9454359999999999E-2</v>
      </c>
      <c r="R2342">
        <v>-5.7228979999999997E-3</v>
      </c>
      <c r="S2342">
        <v>-3.0064389999999999</v>
      </c>
      <c r="T2342">
        <v>-0.21105579999999999</v>
      </c>
      <c r="U2342">
        <v>-0.2358093</v>
      </c>
      <c r="V2342">
        <v>-1.4503800000000001E-2</v>
      </c>
      <c r="W2342">
        <v>4.4292560000000002E-2</v>
      </c>
      <c r="X2342">
        <v>0.9989133</v>
      </c>
      <c r="Y2342">
        <v>-8.6717520000000006E-2</v>
      </c>
      <c r="Z2342">
        <v>-3.6506239999999999E-3</v>
      </c>
      <c r="AA2342">
        <v>0.99622630000000001</v>
      </c>
      <c r="AB2342">
        <v>48</v>
      </c>
      <c r="AC2342">
        <v>-15.327699999999901</v>
      </c>
      <c r="AD2342">
        <v>-1.1096898646640001</v>
      </c>
      <c r="AE2342">
        <v>-1.24399999999997</v>
      </c>
      <c r="AF2342">
        <v>-1.3714871336682199</v>
      </c>
      <c r="AG2342">
        <v>-1.1096898646640001</v>
      </c>
      <c r="AH2342">
        <v>15.236837821202201</v>
      </c>
      <c r="AI2342">
        <v>94.148749511164695</v>
      </c>
      <c r="AJ2342">
        <v>95.143405131871503</v>
      </c>
      <c r="AK2342">
        <v>15.338631469044801</v>
      </c>
      <c r="AL2342">
        <v>87.461392697739399</v>
      </c>
      <c r="AM2342">
        <v>90.831852110887993</v>
      </c>
      <c r="AN2342">
        <v>0.99999998600134099</v>
      </c>
    </row>
    <row r="2343" spans="1:40" x14ac:dyDescent="0.25">
      <c r="A2343" t="str">
        <f>"20190312151031570"</f>
        <v>20190312151031570</v>
      </c>
      <c r="B2343" t="str">
        <f>"1552374631563236"</f>
        <v>1552374631563236</v>
      </c>
      <c r="C2343" t="s">
        <v>40</v>
      </c>
      <c r="D2343">
        <v>5.5474610000000002</v>
      </c>
      <c r="E2343">
        <v>0.47352420000000001</v>
      </c>
      <c r="F2343" t="s">
        <v>61</v>
      </c>
      <c r="G2343">
        <v>-419.9375</v>
      </c>
      <c r="H2343" s="1">
        <v>4.189304E-6</v>
      </c>
      <c r="I2343">
        <v>282.09059999999999</v>
      </c>
      <c r="J2343">
        <v>-404.79820000000001</v>
      </c>
      <c r="K2343">
        <v>1.109688</v>
      </c>
      <c r="L2343">
        <v>283.3347</v>
      </c>
      <c r="M2343">
        <v>-0.99985119999999905</v>
      </c>
      <c r="N2343">
        <v>0</v>
      </c>
      <c r="O2343">
        <v>8.78553199999999E-3</v>
      </c>
      <c r="P2343">
        <v>-0.9995484</v>
      </c>
      <c r="Q2343">
        <v>2.9351200000000001E-2</v>
      </c>
      <c r="R2343">
        <v>-6.4529319999999998E-3</v>
      </c>
      <c r="S2343">
        <v>-3.0062869999999999</v>
      </c>
      <c r="T2343">
        <v>-0.21338380000000001</v>
      </c>
      <c r="U2343">
        <v>-0.23840330000000001</v>
      </c>
      <c r="V2343">
        <v>-1.523359E-2</v>
      </c>
      <c r="W2343">
        <v>4.418776E-2</v>
      </c>
      <c r="X2343">
        <v>0.99890710000000005</v>
      </c>
      <c r="Y2343">
        <v>-8.7568419999999994E-2</v>
      </c>
      <c r="Z2343">
        <v>-3.7209679999999998E-3</v>
      </c>
      <c r="AA2343">
        <v>0.99615160000000003</v>
      </c>
      <c r="AB2343">
        <v>48</v>
      </c>
      <c r="AC2343">
        <v>-15.139299999999899</v>
      </c>
      <c r="AD2343">
        <v>-1.1096838106960001</v>
      </c>
      <c r="AE2343">
        <v>-1.2441</v>
      </c>
      <c r="AF2343">
        <v>-1.36976357040137</v>
      </c>
      <c r="AG2343">
        <v>-1.1096838106960001</v>
      </c>
      <c r="AH2343">
        <v>15.047482041907999</v>
      </c>
      <c r="AI2343">
        <v>94.200365709635605</v>
      </c>
      <c r="AJ2343">
        <v>95.201266700470896</v>
      </c>
      <c r="AK2343">
        <v>15.1503916187029</v>
      </c>
      <c r="AL2343">
        <v>87.467403234499201</v>
      </c>
      <c r="AM2343">
        <v>90.873707634300203</v>
      </c>
      <c r="AN2343">
        <v>1.0000000074142501</v>
      </c>
    </row>
    <row r="2344" spans="1:40" x14ac:dyDescent="0.25">
      <c r="A2344" t="str">
        <f>"20190312151031591"</f>
        <v>20190312151031591</v>
      </c>
      <c r="B2344" t="str">
        <f>"1552374631582755"</f>
        <v>1552374631582755</v>
      </c>
      <c r="C2344" t="s">
        <v>40</v>
      </c>
      <c r="D2344">
        <v>5.348319</v>
      </c>
      <c r="E2344">
        <v>0.47338540000000001</v>
      </c>
      <c r="F2344" t="s">
        <v>61</v>
      </c>
      <c r="G2344">
        <v>-420.36919999999998</v>
      </c>
      <c r="H2344" s="1">
        <v>4.120377E-6</v>
      </c>
      <c r="I2344">
        <v>282.08530000000002</v>
      </c>
      <c r="J2344">
        <v>-405.27859999999998</v>
      </c>
      <c r="K2344">
        <v>1.109694</v>
      </c>
      <c r="L2344">
        <v>283.33890000000002</v>
      </c>
      <c r="M2344">
        <v>-0.9998513</v>
      </c>
      <c r="N2344">
        <v>0</v>
      </c>
      <c r="O2344">
        <v>8.7851860000000004E-3</v>
      </c>
      <c r="P2344">
        <v>-0.99954489999999996</v>
      </c>
      <c r="Q2344">
        <v>2.936244E-2</v>
      </c>
      <c r="R2344">
        <v>-6.9396070000000004E-3</v>
      </c>
      <c r="S2344">
        <v>-3.0060730000000002</v>
      </c>
      <c r="T2344">
        <v>-0.21423039999999999</v>
      </c>
      <c r="U2344">
        <v>-0.24121090000000001</v>
      </c>
      <c r="V2344">
        <v>-1.5719899999999998E-2</v>
      </c>
      <c r="W2344">
        <v>4.419729E-2</v>
      </c>
      <c r="X2344">
        <v>0.99889919999999999</v>
      </c>
      <c r="Y2344">
        <v>-8.8493870000000002E-2</v>
      </c>
      <c r="Z2344">
        <v>-3.7686780000000001E-3</v>
      </c>
      <c r="AA2344">
        <v>0.9960696</v>
      </c>
      <c r="AB2344">
        <v>48</v>
      </c>
      <c r="AC2344">
        <v>-15.090599999999901</v>
      </c>
      <c r="AD2344">
        <v>-1.1096898796229999</v>
      </c>
      <c r="AE2344">
        <v>-1.2536</v>
      </c>
      <c r="AF2344">
        <v>-1.3787356302359599</v>
      </c>
      <c r="AG2344">
        <v>-1.1096898796229999</v>
      </c>
      <c r="AH2344">
        <v>14.9984560668247</v>
      </c>
      <c r="AI2344">
        <v>94.213727983382</v>
      </c>
      <c r="AJ2344">
        <v>95.252163478429594</v>
      </c>
      <c r="AK2344">
        <v>15.1025166100055</v>
      </c>
      <c r="AL2344">
        <v>87.466856814499593</v>
      </c>
      <c r="AM2344">
        <v>90.901602064445399</v>
      </c>
      <c r="AN2344">
        <v>1.00000006372999</v>
      </c>
    </row>
    <row r="2345" spans="1:40" x14ac:dyDescent="0.25">
      <c r="A2345" t="str">
        <f>"20190312151031613"</f>
        <v>20190312151031613</v>
      </c>
      <c r="B2345" t="str">
        <f>"1552374631603252"</f>
        <v>1552374631603252</v>
      </c>
      <c r="C2345" t="s">
        <v>40</v>
      </c>
      <c r="D2345">
        <v>5.3723080000000003</v>
      </c>
      <c r="E2345">
        <v>0.473385</v>
      </c>
      <c r="F2345" t="s">
        <v>61</v>
      </c>
      <c r="G2345">
        <v>-420.82709999999997</v>
      </c>
      <c r="H2345" s="1">
        <v>4.0399010000000003E-6</v>
      </c>
      <c r="I2345">
        <v>282.07670000000002</v>
      </c>
      <c r="J2345">
        <v>-405.75619999999998</v>
      </c>
      <c r="K2345">
        <v>1.1096999999999999</v>
      </c>
      <c r="L2345">
        <v>283.34309999999999</v>
      </c>
      <c r="M2345">
        <v>-0.99985119999999905</v>
      </c>
      <c r="N2345">
        <v>0</v>
      </c>
      <c r="O2345">
        <v>8.7850210000000005E-3</v>
      </c>
      <c r="P2345">
        <v>-0.9995153</v>
      </c>
      <c r="Q2345">
        <v>3.0052309999999999E-2</v>
      </c>
      <c r="R2345">
        <v>-8.13147E-3</v>
      </c>
      <c r="S2345">
        <v>-3.005951</v>
      </c>
      <c r="T2345">
        <v>-0.21453359999999999</v>
      </c>
      <c r="U2345">
        <v>-0.2440186</v>
      </c>
      <c r="V2345">
        <v>-1.6911579999999999E-2</v>
      </c>
      <c r="W2345">
        <v>4.4884680000000003E-2</v>
      </c>
      <c r="X2345">
        <v>0.99884899999999999</v>
      </c>
      <c r="Y2345">
        <v>-8.941818E-2</v>
      </c>
      <c r="Z2345">
        <v>-3.8068860000000002E-3</v>
      </c>
      <c r="AA2345">
        <v>0.99598690000000001</v>
      </c>
      <c r="AB2345">
        <v>48</v>
      </c>
      <c r="AC2345">
        <v>-15.0708999999999</v>
      </c>
      <c r="AD2345">
        <v>-1.109695960099</v>
      </c>
      <c r="AE2345">
        <v>-1.26639999999997</v>
      </c>
      <c r="AF2345">
        <v>-1.3912738053517899</v>
      </c>
      <c r="AG2345">
        <v>-1.109695960099</v>
      </c>
      <c r="AH2345">
        <v>14.9785529829556</v>
      </c>
      <c r="AI2345">
        <v>94.218960430369904</v>
      </c>
      <c r="AJ2345">
        <v>95.306657586521197</v>
      </c>
      <c r="AK2345">
        <v>15.083902591455701</v>
      </c>
      <c r="AL2345">
        <v>87.427432930174604</v>
      </c>
      <c r="AM2345">
        <v>90.969986040848397</v>
      </c>
      <c r="AN2345">
        <v>0.99999998041889904</v>
      </c>
    </row>
    <row r="2346" spans="1:40" x14ac:dyDescent="0.25">
      <c r="A2346" t="str">
        <f>"20190312151031635"</f>
        <v>20190312151031635</v>
      </c>
      <c r="B2346" t="str">
        <f>"1552374631632533"</f>
        <v>1552374631632533</v>
      </c>
      <c r="C2346" t="s">
        <v>40</v>
      </c>
      <c r="D2346">
        <v>5.346095</v>
      </c>
      <c r="E2346">
        <v>0.47331849999999998</v>
      </c>
      <c r="F2346" t="s">
        <v>61</v>
      </c>
      <c r="G2346">
        <v>-421.40170000000001</v>
      </c>
      <c r="H2346" s="1">
        <v>3.9399799999999998E-6</v>
      </c>
      <c r="I2346">
        <v>282.05380000000002</v>
      </c>
      <c r="J2346">
        <v>-406.23140000000001</v>
      </c>
      <c r="K2346">
        <v>1.1097090000000001</v>
      </c>
      <c r="L2346">
        <v>283.34730000000002</v>
      </c>
      <c r="M2346">
        <v>-0.9998513</v>
      </c>
      <c r="N2346">
        <v>0</v>
      </c>
      <c r="O2346">
        <v>8.7847369999999904E-3</v>
      </c>
      <c r="P2346">
        <v>-0.99950059999999996</v>
      </c>
      <c r="Q2346">
        <v>3.0406610000000001E-2</v>
      </c>
      <c r="R2346">
        <v>-8.6112879999999999E-3</v>
      </c>
      <c r="S2346">
        <v>-3.0058590000000001</v>
      </c>
      <c r="T2346">
        <v>-0.2131979</v>
      </c>
      <c r="U2346">
        <v>-0.24771119999999999</v>
      </c>
      <c r="V2346">
        <v>-1.7390449999999998E-2</v>
      </c>
      <c r="W2346">
        <v>4.5237189999999997E-2</v>
      </c>
      <c r="X2346">
        <v>0.99882490000000002</v>
      </c>
      <c r="Y2346">
        <v>-9.0635759999999996E-2</v>
      </c>
      <c r="Z2346">
        <v>-3.8262050000000001E-3</v>
      </c>
      <c r="AA2346">
        <v>0.99587669999999995</v>
      </c>
      <c r="AB2346">
        <v>48</v>
      </c>
      <c r="AC2346">
        <v>-15.1702999999999</v>
      </c>
      <c r="AD2346">
        <v>-1.10970506002</v>
      </c>
      <c r="AE2346">
        <v>-1.2934999999999901</v>
      </c>
      <c r="AF2346">
        <v>-1.4191927019236601</v>
      </c>
      <c r="AG2346">
        <v>-1.10970506002</v>
      </c>
      <c r="AH2346">
        <v>15.0782503303734</v>
      </c>
      <c r="AI2346">
        <v>94.190719655711106</v>
      </c>
      <c r="AJ2346">
        <v>95.3769436952077</v>
      </c>
      <c r="AK2346">
        <v>15.185492625227299</v>
      </c>
      <c r="AL2346">
        <v>87.407215124267694</v>
      </c>
      <c r="AM2346">
        <v>90.997470852379394</v>
      </c>
      <c r="AN2346">
        <v>1.0000000059851499</v>
      </c>
    </row>
    <row r="2347" spans="1:40" x14ac:dyDescent="0.25">
      <c r="A2347" t="str">
        <f>"20190312151031659"</f>
        <v>20190312151031659</v>
      </c>
      <c r="B2347" t="str">
        <f>"1552374631653027"</f>
        <v>1552374631653027</v>
      </c>
      <c r="C2347" t="s">
        <v>40</v>
      </c>
      <c r="D2347">
        <v>5.3857920000000004</v>
      </c>
      <c r="E2347">
        <v>0.4733463</v>
      </c>
      <c r="F2347" t="s">
        <v>61</v>
      </c>
      <c r="G2347">
        <v>-421.7946</v>
      </c>
      <c r="H2347" s="1">
        <v>3.8703580000000004E-6</v>
      </c>
      <c r="I2347">
        <v>282.053</v>
      </c>
      <c r="J2347">
        <v>-406.72390000000001</v>
      </c>
      <c r="K2347">
        <v>1.1097140000000001</v>
      </c>
      <c r="L2347">
        <v>283.35160000000002</v>
      </c>
      <c r="M2347">
        <v>-0.9998513</v>
      </c>
      <c r="N2347">
        <v>0</v>
      </c>
      <c r="O2347">
        <v>8.7847519999999998E-3</v>
      </c>
      <c r="P2347">
        <v>-0.99948820000000005</v>
      </c>
      <c r="Q2347">
        <v>3.0723779999999999E-2</v>
      </c>
      <c r="R2347">
        <v>-8.9105739999999992E-3</v>
      </c>
      <c r="S2347">
        <v>-3.0058590000000001</v>
      </c>
      <c r="T2347">
        <v>-0.21432699999999999</v>
      </c>
      <c r="U2347">
        <v>-0.24996950000000001</v>
      </c>
      <c r="V2347">
        <v>-1.7689779999999999E-2</v>
      </c>
      <c r="W2347">
        <v>4.555157E-2</v>
      </c>
      <c r="X2347">
        <v>0.99880530000000001</v>
      </c>
      <c r="Y2347">
        <v>-9.1374369999999996E-2</v>
      </c>
      <c r="Z2347">
        <v>-3.8725539999999998E-3</v>
      </c>
      <c r="AA2347">
        <v>0.9958091</v>
      </c>
      <c r="AB2347">
        <v>48</v>
      </c>
      <c r="AC2347">
        <v>-15.070699999999899</v>
      </c>
      <c r="AD2347">
        <v>-1.10971012964199</v>
      </c>
      <c r="AE2347">
        <v>-1.29860000000002</v>
      </c>
      <c r="AF2347">
        <v>-1.42329671043734</v>
      </c>
      <c r="AG2347">
        <v>-1.10971012964199</v>
      </c>
      <c r="AH2347">
        <v>14.9780978420811</v>
      </c>
      <c r="AI2347">
        <v>94.218303761431301</v>
      </c>
      <c r="AJ2347">
        <v>95.428243310905501</v>
      </c>
      <c r="AK2347">
        <v>15.086439111491</v>
      </c>
      <c r="AL2347">
        <v>87.389183744766697</v>
      </c>
      <c r="AM2347">
        <v>91.014655988093196</v>
      </c>
      <c r="AN2347">
        <v>0.99999995057699997</v>
      </c>
    </row>
    <row r="2348" spans="1:40" x14ac:dyDescent="0.25">
      <c r="A2348" t="str">
        <f>"20190312151031681"</f>
        <v>20190312151031681</v>
      </c>
      <c r="B2348" t="str">
        <f>"1552374631673524"</f>
        <v>1552374631673524</v>
      </c>
      <c r="C2348" t="s">
        <v>40</v>
      </c>
      <c r="D2348">
        <v>5.4031010000000004</v>
      </c>
      <c r="E2348">
        <v>0.47332920000000001</v>
      </c>
      <c r="F2348" t="s">
        <v>61</v>
      </c>
      <c r="G2348">
        <v>-422.33530000000002</v>
      </c>
      <c r="H2348" s="1">
        <v>3.7747679999999998E-6</v>
      </c>
      <c r="I2348">
        <v>282.04939999999999</v>
      </c>
      <c r="J2348">
        <v>-407.20299999999997</v>
      </c>
      <c r="K2348">
        <v>1.109718</v>
      </c>
      <c r="L2348">
        <v>283.35579999999999</v>
      </c>
      <c r="M2348">
        <v>-0.9998513</v>
      </c>
      <c r="N2348">
        <v>0</v>
      </c>
      <c r="O2348">
        <v>8.7847689999999996E-3</v>
      </c>
      <c r="P2348">
        <v>-0.99948139999999996</v>
      </c>
      <c r="Q2348">
        <v>3.092779E-2</v>
      </c>
      <c r="R2348">
        <v>-8.9845389999999997E-3</v>
      </c>
      <c r="S2348">
        <v>-3.0058289999999999</v>
      </c>
      <c r="T2348">
        <v>-0.21366450000000001</v>
      </c>
      <c r="U2348">
        <v>-0.25073240000000002</v>
      </c>
      <c r="V2348">
        <v>-1.776343E-2</v>
      </c>
      <c r="W2348">
        <v>4.575307E-2</v>
      </c>
      <c r="X2348">
        <v>0.99879490000000004</v>
      </c>
      <c r="Y2348">
        <v>-9.1627159999999999E-2</v>
      </c>
      <c r="Z2348">
        <v>-3.8695719999999999E-3</v>
      </c>
      <c r="AA2348">
        <v>0.9957859</v>
      </c>
      <c r="AB2348">
        <v>48</v>
      </c>
      <c r="AC2348">
        <v>-15.132299999999899</v>
      </c>
      <c r="AD2348">
        <v>-1.109714225232</v>
      </c>
      <c r="AE2348">
        <v>-1.30639999999999</v>
      </c>
      <c r="AF2348">
        <v>-1.4316556420878299</v>
      </c>
      <c r="AG2348">
        <v>-1.109714225232</v>
      </c>
      <c r="AH2348">
        <v>15.0399533481256</v>
      </c>
      <c r="AI2348">
        <v>94.200967551119305</v>
      </c>
      <c r="AJ2348">
        <v>95.437610508149703</v>
      </c>
      <c r="AK2348">
        <v>15.1486402113523</v>
      </c>
      <c r="AL2348">
        <v>87.377626901990695</v>
      </c>
      <c r="AM2348">
        <v>91.018890146260304</v>
      </c>
      <c r="AN2348">
        <v>1.0000000675628899</v>
      </c>
    </row>
    <row r="2349" spans="1:40" x14ac:dyDescent="0.25">
      <c r="A2349" t="str">
        <f>"20190312151031703"</f>
        <v>20190312151031703</v>
      </c>
      <c r="B2349" t="str">
        <f>"1552374631692576"</f>
        <v>1552374631692576</v>
      </c>
      <c r="C2349" t="s">
        <v>40</v>
      </c>
      <c r="D2349">
        <v>5.4313650000000004</v>
      </c>
      <c r="E2349">
        <v>0.47337000000000001</v>
      </c>
      <c r="F2349" t="s">
        <v>61</v>
      </c>
      <c r="G2349">
        <v>-422.8064</v>
      </c>
      <c r="H2349" s="1">
        <v>3.690951E-6</v>
      </c>
      <c r="I2349">
        <v>282.05220000000003</v>
      </c>
      <c r="J2349">
        <v>-407.68060000000003</v>
      </c>
      <c r="K2349">
        <v>1.1097239999999999</v>
      </c>
      <c r="L2349">
        <v>283.36</v>
      </c>
      <c r="M2349">
        <v>-0.99985139999999995</v>
      </c>
      <c r="N2349">
        <v>0</v>
      </c>
      <c r="O2349">
        <v>8.7842500000000004E-3</v>
      </c>
      <c r="P2349">
        <v>-0.99946420000000002</v>
      </c>
      <c r="Q2349">
        <v>3.1457939999999997E-2</v>
      </c>
      <c r="R2349">
        <v>-9.0393399999999999E-3</v>
      </c>
      <c r="S2349">
        <v>-3.0059200000000001</v>
      </c>
      <c r="T2349">
        <v>-0.21378169999999999</v>
      </c>
      <c r="U2349">
        <v>-0.2511292</v>
      </c>
      <c r="V2349">
        <v>-1.781777E-2</v>
      </c>
      <c r="W2349">
        <v>4.6280849999999998E-2</v>
      </c>
      <c r="X2349">
        <v>0.99876949999999998</v>
      </c>
      <c r="Y2349">
        <v>-9.1754069999999993E-2</v>
      </c>
      <c r="Z2349">
        <v>-3.8760130000000002E-3</v>
      </c>
      <c r="AA2349">
        <v>0.9957741</v>
      </c>
      <c r="AB2349">
        <v>48</v>
      </c>
      <c r="AC2349">
        <v>-15.1257999999999</v>
      </c>
      <c r="AD2349">
        <v>-1.109720309049</v>
      </c>
      <c r="AE2349">
        <v>-1.3077999999999801</v>
      </c>
      <c r="AF2349">
        <v>-1.4329770794844601</v>
      </c>
      <c r="AG2349">
        <v>-1.109720309049</v>
      </c>
      <c r="AH2349">
        <v>15.033408902019399</v>
      </c>
      <c r="AI2349">
        <v>94.202761622428099</v>
      </c>
      <c r="AJ2349">
        <v>95.444954445121397</v>
      </c>
      <c r="AK2349">
        <v>15.142268181813501</v>
      </c>
      <c r="AL2349">
        <v>87.347354962590998</v>
      </c>
      <c r="AM2349">
        <v>91.022032352215504</v>
      </c>
      <c r="AN2349">
        <v>0.99999995206737102</v>
      </c>
    </row>
    <row r="2350" spans="1:40" x14ac:dyDescent="0.25">
      <c r="A2350" t="str">
        <f>"20190312151031725"</f>
        <v>20190312151031725</v>
      </c>
      <c r="B2350" t="str">
        <f>"1552374631713071"</f>
        <v>1552374631713071</v>
      </c>
      <c r="C2350" t="s">
        <v>40</v>
      </c>
      <c r="D2350">
        <v>5.321383</v>
      </c>
      <c r="E2350">
        <v>0.47341</v>
      </c>
      <c r="F2350" t="s">
        <v>61</v>
      </c>
      <c r="G2350">
        <v>-423.411</v>
      </c>
      <c r="H2350" s="1">
        <v>3.5841959999999998E-6</v>
      </c>
      <c r="I2350">
        <v>282.04669999999999</v>
      </c>
      <c r="J2350">
        <v>-408.1524</v>
      </c>
      <c r="K2350">
        <v>1.1097220000000001</v>
      </c>
      <c r="L2350">
        <v>283.36419999999998</v>
      </c>
      <c r="M2350">
        <v>-0.9998515</v>
      </c>
      <c r="N2350">
        <v>0</v>
      </c>
      <c r="O2350">
        <v>8.7841480000000003E-3</v>
      </c>
      <c r="P2350">
        <v>-0.99946040000000003</v>
      </c>
      <c r="Q2350">
        <v>3.1593700000000002E-2</v>
      </c>
      <c r="R2350">
        <v>-8.9963109999999999E-3</v>
      </c>
      <c r="S2350">
        <v>-3.0060120000000001</v>
      </c>
      <c r="T2350">
        <v>-0.21206330000000001</v>
      </c>
      <c r="U2350">
        <v>-0.25097659999999999</v>
      </c>
      <c r="V2350">
        <v>-1.77748E-2</v>
      </c>
      <c r="W2350">
        <v>4.6414219999999999E-2</v>
      </c>
      <c r="X2350">
        <v>0.99876410000000004</v>
      </c>
      <c r="Y2350">
        <v>-9.1705430000000004E-2</v>
      </c>
      <c r="Z2350">
        <v>-3.843108E-3</v>
      </c>
      <c r="AA2350">
        <v>0.99577870000000002</v>
      </c>
      <c r="AB2350">
        <v>48</v>
      </c>
      <c r="AC2350">
        <v>-15.258599999999999</v>
      </c>
      <c r="AD2350">
        <v>-1.1097184158040001</v>
      </c>
      <c r="AE2350">
        <v>-1.3174999999999899</v>
      </c>
      <c r="AF2350">
        <v>-1.44391693525146</v>
      </c>
      <c r="AG2350">
        <v>-1.1097184158040001</v>
      </c>
      <c r="AH2350">
        <v>15.166809008584099</v>
      </c>
      <c r="AI2350">
        <v>94.165965631754204</v>
      </c>
      <c r="AJ2350">
        <v>95.438306409258004</v>
      </c>
      <c r="AK2350">
        <v>15.275747660299601</v>
      </c>
      <c r="AL2350">
        <v>87.339705265579099</v>
      </c>
      <c r="AM2350">
        <v>91.019573613035703</v>
      </c>
      <c r="AN2350">
        <v>0.99999997539102803</v>
      </c>
    </row>
    <row r="2351" spans="1:40" x14ac:dyDescent="0.25">
      <c r="A2351" t="str">
        <f>"20190312151031749"</f>
        <v>20190312151031749</v>
      </c>
      <c r="B2351" t="str">
        <f>"1552374631743327"</f>
        <v>1552374631743327</v>
      </c>
      <c r="C2351" t="s">
        <v>40</v>
      </c>
      <c r="D2351">
        <v>5.6570269999999896</v>
      </c>
      <c r="E2351">
        <v>0.473437</v>
      </c>
      <c r="F2351" t="s">
        <v>61</v>
      </c>
      <c r="G2351">
        <v>-423.90350000000001</v>
      </c>
      <c r="H2351" s="1">
        <v>3.496442E-6</v>
      </c>
      <c r="I2351">
        <v>282.05110000000002</v>
      </c>
      <c r="J2351">
        <v>-408.64760000000001</v>
      </c>
      <c r="K2351">
        <v>1.1097250000000001</v>
      </c>
      <c r="L2351">
        <v>283.36860000000001</v>
      </c>
      <c r="M2351">
        <v>-0.99985159999999995</v>
      </c>
      <c r="N2351">
        <v>0</v>
      </c>
      <c r="O2351">
        <v>8.7838099999999995E-3</v>
      </c>
      <c r="P2351">
        <v>-0.99945010000000001</v>
      </c>
      <c r="Q2351">
        <v>3.1689769999999999E-2</v>
      </c>
      <c r="R2351">
        <v>-9.7739809999999993E-3</v>
      </c>
      <c r="S2351">
        <v>-3.0060730000000002</v>
      </c>
      <c r="T2351">
        <v>-0.21178810000000001</v>
      </c>
      <c r="U2351">
        <v>-0.25061040000000001</v>
      </c>
      <c r="V2351">
        <v>-1.8551950000000001E-2</v>
      </c>
      <c r="W2351">
        <v>4.6507100000000003E-2</v>
      </c>
      <c r="X2351">
        <v>0.99874569999999996</v>
      </c>
      <c r="Y2351">
        <v>-9.1583890000000001E-2</v>
      </c>
      <c r="Z2351">
        <v>-3.8337810000000001E-3</v>
      </c>
      <c r="AA2351">
        <v>0.99578999999999995</v>
      </c>
      <c r="AB2351">
        <v>48</v>
      </c>
      <c r="AC2351">
        <v>-15.255899999999899</v>
      </c>
      <c r="AD2351">
        <v>-1.1097215035579999</v>
      </c>
      <c r="AE2351">
        <v>-1.3174999999999899</v>
      </c>
      <c r="AF2351">
        <v>-1.44388550848638</v>
      </c>
      <c r="AG2351">
        <v>-1.1097215035579999</v>
      </c>
      <c r="AH2351">
        <v>15.1640954341328</v>
      </c>
      <c r="AI2351">
        <v>94.166714185436703</v>
      </c>
      <c r="AJ2351">
        <v>95.439156068239498</v>
      </c>
      <c r="AK2351">
        <v>15.2730506943624</v>
      </c>
      <c r="AL2351">
        <v>87.3343780241389</v>
      </c>
      <c r="AM2351">
        <v>91.064160985967604</v>
      </c>
      <c r="AN2351">
        <v>1.00000002923385</v>
      </c>
    </row>
    <row r="2352" spans="1:40" x14ac:dyDescent="0.25">
      <c r="A2352" t="str">
        <f>"20190312151031770"</f>
        <v>20190312151031770</v>
      </c>
      <c r="B2352" t="str">
        <f>"1552374631762847"</f>
        <v>1552374631762847</v>
      </c>
      <c r="C2352" t="s">
        <v>40</v>
      </c>
      <c r="D2352">
        <v>5.3161940000000003</v>
      </c>
      <c r="E2352">
        <v>0.47343960000000002</v>
      </c>
      <c r="F2352" t="s">
        <v>61</v>
      </c>
      <c r="G2352">
        <v>-424.40929999999997</v>
      </c>
      <c r="H2352" s="1">
        <v>3.4072339999999998E-6</v>
      </c>
      <c r="I2352">
        <v>282.0453</v>
      </c>
      <c r="J2352">
        <v>-409.11450000000002</v>
      </c>
      <c r="K2352">
        <v>1.1097319999999999</v>
      </c>
      <c r="L2352">
        <v>283.37270000000001</v>
      </c>
      <c r="M2352">
        <v>-0.9998515</v>
      </c>
      <c r="N2352">
        <v>0</v>
      </c>
      <c r="O2352">
        <v>8.7840079999999994E-3</v>
      </c>
      <c r="P2352">
        <v>-0.99944500000000003</v>
      </c>
      <c r="Q2352">
        <v>3.175795E-2</v>
      </c>
      <c r="R2352">
        <v>-1.0071490000000001E-2</v>
      </c>
      <c r="S2352">
        <v>-3.00589</v>
      </c>
      <c r="T2352">
        <v>-0.21163360000000001</v>
      </c>
      <c r="U2352">
        <v>-0.25234990000000002</v>
      </c>
      <c r="V2352">
        <v>-1.8849540000000001E-2</v>
      </c>
      <c r="W2352">
        <v>4.6572349999999998E-2</v>
      </c>
      <c r="X2352">
        <v>0.99873699999999999</v>
      </c>
      <c r="Y2352">
        <v>-9.2160279999999997E-2</v>
      </c>
      <c r="Z2352">
        <v>-3.8513750000000002E-3</v>
      </c>
      <c r="AA2352">
        <v>0.99573670000000003</v>
      </c>
      <c r="AB2352">
        <v>48</v>
      </c>
      <c r="AC2352">
        <v>-15.294799999999899</v>
      </c>
      <c r="AD2352">
        <v>-1.1097285927660001</v>
      </c>
      <c r="AE2352">
        <v>-1.3274000000000099</v>
      </c>
      <c r="AF2352">
        <v>-1.4541154253497801</v>
      </c>
      <c r="AG2352">
        <v>-1.1097285927660001</v>
      </c>
      <c r="AH2352">
        <v>15.203112220143099</v>
      </c>
      <c r="AI2352">
        <v>94.155917003783003</v>
      </c>
      <c r="AJ2352">
        <v>95.463486880669294</v>
      </c>
      <c r="AK2352">
        <v>15.312758418982099</v>
      </c>
      <c r="AL2352">
        <v>87.330635186419102</v>
      </c>
      <c r="AM2352">
        <v>91.081236483378802</v>
      </c>
      <c r="AN2352">
        <v>0.99999994205586495</v>
      </c>
    </row>
    <row r="2353" spans="1:40" x14ac:dyDescent="0.25">
      <c r="A2353" t="str">
        <f>"20190312151031793"</f>
        <v>20190312151031793</v>
      </c>
      <c r="B2353" t="str">
        <f>"1552374631782874"</f>
        <v>1552374631782874</v>
      </c>
      <c r="C2353" t="s">
        <v>40</v>
      </c>
      <c r="D2353">
        <v>5.5165790000000001</v>
      </c>
      <c r="E2353">
        <v>0.47347640000000002</v>
      </c>
      <c r="F2353" t="s">
        <v>61</v>
      </c>
      <c r="G2353">
        <v>-424.92869999999999</v>
      </c>
      <c r="H2353" s="1">
        <v>3.315591E-6</v>
      </c>
      <c r="I2353">
        <v>282.03969999999998</v>
      </c>
      <c r="J2353">
        <v>-409.60140000000001</v>
      </c>
      <c r="K2353">
        <v>1.109731</v>
      </c>
      <c r="L2353">
        <v>283.37689999999998</v>
      </c>
      <c r="M2353">
        <v>-0.99985159999999995</v>
      </c>
      <c r="N2353">
        <v>0</v>
      </c>
      <c r="O2353">
        <v>8.7836719999999993E-3</v>
      </c>
      <c r="P2353">
        <v>-0.99943110000000002</v>
      </c>
      <c r="Q2353">
        <v>3.2148999999999997E-2</v>
      </c>
      <c r="R2353">
        <v>-1.0200519999999999E-2</v>
      </c>
      <c r="S2353">
        <v>-3.0058289999999999</v>
      </c>
      <c r="T2353">
        <v>-0.21092810000000001</v>
      </c>
      <c r="U2353">
        <v>-0.2533569</v>
      </c>
      <c r="V2353">
        <v>-1.8977770000000001E-2</v>
      </c>
      <c r="W2353">
        <v>4.6961019999999999E-2</v>
      </c>
      <c r="X2353">
        <v>0.99871639999999995</v>
      </c>
      <c r="Y2353">
        <v>-9.2493710000000007E-2</v>
      </c>
      <c r="Z2353">
        <v>-3.8502330000000002E-3</v>
      </c>
      <c r="AA2353">
        <v>0.99570579999999997</v>
      </c>
      <c r="AB2353">
        <v>48</v>
      </c>
      <c r="AC2353">
        <v>-15.3272999999999</v>
      </c>
      <c r="AD2353">
        <v>-1.109727684409</v>
      </c>
      <c r="AE2353">
        <v>-1.33719999999999</v>
      </c>
      <c r="AF2353">
        <v>-1.46417585406868</v>
      </c>
      <c r="AG2353">
        <v>-1.109727684409</v>
      </c>
      <c r="AH2353">
        <v>15.2356987064962</v>
      </c>
      <c r="AI2353">
        <v>94.146876966324697</v>
      </c>
      <c r="AJ2353">
        <v>95.489361578596998</v>
      </c>
      <c r="AK2353">
        <v>15.3460686020985</v>
      </c>
      <c r="AL2353">
        <v>87.308341717981506</v>
      </c>
      <c r="AM2353">
        <v>91.088612623328203</v>
      </c>
      <c r="AN2353">
        <v>0.99999997039128596</v>
      </c>
    </row>
    <row r="2354" spans="1:40" x14ac:dyDescent="0.25">
      <c r="A2354" t="str">
        <f>"20190312151031814"</f>
        <v>20190312151031814</v>
      </c>
      <c r="B2354" t="str">
        <f>"1552374631803370"</f>
        <v>1552374631803370</v>
      </c>
      <c r="C2354" t="s">
        <v>40</v>
      </c>
      <c r="D2354">
        <v>5.3716019999999904</v>
      </c>
      <c r="E2354">
        <v>0.48682110000000001</v>
      </c>
      <c r="F2354" t="s">
        <v>61</v>
      </c>
      <c r="G2354">
        <v>-425.37909999999999</v>
      </c>
      <c r="H2354" s="1">
        <v>3.235315E-6</v>
      </c>
      <c r="I2354">
        <v>282.04399999999998</v>
      </c>
      <c r="J2354">
        <v>-410.06490000000002</v>
      </c>
      <c r="K2354">
        <v>1.1097330000000001</v>
      </c>
      <c r="L2354">
        <v>283.38099999999997</v>
      </c>
      <c r="M2354">
        <v>-0.99985159999999995</v>
      </c>
      <c r="N2354">
        <v>0</v>
      </c>
      <c r="O2354">
        <v>8.7833939999999999E-3</v>
      </c>
      <c r="P2354">
        <v>-0.99944140000000004</v>
      </c>
      <c r="Q2354">
        <v>3.1846439999999997E-2</v>
      </c>
      <c r="R2354">
        <v>-1.015187E-2</v>
      </c>
      <c r="S2354">
        <v>-3.0059200000000001</v>
      </c>
      <c r="T2354">
        <v>-0.21142259999999999</v>
      </c>
      <c r="U2354">
        <v>-0.25393680000000002</v>
      </c>
      <c r="V2354">
        <v>-1.892947E-2</v>
      </c>
      <c r="W2354">
        <v>4.6655710000000003E-2</v>
      </c>
      <c r="X2354">
        <v>0.9987317</v>
      </c>
      <c r="Y2354">
        <v>-9.2680029999999997E-2</v>
      </c>
      <c r="Z2354">
        <v>-3.8656020000000001E-3</v>
      </c>
      <c r="AA2354">
        <v>0.99568840000000003</v>
      </c>
      <c r="AB2354">
        <v>48</v>
      </c>
      <c r="AC2354">
        <v>-15.3141999999999</v>
      </c>
      <c r="AD2354">
        <v>-1.109729764685</v>
      </c>
      <c r="AE2354">
        <v>-1.33699999999993</v>
      </c>
      <c r="AF2354">
        <v>-1.4638452668922599</v>
      </c>
      <c r="AG2354">
        <v>-1.109729764685</v>
      </c>
      <c r="AH2354">
        <v>15.222534864539501</v>
      </c>
      <c r="AI2354">
        <v>94.150434062890994</v>
      </c>
      <c r="AJ2354">
        <v>95.492846640612896</v>
      </c>
      <c r="AK2354">
        <v>15.332968102039199</v>
      </c>
      <c r="AL2354">
        <v>87.325854086230095</v>
      </c>
      <c r="AM2354">
        <v>91.085826047521806</v>
      </c>
      <c r="AN2354">
        <v>1.0000000443474799</v>
      </c>
    </row>
    <row r="2355" spans="1:40" x14ac:dyDescent="0.25">
      <c r="A2355" t="str">
        <f>"20190312151031827"</f>
        <v>20190312151031827</v>
      </c>
      <c r="B2355" t="str">
        <f>"1552374631822892"</f>
        <v>1552374631822892</v>
      </c>
      <c r="C2355" t="s">
        <v>40</v>
      </c>
      <c r="D2355">
        <v>5.3687120000000004</v>
      </c>
      <c r="E2355">
        <v>0.48623189999999999</v>
      </c>
      <c r="F2355" t="s">
        <v>61</v>
      </c>
      <c r="G2355">
        <v>-427.93990000000002</v>
      </c>
      <c r="H2355" s="1">
        <v>2.7402850000000001E-6</v>
      </c>
      <c r="I2355">
        <v>282.51049999999998</v>
      </c>
      <c r="J2355">
        <v>-410.33920000000001</v>
      </c>
      <c r="K2355">
        <v>1.1097349999999999</v>
      </c>
      <c r="L2355">
        <v>283.38339999999999</v>
      </c>
      <c r="M2355">
        <v>-0.99985170000000001</v>
      </c>
      <c r="N2355">
        <v>0</v>
      </c>
      <c r="O2355">
        <v>8.783407E-3</v>
      </c>
      <c r="P2355">
        <v>-0.99943959999999998</v>
      </c>
      <c r="Q2355">
        <v>3.1948499999999998E-2</v>
      </c>
      <c r="R2355">
        <v>-9.9950479999999994E-3</v>
      </c>
      <c r="S2355">
        <v>-3.0061339999999999</v>
      </c>
      <c r="T2355">
        <v>-0.18662880000000001</v>
      </c>
      <c r="U2355">
        <v>-0.14639279999999999</v>
      </c>
      <c r="V2355">
        <v>-1.8772230000000001E-2</v>
      </c>
      <c r="W2355">
        <v>4.6756209999999999E-2</v>
      </c>
      <c r="X2355">
        <v>0.99872989999999995</v>
      </c>
      <c r="Y2355">
        <v>-5.7285580000000003E-2</v>
      </c>
      <c r="Z2355">
        <v>-2.319996E-3</v>
      </c>
      <c r="AA2355">
        <v>0.9983552</v>
      </c>
      <c r="AB2355">
        <v>48</v>
      </c>
      <c r="AC2355">
        <v>-17.6007</v>
      </c>
      <c r="AD2355">
        <v>-1.1097322597149999</v>
      </c>
      <c r="AE2355">
        <v>-0.872900000000015</v>
      </c>
      <c r="AF2355">
        <v>-1.0234189192385701</v>
      </c>
      <c r="AG2355">
        <v>-1.1097322597149999</v>
      </c>
      <c r="AH2355">
        <v>17.522864239518601</v>
      </c>
      <c r="AI2355">
        <v>93.617584216700294</v>
      </c>
      <c r="AJ2355">
        <v>93.342549873127695</v>
      </c>
      <c r="AK2355">
        <v>17.5877702716719</v>
      </c>
      <c r="AL2355">
        <v>87.320089387687702</v>
      </c>
      <c r="AM2355">
        <v>91.076810571093006</v>
      </c>
      <c r="AN2355">
        <v>0.99999997647337302</v>
      </c>
    </row>
    <row r="2356" spans="1:40" x14ac:dyDescent="0.25">
      <c r="A2356" t="str">
        <f>"20190312151031841"</f>
        <v>20190312151031841</v>
      </c>
      <c r="B2356" t="str">
        <f>"1552374631832650"</f>
        <v>1552374631832650</v>
      </c>
      <c r="C2356" t="s">
        <v>40</v>
      </c>
      <c r="D2356">
        <v>5.4002549999999996</v>
      </c>
      <c r="E2356">
        <v>0.4859463</v>
      </c>
      <c r="F2356" t="s">
        <v>61</v>
      </c>
      <c r="G2356">
        <v>-427.5684</v>
      </c>
      <c r="H2356" s="1">
        <v>2.8053469999999999E-6</v>
      </c>
      <c r="I2356">
        <v>282.52010000000001</v>
      </c>
      <c r="J2356">
        <v>-410.63929999999999</v>
      </c>
      <c r="K2356">
        <v>1.1097360000000001</v>
      </c>
      <c r="L2356">
        <v>283.38600000000002</v>
      </c>
      <c r="M2356">
        <v>-0.99985170000000001</v>
      </c>
      <c r="N2356">
        <v>0</v>
      </c>
      <c r="O2356">
        <v>8.7834209999999996E-3</v>
      </c>
      <c r="P2356">
        <v>-0.99943850000000001</v>
      </c>
      <c r="Q2356">
        <v>3.1973139999999997E-2</v>
      </c>
      <c r="R2356">
        <v>-1.003508E-2</v>
      </c>
      <c r="S2356">
        <v>-3.0064090000000001</v>
      </c>
      <c r="T2356">
        <v>-0.19364300000000001</v>
      </c>
      <c r="U2356">
        <v>-0.15063480000000001</v>
      </c>
      <c r="V2356">
        <v>-1.8812209999999999E-2</v>
      </c>
      <c r="W2356">
        <v>4.6779069999999999E-2</v>
      </c>
      <c r="X2356">
        <v>0.99872810000000001</v>
      </c>
      <c r="Y2356">
        <v>-5.8673790000000003E-2</v>
      </c>
      <c r="Z2356">
        <v>-2.4513460000000001E-3</v>
      </c>
      <c r="AA2356">
        <v>0.9982742</v>
      </c>
      <c r="AB2356">
        <v>48</v>
      </c>
      <c r="AC2356">
        <v>-16.929099999999998</v>
      </c>
      <c r="AD2356">
        <v>-1.109733194653</v>
      </c>
      <c r="AE2356">
        <v>-0.86589999999995304</v>
      </c>
      <c r="AF2356">
        <v>-1.0102485685415199</v>
      </c>
      <c r="AG2356">
        <v>-1.109733194653</v>
      </c>
      <c r="AH2356">
        <v>16.848630093055402</v>
      </c>
      <c r="AI2356">
        <v>93.761600944553507</v>
      </c>
      <c r="AJ2356">
        <v>93.431362700118299</v>
      </c>
      <c r="AK2356">
        <v>16.9153316830078</v>
      </c>
      <c r="AL2356">
        <v>87.318778232330402</v>
      </c>
      <c r="AM2356">
        <v>91.079105302104097</v>
      </c>
      <c r="AN2356">
        <v>0.99999999918237903</v>
      </c>
    </row>
    <row r="2357" spans="1:40" x14ac:dyDescent="0.25">
      <c r="A2357" t="str">
        <f>"20190312151031859"</f>
        <v>20190312151031859</v>
      </c>
      <c r="B2357" t="str">
        <f>"1552374631853146"</f>
        <v>1552374631853146</v>
      </c>
      <c r="C2357" t="s">
        <v>40</v>
      </c>
      <c r="D2357">
        <v>5.4004399999999997</v>
      </c>
      <c r="E2357">
        <v>0.48600159999999998</v>
      </c>
      <c r="F2357" t="s">
        <v>61</v>
      </c>
      <c r="G2357">
        <v>-427.79149999999998</v>
      </c>
      <c r="H2357" s="1">
        <v>2.766505E-6</v>
      </c>
      <c r="I2357">
        <v>282.51179999999999</v>
      </c>
      <c r="J2357">
        <v>-411.02780000000001</v>
      </c>
      <c r="K2357">
        <v>1.1097429999999999</v>
      </c>
      <c r="L2357">
        <v>283.38940000000002</v>
      </c>
      <c r="M2357">
        <v>-0.99985179999999996</v>
      </c>
      <c r="N2357">
        <v>0</v>
      </c>
      <c r="O2357">
        <v>8.7830809999999999E-3</v>
      </c>
      <c r="P2357">
        <v>-0.99944759999999999</v>
      </c>
      <c r="Q2357">
        <v>3.1736830000000001E-2</v>
      </c>
      <c r="R2357">
        <v>-9.8805520000000008E-3</v>
      </c>
      <c r="S2357">
        <v>-3.006348</v>
      </c>
      <c r="T2357">
        <v>-0.19450780000000001</v>
      </c>
      <c r="U2357">
        <v>-0.153228799999999</v>
      </c>
      <c r="V2357">
        <v>-1.865764E-2</v>
      </c>
      <c r="W2357">
        <v>4.6540430000000001E-2</v>
      </c>
      <c r="X2357">
        <v>0.99874220000000002</v>
      </c>
      <c r="Y2357">
        <v>-5.9530550000000002E-2</v>
      </c>
      <c r="Z2357">
        <v>-2.4899150000000001E-3</v>
      </c>
      <c r="AA2357">
        <v>0.99822339999999998</v>
      </c>
      <c r="AB2357">
        <v>48</v>
      </c>
      <c r="AC2357">
        <v>-16.763699999999901</v>
      </c>
      <c r="AD2357">
        <v>-1.109740233495</v>
      </c>
      <c r="AE2357">
        <v>-0.87760000000002902</v>
      </c>
      <c r="AF2357">
        <v>-1.02035990914577</v>
      </c>
      <c r="AG2357">
        <v>-1.109740233495</v>
      </c>
      <c r="AH2357">
        <v>16.682436610122998</v>
      </c>
      <c r="AI2357">
        <v>93.798714479879195</v>
      </c>
      <c r="AJ2357">
        <v>93.500062875649107</v>
      </c>
      <c r="AK2357">
        <v>16.750413397310599</v>
      </c>
      <c r="AL2357">
        <v>87.332466342858794</v>
      </c>
      <c r="AM2357">
        <v>91.070225828337996</v>
      </c>
      <c r="AN2357">
        <v>1.0000000506078901</v>
      </c>
    </row>
    <row r="2358" spans="1:40" x14ac:dyDescent="0.25">
      <c r="A2358" t="str">
        <f>"20190312151031881"</f>
        <v>20190312151031881</v>
      </c>
      <c r="B2358" t="str">
        <f>"1552374631873642"</f>
        <v>1552374631873642</v>
      </c>
      <c r="C2358" t="s">
        <v>40</v>
      </c>
      <c r="D2358">
        <v>5.3642560000000001</v>
      </c>
      <c r="E2358">
        <v>0.48595070000000001</v>
      </c>
      <c r="F2358" t="s">
        <v>61</v>
      </c>
      <c r="G2358">
        <v>-428.0761</v>
      </c>
      <c r="H2358" s="1">
        <v>2.71482E-6</v>
      </c>
      <c r="I2358">
        <v>282.52550000000002</v>
      </c>
      <c r="J2358">
        <v>-411.50209999999998</v>
      </c>
      <c r="K2358">
        <v>1.1097459999999999</v>
      </c>
      <c r="L2358">
        <v>283.39359999999999</v>
      </c>
      <c r="M2358">
        <v>-0.99985179999999996</v>
      </c>
      <c r="N2358">
        <v>0</v>
      </c>
      <c r="O2358">
        <v>8.7829239999999992E-3</v>
      </c>
      <c r="P2358">
        <v>-0.99943709999999997</v>
      </c>
      <c r="Q2358">
        <v>3.205877E-2</v>
      </c>
      <c r="R2358">
        <v>-9.8975869999999994E-3</v>
      </c>
      <c r="S2358">
        <v>-3.0064090000000001</v>
      </c>
      <c r="T2358">
        <v>-0.1956987</v>
      </c>
      <c r="U2358">
        <v>-0.152343799999999</v>
      </c>
      <c r="V2358">
        <v>-1.8674509999999998E-2</v>
      </c>
      <c r="W2358">
        <v>4.6859089999999999E-2</v>
      </c>
      <c r="X2358">
        <v>0.99872689999999997</v>
      </c>
      <c r="Y2358">
        <v>-5.923515E-2</v>
      </c>
      <c r="Z2358">
        <v>-2.4954869999999998E-3</v>
      </c>
      <c r="AA2358">
        <v>0.99824089999999999</v>
      </c>
      <c r="AB2358">
        <v>48</v>
      </c>
      <c r="AC2358">
        <v>-16.574000000000002</v>
      </c>
      <c r="AD2358">
        <v>-1.10974328518</v>
      </c>
      <c r="AE2358">
        <v>-0.86809999999996901</v>
      </c>
      <c r="AF2358">
        <v>-1.0091388342978</v>
      </c>
      <c r="AG2358">
        <v>-1.10974328518</v>
      </c>
      <c r="AH2358">
        <v>16.492000258929501</v>
      </c>
      <c r="AI2358">
        <v>93.842452816351198</v>
      </c>
      <c r="AJ2358">
        <v>93.5015398436814</v>
      </c>
      <c r="AK2358">
        <v>16.5600713732284</v>
      </c>
      <c r="AL2358">
        <v>87.314188302143904</v>
      </c>
      <c r="AM2358">
        <v>91.071209693824798</v>
      </c>
      <c r="AN2358">
        <v>0.99999996621148801</v>
      </c>
    </row>
    <row r="2359" spans="1:40" x14ac:dyDescent="0.25">
      <c r="A2359" t="str">
        <f>"20190312151031895"</f>
        <v>20190312151031895</v>
      </c>
      <c r="B2359" t="str">
        <f>"1552374631883404"</f>
        <v>1552374631883404</v>
      </c>
      <c r="C2359" t="s">
        <v>40</v>
      </c>
      <c r="D2359">
        <v>5.4047199999999904</v>
      </c>
      <c r="E2359">
        <v>0.48607400000000001</v>
      </c>
      <c r="F2359" t="s">
        <v>61</v>
      </c>
      <c r="G2359">
        <v>-428.83940000000001</v>
      </c>
      <c r="H2359" s="1">
        <v>2.5804049999999998E-6</v>
      </c>
      <c r="I2359">
        <v>282.51420000000002</v>
      </c>
      <c r="J2359">
        <v>-411.7928</v>
      </c>
      <c r="K2359">
        <v>1.1097399999999999</v>
      </c>
      <c r="L2359">
        <v>283.39620000000002</v>
      </c>
      <c r="M2359">
        <v>-0.99985179999999996</v>
      </c>
      <c r="N2359">
        <v>0</v>
      </c>
      <c r="O2359">
        <v>8.7827579999999999E-3</v>
      </c>
      <c r="P2359">
        <v>-0.9994381</v>
      </c>
      <c r="Q2359">
        <v>3.1971380000000001E-2</v>
      </c>
      <c r="R2359">
        <v>-1.007426E-2</v>
      </c>
      <c r="S2359">
        <v>-3.006348</v>
      </c>
      <c r="T2359">
        <v>-0.1924324</v>
      </c>
      <c r="U2359">
        <v>-0.1524963</v>
      </c>
      <c r="V2359">
        <v>-1.885127E-2</v>
      </c>
      <c r="W2359">
        <v>4.67705E-2</v>
      </c>
      <c r="X2359">
        <v>0.9987277</v>
      </c>
      <c r="Y2359">
        <v>-5.9291179999999999E-2</v>
      </c>
      <c r="Z2359">
        <v>-2.4557479999999998E-3</v>
      </c>
      <c r="AA2359">
        <v>0.99823770000000001</v>
      </c>
      <c r="AB2359">
        <v>48</v>
      </c>
      <c r="AC2359">
        <v>-17.046600000000002</v>
      </c>
      <c r="AD2359">
        <v>-1.1097374195950001</v>
      </c>
      <c r="AE2359">
        <v>-0.882000000000005</v>
      </c>
      <c r="AF2359">
        <v>-1.0273562012078501</v>
      </c>
      <c r="AG2359">
        <v>-1.1097374195950001</v>
      </c>
      <c r="AH2359">
        <v>16.966482511689499</v>
      </c>
      <c r="AI2359">
        <v>93.735428214553494</v>
      </c>
      <c r="AJ2359">
        <v>93.465149035275999</v>
      </c>
      <c r="AK2359">
        <v>17.033746115404998</v>
      </c>
      <c r="AL2359">
        <v>87.319269621402697</v>
      </c>
      <c r="AM2359">
        <v>91.081345761925704</v>
      </c>
      <c r="AN2359">
        <v>0.99999993439907398</v>
      </c>
    </row>
    <row r="2360" spans="1:40" x14ac:dyDescent="0.25">
      <c r="A2360" t="str">
        <f>"20190312151031907"</f>
        <v>20190312151031907</v>
      </c>
      <c r="B2360" t="str">
        <f>"1552374631902923"</f>
        <v>1552374631902923</v>
      </c>
      <c r="C2360" t="s">
        <v>40</v>
      </c>
      <c r="D2360">
        <v>5.3702639999999997</v>
      </c>
      <c r="E2360">
        <v>0.48616350000000003</v>
      </c>
      <c r="F2360" t="s">
        <v>61</v>
      </c>
      <c r="G2360">
        <v>-428.97</v>
      </c>
      <c r="H2360" s="1">
        <v>2.5560909999999999E-6</v>
      </c>
      <c r="I2360">
        <v>282.52730000000003</v>
      </c>
      <c r="J2360">
        <v>-412.0548</v>
      </c>
      <c r="K2360">
        <v>1.109742</v>
      </c>
      <c r="L2360">
        <v>283.39839999999998</v>
      </c>
      <c r="M2360">
        <v>-0.99985179999999996</v>
      </c>
      <c r="N2360">
        <v>0</v>
      </c>
      <c r="O2360">
        <v>8.782771E-3</v>
      </c>
      <c r="P2360">
        <v>-0.99944690000000003</v>
      </c>
      <c r="Q2360">
        <v>3.16653E-2</v>
      </c>
      <c r="R2360">
        <v>-1.0173959999999999E-2</v>
      </c>
      <c r="S2360">
        <v>-3.0063780000000002</v>
      </c>
      <c r="T2360">
        <v>-0.19422790000000001</v>
      </c>
      <c r="U2360">
        <v>-0.15206910000000001</v>
      </c>
      <c r="V2360">
        <v>-1.8950600000000001E-2</v>
      </c>
      <c r="W2360">
        <v>4.6462799999999999E-2</v>
      </c>
      <c r="X2360">
        <v>0.99874030000000003</v>
      </c>
      <c r="Y2360">
        <v>-5.9146869999999997E-2</v>
      </c>
      <c r="Z2360">
        <v>-2.473945E-3</v>
      </c>
      <c r="AA2360">
        <v>0.99824630000000003</v>
      </c>
      <c r="AB2360">
        <v>48</v>
      </c>
      <c r="AC2360">
        <v>-16.915199999999999</v>
      </c>
      <c r="AD2360">
        <v>-1.109739443909</v>
      </c>
      <c r="AE2360">
        <v>-0.87109999999995502</v>
      </c>
      <c r="AF2360">
        <v>-1.0152866201211701</v>
      </c>
      <c r="AG2360">
        <v>-1.109739443909</v>
      </c>
      <c r="AH2360">
        <v>16.834628765835401</v>
      </c>
      <c r="AI2360">
        <v>93.764663077206905</v>
      </c>
      <c r="AJ2360">
        <v>93.4512946417302</v>
      </c>
      <c r="AK2360">
        <v>16.901687910911701</v>
      </c>
      <c r="AL2360">
        <v>87.336919034384493</v>
      </c>
      <c r="AM2360">
        <v>91.087028450908505</v>
      </c>
      <c r="AN2360">
        <v>1.0000000519341401</v>
      </c>
    </row>
    <row r="2361" spans="1:40" x14ac:dyDescent="0.25">
      <c r="A2361" t="str">
        <f>"20190312151031926"</f>
        <v>20190312151031926</v>
      </c>
      <c r="B2361" t="str">
        <f>"1552374631923418"</f>
        <v>1552374631923418</v>
      </c>
      <c r="C2361" t="s">
        <v>40</v>
      </c>
      <c r="D2361">
        <v>5.3603360000000002</v>
      </c>
      <c r="E2361">
        <v>0.48616819999999999</v>
      </c>
      <c r="F2361" t="s">
        <v>61</v>
      </c>
      <c r="G2361">
        <v>-429.20960000000002</v>
      </c>
      <c r="H2361" s="1">
        <v>2.5131050000000001E-6</v>
      </c>
      <c r="I2361">
        <v>282.53300000000002</v>
      </c>
      <c r="J2361">
        <v>-412.44459999999998</v>
      </c>
      <c r="K2361">
        <v>1.109745</v>
      </c>
      <c r="L2361">
        <v>283.40190000000001</v>
      </c>
      <c r="M2361">
        <v>-0.99985190000000002</v>
      </c>
      <c r="N2361">
        <v>0</v>
      </c>
      <c r="O2361">
        <v>8.7826099999999997E-3</v>
      </c>
      <c r="P2361">
        <v>-0.99944060000000001</v>
      </c>
      <c r="Q2361">
        <v>3.174039E-2</v>
      </c>
      <c r="R2361">
        <v>-1.055767E-2</v>
      </c>
      <c r="S2361">
        <v>-3.0062869999999999</v>
      </c>
      <c r="T2361">
        <v>-0.19447600000000001</v>
      </c>
      <c r="U2361">
        <v>-0.15167240000000001</v>
      </c>
      <c r="V2361">
        <v>-1.933437E-2</v>
      </c>
      <c r="W2361">
        <v>4.6535199999999999E-2</v>
      </c>
      <c r="X2361">
        <v>0.99872950000000005</v>
      </c>
      <c r="Y2361">
        <v>-5.901675E-2</v>
      </c>
      <c r="Z2361">
        <v>-2.4729700000000001E-3</v>
      </c>
      <c r="AA2361">
        <v>0.99825390000000003</v>
      </c>
      <c r="AB2361">
        <v>48</v>
      </c>
      <c r="AC2361">
        <v>-16.765000000000001</v>
      </c>
      <c r="AD2361">
        <v>-1.1097424868950001</v>
      </c>
      <c r="AE2361">
        <v>-0.86889999999999601</v>
      </c>
      <c r="AF2361">
        <v>-1.0117020216853001</v>
      </c>
      <c r="AG2361">
        <v>-1.1097424868950001</v>
      </c>
      <c r="AH2361">
        <v>16.6838144887071</v>
      </c>
      <c r="AI2361">
        <v>93.798529776426506</v>
      </c>
      <c r="AJ2361">
        <v>93.470151363081101</v>
      </c>
      <c r="AK2361">
        <v>16.751260706630301</v>
      </c>
      <c r="AL2361">
        <v>87.332766132154504</v>
      </c>
      <c r="AM2361">
        <v>91.109048490632901</v>
      </c>
      <c r="AN2361">
        <v>0.99999997843629296</v>
      </c>
    </row>
    <row r="2362" spans="1:40" x14ac:dyDescent="0.25">
      <c r="A2362" t="str">
        <f>"20190312151031948"</f>
        <v>20190312151031948</v>
      </c>
      <c r="B2362" t="str">
        <f>"1552374631942938"</f>
        <v>1552374631942938</v>
      </c>
      <c r="C2362" t="s">
        <v>40</v>
      </c>
      <c r="D2362">
        <v>5.4065139999999996</v>
      </c>
      <c r="E2362">
        <v>0.48607099999999998</v>
      </c>
      <c r="F2362" t="s">
        <v>61</v>
      </c>
      <c r="G2362">
        <v>-429.4873</v>
      </c>
      <c r="H2362" s="1">
        <v>2.4635880000000001E-6</v>
      </c>
      <c r="I2362">
        <v>282.53590000000003</v>
      </c>
      <c r="J2362">
        <v>-412.93079999999998</v>
      </c>
      <c r="K2362">
        <v>1.109745</v>
      </c>
      <c r="L2362">
        <v>283.40620000000001</v>
      </c>
      <c r="M2362">
        <v>-0.99985190000000002</v>
      </c>
      <c r="N2362">
        <v>0</v>
      </c>
      <c r="O2362">
        <v>8.7823350000000005E-3</v>
      </c>
      <c r="P2362">
        <v>-0.99944129999999998</v>
      </c>
      <c r="Q2362">
        <v>3.1695830000000001E-2</v>
      </c>
      <c r="R2362">
        <v>-1.061111E-2</v>
      </c>
      <c r="S2362">
        <v>-3.0063170000000001</v>
      </c>
      <c r="T2362">
        <v>-0.19575770000000001</v>
      </c>
      <c r="U2362">
        <v>-0.15277099999999999</v>
      </c>
      <c r="V2362">
        <v>-1.938728E-2</v>
      </c>
      <c r="W2362">
        <v>4.6488040000000001E-2</v>
      </c>
      <c r="X2362">
        <v>0.99873069999999997</v>
      </c>
      <c r="Y2362">
        <v>-5.937721E-2</v>
      </c>
      <c r="Z2362">
        <v>-2.5008840000000001E-3</v>
      </c>
      <c r="AA2362">
        <v>0.99823249999999997</v>
      </c>
      <c r="AB2362">
        <v>48</v>
      </c>
      <c r="AC2362">
        <v>-16.5565</v>
      </c>
      <c r="AD2362">
        <v>-1.1097425364119999</v>
      </c>
      <c r="AE2362">
        <v>-0.87029999999998597</v>
      </c>
      <c r="AF2362">
        <v>-1.0111567804986401</v>
      </c>
      <c r="AG2362">
        <v>-1.1097425364119999</v>
      </c>
      <c r="AH2362">
        <v>16.474406632841902</v>
      </c>
      <c r="AI2362">
        <v>93.846497433313601</v>
      </c>
      <c r="AJ2362">
        <v>93.512261807904807</v>
      </c>
      <c r="AK2362">
        <v>16.5426733158851</v>
      </c>
      <c r="AL2362">
        <v>87.335471206972201</v>
      </c>
      <c r="AM2362">
        <v>91.112081390658602</v>
      </c>
      <c r="AN2362">
        <v>1.0000000078056599</v>
      </c>
    </row>
    <row r="2363" spans="1:40" x14ac:dyDescent="0.25">
      <c r="A2363" t="str">
        <f>"20190312151031961"</f>
        <v>20190312151031961</v>
      </c>
      <c r="B2363" t="str">
        <f>"1552374631952698"</f>
        <v>1552374631952698</v>
      </c>
      <c r="C2363" t="s">
        <v>40</v>
      </c>
      <c r="D2363">
        <v>5.3542930000000002</v>
      </c>
      <c r="E2363">
        <v>0.48603069999999998</v>
      </c>
      <c r="F2363" t="s">
        <v>61</v>
      </c>
      <c r="G2363">
        <v>-429.84010000000001</v>
      </c>
      <c r="H2363" s="1">
        <v>2.4005679999999999E-6</v>
      </c>
      <c r="I2363">
        <v>282.54090000000002</v>
      </c>
      <c r="J2363">
        <v>-413.19349999999997</v>
      </c>
      <c r="K2363">
        <v>1.1097490000000001</v>
      </c>
      <c r="L2363">
        <v>283.4085</v>
      </c>
      <c r="M2363">
        <v>-0.99985190000000002</v>
      </c>
      <c r="N2363">
        <v>0</v>
      </c>
      <c r="O2363">
        <v>8.7823469999999994E-3</v>
      </c>
      <c r="P2363">
        <v>-0.99944549999999999</v>
      </c>
      <c r="Q2363">
        <v>3.1526609999999997E-2</v>
      </c>
      <c r="R2363">
        <v>-1.0725220000000001E-2</v>
      </c>
      <c r="S2363">
        <v>-3.006256</v>
      </c>
      <c r="T2363">
        <v>-0.19729730000000001</v>
      </c>
      <c r="U2363">
        <v>-0.15383910000000001</v>
      </c>
      <c r="V2363">
        <v>-1.9501250000000001E-2</v>
      </c>
      <c r="W2363">
        <v>4.6317049999999998E-2</v>
      </c>
      <c r="X2363">
        <v>0.99873639999999997</v>
      </c>
      <c r="Y2363">
        <v>-5.9728969999999999E-2</v>
      </c>
      <c r="Z2363">
        <v>-2.5320630000000002E-3</v>
      </c>
      <c r="AA2363">
        <v>0.99821139999999997</v>
      </c>
      <c r="AB2363">
        <v>48</v>
      </c>
      <c r="AC2363">
        <v>-16.646599999999999</v>
      </c>
      <c r="AD2363">
        <v>-1.1097465994319999</v>
      </c>
      <c r="AE2363">
        <v>-0.86759999999998105</v>
      </c>
      <c r="AF2363">
        <v>-1.00930533154471</v>
      </c>
      <c r="AG2363">
        <v>-1.1097465994319999</v>
      </c>
      <c r="AH2363">
        <v>16.5649185940729</v>
      </c>
      <c r="AI2363">
        <v>93.825660335344693</v>
      </c>
      <c r="AJ2363">
        <v>93.486738016696094</v>
      </c>
      <c r="AK2363">
        <v>16.6327016084429</v>
      </c>
      <c r="AL2363">
        <v>87.345278708931602</v>
      </c>
      <c r="AM2363">
        <v>91.118610829797802</v>
      </c>
      <c r="AN2363">
        <v>0.99999998227861198</v>
      </c>
    </row>
    <row r="2364" spans="1:40" x14ac:dyDescent="0.25">
      <c r="A2364" t="str">
        <f>"20190312151031974"</f>
        <v>20190312151031974</v>
      </c>
      <c r="B2364" t="str">
        <f>"1552374631963434"</f>
        <v>1552374631963434</v>
      </c>
      <c r="C2364" t="s">
        <v>40</v>
      </c>
      <c r="D2364">
        <v>5.3563780000000003</v>
      </c>
      <c r="E2364">
        <v>0.48601870000000003</v>
      </c>
      <c r="F2364" t="s">
        <v>61</v>
      </c>
      <c r="G2364">
        <v>-430.0376</v>
      </c>
      <c r="H2364" s="1">
        <v>2.4148280000000001E-6</v>
      </c>
      <c r="I2364">
        <v>282.54399999999998</v>
      </c>
      <c r="J2364">
        <v>-413.47340000000003</v>
      </c>
      <c r="K2364">
        <v>1.1097490000000001</v>
      </c>
      <c r="L2364">
        <v>283.41090000000003</v>
      </c>
      <c r="M2364">
        <v>-0.99985199999999996</v>
      </c>
      <c r="N2364">
        <v>0</v>
      </c>
      <c r="O2364">
        <v>8.7820019999999901E-3</v>
      </c>
      <c r="P2364">
        <v>-0.99944089999999997</v>
      </c>
      <c r="Q2364">
        <v>3.1652800000000002E-2</v>
      </c>
      <c r="R2364">
        <v>-1.076942E-2</v>
      </c>
      <c r="S2364">
        <v>-3.0062869999999999</v>
      </c>
      <c r="T2364">
        <v>-0.19806470000000001</v>
      </c>
      <c r="U2364">
        <v>-0.15429689999999999</v>
      </c>
      <c r="V2364">
        <v>-1.9545429999999999E-2</v>
      </c>
      <c r="W2364">
        <v>4.6441839999999998E-2</v>
      </c>
      <c r="X2364">
        <v>0.9987298</v>
      </c>
      <c r="Y2364">
        <v>-5.9878239999999999E-2</v>
      </c>
      <c r="Z2364">
        <v>-2.5467409999999999E-3</v>
      </c>
      <c r="AA2364">
        <v>0.99820240000000005</v>
      </c>
      <c r="AB2364">
        <v>48</v>
      </c>
      <c r="AC2364">
        <v>-16.5641999999999</v>
      </c>
      <c r="AD2364">
        <v>-1.1097465851720001</v>
      </c>
      <c r="AE2364">
        <v>-0.86689999999998602</v>
      </c>
      <c r="AF2364">
        <v>-1.00783794021496</v>
      </c>
      <c r="AG2364">
        <v>-1.1097465851720001</v>
      </c>
      <c r="AH2364">
        <v>16.482168091335399</v>
      </c>
      <c r="AI2364">
        <v>93.844759405286595</v>
      </c>
      <c r="AJ2364">
        <v>93.499118090593498</v>
      </c>
      <c r="AK2364">
        <v>16.550200596611301</v>
      </c>
      <c r="AL2364">
        <v>87.338121222177506</v>
      </c>
      <c r="AM2364">
        <v>91.121151798901707</v>
      </c>
      <c r="AN2364">
        <v>1.00000004087225</v>
      </c>
    </row>
    <row r="2365" spans="1:40" x14ac:dyDescent="0.25">
      <c r="A2365" t="str">
        <f>"20190312151031994"</f>
        <v>20190312151031994</v>
      </c>
      <c r="B2365" t="str">
        <f>"1552374631983461"</f>
        <v>1552374631983461</v>
      </c>
      <c r="C2365" t="s">
        <v>40</v>
      </c>
      <c r="D2365">
        <v>5.3638009999999996</v>
      </c>
      <c r="E2365">
        <v>0.48588619999999999</v>
      </c>
      <c r="F2365" t="s">
        <v>61</v>
      </c>
      <c r="G2365">
        <v>-430.27350000000001</v>
      </c>
      <c r="H2365" s="1">
        <v>2.5192029999999998E-6</v>
      </c>
      <c r="I2365">
        <v>282.54660000000001</v>
      </c>
      <c r="J2365">
        <v>-413.887</v>
      </c>
      <c r="K2365">
        <v>1.1097539999999999</v>
      </c>
      <c r="L2365">
        <v>283.41460000000001</v>
      </c>
      <c r="M2365">
        <v>-0.99985190000000002</v>
      </c>
      <c r="N2365">
        <v>0</v>
      </c>
      <c r="O2365">
        <v>8.7820199999999998E-3</v>
      </c>
      <c r="P2365">
        <v>-0.99944440000000001</v>
      </c>
      <c r="Q2365">
        <v>3.1569859999999998E-2</v>
      </c>
      <c r="R2365">
        <v>-1.070229E-2</v>
      </c>
      <c r="S2365">
        <v>-3.0063170000000001</v>
      </c>
      <c r="T2365">
        <v>-0.19858529999999999</v>
      </c>
      <c r="U2365">
        <v>-0.1546631</v>
      </c>
      <c r="V2365">
        <v>-1.9477879999999999E-2</v>
      </c>
      <c r="W2365">
        <v>4.6356099999999997E-2</v>
      </c>
      <c r="X2365">
        <v>0.99873509999999999</v>
      </c>
      <c r="Y2365">
        <v>-5.9997979999999999E-2</v>
      </c>
      <c r="Z2365">
        <v>-2.557335E-3</v>
      </c>
      <c r="AA2365">
        <v>0.99819519999999995</v>
      </c>
      <c r="AB2365">
        <v>48</v>
      </c>
      <c r="AC2365">
        <v>-16.386500000000002</v>
      </c>
      <c r="AD2365">
        <v>-1.1097514807969999</v>
      </c>
      <c r="AE2365">
        <v>-0.867999999999994</v>
      </c>
      <c r="AF2365">
        <v>-1.00728190810629</v>
      </c>
      <c r="AG2365">
        <v>-1.1097514807969999</v>
      </c>
      <c r="AH2365">
        <v>16.3036771383942</v>
      </c>
      <c r="AI2365">
        <v>93.886589465055394</v>
      </c>
      <c r="AJ2365">
        <v>93.535382704439101</v>
      </c>
      <c r="AK2365">
        <v>16.372417458168101</v>
      </c>
      <c r="AL2365">
        <v>87.343039050765</v>
      </c>
      <c r="AM2365">
        <v>91.1172720975988</v>
      </c>
      <c r="AN2365">
        <v>1.00000003789425</v>
      </c>
    </row>
    <row r="2366" spans="1:40" x14ac:dyDescent="0.25">
      <c r="A2366" t="str">
        <f>"20190312151032016"</f>
        <v>20190312151032016</v>
      </c>
      <c r="B2366" t="str">
        <f>"1552374632012742"</f>
        <v>1552374632012742</v>
      </c>
      <c r="C2366" t="s">
        <v>40</v>
      </c>
      <c r="D2366">
        <v>5.3407400000000003</v>
      </c>
      <c r="E2366">
        <v>0.48585430000000002</v>
      </c>
      <c r="F2366" t="s">
        <v>61</v>
      </c>
      <c r="G2366">
        <v>-430.70870000000002</v>
      </c>
      <c r="H2366" s="1">
        <v>2.7124390000000001E-6</v>
      </c>
      <c r="I2366">
        <v>282.54419999999999</v>
      </c>
      <c r="J2366">
        <v>-414.36419999999998</v>
      </c>
      <c r="K2366">
        <v>1.1097520000000001</v>
      </c>
      <c r="L2366">
        <v>283.4187</v>
      </c>
      <c r="M2366">
        <v>-0.99985190000000002</v>
      </c>
      <c r="N2366">
        <v>0</v>
      </c>
      <c r="O2366">
        <v>8.7818610000000002E-3</v>
      </c>
      <c r="P2366">
        <v>-0.99942850000000005</v>
      </c>
      <c r="Q2366">
        <v>3.1892209999999997E-2</v>
      </c>
      <c r="R2366">
        <v>-1.120437E-2</v>
      </c>
      <c r="S2366">
        <v>-3.006256</v>
      </c>
      <c r="T2366">
        <v>-0.19832669999999999</v>
      </c>
      <c r="U2366">
        <v>-0.15554809999999999</v>
      </c>
      <c r="V2366">
        <v>-1.9980009999999999E-2</v>
      </c>
      <c r="W2366">
        <v>4.6675229999999998E-2</v>
      </c>
      <c r="X2366">
        <v>0.99871030000000005</v>
      </c>
      <c r="Y2366">
        <v>-6.0291669999999999E-2</v>
      </c>
      <c r="Z2366">
        <v>-2.5637049999999999E-3</v>
      </c>
      <c r="AA2366">
        <v>0.99817750000000005</v>
      </c>
      <c r="AB2366">
        <v>48</v>
      </c>
      <c r="AC2366">
        <v>-16.3445</v>
      </c>
      <c r="AD2366">
        <v>-1.109749287561</v>
      </c>
      <c r="AE2366">
        <v>-0.87450000000001105</v>
      </c>
      <c r="AF2366">
        <v>-1.01335881322665</v>
      </c>
      <c r="AG2366">
        <v>-1.109749287561</v>
      </c>
      <c r="AH2366">
        <v>16.2614368305757</v>
      </c>
      <c r="AI2366">
        <v>93.896518171037798</v>
      </c>
      <c r="AJ2366">
        <v>93.565871866177005</v>
      </c>
      <c r="AK2366">
        <v>16.330730766269799</v>
      </c>
      <c r="AL2366">
        <v>87.324734389356806</v>
      </c>
      <c r="AM2366">
        <v>91.146095679140998</v>
      </c>
      <c r="AN2366">
        <v>1.0000000206106201</v>
      </c>
    </row>
    <row r="2367" spans="1:40" x14ac:dyDescent="0.25">
      <c r="A2367" t="str">
        <f>"20190312151032039"</f>
        <v>20190312151032039</v>
      </c>
      <c r="B2367" t="str">
        <f>"1552374632033240"</f>
        <v>1552374632033240</v>
      </c>
      <c r="C2367" t="s">
        <v>40</v>
      </c>
      <c r="D2367">
        <v>5.3776739999999998</v>
      </c>
      <c r="E2367">
        <v>0.4858749</v>
      </c>
      <c r="F2367" t="s">
        <v>61</v>
      </c>
      <c r="G2367">
        <v>-431.16390000000001</v>
      </c>
      <c r="H2367" s="1">
        <v>2.9145720000000001E-6</v>
      </c>
      <c r="I2367">
        <v>282.541</v>
      </c>
      <c r="J2367">
        <v>-414.83960000000002</v>
      </c>
      <c r="K2367">
        <v>1.109748</v>
      </c>
      <c r="L2367">
        <v>283.42290000000003</v>
      </c>
      <c r="M2367">
        <v>-0.99985210000000002</v>
      </c>
      <c r="N2367">
        <v>0</v>
      </c>
      <c r="O2367">
        <v>8.7817620000000002E-3</v>
      </c>
      <c r="P2367">
        <v>-0.9994208</v>
      </c>
      <c r="Q2367">
        <v>3.2012680000000002E-2</v>
      </c>
      <c r="R2367">
        <v>-1.155805E-2</v>
      </c>
      <c r="S2367">
        <v>-3.0062869999999999</v>
      </c>
      <c r="T2367">
        <v>-0.1985884</v>
      </c>
      <c r="U2367">
        <v>-0.15707399999999999</v>
      </c>
      <c r="V2367">
        <v>-2.0333730000000001E-2</v>
      </c>
      <c r="W2367">
        <v>4.6792880000000002E-2</v>
      </c>
      <c r="X2367">
        <v>0.99869759999999996</v>
      </c>
      <c r="Y2367">
        <v>-6.0794830000000001E-2</v>
      </c>
      <c r="Z2367">
        <v>-2.5836040000000002E-3</v>
      </c>
      <c r="AA2367">
        <v>0.99814700000000001</v>
      </c>
      <c r="AB2367">
        <v>48</v>
      </c>
      <c r="AC2367">
        <v>-16.324299999999901</v>
      </c>
      <c r="AD2367">
        <v>-1.109745085428</v>
      </c>
      <c r="AE2367">
        <v>-0.88190000000002999</v>
      </c>
      <c r="AF2367">
        <v>-1.0205351619615</v>
      </c>
      <c r="AG2367">
        <v>-1.109745085428</v>
      </c>
      <c r="AH2367">
        <v>16.2410861234635</v>
      </c>
      <c r="AI2367">
        <v>93.901244812859503</v>
      </c>
      <c r="AJ2367">
        <v>93.595546550418504</v>
      </c>
      <c r="AK2367">
        <v>16.3109136666586</v>
      </c>
      <c r="AL2367">
        <v>87.317986019036894</v>
      </c>
      <c r="AM2367">
        <v>91.166395079067897</v>
      </c>
      <c r="AN2367">
        <v>0.99999996522008305</v>
      </c>
    </row>
    <row r="2368" spans="1:40" x14ac:dyDescent="0.25">
      <c r="A2368" t="str">
        <f>"20190312151032051"</f>
        <v>20190312151032051</v>
      </c>
      <c r="B2368" t="str">
        <f>"1552374632042998"</f>
        <v>1552374632042998</v>
      </c>
      <c r="C2368" t="s">
        <v>40</v>
      </c>
      <c r="D2368">
        <v>5.332503</v>
      </c>
      <c r="E2368">
        <v>0.485846</v>
      </c>
      <c r="F2368" t="s">
        <v>61</v>
      </c>
      <c r="G2368">
        <v>-431.50720000000001</v>
      </c>
      <c r="H2368" s="1">
        <v>3.0662399999999998E-6</v>
      </c>
      <c r="I2368">
        <v>282.54750000000001</v>
      </c>
      <c r="J2368">
        <v>-415.12639999999999</v>
      </c>
      <c r="K2368">
        <v>1.109747</v>
      </c>
      <c r="L2368">
        <v>283.42540000000002</v>
      </c>
      <c r="M2368">
        <v>-0.99985210000000002</v>
      </c>
      <c r="N2368">
        <v>0</v>
      </c>
      <c r="O2368">
        <v>8.7815949999999997E-3</v>
      </c>
      <c r="P2368">
        <v>-0.99942229999999999</v>
      </c>
      <c r="Q2368">
        <v>3.1951069999999998E-2</v>
      </c>
      <c r="R2368">
        <v>-1.159458E-2</v>
      </c>
      <c r="S2368">
        <v>-3.0063170000000001</v>
      </c>
      <c r="T2368">
        <v>-0.2001637</v>
      </c>
      <c r="U2368">
        <v>-0.15789790000000001</v>
      </c>
      <c r="V2368">
        <v>-2.0369979999999999E-2</v>
      </c>
      <c r="W2368">
        <v>4.6729529999999998E-2</v>
      </c>
      <c r="X2368">
        <v>0.99869980000000003</v>
      </c>
      <c r="Y2368">
        <v>-6.1063970000000002E-2</v>
      </c>
      <c r="Z2368">
        <v>-2.612942E-3</v>
      </c>
      <c r="AA2368">
        <v>0.99813039999999997</v>
      </c>
      <c r="AB2368">
        <v>47</v>
      </c>
      <c r="AC2368">
        <v>-16.380800000000001</v>
      </c>
      <c r="AD2368">
        <v>-1.1097439337599999</v>
      </c>
      <c r="AE2368">
        <v>-0.877900000000011</v>
      </c>
      <c r="AF2368">
        <v>-1.01707681080456</v>
      </c>
      <c r="AG2368">
        <v>-1.1097439337599999</v>
      </c>
      <c r="AH2368">
        <v>16.2978714621253</v>
      </c>
      <c r="AI2368">
        <v>93.8877939888296</v>
      </c>
      <c r="AJ2368">
        <v>93.570940936471104</v>
      </c>
      <c r="AK2368">
        <v>16.367241399623499</v>
      </c>
      <c r="AL2368">
        <v>87.321619608149504</v>
      </c>
      <c r="AM2368">
        <v>91.168471323086195</v>
      </c>
      <c r="AN2368">
        <v>0.99999993778962804</v>
      </c>
    </row>
    <row r="2369" spans="1:40" x14ac:dyDescent="0.25">
      <c r="A2369" t="str">
        <f>"20190312151032071"</f>
        <v>20190312151032071</v>
      </c>
      <c r="B2369" t="str">
        <f>"1552374632063493"</f>
        <v>1552374632063493</v>
      </c>
      <c r="C2369" t="s">
        <v>40</v>
      </c>
      <c r="D2369">
        <v>5.3495689999999998</v>
      </c>
      <c r="E2369">
        <v>0.48597940000000001</v>
      </c>
      <c r="F2369" t="s">
        <v>61</v>
      </c>
      <c r="G2369">
        <v>-431.79349999999999</v>
      </c>
      <c r="H2369" s="1">
        <v>3.193224E-6</v>
      </c>
      <c r="I2369">
        <v>282.5471</v>
      </c>
      <c r="J2369">
        <v>-415.53870000000001</v>
      </c>
      <c r="K2369">
        <v>1.1097509999999999</v>
      </c>
      <c r="L2369">
        <v>283.42899999999997</v>
      </c>
      <c r="M2369">
        <v>-0.99985230000000003</v>
      </c>
      <c r="N2369">
        <v>0</v>
      </c>
      <c r="O2369">
        <v>8.7814339999999994E-3</v>
      </c>
      <c r="P2369">
        <v>-0.99943269999999995</v>
      </c>
      <c r="Q2369">
        <v>3.152452E-2</v>
      </c>
      <c r="R2369">
        <v>-1.1881030000000001E-2</v>
      </c>
      <c r="S2369">
        <v>-3.0063170000000001</v>
      </c>
      <c r="T2369">
        <v>-0.20016929999999999</v>
      </c>
      <c r="U2369">
        <v>-0.15841669999999999</v>
      </c>
      <c r="V2369">
        <v>-2.0656600000000001E-2</v>
      </c>
      <c r="W2369">
        <v>4.6300849999999998E-2</v>
      </c>
      <c r="X2369">
        <v>0.99871399999999999</v>
      </c>
      <c r="Y2369">
        <v>-6.123518E-2</v>
      </c>
      <c r="Z2369">
        <v>-2.6186820000000002E-3</v>
      </c>
      <c r="AA2369">
        <v>0.99812000000000001</v>
      </c>
      <c r="AB2369">
        <v>47</v>
      </c>
      <c r="AC2369">
        <v>-16.2547999999999</v>
      </c>
      <c r="AD2369">
        <v>-1.1097478067759901</v>
      </c>
      <c r="AE2369">
        <v>-0.88190000000002999</v>
      </c>
      <c r="AF2369">
        <v>-1.0198822348844101</v>
      </c>
      <c r="AG2369">
        <v>-1.1097478067759901</v>
      </c>
      <c r="AH2369">
        <v>16.171273760510399</v>
      </c>
      <c r="AI2369">
        <v>93.917987409258004</v>
      </c>
      <c r="AJ2369">
        <v>93.608723570119096</v>
      </c>
      <c r="AK2369">
        <v>16.2413606266547</v>
      </c>
      <c r="AL2369">
        <v>87.346208100699499</v>
      </c>
      <c r="AM2369">
        <v>91.184891042132094</v>
      </c>
      <c r="AN2369">
        <v>1.0000000588151301</v>
      </c>
    </row>
    <row r="2370" spans="1:40" x14ac:dyDescent="0.25">
      <c r="A2370" t="str">
        <f>"20190312151032093"</f>
        <v>20190312151032093</v>
      </c>
      <c r="B2370" t="str">
        <f>"1552374632083013"</f>
        <v>1552374632083013</v>
      </c>
      <c r="C2370" t="s">
        <v>40</v>
      </c>
      <c r="D2370">
        <v>5.3625449999999999</v>
      </c>
      <c r="E2370">
        <v>0.48607679999999998</v>
      </c>
      <c r="F2370" t="s">
        <v>61</v>
      </c>
      <c r="G2370">
        <v>-432.35500000000002</v>
      </c>
      <c r="H2370" s="1">
        <v>3.4425780000000001E-6</v>
      </c>
      <c r="I2370">
        <v>282.54320000000001</v>
      </c>
      <c r="J2370">
        <v>-416.0172</v>
      </c>
      <c r="K2370">
        <v>1.1097520000000001</v>
      </c>
      <c r="L2370">
        <v>283.4332</v>
      </c>
      <c r="M2370">
        <v>-0.99985210000000002</v>
      </c>
      <c r="N2370">
        <v>0</v>
      </c>
      <c r="O2370">
        <v>8.7814550000000005E-3</v>
      </c>
      <c r="P2370">
        <v>-0.99943879999999996</v>
      </c>
      <c r="Q2370">
        <v>3.1255280000000003E-2</v>
      </c>
      <c r="R2370">
        <v>-1.205148E-2</v>
      </c>
      <c r="S2370">
        <v>-3.0061040000000001</v>
      </c>
      <c r="T2370">
        <v>-0.1983798</v>
      </c>
      <c r="U2370">
        <v>-0.15835569999999999</v>
      </c>
      <c r="V2370">
        <v>-2.0826879999999999E-2</v>
      </c>
      <c r="W2370">
        <v>4.6028859999999998E-2</v>
      </c>
      <c r="X2370">
        <v>0.99872300000000003</v>
      </c>
      <c r="Y2370">
        <v>-6.1221499999999998E-2</v>
      </c>
      <c r="Z2370">
        <v>-2.595057E-3</v>
      </c>
      <c r="AA2370">
        <v>0.99812080000000003</v>
      </c>
      <c r="AB2370">
        <v>47</v>
      </c>
      <c r="AC2370">
        <v>-16.337800000000001</v>
      </c>
      <c r="AD2370">
        <v>-1.1097485574220001</v>
      </c>
      <c r="AE2370">
        <v>-0.88999999999998602</v>
      </c>
      <c r="AF2370">
        <v>-1.0287187250732699</v>
      </c>
      <c r="AG2370">
        <v>-1.1097485574220001</v>
      </c>
      <c r="AH2370">
        <v>16.254579514993399</v>
      </c>
      <c r="AI2370">
        <v>93.8979182676119</v>
      </c>
      <c r="AJ2370">
        <v>93.621301683065198</v>
      </c>
      <c r="AK2370">
        <v>16.3248632240905</v>
      </c>
      <c r="AL2370">
        <v>87.361808516556593</v>
      </c>
      <c r="AM2370">
        <v>91.1946449559222</v>
      </c>
      <c r="AN2370">
        <v>1.00000002280621</v>
      </c>
    </row>
    <row r="2371" spans="1:40" x14ac:dyDescent="0.25">
      <c r="A2371" t="str">
        <f>"20190312151032116"</f>
        <v>20190312151032116</v>
      </c>
      <c r="B2371" t="str">
        <f>"1552374632113269"</f>
        <v>1552374632113269</v>
      </c>
      <c r="C2371" t="s">
        <v>40</v>
      </c>
      <c r="D2371">
        <v>5.3346030000000004</v>
      </c>
      <c r="E2371">
        <v>0.48618660000000002</v>
      </c>
      <c r="F2371" t="s">
        <v>61</v>
      </c>
      <c r="G2371">
        <v>-433.06060000000002</v>
      </c>
      <c r="H2371" s="1">
        <v>3.755766E-6</v>
      </c>
      <c r="I2371">
        <v>282.53989999999999</v>
      </c>
      <c r="J2371">
        <v>-416.47789999999998</v>
      </c>
      <c r="K2371">
        <v>1.109753</v>
      </c>
      <c r="L2371">
        <v>283.43729999999999</v>
      </c>
      <c r="M2371">
        <v>-0.99985230000000003</v>
      </c>
      <c r="N2371">
        <v>0</v>
      </c>
      <c r="O2371">
        <v>8.7809399999999992E-3</v>
      </c>
      <c r="P2371">
        <v>-0.99943689999999996</v>
      </c>
      <c r="Q2371">
        <v>3.1271979999999998E-2</v>
      </c>
      <c r="R2371">
        <v>-1.2175460000000001E-2</v>
      </c>
      <c r="S2371">
        <v>-3.00589</v>
      </c>
      <c r="T2371">
        <v>-0.1957227</v>
      </c>
      <c r="U2371">
        <v>-0.15756229999999999</v>
      </c>
      <c r="V2371">
        <v>-2.095021E-2</v>
      </c>
      <c r="W2371">
        <v>4.6042670000000001E-2</v>
      </c>
      <c r="X2371">
        <v>0.99871980000000005</v>
      </c>
      <c r="Y2371">
        <v>-6.0966499999999903E-2</v>
      </c>
      <c r="Z2371">
        <v>-2.5522499999999998E-3</v>
      </c>
      <c r="AA2371">
        <v>0.99813649999999998</v>
      </c>
      <c r="AB2371">
        <v>47</v>
      </c>
      <c r="AC2371">
        <v>-16.582699999999999</v>
      </c>
      <c r="AD2371">
        <v>-1.109749244234</v>
      </c>
      <c r="AE2371">
        <v>-0.89740000000000397</v>
      </c>
      <c r="AF2371">
        <v>-1.0383562125146999</v>
      </c>
      <c r="AG2371">
        <v>-1.109749244234</v>
      </c>
      <c r="AH2371">
        <v>16.500496850324001</v>
      </c>
      <c r="AI2371">
        <v>93.840089040575904</v>
      </c>
      <c r="AJ2371">
        <v>93.600805676061597</v>
      </c>
      <c r="AK2371">
        <v>16.570338660289899</v>
      </c>
      <c r="AL2371">
        <v>87.361016464406802</v>
      </c>
      <c r="AM2371">
        <v>91.201721035152403</v>
      </c>
      <c r="AN2371">
        <v>1.0000000388359001</v>
      </c>
    </row>
    <row r="2372" spans="1:40" x14ac:dyDescent="0.25">
      <c r="A2372" t="str">
        <f>"20190312151032127"</f>
        <v>20190312151032127</v>
      </c>
      <c r="B2372" t="str">
        <f>"1552374632123029"</f>
        <v>1552374632123029</v>
      </c>
      <c r="C2372" t="s">
        <v>40</v>
      </c>
      <c r="D2372">
        <v>5.466475</v>
      </c>
      <c r="E2372">
        <v>0.48620059999999898</v>
      </c>
      <c r="F2372" t="s">
        <v>61</v>
      </c>
      <c r="G2372">
        <v>-433.85449999999997</v>
      </c>
      <c r="H2372" s="1">
        <v>4.1087750000000003E-6</v>
      </c>
      <c r="I2372">
        <v>282.52890000000002</v>
      </c>
      <c r="J2372">
        <v>-416.73989999999998</v>
      </c>
      <c r="K2372">
        <v>1.1097520000000001</v>
      </c>
      <c r="L2372">
        <v>283.43959999999998</v>
      </c>
      <c r="M2372">
        <v>-0.99985230000000003</v>
      </c>
      <c r="N2372">
        <v>0</v>
      </c>
      <c r="O2372">
        <v>8.7809510000000004E-3</v>
      </c>
      <c r="P2372">
        <v>-0.99944029999999995</v>
      </c>
      <c r="Q2372">
        <v>3.1201369999999999E-2</v>
      </c>
      <c r="R2372">
        <v>-1.2091319999999999E-2</v>
      </c>
      <c r="S2372">
        <v>-3.0058590000000001</v>
      </c>
      <c r="T2372">
        <v>-0.19196820000000001</v>
      </c>
      <c r="U2372">
        <v>-0.157135</v>
      </c>
      <c r="V2372">
        <v>-2.0865979999999999E-2</v>
      </c>
      <c r="W2372">
        <v>4.5970749999999998E-2</v>
      </c>
      <c r="X2372">
        <v>0.99872479999999997</v>
      </c>
      <c r="Y2372">
        <v>-6.0831419999999997E-2</v>
      </c>
      <c r="Z2372">
        <v>-2.499121E-3</v>
      </c>
      <c r="AA2372">
        <v>0.9981449</v>
      </c>
      <c r="AB2372">
        <v>47</v>
      </c>
      <c r="AC2372">
        <v>-17.1145999999999</v>
      </c>
      <c r="AD2372">
        <v>-1.1097478912250001</v>
      </c>
      <c r="AE2372">
        <v>-0.91069999999996298</v>
      </c>
      <c r="AF2372">
        <v>-1.05653408675377</v>
      </c>
      <c r="AG2372">
        <v>-1.1097478912250001</v>
      </c>
      <c r="AH2372">
        <v>17.034522789625999</v>
      </c>
      <c r="AI2372">
        <v>93.720251731881604</v>
      </c>
      <c r="AJ2372">
        <v>93.549116122899505</v>
      </c>
      <c r="AK2372">
        <v>17.103297089416401</v>
      </c>
      <c r="AL2372">
        <v>87.365141343502003</v>
      </c>
      <c r="AM2372">
        <v>91.196884951983293</v>
      </c>
      <c r="AN2372">
        <v>0.99999996255598</v>
      </c>
    </row>
    <row r="2373" spans="1:40" x14ac:dyDescent="0.25">
      <c r="A2373" t="str">
        <f>"20190312151032140"</f>
        <v>20190312151032140</v>
      </c>
      <c r="B2373" t="str">
        <f>"1552374632132789"</f>
        <v>1552374632132789</v>
      </c>
      <c r="C2373" t="s">
        <v>40</v>
      </c>
      <c r="D2373">
        <v>5.4162619999999997</v>
      </c>
      <c r="E2373">
        <v>0.4862165</v>
      </c>
      <c r="F2373" t="s">
        <v>61</v>
      </c>
      <c r="G2373">
        <v>-434.24200000000002</v>
      </c>
      <c r="H2373" s="1">
        <v>4.2807460000000004E-6</v>
      </c>
      <c r="I2373">
        <v>282.52760000000001</v>
      </c>
      <c r="J2373">
        <v>-417.00670000000002</v>
      </c>
      <c r="K2373">
        <v>1.1097520000000001</v>
      </c>
      <c r="L2373">
        <v>283.44189999999998</v>
      </c>
      <c r="M2373">
        <v>-0.99985239999999997</v>
      </c>
      <c r="N2373">
        <v>0</v>
      </c>
      <c r="O2373">
        <v>8.7809629999999993E-3</v>
      </c>
      <c r="P2373">
        <v>-0.99944809999999995</v>
      </c>
      <c r="Q2373">
        <v>3.1004E-2</v>
      </c>
      <c r="R2373">
        <v>-1.193366E-2</v>
      </c>
      <c r="S2373">
        <v>-3.0057369999999999</v>
      </c>
      <c r="T2373">
        <v>-0.19058359999999999</v>
      </c>
      <c r="U2373">
        <v>-0.15661620000000001</v>
      </c>
      <c r="V2373">
        <v>-2.0708540000000001E-2</v>
      </c>
      <c r="W2373">
        <v>4.5771640000000002E-2</v>
      </c>
      <c r="X2373">
        <v>0.99873730000000005</v>
      </c>
      <c r="Y2373">
        <v>-6.0664080000000002E-2</v>
      </c>
      <c r="Z2373">
        <v>-2.475948E-3</v>
      </c>
      <c r="AA2373">
        <v>0.99815520000000002</v>
      </c>
      <c r="AB2373">
        <v>47</v>
      </c>
      <c r="AC2373">
        <v>-17.235299999999899</v>
      </c>
      <c r="AD2373">
        <v>-1.109747719254</v>
      </c>
      <c r="AE2373">
        <v>-0.91429999999996803</v>
      </c>
      <c r="AF2373">
        <v>-1.0612364264324099</v>
      </c>
      <c r="AG2373">
        <v>-1.109747719254</v>
      </c>
      <c r="AH2373">
        <v>17.155681225867301</v>
      </c>
      <c r="AI2373">
        <v>93.694087924283707</v>
      </c>
      <c r="AJ2373">
        <v>93.539759682135397</v>
      </c>
      <c r="AK2373">
        <v>17.224260828167701</v>
      </c>
      <c r="AL2373">
        <v>87.376561732634201</v>
      </c>
      <c r="AM2373">
        <v>91.1878418351058</v>
      </c>
      <c r="AN2373">
        <v>1.00000004053425</v>
      </c>
    </row>
    <row r="2374" spans="1:40" x14ac:dyDescent="0.25">
      <c r="A2374" t="str">
        <f>"20190312151032161"</f>
        <v>20190312151032161</v>
      </c>
      <c r="B2374" t="str">
        <f>"1552374632153289"</f>
        <v>1552374632153289</v>
      </c>
      <c r="C2374" t="s">
        <v>40</v>
      </c>
      <c r="D2374">
        <v>5.4944730000000002</v>
      </c>
      <c r="E2374">
        <v>0.48627779999999998</v>
      </c>
      <c r="F2374" t="s">
        <v>61</v>
      </c>
      <c r="G2374">
        <v>-434.5557</v>
      </c>
      <c r="H2374" s="1">
        <v>4.4195450000000004E-6</v>
      </c>
      <c r="I2374">
        <v>282.53109999999998</v>
      </c>
      <c r="J2374">
        <v>-417.42660000000001</v>
      </c>
      <c r="K2374">
        <v>1.109753</v>
      </c>
      <c r="L2374">
        <v>283.44560000000001</v>
      </c>
      <c r="M2374">
        <v>-0.99985219999999997</v>
      </c>
      <c r="N2374">
        <v>0</v>
      </c>
      <c r="O2374">
        <v>8.7809819999999997E-3</v>
      </c>
      <c r="P2374">
        <v>-0.9994497</v>
      </c>
      <c r="Q2374">
        <v>3.099242E-2</v>
      </c>
      <c r="R2374">
        <v>-1.1829360000000001E-2</v>
      </c>
      <c r="S2374">
        <v>-3.0057070000000001</v>
      </c>
      <c r="T2374">
        <v>-0.19007170000000001</v>
      </c>
      <c r="U2374">
        <v>-0.1560059</v>
      </c>
      <c r="V2374">
        <v>-2.0604259999999999E-2</v>
      </c>
      <c r="W2374">
        <v>4.5757829999999999E-2</v>
      </c>
      <c r="X2374">
        <v>0.99874010000000002</v>
      </c>
      <c r="Y2374">
        <v>-6.0463629999999997E-2</v>
      </c>
      <c r="Z2374">
        <v>-2.4630229999999999E-3</v>
      </c>
      <c r="AA2374">
        <v>0.99816729999999998</v>
      </c>
      <c r="AB2374">
        <v>47</v>
      </c>
      <c r="AC2374">
        <v>-17.129099999999902</v>
      </c>
      <c r="AD2374">
        <v>-1.109748580455</v>
      </c>
      <c r="AE2374">
        <v>-0.91450000000003195</v>
      </c>
      <c r="AF2374">
        <v>-1.06045299522185</v>
      </c>
      <c r="AG2374">
        <v>-1.109748580455</v>
      </c>
      <c r="AH2374">
        <v>17.049050136862199</v>
      </c>
      <c r="AI2374">
        <v>93.717052334733097</v>
      </c>
      <c r="AJ2374">
        <v>93.5592191562762</v>
      </c>
      <c r="AK2374">
        <v>17.118008442460098</v>
      </c>
      <c r="AL2374">
        <v>87.377353844542796</v>
      </c>
      <c r="AM2374">
        <v>91.181858722809693</v>
      </c>
      <c r="AN2374">
        <v>1.00000005094223</v>
      </c>
    </row>
    <row r="2375" spans="1:40" x14ac:dyDescent="0.25">
      <c r="A2375" t="str">
        <f>"20190312151032183"</f>
        <v>20190312151032183</v>
      </c>
      <c r="B2375" t="str">
        <f>"1552374632172805"</f>
        <v>1552374632172805</v>
      </c>
      <c r="C2375" t="s">
        <v>40</v>
      </c>
      <c r="D2375">
        <v>5.3647809999999998</v>
      </c>
      <c r="E2375">
        <v>0.48625479999999999</v>
      </c>
      <c r="F2375" t="s">
        <v>61</v>
      </c>
      <c r="G2375">
        <v>-435.202</v>
      </c>
      <c r="H2375" s="1">
        <v>4.7064560000000002E-6</v>
      </c>
      <c r="I2375">
        <v>282.52749999999997</v>
      </c>
      <c r="J2375">
        <v>-417.90730000000002</v>
      </c>
      <c r="K2375">
        <v>1.109756</v>
      </c>
      <c r="L2375">
        <v>283.44990000000001</v>
      </c>
      <c r="M2375">
        <v>-0.99985239999999997</v>
      </c>
      <c r="N2375">
        <v>0</v>
      </c>
      <c r="O2375">
        <v>8.7805279999999993E-3</v>
      </c>
      <c r="P2375">
        <v>-0.99946120000000005</v>
      </c>
      <c r="Q2375">
        <v>3.0642260000000001E-2</v>
      </c>
      <c r="R2375">
        <v>-1.177774E-2</v>
      </c>
      <c r="S2375">
        <v>-3.005646</v>
      </c>
      <c r="T2375">
        <v>-0.1876476</v>
      </c>
      <c r="U2375">
        <v>-0.15524289999999999</v>
      </c>
      <c r="V2375">
        <v>-2.05522E-2</v>
      </c>
      <c r="W2375">
        <v>4.5404859999999998E-2</v>
      </c>
      <c r="X2375">
        <v>0.99875720000000001</v>
      </c>
      <c r="Y2375">
        <v>-6.0215499999999998E-2</v>
      </c>
      <c r="Z2375">
        <v>-2.4239750000000001E-3</v>
      </c>
      <c r="AA2375">
        <v>0.99818249999999997</v>
      </c>
      <c r="AB2375">
        <v>47</v>
      </c>
      <c r="AC2375">
        <v>-17.294699999999899</v>
      </c>
      <c r="AD2375">
        <v>-1.1097512935439999</v>
      </c>
      <c r="AE2375">
        <v>-0.92240000000003797</v>
      </c>
      <c r="AF2375">
        <v>-1.0698450851807699</v>
      </c>
      <c r="AG2375">
        <v>-1.1097512935439999</v>
      </c>
      <c r="AH2375">
        <v>17.215251729585699</v>
      </c>
      <c r="AI2375">
        <v>93.681287334180595</v>
      </c>
      <c r="AJ2375">
        <v>93.556083899848403</v>
      </c>
      <c r="AK2375">
        <v>17.284125912316501</v>
      </c>
      <c r="AL2375">
        <v>87.397598364304201</v>
      </c>
      <c r="AM2375">
        <v>91.178853230974497</v>
      </c>
      <c r="AN2375">
        <v>0.99999996939414904</v>
      </c>
    </row>
    <row r="2376" spans="1:40" x14ac:dyDescent="0.25">
      <c r="A2376" t="str">
        <f>"20190312151032205"</f>
        <v>20190312151032205</v>
      </c>
      <c r="B2376" t="str">
        <f>"1552374632203061"</f>
        <v>1552374632203061</v>
      </c>
      <c r="C2376" t="s">
        <v>40</v>
      </c>
      <c r="D2376">
        <v>5.3087970000000002</v>
      </c>
      <c r="E2376">
        <v>0.48629470000000002</v>
      </c>
      <c r="F2376" t="s">
        <v>61</v>
      </c>
      <c r="G2376">
        <v>-435.6345</v>
      </c>
      <c r="H2376" s="1">
        <v>4.8975159999999997E-6</v>
      </c>
      <c r="I2376">
        <v>282.53620000000001</v>
      </c>
      <c r="J2376">
        <v>-418.3809</v>
      </c>
      <c r="K2376">
        <v>1.1097619999999999</v>
      </c>
      <c r="L2376">
        <v>283.45400000000001</v>
      </c>
      <c r="M2376">
        <v>-0.99985250000000003</v>
      </c>
      <c r="N2376">
        <v>0</v>
      </c>
      <c r="O2376">
        <v>8.7803710000000004E-3</v>
      </c>
      <c r="P2376">
        <v>-0.99944690000000003</v>
      </c>
      <c r="Q2376">
        <v>3.1051100000000002E-2</v>
      </c>
      <c r="R2376">
        <v>-1.191942E-2</v>
      </c>
      <c r="S2376">
        <v>-3.0055239999999999</v>
      </c>
      <c r="T2376">
        <v>-0.18815019999999999</v>
      </c>
      <c r="U2376">
        <v>-0.15490719999999999</v>
      </c>
      <c r="V2376">
        <v>-2.0694210000000001E-2</v>
      </c>
      <c r="W2376">
        <v>4.5810700000000003E-2</v>
      </c>
      <c r="X2376">
        <v>0.99873579999999995</v>
      </c>
      <c r="Y2376">
        <v>-6.0105720000000001E-2</v>
      </c>
      <c r="Z2376">
        <v>-2.4271190000000002E-3</v>
      </c>
      <c r="AA2376">
        <v>0.99818910000000005</v>
      </c>
      <c r="AB2376">
        <v>47</v>
      </c>
      <c r="AC2376">
        <v>-17.253599999999999</v>
      </c>
      <c r="AD2376">
        <v>-1.1097571024840001</v>
      </c>
      <c r="AE2376">
        <v>-0.91779999999999895</v>
      </c>
      <c r="AF2376">
        <v>-1.06488103609764</v>
      </c>
      <c r="AG2376">
        <v>-1.1097571024840001</v>
      </c>
      <c r="AH2376">
        <v>17.1740250165786</v>
      </c>
      <c r="AI2376">
        <v>93.690151065724294</v>
      </c>
      <c r="AJ2376">
        <v>93.548101112237504</v>
      </c>
      <c r="AK2376">
        <v>17.242756963943499</v>
      </c>
      <c r="AL2376">
        <v>87.374321393389295</v>
      </c>
      <c r="AM2376">
        <v>91.187021883852907</v>
      </c>
      <c r="AN2376">
        <v>1.0000000343818201</v>
      </c>
    </row>
    <row r="2377" spans="1:40" x14ac:dyDescent="0.25">
      <c r="A2377" t="str">
        <f>"20190312151032239"</f>
        <v>20190312151032239</v>
      </c>
      <c r="B2377" t="str">
        <f>"1552374632233321"</f>
        <v>1552374632233321</v>
      </c>
      <c r="C2377" t="s">
        <v>40</v>
      </c>
      <c r="D2377">
        <v>5.3179819999999998</v>
      </c>
      <c r="E2377">
        <v>0.51864869999999996</v>
      </c>
      <c r="F2377" t="s">
        <v>61</v>
      </c>
      <c r="G2377">
        <v>-436.33519999999999</v>
      </c>
      <c r="H2377" s="1">
        <v>5.2090410000000001E-6</v>
      </c>
      <c r="I2377">
        <v>282.52679999999998</v>
      </c>
      <c r="J2377">
        <v>-419.07889999999998</v>
      </c>
      <c r="K2377">
        <v>1.1097649999999999</v>
      </c>
      <c r="L2377">
        <v>283.46010000000001</v>
      </c>
      <c r="M2377">
        <v>-0.99985250000000003</v>
      </c>
      <c r="N2377">
        <v>0</v>
      </c>
      <c r="O2377">
        <v>8.7801059999999993E-3</v>
      </c>
      <c r="P2377">
        <v>-0.99945709999999999</v>
      </c>
      <c r="Q2377">
        <v>3.0906010000000001E-2</v>
      </c>
      <c r="R2377">
        <v>-1.142902E-2</v>
      </c>
      <c r="S2377">
        <v>-3.0056150000000001</v>
      </c>
      <c r="T2377">
        <v>-0.1857772</v>
      </c>
      <c r="U2377">
        <v>-0.1552124</v>
      </c>
      <c r="V2377">
        <v>-2.0203349999999998E-2</v>
      </c>
      <c r="W2377">
        <v>4.5661599999999997E-2</v>
      </c>
      <c r="X2377">
        <v>0.99875270000000005</v>
      </c>
      <c r="Y2377">
        <v>-6.0208150000000002E-2</v>
      </c>
      <c r="Z2377">
        <v>-2.3996320000000001E-3</v>
      </c>
      <c r="AA2377">
        <v>0.99818300000000004</v>
      </c>
      <c r="AB2377">
        <v>47</v>
      </c>
      <c r="AC2377">
        <v>-17.2563</v>
      </c>
      <c r="AD2377">
        <v>-1.10975979095899</v>
      </c>
      <c r="AE2377">
        <v>-0.93330000000003099</v>
      </c>
      <c r="AF2377">
        <v>-1.08033760924792</v>
      </c>
      <c r="AG2377">
        <v>-1.10975979095899</v>
      </c>
      <c r="AH2377">
        <v>17.176607010159501</v>
      </c>
      <c r="AI2377">
        <v>93.689402977488498</v>
      </c>
      <c r="AJ2377">
        <v>93.598927134350305</v>
      </c>
      <c r="AK2377">
        <v>17.2462901670199</v>
      </c>
      <c r="AL2377">
        <v>87.382873200460395</v>
      </c>
      <c r="AM2377">
        <v>91.158854274358205</v>
      </c>
      <c r="AN2377">
        <v>1.0000000564115299</v>
      </c>
    </row>
    <row r="2378" spans="1:40" x14ac:dyDescent="0.25">
      <c r="A2378" t="str">
        <f>"20190312151032260"</f>
        <v>20190312151032260</v>
      </c>
      <c r="B2378" t="str">
        <f>"1552374632252837"</f>
        <v>1552374632252837</v>
      </c>
      <c r="C2378" t="s">
        <v>40</v>
      </c>
      <c r="D2378">
        <v>5.3086120000000001</v>
      </c>
      <c r="E2378">
        <v>0.51970070000000002</v>
      </c>
      <c r="F2378" t="s">
        <v>52</v>
      </c>
      <c r="G2378">
        <v>-451.97449999999998</v>
      </c>
      <c r="H2378" s="1">
        <v>-4.8684109999999995E-7</v>
      </c>
      <c r="I2378">
        <v>284.63499999999999</v>
      </c>
      <c r="J2378">
        <v>-419.54300000000001</v>
      </c>
      <c r="K2378">
        <v>1.1097629999999901</v>
      </c>
      <c r="L2378">
        <v>283.46420000000001</v>
      </c>
      <c r="M2378">
        <v>-0.99985250000000003</v>
      </c>
      <c r="N2378">
        <v>0</v>
      </c>
      <c r="O2378">
        <v>8.7799499999999999E-3</v>
      </c>
      <c r="P2378">
        <v>-0.99946420000000002</v>
      </c>
      <c r="Q2378">
        <v>3.0688099999999999E-2</v>
      </c>
      <c r="R2378">
        <v>-1.1393179999999999E-2</v>
      </c>
      <c r="S2378">
        <v>-3.0059809999999998</v>
      </c>
      <c r="T2378">
        <v>-0.1014094</v>
      </c>
      <c r="U2378">
        <v>0.10736080000000001</v>
      </c>
      <c r="V2378">
        <v>-2.0167359999999999E-2</v>
      </c>
      <c r="W2378">
        <v>4.5441059999999998E-2</v>
      </c>
      <c r="X2378">
        <v>0.99876339999999997</v>
      </c>
      <c r="Y2378">
        <v>2.6905990000000001E-2</v>
      </c>
      <c r="Z2378">
        <v>1.5753649999999901E-4</v>
      </c>
      <c r="AA2378">
        <v>0.99963800000000003</v>
      </c>
      <c r="AB2378">
        <v>47</v>
      </c>
      <c r="AC2378">
        <v>-32.4314999999999</v>
      </c>
      <c r="AD2378">
        <v>-1.1097634868410999</v>
      </c>
      <c r="AE2378">
        <v>1.1707999999999801</v>
      </c>
      <c r="AF2378">
        <v>0.88494204027810397</v>
      </c>
      <c r="AG2378">
        <v>-1.1097634868410999</v>
      </c>
      <c r="AH2378">
        <v>32.402638879376902</v>
      </c>
      <c r="AI2378">
        <v>91.960835588960904</v>
      </c>
      <c r="AJ2378">
        <v>88.435595211158699</v>
      </c>
      <c r="AK2378">
        <v>32.433712457236297</v>
      </c>
      <c r="AL2378">
        <v>87.395522117572796</v>
      </c>
      <c r="AM2378">
        <v>91.156778077396595</v>
      </c>
      <c r="AN2378">
        <v>0.99999997076142599</v>
      </c>
    </row>
    <row r="2379" spans="1:40" x14ac:dyDescent="0.25">
      <c r="A2379" t="str">
        <f>"20190312151032284"</f>
        <v>20190312151032284</v>
      </c>
      <c r="B2379" t="str">
        <f>"1552374632273333"</f>
        <v>1552374632273333</v>
      </c>
      <c r="C2379" t="s">
        <v>40</v>
      </c>
      <c r="D2379">
        <v>5.2865479999999998</v>
      </c>
      <c r="E2379">
        <v>0.51955600000000002</v>
      </c>
      <c r="F2379" t="s">
        <v>52</v>
      </c>
      <c r="G2379">
        <v>-460.20710000000003</v>
      </c>
      <c r="H2379" s="1">
        <v>-1.4452660000000001E-6</v>
      </c>
      <c r="I2379">
        <v>285.04399999999998</v>
      </c>
      <c r="J2379">
        <v>-420.02010000000001</v>
      </c>
      <c r="K2379">
        <v>1.109766</v>
      </c>
      <c r="L2379">
        <v>283.46839999999997</v>
      </c>
      <c r="M2379">
        <v>-0.99985250000000003</v>
      </c>
      <c r="N2379">
        <v>0</v>
      </c>
      <c r="O2379">
        <v>8.7797929999999993E-3</v>
      </c>
      <c r="P2379">
        <v>-0.99944809999999995</v>
      </c>
      <c r="Q2379">
        <v>3.1166280000000001E-2</v>
      </c>
      <c r="R2379">
        <v>-1.1498120000000001E-2</v>
      </c>
      <c r="S2379">
        <v>-3.0054630000000002</v>
      </c>
      <c r="T2379">
        <v>-8.2022070000000002E-2</v>
      </c>
      <c r="U2379">
        <v>0.1167603</v>
      </c>
      <c r="V2379">
        <v>-2.0272169999999999E-2</v>
      </c>
      <c r="W2379">
        <v>4.5915499999999998E-2</v>
      </c>
      <c r="X2379">
        <v>0.99873959999999995</v>
      </c>
      <c r="Y2379">
        <v>3.003654E-2</v>
      </c>
      <c r="Z2379">
        <v>1.701448E-4</v>
      </c>
      <c r="AA2379">
        <v>0.99954880000000002</v>
      </c>
      <c r="AB2379">
        <v>47</v>
      </c>
      <c r="AC2379">
        <v>-40.186999999999998</v>
      </c>
      <c r="AD2379">
        <v>-1.109767445266</v>
      </c>
      <c r="AE2379">
        <v>1.5756000000000601</v>
      </c>
      <c r="AF2379">
        <v>1.22173701250327</v>
      </c>
      <c r="AG2379">
        <v>-1.109767445266</v>
      </c>
      <c r="AH2379">
        <v>40.168700326007801</v>
      </c>
      <c r="AI2379">
        <v>91.581814995530905</v>
      </c>
      <c r="AJ2379">
        <v>88.257877388348902</v>
      </c>
      <c r="AK2379">
        <v>40.202595824037402</v>
      </c>
      <c r="AL2379">
        <v>87.368310357388395</v>
      </c>
      <c r="AM2379">
        <v>91.162815921638298</v>
      </c>
      <c r="AN2379">
        <v>0.99999999131245898</v>
      </c>
    </row>
    <row r="2380" spans="1:40" x14ac:dyDescent="0.25">
      <c r="A2380" t="str">
        <f>"20190312151032305"</f>
        <v>20190312151032305</v>
      </c>
      <c r="B2380" t="str">
        <f>"1552374632303589"</f>
        <v>1552374632303589</v>
      </c>
      <c r="C2380" t="s">
        <v>40</v>
      </c>
      <c r="D2380">
        <v>5.2827109999999999</v>
      </c>
      <c r="E2380">
        <v>0.51975229999999994</v>
      </c>
      <c r="F2380" t="s">
        <v>52</v>
      </c>
      <c r="G2380">
        <v>-461.6499</v>
      </c>
      <c r="H2380" s="1">
        <v>-6.7846339999999995E-7</v>
      </c>
      <c r="I2380">
        <v>285.06619999999998</v>
      </c>
      <c r="J2380">
        <v>-420.4787</v>
      </c>
      <c r="K2380">
        <v>1.1097760000000001</v>
      </c>
      <c r="L2380">
        <v>283.47239999999999</v>
      </c>
      <c r="M2380">
        <v>-0.99985259999999998</v>
      </c>
      <c r="N2380">
        <v>0</v>
      </c>
      <c r="O2380">
        <v>8.7796360000000004E-3</v>
      </c>
      <c r="P2380">
        <v>-0.99942370000000003</v>
      </c>
      <c r="Q2380">
        <v>3.1968070000000001E-2</v>
      </c>
      <c r="R2380">
        <v>-1.141792E-2</v>
      </c>
      <c r="S2380">
        <v>-3.005493</v>
      </c>
      <c r="T2380">
        <v>-8.0120440000000001E-2</v>
      </c>
      <c r="U2380">
        <v>0.115356399999999</v>
      </c>
      <c r="V2380">
        <v>-2.019141E-2</v>
      </c>
      <c r="W2380">
        <v>4.6714289999999999E-2</v>
      </c>
      <c r="X2380">
        <v>0.99870420000000004</v>
      </c>
      <c r="Y2380">
        <v>2.9570639999999999E-2</v>
      </c>
      <c r="Z2380">
        <v>1.5999889999999999E-4</v>
      </c>
      <c r="AA2380">
        <v>0.99956270000000003</v>
      </c>
      <c r="AB2380">
        <v>47</v>
      </c>
      <c r="AC2380">
        <v>-41.171199999999999</v>
      </c>
      <c r="AD2380">
        <v>-1.10977667846339</v>
      </c>
      <c r="AE2380">
        <v>1.5937999999999799</v>
      </c>
      <c r="AF2380">
        <v>1.2313377294666801</v>
      </c>
      <c r="AG2380">
        <v>-1.10977667846339</v>
      </c>
      <c r="AH2380">
        <v>41.153750554446603</v>
      </c>
      <c r="AI2380">
        <v>91.544007302633403</v>
      </c>
      <c r="AJ2380">
        <v>88.286197189819404</v>
      </c>
      <c r="AK2380">
        <v>41.187121550038903</v>
      </c>
      <c r="AL2380">
        <v>87.322493913208902</v>
      </c>
      <c r="AM2380">
        <v>91.158225817182995</v>
      </c>
      <c r="AN2380">
        <v>0.99999999851281596</v>
      </c>
    </row>
    <row r="2381" spans="1:40" x14ac:dyDescent="0.25">
      <c r="A2381" t="str">
        <f>"20190312151032328"</f>
        <v>20190312151032328</v>
      </c>
      <c r="B2381" t="str">
        <f>"1552374632323164"</f>
        <v>1552374632323164</v>
      </c>
      <c r="C2381" t="s">
        <v>40</v>
      </c>
      <c r="D2381">
        <v>5.3136010000000002</v>
      </c>
      <c r="E2381">
        <v>0.51992209999999905</v>
      </c>
      <c r="F2381" t="s">
        <v>52</v>
      </c>
      <c r="G2381">
        <v>-459.70179999999999</v>
      </c>
      <c r="H2381" s="1">
        <v>3.6093849999999999E-6</v>
      </c>
      <c r="I2381">
        <v>284.99639999999999</v>
      </c>
      <c r="J2381">
        <v>-420.95710000000003</v>
      </c>
      <c r="K2381">
        <v>1.109775</v>
      </c>
      <c r="L2381">
        <v>283.47660000000002</v>
      </c>
      <c r="M2381">
        <v>-0.99985270000000004</v>
      </c>
      <c r="N2381">
        <v>0</v>
      </c>
      <c r="O2381">
        <v>8.7793009999999998E-3</v>
      </c>
      <c r="P2381">
        <v>-0.99940269999999998</v>
      </c>
      <c r="Q2381">
        <v>3.2503400000000002E-2</v>
      </c>
      <c r="R2381">
        <v>-1.1753339999999999E-2</v>
      </c>
      <c r="S2381">
        <v>-3.005798</v>
      </c>
      <c r="T2381">
        <v>-8.5045700000000002E-2</v>
      </c>
      <c r="U2381">
        <v>0.1167908</v>
      </c>
      <c r="V2381">
        <v>-2.0526160000000002E-2</v>
      </c>
      <c r="W2381">
        <v>4.7246330000000003E-2</v>
      </c>
      <c r="X2381">
        <v>0.99867240000000002</v>
      </c>
      <c r="Y2381">
        <v>3.0042240000000001E-2</v>
      </c>
      <c r="Z2381">
        <v>1.7648929999999999E-4</v>
      </c>
      <c r="AA2381">
        <v>0.99954860000000001</v>
      </c>
      <c r="AB2381">
        <v>47</v>
      </c>
      <c r="AC2381">
        <v>-38.744699999999902</v>
      </c>
      <c r="AD2381">
        <v>-1.109771390615</v>
      </c>
      <c r="AE2381">
        <v>1.5197999999999701</v>
      </c>
      <c r="AF2381">
        <v>1.17858756956904</v>
      </c>
      <c r="AG2381">
        <v>-1.109771390615</v>
      </c>
      <c r="AH2381">
        <v>38.724828466311997</v>
      </c>
      <c r="AI2381">
        <v>91.640766830848307</v>
      </c>
      <c r="AJ2381">
        <v>88.256744892453696</v>
      </c>
      <c r="AK2381">
        <v>38.758650659483202</v>
      </c>
      <c r="AL2381">
        <v>87.2919767110115</v>
      </c>
      <c r="AM2381">
        <v>91.177459968533498</v>
      </c>
      <c r="AN2381">
        <v>1.0000000507322799</v>
      </c>
    </row>
    <row r="2382" spans="1:40" x14ac:dyDescent="0.25">
      <c r="A2382" t="str">
        <f>"20190312151032350"</f>
        <v>20190312151032350</v>
      </c>
      <c r="B2382" t="str">
        <f>"1552374632342684"</f>
        <v>1552374632342684</v>
      </c>
      <c r="C2382" t="s">
        <v>40</v>
      </c>
      <c r="D2382">
        <v>5.3127370000000003</v>
      </c>
      <c r="E2382">
        <v>0.52005859999999904</v>
      </c>
      <c r="F2382" t="s">
        <v>52</v>
      </c>
      <c r="G2382">
        <v>-458.3818</v>
      </c>
      <c r="H2382" s="1">
        <v>2.9097630000000001E-6</v>
      </c>
      <c r="I2382">
        <v>284.93259999999998</v>
      </c>
      <c r="J2382">
        <v>-421.41910000000001</v>
      </c>
      <c r="K2382">
        <v>1.1097779999999999</v>
      </c>
      <c r="L2382">
        <v>283.48070000000001</v>
      </c>
      <c r="M2382">
        <v>-0.99985259999999998</v>
      </c>
      <c r="N2382">
        <v>0</v>
      </c>
      <c r="O2382">
        <v>8.7792040000000005E-3</v>
      </c>
      <c r="P2382">
        <v>-0.99940819999999997</v>
      </c>
      <c r="Q2382">
        <v>3.2454789999999997E-2</v>
      </c>
      <c r="R2382">
        <v>-1.1403969999999999E-2</v>
      </c>
      <c r="S2382">
        <v>-3.0060419999999999</v>
      </c>
      <c r="T2382">
        <v>-8.9139579999999996E-2</v>
      </c>
      <c r="U2382">
        <v>0.1169434</v>
      </c>
      <c r="V2382">
        <v>-2.0176670000000001E-2</v>
      </c>
      <c r="W2382">
        <v>4.7194409999999999E-2</v>
      </c>
      <c r="X2382">
        <v>0.99868190000000001</v>
      </c>
      <c r="Y2382">
        <v>3.0088989999999999E-2</v>
      </c>
      <c r="Z2382">
        <v>1.856618E-4</v>
      </c>
      <c r="AA2382">
        <v>0.99954719999999997</v>
      </c>
      <c r="AB2382">
        <v>47</v>
      </c>
      <c r="AC2382">
        <v>-36.962699999999899</v>
      </c>
      <c r="AD2382">
        <v>-1.1097750902370001</v>
      </c>
      <c r="AE2382">
        <v>1.45189999999996</v>
      </c>
      <c r="AF2382">
        <v>1.1262918884453199</v>
      </c>
      <c r="AG2382">
        <v>-1.1097750902370001</v>
      </c>
      <c r="AH2382">
        <v>36.940774105982598</v>
      </c>
      <c r="AI2382">
        <v>91.719964045143001</v>
      </c>
      <c r="AJ2382">
        <v>88.253642798391695</v>
      </c>
      <c r="AK2382">
        <v>36.974598384811799</v>
      </c>
      <c r="AL2382">
        <v>87.294954621758706</v>
      </c>
      <c r="AM2382">
        <v>91.157406363500399</v>
      </c>
      <c r="AN2382">
        <v>0.999999973867573</v>
      </c>
    </row>
    <row r="2383" spans="1:40" x14ac:dyDescent="0.25">
      <c r="A2383" t="str">
        <f>"20190312151032372"</f>
        <v>20190312151032372</v>
      </c>
      <c r="B2383" t="str">
        <f>"1552374632363180"</f>
        <v>1552374632363180</v>
      </c>
      <c r="C2383" t="s">
        <v>40</v>
      </c>
      <c r="D2383">
        <v>5.3031759999999997</v>
      </c>
      <c r="E2383">
        <v>0.52024999999999999</v>
      </c>
      <c r="F2383" t="s">
        <v>52</v>
      </c>
      <c r="G2383">
        <v>-457.47890000000001</v>
      </c>
      <c r="H2383" s="1">
        <v>2.43049E-6</v>
      </c>
      <c r="I2383">
        <v>284.90429999999998</v>
      </c>
      <c r="J2383">
        <v>-421.89339999999999</v>
      </c>
      <c r="K2383">
        <v>1.109782</v>
      </c>
      <c r="L2383">
        <v>283.48489999999998</v>
      </c>
      <c r="M2383">
        <v>-0.99985279999999999</v>
      </c>
      <c r="N2383">
        <v>0</v>
      </c>
      <c r="O2383">
        <v>8.7790479999999994E-3</v>
      </c>
      <c r="P2383">
        <v>-0.99940629999999997</v>
      </c>
      <c r="Q2383">
        <v>3.2532529999999997E-2</v>
      </c>
      <c r="R2383">
        <v>-1.136764E-2</v>
      </c>
      <c r="S2383">
        <v>-3.0061339999999999</v>
      </c>
      <c r="T2383">
        <v>-9.2516780000000007E-2</v>
      </c>
      <c r="U2383">
        <v>0.11868289999999999</v>
      </c>
      <c r="V2383">
        <v>-2.0139939999999999E-2</v>
      </c>
      <c r="W2383">
        <v>4.726967E-2</v>
      </c>
      <c r="X2383">
        <v>0.99867910000000004</v>
      </c>
      <c r="Y2383">
        <v>3.0664460000000001E-2</v>
      </c>
      <c r="Z2383">
        <v>2.015396E-4</v>
      </c>
      <c r="AA2383">
        <v>0.99952969999999997</v>
      </c>
      <c r="AB2383">
        <v>47</v>
      </c>
      <c r="AC2383">
        <v>-35.585500000000003</v>
      </c>
      <c r="AD2383">
        <v>-1.1097795695099999</v>
      </c>
      <c r="AE2383">
        <v>1.41939999999999</v>
      </c>
      <c r="AF2383">
        <v>1.1058307217788099</v>
      </c>
      <c r="AG2383">
        <v>-1.1097795695099999</v>
      </c>
      <c r="AH2383">
        <v>35.5620585291026</v>
      </c>
      <c r="AI2383">
        <v>91.7865772951602</v>
      </c>
      <c r="AJ2383">
        <v>88.218915723787006</v>
      </c>
      <c r="AK2383">
        <v>35.596551505805301</v>
      </c>
      <c r="AL2383">
        <v>87.290637772085702</v>
      </c>
      <c r="AM2383">
        <v>91.155303208400596</v>
      </c>
      <c r="AN2383">
        <v>0.999999991830961</v>
      </c>
    </row>
    <row r="2384" spans="1:40" x14ac:dyDescent="0.25">
      <c r="A2384" t="str">
        <f>"20190312151032396"</f>
        <v>20190312151032396</v>
      </c>
      <c r="B2384" t="str">
        <f>"1552374632393437"</f>
        <v>1552374632393437</v>
      </c>
      <c r="C2384" t="s">
        <v>40</v>
      </c>
      <c r="D2384">
        <v>5.3395010000000003</v>
      </c>
      <c r="E2384">
        <v>0.52028850000000004</v>
      </c>
      <c r="F2384" t="s">
        <v>52</v>
      </c>
      <c r="G2384">
        <v>-457.28</v>
      </c>
      <c r="H2384" s="1">
        <v>2.3246830000000001E-6</v>
      </c>
      <c r="I2384">
        <v>284.90379999999999</v>
      </c>
      <c r="J2384">
        <v>-422.36790000000002</v>
      </c>
      <c r="K2384">
        <v>1.1097840000000001</v>
      </c>
      <c r="L2384">
        <v>283.48899999999998</v>
      </c>
      <c r="M2384">
        <v>-0.99985279999999999</v>
      </c>
      <c r="N2384">
        <v>0</v>
      </c>
      <c r="O2384">
        <v>8.778714E-3</v>
      </c>
      <c r="P2384">
        <v>-0.99942089999999995</v>
      </c>
      <c r="Q2384">
        <v>3.2318520000000003E-2</v>
      </c>
      <c r="R2384">
        <v>-1.06566E-2</v>
      </c>
      <c r="S2384">
        <v>-3.006195</v>
      </c>
      <c r="T2384">
        <v>-9.4279050000000003E-2</v>
      </c>
      <c r="U2384">
        <v>0.1205444</v>
      </c>
      <c r="V2384">
        <v>-1.9429149999999999E-2</v>
      </c>
      <c r="W2384">
        <v>4.7052950000000003E-2</v>
      </c>
      <c r="X2384">
        <v>0.99870340000000002</v>
      </c>
      <c r="Y2384">
        <v>3.128127E-2</v>
      </c>
      <c r="Z2384">
        <v>2.1504639999999999E-4</v>
      </c>
      <c r="AA2384">
        <v>0.99951060000000003</v>
      </c>
      <c r="AB2384">
        <v>47</v>
      </c>
      <c r="AC2384">
        <v>-34.912099999999903</v>
      </c>
      <c r="AD2384">
        <v>-1.109781675317</v>
      </c>
      <c r="AE2384">
        <v>1.4147999999999501</v>
      </c>
      <c r="AF2384">
        <v>1.1071119543924799</v>
      </c>
      <c r="AG2384">
        <v>-1.109781675317</v>
      </c>
      <c r="AH2384">
        <v>34.887980455119902</v>
      </c>
      <c r="AI2384">
        <v>91.821040153387202</v>
      </c>
      <c r="AJ2384">
        <v>88.182423801054497</v>
      </c>
      <c r="AK2384">
        <v>34.923179873591899</v>
      </c>
      <c r="AL2384">
        <v>87.303068704480395</v>
      </c>
      <c r="AM2384">
        <v>91.114512964273501</v>
      </c>
      <c r="AN2384">
        <v>0.99999997657249196</v>
      </c>
    </row>
    <row r="2385" spans="1:40" x14ac:dyDescent="0.25">
      <c r="A2385" t="str">
        <f>"20190312151032417"</f>
        <v>20190312151032417</v>
      </c>
      <c r="B2385" t="str">
        <f>"1552374632412956"</f>
        <v>1552374632412956</v>
      </c>
      <c r="C2385" t="s">
        <v>40</v>
      </c>
      <c r="D2385">
        <v>5.3400169999999996</v>
      </c>
      <c r="E2385">
        <v>0.52020279999999997</v>
      </c>
      <c r="F2385" t="s">
        <v>52</v>
      </c>
      <c r="G2385">
        <v>-457.45119999999997</v>
      </c>
      <c r="H2385" s="1">
        <v>2.414934E-6</v>
      </c>
      <c r="I2385">
        <v>284.92399999999998</v>
      </c>
      <c r="J2385">
        <v>-422.83089999999999</v>
      </c>
      <c r="K2385">
        <v>1.109783</v>
      </c>
      <c r="L2385">
        <v>283.49310000000003</v>
      </c>
      <c r="M2385">
        <v>-0.99985279999999999</v>
      </c>
      <c r="N2385">
        <v>0</v>
      </c>
      <c r="O2385">
        <v>8.7785569999999993E-3</v>
      </c>
      <c r="P2385">
        <v>-0.99943590000000004</v>
      </c>
      <c r="Q2385">
        <v>3.191828E-2</v>
      </c>
      <c r="R2385">
        <v>-1.046479E-2</v>
      </c>
      <c r="S2385">
        <v>-3.0061339999999999</v>
      </c>
      <c r="T2385">
        <v>-9.5092300000000005E-2</v>
      </c>
      <c r="U2385">
        <v>0.1229553</v>
      </c>
      <c r="V2385">
        <v>-1.923712E-2</v>
      </c>
      <c r="W2385">
        <v>4.6649509999999998E-2</v>
      </c>
      <c r="X2385">
        <v>0.99872609999999995</v>
      </c>
      <c r="Y2385">
        <v>3.2081930000000002E-2</v>
      </c>
      <c r="Z2385">
        <v>2.2956149999999999E-4</v>
      </c>
      <c r="AA2385">
        <v>0.99948519999999996</v>
      </c>
      <c r="AB2385">
        <v>47</v>
      </c>
      <c r="AC2385">
        <v>-34.620299999999901</v>
      </c>
      <c r="AD2385">
        <v>-1.1097805850660001</v>
      </c>
      <c r="AE2385">
        <v>1.4309000000000001</v>
      </c>
      <c r="AF2385">
        <v>1.1257407392538701</v>
      </c>
      <c r="AG2385">
        <v>-1.1097805850660001</v>
      </c>
      <c r="AH2385">
        <v>34.596038990866603</v>
      </c>
      <c r="AI2385">
        <v>91.836347367941997</v>
      </c>
      <c r="AJ2385">
        <v>88.136276732223195</v>
      </c>
      <c r="AK2385">
        <v>34.632135640421701</v>
      </c>
      <c r="AL2385">
        <v>87.326209677416003</v>
      </c>
      <c r="AM2385">
        <v>91.103475223087798</v>
      </c>
      <c r="AN2385">
        <v>1.0000000331951699</v>
      </c>
    </row>
    <row r="2386" spans="1:40" x14ac:dyDescent="0.25">
      <c r="A2386" t="str">
        <f>"20190312151032440"</f>
        <v>20190312151032440</v>
      </c>
      <c r="B2386" t="str">
        <f>"1552374632433456"</f>
        <v>1552374632433456</v>
      </c>
      <c r="C2386" t="s">
        <v>40</v>
      </c>
      <c r="D2386">
        <v>5.3421960000000004</v>
      </c>
      <c r="E2386">
        <v>0.52017150000000001</v>
      </c>
      <c r="F2386" t="s">
        <v>52</v>
      </c>
      <c r="G2386">
        <v>-458.08049999999997</v>
      </c>
      <c r="H2386" s="1">
        <v>2.74936E-6</v>
      </c>
      <c r="I2386">
        <v>284.93419999999998</v>
      </c>
      <c r="J2386">
        <v>-423.29899999999998</v>
      </c>
      <c r="K2386">
        <v>1.109783</v>
      </c>
      <c r="L2386">
        <v>283.49720000000002</v>
      </c>
      <c r="M2386">
        <v>-0.99985290000000004</v>
      </c>
      <c r="N2386">
        <v>0</v>
      </c>
      <c r="O2386">
        <v>8.7784600000000001E-3</v>
      </c>
      <c r="P2386">
        <v>-0.9994459</v>
      </c>
      <c r="Q2386">
        <v>3.1683900000000001E-2</v>
      </c>
      <c r="R2386">
        <v>-1.022516E-2</v>
      </c>
      <c r="S2386">
        <v>-3.0060120000000001</v>
      </c>
      <c r="T2386">
        <v>-9.463966E-2</v>
      </c>
      <c r="U2386">
        <v>0.1228943</v>
      </c>
      <c r="V2386">
        <v>-1.8997790000000001E-2</v>
      </c>
      <c r="W2386">
        <v>4.6412309999999998E-2</v>
      </c>
      <c r="X2386">
        <v>0.99874169999999995</v>
      </c>
      <c r="Y2386">
        <v>3.2063540000000001E-2</v>
      </c>
      <c r="Z2386">
        <v>2.2819259999999999E-4</v>
      </c>
      <c r="AA2386">
        <v>0.99948579999999998</v>
      </c>
      <c r="AB2386">
        <v>47</v>
      </c>
      <c r="AC2386">
        <v>-34.781499999999902</v>
      </c>
      <c r="AD2386">
        <v>-1.1097802506400001</v>
      </c>
      <c r="AE2386">
        <v>1.4369999999999501</v>
      </c>
      <c r="AF2386">
        <v>1.13043456078517</v>
      </c>
      <c r="AG2386">
        <v>-1.1097802506400001</v>
      </c>
      <c r="AH2386">
        <v>34.7574503474032</v>
      </c>
      <c r="AI2386">
        <v>91.827825690773693</v>
      </c>
      <c r="AJ2386">
        <v>88.137196312208303</v>
      </c>
      <c r="AK2386">
        <v>34.793531714287496</v>
      </c>
      <c r="AL2386">
        <v>87.339814886574999</v>
      </c>
      <c r="AM2386">
        <v>91.089733145065097</v>
      </c>
      <c r="AN2386">
        <v>1.0000000009316501</v>
      </c>
    </row>
    <row r="2387" spans="1:40" x14ac:dyDescent="0.25">
      <c r="A2387" t="str">
        <f>"20190312151032461"</f>
        <v>20190312151032461</v>
      </c>
      <c r="B2387" t="str">
        <f>"1552374632452973"</f>
        <v>1552374632452973</v>
      </c>
      <c r="C2387" t="s">
        <v>40</v>
      </c>
      <c r="D2387">
        <v>5.3549689999999996</v>
      </c>
      <c r="E2387">
        <v>0.52023169999999996</v>
      </c>
      <c r="F2387" t="s">
        <v>52</v>
      </c>
      <c r="G2387">
        <v>-458.82929999999999</v>
      </c>
      <c r="H2387" s="1">
        <v>3.1468620000000001E-6</v>
      </c>
      <c r="I2387">
        <v>284.9563</v>
      </c>
      <c r="J2387">
        <v>-423.75979999999998</v>
      </c>
      <c r="K2387">
        <v>1.1097809999999999</v>
      </c>
      <c r="L2387">
        <v>283.50119999999998</v>
      </c>
      <c r="M2387">
        <v>-0.99985299999999999</v>
      </c>
      <c r="N2387">
        <v>0</v>
      </c>
      <c r="O2387">
        <v>8.7783040000000007E-3</v>
      </c>
      <c r="P2387">
        <v>-0.99945090000000003</v>
      </c>
      <c r="Q2387">
        <v>3.1553850000000001E-2</v>
      </c>
      <c r="R2387">
        <v>-1.0135679999999999E-2</v>
      </c>
      <c r="S2387">
        <v>-3.00589</v>
      </c>
      <c r="T2387">
        <v>-9.3888280000000005E-2</v>
      </c>
      <c r="U2387">
        <v>0.1234436</v>
      </c>
      <c r="V2387">
        <v>-1.8907899999999998E-2</v>
      </c>
      <c r="W2387">
        <v>4.6279880000000002E-2</v>
      </c>
      <c r="X2387">
        <v>0.99874960000000002</v>
      </c>
      <c r="Y2387">
        <v>3.22478E-2</v>
      </c>
      <c r="Z2387">
        <v>2.292707E-4</v>
      </c>
      <c r="AA2387">
        <v>0.99947989999999998</v>
      </c>
      <c r="AB2387">
        <v>47</v>
      </c>
      <c r="AC2387">
        <v>-35.069499999999998</v>
      </c>
      <c r="AD2387">
        <v>-1.10977785313799</v>
      </c>
      <c r="AE2387">
        <v>1.4551000000000101</v>
      </c>
      <c r="AF2387">
        <v>1.1460141353308699</v>
      </c>
      <c r="AG2387">
        <v>-1.10977785313799</v>
      </c>
      <c r="AH2387">
        <v>35.045888102000802</v>
      </c>
      <c r="AI2387">
        <v>91.812777886012697</v>
      </c>
      <c r="AJ2387">
        <v>88.127073177623302</v>
      </c>
      <c r="AK2387">
        <v>35.082178212586101</v>
      </c>
      <c r="AL2387">
        <v>87.347410858379405</v>
      </c>
      <c r="AM2387">
        <v>91.084569618173205</v>
      </c>
      <c r="AN2387">
        <v>1.00000004973769</v>
      </c>
    </row>
    <row r="2388" spans="1:40" x14ac:dyDescent="0.25">
      <c r="A2388" t="str">
        <f>"20190312151032484"</f>
        <v>20190312151032484</v>
      </c>
      <c r="B2388" t="str">
        <f>"1552374632473472"</f>
        <v>1552374632473472</v>
      </c>
      <c r="C2388" t="s">
        <v>40</v>
      </c>
      <c r="D2388">
        <v>5.341526</v>
      </c>
      <c r="E2388">
        <v>0.52031660000000002</v>
      </c>
      <c r="F2388" t="s">
        <v>52</v>
      </c>
      <c r="G2388">
        <v>-459.7192</v>
      </c>
      <c r="H2388" s="1">
        <v>3.6191370000000002E-6</v>
      </c>
      <c r="I2388">
        <v>284.98570000000001</v>
      </c>
      <c r="J2388">
        <v>-424.22809999999998</v>
      </c>
      <c r="K2388">
        <v>1.10978</v>
      </c>
      <c r="L2388">
        <v>283.50540000000001</v>
      </c>
      <c r="M2388">
        <v>-0.99985310000000005</v>
      </c>
      <c r="N2388">
        <v>0</v>
      </c>
      <c r="O2388">
        <v>8.7779699999999995E-3</v>
      </c>
      <c r="P2388">
        <v>-0.99946880000000005</v>
      </c>
      <c r="Q2388">
        <v>3.1109629999999999E-2</v>
      </c>
      <c r="R2388">
        <v>-9.7298609999999994E-3</v>
      </c>
      <c r="S2388">
        <v>-3.0058590000000001</v>
      </c>
      <c r="T2388">
        <v>-9.2766760000000004E-2</v>
      </c>
      <c r="U2388">
        <v>0.1240845</v>
      </c>
      <c r="V2388">
        <v>-1.8502040000000001E-2</v>
      </c>
      <c r="W2388">
        <v>4.583309E-2</v>
      </c>
      <c r="X2388">
        <v>0.99877769999999999</v>
      </c>
      <c r="Y2388">
        <v>3.2461450000000003E-2</v>
      </c>
      <c r="Z2388">
        <v>2.2983960000000001E-4</v>
      </c>
      <c r="AA2388">
        <v>0.99947299999999994</v>
      </c>
      <c r="AB2388">
        <v>47</v>
      </c>
      <c r="AC2388">
        <v>-35.491100000000003</v>
      </c>
      <c r="AD2388">
        <v>-1.1097763808629999</v>
      </c>
      <c r="AE2388">
        <v>1.48029999999999</v>
      </c>
      <c r="AF2388">
        <v>1.16752979918527</v>
      </c>
      <c r="AG2388">
        <v>-1.1097763808629999</v>
      </c>
      <c r="AH2388">
        <v>35.468108716308201</v>
      </c>
      <c r="AI2388">
        <v>91.791197173248804</v>
      </c>
      <c r="AJ2388">
        <v>88.114633504054794</v>
      </c>
      <c r="AK2388">
        <v>35.504668219254803</v>
      </c>
      <c r="AL2388">
        <v>87.373036959226297</v>
      </c>
      <c r="AM2388">
        <v>91.061264751857607</v>
      </c>
      <c r="AN2388">
        <v>0.99999994582019802</v>
      </c>
    </row>
    <row r="2389" spans="1:40" x14ac:dyDescent="0.25">
      <c r="A2389" t="str">
        <f>"20190312151032506"</f>
        <v>20190312151032506</v>
      </c>
      <c r="B2389" t="str">
        <f>"1552374632502748"</f>
        <v>1552374632502748</v>
      </c>
      <c r="C2389" t="s">
        <v>40</v>
      </c>
      <c r="D2389">
        <v>5.3010460000000004</v>
      </c>
      <c r="E2389">
        <v>0.52037420000000001</v>
      </c>
      <c r="F2389" t="s">
        <v>52</v>
      </c>
      <c r="G2389">
        <v>-459.97969999999998</v>
      </c>
      <c r="H2389" s="1">
        <v>-1.5645119999999999E-6</v>
      </c>
      <c r="I2389">
        <v>285.00310000000002</v>
      </c>
      <c r="J2389">
        <v>-424.6936</v>
      </c>
      <c r="K2389">
        <v>1.109777</v>
      </c>
      <c r="L2389">
        <v>283.50940000000003</v>
      </c>
      <c r="M2389">
        <v>-0.99985299999999999</v>
      </c>
      <c r="N2389">
        <v>0</v>
      </c>
      <c r="O2389">
        <v>8.7779920000000001E-3</v>
      </c>
      <c r="P2389">
        <v>-0.9994767</v>
      </c>
      <c r="Q2389">
        <v>3.0894499999999998E-2</v>
      </c>
      <c r="R2389">
        <v>-9.580313E-3</v>
      </c>
      <c r="S2389">
        <v>-3.0057369999999999</v>
      </c>
      <c r="T2389">
        <v>-9.3302609999999994E-2</v>
      </c>
      <c r="U2389">
        <v>0.12591550000000001</v>
      </c>
      <c r="V2389">
        <v>-1.835268E-2</v>
      </c>
      <c r="W2389">
        <v>4.5614920000000003E-2</v>
      </c>
      <c r="X2389">
        <v>0.99879050000000003</v>
      </c>
      <c r="Y2389">
        <v>3.3070469999999998E-2</v>
      </c>
      <c r="Z2389">
        <v>2.406187E-4</v>
      </c>
      <c r="AA2389">
        <v>0.99945300000000004</v>
      </c>
      <c r="AB2389">
        <v>47</v>
      </c>
      <c r="AC2389">
        <v>-35.286099999999898</v>
      </c>
      <c r="AD2389">
        <v>-1.109778564512</v>
      </c>
      <c r="AE2389">
        <v>1.49369999999998</v>
      </c>
      <c r="AF2389">
        <v>1.1826999512888901</v>
      </c>
      <c r="AG2389">
        <v>-1.109778564512</v>
      </c>
      <c r="AH2389">
        <v>35.263035039963597</v>
      </c>
      <c r="AI2389">
        <v>91.801573505807895</v>
      </c>
      <c r="AJ2389">
        <v>88.0790557646162</v>
      </c>
      <c r="AK2389">
        <v>35.3003120080649</v>
      </c>
      <c r="AL2389">
        <v>87.385550415552103</v>
      </c>
      <c r="AM2389">
        <v>91.052686009141894</v>
      </c>
      <c r="AN2389">
        <v>1.00000000234001</v>
      </c>
    </row>
    <row r="2390" spans="1:40" x14ac:dyDescent="0.25">
      <c r="A2390" t="str">
        <f>"20190312151032530"</f>
        <v>20190312151032530</v>
      </c>
      <c r="B2390" t="str">
        <f>"1552374632523248"</f>
        <v>1552374632523248</v>
      </c>
      <c r="C2390" t="s">
        <v>40</v>
      </c>
      <c r="D2390">
        <v>5.7674209999999997</v>
      </c>
      <c r="E2390">
        <v>0.52042239999999995</v>
      </c>
      <c r="F2390" t="s">
        <v>52</v>
      </c>
      <c r="G2390">
        <v>-459.75080000000003</v>
      </c>
      <c r="H2390" s="1">
        <v>3.6358180000000001E-6</v>
      </c>
      <c r="I2390">
        <v>284.98910000000001</v>
      </c>
      <c r="J2390">
        <v>-425.1678</v>
      </c>
      <c r="K2390">
        <v>1.109772</v>
      </c>
      <c r="L2390">
        <v>283.5136</v>
      </c>
      <c r="M2390">
        <v>-0.99985299999999999</v>
      </c>
      <c r="N2390">
        <v>0</v>
      </c>
      <c r="O2390">
        <v>8.7780140000000006E-3</v>
      </c>
      <c r="P2390">
        <v>-0.99949310000000002</v>
      </c>
      <c r="Q2390">
        <v>3.0505839999999999E-2</v>
      </c>
      <c r="R2390">
        <v>-9.1159269999999994E-3</v>
      </c>
      <c r="S2390">
        <v>-3.0057369999999999</v>
      </c>
      <c r="T2390">
        <v>-9.5149869999999998E-2</v>
      </c>
      <c r="U2390">
        <v>0.12686159999999999</v>
      </c>
      <c r="V2390">
        <v>-1.7888169999999998E-2</v>
      </c>
      <c r="W2390">
        <v>4.5223369999999999E-2</v>
      </c>
      <c r="X2390">
        <v>0.9988167</v>
      </c>
      <c r="Y2390">
        <v>3.3383839999999998E-2</v>
      </c>
      <c r="Z2390">
        <v>2.5033459999999999E-4</v>
      </c>
      <c r="AA2390">
        <v>0.99944259999999996</v>
      </c>
      <c r="AB2390">
        <v>47</v>
      </c>
      <c r="AC2390">
        <v>-34.582999999999998</v>
      </c>
      <c r="AD2390">
        <v>-1.109768364182</v>
      </c>
      <c r="AE2390">
        <v>1.47550000000001</v>
      </c>
      <c r="AF2390">
        <v>1.17063685700737</v>
      </c>
      <c r="AG2390">
        <v>-1.109768364182</v>
      </c>
      <c r="AH2390">
        <v>34.559097493795797</v>
      </c>
      <c r="AI2390">
        <v>91.838207454038795</v>
      </c>
      <c r="AJ2390">
        <v>88.059934417806204</v>
      </c>
      <c r="AK2390">
        <v>34.596722331151597</v>
      </c>
      <c r="AL2390">
        <v>87.408007669820293</v>
      </c>
      <c r="AM2390">
        <v>91.026021177105406</v>
      </c>
      <c r="AN2390">
        <v>0.99999997000949703</v>
      </c>
    </row>
    <row r="2391" spans="1:40" x14ac:dyDescent="0.25">
      <c r="A2391" t="str">
        <f>"20190312151032551"</f>
        <v>20190312151032551</v>
      </c>
      <c r="B2391" t="str">
        <f>"1552374632542765"</f>
        <v>1552374632542765</v>
      </c>
      <c r="C2391" t="s">
        <v>40</v>
      </c>
      <c r="D2391">
        <v>5.3521700000000001</v>
      </c>
      <c r="E2391">
        <v>0.52034650000000005</v>
      </c>
      <c r="F2391" t="s">
        <v>52</v>
      </c>
      <c r="G2391">
        <v>-459.60770000000002</v>
      </c>
      <c r="H2391" s="1">
        <v>3.5598370000000002E-6</v>
      </c>
      <c r="I2391">
        <v>284.98500000000001</v>
      </c>
      <c r="J2391">
        <v>-425.6259</v>
      </c>
      <c r="K2391">
        <v>1.109775</v>
      </c>
      <c r="L2391">
        <v>283.51760000000002</v>
      </c>
      <c r="M2391">
        <v>-0.99985310000000005</v>
      </c>
      <c r="N2391">
        <v>0</v>
      </c>
      <c r="O2391">
        <v>8.7775600000000002E-3</v>
      </c>
      <c r="P2391">
        <v>-0.99949619999999995</v>
      </c>
      <c r="Q2391">
        <v>3.0522000000000001E-2</v>
      </c>
      <c r="R2391">
        <v>-8.7122569999999993E-3</v>
      </c>
      <c r="S2391">
        <v>-3.0056759999999998</v>
      </c>
      <c r="T2391">
        <v>-9.6853019999999998E-2</v>
      </c>
      <c r="U2391">
        <v>0.128418</v>
      </c>
      <c r="V2391">
        <v>-1.748475E-2</v>
      </c>
      <c r="W2391">
        <v>4.5237180000000002E-2</v>
      </c>
      <c r="X2391">
        <v>0.99882320000000002</v>
      </c>
      <c r="Y2391">
        <v>3.390104E-2</v>
      </c>
      <c r="Z2391">
        <v>2.631574E-4</v>
      </c>
      <c r="AA2391">
        <v>0.99942520000000001</v>
      </c>
      <c r="AB2391">
        <v>47</v>
      </c>
      <c r="AC2391">
        <v>-33.9818</v>
      </c>
      <c r="AD2391">
        <v>-1.1097714401629999</v>
      </c>
      <c r="AE2391">
        <v>1.46739999999999</v>
      </c>
      <c r="AF2391">
        <v>1.1677906721546401</v>
      </c>
      <c r="AG2391">
        <v>-1.1097714401629999</v>
      </c>
      <c r="AH2391">
        <v>33.957223109971501</v>
      </c>
      <c r="AI2391">
        <v>91.870738048467999</v>
      </c>
      <c r="AJ2391">
        <v>88.0303713895985</v>
      </c>
      <c r="AK2391">
        <v>33.995416294608802</v>
      </c>
      <c r="AL2391">
        <v>87.407215557479404</v>
      </c>
      <c r="AM2391">
        <v>91.002880259272402</v>
      </c>
      <c r="AN2391">
        <v>0.99999995189757596</v>
      </c>
    </row>
    <row r="2392" spans="1:40" x14ac:dyDescent="0.25">
      <c r="A2392" t="str">
        <f>"20190312151032573"</f>
        <v>20190312151032573</v>
      </c>
      <c r="B2392" t="str">
        <f>"1552374632563261"</f>
        <v>1552374632563261</v>
      </c>
      <c r="C2392" t="s">
        <v>40</v>
      </c>
      <c r="D2392">
        <v>5.3737550000000001</v>
      </c>
      <c r="E2392">
        <v>0.52031740000000004</v>
      </c>
      <c r="F2392" t="s">
        <v>52</v>
      </c>
      <c r="G2392">
        <v>-460.20060000000001</v>
      </c>
      <c r="H2392" s="1">
        <v>-1.4469380000000001E-6</v>
      </c>
      <c r="I2392">
        <v>285.00259999999997</v>
      </c>
      <c r="J2392">
        <v>-426.08850000000001</v>
      </c>
      <c r="K2392">
        <v>1.1097779999999999</v>
      </c>
      <c r="L2392">
        <v>283.52170000000001</v>
      </c>
      <c r="M2392">
        <v>-0.9998532</v>
      </c>
      <c r="N2392">
        <v>0</v>
      </c>
      <c r="O2392">
        <v>8.7774020000000001E-3</v>
      </c>
      <c r="P2392">
        <v>-0.99948429999999999</v>
      </c>
      <c r="Q2392">
        <v>3.0894990000000001E-2</v>
      </c>
      <c r="R2392">
        <v>-8.7736210000000005E-3</v>
      </c>
      <c r="S2392">
        <v>-3.0056150000000001</v>
      </c>
      <c r="T2392">
        <v>-9.6474050000000006E-2</v>
      </c>
      <c r="U2392">
        <v>0.12908939999999999</v>
      </c>
      <c r="V2392">
        <v>-1.7545419999999999E-2</v>
      </c>
      <c r="W2392">
        <v>4.5606830000000001E-2</v>
      </c>
      <c r="X2392">
        <v>0.99880539999999995</v>
      </c>
      <c r="Y2392">
        <v>3.4124889999999998E-2</v>
      </c>
      <c r="Z2392">
        <v>2.6572740000000003E-4</v>
      </c>
      <c r="AA2392">
        <v>0.99941749999999996</v>
      </c>
      <c r="AB2392">
        <v>47</v>
      </c>
      <c r="AC2392">
        <v>-34.112099999999998</v>
      </c>
      <c r="AD2392">
        <v>-1.109779446938</v>
      </c>
      <c r="AE2392">
        <v>1.4808999999999599</v>
      </c>
      <c r="AF2392">
        <v>1.18014816495841</v>
      </c>
      <c r="AG2392">
        <v>-1.109779446938</v>
      </c>
      <c r="AH2392">
        <v>34.087774326123501</v>
      </c>
      <c r="AI2392">
        <v>91.863577077544207</v>
      </c>
      <c r="AJ2392">
        <v>88.017162626251505</v>
      </c>
      <c r="AK2392">
        <v>34.126246770203501</v>
      </c>
      <c r="AL2392">
        <v>87.386014482901501</v>
      </c>
      <c r="AM2392">
        <v>91.006377350836303</v>
      </c>
      <c r="AN2392">
        <v>1.00000002588739</v>
      </c>
    </row>
    <row r="2393" spans="1:40" x14ac:dyDescent="0.25">
      <c r="A2393" t="str">
        <f>"20190312151032596"</f>
        <v>20190312151032596</v>
      </c>
      <c r="B2393" t="str">
        <f>"1552374632593518"</f>
        <v>1552374632593518</v>
      </c>
      <c r="C2393" t="s">
        <v>40</v>
      </c>
      <c r="D2393">
        <v>5.3726459999999996</v>
      </c>
      <c r="E2393">
        <v>0.52024689999999996</v>
      </c>
      <c r="F2393" t="s">
        <v>52</v>
      </c>
      <c r="G2393">
        <v>-460.96719999999999</v>
      </c>
      <c r="H2393" s="1">
        <v>-1.0396359999999999E-6</v>
      </c>
      <c r="I2393">
        <v>285.01729999999998</v>
      </c>
      <c r="J2393">
        <v>-426.5607</v>
      </c>
      <c r="K2393">
        <v>1.1097760000000001</v>
      </c>
      <c r="L2393">
        <v>283.52589999999998</v>
      </c>
      <c r="M2393">
        <v>-0.9998532</v>
      </c>
      <c r="N2393">
        <v>0</v>
      </c>
      <c r="O2393">
        <v>8.7772470000000002E-3</v>
      </c>
      <c r="P2393">
        <v>-0.9994885</v>
      </c>
      <c r="Q2393">
        <v>3.0582390000000001E-2</v>
      </c>
      <c r="R2393">
        <v>-9.3689270000000009E-3</v>
      </c>
      <c r="S2393">
        <v>-3.0056150000000001</v>
      </c>
      <c r="T2393">
        <v>-9.5633389999999999E-2</v>
      </c>
      <c r="U2393">
        <v>0.12887570000000001</v>
      </c>
      <c r="V2393">
        <v>-1.814054E-2</v>
      </c>
      <c r="W2393">
        <v>4.529101E-2</v>
      </c>
      <c r="X2393">
        <v>0.99880910000000001</v>
      </c>
      <c r="Y2393">
        <v>3.405441E-2</v>
      </c>
      <c r="Z2393">
        <v>2.6229790000000002E-4</v>
      </c>
      <c r="AA2393">
        <v>0.99941990000000003</v>
      </c>
      <c r="AB2393">
        <v>47</v>
      </c>
      <c r="AC2393">
        <v>-34.406499999999902</v>
      </c>
      <c r="AD2393">
        <v>-1.1097770396360001</v>
      </c>
      <c r="AE2393">
        <v>1.4913999999999901</v>
      </c>
      <c r="AF2393">
        <v>1.1880817526782299</v>
      </c>
      <c r="AG2393">
        <v>-1.1097770396360001</v>
      </c>
      <c r="AH2393">
        <v>34.382562430505097</v>
      </c>
      <c r="AI2393">
        <v>91.847610532852997</v>
      </c>
      <c r="AJ2393">
        <v>88.020944592090501</v>
      </c>
      <c r="AK2393">
        <v>34.420978234447801</v>
      </c>
      <c r="AL2393">
        <v>87.404128251021902</v>
      </c>
      <c r="AM2393">
        <v>91.040501251221798</v>
      </c>
      <c r="AN2393">
        <v>0.99999998651055999</v>
      </c>
    </row>
    <row r="2394" spans="1:40" x14ac:dyDescent="0.25">
      <c r="A2394" t="str">
        <f>"20190312151032619"</f>
        <v>20190312151032619</v>
      </c>
      <c r="B2394" t="str">
        <f>"1552374632613037"</f>
        <v>1552374632613037</v>
      </c>
      <c r="C2394" t="s">
        <v>40</v>
      </c>
      <c r="D2394">
        <v>5.3296760000000001</v>
      </c>
      <c r="E2394">
        <v>0.49894640000000001</v>
      </c>
      <c r="F2394" t="s">
        <v>52</v>
      </c>
      <c r="G2394">
        <v>-460.61090000000002</v>
      </c>
      <c r="H2394" s="1">
        <v>-1.2266620000000001E-6</v>
      </c>
      <c r="I2394">
        <v>284.95850000000002</v>
      </c>
      <c r="J2394">
        <v>-427.02969999999999</v>
      </c>
      <c r="K2394">
        <v>1.1097729999999999</v>
      </c>
      <c r="L2394">
        <v>283.52999999999997</v>
      </c>
      <c r="M2394">
        <v>-0.9998532</v>
      </c>
      <c r="N2394">
        <v>0</v>
      </c>
      <c r="O2394">
        <v>8.7770890000000001E-3</v>
      </c>
      <c r="P2394">
        <v>-0.99948329999999996</v>
      </c>
      <c r="Q2394">
        <v>3.0658129999999999E-2</v>
      </c>
      <c r="R2394">
        <v>-9.6496099999999994E-3</v>
      </c>
      <c r="S2394">
        <v>-3.0057369999999999</v>
      </c>
      <c r="T2394">
        <v>-9.7964289999999996E-2</v>
      </c>
      <c r="U2394">
        <v>0.12646479999999999</v>
      </c>
      <c r="V2394">
        <v>-1.8421469999999999E-2</v>
      </c>
      <c r="W2394">
        <v>4.5363899999999999E-2</v>
      </c>
      <c r="X2394">
        <v>0.99880060000000004</v>
      </c>
      <c r="Y2394">
        <v>3.3252429999999999E-2</v>
      </c>
      <c r="Z2394">
        <v>2.5562609999999999E-4</v>
      </c>
      <c r="AA2394">
        <v>0.99944690000000003</v>
      </c>
      <c r="AB2394">
        <v>47</v>
      </c>
      <c r="AC2394">
        <v>-33.581200000000003</v>
      </c>
      <c r="AD2394">
        <v>-1.1097742266620001</v>
      </c>
      <c r="AE2394">
        <v>1.4285000000000401</v>
      </c>
      <c r="AF2394">
        <v>1.13243332698359</v>
      </c>
      <c r="AG2394">
        <v>-1.1097742266620001</v>
      </c>
      <c r="AH2394">
        <v>33.555864239615197</v>
      </c>
      <c r="AI2394">
        <v>91.893143704718796</v>
      </c>
      <c r="AJ2394">
        <v>88.067132635463807</v>
      </c>
      <c r="AK2394">
        <v>33.593303334767697</v>
      </c>
      <c r="AL2394">
        <v>87.399947533999807</v>
      </c>
      <c r="AM2394">
        <v>91.056620139404501</v>
      </c>
      <c r="AN2394">
        <v>0.99999993627026296</v>
      </c>
    </row>
    <row r="2395" spans="1:40" x14ac:dyDescent="0.25">
      <c r="A2395" t="str">
        <f>"20190312151032641"</f>
        <v>20190312151032641</v>
      </c>
      <c r="B2395" t="str">
        <f>"1552374632633533"</f>
        <v>1552374632633533</v>
      </c>
      <c r="C2395" t="s">
        <v>40</v>
      </c>
      <c r="D2395">
        <v>5.493163</v>
      </c>
      <c r="E2395">
        <v>0.49535050000000003</v>
      </c>
      <c r="F2395" t="s">
        <v>52</v>
      </c>
      <c r="G2395">
        <v>-447.84750000000003</v>
      </c>
      <c r="H2395" s="1">
        <v>2.7008780000000001E-6</v>
      </c>
      <c r="I2395">
        <v>283.20620000000002</v>
      </c>
      <c r="J2395">
        <v>-427.49169999999998</v>
      </c>
      <c r="K2395">
        <v>1.1097669999999999</v>
      </c>
      <c r="L2395">
        <v>283.53399999999999</v>
      </c>
      <c r="M2395">
        <v>-0.99985329999999994</v>
      </c>
      <c r="N2395">
        <v>0</v>
      </c>
      <c r="O2395">
        <v>8.7769330000000007E-3</v>
      </c>
      <c r="P2395">
        <v>-0.99948559999999997</v>
      </c>
      <c r="Q2395">
        <v>3.0275699999999999E-2</v>
      </c>
      <c r="R2395">
        <v>-1.059391E-2</v>
      </c>
      <c r="S2395">
        <v>-3.0060120000000001</v>
      </c>
      <c r="T2395">
        <v>-0.16024669999999999</v>
      </c>
      <c r="U2395">
        <v>-4.6752929999999998E-2</v>
      </c>
      <c r="V2395">
        <v>-1.9365279999999999E-2</v>
      </c>
      <c r="W2395">
        <v>4.4978520000000001E-2</v>
      </c>
      <c r="X2395">
        <v>0.99880020000000003</v>
      </c>
      <c r="Y2395">
        <v>-2.428056E-2</v>
      </c>
      <c r="Z2395">
        <v>-1.114266E-3</v>
      </c>
      <c r="AA2395">
        <v>0.9997045</v>
      </c>
      <c r="AB2395">
        <v>46</v>
      </c>
      <c r="AC2395">
        <v>-20.355799999999999</v>
      </c>
      <c r="AD2395">
        <v>-1.109764299122</v>
      </c>
      <c r="AE2395">
        <v>-0.32779999999996701</v>
      </c>
      <c r="AF2395">
        <v>-0.50496769266007102</v>
      </c>
      <c r="AG2395">
        <v>-1.109764299122</v>
      </c>
      <c r="AH2395">
        <v>20.2918416114472</v>
      </c>
      <c r="AI2395">
        <v>93.129430561151693</v>
      </c>
      <c r="AJ2395">
        <v>91.425525979712006</v>
      </c>
      <c r="AK2395">
        <v>20.3284383353541</v>
      </c>
      <c r="AL2395">
        <v>87.422050807001895</v>
      </c>
      <c r="AM2395">
        <v>91.1107424810412</v>
      </c>
      <c r="AN2395">
        <v>0.99999996042545303</v>
      </c>
    </row>
    <row r="2396" spans="1:40" x14ac:dyDescent="0.25">
      <c r="A2396" t="str">
        <f>"20190312151032663"</f>
        <v>20190312151032663</v>
      </c>
      <c r="B2396" t="str">
        <f>"1552374632653053"</f>
        <v>1552374632653053</v>
      </c>
      <c r="C2396" t="s">
        <v>40</v>
      </c>
      <c r="D2396">
        <v>5.3967830000000001</v>
      </c>
      <c r="E2396">
        <v>0.4921373</v>
      </c>
      <c r="F2396" t="s">
        <v>52</v>
      </c>
      <c r="G2396">
        <v>-448.43169999999998</v>
      </c>
      <c r="H2396" s="1">
        <v>3.021315E-6</v>
      </c>
      <c r="I2396">
        <v>282.98840000000001</v>
      </c>
      <c r="J2396">
        <v>-427.95089999999999</v>
      </c>
      <c r="K2396">
        <v>1.109769</v>
      </c>
      <c r="L2396">
        <v>283.53800000000001</v>
      </c>
      <c r="M2396">
        <v>-0.99985329999999994</v>
      </c>
      <c r="N2396">
        <v>0</v>
      </c>
      <c r="O2396">
        <v>8.7768350000000002E-3</v>
      </c>
      <c r="P2396">
        <v>-0.99947889999999995</v>
      </c>
      <c r="Q2396">
        <v>3.0433740000000001E-2</v>
      </c>
      <c r="R2396">
        <v>-1.0759990000000001E-2</v>
      </c>
      <c r="S2396">
        <v>-3.005585</v>
      </c>
      <c r="T2396">
        <v>-0.15928789999999901</v>
      </c>
      <c r="U2396">
        <v>-7.830811E-2</v>
      </c>
      <c r="V2396">
        <v>-1.9531360000000001E-2</v>
      </c>
      <c r="W2396">
        <v>4.5133340000000001E-2</v>
      </c>
      <c r="X2396">
        <v>0.99878999999999996</v>
      </c>
      <c r="Y2396">
        <v>-3.4758110000000002E-2</v>
      </c>
      <c r="Z2396">
        <v>-1.3850449999999999E-3</v>
      </c>
      <c r="AA2396">
        <v>0.99939480000000003</v>
      </c>
      <c r="AB2396">
        <v>46</v>
      </c>
      <c r="AC2396">
        <v>-20.480799999999899</v>
      </c>
      <c r="AD2396">
        <v>-1.109765978685</v>
      </c>
      <c r="AE2396">
        <v>-0.54959999999999798</v>
      </c>
      <c r="AF2396">
        <v>-0.72722122796621802</v>
      </c>
      <c r="AG2396">
        <v>-1.109765978685</v>
      </c>
      <c r="AH2396">
        <v>20.415288757617599</v>
      </c>
      <c r="AI2396">
        <v>93.109542272500306</v>
      </c>
      <c r="AJ2396">
        <v>92.040093462477202</v>
      </c>
      <c r="AK2396">
        <v>20.4583588368852</v>
      </c>
      <c r="AL2396">
        <v>87.413171302715298</v>
      </c>
      <c r="AM2396">
        <v>91.120277421550497</v>
      </c>
      <c r="AN2396">
        <v>0.999999978251502</v>
      </c>
    </row>
    <row r="2397" spans="1:40" x14ac:dyDescent="0.25">
      <c r="A2397" t="str">
        <f>"20190312151032686"</f>
        <v>20190312151032686</v>
      </c>
      <c r="B2397" t="str">
        <f>"1552374632683310"</f>
        <v>1552374632683310</v>
      </c>
      <c r="C2397" t="s">
        <v>40</v>
      </c>
      <c r="D2397">
        <v>5.3378589999999999</v>
      </c>
      <c r="E2397">
        <v>0.4899058</v>
      </c>
      <c r="F2397" t="s">
        <v>52</v>
      </c>
      <c r="G2397">
        <v>-447.03019999999998</v>
      </c>
      <c r="H2397" s="1">
        <v>2.2805570000000001E-6</v>
      </c>
      <c r="I2397">
        <v>282.87259999999998</v>
      </c>
      <c r="J2397">
        <v>-428.4151</v>
      </c>
      <c r="K2397">
        <v>1.109772</v>
      </c>
      <c r="L2397">
        <v>283.5421</v>
      </c>
      <c r="M2397">
        <v>-0.9998534</v>
      </c>
      <c r="N2397">
        <v>0</v>
      </c>
      <c r="O2397">
        <v>8.7764990000000001E-3</v>
      </c>
      <c r="P2397">
        <v>-0.9994788</v>
      </c>
      <c r="Q2397">
        <v>3.034013E-2</v>
      </c>
      <c r="R2397">
        <v>-1.1040029999999999E-2</v>
      </c>
      <c r="S2397">
        <v>-3.0057369999999999</v>
      </c>
      <c r="T2397">
        <v>-0.1748314</v>
      </c>
      <c r="U2397">
        <v>-0.1048279</v>
      </c>
      <c r="V2397">
        <v>-1.9810540000000001E-2</v>
      </c>
      <c r="W2397">
        <v>4.5037109999999998E-2</v>
      </c>
      <c r="X2397">
        <v>0.99878889999999998</v>
      </c>
      <c r="Y2397">
        <v>-4.3537190000000003E-2</v>
      </c>
      <c r="Z2397">
        <v>-1.7747139999999999E-3</v>
      </c>
      <c r="AA2397">
        <v>0.99905029999999995</v>
      </c>
      <c r="AB2397">
        <v>46</v>
      </c>
      <c r="AC2397">
        <v>-18.615099999999899</v>
      </c>
      <c r="AD2397">
        <v>-1.1097697194430001</v>
      </c>
      <c r="AE2397">
        <v>-0.66950000000002696</v>
      </c>
      <c r="AF2397">
        <v>-0.82992142589369799</v>
      </c>
      <c r="AG2397">
        <v>-1.1097697194430001</v>
      </c>
      <c r="AH2397">
        <v>18.5426881546129</v>
      </c>
      <c r="AI2397">
        <v>93.421618184126501</v>
      </c>
      <c r="AJ2397">
        <v>92.562696468195696</v>
      </c>
      <c r="AK2397">
        <v>18.594398145747299</v>
      </c>
      <c r="AL2397">
        <v>87.418690628733899</v>
      </c>
      <c r="AM2397">
        <v>91.136287677039704</v>
      </c>
      <c r="AN2397">
        <v>1.0000000327677201</v>
      </c>
    </row>
    <row r="2398" spans="1:40" x14ac:dyDescent="0.25">
      <c r="A2398" t="str">
        <f>"20190312151032707"</f>
        <v>20190312151032707</v>
      </c>
      <c r="B2398" t="str">
        <f>"1552374632702829"</f>
        <v>1552374632702829</v>
      </c>
      <c r="C2398" t="s">
        <v>40</v>
      </c>
      <c r="D2398">
        <v>5.8559830000000002</v>
      </c>
      <c r="E2398">
        <v>0.48936960000000002</v>
      </c>
      <c r="F2398" t="s">
        <v>52</v>
      </c>
      <c r="G2398">
        <v>-445.40960000000001</v>
      </c>
      <c r="H2398" s="1">
        <v>1.4195769999999999E-6</v>
      </c>
      <c r="I2398">
        <v>282.8399</v>
      </c>
      <c r="J2398">
        <v>-428.87520000000001</v>
      </c>
      <c r="K2398">
        <v>1.1097779999999999</v>
      </c>
      <c r="L2398">
        <v>283.54610000000002</v>
      </c>
      <c r="M2398">
        <v>-0.99985349999999995</v>
      </c>
      <c r="N2398">
        <v>0</v>
      </c>
      <c r="O2398">
        <v>8.776163E-3</v>
      </c>
      <c r="P2398">
        <v>-0.99948159999999997</v>
      </c>
      <c r="Q2398">
        <v>3.0084699999999999E-2</v>
      </c>
      <c r="R2398">
        <v>-1.147171E-2</v>
      </c>
      <c r="S2398">
        <v>-3.0061650000000002</v>
      </c>
      <c r="T2398">
        <v>-0.19630790000000001</v>
      </c>
      <c r="U2398">
        <v>-0.1242065</v>
      </c>
      <c r="V2398">
        <v>-2.0242260000000002E-2</v>
      </c>
      <c r="W2398">
        <v>4.4778449999999997E-2</v>
      </c>
      <c r="X2398">
        <v>0.99879180000000001</v>
      </c>
      <c r="Y2398">
        <v>-4.9925270000000001E-2</v>
      </c>
      <c r="Z2398">
        <v>-2.2000069999999999E-3</v>
      </c>
      <c r="AA2398">
        <v>0.99875049999999999</v>
      </c>
      <c r="AB2398">
        <v>46</v>
      </c>
      <c r="AC2398">
        <v>-16.534400000000002</v>
      </c>
      <c r="AD2398">
        <v>-1.109776580423</v>
      </c>
      <c r="AE2398">
        <v>-0.70620000000002303</v>
      </c>
      <c r="AF2398">
        <v>-0.84748609034669198</v>
      </c>
      <c r="AG2398">
        <v>-1.109776580423</v>
      </c>
      <c r="AH2398">
        <v>16.453576412048101</v>
      </c>
      <c r="AI2398">
        <v>93.853603077568494</v>
      </c>
      <c r="AJ2398">
        <v>92.948568843506905</v>
      </c>
      <c r="AK2398">
        <v>16.5127227760564</v>
      </c>
      <c r="AL2398">
        <v>87.433525532289096</v>
      </c>
      <c r="AM2398">
        <v>91.161040081621195</v>
      </c>
      <c r="AN2398">
        <v>0.999999959210774</v>
      </c>
    </row>
    <row r="2399" spans="1:40" x14ac:dyDescent="0.25">
      <c r="A2399" t="str">
        <f>"20190312151032730"</f>
        <v>20190312151032730</v>
      </c>
      <c r="B2399" t="str">
        <f>"1552374632723328"</f>
        <v>1552374632723328</v>
      </c>
      <c r="C2399" t="s">
        <v>40</v>
      </c>
      <c r="D2399">
        <v>5.4293990000000001</v>
      </c>
      <c r="E2399">
        <v>0.4891548</v>
      </c>
      <c r="F2399" t="s">
        <v>52</v>
      </c>
      <c r="G2399">
        <v>-444.99439999999998</v>
      </c>
      <c r="H2399" s="1">
        <v>1.1982870000000001E-6</v>
      </c>
      <c r="I2399">
        <v>282.84840000000003</v>
      </c>
      <c r="J2399">
        <v>-429.33409999999998</v>
      </c>
      <c r="K2399">
        <v>1.109785</v>
      </c>
      <c r="L2399">
        <v>283.55020000000002</v>
      </c>
      <c r="M2399">
        <v>-0.99985360000000001</v>
      </c>
      <c r="N2399">
        <v>0</v>
      </c>
      <c r="O2399">
        <v>8.7760659999999904E-3</v>
      </c>
      <c r="P2399">
        <v>-0.99947589999999997</v>
      </c>
      <c r="Q2399">
        <v>3.0314049999999999E-2</v>
      </c>
      <c r="R2399">
        <v>-1.137731E-2</v>
      </c>
      <c r="S2399">
        <v>-3.0062869999999999</v>
      </c>
      <c r="T2399">
        <v>-0.20697670000000001</v>
      </c>
      <c r="U2399">
        <v>-0.13012699999999999</v>
      </c>
      <c r="V2399">
        <v>-2.014728E-2</v>
      </c>
      <c r="W2399">
        <v>4.500473E-2</v>
      </c>
      <c r="X2399">
        <v>0.99878359999999999</v>
      </c>
      <c r="Y2399">
        <v>-5.1868289999999997E-2</v>
      </c>
      <c r="Z2399">
        <v>-2.3858759999999999E-3</v>
      </c>
      <c r="AA2399">
        <v>0.99865110000000001</v>
      </c>
      <c r="AB2399">
        <v>46</v>
      </c>
      <c r="AC2399">
        <v>-15.660299999999999</v>
      </c>
      <c r="AD2399">
        <v>-1.109783801713</v>
      </c>
      <c r="AE2399">
        <v>-0.70179999999999099</v>
      </c>
      <c r="AF2399">
        <v>-0.83503846567016904</v>
      </c>
      <c r="AG2399">
        <v>-1.109783801713</v>
      </c>
      <c r="AH2399">
        <v>15.5754738397082</v>
      </c>
      <c r="AI2399">
        <v>94.069726813714794</v>
      </c>
      <c r="AJ2399">
        <v>93.068826018684206</v>
      </c>
      <c r="AK2399">
        <v>15.6372726092861</v>
      </c>
      <c r="AL2399">
        <v>87.420547688015503</v>
      </c>
      <c r="AM2399">
        <v>91.155603256941006</v>
      </c>
      <c r="AN2399">
        <v>1.0000000091213599</v>
      </c>
    </row>
    <row r="2400" spans="1:40" x14ac:dyDescent="0.25">
      <c r="A2400" t="str">
        <f>"20190312151032752"</f>
        <v>20190312151032752</v>
      </c>
      <c r="B2400" t="str">
        <f>"1552374632742845"</f>
        <v>1552374632742845</v>
      </c>
      <c r="C2400" t="s">
        <v>40</v>
      </c>
      <c r="D2400">
        <v>5.3655039999999996</v>
      </c>
      <c r="E2400">
        <v>0.48897030000000002</v>
      </c>
      <c r="F2400" t="s">
        <v>52</v>
      </c>
      <c r="G2400">
        <v>-445.55430000000001</v>
      </c>
      <c r="H2400" s="1">
        <v>1.4965260000000001E-6</v>
      </c>
      <c r="I2400">
        <v>282.84089999999998</v>
      </c>
      <c r="J2400">
        <v>-429.80930000000001</v>
      </c>
      <c r="K2400">
        <v>1.109788</v>
      </c>
      <c r="L2400">
        <v>283.55430000000001</v>
      </c>
      <c r="M2400">
        <v>-0.9998534</v>
      </c>
      <c r="N2400">
        <v>0</v>
      </c>
      <c r="O2400">
        <v>8.7760879999999996E-3</v>
      </c>
      <c r="P2400">
        <v>-0.99946120000000005</v>
      </c>
      <c r="Q2400">
        <v>3.0715059999999999E-2</v>
      </c>
      <c r="R2400">
        <v>-1.1569690000000001E-2</v>
      </c>
      <c r="S2400">
        <v>-3.006348</v>
      </c>
      <c r="T2400">
        <v>-0.20569470000000001</v>
      </c>
      <c r="U2400">
        <v>-0.13146969999999999</v>
      </c>
      <c r="V2400">
        <v>-2.0339800000000002E-2</v>
      </c>
      <c r="W2400">
        <v>4.5402480000000002E-2</v>
      </c>
      <c r="X2400">
        <v>0.99876169999999997</v>
      </c>
      <c r="Y2400">
        <v>-5.2313369999999998E-2</v>
      </c>
      <c r="Z2400">
        <v>-2.3862649999999998E-3</v>
      </c>
      <c r="AA2400">
        <v>0.99862779999999995</v>
      </c>
      <c r="AB2400">
        <v>46</v>
      </c>
      <c r="AC2400">
        <v>-15.744999999999999</v>
      </c>
      <c r="AD2400">
        <v>-1.109786503474</v>
      </c>
      <c r="AE2400">
        <v>-0.71340000000003501</v>
      </c>
      <c r="AF2400">
        <v>-0.84736575881837695</v>
      </c>
      <c r="AG2400">
        <v>-1.109786503474</v>
      </c>
      <c r="AH2400">
        <v>15.6604879350073</v>
      </c>
      <c r="AI2400">
        <v>94.047609974039005</v>
      </c>
      <c r="AJ2400">
        <v>93.097169386959095</v>
      </c>
      <c r="AK2400">
        <v>15.7226122885168</v>
      </c>
      <c r="AL2400">
        <v>87.397734982643598</v>
      </c>
      <c r="AM2400">
        <v>91.166668313388399</v>
      </c>
      <c r="AN2400">
        <v>1.00000001302054</v>
      </c>
    </row>
    <row r="2401" spans="1:40" x14ac:dyDescent="0.25">
      <c r="A2401" t="str">
        <f>"20190312151032767"</f>
        <v>20190312151032767</v>
      </c>
      <c r="B2401" t="str">
        <f>"1552374632763341"</f>
        <v>1552374632763341</v>
      </c>
      <c r="C2401" t="s">
        <v>40</v>
      </c>
      <c r="D2401">
        <v>5.4022129999999997</v>
      </c>
      <c r="E2401">
        <v>0.48874689999999998</v>
      </c>
      <c r="F2401" t="s">
        <v>52</v>
      </c>
      <c r="G2401">
        <v>-446.0181</v>
      </c>
      <c r="H2401" s="1">
        <v>1.743648E-6</v>
      </c>
      <c r="I2401">
        <v>282.83449999999999</v>
      </c>
      <c r="J2401">
        <v>-430.09519999999998</v>
      </c>
      <c r="K2401">
        <v>1.1097889999999999</v>
      </c>
      <c r="L2401">
        <v>283.55689999999998</v>
      </c>
      <c r="M2401">
        <v>-0.99985360000000001</v>
      </c>
      <c r="N2401">
        <v>0</v>
      </c>
      <c r="O2401">
        <v>8.7759239999999992E-3</v>
      </c>
      <c r="P2401">
        <v>-0.99945589999999995</v>
      </c>
      <c r="Q2401">
        <v>3.0748589999999999E-2</v>
      </c>
      <c r="R2401">
        <v>-1.193495E-2</v>
      </c>
      <c r="S2401">
        <v>-3.0063780000000002</v>
      </c>
      <c r="T2401">
        <v>-0.20584060000000001</v>
      </c>
      <c r="U2401">
        <v>-0.13351440000000001</v>
      </c>
      <c r="V2401">
        <v>-2.0705049999999999E-2</v>
      </c>
      <c r="W2401">
        <v>4.5433910000000001E-2</v>
      </c>
      <c r="X2401">
        <v>0.9987528</v>
      </c>
      <c r="Y2401">
        <v>-5.2988830000000001E-2</v>
      </c>
      <c r="Z2401">
        <v>-2.4109689999999998E-3</v>
      </c>
      <c r="AA2401">
        <v>0.99859219999999904</v>
      </c>
      <c r="AB2401">
        <v>46</v>
      </c>
      <c r="AC2401">
        <v>-15.9229</v>
      </c>
      <c r="AD2401">
        <v>-1.1097872563519999</v>
      </c>
      <c r="AE2401">
        <v>-0.72239999999999305</v>
      </c>
      <c r="AF2401">
        <v>-0.85796618875111996</v>
      </c>
      <c r="AG2401">
        <v>-1.1097872563519999</v>
      </c>
      <c r="AH2401">
        <v>15.8391616429022</v>
      </c>
      <c r="AI2401">
        <v>94.002090135873303</v>
      </c>
      <c r="AJ2401">
        <v>93.100533287438594</v>
      </c>
      <c r="AK2401">
        <v>15.901156413461999</v>
      </c>
      <c r="AL2401">
        <v>87.395932405639201</v>
      </c>
      <c r="AM2401">
        <v>91.187623279895206</v>
      </c>
      <c r="AN2401">
        <v>1.0000000473906101</v>
      </c>
    </row>
    <row r="2402" spans="1:40" x14ac:dyDescent="0.25">
      <c r="A2402" t="str">
        <f>"20190312151032785"</f>
        <v>20190312151032785</v>
      </c>
      <c r="B2402" t="str">
        <f>"1552374632782862"</f>
        <v>1552374632782862</v>
      </c>
      <c r="C2402" t="s">
        <v>40</v>
      </c>
      <c r="D2402">
        <v>5.6070929999999999</v>
      </c>
      <c r="E2402">
        <v>0.48834369999999999</v>
      </c>
      <c r="F2402" t="s">
        <v>52</v>
      </c>
      <c r="G2402">
        <v>-446.09129999999999</v>
      </c>
      <c r="H2402" s="1">
        <v>1.7827140000000001E-6</v>
      </c>
      <c r="I2402">
        <v>282.83120000000002</v>
      </c>
      <c r="J2402">
        <v>-430.48739999999998</v>
      </c>
      <c r="K2402">
        <v>1.1097870000000001</v>
      </c>
      <c r="L2402">
        <v>283.56029999999998</v>
      </c>
      <c r="M2402">
        <v>-0.99985360000000001</v>
      </c>
      <c r="N2402">
        <v>0</v>
      </c>
      <c r="O2402">
        <v>8.7757640000000001E-3</v>
      </c>
      <c r="P2402">
        <v>-0.99946270000000004</v>
      </c>
      <c r="Q2402">
        <v>3.0345759999999999E-2</v>
      </c>
      <c r="R2402">
        <v>-1.2407929999999999E-2</v>
      </c>
      <c r="S2402">
        <v>-3.0063780000000002</v>
      </c>
      <c r="T2402">
        <v>-0.2085793</v>
      </c>
      <c r="U2402">
        <v>-0.13638310000000001</v>
      </c>
      <c r="V2402">
        <v>-2.1177870000000001E-2</v>
      </c>
      <c r="W2402">
        <v>4.5028539999999999E-2</v>
      </c>
      <c r="X2402">
        <v>0.99876120000000002</v>
      </c>
      <c r="Y2402">
        <v>-5.3933469999999997E-2</v>
      </c>
      <c r="Z2402">
        <v>-2.4756209999999999E-3</v>
      </c>
      <c r="AA2402">
        <v>0.99854149999999997</v>
      </c>
      <c r="AB2402">
        <v>46</v>
      </c>
      <c r="AC2402">
        <v>-15.603899999999999</v>
      </c>
      <c r="AD2402">
        <v>-1.1097852172859901</v>
      </c>
      <c r="AE2402">
        <v>-0.729099999999959</v>
      </c>
      <c r="AF2402">
        <v>-0.86167365879420299</v>
      </c>
      <c r="AG2402">
        <v>-1.1097852172859901</v>
      </c>
      <c r="AH2402">
        <v>15.5185720571166</v>
      </c>
      <c r="AI2402">
        <v>94.084180365176096</v>
      </c>
      <c r="AJ2402">
        <v>93.178103001718895</v>
      </c>
      <c r="AK2402">
        <v>15.5820468300761</v>
      </c>
      <c r="AL2402">
        <v>87.419182075598997</v>
      </c>
      <c r="AM2402">
        <v>91.214725566301794</v>
      </c>
      <c r="AN2402">
        <v>1.0000000031088501</v>
      </c>
    </row>
    <row r="2403" spans="1:40" x14ac:dyDescent="0.25">
      <c r="A2403" t="str">
        <f>"20190312151032809"</f>
        <v>20190312151032809</v>
      </c>
      <c r="B2403" t="str">
        <f>"1552374632803357"</f>
        <v>1552374632803357</v>
      </c>
      <c r="C2403" t="s">
        <v>40</v>
      </c>
      <c r="D2403">
        <v>5.4376519999999999</v>
      </c>
      <c r="E2403">
        <v>0.48821629999999999</v>
      </c>
      <c r="F2403" t="s">
        <v>52</v>
      </c>
      <c r="G2403">
        <v>-446.12740000000002</v>
      </c>
      <c r="H2403" s="1">
        <v>1.802198E-6</v>
      </c>
      <c r="I2403">
        <v>282.8254</v>
      </c>
      <c r="J2403">
        <v>-430.9633</v>
      </c>
      <c r="K2403">
        <v>1.109791</v>
      </c>
      <c r="L2403">
        <v>283.56450000000001</v>
      </c>
      <c r="M2403">
        <v>-0.99985360000000001</v>
      </c>
      <c r="N2403">
        <v>0</v>
      </c>
      <c r="O2403">
        <v>8.7756099999999997E-3</v>
      </c>
      <c r="P2403">
        <v>-0.99946389999999996</v>
      </c>
      <c r="Q2403">
        <v>3.0059209999999999E-2</v>
      </c>
      <c r="R2403">
        <v>-1.298292E-2</v>
      </c>
      <c r="S2403">
        <v>-3.006348</v>
      </c>
      <c r="T2403">
        <v>-0.21332429999999999</v>
      </c>
      <c r="U2403">
        <v>-0.1412659</v>
      </c>
      <c r="V2403">
        <v>-2.1752500000000001E-2</v>
      </c>
      <c r="W2403">
        <v>4.473891E-2</v>
      </c>
      <c r="X2403">
        <v>0.99876189999999998</v>
      </c>
      <c r="Y2403">
        <v>-5.5541119999999999E-2</v>
      </c>
      <c r="Z2403">
        <v>-2.5886559999999999E-3</v>
      </c>
      <c r="AA2403">
        <v>0.99845300000000003</v>
      </c>
      <c r="AB2403">
        <v>46</v>
      </c>
      <c r="AC2403">
        <v>-15.164099999999999</v>
      </c>
      <c r="AD2403">
        <v>-1.109789197802</v>
      </c>
      <c r="AE2403">
        <v>-0.73910000000000697</v>
      </c>
      <c r="AF2403">
        <v>-0.86752459427293704</v>
      </c>
      <c r="AG2403">
        <v>-1.109789197802</v>
      </c>
      <c r="AH2403">
        <v>15.0764696839263</v>
      </c>
      <c r="AI2403">
        <v>94.203060786931502</v>
      </c>
      <c r="AJ2403">
        <v>93.293260869353105</v>
      </c>
      <c r="AK2403">
        <v>15.142132251290599</v>
      </c>
      <c r="AL2403">
        <v>87.435793480054798</v>
      </c>
      <c r="AM2403">
        <v>91.247674182381701</v>
      </c>
      <c r="AN2403">
        <v>1.0000000371079201</v>
      </c>
    </row>
    <row r="2404" spans="1:40" x14ac:dyDescent="0.25">
      <c r="A2404" t="str">
        <f>"20190312151032831"</f>
        <v>20190312151032831</v>
      </c>
      <c r="B2404" t="str">
        <f>"1552374632822876"</f>
        <v>1552374632822876</v>
      </c>
      <c r="C2404" t="s">
        <v>40</v>
      </c>
      <c r="D2404">
        <v>5.415082</v>
      </c>
      <c r="E2404">
        <v>0.48812830000000001</v>
      </c>
      <c r="F2404" t="s">
        <v>52</v>
      </c>
      <c r="G2404">
        <v>-446.37369999999999</v>
      </c>
      <c r="H2404" s="1">
        <v>1.9332369999999999E-6</v>
      </c>
      <c r="I2404">
        <v>282.8261</v>
      </c>
      <c r="J2404">
        <v>-431.42140000000001</v>
      </c>
      <c r="K2404">
        <v>1.1097919999999999</v>
      </c>
      <c r="L2404">
        <v>283.56849999999997</v>
      </c>
      <c r="M2404">
        <v>-0.99985369999999996</v>
      </c>
      <c r="N2404">
        <v>0</v>
      </c>
      <c r="O2404">
        <v>8.7752739999999996E-3</v>
      </c>
      <c r="P2404">
        <v>-0.99946449999999998</v>
      </c>
      <c r="Q2404">
        <v>2.995066E-2</v>
      </c>
      <c r="R2404">
        <v>-1.3179939999999999E-2</v>
      </c>
      <c r="S2404">
        <v>-3.006256</v>
      </c>
      <c r="T2404">
        <v>-0.21649779999999999</v>
      </c>
      <c r="U2404">
        <v>-0.144043</v>
      </c>
      <c r="V2404">
        <v>-2.1949300000000001E-2</v>
      </c>
      <c r="W2404">
        <v>4.4627439999999997E-2</v>
      </c>
      <c r="X2404">
        <v>0.9987625</v>
      </c>
      <c r="Y2404">
        <v>-5.6455270000000002E-2</v>
      </c>
      <c r="Z2404">
        <v>-2.6599219999999999E-3</v>
      </c>
      <c r="AA2404">
        <v>0.9984016</v>
      </c>
      <c r="AB2404">
        <v>46</v>
      </c>
      <c r="AC2404">
        <v>-14.9522999999999</v>
      </c>
      <c r="AD2404">
        <v>-1.1097900667630001</v>
      </c>
      <c r="AE2404">
        <v>-0.74239999999997497</v>
      </c>
      <c r="AF2404">
        <v>-0.86882159379903801</v>
      </c>
      <c r="AG2404">
        <v>-1.1097900667630001</v>
      </c>
      <c r="AH2404">
        <v>14.8635282207073</v>
      </c>
      <c r="AI2404">
        <v>94.262834779940505</v>
      </c>
      <c r="AJ2404">
        <v>93.345318156024405</v>
      </c>
      <c r="AK2404">
        <v>14.9302028158327</v>
      </c>
      <c r="AL2404">
        <v>87.442186417647605</v>
      </c>
      <c r="AM2404">
        <v>91.258957812341606</v>
      </c>
      <c r="AN2404">
        <v>0.99999995578884504</v>
      </c>
    </row>
    <row r="2405" spans="1:40" x14ac:dyDescent="0.25">
      <c r="A2405" t="str">
        <f>"20190312151032853"</f>
        <v>20190312151032853</v>
      </c>
      <c r="B2405" t="str">
        <f>"1552374632843373"</f>
        <v>1552374632843373</v>
      </c>
      <c r="C2405" t="s">
        <v>40</v>
      </c>
      <c r="D2405">
        <v>5.4196260000000001</v>
      </c>
      <c r="E2405">
        <v>0.48801430000000001</v>
      </c>
      <c r="F2405" t="s">
        <v>52</v>
      </c>
      <c r="G2405">
        <v>-446.67200000000003</v>
      </c>
      <c r="H2405" s="1">
        <v>2.0917600000000002E-6</v>
      </c>
      <c r="I2405">
        <v>282.83069999999998</v>
      </c>
      <c r="J2405">
        <v>-431.88119999999998</v>
      </c>
      <c r="K2405">
        <v>1.1097939999999999</v>
      </c>
      <c r="L2405">
        <v>283.57249999999999</v>
      </c>
      <c r="M2405">
        <v>-0.99985380000000001</v>
      </c>
      <c r="N2405">
        <v>0</v>
      </c>
      <c r="O2405">
        <v>8.7749980000000009E-3</v>
      </c>
      <c r="P2405">
        <v>-0.99947109999999995</v>
      </c>
      <c r="Q2405">
        <v>2.9613529999999999E-2</v>
      </c>
      <c r="R2405">
        <v>-1.345114E-2</v>
      </c>
      <c r="S2405">
        <v>-3.0062259999999998</v>
      </c>
      <c r="T2405">
        <v>-0.21876480000000001</v>
      </c>
      <c r="U2405">
        <v>-0.14544679999999999</v>
      </c>
      <c r="V2405">
        <v>-2.2220139999999999E-2</v>
      </c>
      <c r="W2405">
        <v>4.4287319999999998E-2</v>
      </c>
      <c r="X2405">
        <v>0.99877169999999904</v>
      </c>
      <c r="Y2405">
        <v>-5.6915849999999997E-2</v>
      </c>
      <c r="Z2405">
        <v>-2.704405E-3</v>
      </c>
      <c r="AA2405">
        <v>0.99837529999999997</v>
      </c>
      <c r="AB2405">
        <v>46</v>
      </c>
      <c r="AC2405">
        <v>-14.7907999999999</v>
      </c>
      <c r="AD2405">
        <v>-1.1097919082399901</v>
      </c>
      <c r="AE2405">
        <v>-0.74180000000001201</v>
      </c>
      <c r="AF2405">
        <v>-0.86670742985059301</v>
      </c>
      <c r="AG2405">
        <v>-1.1097919082399901</v>
      </c>
      <c r="AH2405">
        <v>14.7011621795706</v>
      </c>
      <c r="AI2405">
        <v>94.309620053162504</v>
      </c>
      <c r="AJ2405">
        <v>93.373968946695996</v>
      </c>
      <c r="AK2405">
        <v>14.7684457299538</v>
      </c>
      <c r="AL2405">
        <v>87.461693270853701</v>
      </c>
      <c r="AM2405">
        <v>91.274475699522995</v>
      </c>
      <c r="AN2405">
        <v>1.0000000050276401</v>
      </c>
    </row>
    <row r="2406" spans="1:40" x14ac:dyDescent="0.25">
      <c r="A2406" t="str">
        <f>"20190312151032899"</f>
        <v>20190312151032899</v>
      </c>
      <c r="B2406" t="str">
        <f>"1552374632893149"</f>
        <v>1552374632893149</v>
      </c>
      <c r="C2406" t="s">
        <v>40</v>
      </c>
      <c r="D2406">
        <v>5.3627960000000003</v>
      </c>
      <c r="E2406">
        <v>0.48781400000000003</v>
      </c>
      <c r="F2406" t="s">
        <v>52</v>
      </c>
      <c r="G2406">
        <v>-446.86180000000002</v>
      </c>
      <c r="H2406" s="1">
        <v>2.192372E-6</v>
      </c>
      <c r="I2406">
        <v>282.83940000000001</v>
      </c>
      <c r="J2406">
        <v>-432.80130000000003</v>
      </c>
      <c r="K2406">
        <v>1.109809</v>
      </c>
      <c r="L2406">
        <v>283.5806</v>
      </c>
      <c r="M2406">
        <v>-0.99985369999999996</v>
      </c>
      <c r="N2406">
        <v>0</v>
      </c>
      <c r="O2406">
        <v>8.7748630000000008E-3</v>
      </c>
      <c r="P2406">
        <v>-0.99942900000000001</v>
      </c>
      <c r="Q2406">
        <v>3.075205E-2</v>
      </c>
      <c r="R2406">
        <v>-1.4001970000000001E-2</v>
      </c>
      <c r="S2406">
        <v>-3.006195</v>
      </c>
      <c r="T2406">
        <v>-0.22270480000000001</v>
      </c>
      <c r="U2406">
        <v>-0.14712520000000001</v>
      </c>
      <c r="V2406">
        <v>-2.2770479999999999E-2</v>
      </c>
      <c r="W2406">
        <v>4.5419149999999998E-2</v>
      </c>
      <c r="X2406">
        <v>0.9987085</v>
      </c>
      <c r="Y2406">
        <v>-5.7464510000000003E-2</v>
      </c>
      <c r="Z2406">
        <v>-2.7732439999999998E-3</v>
      </c>
      <c r="AA2406">
        <v>0.99834369999999995</v>
      </c>
      <c r="AB2406">
        <v>46</v>
      </c>
      <c r="AC2406">
        <v>-14.0604999999999</v>
      </c>
      <c r="AD2406">
        <v>-1.1098068076279901</v>
      </c>
      <c r="AE2406">
        <v>-0.74119999999999198</v>
      </c>
      <c r="AF2406">
        <v>-0.85922551540723802</v>
      </c>
      <c r="AG2406">
        <v>-1.1098068076279901</v>
      </c>
      <c r="AH2406">
        <v>13.966681589408299</v>
      </c>
      <c r="AI2406">
        <v>94.534698021842203</v>
      </c>
      <c r="AJ2406">
        <v>93.5203802429116</v>
      </c>
      <c r="AK2406">
        <v>14.0370272585224</v>
      </c>
      <c r="AL2406">
        <v>87.396778922419102</v>
      </c>
      <c r="AM2406">
        <v>91.306113248529897</v>
      </c>
      <c r="AN2406">
        <v>1.0000000309592001</v>
      </c>
    </row>
    <row r="2407" spans="1:40" x14ac:dyDescent="0.25">
      <c r="A2407" t="str">
        <f>"20190312151032920"</f>
        <v>20190312151032920</v>
      </c>
      <c r="B2407" t="str">
        <f>"1552374632913645"</f>
        <v>1552374632913645</v>
      </c>
      <c r="C2407" t="s">
        <v>40</v>
      </c>
      <c r="D2407">
        <v>5.433344</v>
      </c>
      <c r="E2407">
        <v>0.48776000000000003</v>
      </c>
      <c r="F2407" t="s">
        <v>52</v>
      </c>
      <c r="G2407">
        <v>-447.77080000000001</v>
      </c>
      <c r="H2407" s="1">
        <v>2.6764879999999998E-6</v>
      </c>
      <c r="I2407">
        <v>282.83100000000002</v>
      </c>
      <c r="J2407">
        <v>-433.2475</v>
      </c>
      <c r="K2407">
        <v>1.109812</v>
      </c>
      <c r="L2407">
        <v>283.58449999999999</v>
      </c>
      <c r="M2407">
        <v>-0.99985389999999996</v>
      </c>
      <c r="N2407">
        <v>0</v>
      </c>
      <c r="O2407">
        <v>8.7745259999999995E-3</v>
      </c>
      <c r="P2407">
        <v>-0.99940430000000002</v>
      </c>
      <c r="Q2407">
        <v>3.1284310000000003E-2</v>
      </c>
      <c r="R2407">
        <v>-1.458949E-2</v>
      </c>
      <c r="S2407">
        <v>-3.0064700000000002</v>
      </c>
      <c r="T2407">
        <v>-0.22289349999999999</v>
      </c>
      <c r="U2407">
        <v>-0.15054319999999999</v>
      </c>
      <c r="V2407">
        <v>-2.3357570000000001E-2</v>
      </c>
      <c r="W2407">
        <v>4.5947880000000003E-2</v>
      </c>
      <c r="X2407">
        <v>0.99867070000000002</v>
      </c>
      <c r="Y2407">
        <v>-5.8588559999999998E-2</v>
      </c>
      <c r="Z2407">
        <v>-2.8168170000000001E-3</v>
      </c>
      <c r="AA2407">
        <v>0.99827829999999995</v>
      </c>
      <c r="AB2407">
        <v>46</v>
      </c>
      <c r="AC2407">
        <v>-14.523300000000001</v>
      </c>
      <c r="AD2407">
        <v>-1.1098093235119999</v>
      </c>
      <c r="AE2407">
        <v>-0.75350000000003003</v>
      </c>
      <c r="AF2407">
        <v>-0.87581926822760803</v>
      </c>
      <c r="AG2407">
        <v>-1.1098093235119999</v>
      </c>
      <c r="AH2407">
        <v>14.4320804158109</v>
      </c>
      <c r="AI2407">
        <v>94.389278003672899</v>
      </c>
      <c r="AJ2407">
        <v>93.472769074940402</v>
      </c>
      <c r="AK2407">
        <v>14.5011613760273</v>
      </c>
      <c r="AL2407">
        <v>87.366453117966401</v>
      </c>
      <c r="AM2407">
        <v>91.339827265084196</v>
      </c>
      <c r="AN2407">
        <v>0.999999975395644</v>
      </c>
    </row>
    <row r="2408" spans="1:40" x14ac:dyDescent="0.25">
      <c r="A2408" t="str">
        <f>"20190312151032934"</f>
        <v>20190312151032934</v>
      </c>
      <c r="B2408" t="str">
        <f>"1552374632923405"</f>
        <v>1552374632923405</v>
      </c>
      <c r="C2408" t="s">
        <v>40</v>
      </c>
      <c r="D2408">
        <v>5.4619730000000004</v>
      </c>
      <c r="E2408">
        <v>0.48771829999999999</v>
      </c>
      <c r="F2408" t="s">
        <v>52</v>
      </c>
      <c r="G2408">
        <v>-448.2192</v>
      </c>
      <c r="H2408" s="1">
        <v>2.9154029999999999E-6</v>
      </c>
      <c r="I2408">
        <v>282.82400000000001</v>
      </c>
      <c r="J2408">
        <v>-433.54790000000003</v>
      </c>
      <c r="K2408">
        <v>1.1098159999999999</v>
      </c>
      <c r="L2408">
        <v>283.58710000000002</v>
      </c>
      <c r="M2408">
        <v>-0.99985389999999996</v>
      </c>
      <c r="N2408">
        <v>0</v>
      </c>
      <c r="O2408">
        <v>8.7744209999999993E-3</v>
      </c>
      <c r="P2408">
        <v>-0.99939619999999996</v>
      </c>
      <c r="Q2408">
        <v>3.142441E-2</v>
      </c>
      <c r="R2408">
        <v>-1.4835320000000001E-2</v>
      </c>
      <c r="S2408">
        <v>-3.0065</v>
      </c>
      <c r="T2408">
        <v>-0.22286329999999999</v>
      </c>
      <c r="U2408">
        <v>-0.15270999999999901</v>
      </c>
      <c r="V2408">
        <v>-2.3603140000000002E-2</v>
      </c>
      <c r="W2408">
        <v>4.6086019999999998E-2</v>
      </c>
      <c r="X2408">
        <v>0.99865859999999995</v>
      </c>
      <c r="Y2408">
        <v>-5.9303660000000001E-2</v>
      </c>
      <c r="Z2408">
        <v>-2.8428020000000002E-3</v>
      </c>
      <c r="AA2408">
        <v>0.99823589999999995</v>
      </c>
      <c r="AB2408">
        <v>46</v>
      </c>
      <c r="AC2408">
        <v>-14.671299999999899</v>
      </c>
      <c r="AD2408">
        <v>-1.109813084597</v>
      </c>
      <c r="AE2408">
        <v>-0.76310000000000799</v>
      </c>
      <c r="AF2408">
        <v>-0.88675613420319099</v>
      </c>
      <c r="AG2408">
        <v>-1.109813084597</v>
      </c>
      <c r="AH2408">
        <v>14.5808294054732</v>
      </c>
      <c r="AI2408">
        <v>94.3446526666023</v>
      </c>
      <c r="AJ2408">
        <v>93.480246665006703</v>
      </c>
      <c r="AK2408">
        <v>14.649867155568399</v>
      </c>
      <c r="AL2408">
        <v>87.358529988495107</v>
      </c>
      <c r="AM2408">
        <v>91.353924732134999</v>
      </c>
      <c r="AN2408">
        <v>1.00000001440563</v>
      </c>
    </row>
    <row r="2409" spans="1:40" x14ac:dyDescent="0.25">
      <c r="A2409" t="str">
        <f>"20190312151032954"</f>
        <v>20190312151032954</v>
      </c>
      <c r="B2409" t="str">
        <f>"1552374632942925"</f>
        <v>1552374632942925</v>
      </c>
      <c r="C2409" t="s">
        <v>40</v>
      </c>
      <c r="D2409">
        <v>5.5378860000000003</v>
      </c>
      <c r="E2409">
        <v>0.4876663</v>
      </c>
      <c r="F2409" t="s">
        <v>52</v>
      </c>
      <c r="G2409">
        <v>-448.5179</v>
      </c>
      <c r="H2409" s="1">
        <v>3.074477E-6</v>
      </c>
      <c r="I2409">
        <v>282.82170000000002</v>
      </c>
      <c r="J2409">
        <v>-433.94299999999998</v>
      </c>
      <c r="K2409">
        <v>1.1098190000000001</v>
      </c>
      <c r="L2409">
        <v>283.59059999999999</v>
      </c>
      <c r="M2409">
        <v>-0.99985389999999996</v>
      </c>
      <c r="N2409">
        <v>0</v>
      </c>
      <c r="O2409">
        <v>8.7742610000000002E-3</v>
      </c>
      <c r="P2409">
        <v>-0.99939239999999996</v>
      </c>
      <c r="Q2409">
        <v>3.1425090000000003E-2</v>
      </c>
      <c r="R2409">
        <v>-1.50776E-2</v>
      </c>
      <c r="S2409">
        <v>-3.0065309999999998</v>
      </c>
      <c r="T2409">
        <v>-0.22289120000000001</v>
      </c>
      <c r="U2409">
        <v>-0.15371699999999999</v>
      </c>
      <c r="V2409">
        <v>-2.384505E-2</v>
      </c>
      <c r="W2409">
        <v>4.6084109999999998E-2</v>
      </c>
      <c r="X2409">
        <v>0.99865289999999995</v>
      </c>
      <c r="Y2409">
        <v>-5.9635540000000001E-2</v>
      </c>
      <c r="Z2409">
        <v>-2.855369E-3</v>
      </c>
      <c r="AA2409">
        <v>0.9982162</v>
      </c>
      <c r="AB2409">
        <v>46</v>
      </c>
      <c r="AC2409">
        <v>-14.5748999999999</v>
      </c>
      <c r="AD2409">
        <v>-1.109815925523</v>
      </c>
      <c r="AE2409">
        <v>-0.76889999999997305</v>
      </c>
      <c r="AF2409">
        <v>-0.89161276176880799</v>
      </c>
      <c r="AG2409">
        <v>-1.109815925523</v>
      </c>
      <c r="AH2409">
        <v>14.4838448897798</v>
      </c>
      <c r="AI2409">
        <v>94.373446112445194</v>
      </c>
      <c r="AJ2409">
        <v>93.522632616159399</v>
      </c>
      <c r="AK2409">
        <v>14.553639664932399</v>
      </c>
      <c r="AL2409">
        <v>87.358639430757094</v>
      </c>
      <c r="AM2409">
        <v>91.3678037472623</v>
      </c>
      <c r="AN2409">
        <v>0.99999997314120104</v>
      </c>
    </row>
    <row r="2410" spans="1:40" x14ac:dyDescent="0.25">
      <c r="A2410" t="str">
        <f>"20190312151032976"</f>
        <v>20190312151032976</v>
      </c>
      <c r="B2410" t="str">
        <f>"1552374632973181"</f>
        <v>1552374632973181</v>
      </c>
      <c r="C2410" t="s">
        <v>40</v>
      </c>
      <c r="D2410">
        <v>5.4644680000000001</v>
      </c>
      <c r="E2410">
        <v>0.46933760000000002</v>
      </c>
      <c r="F2410" t="s">
        <v>52</v>
      </c>
      <c r="G2410">
        <v>-448.84899999999999</v>
      </c>
      <c r="H2410" s="1">
        <v>3.250659E-6</v>
      </c>
      <c r="I2410">
        <v>282.8218</v>
      </c>
      <c r="J2410">
        <v>-434.39010000000002</v>
      </c>
      <c r="K2410">
        <v>1.109823</v>
      </c>
      <c r="L2410">
        <v>283.59449999999998</v>
      </c>
      <c r="M2410">
        <v>-0.99985400000000002</v>
      </c>
      <c r="N2410">
        <v>0</v>
      </c>
      <c r="O2410">
        <v>8.7741039999999996E-3</v>
      </c>
      <c r="P2410">
        <v>-0.99939069999999997</v>
      </c>
      <c r="Q2410">
        <v>3.127593E-2</v>
      </c>
      <c r="R2410">
        <v>-1.550462E-2</v>
      </c>
      <c r="S2410">
        <v>-3.0065</v>
      </c>
      <c r="T2410">
        <v>-0.22384689999999999</v>
      </c>
      <c r="U2410">
        <v>-0.1550598</v>
      </c>
      <c r="V2410">
        <v>-2.4272370000000001E-2</v>
      </c>
      <c r="W2410">
        <v>4.5932170000000001E-2</v>
      </c>
      <c r="X2410">
        <v>0.99864969999999997</v>
      </c>
      <c r="Y2410">
        <v>-6.0077720000000001E-2</v>
      </c>
      <c r="Z2410">
        <v>-2.8839909999999998E-3</v>
      </c>
      <c r="AA2410">
        <v>0.99818949999999995</v>
      </c>
      <c r="AB2410">
        <v>46</v>
      </c>
      <c r="AC2410">
        <v>-14.4588999999999</v>
      </c>
      <c r="AD2410">
        <v>-1.109819749341</v>
      </c>
      <c r="AE2410">
        <v>-0.77269999999998595</v>
      </c>
      <c r="AF2410">
        <v>-0.89429395059644401</v>
      </c>
      <c r="AG2410">
        <v>-1.109819749341</v>
      </c>
      <c r="AH2410">
        <v>14.367158117882701</v>
      </c>
      <c r="AI2410">
        <v>94.408655959685902</v>
      </c>
      <c r="AJ2410">
        <v>93.561821065043404</v>
      </c>
      <c r="AK2410">
        <v>14.437683121967501</v>
      </c>
      <c r="AL2410">
        <v>87.367354429335606</v>
      </c>
      <c r="AM2410">
        <v>91.392310644603597</v>
      </c>
      <c r="AN2410">
        <v>1.0000000677481999</v>
      </c>
    </row>
    <row r="2411" spans="1:40" x14ac:dyDescent="0.25">
      <c r="A2411" t="str">
        <f>"20190312151032999"</f>
        <v>20190312151032999</v>
      </c>
      <c r="B2411" t="str">
        <f>"1552374632992701"</f>
        <v>1552374632992701</v>
      </c>
      <c r="C2411" t="s">
        <v>40</v>
      </c>
      <c r="D2411">
        <v>5.4057959999999996</v>
      </c>
      <c r="E2411">
        <v>0.46910059999999898</v>
      </c>
      <c r="F2411" t="s">
        <v>52</v>
      </c>
      <c r="G2411">
        <v>-449.48989999999998</v>
      </c>
      <c r="H2411" s="1">
        <v>3.6244669999999999E-6</v>
      </c>
      <c r="I2411">
        <v>282.07209999999998</v>
      </c>
      <c r="J2411">
        <v>-434.86680000000001</v>
      </c>
      <c r="K2411">
        <v>1.1098250000000001</v>
      </c>
      <c r="L2411">
        <v>283.59870000000001</v>
      </c>
      <c r="M2411">
        <v>-0.99985400000000002</v>
      </c>
      <c r="N2411">
        <v>0</v>
      </c>
      <c r="O2411">
        <v>8.7741260000000001E-3</v>
      </c>
      <c r="P2411">
        <v>-0.99937929999999997</v>
      </c>
      <c r="Q2411">
        <v>3.1432090000000003E-2</v>
      </c>
      <c r="R2411">
        <v>-1.5907480000000002E-2</v>
      </c>
      <c r="S2411">
        <v>-3.004089</v>
      </c>
      <c r="T2411">
        <v>-0.2207973</v>
      </c>
      <c r="U2411">
        <v>-0.30288700000000002</v>
      </c>
      <c r="V2411">
        <v>-2.467457E-2</v>
      </c>
      <c r="W2411">
        <v>4.6084590000000002E-2</v>
      </c>
      <c r="X2411">
        <v>0.99863270000000004</v>
      </c>
      <c r="Y2411">
        <v>-0.1087294</v>
      </c>
      <c r="Z2411">
        <v>-4.6228459999999999E-3</v>
      </c>
      <c r="AA2411">
        <v>0.99406059999999996</v>
      </c>
      <c r="AB2411">
        <v>46</v>
      </c>
      <c r="AC2411">
        <v>-14.6230999999999</v>
      </c>
      <c r="AD2411">
        <v>-1.109821375533</v>
      </c>
      <c r="AE2411">
        <v>-1.5266000000000299</v>
      </c>
      <c r="AF2411">
        <v>-1.64548403183821</v>
      </c>
      <c r="AG2411">
        <v>-1.109821375533</v>
      </c>
      <c r="AH2411">
        <v>14.526370237542499</v>
      </c>
      <c r="AI2411">
        <v>94.341280231066804</v>
      </c>
      <c r="AJ2411">
        <v>96.462668983074593</v>
      </c>
      <c r="AK2411">
        <v>14.661335323318401</v>
      </c>
      <c r="AL2411">
        <v>87.358611829573903</v>
      </c>
      <c r="AM2411">
        <v>91.415396399978306</v>
      </c>
      <c r="AN2411">
        <v>0.99999994667472003</v>
      </c>
    </row>
    <row r="2412" spans="1:40" x14ac:dyDescent="0.25">
      <c r="A2412" t="str">
        <f>"20190312151033021"</f>
        <v>20190312151033021</v>
      </c>
      <c r="B2412" t="str">
        <f>"1552374633013197"</f>
        <v>1552374633013197</v>
      </c>
      <c r="C2412" t="s">
        <v>40</v>
      </c>
      <c r="D2412">
        <v>5.4415630000000004</v>
      </c>
      <c r="E2412">
        <v>0.46813329999999997</v>
      </c>
      <c r="F2412" t="s">
        <v>52</v>
      </c>
      <c r="G2412">
        <v>-445.76440000000002</v>
      </c>
      <c r="H2412" s="1">
        <v>1.6241780000000001E-6</v>
      </c>
      <c r="I2412">
        <v>282.47930000000002</v>
      </c>
      <c r="J2412">
        <v>-435.32600000000002</v>
      </c>
      <c r="K2412">
        <v>1.1098220000000001</v>
      </c>
      <c r="L2412">
        <v>283.60270000000003</v>
      </c>
      <c r="M2412">
        <v>-0.99985400000000002</v>
      </c>
      <c r="N2412">
        <v>0</v>
      </c>
      <c r="O2412">
        <v>8.7739689999999995E-3</v>
      </c>
      <c r="P2412">
        <v>-0.99937109999999996</v>
      </c>
      <c r="Q2412">
        <v>3.177373E-2</v>
      </c>
      <c r="R2412">
        <v>-1.575039E-2</v>
      </c>
      <c r="S2412">
        <v>-3.0065919999999999</v>
      </c>
      <c r="T2412">
        <v>-0.30619279999999999</v>
      </c>
      <c r="U2412">
        <v>-0.3088379</v>
      </c>
      <c r="V2412">
        <v>-2.4517520000000001E-2</v>
      </c>
      <c r="W2412">
        <v>4.6423739999999998E-2</v>
      </c>
      <c r="X2412">
        <v>0.99862090000000003</v>
      </c>
      <c r="Y2412">
        <v>-0.11029799999999999</v>
      </c>
      <c r="Z2412">
        <v>-6.4764330000000002E-3</v>
      </c>
      <c r="AA2412">
        <v>0.99387749999999997</v>
      </c>
      <c r="AB2412">
        <v>46</v>
      </c>
      <c r="AC2412">
        <v>-10.4384</v>
      </c>
      <c r="AD2412">
        <v>-1.10982037582199</v>
      </c>
      <c r="AE2412">
        <v>-1.1234</v>
      </c>
      <c r="AF2412">
        <v>-1.20152608921628</v>
      </c>
      <c r="AG2412">
        <v>-1.10982037582199</v>
      </c>
      <c r="AH2412">
        <v>10.3128967610125</v>
      </c>
      <c r="AI2412">
        <v>96.101280829098897</v>
      </c>
      <c r="AJ2412">
        <v>96.645407317470699</v>
      </c>
      <c r="AK2412">
        <v>10.4418008893562</v>
      </c>
      <c r="AL2412">
        <v>87.339159252504203</v>
      </c>
      <c r="AM2412">
        <v>91.406407851999305</v>
      </c>
      <c r="AN2412">
        <v>0.99999998716967398</v>
      </c>
    </row>
    <row r="2413" spans="1:40" x14ac:dyDescent="0.25">
      <c r="A2413" t="str">
        <f>"20190312151033044"</f>
        <v>20190312151033044</v>
      </c>
      <c r="B2413" t="str">
        <f>"1552374633032717"</f>
        <v>1552374633032717</v>
      </c>
      <c r="C2413" t="s">
        <v>40</v>
      </c>
      <c r="D2413">
        <v>5.5967359999999999</v>
      </c>
      <c r="E2413">
        <v>0.46826119999999999</v>
      </c>
      <c r="F2413" t="s">
        <v>52</v>
      </c>
      <c r="G2413">
        <v>-447.13240000000002</v>
      </c>
      <c r="H2413" s="1">
        <v>2.3571339999999999E-6</v>
      </c>
      <c r="I2413">
        <v>282.3646</v>
      </c>
      <c r="J2413">
        <v>-435.7783</v>
      </c>
      <c r="K2413">
        <v>1.1098250000000001</v>
      </c>
      <c r="L2413">
        <v>283.60680000000002</v>
      </c>
      <c r="M2413">
        <v>-0.99985400000000002</v>
      </c>
      <c r="N2413">
        <v>0</v>
      </c>
      <c r="O2413">
        <v>8.773632E-3</v>
      </c>
      <c r="P2413">
        <v>-0.99938079999999996</v>
      </c>
      <c r="Q2413">
        <v>3.166223E-2</v>
      </c>
      <c r="R2413">
        <v>-1.5344979999999999E-2</v>
      </c>
      <c r="S2413">
        <v>-3.0058590000000001</v>
      </c>
      <c r="T2413">
        <v>-0.28255550000000001</v>
      </c>
      <c r="U2413">
        <v>-0.315216099999999</v>
      </c>
      <c r="V2413">
        <v>-2.4111939999999998E-2</v>
      </c>
      <c r="W2413">
        <v>4.6308950000000002E-2</v>
      </c>
      <c r="X2413">
        <v>0.99863610000000003</v>
      </c>
      <c r="Y2413">
        <v>-0.11248909999999999</v>
      </c>
      <c r="Z2413">
        <v>-6.0819769999999997E-3</v>
      </c>
      <c r="AA2413">
        <v>0.99363429999999997</v>
      </c>
      <c r="AB2413">
        <v>46</v>
      </c>
      <c r="AC2413">
        <v>-11.354100000000001</v>
      </c>
      <c r="AD2413">
        <v>-1.1098226428659901</v>
      </c>
      <c r="AE2413">
        <v>-1.24220000000002</v>
      </c>
      <c r="AF2413">
        <v>-1.3292298544901999</v>
      </c>
      <c r="AG2413">
        <v>-1.1098226428659901</v>
      </c>
      <c r="AH2413">
        <v>11.2366737037586</v>
      </c>
      <c r="AI2413">
        <v>95.6018817340792</v>
      </c>
      <c r="AJ2413">
        <v>96.746388865025395</v>
      </c>
      <c r="AK2413">
        <v>11.3693181074955</v>
      </c>
      <c r="AL2413">
        <v>87.345743303495496</v>
      </c>
      <c r="AM2413">
        <v>91.383130481094</v>
      </c>
      <c r="AN2413">
        <v>0.99999998236193799</v>
      </c>
    </row>
    <row r="2414" spans="1:40" x14ac:dyDescent="0.25">
      <c r="A2414" t="str">
        <f>"20190312151033064"</f>
        <v>20190312151033064</v>
      </c>
      <c r="B2414" t="str">
        <f>"1552374633053213"</f>
        <v>1552374633053213</v>
      </c>
      <c r="C2414" t="s">
        <v>40</v>
      </c>
      <c r="D2414">
        <v>5.3869439999999997</v>
      </c>
      <c r="E2414">
        <v>0.46823910000000002</v>
      </c>
      <c r="F2414" t="s">
        <v>52</v>
      </c>
      <c r="G2414">
        <v>-447.48540000000003</v>
      </c>
      <c r="H2414" s="1">
        <v>2.5440039999999998E-6</v>
      </c>
      <c r="I2414">
        <v>282.38679999999999</v>
      </c>
      <c r="J2414">
        <v>-436.21629999999999</v>
      </c>
      <c r="K2414">
        <v>1.109828</v>
      </c>
      <c r="L2414">
        <v>283.61059999999998</v>
      </c>
      <c r="M2414">
        <v>-0.99985420000000003</v>
      </c>
      <c r="N2414">
        <v>0</v>
      </c>
      <c r="O2414">
        <v>8.7733559999999995E-3</v>
      </c>
      <c r="P2414">
        <v>-0.99938199999999999</v>
      </c>
      <c r="Q2414">
        <v>3.1782930000000001E-2</v>
      </c>
      <c r="R2414">
        <v>-1.5021929999999999E-2</v>
      </c>
      <c r="S2414">
        <v>-3.0061040000000001</v>
      </c>
      <c r="T2414">
        <v>-0.28497600000000001</v>
      </c>
      <c r="U2414">
        <v>-0.31326290000000001</v>
      </c>
      <c r="V2414">
        <v>-2.3788E-2</v>
      </c>
      <c r="W2414">
        <v>4.6427070000000001E-2</v>
      </c>
      <c r="X2414">
        <v>0.99863840000000004</v>
      </c>
      <c r="Y2414">
        <v>-0.1118357</v>
      </c>
      <c r="Z2414">
        <v>-6.1027149999999999E-3</v>
      </c>
      <c r="AA2414">
        <v>0.99370800000000004</v>
      </c>
      <c r="AB2414">
        <v>46</v>
      </c>
      <c r="AC2414">
        <v>-11.2691</v>
      </c>
      <c r="AD2414">
        <v>-1.1098254559959999</v>
      </c>
      <c r="AE2414">
        <v>-1.22379999999998</v>
      </c>
      <c r="AF2414">
        <v>-1.3100729215629601</v>
      </c>
      <c r="AG2414">
        <v>-1.1098254559959999</v>
      </c>
      <c r="AH2414">
        <v>11.151034008044601</v>
      </c>
      <c r="AI2414">
        <v>95.645169348669498</v>
      </c>
      <c r="AJ2414">
        <v>96.700646135922796</v>
      </c>
      <c r="AK2414">
        <v>11.282444905744301</v>
      </c>
      <c r="AL2414">
        <v>87.338968280088594</v>
      </c>
      <c r="AM2414">
        <v>91.364552279573999</v>
      </c>
      <c r="AN2414">
        <v>0.999999997863672</v>
      </c>
    </row>
    <row r="2415" spans="1:40" x14ac:dyDescent="0.25">
      <c r="A2415" t="str">
        <f>"20190312151033080"</f>
        <v>20190312151033080</v>
      </c>
      <c r="B2415" t="str">
        <f>"1552374633072733"</f>
        <v>1552374633072733</v>
      </c>
      <c r="C2415" t="s">
        <v>40</v>
      </c>
      <c r="D2415">
        <v>5.4235569999999997</v>
      </c>
      <c r="E2415">
        <v>0.46800649999999999</v>
      </c>
      <c r="F2415" t="s">
        <v>52</v>
      </c>
      <c r="G2415">
        <v>-448.43619999999999</v>
      </c>
      <c r="H2415" s="1">
        <v>3.051957E-6</v>
      </c>
      <c r="I2415">
        <v>282.34140000000002</v>
      </c>
      <c r="J2415">
        <v>-436.52170000000001</v>
      </c>
      <c r="K2415">
        <v>1.1098269999999999</v>
      </c>
      <c r="L2415">
        <v>283.61329999999998</v>
      </c>
      <c r="M2415">
        <v>-0.99985420000000003</v>
      </c>
      <c r="N2415">
        <v>0</v>
      </c>
      <c r="O2415">
        <v>8.7733710000000003E-3</v>
      </c>
      <c r="P2415">
        <v>-0.99939129999999998</v>
      </c>
      <c r="Q2415">
        <v>3.1714729999999997E-2</v>
      </c>
      <c r="R2415">
        <v>-1.4546359999999999E-2</v>
      </c>
      <c r="S2415">
        <v>-3.0058590000000001</v>
      </c>
      <c r="T2415">
        <v>-0.27299709999999899</v>
      </c>
      <c r="U2415">
        <v>-0.31219479999999999</v>
      </c>
      <c r="V2415">
        <v>-2.3312840000000001E-2</v>
      </c>
      <c r="W2415">
        <v>4.6357049999999997E-2</v>
      </c>
      <c r="X2415">
        <v>0.99865289999999995</v>
      </c>
      <c r="Y2415">
        <v>-0.11153979999999999</v>
      </c>
      <c r="Z2415">
        <v>-5.8344590000000002E-3</v>
      </c>
      <c r="AA2415">
        <v>0.99374280000000004</v>
      </c>
      <c r="AB2415">
        <v>46</v>
      </c>
      <c r="AC2415">
        <v>-11.914499999999901</v>
      </c>
      <c r="AD2415">
        <v>-1.1098239480429899</v>
      </c>
      <c r="AE2415">
        <v>-1.2718999999999501</v>
      </c>
      <c r="AF2415">
        <v>-1.3646849898904001</v>
      </c>
      <c r="AG2415">
        <v>-1.1098239480429899</v>
      </c>
      <c r="AH2415">
        <v>11.8016353945399</v>
      </c>
      <c r="AI2415">
        <v>95.336931198472499</v>
      </c>
      <c r="AJ2415">
        <v>96.596115548241201</v>
      </c>
      <c r="AK2415">
        <v>11.932002024092199</v>
      </c>
      <c r="AL2415">
        <v>87.342984565828999</v>
      </c>
      <c r="AM2415">
        <v>91.337286240636701</v>
      </c>
      <c r="AN2415">
        <v>1.0000000396359801</v>
      </c>
    </row>
    <row r="2416" spans="1:40" x14ac:dyDescent="0.25">
      <c r="A2416" t="str">
        <f>"20190312151033099"</f>
        <v>20190312151033099</v>
      </c>
      <c r="B2416" t="str">
        <f>"1552374633093229"</f>
        <v>1552374633093229</v>
      </c>
      <c r="C2416" t="s">
        <v>40</v>
      </c>
      <c r="D2416">
        <v>5.404522</v>
      </c>
      <c r="E2416">
        <v>0.46792850000000002</v>
      </c>
      <c r="F2416" t="s">
        <v>52</v>
      </c>
      <c r="G2416">
        <v>-449.07929999999999</v>
      </c>
      <c r="H2416" s="1">
        <v>3.3957150000000001E-6</v>
      </c>
      <c r="I2416">
        <v>282.3075</v>
      </c>
      <c r="J2416">
        <v>-436.91500000000002</v>
      </c>
      <c r="K2416">
        <v>1.1098269999999999</v>
      </c>
      <c r="L2416">
        <v>283.61669999999998</v>
      </c>
      <c r="M2416">
        <v>-0.99985420000000003</v>
      </c>
      <c r="N2416">
        <v>0</v>
      </c>
      <c r="O2416">
        <v>8.77321E-3</v>
      </c>
      <c r="P2416">
        <v>-0.99938499999999997</v>
      </c>
      <c r="Q2416">
        <v>3.1982780000000002E-2</v>
      </c>
      <c r="R2416">
        <v>-1.439377E-2</v>
      </c>
      <c r="S2416">
        <v>-3.0056759999999998</v>
      </c>
      <c r="T2416">
        <v>-0.26563700000000001</v>
      </c>
      <c r="U2416">
        <v>-0.31253049999999999</v>
      </c>
      <c r="V2416">
        <v>-2.3160179999999999E-2</v>
      </c>
      <c r="W2416">
        <v>4.6622360000000002E-2</v>
      </c>
      <c r="X2416">
        <v>0.99864410000000003</v>
      </c>
      <c r="Y2416">
        <v>-0.111681</v>
      </c>
      <c r="Z2416">
        <v>-5.6842819999999997E-3</v>
      </c>
      <c r="AA2416">
        <v>0.9937279</v>
      </c>
      <c r="AB2416">
        <v>46</v>
      </c>
      <c r="AC2416">
        <v>-12.1642999999999</v>
      </c>
      <c r="AD2416">
        <v>-1.109823604285</v>
      </c>
      <c r="AE2416">
        <v>-1.3091999999999699</v>
      </c>
      <c r="AF2416">
        <v>-1.4043252256326499</v>
      </c>
      <c r="AG2416">
        <v>-1.109823604285</v>
      </c>
      <c r="AH2416">
        <v>12.0531626076846</v>
      </c>
      <c r="AI2416">
        <v>95.225659713786101</v>
      </c>
      <c r="AJ2416">
        <v>96.645621847533803</v>
      </c>
      <c r="AK2416">
        <v>12.1853422856833</v>
      </c>
      <c r="AL2416">
        <v>87.327766966157697</v>
      </c>
      <c r="AM2416">
        <v>91.328544110307504</v>
      </c>
      <c r="AN2416">
        <v>1.0000000384272001</v>
      </c>
    </row>
    <row r="2417" spans="1:40" x14ac:dyDescent="0.25">
      <c r="A2417" t="str">
        <f>"20190312151033121"</f>
        <v>20190312151033121</v>
      </c>
      <c r="B2417" t="str">
        <f>"1552374633112749"</f>
        <v>1552374633112749</v>
      </c>
      <c r="C2417" t="s">
        <v>40</v>
      </c>
      <c r="D2417">
        <v>5.3879549999999998</v>
      </c>
      <c r="E2417">
        <v>0.46797650000000002</v>
      </c>
      <c r="F2417" t="s">
        <v>52</v>
      </c>
      <c r="G2417">
        <v>-449.78680000000003</v>
      </c>
      <c r="H2417" s="1">
        <v>3.773449E-6</v>
      </c>
      <c r="I2417">
        <v>282.27859999999998</v>
      </c>
      <c r="J2417">
        <v>-437.36009999999999</v>
      </c>
      <c r="K2417">
        <v>1.1098300000000001</v>
      </c>
      <c r="L2417">
        <v>283.62060000000002</v>
      </c>
      <c r="M2417">
        <v>-0.99985429999999997</v>
      </c>
      <c r="N2417">
        <v>0</v>
      </c>
      <c r="O2417">
        <v>8.7730510000000005E-3</v>
      </c>
      <c r="P2417">
        <v>-0.99935739999999995</v>
      </c>
      <c r="Q2417">
        <v>3.2738089999999997E-2</v>
      </c>
      <c r="R2417">
        <v>-1.459508E-2</v>
      </c>
      <c r="S2417">
        <v>-3.0056759999999998</v>
      </c>
      <c r="T2417">
        <v>-0.25915339999999998</v>
      </c>
      <c r="U2417">
        <v>-0.31246950000000001</v>
      </c>
      <c r="V2417">
        <v>-2.336125E-2</v>
      </c>
      <c r="W2417">
        <v>4.737446E-2</v>
      </c>
      <c r="X2417">
        <v>0.99860400000000005</v>
      </c>
      <c r="Y2417">
        <v>-0.1116833</v>
      </c>
      <c r="Z2417">
        <v>-5.5461449999999997E-3</v>
      </c>
      <c r="AA2417">
        <v>0.99372839999999996</v>
      </c>
      <c r="AB2417">
        <v>46</v>
      </c>
      <c r="AC2417">
        <v>-12.4267</v>
      </c>
      <c r="AD2417">
        <v>-1.1098262265509999</v>
      </c>
      <c r="AE2417">
        <v>-1.34200000000004</v>
      </c>
      <c r="AF2417">
        <v>-1.43962964619245</v>
      </c>
      <c r="AG2417">
        <v>-1.1098262265509999</v>
      </c>
      <c r="AH2417">
        <v>12.317333525333201</v>
      </c>
      <c r="AI2417">
        <v>95.113982174777405</v>
      </c>
      <c r="AJ2417">
        <v>96.666390575001202</v>
      </c>
      <c r="AK2417">
        <v>12.450741060098901</v>
      </c>
      <c r="AL2417">
        <v>87.284627084836004</v>
      </c>
      <c r="AM2417">
        <v>91.340127751621196</v>
      </c>
      <c r="AN2417">
        <v>1.0000000181389199</v>
      </c>
    </row>
    <row r="2418" spans="1:40" x14ac:dyDescent="0.25">
      <c r="A2418" t="str">
        <f>"20190312151033136"</f>
        <v>20190312151033136</v>
      </c>
      <c r="B2418" t="str">
        <f>"1552374633133245"</f>
        <v>1552374633133245</v>
      </c>
      <c r="C2418" t="s">
        <v>40</v>
      </c>
      <c r="D2418">
        <v>5.3840329999999996</v>
      </c>
      <c r="E2418">
        <v>0.46801179999999898</v>
      </c>
      <c r="F2418" t="s">
        <v>52</v>
      </c>
      <c r="G2418">
        <v>-450.09559999999999</v>
      </c>
      <c r="H2418" s="1">
        <v>-1.384407E-6</v>
      </c>
      <c r="I2418">
        <v>282.29469999999998</v>
      </c>
      <c r="J2418">
        <v>-437.66719999999998</v>
      </c>
      <c r="K2418">
        <v>1.1098349999999999</v>
      </c>
      <c r="L2418">
        <v>283.62329999999997</v>
      </c>
      <c r="M2418">
        <v>-0.99985429999999997</v>
      </c>
      <c r="N2418">
        <v>0</v>
      </c>
      <c r="O2418">
        <v>8.7728860000000006E-3</v>
      </c>
      <c r="P2418">
        <v>-0.99933629999999996</v>
      </c>
      <c r="Q2418">
        <v>3.331013E-2</v>
      </c>
      <c r="R2418">
        <v>-1.4747969999999999E-2</v>
      </c>
      <c r="S2418">
        <v>-3.005951</v>
      </c>
      <c r="T2418">
        <v>-0.26195180000000001</v>
      </c>
      <c r="U2418">
        <v>-0.31295780000000001</v>
      </c>
      <c r="V2418">
        <v>-2.351346E-2</v>
      </c>
      <c r="W2418">
        <v>4.7944100000000003E-2</v>
      </c>
      <c r="X2418">
        <v>0.99857320000000005</v>
      </c>
      <c r="Y2418">
        <v>-0.1118234</v>
      </c>
      <c r="Z2418">
        <v>-5.6113229999999997E-3</v>
      </c>
      <c r="AA2418">
        <v>0.99371220000000005</v>
      </c>
      <c r="AB2418">
        <v>46</v>
      </c>
      <c r="AC2418">
        <v>-12.4284</v>
      </c>
      <c r="AD2418">
        <v>-1.1098363844070001</v>
      </c>
      <c r="AE2418">
        <v>-1.32859999999999</v>
      </c>
      <c r="AF2418">
        <v>-1.4263480049815001</v>
      </c>
      <c r="AG2418">
        <v>-1.1098363844070001</v>
      </c>
      <c r="AH2418">
        <v>12.319139274561101</v>
      </c>
      <c r="AI2418">
        <v>95.113922518956898</v>
      </c>
      <c r="AJ2418">
        <v>96.604474548021599</v>
      </c>
      <c r="AK2418">
        <v>12.4509998754117</v>
      </c>
      <c r="AL2418">
        <v>87.251951875450402</v>
      </c>
      <c r="AM2418">
        <v>91.348897714490406</v>
      </c>
      <c r="AN2418">
        <v>0.99999997764211002</v>
      </c>
    </row>
    <row r="2419" spans="1:40" x14ac:dyDescent="0.25">
      <c r="A2419" t="str">
        <f>"20190312151033154"</f>
        <v>20190312151033154</v>
      </c>
      <c r="B2419" t="str">
        <f>"1552374633143005"</f>
        <v>1552374633143005</v>
      </c>
      <c r="C2419" t="s">
        <v>40</v>
      </c>
      <c r="D2419">
        <v>5.5752240000000004</v>
      </c>
      <c r="E2419">
        <v>0.46788380000000002</v>
      </c>
      <c r="F2419" t="s">
        <v>52</v>
      </c>
      <c r="G2419">
        <v>-450.32190000000003</v>
      </c>
      <c r="H2419" s="1">
        <v>-1.2644140000000001E-6</v>
      </c>
      <c r="I2419">
        <v>282.30360000000002</v>
      </c>
      <c r="J2419">
        <v>-438.03829999999999</v>
      </c>
      <c r="K2419">
        <v>1.109845</v>
      </c>
      <c r="L2419">
        <v>283.6266</v>
      </c>
      <c r="M2419">
        <v>-0.99985429999999997</v>
      </c>
      <c r="N2419">
        <v>0</v>
      </c>
      <c r="O2419">
        <v>8.7727840000000005E-3</v>
      </c>
      <c r="P2419">
        <v>-0.99931530000000002</v>
      </c>
      <c r="Q2419">
        <v>3.3710629999999998E-2</v>
      </c>
      <c r="R2419">
        <v>-1.525164E-2</v>
      </c>
      <c r="S2419">
        <v>-3.0061650000000002</v>
      </c>
      <c r="T2419">
        <v>-0.26364539999999997</v>
      </c>
      <c r="U2419">
        <v>-0.31350709999999998</v>
      </c>
      <c r="V2419">
        <v>-2.401677E-2</v>
      </c>
      <c r="W2419">
        <v>4.8342280000000001E-2</v>
      </c>
      <c r="X2419">
        <v>0.99854209999999999</v>
      </c>
      <c r="Y2419">
        <v>-0.1119893</v>
      </c>
      <c r="Z2419">
        <v>-5.6542429999999998E-3</v>
      </c>
      <c r="AA2419">
        <v>0.99369339999999995</v>
      </c>
      <c r="AB2419">
        <v>46</v>
      </c>
      <c r="AC2419">
        <v>-12.2836</v>
      </c>
      <c r="AD2419">
        <v>-1.1098462644139999</v>
      </c>
      <c r="AE2419">
        <v>-1.32299999999997</v>
      </c>
      <c r="AF2419">
        <v>-1.4192687187958799</v>
      </c>
      <c r="AG2419">
        <v>-1.1098462644139999</v>
      </c>
      <c r="AH2419">
        <v>12.1732830192331</v>
      </c>
      <c r="AI2419">
        <v>95.174435562593999</v>
      </c>
      <c r="AJ2419">
        <v>96.650024689915398</v>
      </c>
      <c r="AK2419">
        <v>12.3058889111325</v>
      </c>
      <c r="AL2419">
        <v>87.229111566457604</v>
      </c>
      <c r="AM2419">
        <v>91.3778030036773</v>
      </c>
      <c r="AN2419">
        <v>1.0000000533746101</v>
      </c>
    </row>
    <row r="2420" spans="1:40" x14ac:dyDescent="0.25">
      <c r="A2420" t="str">
        <f>"20190312151033178"</f>
        <v>20190312151033178</v>
      </c>
      <c r="B2420" t="str">
        <f>"1552374633173261"</f>
        <v>1552374633173261</v>
      </c>
      <c r="C2420" t="s">
        <v>40</v>
      </c>
      <c r="D2420">
        <v>5.4117050000000004</v>
      </c>
      <c r="E2420">
        <v>0.46768349999999997</v>
      </c>
      <c r="F2420" t="s">
        <v>52</v>
      </c>
      <c r="G2420">
        <v>-450.67649999999998</v>
      </c>
      <c r="H2420" s="1">
        <v>-1.07541E-6</v>
      </c>
      <c r="I2420">
        <v>282.29680000000002</v>
      </c>
      <c r="J2420">
        <v>-438.50909999999999</v>
      </c>
      <c r="K2420">
        <v>1.1098460000000001</v>
      </c>
      <c r="L2420">
        <v>283.63069999999999</v>
      </c>
      <c r="M2420">
        <v>-0.99985449999999998</v>
      </c>
      <c r="N2420">
        <v>0</v>
      </c>
      <c r="O2420">
        <v>8.7726269999999999E-3</v>
      </c>
      <c r="P2420">
        <v>-0.99926839999999995</v>
      </c>
      <c r="Q2420">
        <v>3.481853E-2</v>
      </c>
      <c r="R2420">
        <v>-1.5828979999999999E-2</v>
      </c>
      <c r="S2420">
        <v>-3.0061040000000001</v>
      </c>
      <c r="T2420">
        <v>-0.2639862</v>
      </c>
      <c r="U2420">
        <v>-0.3163147</v>
      </c>
      <c r="V2420">
        <v>-2.4593469999999999E-2</v>
      </c>
      <c r="W2420">
        <v>4.9445790000000003E-2</v>
      </c>
      <c r="X2420">
        <v>0.99847399999999997</v>
      </c>
      <c r="Y2420">
        <v>-0.1129045</v>
      </c>
      <c r="Z2420">
        <v>-5.7013519999999998E-3</v>
      </c>
      <c r="AA2420">
        <v>0.99358950000000001</v>
      </c>
      <c r="AB2420">
        <v>46</v>
      </c>
      <c r="AC2420">
        <v>-12.167399999999899</v>
      </c>
      <c r="AD2420">
        <v>-1.1098470754099901</v>
      </c>
      <c r="AE2420">
        <v>-1.3338999999999701</v>
      </c>
      <c r="AF2420">
        <v>-1.42885306882177</v>
      </c>
      <c r="AG2420">
        <v>-1.1098470754099901</v>
      </c>
      <c r="AH2420">
        <v>12.0561113268789</v>
      </c>
      <c r="AI2420">
        <v>95.223290621894506</v>
      </c>
      <c r="AJ2420">
        <v>96.758990278549007</v>
      </c>
      <c r="AK2420">
        <v>12.191111596125101</v>
      </c>
      <c r="AL2420">
        <v>87.165809314347797</v>
      </c>
      <c r="AM2420">
        <v>91.410970316750095</v>
      </c>
      <c r="AN2420">
        <v>1.0000000267956799</v>
      </c>
    </row>
    <row r="2421" spans="1:40" x14ac:dyDescent="0.25">
      <c r="A2421" t="str">
        <f>"20190312151033191"</f>
        <v>20190312151033191</v>
      </c>
      <c r="B2421" t="str">
        <f>"1552374633183022"</f>
        <v>1552374633183022</v>
      </c>
      <c r="C2421" t="s">
        <v>40</v>
      </c>
      <c r="D2421">
        <v>5.5752899999999999</v>
      </c>
      <c r="E2421">
        <v>0.46766099999999999</v>
      </c>
      <c r="F2421" t="s">
        <v>52</v>
      </c>
      <c r="G2421">
        <v>-451.08609999999999</v>
      </c>
      <c r="H2421" s="1">
        <v>-8.5723249999999997E-7</v>
      </c>
      <c r="I2421">
        <v>282.29239999999999</v>
      </c>
      <c r="J2421">
        <v>-438.78899999999999</v>
      </c>
      <c r="K2421">
        <v>1.1098479999999999</v>
      </c>
      <c r="L2421">
        <v>283.63319999999999</v>
      </c>
      <c r="M2421">
        <v>-0.99985440000000003</v>
      </c>
      <c r="N2421">
        <v>0</v>
      </c>
      <c r="O2421">
        <v>8.7726390000000005E-3</v>
      </c>
      <c r="P2421">
        <v>-0.99925010000000003</v>
      </c>
      <c r="Q2421">
        <v>3.5050650000000003E-2</v>
      </c>
      <c r="R2421">
        <v>-1.6462910000000001E-2</v>
      </c>
      <c r="S2421">
        <v>-3.0063780000000002</v>
      </c>
      <c r="T2421">
        <v>-0.26529429999999998</v>
      </c>
      <c r="U2421">
        <v>-0.31991579999999997</v>
      </c>
      <c r="V2421">
        <v>-2.5227360000000001E-2</v>
      </c>
      <c r="W2421">
        <v>4.9675820000000002E-2</v>
      </c>
      <c r="X2421">
        <v>0.99844679999999997</v>
      </c>
      <c r="Y2421">
        <v>-0.1140631</v>
      </c>
      <c r="Z2421">
        <v>-5.7794980000000001E-3</v>
      </c>
      <c r="AA2421">
        <v>0.99345669999999997</v>
      </c>
      <c r="AB2421">
        <v>46</v>
      </c>
      <c r="AC2421">
        <v>-12.2971</v>
      </c>
      <c r="AD2421">
        <v>-1.1098488572325</v>
      </c>
      <c r="AE2421">
        <v>-1.3408</v>
      </c>
      <c r="AF2421">
        <v>-1.4370697245819399</v>
      </c>
      <c r="AG2421">
        <v>-1.1098488572325</v>
      </c>
      <c r="AH2421">
        <v>12.1867610658716</v>
      </c>
      <c r="AI2421">
        <v>95.167964080990401</v>
      </c>
      <c r="AJ2421">
        <v>96.725293011511596</v>
      </c>
      <c r="AK2421">
        <v>12.3212856129486</v>
      </c>
      <c r="AL2421">
        <v>87.152613443604693</v>
      </c>
      <c r="AM2421">
        <v>91.447361830155003</v>
      </c>
      <c r="AN2421">
        <v>1.0000000596077301</v>
      </c>
    </row>
    <row r="2422" spans="1:40" x14ac:dyDescent="0.25">
      <c r="A2422" t="str">
        <f>"20190312151033211"</f>
        <v>20190312151033211</v>
      </c>
      <c r="B2422" t="str">
        <f>"1552374633203518"</f>
        <v>1552374633203518</v>
      </c>
      <c r="C2422" t="s">
        <v>40</v>
      </c>
      <c r="D2422">
        <v>5.4913019999999904</v>
      </c>
      <c r="E2422">
        <v>0.4676902</v>
      </c>
      <c r="F2422" t="s">
        <v>52</v>
      </c>
      <c r="G2422">
        <v>-451.35660000000001</v>
      </c>
      <c r="H2422" s="1">
        <v>-7.1301589999999997E-7</v>
      </c>
      <c r="I2422">
        <v>282.28620000000001</v>
      </c>
      <c r="J2422">
        <v>-439.18650000000002</v>
      </c>
      <c r="K2422">
        <v>1.109853</v>
      </c>
      <c r="L2422">
        <v>283.63670000000002</v>
      </c>
      <c r="M2422">
        <v>-0.99985440000000003</v>
      </c>
      <c r="N2422">
        <v>0</v>
      </c>
      <c r="O2422">
        <v>8.7724799999999992E-3</v>
      </c>
      <c r="P2422">
        <v>-0.99922900000000003</v>
      </c>
      <c r="Q2422">
        <v>3.5451400000000001E-2</v>
      </c>
      <c r="R2422">
        <v>-1.688214E-2</v>
      </c>
      <c r="S2422">
        <v>-3.006256</v>
      </c>
      <c r="T2422">
        <v>-0.26548310000000003</v>
      </c>
      <c r="U2422">
        <v>-0.32220460000000001</v>
      </c>
      <c r="V2422">
        <v>-2.5646289999999999E-2</v>
      </c>
      <c r="W2422">
        <v>5.0073489999999998E-2</v>
      </c>
      <c r="X2422">
        <v>0.99841619999999998</v>
      </c>
      <c r="Y2422">
        <v>-0.1148115</v>
      </c>
      <c r="Z2422">
        <v>-5.8164699999999998E-3</v>
      </c>
      <c r="AA2422">
        <v>0.99337030000000004</v>
      </c>
      <c r="AB2422">
        <v>46</v>
      </c>
      <c r="AC2422">
        <v>-12.1700999999999</v>
      </c>
      <c r="AD2422">
        <v>-1.1098537130158901</v>
      </c>
      <c r="AE2422">
        <v>-1.35050000000001</v>
      </c>
      <c r="AF2422">
        <v>-1.44534733432402</v>
      </c>
      <c r="AG2422">
        <v>-1.1098537130158901</v>
      </c>
      <c r="AH2422">
        <v>12.0587161081794</v>
      </c>
      <c r="AI2422">
        <v>95.221380531734596</v>
      </c>
      <c r="AJ2422">
        <v>96.834817127630302</v>
      </c>
      <c r="AK2422">
        <v>12.195631937657</v>
      </c>
      <c r="AL2422">
        <v>87.129800062411405</v>
      </c>
      <c r="AM2422">
        <v>91.471431572940901</v>
      </c>
      <c r="AN2422">
        <v>0.99999999750699198</v>
      </c>
    </row>
    <row r="2423" spans="1:40" x14ac:dyDescent="0.25">
      <c r="A2423" t="str">
        <f>"20190312151033233"</f>
        <v>20190312151033233</v>
      </c>
      <c r="B2423" t="str">
        <f>"1552374633223039"</f>
        <v>1552374633223039</v>
      </c>
      <c r="C2423" t="s">
        <v>40</v>
      </c>
      <c r="D2423">
        <v>5.5764800000000001</v>
      </c>
      <c r="E2423">
        <v>0.46763260000000001</v>
      </c>
      <c r="F2423" t="s">
        <v>52</v>
      </c>
      <c r="G2423">
        <v>-451.6619</v>
      </c>
      <c r="H2423" s="1">
        <v>-5.5086019999999898E-7</v>
      </c>
      <c r="I2423">
        <v>282.2937</v>
      </c>
      <c r="J2423">
        <v>-439.64789999999999</v>
      </c>
      <c r="K2423">
        <v>1.1098460000000001</v>
      </c>
      <c r="L2423">
        <v>283.64069999999998</v>
      </c>
      <c r="M2423">
        <v>-0.99985460000000004</v>
      </c>
      <c r="N2423">
        <v>0</v>
      </c>
      <c r="O2423">
        <v>8.7720269999999999E-3</v>
      </c>
      <c r="P2423">
        <v>-0.9992048</v>
      </c>
      <c r="Q2423">
        <v>3.5857420000000001E-2</v>
      </c>
      <c r="R2423">
        <v>-1.7452499999999999E-2</v>
      </c>
      <c r="S2423">
        <v>-3.006348</v>
      </c>
      <c r="T2423">
        <v>-0.26745439999999998</v>
      </c>
      <c r="U2423">
        <v>-0.32363890000000001</v>
      </c>
      <c r="V2423">
        <v>-2.6216099999999999E-2</v>
      </c>
      <c r="W2423">
        <v>5.0475909999999999E-2</v>
      </c>
      <c r="X2423">
        <v>0.99838110000000002</v>
      </c>
      <c r="Y2423">
        <v>-0.11526749999999999</v>
      </c>
      <c r="Z2423">
        <v>-5.8793119999999898E-3</v>
      </c>
      <c r="AA2423">
        <v>0.99331709999999995</v>
      </c>
      <c r="AB2423">
        <v>45</v>
      </c>
      <c r="AC2423">
        <v>-12.013999999999999</v>
      </c>
      <c r="AD2423">
        <v>-1.10984655086019</v>
      </c>
      <c r="AE2423">
        <v>-1.34699999999998</v>
      </c>
      <c r="AF2423">
        <v>-1.4402084674662501</v>
      </c>
      <c r="AG2423">
        <v>-1.10984655086019</v>
      </c>
      <c r="AH2423">
        <v>11.901415183456299</v>
      </c>
      <c r="AI2423">
        <v>95.289249014728</v>
      </c>
      <c r="AJ2423">
        <v>96.899900265787494</v>
      </c>
      <c r="AK2423">
        <v>12.0395034434657</v>
      </c>
      <c r="AL2423">
        <v>87.106713795097306</v>
      </c>
      <c r="AM2423">
        <v>91.504161882220203</v>
      </c>
      <c r="AN2423">
        <v>0.99999996111337297</v>
      </c>
    </row>
    <row r="2424" spans="1:40" x14ac:dyDescent="0.25">
      <c r="A2424" t="str">
        <f>"20190312151033255"</f>
        <v>20190312151033255</v>
      </c>
      <c r="B2424" t="str">
        <f>"1552374633243535"</f>
        <v>1552374633243535</v>
      </c>
      <c r="C2424" t="s">
        <v>40</v>
      </c>
      <c r="D2424">
        <v>5.4221059999999897</v>
      </c>
      <c r="E2424">
        <v>0.4676362</v>
      </c>
      <c r="F2424" t="s">
        <v>52</v>
      </c>
      <c r="G2424">
        <v>-452.07119999999998</v>
      </c>
      <c r="H2424" s="1">
        <v>-3.3301669999999999E-7</v>
      </c>
      <c r="I2424">
        <v>282.2921</v>
      </c>
      <c r="J2424">
        <v>-440.08150000000001</v>
      </c>
      <c r="K2424">
        <v>1.1098479999999999</v>
      </c>
      <c r="L2424">
        <v>283.64449999999999</v>
      </c>
      <c r="M2424">
        <v>-0.99985460000000004</v>
      </c>
      <c r="N2424">
        <v>0</v>
      </c>
      <c r="O2424">
        <v>8.7720449999999991E-3</v>
      </c>
      <c r="P2424">
        <v>-0.99918240000000003</v>
      </c>
      <c r="Q2424">
        <v>3.6214839999999998E-2</v>
      </c>
      <c r="R2424">
        <v>-1.7989479999999999E-2</v>
      </c>
      <c r="S2424">
        <v>-3.0063170000000001</v>
      </c>
      <c r="T2424">
        <v>-0.26857350000000002</v>
      </c>
      <c r="U2424">
        <v>-0.32635500000000001</v>
      </c>
      <c r="V2424">
        <v>-2.675261E-2</v>
      </c>
      <c r="W2424">
        <v>5.0830699999999902E-2</v>
      </c>
      <c r="X2424">
        <v>0.99834889999999998</v>
      </c>
      <c r="Y2424">
        <v>-0.1161481</v>
      </c>
      <c r="Z2424">
        <v>-5.9427380000000004E-3</v>
      </c>
      <c r="AA2424">
        <v>0.99321409999999999</v>
      </c>
      <c r="AB2424">
        <v>45</v>
      </c>
      <c r="AC2424">
        <v>-11.9896999999999</v>
      </c>
      <c r="AD2424">
        <v>-1.1098483330166999</v>
      </c>
      <c r="AE2424">
        <v>-1.3523999999999801</v>
      </c>
      <c r="AF2424">
        <v>-1.4453047166256101</v>
      </c>
      <c r="AG2424">
        <v>-1.1098483330166999</v>
      </c>
      <c r="AH2424">
        <v>11.876884110603401</v>
      </c>
      <c r="AI2424">
        <v>95.299692057241799</v>
      </c>
      <c r="AJ2424">
        <v>96.938241354339695</v>
      </c>
      <c r="AK2424">
        <v>12.0158663950172</v>
      </c>
      <c r="AL2424">
        <v>87.0863597923653</v>
      </c>
      <c r="AM2424">
        <v>91.534979316899395</v>
      </c>
      <c r="AN2424">
        <v>0.99999999416775598</v>
      </c>
    </row>
    <row r="2425" spans="1:40" x14ac:dyDescent="0.25">
      <c r="A2425" t="str">
        <f>"20190312151033277"</f>
        <v>20190312151033277</v>
      </c>
      <c r="B2425" t="str">
        <f>"1552374633272813"</f>
        <v>1552374633272813</v>
      </c>
      <c r="C2425" t="s">
        <v>40</v>
      </c>
      <c r="D2425">
        <v>5.6315390000000001</v>
      </c>
      <c r="E2425">
        <v>0.46767049999999999</v>
      </c>
      <c r="F2425" t="s">
        <v>52</v>
      </c>
      <c r="G2425">
        <v>-452.43270000000001</v>
      </c>
      <c r="H2425" s="1">
        <v>-1.408076E-7</v>
      </c>
      <c r="I2425">
        <v>282.2962</v>
      </c>
      <c r="J2425">
        <v>-440.53809999999999</v>
      </c>
      <c r="K2425">
        <v>1.1098509999999999</v>
      </c>
      <c r="L2425">
        <v>283.64859999999999</v>
      </c>
      <c r="M2425">
        <v>-0.99985460000000004</v>
      </c>
      <c r="N2425">
        <v>0</v>
      </c>
      <c r="O2425">
        <v>8.7718840000000006E-3</v>
      </c>
      <c r="P2425">
        <v>-0.99916059999999995</v>
      </c>
      <c r="Q2425">
        <v>3.641639E-2</v>
      </c>
      <c r="R2425">
        <v>-1.8757369999999999E-2</v>
      </c>
      <c r="S2425">
        <v>-3.006348</v>
      </c>
      <c r="T2425">
        <v>-0.27014169999999998</v>
      </c>
      <c r="U2425">
        <v>-0.32818599999999998</v>
      </c>
      <c r="V2425">
        <v>-2.7520670000000001E-2</v>
      </c>
      <c r="W2425">
        <v>5.1029270000000002E-2</v>
      </c>
      <c r="X2425">
        <v>0.99831789999999998</v>
      </c>
      <c r="Y2425">
        <v>-0.1167367</v>
      </c>
      <c r="Z2425">
        <v>-6.0033419999999896E-3</v>
      </c>
      <c r="AA2425">
        <v>0.99314480000000005</v>
      </c>
      <c r="AB2425">
        <v>45</v>
      </c>
      <c r="AC2425">
        <v>-11.894600000000001</v>
      </c>
      <c r="AD2425">
        <v>-1.1098511408075999</v>
      </c>
      <c r="AE2425">
        <v>-1.3523999999999801</v>
      </c>
      <c r="AF2425">
        <v>-1.44428339020568</v>
      </c>
      <c r="AG2425">
        <v>-1.1098511408075999</v>
      </c>
      <c r="AH2425">
        <v>11.7810187489985</v>
      </c>
      <c r="AI2425">
        <v>95.342004445115805</v>
      </c>
      <c r="AJ2425">
        <v>96.989249220094905</v>
      </c>
      <c r="AK2425">
        <v>11.920995211400299</v>
      </c>
      <c r="AL2425">
        <v>87.074967806755893</v>
      </c>
      <c r="AM2425">
        <v>91.579075154727207</v>
      </c>
      <c r="AN2425">
        <v>1.0000000015671899</v>
      </c>
    </row>
    <row r="2426" spans="1:40" x14ac:dyDescent="0.25">
      <c r="A2426" t="str">
        <f>"20190312151033300"</f>
        <v>20190312151033300</v>
      </c>
      <c r="B2426" t="str">
        <f>"1552374633293309"</f>
        <v>1552374633293309</v>
      </c>
      <c r="C2426" t="s">
        <v>40</v>
      </c>
      <c r="D2426">
        <v>5.6373340000000001</v>
      </c>
      <c r="E2426">
        <v>0.467696</v>
      </c>
      <c r="F2426" t="s">
        <v>52</v>
      </c>
      <c r="G2426">
        <v>-452.74200000000002</v>
      </c>
      <c r="H2426" s="1">
        <v>2.324504E-8</v>
      </c>
      <c r="I2426">
        <v>282.30840000000001</v>
      </c>
      <c r="J2426">
        <v>-440.98849999999999</v>
      </c>
      <c r="K2426">
        <v>1.109853</v>
      </c>
      <c r="L2426">
        <v>283.65249999999997</v>
      </c>
      <c r="M2426">
        <v>-0.99985460000000004</v>
      </c>
      <c r="N2426">
        <v>0</v>
      </c>
      <c r="O2426">
        <v>8.7717230000000004E-3</v>
      </c>
      <c r="P2426">
        <v>-0.99913589999999997</v>
      </c>
      <c r="Q2426">
        <v>3.6792209999999999E-2</v>
      </c>
      <c r="R2426">
        <v>-1.9337529999999999E-2</v>
      </c>
      <c r="S2426">
        <v>-3.0062869999999999</v>
      </c>
      <c r="T2426">
        <v>-0.27339980000000003</v>
      </c>
      <c r="U2426">
        <v>-0.33013920000000002</v>
      </c>
      <c r="V2426">
        <v>-2.809946E-2</v>
      </c>
      <c r="W2426">
        <v>5.1402139999999999E-2</v>
      </c>
      <c r="X2426">
        <v>0.99828269999999997</v>
      </c>
      <c r="Y2426">
        <v>-0.1173616</v>
      </c>
      <c r="Z2426">
        <v>-6.1036229999999999E-3</v>
      </c>
      <c r="AA2426">
        <v>0.99307049999999997</v>
      </c>
      <c r="AB2426">
        <v>45</v>
      </c>
      <c r="AC2426">
        <v>-11.753499999999899</v>
      </c>
      <c r="AD2426">
        <v>-1.1098529767549501</v>
      </c>
      <c r="AE2426">
        <v>-1.3440999999999601</v>
      </c>
      <c r="AF2426">
        <v>-1.43453180312307</v>
      </c>
      <c r="AG2426">
        <v>-1.1098529767549501</v>
      </c>
      <c r="AH2426">
        <v>11.6388180211255</v>
      </c>
      <c r="AI2426">
        <v>95.406466844202996</v>
      </c>
      <c r="AJ2426">
        <v>97.026500390385294</v>
      </c>
      <c r="AK2426">
        <v>11.7792928502971</v>
      </c>
      <c r="AL2426">
        <v>87.053576010630394</v>
      </c>
      <c r="AM2426">
        <v>91.612324316099702</v>
      </c>
      <c r="AN2426">
        <v>1.0000000543840699</v>
      </c>
    </row>
    <row r="2427" spans="1:40" x14ac:dyDescent="0.25">
      <c r="A2427" t="str">
        <f>"20190312151033321"</f>
        <v>20190312151033321</v>
      </c>
      <c r="B2427" t="str">
        <f>"1552374633312829"</f>
        <v>1552374633312829</v>
      </c>
      <c r="C2427" t="s">
        <v>40</v>
      </c>
      <c r="D2427">
        <v>5.4184210000000004</v>
      </c>
      <c r="E2427">
        <v>0.4677173</v>
      </c>
      <c r="F2427" t="s">
        <v>52</v>
      </c>
      <c r="G2427">
        <v>-453.16269999999997</v>
      </c>
      <c r="H2427" s="1">
        <v>2.4713309999999999E-7</v>
      </c>
      <c r="I2427">
        <v>282.30849999999998</v>
      </c>
      <c r="J2427">
        <v>-441.43979999999999</v>
      </c>
      <c r="K2427">
        <v>1.109853</v>
      </c>
      <c r="L2427">
        <v>283.65649999999999</v>
      </c>
      <c r="M2427">
        <v>-0.99985469999999999</v>
      </c>
      <c r="N2427">
        <v>0</v>
      </c>
      <c r="O2427">
        <v>8.7715640000000008E-3</v>
      </c>
      <c r="P2427">
        <v>-0.99913359999999996</v>
      </c>
      <c r="Q2427">
        <v>3.6736970000000001E-2</v>
      </c>
      <c r="R2427">
        <v>-1.956886E-2</v>
      </c>
      <c r="S2427">
        <v>-3.006256</v>
      </c>
      <c r="T2427">
        <v>-0.27406199999999997</v>
      </c>
      <c r="U2427">
        <v>-0.33187870000000003</v>
      </c>
      <c r="V2427">
        <v>-2.8330890000000001E-2</v>
      </c>
      <c r="W2427">
        <v>5.1344050000000002E-2</v>
      </c>
      <c r="X2427">
        <v>0.99827909999999997</v>
      </c>
      <c r="Y2427">
        <v>-0.1179255</v>
      </c>
      <c r="Z2427">
        <v>-6.1437719999999996E-3</v>
      </c>
      <c r="AA2427">
        <v>0.99300339999999998</v>
      </c>
      <c r="AB2427">
        <v>45</v>
      </c>
      <c r="AC2427">
        <v>-11.7228999999999</v>
      </c>
      <c r="AD2427">
        <v>-1.1098527528669</v>
      </c>
      <c r="AE2427">
        <v>-1.3480000000000101</v>
      </c>
      <c r="AF2427">
        <v>-1.4380658920451299</v>
      </c>
      <c r="AG2427">
        <v>-1.1098527528669</v>
      </c>
      <c r="AH2427">
        <v>11.6079376612995</v>
      </c>
      <c r="AI2427">
        <v>95.420348207856406</v>
      </c>
      <c r="AJ2427">
        <v>97.062186170801098</v>
      </c>
      <c r="AK2427">
        <v>11.7492137350346</v>
      </c>
      <c r="AL2427">
        <v>87.056908580936494</v>
      </c>
      <c r="AM2427">
        <v>91.625602345582493</v>
      </c>
      <c r="AN2427">
        <v>1.0000000061476999</v>
      </c>
    </row>
    <row r="2428" spans="1:40" x14ac:dyDescent="0.25">
      <c r="A2428" t="str">
        <f>"20190312151033345"</f>
        <v>20190312151033345</v>
      </c>
      <c r="B2428" t="str">
        <f>"1552374633333325"</f>
        <v>1552374633333325</v>
      </c>
      <c r="C2428" t="s">
        <v>40</v>
      </c>
      <c r="D2428">
        <v>5.6338019999999904</v>
      </c>
      <c r="E2428">
        <v>0.46778209999999998</v>
      </c>
      <c r="F2428" t="s">
        <v>52</v>
      </c>
      <c r="G2428">
        <v>-453.51190000000003</v>
      </c>
      <c r="H2428" s="1">
        <v>4.3239399999999997E-7</v>
      </c>
      <c r="I2428">
        <v>282.32089999999999</v>
      </c>
      <c r="J2428">
        <v>-441.89490000000001</v>
      </c>
      <c r="K2428">
        <v>1.1098629999999901</v>
      </c>
      <c r="L2428">
        <v>283.66039999999998</v>
      </c>
      <c r="M2428">
        <v>-0.99985460000000004</v>
      </c>
      <c r="N2428">
        <v>0</v>
      </c>
      <c r="O2428">
        <v>8.7715850000000001E-3</v>
      </c>
      <c r="P2428">
        <v>-0.99913209999999997</v>
      </c>
      <c r="Q2428">
        <v>3.6625869999999998E-2</v>
      </c>
      <c r="R2428">
        <v>-1.9839039999999999E-2</v>
      </c>
      <c r="S2428">
        <v>-3.0062259999999998</v>
      </c>
      <c r="T2428">
        <v>-0.27637850000000003</v>
      </c>
      <c r="U2428">
        <v>-0.332580599999999</v>
      </c>
      <c r="V2428">
        <v>-2.8601430000000001E-2</v>
      </c>
      <c r="W2428">
        <v>5.1230230000000002E-2</v>
      </c>
      <c r="X2428">
        <v>0.99827719999999998</v>
      </c>
      <c r="Y2428">
        <v>-0.118145899999999</v>
      </c>
      <c r="Z2428">
        <v>-6.2055540000000003E-3</v>
      </c>
      <c r="AA2428">
        <v>0.99297679999999999</v>
      </c>
      <c r="AB2428">
        <v>45</v>
      </c>
      <c r="AC2428">
        <v>-11.617000000000001</v>
      </c>
      <c r="AD2428">
        <v>-1.1098625676060001</v>
      </c>
      <c r="AE2428">
        <v>-1.3394999999999799</v>
      </c>
      <c r="AF2428">
        <v>-1.42849141976564</v>
      </c>
      <c r="AG2428">
        <v>-1.1098625676060001</v>
      </c>
      <c r="AH2428">
        <v>11.501202689226799</v>
      </c>
      <c r="AI2428">
        <v>95.470184458846006</v>
      </c>
      <c r="AJ2428">
        <v>97.080086747488394</v>
      </c>
      <c r="AK2428">
        <v>11.642596186160301</v>
      </c>
      <c r="AL2428">
        <v>87.063438483359405</v>
      </c>
      <c r="AM2428">
        <v>91.641120373328704</v>
      </c>
      <c r="AN2428">
        <v>0.99999997315186795</v>
      </c>
    </row>
    <row r="2429" spans="1:40" x14ac:dyDescent="0.25">
      <c r="A2429" t="str">
        <f>"20190312151033367"</f>
        <v>20190312151033367</v>
      </c>
      <c r="B2429" t="str">
        <f>"1552374633362610"</f>
        <v>1552374633362610</v>
      </c>
      <c r="C2429" t="s">
        <v>40</v>
      </c>
      <c r="D2429">
        <v>5.3485740000000002</v>
      </c>
      <c r="E2429">
        <v>0.46772370000000002</v>
      </c>
      <c r="F2429" t="s">
        <v>52</v>
      </c>
      <c r="G2429">
        <v>-453.85239999999999</v>
      </c>
      <c r="H2429" s="1">
        <v>6.1294829999999997E-7</v>
      </c>
      <c r="I2429">
        <v>282.3365</v>
      </c>
      <c r="J2429">
        <v>-442.34910000000002</v>
      </c>
      <c r="K2429">
        <v>1.1098709999999901</v>
      </c>
      <c r="L2429">
        <v>283.6644</v>
      </c>
      <c r="M2429">
        <v>-0.99985460000000004</v>
      </c>
      <c r="N2429">
        <v>0</v>
      </c>
      <c r="O2429">
        <v>8.771427E-3</v>
      </c>
      <c r="P2429">
        <v>-0.99910889999999997</v>
      </c>
      <c r="Q2429">
        <v>3.7318509999999999E-2</v>
      </c>
      <c r="R2429">
        <v>-1.9722010000000002E-2</v>
      </c>
      <c r="S2429">
        <v>-3.006256</v>
      </c>
      <c r="T2429">
        <v>-0.2790319</v>
      </c>
      <c r="U2429">
        <v>-0.33285520000000002</v>
      </c>
      <c r="V2429">
        <v>-2.84838E-2</v>
      </c>
      <c r="W2429">
        <v>5.1919300000000002E-2</v>
      </c>
      <c r="X2429">
        <v>0.99824500000000005</v>
      </c>
      <c r="Y2429">
        <v>-0.1182238</v>
      </c>
      <c r="Z2429">
        <v>-6.2683679999999999E-3</v>
      </c>
      <c r="AA2429">
        <v>0.99296719999999905</v>
      </c>
      <c r="AB2429">
        <v>45</v>
      </c>
      <c r="AC2429">
        <v>-11.5032999999999</v>
      </c>
      <c r="AD2429">
        <v>-1.1098703870516999</v>
      </c>
      <c r="AE2429">
        <v>-1.3278999999999901</v>
      </c>
      <c r="AF2429">
        <v>-1.41575420877687</v>
      </c>
      <c r="AG2429">
        <v>-1.1098703870516999</v>
      </c>
      <c r="AH2429">
        <v>11.3866053696609</v>
      </c>
      <c r="AI2429">
        <v>95.524849045308201</v>
      </c>
      <c r="AJ2429">
        <v>97.087500892538301</v>
      </c>
      <c r="AK2429">
        <v>11.5278338858657</v>
      </c>
      <c r="AL2429">
        <v>87.023905175779007</v>
      </c>
      <c r="AM2429">
        <v>91.634427245057694</v>
      </c>
      <c r="AN2429">
        <v>1.00000001029996</v>
      </c>
    </row>
    <row r="2430" spans="1:40" x14ac:dyDescent="0.25">
      <c r="A2430" t="str">
        <f>"20190312151033389"</f>
        <v>20190312151033389</v>
      </c>
      <c r="B2430" t="str">
        <f>"1552374633383101"</f>
        <v>1552374633383101</v>
      </c>
      <c r="C2430" t="s">
        <v>40</v>
      </c>
      <c r="D2430">
        <v>5.4253799999999996</v>
      </c>
      <c r="E2430">
        <v>0.46771279999999998</v>
      </c>
      <c r="F2430" t="s">
        <v>52</v>
      </c>
      <c r="G2430">
        <v>-454.2373</v>
      </c>
      <c r="H2430" s="1">
        <v>8.1721659999999996E-7</v>
      </c>
      <c r="I2430">
        <v>282.34840000000003</v>
      </c>
      <c r="J2430">
        <v>-442.803</v>
      </c>
      <c r="K2430">
        <v>1.109877</v>
      </c>
      <c r="L2430">
        <v>283.66840000000002</v>
      </c>
      <c r="M2430">
        <v>-0.99985489999999999</v>
      </c>
      <c r="N2430">
        <v>0</v>
      </c>
      <c r="O2430">
        <v>8.7689259999999998E-3</v>
      </c>
      <c r="P2430">
        <v>-0.99909139999999996</v>
      </c>
      <c r="Q2430">
        <v>3.7708760000000001E-2</v>
      </c>
      <c r="R2430">
        <v>-1.9872810000000001E-2</v>
      </c>
      <c r="S2430">
        <v>-3.0065919999999999</v>
      </c>
      <c r="T2430">
        <v>-0.28069260000000001</v>
      </c>
      <c r="U2430">
        <v>-0.33282469999999997</v>
      </c>
      <c r="V2430">
        <v>-2.86322E-2</v>
      </c>
      <c r="W2430">
        <v>5.230692E-2</v>
      </c>
      <c r="X2430">
        <v>0.99822049999999996</v>
      </c>
      <c r="Y2430">
        <v>-0.1181931</v>
      </c>
      <c r="Z2430">
        <v>-6.3031619999999898E-3</v>
      </c>
      <c r="AA2430">
        <v>0.99297060000000004</v>
      </c>
      <c r="AB2430">
        <v>45</v>
      </c>
      <c r="AC2430">
        <v>-11.434299999999901</v>
      </c>
      <c r="AD2430">
        <v>-1.1098761827834001</v>
      </c>
      <c r="AE2430">
        <v>-1.3199999999999901</v>
      </c>
      <c r="AF2430">
        <v>-1.40714312372538</v>
      </c>
      <c r="AG2430">
        <v>-1.1098761827834001</v>
      </c>
      <c r="AH2430">
        <v>11.3170602708526</v>
      </c>
      <c r="AI2430">
        <v>95.558614819679903</v>
      </c>
      <c r="AJ2430">
        <v>97.087679423848996</v>
      </c>
      <c r="AK2430">
        <v>11.458085795012501</v>
      </c>
      <c r="AL2430">
        <v>87.001665911070205</v>
      </c>
      <c r="AM2430">
        <v>91.642978223428798</v>
      </c>
      <c r="AN2430">
        <v>0.99999999168848797</v>
      </c>
    </row>
    <row r="2431" spans="1:40" x14ac:dyDescent="0.25">
      <c r="A2431" t="str">
        <f>"20190312151033412"</f>
        <v>20190312151033412</v>
      </c>
      <c r="B2431" t="str">
        <f>"1552374633402622"</f>
        <v>1552374633402622</v>
      </c>
      <c r="C2431" t="s">
        <v>40</v>
      </c>
      <c r="D2431">
        <v>5.6383210000000004</v>
      </c>
      <c r="E2431">
        <v>0.46767229999999999</v>
      </c>
      <c r="F2431" t="s">
        <v>52</v>
      </c>
      <c r="G2431">
        <v>-454.66309999999999</v>
      </c>
      <c r="H2431" s="1">
        <v>1.0435850000000001E-6</v>
      </c>
      <c r="I2431">
        <v>282.35300000000001</v>
      </c>
      <c r="J2431">
        <v>-443.26170000000002</v>
      </c>
      <c r="K2431">
        <v>1.109885</v>
      </c>
      <c r="L2431">
        <v>283.67239999999998</v>
      </c>
      <c r="M2431">
        <v>-0.99985489999999999</v>
      </c>
      <c r="N2431">
        <v>0</v>
      </c>
      <c r="O2431">
        <v>8.7562790000000005E-3</v>
      </c>
      <c r="P2431">
        <v>-0.99907230000000002</v>
      </c>
      <c r="Q2431">
        <v>3.7880469999999999E-2</v>
      </c>
      <c r="R2431">
        <v>-2.048912E-2</v>
      </c>
      <c r="S2431">
        <v>-3.0066830000000002</v>
      </c>
      <c r="T2431">
        <v>-0.28136889999999998</v>
      </c>
      <c r="U2431">
        <v>-0.33346559999999997</v>
      </c>
      <c r="V2431">
        <v>-2.9236450000000001E-2</v>
      </c>
      <c r="W2431">
        <v>5.2475019999999997E-2</v>
      </c>
      <c r="X2431">
        <v>0.99819420000000003</v>
      </c>
      <c r="Y2431">
        <v>-0.118383</v>
      </c>
      <c r="Z2431">
        <v>-6.3256789999999999E-3</v>
      </c>
      <c r="AA2431">
        <v>0.99294789999999999</v>
      </c>
      <c r="AB2431">
        <v>45</v>
      </c>
      <c r="AC2431">
        <v>-11.401399999999899</v>
      </c>
      <c r="AD2431">
        <v>-1.109883956415</v>
      </c>
      <c r="AE2431">
        <v>-1.3193999999999699</v>
      </c>
      <c r="AF2431">
        <v>-1.40604586914907</v>
      </c>
      <c r="AG2431">
        <v>-1.109883956415</v>
      </c>
      <c r="AH2431">
        <v>11.283892050261899</v>
      </c>
      <c r="AI2431">
        <v>95.574707863234295</v>
      </c>
      <c r="AJ2431">
        <v>97.102814117369803</v>
      </c>
      <c r="AK2431">
        <v>11.425192654166599</v>
      </c>
      <c r="AL2431">
        <v>86.992021358249204</v>
      </c>
      <c r="AM2431">
        <v>91.677675975936097</v>
      </c>
      <c r="AN2431">
        <v>1.0000000293231199</v>
      </c>
    </row>
    <row r="2432" spans="1:40" x14ac:dyDescent="0.25">
      <c r="A2432" t="str">
        <f>"20190312151033434"</f>
        <v>20190312151033434</v>
      </c>
      <c r="B2432" t="str">
        <f>"1552374633423118"</f>
        <v>1552374633423118</v>
      </c>
      <c r="C2432" t="s">
        <v>40</v>
      </c>
      <c r="D2432">
        <v>5.5685010000000004</v>
      </c>
      <c r="E2432">
        <v>0.46763369999999999</v>
      </c>
      <c r="F2432" t="s">
        <v>52</v>
      </c>
      <c r="G2432">
        <v>-455.04349999999999</v>
      </c>
      <c r="H2432" s="1">
        <v>1.2458870000000001E-6</v>
      </c>
      <c r="I2432">
        <v>282.35660000000001</v>
      </c>
      <c r="J2432">
        <v>-443.71269999999998</v>
      </c>
      <c r="K2432">
        <v>1.109907</v>
      </c>
      <c r="L2432">
        <v>283.67630000000003</v>
      </c>
      <c r="M2432">
        <v>-0.9998553</v>
      </c>
      <c r="N2432">
        <v>0</v>
      </c>
      <c r="O2432">
        <v>8.7211359999999905E-3</v>
      </c>
      <c r="P2432">
        <v>-0.9990367</v>
      </c>
      <c r="Q2432">
        <v>3.8386860000000002E-2</v>
      </c>
      <c r="R2432">
        <v>-2.1263859999999999E-2</v>
      </c>
      <c r="S2432">
        <v>-3.0066830000000002</v>
      </c>
      <c r="T2432">
        <v>-0.2832382</v>
      </c>
      <c r="U2432">
        <v>-0.3357849</v>
      </c>
      <c r="V2432">
        <v>-2.9977210000000001E-2</v>
      </c>
      <c r="W2432">
        <v>5.29769E-2</v>
      </c>
      <c r="X2432">
        <v>0.99814570000000002</v>
      </c>
      <c r="Y2432">
        <v>-0.1190944</v>
      </c>
      <c r="Z2432">
        <v>-6.3972919999999997E-3</v>
      </c>
      <c r="AA2432">
        <v>0.99286229999999998</v>
      </c>
      <c r="AB2432">
        <v>45</v>
      </c>
      <c r="AC2432">
        <v>-11.3308</v>
      </c>
      <c r="AD2432">
        <v>-1.109905754113</v>
      </c>
      <c r="AE2432">
        <v>-1.3197000000000101</v>
      </c>
      <c r="AF2432">
        <v>-1.40517539501183</v>
      </c>
      <c r="AG2432">
        <v>-1.109905754113</v>
      </c>
      <c r="AH2432">
        <v>11.212710944150601</v>
      </c>
      <c r="AI2432">
        <v>95.609492673923</v>
      </c>
      <c r="AJ2432">
        <v>97.143060465128798</v>
      </c>
      <c r="AK2432">
        <v>11.3547917370084</v>
      </c>
      <c r="AL2432">
        <v>86.963225645313102</v>
      </c>
      <c r="AM2432">
        <v>91.7202413363121</v>
      </c>
      <c r="AN2432">
        <v>1.0000000117407399</v>
      </c>
    </row>
    <row r="2433" spans="1:40" x14ac:dyDescent="0.25">
      <c r="A2433" t="str">
        <f>"20190312151033456"</f>
        <v>20190312151033456</v>
      </c>
      <c r="B2433" t="str">
        <f>"1552374633453374"</f>
        <v>1552374633453374</v>
      </c>
      <c r="C2433" t="s">
        <v>40</v>
      </c>
      <c r="D2433">
        <v>5.6936739999999997</v>
      </c>
      <c r="E2433">
        <v>0.46757080000000001</v>
      </c>
      <c r="F2433" t="s">
        <v>52</v>
      </c>
      <c r="G2433">
        <v>-455.49180000000001</v>
      </c>
      <c r="H2433" s="1">
        <v>1.4847559999999901E-6</v>
      </c>
      <c r="I2433">
        <v>282.34989999999999</v>
      </c>
      <c r="J2433">
        <v>-444.14519999999999</v>
      </c>
      <c r="K2433">
        <v>1.109937</v>
      </c>
      <c r="L2433">
        <v>283.68009999999998</v>
      </c>
      <c r="M2433">
        <v>-0.99985590000000002</v>
      </c>
      <c r="N2433">
        <v>0</v>
      </c>
      <c r="O2433">
        <v>8.6510430000000006E-3</v>
      </c>
      <c r="P2433">
        <v>-0.99899749999999998</v>
      </c>
      <c r="Q2433">
        <v>3.8958489999999998E-2</v>
      </c>
      <c r="R2433">
        <v>-2.205149E-2</v>
      </c>
      <c r="S2433">
        <v>-3.0065309999999998</v>
      </c>
      <c r="T2433">
        <v>-0.2832943</v>
      </c>
      <c r="U2433">
        <v>-0.33856199999999997</v>
      </c>
      <c r="V2433">
        <v>-3.0697820000000001E-2</v>
      </c>
      <c r="W2433">
        <v>5.3543529999999999E-2</v>
      </c>
      <c r="X2433">
        <v>0.99809349999999997</v>
      </c>
      <c r="Y2433">
        <v>-0.1199325</v>
      </c>
      <c r="Z2433">
        <v>-6.4312519999999897E-3</v>
      </c>
      <c r="AA2433">
        <v>0.99276120000000001</v>
      </c>
      <c r="AB2433">
        <v>45</v>
      </c>
      <c r="AC2433">
        <v>-11.3466</v>
      </c>
      <c r="AD2433">
        <v>-1.109935515244</v>
      </c>
      <c r="AE2433">
        <v>-1.3301999999999901</v>
      </c>
      <c r="AF2433">
        <v>-1.41496445583728</v>
      </c>
      <c r="AG2433">
        <v>-1.109935515244</v>
      </c>
      <c r="AH2433">
        <v>11.228676576811299</v>
      </c>
      <c r="AI2433">
        <v>95.601239161786907</v>
      </c>
      <c r="AJ2433">
        <v>97.182183189335007</v>
      </c>
      <c r="AK2433">
        <v>11.371774660355999</v>
      </c>
      <c r="AL2433">
        <v>86.930713803951903</v>
      </c>
      <c r="AM2433">
        <v>91.7616598431851</v>
      </c>
      <c r="AN2433">
        <v>0.99999995024993005</v>
      </c>
    </row>
    <row r="2434" spans="1:40" x14ac:dyDescent="0.25">
      <c r="A2434" t="str">
        <f>"20190312151033478"</f>
        <v>20190312151033478</v>
      </c>
      <c r="B2434" t="str">
        <f>"1552374633472894"</f>
        <v>1552374633472894</v>
      </c>
      <c r="C2434" t="s">
        <v>40</v>
      </c>
      <c r="D2434">
        <v>5.3807070000000001</v>
      </c>
      <c r="E2434">
        <v>0.4675222</v>
      </c>
      <c r="F2434" t="s">
        <v>52</v>
      </c>
      <c r="G2434">
        <v>-455.89170000000001</v>
      </c>
      <c r="H2434" s="1">
        <v>1.6977559999999999E-6</v>
      </c>
      <c r="I2434">
        <v>282.34519999999998</v>
      </c>
      <c r="J2434">
        <v>-444.59769999999997</v>
      </c>
      <c r="K2434">
        <v>1.109985</v>
      </c>
      <c r="L2434">
        <v>283.68389999999999</v>
      </c>
      <c r="M2434">
        <v>-0.99985690000000005</v>
      </c>
      <c r="N2434">
        <v>0</v>
      </c>
      <c r="O2434">
        <v>8.5246519999999902E-3</v>
      </c>
      <c r="P2434">
        <v>-0.99893399999999999</v>
      </c>
      <c r="Q2434">
        <v>3.9680140000000003E-2</v>
      </c>
      <c r="R2434">
        <v>-2.3592729999999999E-2</v>
      </c>
      <c r="S2434">
        <v>-3.006561</v>
      </c>
      <c r="T2434">
        <v>-0.28409299999999998</v>
      </c>
      <c r="U2434">
        <v>-0.3416748</v>
      </c>
      <c r="V2434">
        <v>-3.2117670000000001E-2</v>
      </c>
      <c r="W2434">
        <v>5.4257739999999999E-2</v>
      </c>
      <c r="X2434">
        <v>0.99801030000000002</v>
      </c>
      <c r="Y2434">
        <v>-0.1208143</v>
      </c>
      <c r="Z2434">
        <v>-6.4784229999999996E-3</v>
      </c>
      <c r="AA2434">
        <v>0.99265400000000004</v>
      </c>
      <c r="AB2434">
        <v>45</v>
      </c>
      <c r="AC2434">
        <v>-11.294</v>
      </c>
      <c r="AD2434">
        <v>-1.109983302244</v>
      </c>
      <c r="AE2434">
        <v>-1.33870000000001</v>
      </c>
      <c r="AF2434">
        <v>-1.4213998068548299</v>
      </c>
      <c r="AG2434">
        <v>-1.109983302244</v>
      </c>
      <c r="AH2434">
        <v>11.175724396680099</v>
      </c>
      <c r="AI2434">
        <v>95.627032252576001</v>
      </c>
      <c r="AJ2434">
        <v>97.248325466260098</v>
      </c>
      <c r="AK2434">
        <v>11.3203028286676</v>
      </c>
      <c r="AL2434">
        <v>86.889733172933006</v>
      </c>
      <c r="AM2434">
        <v>91.843239549564501</v>
      </c>
      <c r="AN2434">
        <v>1.00000000299111</v>
      </c>
    </row>
    <row r="2435" spans="1:40" x14ac:dyDescent="0.25">
      <c r="A2435" t="str">
        <f>"20190312151033500"</f>
        <v>20190312151033500</v>
      </c>
      <c r="B2435" t="str">
        <f>"1552374633492921"</f>
        <v>1552374633492921</v>
      </c>
      <c r="C2435" t="s">
        <v>40</v>
      </c>
      <c r="D2435">
        <v>5.3965740000000002</v>
      </c>
      <c r="E2435">
        <v>0.46752690000000002</v>
      </c>
      <c r="F2435" t="s">
        <v>52</v>
      </c>
      <c r="G2435">
        <v>-456.36270000000002</v>
      </c>
      <c r="H2435" s="1">
        <v>1.9492069999999999E-6</v>
      </c>
      <c r="I2435">
        <v>282.32639999999998</v>
      </c>
      <c r="J2435">
        <v>-445.0455</v>
      </c>
      <c r="K2435">
        <v>1.1100429999999999</v>
      </c>
      <c r="L2435">
        <v>283.6875</v>
      </c>
      <c r="M2435">
        <v>-0.99985869999999999</v>
      </c>
      <c r="N2435">
        <v>0</v>
      </c>
      <c r="O2435">
        <v>8.3313789999999999E-3</v>
      </c>
      <c r="P2435">
        <v>-0.99887499999999996</v>
      </c>
      <c r="Q2435">
        <v>4.0180599999999997E-2</v>
      </c>
      <c r="R2435">
        <v>-2.5189639999999999E-2</v>
      </c>
      <c r="S2435">
        <v>-3.006256</v>
      </c>
      <c r="T2435">
        <v>-0.28362910000000002</v>
      </c>
      <c r="U2435">
        <v>-0.34686280000000003</v>
      </c>
      <c r="V2435">
        <v>-3.352774E-2</v>
      </c>
      <c r="W2435">
        <v>5.4750060000000003E-2</v>
      </c>
      <c r="X2435">
        <v>0.99793699999999996</v>
      </c>
      <c r="Y2435">
        <v>-0.1223206</v>
      </c>
      <c r="Z2435">
        <v>-6.5204379999999999E-3</v>
      </c>
      <c r="AA2435">
        <v>0.9924693</v>
      </c>
      <c r="AB2435">
        <v>45</v>
      </c>
      <c r="AC2435">
        <v>-11.3172</v>
      </c>
      <c r="AD2435">
        <v>-1.1100410507930001</v>
      </c>
      <c r="AE2435">
        <v>-1.36110000000002</v>
      </c>
      <c r="AF2435">
        <v>-1.4416786941147599</v>
      </c>
      <c r="AG2435">
        <v>-1.1100410507930001</v>
      </c>
      <c r="AH2435">
        <v>11.199259228737001</v>
      </c>
      <c r="AI2435">
        <v>95.614489061574204</v>
      </c>
      <c r="AJ2435">
        <v>97.335334412820501</v>
      </c>
      <c r="AK2435">
        <v>11.3461022322189</v>
      </c>
      <c r="AL2435">
        <v>86.861483210325304</v>
      </c>
      <c r="AM2435">
        <v>91.924245422971495</v>
      </c>
      <c r="AN2435">
        <v>0.99999996719425499</v>
      </c>
    </row>
    <row r="2436" spans="1:40" x14ac:dyDescent="0.25">
      <c r="A2436" t="str">
        <f>"20190312151033523"</f>
        <v>20190312151033523</v>
      </c>
      <c r="B2436" t="str">
        <f>"1552374633513416"</f>
        <v>1552374633513416</v>
      </c>
      <c r="C2436" t="s">
        <v>40</v>
      </c>
      <c r="D2436">
        <v>5.4017549999999996</v>
      </c>
      <c r="E2436">
        <v>0.46746749999999998</v>
      </c>
      <c r="F2436" t="s">
        <v>52</v>
      </c>
      <c r="G2436">
        <v>-456.80099999999999</v>
      </c>
      <c r="H2436" s="1">
        <v>2.1830780000000001E-6</v>
      </c>
      <c r="I2436">
        <v>282.31259999999997</v>
      </c>
      <c r="J2436">
        <v>-445.4948</v>
      </c>
      <c r="K2436">
        <v>1.1101049999999999</v>
      </c>
      <c r="L2436">
        <v>283.69099999999997</v>
      </c>
      <c r="M2436">
        <v>-0.99986079999999999</v>
      </c>
      <c r="N2436">
        <v>0</v>
      </c>
      <c r="O2436">
        <v>8.0753100000000005E-3</v>
      </c>
      <c r="P2436">
        <v>-0.99878639999999996</v>
      </c>
      <c r="Q2436">
        <v>4.1174799999999998E-2</v>
      </c>
      <c r="R2436">
        <v>-2.7028670000000001E-2</v>
      </c>
      <c r="S2436">
        <v>-3.00589</v>
      </c>
      <c r="T2436">
        <v>-0.28383849999999999</v>
      </c>
      <c r="U2436">
        <v>-0.3515625</v>
      </c>
      <c r="V2436">
        <v>-3.5118469999999999E-2</v>
      </c>
      <c r="W2436">
        <v>5.5734659999999998E-2</v>
      </c>
      <c r="X2436">
        <v>0.99782780000000004</v>
      </c>
      <c r="Y2436">
        <v>-0.1236058</v>
      </c>
      <c r="Z2436">
        <v>-6.5617230000000002E-3</v>
      </c>
      <c r="AA2436">
        <v>0.99230969999999996</v>
      </c>
      <c r="AB2436">
        <v>45</v>
      </c>
      <c r="AC2436">
        <v>-11.306199999999899</v>
      </c>
      <c r="AD2436">
        <v>-1.110102816922</v>
      </c>
      <c r="AE2436">
        <v>-1.3783999999999901</v>
      </c>
      <c r="AF2436">
        <v>-1.4558366147316499</v>
      </c>
      <c r="AG2436">
        <v>-1.110102816922</v>
      </c>
      <c r="AH2436">
        <v>11.1884184283099</v>
      </c>
      <c r="AI2436">
        <v>95.619216943056699</v>
      </c>
      <c r="AJ2436">
        <v>97.413671283742403</v>
      </c>
      <c r="AK2436">
        <v>11.3372172705597</v>
      </c>
      <c r="AL2436">
        <v>86.804983574470995</v>
      </c>
      <c r="AM2436">
        <v>92.015688408367197</v>
      </c>
      <c r="AN2436">
        <v>0.99999998885664798</v>
      </c>
    </row>
    <row r="2437" spans="1:40" x14ac:dyDescent="0.25">
      <c r="A2437" t="str">
        <f>"20190312151033545"</f>
        <v>20190312151033545</v>
      </c>
      <c r="B2437" t="str">
        <f>"1552374633543673"</f>
        <v>1552374633543673</v>
      </c>
      <c r="C2437" t="s">
        <v>40</v>
      </c>
      <c r="D2437">
        <v>5.2730050000000004</v>
      </c>
      <c r="E2437">
        <v>0.4674681</v>
      </c>
      <c r="F2437" t="s">
        <v>52</v>
      </c>
      <c r="G2437">
        <v>-457.29090000000002</v>
      </c>
      <c r="H2437" s="1">
        <v>2.4448560000000001E-6</v>
      </c>
      <c r="I2437">
        <v>282.28769999999997</v>
      </c>
      <c r="J2437">
        <v>-445.93680000000001</v>
      </c>
      <c r="K2437">
        <v>1.1101700000000001</v>
      </c>
      <c r="L2437">
        <v>283.6943</v>
      </c>
      <c r="M2437">
        <v>-0.99986339999999996</v>
      </c>
      <c r="N2437">
        <v>0</v>
      </c>
      <c r="O2437">
        <v>7.7570149999999999E-3</v>
      </c>
      <c r="P2437">
        <v>-0.99868400000000002</v>
      </c>
      <c r="Q2437">
        <v>4.211604E-2</v>
      </c>
      <c r="R2437">
        <v>-2.9274939999999999E-2</v>
      </c>
      <c r="S2437">
        <v>-3.005585</v>
      </c>
      <c r="T2437">
        <v>-0.28284920000000002</v>
      </c>
      <c r="U2437">
        <v>-0.35757450000000002</v>
      </c>
      <c r="V2437">
        <v>-3.7054869999999997E-2</v>
      </c>
      <c r="W2437">
        <v>5.6665399999999998E-2</v>
      </c>
      <c r="X2437">
        <v>0.99770530000000002</v>
      </c>
      <c r="Y2437">
        <v>-0.12525720000000001</v>
      </c>
      <c r="Z2437">
        <v>-6.5863240000000002E-3</v>
      </c>
      <c r="AA2437">
        <v>0.99210240000000005</v>
      </c>
      <c r="AB2437">
        <v>45</v>
      </c>
      <c r="AC2437">
        <v>-11.354100000000001</v>
      </c>
      <c r="AD2437">
        <v>-1.110167555144</v>
      </c>
      <c r="AE2437">
        <v>-1.4066000000000201</v>
      </c>
      <c r="AF2437">
        <v>-1.4806990205150701</v>
      </c>
      <c r="AG2437">
        <v>-1.110167555144</v>
      </c>
      <c r="AH2437">
        <v>11.2370404869078</v>
      </c>
      <c r="AI2437">
        <v>95.594201185298999</v>
      </c>
      <c r="AJ2437">
        <v>97.506588500539095</v>
      </c>
      <c r="AK2437">
        <v>11.3884160660846</v>
      </c>
      <c r="AL2437">
        <v>86.751571550281199</v>
      </c>
      <c r="AM2437">
        <v>92.126993093301493</v>
      </c>
      <c r="AN2437">
        <v>0.999999948297982</v>
      </c>
    </row>
    <row r="2438" spans="1:40" x14ac:dyDescent="0.25">
      <c r="A2438" t="str">
        <f>"20190312151033568"</f>
        <v>20190312151033568</v>
      </c>
      <c r="B2438" t="str">
        <f>"1552374633563192"</f>
        <v>1552374633563192</v>
      </c>
      <c r="C2438" t="s">
        <v>40</v>
      </c>
      <c r="D2438">
        <v>5.4958179999999999</v>
      </c>
      <c r="E2438">
        <v>0.46757660000000001</v>
      </c>
      <c r="F2438" t="s">
        <v>52</v>
      </c>
      <c r="G2438">
        <v>-457.74790000000002</v>
      </c>
      <c r="H2438" s="1">
        <v>2.6891580000000001E-6</v>
      </c>
      <c r="I2438">
        <v>282.262</v>
      </c>
      <c r="J2438">
        <v>-446.38959999999997</v>
      </c>
      <c r="K2438">
        <v>1.1102399999999999</v>
      </c>
      <c r="L2438">
        <v>283.69749999999999</v>
      </c>
      <c r="M2438">
        <v>-0.99986649999999999</v>
      </c>
      <c r="N2438">
        <v>0</v>
      </c>
      <c r="O2438">
        <v>7.3547980000000001E-3</v>
      </c>
      <c r="P2438">
        <v>-0.99859699999999996</v>
      </c>
      <c r="Q2438">
        <v>4.3028610000000002E-2</v>
      </c>
      <c r="R2438">
        <v>-3.0867599999999999E-2</v>
      </c>
      <c r="S2438">
        <v>-3.005188</v>
      </c>
      <c r="T2438">
        <v>-0.28246949999999998</v>
      </c>
      <c r="U2438">
        <v>-0.36444090000000001</v>
      </c>
      <c r="V2438">
        <v>-3.8255549999999999E-2</v>
      </c>
      <c r="W2438">
        <v>5.7567050000000002E-2</v>
      </c>
      <c r="X2438">
        <v>0.99760839999999995</v>
      </c>
      <c r="Y2438">
        <v>-0.1271032</v>
      </c>
      <c r="Z2438">
        <v>-6.6261480000000001E-3</v>
      </c>
      <c r="AA2438">
        <v>0.99186739999999995</v>
      </c>
      <c r="AB2438">
        <v>45</v>
      </c>
      <c r="AC2438">
        <v>-11.3583</v>
      </c>
      <c r="AD2438">
        <v>-1.1102373108419901</v>
      </c>
      <c r="AE2438">
        <v>-1.43549999999999</v>
      </c>
      <c r="AF2438">
        <v>-1.5048560600813301</v>
      </c>
      <c r="AG2438">
        <v>-1.1102373108419901</v>
      </c>
      <c r="AH2438">
        <v>11.241714207206</v>
      </c>
      <c r="AI2438">
        <v>95.590720767093103</v>
      </c>
      <c r="AJ2438">
        <v>97.624491272423796</v>
      </c>
      <c r="AK2438">
        <v>11.3961992332727</v>
      </c>
      <c r="AL2438">
        <v>86.699826458754998</v>
      </c>
      <c r="AM2438">
        <v>92.196060206120706</v>
      </c>
      <c r="AN2438">
        <v>0.99999998605103202</v>
      </c>
    </row>
    <row r="2439" spans="1:40" x14ac:dyDescent="0.25">
      <c r="A2439" t="str">
        <f>"20190312151033589"</f>
        <v>20190312151033589</v>
      </c>
      <c r="B2439" t="str">
        <f>"1552374633583693"</f>
        <v>1552374633583693</v>
      </c>
      <c r="C2439" t="s">
        <v>40</v>
      </c>
      <c r="D2439">
        <v>5.400671</v>
      </c>
      <c r="E2439">
        <v>0.48957790000000001</v>
      </c>
      <c r="F2439" t="s">
        <v>52</v>
      </c>
      <c r="G2439">
        <v>-458.30759999999998</v>
      </c>
      <c r="H2439" s="1">
        <v>2.9881580000000001E-6</v>
      </c>
      <c r="I2439">
        <v>282.23590000000002</v>
      </c>
      <c r="J2439">
        <v>-446.83510000000001</v>
      </c>
      <c r="K2439">
        <v>1.110317</v>
      </c>
      <c r="L2439">
        <v>283.7004</v>
      </c>
      <c r="M2439">
        <v>-0.99986989999999998</v>
      </c>
      <c r="N2439">
        <v>0</v>
      </c>
      <c r="O2439">
        <v>6.8799409999999997E-3</v>
      </c>
      <c r="P2439">
        <v>-0.99849299999999996</v>
      </c>
      <c r="Q2439">
        <v>4.4037449999999999E-2</v>
      </c>
      <c r="R2439">
        <v>-3.2745570000000002E-2</v>
      </c>
      <c r="S2439">
        <v>-3.0049130000000002</v>
      </c>
      <c r="T2439">
        <v>-0.27992699999999998</v>
      </c>
      <c r="U2439">
        <v>-0.36853029999999998</v>
      </c>
      <c r="V2439">
        <v>-3.9668870000000002E-2</v>
      </c>
      <c r="W2439">
        <v>5.856339E-2</v>
      </c>
      <c r="X2439">
        <v>0.99749520000000003</v>
      </c>
      <c r="Y2439">
        <v>-0.1279817</v>
      </c>
      <c r="Z2439">
        <v>-6.5635110000000002E-3</v>
      </c>
      <c r="AA2439">
        <v>0.99175480000000005</v>
      </c>
      <c r="AB2439">
        <v>45</v>
      </c>
      <c r="AC2439">
        <v>-11.472499999999901</v>
      </c>
      <c r="AD2439">
        <v>-1.1103140118420001</v>
      </c>
      <c r="AE2439">
        <v>-1.4644999999999799</v>
      </c>
      <c r="AF2439">
        <v>-1.5293093162943601</v>
      </c>
      <c r="AG2439">
        <v>-1.1103140118420001</v>
      </c>
      <c r="AH2439">
        <v>11.3574779960437</v>
      </c>
      <c r="AI2439">
        <v>95.533899528663596</v>
      </c>
      <c r="AJ2439">
        <v>97.668875665863595</v>
      </c>
      <c r="AK2439">
        <v>11.513639329960601</v>
      </c>
      <c r="AL2439">
        <v>86.642643885965398</v>
      </c>
      <c r="AM2439">
        <v>92.277366111617695</v>
      </c>
      <c r="AN2439">
        <v>0.99999998195920403</v>
      </c>
    </row>
    <row r="2440" spans="1:40" x14ac:dyDescent="0.25">
      <c r="A2440" t="str">
        <f>"20190312151033613"</f>
        <v>20190312151033613</v>
      </c>
      <c r="B2440" t="str">
        <f>"1552374633603502"</f>
        <v>1552374633603502</v>
      </c>
      <c r="C2440" t="s">
        <v>40</v>
      </c>
      <c r="D2440">
        <v>5.3745279999999998</v>
      </c>
      <c r="E2440">
        <v>0.49065360000000002</v>
      </c>
      <c r="F2440" t="s">
        <v>52</v>
      </c>
      <c r="G2440">
        <v>-460.05770000000001</v>
      </c>
      <c r="H2440" s="1">
        <v>-1.4280929999999999E-6</v>
      </c>
      <c r="I2440">
        <v>282.83179999999999</v>
      </c>
      <c r="J2440">
        <v>-447.28960000000001</v>
      </c>
      <c r="K2440">
        <v>1.1103959999999999</v>
      </c>
      <c r="L2440">
        <v>283.70310000000001</v>
      </c>
      <c r="M2440">
        <v>-0.99987369999999998</v>
      </c>
      <c r="N2440">
        <v>0</v>
      </c>
      <c r="O2440">
        <v>6.3140790000000002E-3</v>
      </c>
      <c r="P2440">
        <v>-0.99839789999999995</v>
      </c>
      <c r="Q2440">
        <v>4.4694280000000003E-2</v>
      </c>
      <c r="R2440">
        <v>-3.4706050000000002E-2</v>
      </c>
      <c r="S2440">
        <v>-3.0092159999999999</v>
      </c>
      <c r="T2440">
        <v>-0.25268770000000002</v>
      </c>
      <c r="U2440">
        <v>-0.19766239999999999</v>
      </c>
      <c r="V2440">
        <v>-4.1076130000000002E-2</v>
      </c>
      <c r="W2440">
        <v>5.9207429999999998E-2</v>
      </c>
      <c r="X2440">
        <v>0.99740019999999996</v>
      </c>
      <c r="Y2440">
        <v>-7.1571319999999994E-2</v>
      </c>
      <c r="Z2440">
        <v>-3.525261E-3</v>
      </c>
      <c r="AA2440">
        <v>0.99742929999999996</v>
      </c>
      <c r="AB2440">
        <v>45</v>
      </c>
      <c r="AC2440">
        <v>-12.7681</v>
      </c>
      <c r="AD2440">
        <v>-1.110397428093</v>
      </c>
      <c r="AE2440">
        <v>-0.87130000000001895</v>
      </c>
      <c r="AF2440">
        <v>-0.94479744548501798</v>
      </c>
      <c r="AG2440">
        <v>-1.110397428093</v>
      </c>
      <c r="AH2440">
        <v>12.6669847800411</v>
      </c>
      <c r="AI2440">
        <v>94.995977765128103</v>
      </c>
      <c r="AJ2440">
        <v>94.265644532723698</v>
      </c>
      <c r="AK2440">
        <v>12.7506128511183</v>
      </c>
      <c r="AL2440">
        <v>86.6056789049711</v>
      </c>
      <c r="AM2440">
        <v>92.358290774965099</v>
      </c>
      <c r="AN2440">
        <v>0.99999996359151</v>
      </c>
    </row>
    <row r="2441" spans="1:40" x14ac:dyDescent="0.25">
      <c r="A2441" t="str">
        <f>"20190312151033659"</f>
        <v>20190312151033659</v>
      </c>
      <c r="B2441" t="str">
        <f>"1552374633653279"</f>
        <v>1552374633653279</v>
      </c>
      <c r="C2441" t="s">
        <v>40</v>
      </c>
      <c r="D2441">
        <v>5.4243040000000002</v>
      </c>
      <c r="E2441">
        <v>0.49070920000000001</v>
      </c>
      <c r="F2441" t="s">
        <v>52</v>
      </c>
      <c r="G2441">
        <v>-462.5412</v>
      </c>
      <c r="H2441" s="1">
        <v>-1.0169539999999999E-7</v>
      </c>
      <c r="I2441">
        <v>282.72250000000003</v>
      </c>
      <c r="J2441">
        <v>-448.19150000000002</v>
      </c>
      <c r="K2441">
        <v>1.1105750000000001</v>
      </c>
      <c r="L2441">
        <v>283.70740000000001</v>
      </c>
      <c r="M2441">
        <v>-0.99988140000000003</v>
      </c>
      <c r="N2441">
        <v>0</v>
      </c>
      <c r="O2441">
        <v>4.9553389999999996E-3</v>
      </c>
      <c r="P2441">
        <v>-0.99817520000000004</v>
      </c>
      <c r="Q2441">
        <v>4.6679270000000002E-2</v>
      </c>
      <c r="R2441">
        <v>-3.8306420000000001E-2</v>
      </c>
      <c r="S2441">
        <v>-3.0079039999999999</v>
      </c>
      <c r="T2441">
        <v>-0.21899089999999999</v>
      </c>
      <c r="U2441">
        <v>-0.1933899</v>
      </c>
      <c r="V2441">
        <v>-4.334615E-2</v>
      </c>
      <c r="W2441">
        <v>6.1164629999999998E-2</v>
      </c>
      <c r="X2441">
        <v>0.99718609999999996</v>
      </c>
      <c r="Y2441">
        <v>-6.891158E-2</v>
      </c>
      <c r="Z2441">
        <v>-2.86265E-3</v>
      </c>
      <c r="AA2441">
        <v>0.99761869999999997</v>
      </c>
      <c r="AB2441">
        <v>45</v>
      </c>
      <c r="AC2441">
        <v>-14.349699999999901</v>
      </c>
      <c r="AD2441">
        <v>-1.1105751016954</v>
      </c>
      <c r="AE2441">
        <v>-0.98489999999998201</v>
      </c>
      <c r="AF2441">
        <v>-1.0497448444939399</v>
      </c>
      <c r="AG2441">
        <v>-1.1105751016954</v>
      </c>
      <c r="AH2441">
        <v>14.2596312968641</v>
      </c>
      <c r="AI2441">
        <v>94.441376091247093</v>
      </c>
      <c r="AJ2441">
        <v>94.210322711816602</v>
      </c>
      <c r="AK2441">
        <v>14.341283973813299</v>
      </c>
      <c r="AL2441">
        <v>86.493336261436696</v>
      </c>
      <c r="AM2441">
        <v>92.488992771160895</v>
      </c>
      <c r="AN2441">
        <v>1.00000005935803</v>
      </c>
    </row>
    <row r="2442" spans="1:40" x14ac:dyDescent="0.25">
      <c r="A2442" t="str">
        <f>"20190312151033680"</f>
        <v>20190312151033680</v>
      </c>
      <c r="B2442" t="str">
        <f>"1552374633672798"</f>
        <v>1552374633672798</v>
      </c>
      <c r="C2442" t="s">
        <v>40</v>
      </c>
      <c r="D2442">
        <v>5.6774480000000001</v>
      </c>
      <c r="E2442">
        <v>0.49087259999999999</v>
      </c>
      <c r="F2442" t="s">
        <v>52</v>
      </c>
      <c r="G2442">
        <v>-464.55919999999998</v>
      </c>
      <c r="H2442" s="1">
        <v>9.7755059999999992E-7</v>
      </c>
      <c r="I2442">
        <v>282.59930000000003</v>
      </c>
      <c r="J2442">
        <v>-448.63170000000002</v>
      </c>
      <c r="K2442">
        <v>1.1106659999999999</v>
      </c>
      <c r="L2442">
        <v>283.709</v>
      </c>
      <c r="M2442">
        <v>-0.99988500000000002</v>
      </c>
      <c r="N2442">
        <v>0</v>
      </c>
      <c r="O2442">
        <v>4.1800730000000003E-3</v>
      </c>
      <c r="P2442">
        <v>-0.99804029999999999</v>
      </c>
      <c r="Q2442">
        <v>4.7716300000000003E-2</v>
      </c>
      <c r="R2442">
        <v>-4.0484010000000001E-2</v>
      </c>
      <c r="S2442">
        <v>-3.0071720000000002</v>
      </c>
      <c r="T2442">
        <v>-0.2040411</v>
      </c>
      <c r="U2442">
        <v>-0.20358280000000001</v>
      </c>
      <c r="V2442">
        <v>-4.4763579999999997E-2</v>
      </c>
      <c r="W2442">
        <v>6.2186930000000001E-2</v>
      </c>
      <c r="X2442">
        <v>0.99706019999999895</v>
      </c>
      <c r="Y2442">
        <v>-7.1541530000000006E-2</v>
      </c>
      <c r="Z2442">
        <v>-2.7045670000000002E-3</v>
      </c>
      <c r="AA2442">
        <v>0.99743400000000004</v>
      </c>
      <c r="AB2442">
        <v>45</v>
      </c>
      <c r="AC2442">
        <v>-15.927499999999901</v>
      </c>
      <c r="AD2442">
        <v>-1.1106650224493999</v>
      </c>
      <c r="AE2442">
        <v>-1.1096999999999699</v>
      </c>
      <c r="AF2442">
        <v>-1.1706107454261201</v>
      </c>
      <c r="AG2442">
        <v>-1.1106650224493999</v>
      </c>
      <c r="AH2442">
        <v>15.84604053784</v>
      </c>
      <c r="AI2442">
        <v>93.998501779806901</v>
      </c>
      <c r="AJ2442">
        <v>94.224995034109298</v>
      </c>
      <c r="AK2442">
        <v>15.927991305756899</v>
      </c>
      <c r="AL2442">
        <v>86.434650914407399</v>
      </c>
      <c r="AM2442">
        <v>92.570600151641798</v>
      </c>
      <c r="AN2442">
        <v>1.00000001739064</v>
      </c>
    </row>
    <row r="2443" spans="1:40" x14ac:dyDescent="0.25">
      <c r="A2443" t="str">
        <f>"20190312151033702"</f>
        <v>20190312151033702</v>
      </c>
      <c r="B2443" t="str">
        <f>"1552374633693294"</f>
        <v>1552374633693294</v>
      </c>
      <c r="C2443" t="s">
        <v>40</v>
      </c>
      <c r="D2443">
        <v>5.4043049999999999</v>
      </c>
      <c r="E2443">
        <v>0.49090250000000002</v>
      </c>
      <c r="F2443" t="s">
        <v>52</v>
      </c>
      <c r="G2443">
        <v>-465.3723</v>
      </c>
      <c r="H2443" s="1">
        <v>1.4125400000000001E-6</v>
      </c>
      <c r="I2443">
        <v>282.54629999999997</v>
      </c>
      <c r="J2443">
        <v>-449.07249999999999</v>
      </c>
      <c r="K2443">
        <v>1.1107479999999901</v>
      </c>
      <c r="L2443">
        <v>283.71010000000001</v>
      </c>
      <c r="M2443">
        <v>-0.99988809999999995</v>
      </c>
      <c r="N2443">
        <v>0</v>
      </c>
      <c r="O2443">
        <v>3.3471E-3</v>
      </c>
      <c r="P2443">
        <v>-0.99788560000000004</v>
      </c>
      <c r="Q2443">
        <v>4.9235439999999998E-2</v>
      </c>
      <c r="R2443">
        <v>-4.2429719999999997E-2</v>
      </c>
      <c r="S2443">
        <v>-3.0068969999999999</v>
      </c>
      <c r="T2443">
        <v>-0.19949459999999999</v>
      </c>
      <c r="U2443">
        <v>-0.20883180000000001</v>
      </c>
      <c r="V2443">
        <v>-4.58912E-2</v>
      </c>
      <c r="W2443">
        <v>6.3690739999999996E-2</v>
      </c>
      <c r="X2443">
        <v>0.99691399999999997</v>
      </c>
      <c r="Y2443">
        <v>-7.2457220000000003E-2</v>
      </c>
      <c r="Z2443">
        <v>-2.6196790000000002E-3</v>
      </c>
      <c r="AA2443">
        <v>0.99736809999999998</v>
      </c>
      <c r="AB2443">
        <v>45</v>
      </c>
      <c r="AC2443">
        <v>-16.299800000000001</v>
      </c>
      <c r="AD2443">
        <v>-1.11074658745999</v>
      </c>
      <c r="AE2443">
        <v>-1.1638000000000299</v>
      </c>
      <c r="AF2443">
        <v>-1.2127532255809901</v>
      </c>
      <c r="AG2443">
        <v>-1.11074658745999</v>
      </c>
      <c r="AH2443">
        <v>16.2208698864297</v>
      </c>
      <c r="AI2443">
        <v>93.906423982526405</v>
      </c>
      <c r="AJ2443">
        <v>94.275763508848101</v>
      </c>
      <c r="AK2443">
        <v>16.3040224558296</v>
      </c>
      <c r="AL2443">
        <v>86.348317778417396</v>
      </c>
      <c r="AM2443">
        <v>92.635650786425401</v>
      </c>
      <c r="AN2443">
        <v>1.0000000179975901</v>
      </c>
    </row>
    <row r="2444" spans="1:40" x14ac:dyDescent="0.25">
      <c r="A2444" t="str">
        <f>"20190312151033723"</f>
        <v>20190312151033723</v>
      </c>
      <c r="B2444" t="str">
        <f>"1552374633712814"</f>
        <v>1552374633712814</v>
      </c>
      <c r="C2444" t="s">
        <v>40</v>
      </c>
      <c r="D2444">
        <v>5.3877199999999998</v>
      </c>
      <c r="E2444">
        <v>0.4906471</v>
      </c>
      <c r="F2444" t="s">
        <v>52</v>
      </c>
      <c r="G2444">
        <v>-466.22</v>
      </c>
      <c r="H2444" s="1">
        <v>1.8662509999999999E-6</v>
      </c>
      <c r="I2444">
        <v>282.48750000000001</v>
      </c>
      <c r="J2444">
        <v>-449.5095</v>
      </c>
      <c r="K2444">
        <v>1.1108229999999999</v>
      </c>
      <c r="L2444">
        <v>283.71089999999998</v>
      </c>
      <c r="M2444">
        <v>-0.99989070000000002</v>
      </c>
      <c r="N2444">
        <v>0</v>
      </c>
      <c r="O2444">
        <v>2.4665469999999999E-3</v>
      </c>
      <c r="P2444">
        <v>-0.99785170000000001</v>
      </c>
      <c r="Q2444">
        <v>4.9026889999999997E-2</v>
      </c>
      <c r="R2444">
        <v>-4.3454380000000001E-2</v>
      </c>
      <c r="S2444">
        <v>-3.0068359999999998</v>
      </c>
      <c r="T2444">
        <v>-0.1947702</v>
      </c>
      <c r="U2444">
        <v>-0.21438599999999999</v>
      </c>
      <c r="V2444">
        <v>-4.6047289999999998E-2</v>
      </c>
      <c r="W2444">
        <v>6.3472329999999993E-2</v>
      </c>
      <c r="X2444">
        <v>0.99692069999999999</v>
      </c>
      <c r="Y2444">
        <v>-7.3421100000000003E-2</v>
      </c>
      <c r="Z2444">
        <v>-2.5318879999999999E-3</v>
      </c>
      <c r="AA2444">
        <v>0.99729780000000001</v>
      </c>
      <c r="AB2444">
        <v>45</v>
      </c>
      <c r="AC2444">
        <v>-16.7105</v>
      </c>
      <c r="AD2444">
        <v>-1.1108211337489999</v>
      </c>
      <c r="AE2444">
        <v>-1.2233999999999601</v>
      </c>
      <c r="AF2444">
        <v>-1.25908384928952</v>
      </c>
      <c r="AG2444">
        <v>-1.1108211337489999</v>
      </c>
      <c r="AH2444">
        <v>16.6343185620856</v>
      </c>
      <c r="AI2444">
        <v>93.809610258974601</v>
      </c>
      <c r="AJ2444">
        <v>94.328574795929399</v>
      </c>
      <c r="AK2444">
        <v>16.718844749433799</v>
      </c>
      <c r="AL2444">
        <v>86.360857003750596</v>
      </c>
      <c r="AM2444">
        <v>92.644584986448095</v>
      </c>
      <c r="AN2444">
        <v>0.99999998584023098</v>
      </c>
    </row>
    <row r="2445" spans="1:40" x14ac:dyDescent="0.25">
      <c r="A2445" t="str">
        <f>"20190312151033746"</f>
        <v>20190312151033746</v>
      </c>
      <c r="B2445" t="str">
        <f>"1552374633743070"</f>
        <v>1552374633743070</v>
      </c>
      <c r="C2445" t="s">
        <v>40</v>
      </c>
      <c r="D2445">
        <v>5.3421019999999997</v>
      </c>
      <c r="E2445">
        <v>0.4903323</v>
      </c>
      <c r="F2445" t="s">
        <v>52</v>
      </c>
      <c r="G2445">
        <v>-466.12459999999999</v>
      </c>
      <c r="H2445" s="1">
        <v>1.815122E-6</v>
      </c>
      <c r="I2445">
        <v>282.49529999999999</v>
      </c>
      <c r="J2445">
        <v>-449.95920000000001</v>
      </c>
      <c r="K2445">
        <v>1.110897</v>
      </c>
      <c r="L2445">
        <v>283.71120000000002</v>
      </c>
      <c r="M2445">
        <v>-0.99989269999999997</v>
      </c>
      <c r="N2445">
        <v>0</v>
      </c>
      <c r="O2445">
        <v>1.506622E-3</v>
      </c>
      <c r="P2445">
        <v>-0.99773259999999997</v>
      </c>
      <c r="Q2445">
        <v>5.0144969999999997E-2</v>
      </c>
      <c r="R2445">
        <v>-4.4891849999999997E-2</v>
      </c>
      <c r="S2445">
        <v>-3.0067439999999999</v>
      </c>
      <c r="T2445">
        <v>-0.201019</v>
      </c>
      <c r="U2445">
        <v>-0.21997069999999999</v>
      </c>
      <c r="V2445">
        <v>-4.6539780000000003E-2</v>
      </c>
      <c r="W2445">
        <v>6.4578209999999997E-2</v>
      </c>
      <c r="X2445">
        <v>0.99682680000000001</v>
      </c>
      <c r="Y2445">
        <v>-7.4298450000000002E-2</v>
      </c>
      <c r="Z2445">
        <v>-2.5780740000000001E-3</v>
      </c>
      <c r="AA2445">
        <v>0.99723269999999997</v>
      </c>
      <c r="AB2445">
        <v>45</v>
      </c>
      <c r="AC2445">
        <v>-16.165399999999899</v>
      </c>
      <c r="AD2445">
        <v>-1.110895184878</v>
      </c>
      <c r="AE2445">
        <v>-1.21590000000003</v>
      </c>
      <c r="AF2445">
        <v>-1.2344593972360001</v>
      </c>
      <c r="AG2445">
        <v>-1.110895184878</v>
      </c>
      <c r="AH2445">
        <v>16.088001154861999</v>
      </c>
      <c r="AI2445">
        <v>93.938529166662207</v>
      </c>
      <c r="AJ2445">
        <v>94.387803611319498</v>
      </c>
      <c r="AK2445">
        <v>16.173489396974599</v>
      </c>
      <c r="AL2445">
        <v>86.297364462468096</v>
      </c>
      <c r="AM2445">
        <v>92.673080251906896</v>
      </c>
      <c r="AN2445">
        <v>0.99999998276374602</v>
      </c>
    </row>
    <row r="2446" spans="1:40" x14ac:dyDescent="0.25">
      <c r="A2446" t="str">
        <f>"20190312151033769"</f>
        <v>20190312151033769</v>
      </c>
      <c r="B2446" t="str">
        <f>"1552374633763566"</f>
        <v>1552374633763566</v>
      </c>
      <c r="C2446" t="s">
        <v>40</v>
      </c>
      <c r="D2446">
        <v>5.586042</v>
      </c>
      <c r="E2446">
        <v>0.49021819999999999</v>
      </c>
      <c r="F2446" t="s">
        <v>52</v>
      </c>
      <c r="G2446">
        <v>-465.54849999999999</v>
      </c>
      <c r="H2446" s="1">
        <v>1.5069459999999999E-6</v>
      </c>
      <c r="I2446">
        <v>282.5324</v>
      </c>
      <c r="J2446">
        <v>-450.4</v>
      </c>
      <c r="K2446">
        <v>1.1109690000000001</v>
      </c>
      <c r="L2446">
        <v>283.71109999999999</v>
      </c>
      <c r="M2446">
        <v>-0.99989380000000005</v>
      </c>
      <c r="N2446">
        <v>0</v>
      </c>
      <c r="O2446">
        <v>5.162907E-4</v>
      </c>
      <c r="P2446">
        <v>-0.9975638</v>
      </c>
      <c r="Q2446">
        <v>5.1969540000000002E-2</v>
      </c>
      <c r="R2446">
        <v>-4.6542220000000002E-2</v>
      </c>
      <c r="S2446">
        <v>-3.007355</v>
      </c>
      <c r="T2446">
        <v>-0.2143043</v>
      </c>
      <c r="U2446">
        <v>-0.22741700000000001</v>
      </c>
      <c r="V2446">
        <v>-4.7216229999999998E-2</v>
      </c>
      <c r="W2446">
        <v>6.638964E-2</v>
      </c>
      <c r="X2446">
        <v>0.99667600000000001</v>
      </c>
      <c r="Y2446">
        <v>-7.5727610000000001E-2</v>
      </c>
      <c r="Z2446">
        <v>-2.7276309999999999E-3</v>
      </c>
      <c r="AA2446">
        <v>0.99712480000000003</v>
      </c>
      <c r="AB2446">
        <v>45</v>
      </c>
      <c r="AC2446">
        <v>-15.1485</v>
      </c>
      <c r="AD2446">
        <v>-1.1109674930539899</v>
      </c>
      <c r="AE2446">
        <v>-1.1786999999999901</v>
      </c>
      <c r="AF2446">
        <v>-1.1802120987868701</v>
      </c>
      <c r="AG2446">
        <v>-1.1109674930539899</v>
      </c>
      <c r="AH2446">
        <v>15.0673369613727</v>
      </c>
      <c r="AI2446">
        <v>94.204156243572001</v>
      </c>
      <c r="AJ2446">
        <v>94.478786369739495</v>
      </c>
      <c r="AK2446">
        <v>15.154266477672</v>
      </c>
      <c r="AL2446">
        <v>86.193353983105595</v>
      </c>
      <c r="AM2446">
        <v>92.712285261896</v>
      </c>
      <c r="AN2446">
        <v>1.0000000028253699</v>
      </c>
    </row>
    <row r="2447" spans="1:40" x14ac:dyDescent="0.25">
      <c r="A2447" t="str">
        <f>"20190312151033791"</f>
        <v>20190312151033791</v>
      </c>
      <c r="B2447" t="str">
        <f>"1552374633783085"</f>
        <v>1552374633783085</v>
      </c>
      <c r="C2447" t="s">
        <v>40</v>
      </c>
      <c r="D2447">
        <v>5.4011820000000004</v>
      </c>
      <c r="E2447">
        <v>0.49047449999999998</v>
      </c>
      <c r="F2447" t="s">
        <v>52</v>
      </c>
      <c r="G2447">
        <v>-466.07709999999997</v>
      </c>
      <c r="H2447" s="1">
        <v>1.7898819999999999E-6</v>
      </c>
      <c r="I2447">
        <v>282.49470000000002</v>
      </c>
      <c r="J2447">
        <v>-450.84379999999999</v>
      </c>
      <c r="K2447">
        <v>1.1110439999999999</v>
      </c>
      <c r="L2447">
        <v>283.71050000000002</v>
      </c>
      <c r="M2447">
        <v>-0.99989380000000005</v>
      </c>
      <c r="N2447">
        <v>0</v>
      </c>
      <c r="O2447">
        <v>-5.2792680000000002E-4</v>
      </c>
      <c r="P2447">
        <v>-0.99743579999999998</v>
      </c>
      <c r="Q2447">
        <v>5.3030029999999999E-2</v>
      </c>
      <c r="R2447">
        <v>-4.8063000000000002E-2</v>
      </c>
      <c r="S2447">
        <v>-3.0075379999999998</v>
      </c>
      <c r="T2447">
        <v>-0.2131305</v>
      </c>
      <c r="U2447">
        <v>-0.23336789999999999</v>
      </c>
      <c r="V2447">
        <v>-4.7708069999999998E-2</v>
      </c>
      <c r="W2447">
        <v>6.7438230000000002E-2</v>
      </c>
      <c r="X2447">
        <v>0.99658219999999997</v>
      </c>
      <c r="Y2447">
        <v>-7.6645649999999996E-2</v>
      </c>
      <c r="Z2447">
        <v>-2.6709949999999998E-3</v>
      </c>
      <c r="AA2447">
        <v>0.99705480000000002</v>
      </c>
      <c r="AB2447">
        <v>45</v>
      </c>
      <c r="AC2447">
        <v>-15.2332999999999</v>
      </c>
      <c r="AD2447">
        <v>-1.111042210118</v>
      </c>
      <c r="AE2447">
        <v>-1.2158</v>
      </c>
      <c r="AF2447">
        <v>-1.20140644669042</v>
      </c>
      <c r="AG2447">
        <v>-1.111042210118</v>
      </c>
      <c r="AH2447">
        <v>15.1538387632772</v>
      </c>
      <c r="AI2447">
        <v>94.180212938238</v>
      </c>
      <c r="AJ2447">
        <v>94.532966284266095</v>
      </c>
      <c r="AK2447">
        <v>15.2419362781182</v>
      </c>
      <c r="AL2447">
        <v>86.1331393406263</v>
      </c>
      <c r="AM2447">
        <v>92.740753175400101</v>
      </c>
      <c r="AN2447">
        <v>1.0000000280827399</v>
      </c>
    </row>
    <row r="2448" spans="1:40" x14ac:dyDescent="0.25">
      <c r="A2448" t="str">
        <f>"20190312151033813"</f>
        <v>20190312151033813</v>
      </c>
      <c r="B2448" t="str">
        <f>"1552374633803582"</f>
        <v>1552374633803582</v>
      </c>
      <c r="C2448" t="s">
        <v>40</v>
      </c>
      <c r="D2448">
        <v>5.3450110000000004</v>
      </c>
      <c r="E2448">
        <v>0.4904539</v>
      </c>
      <c r="F2448" t="s">
        <v>52</v>
      </c>
      <c r="G2448">
        <v>-466.30239999999998</v>
      </c>
      <c r="H2448" s="1">
        <v>1.9097379999999999E-6</v>
      </c>
      <c r="I2448">
        <v>282.49579999999997</v>
      </c>
      <c r="J2448">
        <v>-451.29180000000002</v>
      </c>
      <c r="K2448">
        <v>1.1111169999999999</v>
      </c>
      <c r="L2448">
        <v>283.70940000000002</v>
      </c>
      <c r="M2448">
        <v>-0.99989260000000002</v>
      </c>
      <c r="N2448">
        <v>0</v>
      </c>
      <c r="O2448">
        <v>-1.62962E-3</v>
      </c>
      <c r="P2448">
        <v>-0.99731000000000003</v>
      </c>
      <c r="Q2448">
        <v>5.3736409999999998E-2</v>
      </c>
      <c r="R2448">
        <v>-4.9855539999999997E-2</v>
      </c>
      <c r="S2448">
        <v>-3.0078130000000001</v>
      </c>
      <c r="T2448">
        <v>-0.2161777</v>
      </c>
      <c r="U2448">
        <v>-0.2363586</v>
      </c>
      <c r="V2448">
        <v>-4.8414319999999997E-2</v>
      </c>
      <c r="W2448">
        <v>6.8132349999999994E-2</v>
      </c>
      <c r="X2448">
        <v>0.99650090000000002</v>
      </c>
      <c r="Y2448">
        <v>-7.6523179999999996E-2</v>
      </c>
      <c r="Z2448">
        <v>-2.6253829999999998E-3</v>
      </c>
      <c r="AA2448">
        <v>0.99706439999999996</v>
      </c>
      <c r="AB2448">
        <v>45</v>
      </c>
      <c r="AC2448">
        <v>-15.010599999999901</v>
      </c>
      <c r="AD2448">
        <v>-1.1111150902619999</v>
      </c>
      <c r="AE2448">
        <v>-1.21360000000004</v>
      </c>
      <c r="AF2448">
        <v>-1.1826960035318701</v>
      </c>
      <c r="AG2448">
        <v>-1.1111150902619999</v>
      </c>
      <c r="AH2448">
        <v>14.9312769232327</v>
      </c>
      <c r="AI2448">
        <v>94.242597336896296</v>
      </c>
      <c r="AJ2448">
        <v>94.528902806443995</v>
      </c>
      <c r="AK2448">
        <v>15.0192002829325</v>
      </c>
      <c r="AL2448">
        <v>86.093277413741404</v>
      </c>
      <c r="AM2448">
        <v>92.781489432997404</v>
      </c>
      <c r="AN2448">
        <v>1.0000000035991901</v>
      </c>
    </row>
    <row r="2449" spans="1:40" x14ac:dyDescent="0.25">
      <c r="A2449" t="str">
        <f>"20190312151033836"</f>
        <v>20190312151033836</v>
      </c>
      <c r="B2449" t="str">
        <f>"1552374633832862"</f>
        <v>1552374633832862</v>
      </c>
      <c r="C2449" t="s">
        <v>40</v>
      </c>
      <c r="D2449">
        <v>5.5776479999999999</v>
      </c>
      <c r="E2449">
        <v>0.48989250000000001</v>
      </c>
      <c r="F2449" t="s">
        <v>52</v>
      </c>
      <c r="G2449">
        <v>-466.69990000000001</v>
      </c>
      <c r="H2449" s="1">
        <v>2.122461E-6</v>
      </c>
      <c r="I2449">
        <v>282.46809999999999</v>
      </c>
      <c r="J2449">
        <v>-451.74099999999999</v>
      </c>
      <c r="K2449">
        <v>1.1111930000000001</v>
      </c>
      <c r="L2449">
        <v>283.70780000000002</v>
      </c>
      <c r="M2449">
        <v>-0.9998901</v>
      </c>
      <c r="N2449">
        <v>0</v>
      </c>
      <c r="O2449">
        <v>-2.7853449999999998E-3</v>
      </c>
      <c r="P2449">
        <v>-0.99713890000000005</v>
      </c>
      <c r="Q2449">
        <v>5.4673050000000001E-2</v>
      </c>
      <c r="R2449">
        <v>-5.2203670000000001E-2</v>
      </c>
      <c r="S2449">
        <v>-3.0076290000000001</v>
      </c>
      <c r="T2449">
        <v>-0.2168872</v>
      </c>
      <c r="U2449">
        <v>-0.24230960000000001</v>
      </c>
      <c r="V2449">
        <v>-4.962424E-2</v>
      </c>
      <c r="W2449">
        <v>6.9053320000000001E-2</v>
      </c>
      <c r="X2449">
        <v>0.99637799999999999</v>
      </c>
      <c r="Y2449">
        <v>-7.7335479999999998E-2</v>
      </c>
      <c r="Z2449">
        <v>-2.5800300000000001E-3</v>
      </c>
      <c r="AA2449">
        <v>0.99700180000000005</v>
      </c>
      <c r="AB2449">
        <v>44</v>
      </c>
      <c r="AC2449">
        <v>-14.9589</v>
      </c>
      <c r="AD2449">
        <v>-1.111190877539</v>
      </c>
      <c r="AE2449">
        <v>-1.23970000000002</v>
      </c>
      <c r="AF2449">
        <v>-1.19149530629829</v>
      </c>
      <c r="AG2449">
        <v>-1.111190877539</v>
      </c>
      <c r="AH2449">
        <v>14.880744166524799</v>
      </c>
      <c r="AI2449">
        <v>94.256952207664597</v>
      </c>
      <c r="AJ2449">
        <v>94.577883944676302</v>
      </c>
      <c r="AK2449">
        <v>14.9696677712239</v>
      </c>
      <c r="AL2449">
        <v>86.040385217933803</v>
      </c>
      <c r="AM2449">
        <v>92.851239291849097</v>
      </c>
      <c r="AN2449">
        <v>1.0000000225412899</v>
      </c>
    </row>
    <row r="2450" spans="1:40" x14ac:dyDescent="0.25">
      <c r="A2450" t="str">
        <f>"20190312151033859"</f>
        <v>20190312151033859</v>
      </c>
      <c r="B2450" t="str">
        <f>"1552374633853358"</f>
        <v>1552374633853358</v>
      </c>
      <c r="C2450" t="s">
        <v>40</v>
      </c>
      <c r="D2450">
        <v>5.6820440000000003</v>
      </c>
      <c r="E2450">
        <v>0.46910099999999999</v>
      </c>
      <c r="F2450" t="s">
        <v>52</v>
      </c>
      <c r="G2450">
        <v>-467.34</v>
      </c>
      <c r="H2450" s="1">
        <v>2.4664600000000002E-6</v>
      </c>
      <c r="I2450">
        <v>282.39080000000001</v>
      </c>
      <c r="J2450">
        <v>-452.1825</v>
      </c>
      <c r="K2450">
        <v>1.111264</v>
      </c>
      <c r="L2450">
        <v>283.7056</v>
      </c>
      <c r="M2450">
        <v>-0.99988600000000005</v>
      </c>
      <c r="N2450">
        <v>0</v>
      </c>
      <c r="O2450">
        <v>-3.9818900000000001E-3</v>
      </c>
      <c r="P2450">
        <v>-0.99688509999999997</v>
      </c>
      <c r="Q2450">
        <v>5.617834E-2</v>
      </c>
      <c r="R2450">
        <v>-5.5354760000000003E-2</v>
      </c>
      <c r="S2450">
        <v>-3.0070800000000002</v>
      </c>
      <c r="T2450">
        <v>-0.2142088</v>
      </c>
      <c r="U2450">
        <v>-0.25387569999999998</v>
      </c>
      <c r="V2450">
        <v>-5.1598070000000003E-2</v>
      </c>
      <c r="W2450">
        <v>7.0540279999999997E-2</v>
      </c>
      <c r="X2450">
        <v>0.99617359999999999</v>
      </c>
      <c r="Y2450">
        <v>-7.9966690000000007E-2</v>
      </c>
      <c r="Z2450">
        <v>-2.556764E-3</v>
      </c>
      <c r="AA2450">
        <v>0.99679430000000002</v>
      </c>
      <c r="AB2450">
        <v>44</v>
      </c>
      <c r="AC2450">
        <v>-15.157499999999899</v>
      </c>
      <c r="AD2450">
        <v>-1.11126153354</v>
      </c>
      <c r="AE2450">
        <v>-1.31479999999999</v>
      </c>
      <c r="AF2450">
        <v>-1.24777100776293</v>
      </c>
      <c r="AG2450">
        <v>-1.11126153354</v>
      </c>
      <c r="AH2450">
        <v>15.0821547796436</v>
      </c>
      <c r="AI2450">
        <v>94.199673933469498</v>
      </c>
      <c r="AJ2450">
        <v>94.729401777782101</v>
      </c>
      <c r="AK2450">
        <v>15.1744267595473</v>
      </c>
      <c r="AL2450">
        <v>85.954980575453007</v>
      </c>
      <c r="AM2450">
        <v>92.965057567100303</v>
      </c>
      <c r="AN2450">
        <v>1.00000006663357</v>
      </c>
    </row>
    <row r="2451" spans="1:40" x14ac:dyDescent="0.25">
      <c r="A2451" t="str">
        <f>"20190312151033879"</f>
        <v>20190312151033879</v>
      </c>
      <c r="B2451" t="str">
        <f>"1552374633872879"</f>
        <v>1552374633872879</v>
      </c>
      <c r="C2451" t="s">
        <v>40</v>
      </c>
      <c r="D2451">
        <v>5.4498920000000002</v>
      </c>
      <c r="E2451">
        <v>0.46828110000000001</v>
      </c>
      <c r="F2451" t="s">
        <v>52</v>
      </c>
      <c r="G2451">
        <v>-461.31189999999998</v>
      </c>
      <c r="H2451" s="1">
        <v>-7.4102389999999996E-7</v>
      </c>
      <c r="I2451">
        <v>282.38209999999998</v>
      </c>
      <c r="J2451">
        <v>-452.60309999999998</v>
      </c>
      <c r="K2451">
        <v>1.1113379999999999</v>
      </c>
      <c r="L2451">
        <v>283.70299999999997</v>
      </c>
      <c r="M2451">
        <v>-0.99988069999999896</v>
      </c>
      <c r="N2451">
        <v>0</v>
      </c>
      <c r="O2451">
        <v>-5.1868280000000001E-3</v>
      </c>
      <c r="P2451">
        <v>-0.99662830000000002</v>
      </c>
      <c r="Q2451">
        <v>5.7385159999999998E-2</v>
      </c>
      <c r="R2451">
        <v>-5.864436E-2</v>
      </c>
      <c r="S2451">
        <v>-3.0057369999999999</v>
      </c>
      <c r="T2451">
        <v>-0.36586999999999997</v>
      </c>
      <c r="U2451">
        <v>-0.4357605</v>
      </c>
      <c r="V2451">
        <v>-5.3702920000000001E-2</v>
      </c>
      <c r="W2451">
        <v>7.1726979999999996E-2</v>
      </c>
      <c r="X2451">
        <v>0.99597749999999996</v>
      </c>
      <c r="Y2451">
        <v>-0.13738510000000001</v>
      </c>
      <c r="Z2451">
        <v>-7.66211699999999E-3</v>
      </c>
      <c r="AA2451">
        <v>0.99048809999999998</v>
      </c>
      <c r="AB2451">
        <v>44</v>
      </c>
      <c r="AC2451">
        <v>-8.7087999999999894</v>
      </c>
      <c r="AD2451">
        <v>-1.1113387410239</v>
      </c>
      <c r="AE2451">
        <v>-1.32089999999999</v>
      </c>
      <c r="AF2451">
        <v>-1.2557174284629899</v>
      </c>
      <c r="AG2451">
        <v>-1.1113387410239</v>
      </c>
      <c r="AH2451">
        <v>8.5789716205169899</v>
      </c>
      <c r="AI2451">
        <v>97.304139967351801</v>
      </c>
      <c r="AJ2451">
        <v>98.327338373589001</v>
      </c>
      <c r="AK2451">
        <v>8.7413187862634398</v>
      </c>
      <c r="AL2451">
        <v>85.886814606624895</v>
      </c>
      <c r="AM2451">
        <v>93.086388933674598</v>
      </c>
      <c r="AN2451">
        <v>0.99999997189134704</v>
      </c>
    </row>
    <row r="2452" spans="1:40" x14ac:dyDescent="0.25">
      <c r="A2452" t="str">
        <f>"20190312151033903"</f>
        <v>20190312151033903</v>
      </c>
      <c r="B2452" t="str">
        <f>"1552374633893374"</f>
        <v>1552374633893374</v>
      </c>
      <c r="C2452" t="s">
        <v>40</v>
      </c>
      <c r="D2452">
        <v>5.5245759999999997</v>
      </c>
      <c r="E2452">
        <v>0.46777489999999999</v>
      </c>
      <c r="F2452" t="s">
        <v>52</v>
      </c>
      <c r="G2452">
        <v>-461.78019999999998</v>
      </c>
      <c r="H2452" s="1">
        <v>-4.8919090000000004E-7</v>
      </c>
      <c r="I2452">
        <v>282.32240000000002</v>
      </c>
      <c r="J2452">
        <v>-453.06060000000002</v>
      </c>
      <c r="K2452">
        <v>1.1114170000000001</v>
      </c>
      <c r="L2452">
        <v>283.6995</v>
      </c>
      <c r="M2452">
        <v>-0.9998726</v>
      </c>
      <c r="N2452">
        <v>0</v>
      </c>
      <c r="O2452">
        <v>-6.5626180000000001E-3</v>
      </c>
      <c r="P2452">
        <v>-0.99630430000000003</v>
      </c>
      <c r="Q2452">
        <v>5.9020040000000003E-2</v>
      </c>
      <c r="R2452">
        <v>-6.2405620000000002E-2</v>
      </c>
      <c r="S2452">
        <v>-3.004486</v>
      </c>
      <c r="T2452">
        <v>-0.36384060000000001</v>
      </c>
      <c r="U2452">
        <v>-0.4519958</v>
      </c>
      <c r="V2452">
        <v>-5.6113030000000001E-2</v>
      </c>
      <c r="W2452">
        <v>7.3339189999999999E-2</v>
      </c>
      <c r="X2452">
        <v>0.99572720000000003</v>
      </c>
      <c r="Y2452">
        <v>-0.141310299999999</v>
      </c>
      <c r="Z2452">
        <v>-7.6905150000000002E-3</v>
      </c>
      <c r="AA2452">
        <v>0.98993549999999997</v>
      </c>
      <c r="AB2452">
        <v>44</v>
      </c>
      <c r="AC2452">
        <v>-8.7195999999999501</v>
      </c>
      <c r="AD2452">
        <v>-1.1114174891908899</v>
      </c>
      <c r="AE2452">
        <v>-1.37709999999998</v>
      </c>
      <c r="AF2452">
        <v>-1.29924627664244</v>
      </c>
      <c r="AG2452">
        <v>-1.1114174891908899</v>
      </c>
      <c r="AH2452">
        <v>8.5922530903393</v>
      </c>
      <c r="AI2452">
        <v>97.288401108613499</v>
      </c>
      <c r="AJ2452">
        <v>98.598632075138894</v>
      </c>
      <c r="AK2452">
        <v>8.7607136062705493</v>
      </c>
      <c r="AL2452">
        <v>85.794197859376496</v>
      </c>
      <c r="AM2452">
        <v>93.225424468061505</v>
      </c>
      <c r="AN2452">
        <v>0.99999998287273795</v>
      </c>
    </row>
    <row r="2453" spans="1:40" x14ac:dyDescent="0.25">
      <c r="A2453" t="str">
        <f>"20190312151033925"</f>
        <v>20190312151033925</v>
      </c>
      <c r="B2453" t="str">
        <f>"1552374633912894"</f>
        <v>1552374633912894</v>
      </c>
      <c r="C2453" t="s">
        <v>40</v>
      </c>
      <c r="D2453">
        <v>5.5009639999999997</v>
      </c>
      <c r="E2453">
        <v>0.46760030000000002</v>
      </c>
      <c r="F2453" t="s">
        <v>52</v>
      </c>
      <c r="G2453">
        <v>-462.26229999999998</v>
      </c>
      <c r="H2453" s="1">
        <v>-2.302681E-7</v>
      </c>
      <c r="I2453">
        <v>282.26839999999999</v>
      </c>
      <c r="J2453">
        <v>-453.49759999999998</v>
      </c>
      <c r="K2453">
        <v>1.111491</v>
      </c>
      <c r="L2453">
        <v>283.69549999999998</v>
      </c>
      <c r="M2453">
        <v>-0.99986249999999999</v>
      </c>
      <c r="N2453">
        <v>0</v>
      </c>
      <c r="O2453">
        <v>-7.9485570000000002E-3</v>
      </c>
      <c r="P2453">
        <v>-0.99598500000000001</v>
      </c>
      <c r="Q2453">
        <v>5.9728030000000001E-2</v>
      </c>
      <c r="R2453">
        <v>-6.6683720000000002E-2</v>
      </c>
      <c r="S2453">
        <v>-3.003387</v>
      </c>
      <c r="T2453">
        <v>-0.36275960000000002</v>
      </c>
      <c r="U2453">
        <v>-0.46710210000000002</v>
      </c>
      <c r="V2453">
        <v>-5.9027910000000003E-2</v>
      </c>
      <c r="W2453">
        <v>7.4022069999999995E-2</v>
      </c>
      <c r="X2453">
        <v>0.99550810000000001</v>
      </c>
      <c r="Y2453">
        <v>-0.14484649999999999</v>
      </c>
      <c r="Z2453">
        <v>-7.71347E-3</v>
      </c>
      <c r="AA2453">
        <v>0.98942399999999997</v>
      </c>
      <c r="AB2453">
        <v>44</v>
      </c>
      <c r="AC2453">
        <v>-8.7646999999999995</v>
      </c>
      <c r="AD2453">
        <v>-1.1114912302680999</v>
      </c>
      <c r="AE2453">
        <v>-1.42709999999999</v>
      </c>
      <c r="AF2453">
        <v>-1.33644331824802</v>
      </c>
      <c r="AG2453">
        <v>-1.1114912302680999</v>
      </c>
      <c r="AH2453">
        <v>8.6404021170348706</v>
      </c>
      <c r="AI2453">
        <v>97.244985148460401</v>
      </c>
      <c r="AJ2453">
        <v>98.792477384310303</v>
      </c>
      <c r="AK2453">
        <v>8.8135147496281707</v>
      </c>
      <c r="AL2453">
        <v>85.7549650182943</v>
      </c>
      <c r="AM2453">
        <v>93.393337442142993</v>
      </c>
      <c r="AN2453">
        <v>0.999999969085831</v>
      </c>
    </row>
    <row r="2454" spans="1:40" x14ac:dyDescent="0.25">
      <c r="A2454" t="str">
        <f>"20190312151033948"</f>
        <v>20190312151033948</v>
      </c>
      <c r="B2454" t="str">
        <f>"1552374633943150"</f>
        <v>1552374633943150</v>
      </c>
      <c r="C2454" t="s">
        <v>40</v>
      </c>
      <c r="D2454">
        <v>5.6752729999999998</v>
      </c>
      <c r="E2454">
        <v>0.46771499999999999</v>
      </c>
      <c r="F2454" t="s">
        <v>52</v>
      </c>
      <c r="G2454">
        <v>-462.75490000000002</v>
      </c>
      <c r="H2454" s="1">
        <v>3.4359220000000001E-8</v>
      </c>
      <c r="I2454">
        <v>282.2115</v>
      </c>
      <c r="J2454">
        <v>-453.93709999999999</v>
      </c>
      <c r="K2454">
        <v>1.111577</v>
      </c>
      <c r="L2454">
        <v>283.69069999999999</v>
      </c>
      <c r="M2454">
        <v>-0.99984969999999995</v>
      </c>
      <c r="N2454">
        <v>0</v>
      </c>
      <c r="O2454">
        <v>-9.4316260000000002E-3</v>
      </c>
      <c r="P2454">
        <v>-0.99569399999999997</v>
      </c>
      <c r="Q2454">
        <v>5.9627189999999997E-2</v>
      </c>
      <c r="R2454">
        <v>-7.0981059999999999E-2</v>
      </c>
      <c r="S2454">
        <v>-3.0015260000000001</v>
      </c>
      <c r="T2454">
        <v>-0.36038039999999999</v>
      </c>
      <c r="U2454">
        <v>-0.48117070000000001</v>
      </c>
      <c r="V2454">
        <v>-6.1864559999999999E-2</v>
      </c>
      <c r="W2454">
        <v>7.3895100000000005E-2</v>
      </c>
      <c r="X2454">
        <v>0.99534529999999999</v>
      </c>
      <c r="Y2454">
        <v>-0.14799689999999999</v>
      </c>
      <c r="Z2454">
        <v>-7.676146E-3</v>
      </c>
      <c r="AA2454">
        <v>0.988958</v>
      </c>
      <c r="AB2454">
        <v>44</v>
      </c>
      <c r="AC2454">
        <v>-8.8178000000000303</v>
      </c>
      <c r="AD2454">
        <v>-1.1115769656407799</v>
      </c>
      <c r="AE2454">
        <v>-1.4791999999999901</v>
      </c>
      <c r="AF2454">
        <v>-1.3747112244116999</v>
      </c>
      <c r="AG2454">
        <v>-1.1115769656407799</v>
      </c>
      <c r="AH2454">
        <v>8.6969378020660102</v>
      </c>
      <c r="AI2454">
        <v>97.195243009685996</v>
      </c>
      <c r="AJ2454">
        <v>98.982335654288207</v>
      </c>
      <c r="AK2454">
        <v>8.8748048673799804</v>
      </c>
      <c r="AL2454">
        <v>85.762259921801899</v>
      </c>
      <c r="AM2454">
        <v>93.556579191858006</v>
      </c>
      <c r="AN2454">
        <v>0.99999998791004596</v>
      </c>
    </row>
    <row r="2455" spans="1:40" x14ac:dyDescent="0.25">
      <c r="A2455" t="str">
        <f>"20190312151033969"</f>
        <v>20190312151033969</v>
      </c>
      <c r="B2455" t="str">
        <f>"1552374633963646"</f>
        <v>1552374633963646</v>
      </c>
      <c r="C2455" t="s">
        <v>40</v>
      </c>
      <c r="D2455">
        <v>5.6175420000000003</v>
      </c>
      <c r="E2455">
        <v>0.46793580000000001</v>
      </c>
      <c r="F2455" t="s">
        <v>52</v>
      </c>
      <c r="G2455">
        <v>-463.15649999999999</v>
      </c>
      <c r="H2455" s="1">
        <v>2.4961309999999999E-7</v>
      </c>
      <c r="I2455">
        <v>282.17570000000001</v>
      </c>
      <c r="J2455">
        <v>-454.37979999999999</v>
      </c>
      <c r="K2455">
        <v>1.1116839999999999</v>
      </c>
      <c r="L2455">
        <v>283.68529999999998</v>
      </c>
      <c r="M2455">
        <v>-0.99983319999999998</v>
      </c>
      <c r="N2455">
        <v>0</v>
      </c>
      <c r="O2455">
        <v>-1.103559E-2</v>
      </c>
      <c r="P2455">
        <v>-0.99533740000000004</v>
      </c>
      <c r="Q2455">
        <v>6.0318160000000003E-2</v>
      </c>
      <c r="R2455">
        <v>-7.5266879999999994E-2</v>
      </c>
      <c r="S2455">
        <v>-2.9994809999999998</v>
      </c>
      <c r="T2455">
        <v>-0.36164770000000002</v>
      </c>
      <c r="U2455">
        <v>-0.49291990000000002</v>
      </c>
      <c r="V2455">
        <v>-6.4575960000000002E-2</v>
      </c>
      <c r="W2455">
        <v>7.4556079999999997E-2</v>
      </c>
      <c r="X2455">
        <v>0.9951238</v>
      </c>
      <c r="Y2455">
        <v>-0.15027789999999999</v>
      </c>
      <c r="Z2455">
        <v>-7.6504769999999897E-3</v>
      </c>
      <c r="AA2455">
        <v>0.9886142</v>
      </c>
      <c r="AB2455">
        <v>44</v>
      </c>
      <c r="AC2455">
        <v>-8.7766999999999999</v>
      </c>
      <c r="AD2455">
        <v>-1.1116837503868999</v>
      </c>
      <c r="AE2455">
        <v>-1.5095999999999701</v>
      </c>
      <c r="AF2455">
        <v>-1.3909669437405101</v>
      </c>
      <c r="AG2455">
        <v>-1.1116837503868999</v>
      </c>
      <c r="AH2455">
        <v>8.6579142817250503</v>
      </c>
      <c r="AI2455">
        <v>97.225140513767698</v>
      </c>
      <c r="AJ2455">
        <v>99.127056919415097</v>
      </c>
      <c r="AK2455">
        <v>8.8391237975916894</v>
      </c>
      <c r="AL2455">
        <v>85.724283937859795</v>
      </c>
      <c r="AM2455">
        <v>93.712854172573799</v>
      </c>
      <c r="AN2455">
        <v>1.0000000205006601</v>
      </c>
    </row>
    <row r="2456" spans="1:40" x14ac:dyDescent="0.25">
      <c r="A2456" t="str">
        <f>"20190312151033992"</f>
        <v>20190312151033992</v>
      </c>
      <c r="B2456" t="str">
        <f>"1552374633983166"</f>
        <v>1552374633983166</v>
      </c>
      <c r="C2456" t="s">
        <v>40</v>
      </c>
      <c r="D2456">
        <v>5.4837870000000004</v>
      </c>
      <c r="E2456">
        <v>0.46804879999999999</v>
      </c>
      <c r="F2456" t="s">
        <v>52</v>
      </c>
      <c r="G2456">
        <v>-463.64019999999999</v>
      </c>
      <c r="H2456" s="1">
        <v>5.0908039999999997E-7</v>
      </c>
      <c r="I2456">
        <v>282.1284</v>
      </c>
      <c r="J2456">
        <v>-454.82619999999997</v>
      </c>
      <c r="K2456">
        <v>1.111809</v>
      </c>
      <c r="L2456">
        <v>283.67899999999997</v>
      </c>
      <c r="M2456">
        <v>-0.99981229999999999</v>
      </c>
      <c r="N2456">
        <v>0</v>
      </c>
      <c r="O2456">
        <v>-1.27916E-2</v>
      </c>
      <c r="P2456">
        <v>-0.99493399999999999</v>
      </c>
      <c r="Q2456">
        <v>6.0913309999999998E-2</v>
      </c>
      <c r="R2456">
        <v>-7.9977359999999997E-2</v>
      </c>
      <c r="S2456">
        <v>-2.9977719999999999</v>
      </c>
      <c r="T2456">
        <v>-0.35987540000000001</v>
      </c>
      <c r="U2456">
        <v>-0.50399780000000005</v>
      </c>
      <c r="V2456">
        <v>-6.7566029999999999E-2</v>
      </c>
      <c r="W2456">
        <v>7.511574E-2</v>
      </c>
      <c r="X2456">
        <v>0.99488310000000002</v>
      </c>
      <c r="Y2456">
        <v>-0.15219479999999999</v>
      </c>
      <c r="Z2456">
        <v>-7.5205899999999997E-3</v>
      </c>
      <c r="AA2456">
        <v>0.98832189999999998</v>
      </c>
      <c r="AB2456">
        <v>44</v>
      </c>
      <c r="AC2456">
        <v>-8.8140000000000196</v>
      </c>
      <c r="AD2456">
        <v>-1.1118084909196</v>
      </c>
      <c r="AE2456">
        <v>-1.55060000000003</v>
      </c>
      <c r="AF2456">
        <v>-1.41586366973051</v>
      </c>
      <c r="AG2456">
        <v>-1.1118084909196</v>
      </c>
      <c r="AH2456">
        <v>8.6988579233456491</v>
      </c>
      <c r="AI2456">
        <v>97.189927205126295</v>
      </c>
      <c r="AJ2456">
        <v>99.244640267421801</v>
      </c>
      <c r="AK2456">
        <v>8.8831817060272407</v>
      </c>
      <c r="AL2456">
        <v>85.692127362029296</v>
      </c>
      <c r="AM2456">
        <v>93.885193199173102</v>
      </c>
      <c r="AN2456">
        <v>0.99999996273565805</v>
      </c>
    </row>
    <row r="2457" spans="1:40" x14ac:dyDescent="0.25">
      <c r="A2457" t="str">
        <f>"20190312151034014"</f>
        <v>20190312151034014</v>
      </c>
      <c r="B2457" t="str">
        <f>"1552374634003662"</f>
        <v>1552374634003662</v>
      </c>
      <c r="C2457" t="s">
        <v>40</v>
      </c>
      <c r="D2457">
        <v>5.1947320000000001</v>
      </c>
      <c r="E2457">
        <v>0.46808460000000002</v>
      </c>
      <c r="F2457" t="s">
        <v>52</v>
      </c>
      <c r="G2457">
        <v>-464.1198</v>
      </c>
      <c r="H2457" s="1">
        <v>7.6661569999999998E-7</v>
      </c>
      <c r="I2457">
        <v>282.07510000000002</v>
      </c>
      <c r="J2457">
        <v>-455.25920000000002</v>
      </c>
      <c r="K2457">
        <v>1.111961</v>
      </c>
      <c r="L2457">
        <v>283.67200000000003</v>
      </c>
      <c r="M2457">
        <v>-0.99978659999999997</v>
      </c>
      <c r="N2457">
        <v>0</v>
      </c>
      <c r="O2457">
        <v>-1.466399E-2</v>
      </c>
      <c r="P2457">
        <v>-0.99460769999999998</v>
      </c>
      <c r="Q2457">
        <v>6.0924689999999997E-2</v>
      </c>
      <c r="R2457">
        <v>-8.3927970000000005E-2</v>
      </c>
      <c r="S2457">
        <v>-2.9956360000000002</v>
      </c>
      <c r="T2457">
        <v>-0.3583751</v>
      </c>
      <c r="U2457">
        <v>-0.51699830000000002</v>
      </c>
      <c r="V2457">
        <v>-6.9683250000000002E-2</v>
      </c>
      <c r="W2457">
        <v>7.5091489999999997E-2</v>
      </c>
      <c r="X2457">
        <v>0.99473889999999998</v>
      </c>
      <c r="Y2457">
        <v>-0.15463080000000001</v>
      </c>
      <c r="Z2457">
        <v>-7.4146869999999997E-3</v>
      </c>
      <c r="AA2457">
        <v>0.9879445</v>
      </c>
      <c r="AB2457">
        <v>44</v>
      </c>
      <c r="AC2457">
        <v>-8.8605999999999696</v>
      </c>
      <c r="AD2457">
        <v>-1.1119602333842999</v>
      </c>
      <c r="AE2457">
        <v>-1.5969</v>
      </c>
      <c r="AF2457">
        <v>-1.4447452979806299</v>
      </c>
      <c r="AG2457">
        <v>-1.1119602333842999</v>
      </c>
      <c r="AH2457">
        <v>8.7496041960914006</v>
      </c>
      <c r="AI2457">
        <v>97.146963077505703</v>
      </c>
      <c r="AJ2457">
        <v>99.376146145945896</v>
      </c>
      <c r="AK2457">
        <v>8.9375230419241696</v>
      </c>
      <c r="AL2457">
        <v>85.693520808186193</v>
      </c>
      <c r="AM2457">
        <v>94.007126352299096</v>
      </c>
      <c r="AN2457">
        <v>0.99999998318709604</v>
      </c>
    </row>
    <row r="2458" spans="1:40" x14ac:dyDescent="0.25">
      <c r="A2458" t="str">
        <f>"20190312151034037"</f>
        <v>20190312151034037</v>
      </c>
      <c r="B2458" t="str">
        <f>"1552374634032942"</f>
        <v>1552374634032942</v>
      </c>
      <c r="C2458" t="s">
        <v>40</v>
      </c>
      <c r="D2458">
        <v>5.6777329999999999</v>
      </c>
      <c r="E2458">
        <v>0.46839009999999998</v>
      </c>
      <c r="F2458" t="s">
        <v>52</v>
      </c>
      <c r="G2458">
        <v>-464.51749999999998</v>
      </c>
      <c r="H2458" s="1">
        <v>9.7994009999999991E-7</v>
      </c>
      <c r="I2458">
        <v>282.03730000000002</v>
      </c>
      <c r="J2458">
        <v>-455.70170000000002</v>
      </c>
      <c r="K2458">
        <v>1.112141</v>
      </c>
      <c r="L2458">
        <v>283.66390000000001</v>
      </c>
      <c r="M2458">
        <v>-0.99975309999999995</v>
      </c>
      <c r="N2458">
        <v>0</v>
      </c>
      <c r="O2458">
        <v>-1.678441E-2</v>
      </c>
      <c r="P2458">
        <v>-0.99427310000000002</v>
      </c>
      <c r="Q2458">
        <v>6.0967609999999998E-2</v>
      </c>
      <c r="R2458">
        <v>-8.7774379999999999E-2</v>
      </c>
      <c r="S2458">
        <v>-2.9937130000000001</v>
      </c>
      <c r="T2458">
        <v>-0.35955730000000002</v>
      </c>
      <c r="U2458">
        <v>-0.52859500000000004</v>
      </c>
      <c r="V2458">
        <v>-7.1455679999999994E-2</v>
      </c>
      <c r="W2458">
        <v>7.5094820000000007E-2</v>
      </c>
      <c r="X2458">
        <v>0.99461290000000002</v>
      </c>
      <c r="Y2458">
        <v>-0.15635170000000001</v>
      </c>
      <c r="Z2458">
        <v>-7.2917559999999999E-3</v>
      </c>
      <c r="AA2458">
        <v>0.98767450000000001</v>
      </c>
      <c r="AB2458">
        <v>44</v>
      </c>
      <c r="AC2458">
        <v>-8.8157999999999603</v>
      </c>
      <c r="AD2458">
        <v>-1.1121400200598901</v>
      </c>
      <c r="AE2458">
        <v>-1.6265999999999901</v>
      </c>
      <c r="AF2458">
        <v>-1.4559786880438701</v>
      </c>
      <c r="AG2458">
        <v>-1.1121400200598901</v>
      </c>
      <c r="AH2458">
        <v>8.7078430518555603</v>
      </c>
      <c r="AI2458">
        <v>97.179638363827905</v>
      </c>
      <c r="AJ2458">
        <v>99.492226431803601</v>
      </c>
      <c r="AK2458">
        <v>8.8984976248806191</v>
      </c>
      <c r="AL2458">
        <v>85.693329474446401</v>
      </c>
      <c r="AM2458">
        <v>94.109223675723698</v>
      </c>
      <c r="AN2458">
        <v>0.99999998352075203</v>
      </c>
    </row>
    <row r="2459" spans="1:40" x14ac:dyDescent="0.25">
      <c r="A2459" t="str">
        <f>"20190312151034081"</f>
        <v>20190312151034081</v>
      </c>
      <c r="B2459" t="str">
        <f>"1552374634072958"</f>
        <v>1552374634072958</v>
      </c>
      <c r="C2459" t="s">
        <v>40</v>
      </c>
      <c r="D2459">
        <v>5.5883560000000001</v>
      </c>
      <c r="E2459">
        <v>0.4686843</v>
      </c>
      <c r="F2459" t="s">
        <v>52</v>
      </c>
      <c r="G2459">
        <v>-464.91570000000002</v>
      </c>
      <c r="H2459" s="1">
        <v>1.193144E-6</v>
      </c>
      <c r="I2459">
        <v>282.00749999999999</v>
      </c>
      <c r="J2459">
        <v>-456.5806</v>
      </c>
      <c r="K2459">
        <v>1.1126049999999901</v>
      </c>
      <c r="L2459">
        <v>283.64409999999998</v>
      </c>
      <c r="M2459">
        <v>-0.9996564</v>
      </c>
      <c r="N2459">
        <v>0</v>
      </c>
      <c r="O2459">
        <v>-2.1787020000000001E-2</v>
      </c>
      <c r="P2459">
        <v>-0.99357689999999999</v>
      </c>
      <c r="Q2459">
        <v>6.1338219999999999E-2</v>
      </c>
      <c r="R2459">
        <v>-9.5093670000000005E-2</v>
      </c>
      <c r="S2459">
        <v>-2.991943</v>
      </c>
      <c r="T2459">
        <v>-0.36113099999999998</v>
      </c>
      <c r="U2459">
        <v>-0.53784180000000004</v>
      </c>
      <c r="V2459">
        <v>-7.3890189999999994E-2</v>
      </c>
      <c r="W2459">
        <v>7.5378219999999996E-2</v>
      </c>
      <c r="X2459">
        <v>0.99441360000000001</v>
      </c>
      <c r="Y2459">
        <v>-0.15450749999999999</v>
      </c>
      <c r="Z2459">
        <v>-6.6193469999999898E-3</v>
      </c>
      <c r="AA2459">
        <v>0.98796949999999994</v>
      </c>
      <c r="AB2459">
        <v>44</v>
      </c>
      <c r="AC2459">
        <v>-8.3351000000000095</v>
      </c>
      <c r="AD2459">
        <v>-1.11260380685599</v>
      </c>
      <c r="AE2459">
        <v>-1.6365999999999801</v>
      </c>
      <c r="AF2459">
        <v>-1.4300602300585601</v>
      </c>
      <c r="AG2459">
        <v>-1.11260380685599</v>
      </c>
      <c r="AH2459">
        <v>8.2276236975604196</v>
      </c>
      <c r="AI2459">
        <v>97.588844783728106</v>
      </c>
      <c r="AJ2459">
        <v>99.860190824795893</v>
      </c>
      <c r="AK2459">
        <v>8.4247700978295796</v>
      </c>
      <c r="AL2459">
        <v>85.6770458642291</v>
      </c>
      <c r="AM2459">
        <v>94.249569924920294</v>
      </c>
      <c r="AN2459">
        <v>1.00000002204678</v>
      </c>
    </row>
    <row r="2460" spans="1:40" x14ac:dyDescent="0.25">
      <c r="A2460" t="str">
        <f>"20190312151034104"</f>
        <v>20190312151034104</v>
      </c>
      <c r="B2460" t="str">
        <f>"1552374634093455"</f>
        <v>1552374634093455</v>
      </c>
      <c r="C2460" t="s">
        <v>40</v>
      </c>
      <c r="D2460">
        <v>5.5467750000000002</v>
      </c>
      <c r="E2460">
        <v>0.46888350000000001</v>
      </c>
      <c r="F2460" t="s">
        <v>52</v>
      </c>
      <c r="G2460">
        <v>-465.78840000000002</v>
      </c>
      <c r="H2460" s="1">
        <v>1.6610320000000001E-6</v>
      </c>
      <c r="I2460">
        <v>281.92790000000002</v>
      </c>
      <c r="J2460">
        <v>-457.01499999999999</v>
      </c>
      <c r="K2460">
        <v>1.112851</v>
      </c>
      <c r="L2460">
        <v>283.63229999999999</v>
      </c>
      <c r="M2460">
        <v>-0.99959039999999999</v>
      </c>
      <c r="N2460">
        <v>0</v>
      </c>
      <c r="O2460">
        <v>-2.462839E-2</v>
      </c>
      <c r="P2460">
        <v>-0.9931006</v>
      </c>
      <c r="Q2460">
        <v>6.2269339999999999E-2</v>
      </c>
      <c r="R2460">
        <v>-9.9365140000000005E-2</v>
      </c>
      <c r="S2460">
        <v>-2.9883730000000002</v>
      </c>
      <c r="T2460">
        <v>-0.36109360000000001</v>
      </c>
      <c r="U2460">
        <v>-0.55697629999999998</v>
      </c>
      <c r="V2460">
        <v>-7.5392899999999999E-2</v>
      </c>
      <c r="W2460">
        <v>7.6260190000000005E-2</v>
      </c>
      <c r="X2460">
        <v>0.99423349999999999</v>
      </c>
      <c r="Y2460">
        <v>-0.15801950000000001</v>
      </c>
      <c r="Z2460">
        <v>-6.4935230000000002E-3</v>
      </c>
      <c r="AA2460">
        <v>0.98741469999999998</v>
      </c>
      <c r="AB2460">
        <v>44</v>
      </c>
      <c r="AC2460">
        <v>-8.7734000000000307</v>
      </c>
      <c r="AD2460">
        <v>-1.1128493389679901</v>
      </c>
      <c r="AE2460">
        <v>-1.7043999999999599</v>
      </c>
      <c r="AF2460">
        <v>-1.4650705451208199</v>
      </c>
      <c r="AG2460">
        <v>-1.1128493389679901</v>
      </c>
      <c r="AH2460">
        <v>8.6781716049024897</v>
      </c>
      <c r="AI2460">
        <v>97.2065879779109</v>
      </c>
      <c r="AJ2460">
        <v>99.582461282899004</v>
      </c>
      <c r="AK2460">
        <v>8.8710499805579897</v>
      </c>
      <c r="AL2460">
        <v>85.626366641937807</v>
      </c>
      <c r="AM2460">
        <v>94.336449837036199</v>
      </c>
      <c r="AN2460">
        <v>0.99999997923574702</v>
      </c>
    </row>
    <row r="2461" spans="1:40" x14ac:dyDescent="0.25">
      <c r="A2461" t="str">
        <f>"20190312151034126"</f>
        <v>20190312151034126</v>
      </c>
      <c r="B2461" t="str">
        <f>"1552374634123711"</f>
        <v>1552374634123711</v>
      </c>
      <c r="C2461" t="s">
        <v>40</v>
      </c>
      <c r="D2461">
        <v>5.5584009999999999</v>
      </c>
      <c r="E2461">
        <v>0.468891</v>
      </c>
      <c r="F2461" t="s">
        <v>52</v>
      </c>
      <c r="G2461">
        <v>-466.22379999999998</v>
      </c>
      <c r="H2461" s="1">
        <v>1.8947729999999999E-6</v>
      </c>
      <c r="I2461">
        <v>281.88069999999999</v>
      </c>
      <c r="J2461">
        <v>-457.46019999999999</v>
      </c>
      <c r="K2461">
        <v>1.113103</v>
      </c>
      <c r="L2461">
        <v>283.61880000000002</v>
      </c>
      <c r="M2461">
        <v>-0.99950740000000005</v>
      </c>
      <c r="N2461">
        <v>0</v>
      </c>
      <c r="O2461">
        <v>-2.7794969999999999E-2</v>
      </c>
      <c r="P2461">
        <v>-0.99247560000000001</v>
      </c>
      <c r="Q2461">
        <v>6.3288880000000006E-2</v>
      </c>
      <c r="R2461">
        <v>-0.10481889999999899</v>
      </c>
      <c r="S2461">
        <v>-2.9866640000000002</v>
      </c>
      <c r="T2461">
        <v>-0.36092750000000001</v>
      </c>
      <c r="U2461">
        <v>-0.5680847</v>
      </c>
      <c r="V2461">
        <v>-7.7761629999999998E-2</v>
      </c>
      <c r="W2461">
        <v>7.7219609999999994E-2</v>
      </c>
      <c r="X2461">
        <v>0.993977</v>
      </c>
      <c r="Y2461">
        <v>-0.15855939999999999</v>
      </c>
      <c r="Z2461">
        <v>-6.1468310000000002E-3</v>
      </c>
      <c r="AA2461">
        <v>0.98733029999999999</v>
      </c>
      <c r="AB2461">
        <v>44</v>
      </c>
      <c r="AC2461">
        <v>-8.7635999999999896</v>
      </c>
      <c r="AD2461">
        <v>-1.1131011052269999</v>
      </c>
      <c r="AE2461">
        <v>-1.73810000000003</v>
      </c>
      <c r="AF2461">
        <v>-1.47098578422001</v>
      </c>
      <c r="AG2461">
        <v>-1.1131011052269999</v>
      </c>
      <c r="AH2461">
        <v>8.6738926110148196</v>
      </c>
      <c r="AI2461">
        <v>97.210821538858497</v>
      </c>
      <c r="AJ2461">
        <v>99.625086071506104</v>
      </c>
      <c r="AK2461">
        <v>8.8678749582553493</v>
      </c>
      <c r="AL2461">
        <v>85.571233468994095</v>
      </c>
      <c r="AM2461">
        <v>94.473299523878595</v>
      </c>
      <c r="AN2461">
        <v>1.0000000078989</v>
      </c>
    </row>
    <row r="2462" spans="1:40" x14ac:dyDescent="0.25">
      <c r="A2462" t="str">
        <f>"20190312151034149"</f>
        <v>20190312151034149</v>
      </c>
      <c r="B2462" t="str">
        <f>"1552374634143230"</f>
        <v>1552374634143230</v>
      </c>
      <c r="C2462" t="s">
        <v>40</v>
      </c>
      <c r="D2462">
        <v>5.5421709999999997</v>
      </c>
      <c r="E2462">
        <v>0.46900770000000003</v>
      </c>
      <c r="F2462" t="s">
        <v>52</v>
      </c>
      <c r="G2462">
        <v>-466.71480000000003</v>
      </c>
      <c r="H2462" s="1">
        <v>2.1592450000000002E-6</v>
      </c>
      <c r="I2462">
        <v>281.80840000000001</v>
      </c>
      <c r="J2462">
        <v>-457.88679999999999</v>
      </c>
      <c r="K2462">
        <v>1.1133420000000001</v>
      </c>
      <c r="L2462">
        <v>283.6044</v>
      </c>
      <c r="M2462">
        <v>-0.99941069999999999</v>
      </c>
      <c r="N2462">
        <v>0</v>
      </c>
      <c r="O2462">
        <v>-3.1071680000000001E-2</v>
      </c>
      <c r="P2462">
        <v>-0.99177740000000003</v>
      </c>
      <c r="Q2462">
        <v>6.3867809999999997E-2</v>
      </c>
      <c r="R2462">
        <v>-0.1108991</v>
      </c>
      <c r="S2462">
        <v>-2.9840089999999999</v>
      </c>
      <c r="T2462">
        <v>-0.358902099999999</v>
      </c>
      <c r="U2462">
        <v>-0.58374019999999904</v>
      </c>
      <c r="V2462">
        <v>-8.0647360000000001E-2</v>
      </c>
      <c r="W2462">
        <v>7.7733040000000003E-2</v>
      </c>
      <c r="X2462">
        <v>0.99370700000000001</v>
      </c>
      <c r="Y2462">
        <v>-0.1604971</v>
      </c>
      <c r="Z2462">
        <v>-5.8415840000000004E-3</v>
      </c>
      <c r="AA2462">
        <v>0.98701899999999998</v>
      </c>
      <c r="AB2462">
        <v>44</v>
      </c>
      <c r="AC2462">
        <v>-8.8280000000000296</v>
      </c>
      <c r="AD2462">
        <v>-1.1133398407549999</v>
      </c>
      <c r="AE2462">
        <v>-1.79599999999999</v>
      </c>
      <c r="AF2462">
        <v>-1.4979251874922499</v>
      </c>
      <c r="AG2462">
        <v>-1.1133398407549999</v>
      </c>
      <c r="AH2462">
        <v>8.7459720475875198</v>
      </c>
      <c r="AI2462">
        <v>97.151557423441204</v>
      </c>
      <c r="AJ2462">
        <v>99.718768484339407</v>
      </c>
      <c r="AK2462">
        <v>8.94289284994057</v>
      </c>
      <c r="AL2462">
        <v>85.541727425659204</v>
      </c>
      <c r="AM2462">
        <v>94.639846745637698</v>
      </c>
      <c r="AN2462">
        <v>1.0000000120157999</v>
      </c>
    </row>
    <row r="2463" spans="1:40" x14ac:dyDescent="0.25">
      <c r="A2463" t="str">
        <f>"20190312151034170"</f>
        <v>20190312151034170</v>
      </c>
      <c r="B2463" t="str">
        <f>"1552374634162750"</f>
        <v>1552374634162750</v>
      </c>
      <c r="C2463" t="s">
        <v>40</v>
      </c>
      <c r="D2463">
        <v>5.7202710000000003</v>
      </c>
      <c r="E2463">
        <v>0.46927590000000002</v>
      </c>
      <c r="F2463" t="s">
        <v>52</v>
      </c>
      <c r="G2463">
        <v>-467.2004</v>
      </c>
      <c r="H2463" s="1">
        <v>2.4211500000000001E-6</v>
      </c>
      <c r="I2463">
        <v>281.72800000000001</v>
      </c>
      <c r="J2463">
        <v>-458.31900000000002</v>
      </c>
      <c r="K2463">
        <v>1.1135809999999999</v>
      </c>
      <c r="L2463">
        <v>283.5883</v>
      </c>
      <c r="M2463">
        <v>-0.99929389999999996</v>
      </c>
      <c r="N2463">
        <v>0</v>
      </c>
      <c r="O2463">
        <v>-3.4623609999999999E-2</v>
      </c>
      <c r="P2463">
        <v>-0.99101760000000005</v>
      </c>
      <c r="Q2463">
        <v>6.4197249999999997E-2</v>
      </c>
      <c r="R2463">
        <v>-0.1173168</v>
      </c>
      <c r="S2463">
        <v>-2.9806210000000002</v>
      </c>
      <c r="T2463">
        <v>-0.35630200000000001</v>
      </c>
      <c r="U2463">
        <v>-0.60052490000000003</v>
      </c>
      <c r="V2463">
        <v>-8.3600149999999998E-2</v>
      </c>
      <c r="W2463">
        <v>7.7993090000000001E-2</v>
      </c>
      <c r="X2463">
        <v>0.99344250000000001</v>
      </c>
      <c r="Y2463">
        <v>-0.16256999999999999</v>
      </c>
      <c r="Z2463">
        <v>-5.5070630000000004E-3</v>
      </c>
      <c r="AA2463">
        <v>0.98668160000000005</v>
      </c>
      <c r="AB2463">
        <v>44</v>
      </c>
      <c r="AC2463">
        <v>-8.8813999999999798</v>
      </c>
      <c r="AD2463">
        <v>-1.1135785788499999</v>
      </c>
      <c r="AE2463">
        <v>-1.8602999999999901</v>
      </c>
      <c r="AF2463">
        <v>-1.52862410240334</v>
      </c>
      <c r="AG2463">
        <v>-1.1135785788499999</v>
      </c>
      <c r="AH2463">
        <v>8.8078429955999997</v>
      </c>
      <c r="AI2463">
        <v>97.100656947393603</v>
      </c>
      <c r="AJ2463">
        <v>99.845760444640803</v>
      </c>
      <c r="AK2463">
        <v>9.0085985110261095</v>
      </c>
      <c r="AL2463">
        <v>85.526782025728295</v>
      </c>
      <c r="AM2463">
        <v>94.810219846733602</v>
      </c>
      <c r="AN2463">
        <v>0.99999995398700903</v>
      </c>
    </row>
    <row r="2464" spans="1:40" x14ac:dyDescent="0.25">
      <c r="A2464" t="str">
        <f>"20190312151034193"</f>
        <v>20190312151034193</v>
      </c>
      <c r="B2464" t="str">
        <f>"1552374634183246"</f>
        <v>1552374634183246</v>
      </c>
      <c r="C2464" t="s">
        <v>40</v>
      </c>
      <c r="D2464">
        <v>5.5677379999999896</v>
      </c>
      <c r="E2464">
        <v>0.4695957</v>
      </c>
      <c r="F2464" t="s">
        <v>52</v>
      </c>
      <c r="G2464">
        <v>-467.61750000000001</v>
      </c>
      <c r="H2464" s="1">
        <v>2.6461169999999998E-6</v>
      </c>
      <c r="I2464">
        <v>281.65940000000001</v>
      </c>
      <c r="J2464">
        <v>-458.75619999999998</v>
      </c>
      <c r="K2464">
        <v>1.113823</v>
      </c>
      <c r="L2464">
        <v>283.57029999999997</v>
      </c>
      <c r="M2464">
        <v>-0.9991544</v>
      </c>
      <c r="N2464">
        <v>0</v>
      </c>
      <c r="O2464">
        <v>-3.8436560000000002E-2</v>
      </c>
      <c r="P2464">
        <v>-0.9900949</v>
      </c>
      <c r="Q2464">
        <v>6.4468700000000004E-2</v>
      </c>
      <c r="R2464">
        <v>-0.12472320000000001</v>
      </c>
      <c r="S2464">
        <v>-2.9771730000000001</v>
      </c>
      <c r="T2464">
        <v>-0.35654190000000002</v>
      </c>
      <c r="U2464">
        <v>-0.61758419999999903</v>
      </c>
      <c r="V2464">
        <v>-8.7289409999999998E-2</v>
      </c>
      <c r="W2464">
        <v>7.8183710000000003E-2</v>
      </c>
      <c r="X2464">
        <v>0.99311020000000005</v>
      </c>
      <c r="Y2464">
        <v>-0.16446440000000001</v>
      </c>
      <c r="Z2464">
        <v>-5.1765659999999996E-3</v>
      </c>
      <c r="AA2464">
        <v>0.98636939999999995</v>
      </c>
      <c r="AB2464">
        <v>44</v>
      </c>
      <c r="AC2464">
        <v>-8.8613000000000195</v>
      </c>
      <c r="AD2464">
        <v>-1.113820353883</v>
      </c>
      <c r="AE2464">
        <v>-1.9108999999999601</v>
      </c>
      <c r="AF2464">
        <v>-1.54552048356695</v>
      </c>
      <c r="AG2464">
        <v>-1.113820353883</v>
      </c>
      <c r="AH2464">
        <v>8.7954209489901203</v>
      </c>
      <c r="AI2464">
        <v>97.109527247386794</v>
      </c>
      <c r="AJ2464">
        <v>99.966198949838002</v>
      </c>
      <c r="AK2464">
        <v>8.9993699232659292</v>
      </c>
      <c r="AL2464">
        <v>85.515827064803105</v>
      </c>
      <c r="AM2464">
        <v>95.0231030691358</v>
      </c>
      <c r="AN2464">
        <v>1.00000000147577</v>
      </c>
    </row>
    <row r="2465" spans="1:40" x14ac:dyDescent="0.25">
      <c r="A2465" t="str">
        <f>"20190312151034215"</f>
        <v>20190312151034215</v>
      </c>
      <c r="B2465" t="str">
        <f>"1552374634213502"</f>
        <v>1552374634213502</v>
      </c>
      <c r="C2465" t="s">
        <v>40</v>
      </c>
      <c r="D2465">
        <v>5.6928429999999999</v>
      </c>
      <c r="E2465">
        <v>0.46979490000000002</v>
      </c>
      <c r="F2465" t="s">
        <v>52</v>
      </c>
      <c r="G2465">
        <v>-468.03100000000001</v>
      </c>
      <c r="H2465" s="1">
        <v>2.8695569999999999E-6</v>
      </c>
      <c r="I2465">
        <v>281.58190000000002</v>
      </c>
      <c r="J2465">
        <v>-459.19229999999999</v>
      </c>
      <c r="K2465">
        <v>1.114053</v>
      </c>
      <c r="L2465">
        <v>283.5505</v>
      </c>
      <c r="M2465">
        <v>-0.99899260000000001</v>
      </c>
      <c r="N2465">
        <v>0</v>
      </c>
      <c r="O2465">
        <v>-4.243131E-2</v>
      </c>
      <c r="P2465">
        <v>-0.98922339999999997</v>
      </c>
      <c r="Q2465">
        <v>6.4252050000000005E-2</v>
      </c>
      <c r="R2465">
        <v>-0.1315624</v>
      </c>
      <c r="S2465">
        <v>-2.972931</v>
      </c>
      <c r="T2465">
        <v>-0.35702260000000002</v>
      </c>
      <c r="U2465">
        <v>-0.63732909999999998</v>
      </c>
      <c r="V2465">
        <v>-9.0225669999999994E-2</v>
      </c>
      <c r="W2465">
        <v>7.7892779999999995E-2</v>
      </c>
      <c r="X2465">
        <v>0.99287060000000005</v>
      </c>
      <c r="Y2465">
        <v>-0.16707830000000001</v>
      </c>
      <c r="Z2465">
        <v>-4.8705509999999999E-3</v>
      </c>
      <c r="AA2465">
        <v>0.98593160000000002</v>
      </c>
      <c r="AB2465">
        <v>44</v>
      </c>
      <c r="AC2465">
        <v>-8.83870000000001</v>
      </c>
      <c r="AD2465">
        <v>-1.1140501304429999</v>
      </c>
      <c r="AE2465">
        <v>-1.9685999999999799</v>
      </c>
      <c r="AF2465">
        <v>-1.56801581874074</v>
      </c>
      <c r="AG2465">
        <v>-1.1140501304429999</v>
      </c>
      <c r="AH2465">
        <v>8.7813640199115799</v>
      </c>
      <c r="AI2465">
        <v>97.118803953892595</v>
      </c>
      <c r="AJ2465">
        <v>100.124134831292</v>
      </c>
      <c r="AK2465">
        <v>8.9895570164029106</v>
      </c>
      <c r="AL2465">
        <v>85.532547075934502</v>
      </c>
      <c r="AM2465">
        <v>95.192408898663999</v>
      </c>
      <c r="AN2465">
        <v>0.99999999252371796</v>
      </c>
    </row>
    <row r="2466" spans="1:40" x14ac:dyDescent="0.25">
      <c r="A2466" t="str">
        <f>"20190312151034230"</f>
        <v>20190312151034230</v>
      </c>
      <c r="B2466" t="str">
        <f>"1552374634223264"</f>
        <v>1552374634223264</v>
      </c>
      <c r="C2466" t="s">
        <v>40</v>
      </c>
      <c r="D2466">
        <v>5.6435680000000001</v>
      </c>
      <c r="E2466">
        <v>0.46002270000000001</v>
      </c>
      <c r="F2466" t="s">
        <v>52</v>
      </c>
      <c r="G2466">
        <v>-468.45620000000002</v>
      </c>
      <c r="H2466" s="1">
        <v>3.0993870000000002E-6</v>
      </c>
      <c r="I2466">
        <v>281.50060000000002</v>
      </c>
      <c r="J2466">
        <v>-459.47640000000001</v>
      </c>
      <c r="K2466">
        <v>1.114193</v>
      </c>
      <c r="L2466">
        <v>283.53649999999999</v>
      </c>
      <c r="M2466">
        <v>-0.99887409999999999</v>
      </c>
      <c r="N2466">
        <v>0</v>
      </c>
      <c r="O2466">
        <v>-4.5134319999999999E-2</v>
      </c>
      <c r="P2466">
        <v>-0.98867159999999998</v>
      </c>
      <c r="Q2466">
        <v>6.4425159999999995E-2</v>
      </c>
      <c r="R2466">
        <v>-0.13556570000000001</v>
      </c>
      <c r="S2466">
        <v>-2.9684750000000002</v>
      </c>
      <c r="T2466">
        <v>-0.35697780000000001</v>
      </c>
      <c r="U2466">
        <v>-0.65682980000000002</v>
      </c>
      <c r="V2466">
        <v>-9.1588160000000002E-2</v>
      </c>
      <c r="W2466">
        <v>7.8023519999999999E-2</v>
      </c>
      <c r="X2466">
        <v>0.99273560000000005</v>
      </c>
      <c r="Y2466">
        <v>-0.17088780000000001</v>
      </c>
      <c r="Z2466">
        <v>-4.7803139999999999E-3</v>
      </c>
      <c r="AA2466">
        <v>0.98527889999999996</v>
      </c>
      <c r="AB2466">
        <v>44</v>
      </c>
      <c r="AC2466">
        <v>-8.9798000000000098</v>
      </c>
      <c r="AD2466">
        <v>-1.1141899006130001</v>
      </c>
      <c r="AE2466">
        <v>-2.0358999999999599</v>
      </c>
      <c r="AF2466">
        <v>-1.6049833743095401</v>
      </c>
      <c r="AG2466">
        <v>-1.1141899006130001</v>
      </c>
      <c r="AH2466">
        <v>8.9317620890551108</v>
      </c>
      <c r="AI2466">
        <v>96.999640458854202</v>
      </c>
      <c r="AJ2466">
        <v>100.18698629226699</v>
      </c>
      <c r="AK2466">
        <v>9.1429625823318492</v>
      </c>
      <c r="AL2466">
        <v>85.525033464446807</v>
      </c>
      <c r="AM2466">
        <v>95.271093385567099</v>
      </c>
      <c r="AN2466">
        <v>1.00000001611636</v>
      </c>
    </row>
    <row r="2467" spans="1:40" x14ac:dyDescent="0.25">
      <c r="A2467" t="str">
        <f>"20190312151034249"</f>
        <v>20190312151034249</v>
      </c>
      <c r="B2467" t="str">
        <f>"1552374634242782"</f>
        <v>1552374634242782</v>
      </c>
      <c r="C2467" t="s">
        <v>40</v>
      </c>
      <c r="D2467">
        <v>5.6372600000000004</v>
      </c>
      <c r="E2467">
        <v>0.4606847</v>
      </c>
      <c r="F2467" t="s">
        <v>52</v>
      </c>
      <c r="G2467">
        <v>-467.8116</v>
      </c>
      <c r="H2467" s="1">
        <v>2.7594790000000001E-6</v>
      </c>
      <c r="I2467">
        <v>281.4289</v>
      </c>
      <c r="J2467">
        <v>-459.84840000000003</v>
      </c>
      <c r="K2467">
        <v>1.114363</v>
      </c>
      <c r="L2467">
        <v>283.517</v>
      </c>
      <c r="M2467">
        <v>-0.99870400000000004</v>
      </c>
      <c r="N2467">
        <v>0</v>
      </c>
      <c r="O2467">
        <v>-4.8752650000000002E-2</v>
      </c>
      <c r="P2467">
        <v>-0.98781110000000005</v>
      </c>
      <c r="Q2467">
        <v>6.4649750000000006E-2</v>
      </c>
      <c r="R2467">
        <v>-0.1415978</v>
      </c>
      <c r="S2467">
        <v>-2.9575499999999999</v>
      </c>
      <c r="T2467">
        <v>-0.39534370000000002</v>
      </c>
      <c r="U2467">
        <v>-0.74783330000000003</v>
      </c>
      <c r="V2467">
        <v>-9.4089400000000004E-2</v>
      </c>
      <c r="W2467">
        <v>7.8185610000000003E-2</v>
      </c>
      <c r="X2467">
        <v>0.99248890000000001</v>
      </c>
      <c r="Y2467">
        <v>-0.1963481</v>
      </c>
      <c r="Z2467">
        <v>-6.4872920000000004E-3</v>
      </c>
      <c r="AA2467">
        <v>0.98051279999999996</v>
      </c>
      <c r="AB2467">
        <v>44</v>
      </c>
      <c r="AC2467">
        <v>-7.9631999999999703</v>
      </c>
      <c r="AD2467">
        <v>-1.114360240521</v>
      </c>
      <c r="AE2467">
        <v>-2.0880999999999901</v>
      </c>
      <c r="AF2467">
        <v>-1.6668070336588601</v>
      </c>
      <c r="AG2467">
        <v>-1.114360240521</v>
      </c>
      <c r="AH2467">
        <v>7.91059433883634</v>
      </c>
      <c r="AI2467">
        <v>97.848345483660907</v>
      </c>
      <c r="AJ2467">
        <v>101.89849747299699</v>
      </c>
      <c r="AK2467">
        <v>8.1607320276270698</v>
      </c>
      <c r="AL2467">
        <v>85.515717910069498</v>
      </c>
      <c r="AM2467">
        <v>95.415538715315705</v>
      </c>
      <c r="AN2467">
        <v>1.00000001071332</v>
      </c>
    </row>
    <row r="2468" spans="1:40" x14ac:dyDescent="0.25">
      <c r="A2468" t="str">
        <f>"20190312151034272"</f>
        <v>20190312151034272</v>
      </c>
      <c r="B2468" t="str">
        <f>"1552374634263279"</f>
        <v>1552374634263279</v>
      </c>
      <c r="C2468" t="s">
        <v>40</v>
      </c>
      <c r="D2468">
        <v>5.5753469999999998</v>
      </c>
      <c r="E2468">
        <v>0.46062649999999999</v>
      </c>
      <c r="F2468" t="s">
        <v>52</v>
      </c>
      <c r="G2468">
        <v>-468.34039999999999</v>
      </c>
      <c r="H2468" s="1">
        <v>3.0452110000000002E-6</v>
      </c>
      <c r="I2468">
        <v>281.33</v>
      </c>
      <c r="J2468">
        <v>-460.28390000000002</v>
      </c>
      <c r="K2468">
        <v>1.1145350000000001</v>
      </c>
      <c r="L2468">
        <v>283.49250000000001</v>
      </c>
      <c r="M2468">
        <v>-0.99848269999999995</v>
      </c>
      <c r="N2468">
        <v>0</v>
      </c>
      <c r="O2468">
        <v>-5.3091289999999999E-2</v>
      </c>
      <c r="P2468">
        <v>-0.98656710000000003</v>
      </c>
      <c r="Q2468">
        <v>6.5058820000000003E-2</v>
      </c>
      <c r="R2468">
        <v>-0.14984339999999999</v>
      </c>
      <c r="S2468">
        <v>-2.9533390000000002</v>
      </c>
      <c r="T2468">
        <v>-0.3875517</v>
      </c>
      <c r="U2468">
        <v>-0.76062010000000002</v>
      </c>
      <c r="V2468">
        <v>-9.8109249999999995E-2</v>
      </c>
      <c r="W2468">
        <v>7.8508869999999994E-2</v>
      </c>
      <c r="X2468">
        <v>0.99207409999999996</v>
      </c>
      <c r="Y2468">
        <v>-0.19648669999999999</v>
      </c>
      <c r="Z2468">
        <v>-5.8193200000000002E-3</v>
      </c>
      <c r="AA2468">
        <v>0.98048919999999995</v>
      </c>
      <c r="AB2468">
        <v>44</v>
      </c>
      <c r="AC2468">
        <v>-8.0564999999999696</v>
      </c>
      <c r="AD2468">
        <v>-1.114531954789</v>
      </c>
      <c r="AE2468">
        <v>-2.1625000000000201</v>
      </c>
      <c r="AF2468">
        <v>-1.7013027766988</v>
      </c>
      <c r="AG2468">
        <v>-1.114531954789</v>
      </c>
      <c r="AH2468">
        <v>8.0168435493773806</v>
      </c>
      <c r="AI2468">
        <v>97.744440237358504</v>
      </c>
      <c r="AJ2468">
        <v>101.98133153684699</v>
      </c>
      <c r="AK2468">
        <v>8.2708157464329108</v>
      </c>
      <c r="AL2468">
        <v>85.497139517547097</v>
      </c>
      <c r="AM2468">
        <v>95.647791611913107</v>
      </c>
      <c r="AN2468">
        <v>1.0000000437475201</v>
      </c>
    </row>
    <row r="2469" spans="1:40" x14ac:dyDescent="0.25">
      <c r="A2469" t="str">
        <f>"20190312151034294"</f>
        <v>20190312151034294</v>
      </c>
      <c r="B2469" t="str">
        <f>"1552374634282799"</f>
        <v>1552374634282799</v>
      </c>
      <c r="C2469" t="s">
        <v>40</v>
      </c>
      <c r="D2469">
        <v>5.4939619999999998</v>
      </c>
      <c r="E2469">
        <v>0.46068369999999997</v>
      </c>
      <c r="F2469" t="s">
        <v>52</v>
      </c>
      <c r="G2469">
        <v>-468.68799999999999</v>
      </c>
      <c r="H2469" s="1">
        <v>3.2335559999999999E-6</v>
      </c>
      <c r="I2469">
        <v>281.25209999999998</v>
      </c>
      <c r="J2469">
        <v>-460.71879999999999</v>
      </c>
      <c r="K2469">
        <v>1.1146849999999999</v>
      </c>
      <c r="L2469">
        <v>283.46620000000001</v>
      </c>
      <c r="M2469">
        <v>-0.99823779999999995</v>
      </c>
      <c r="N2469">
        <v>0</v>
      </c>
      <c r="O2469">
        <v>-5.7510360000000003E-2</v>
      </c>
      <c r="P2469">
        <v>-0.98557030000000001</v>
      </c>
      <c r="Q2469">
        <v>6.5667130000000004E-2</v>
      </c>
      <c r="R2469">
        <v>-0.15601099999999901</v>
      </c>
      <c r="S2469">
        <v>-2.947327</v>
      </c>
      <c r="T2469">
        <v>-0.39086870000000001</v>
      </c>
      <c r="U2469">
        <v>-0.7857056</v>
      </c>
      <c r="V2469">
        <v>-9.9962880000000004E-2</v>
      </c>
      <c r="W2469">
        <v>7.9060759999999994E-2</v>
      </c>
      <c r="X2469">
        <v>0.99184510000000004</v>
      </c>
      <c r="Y2469">
        <v>-0.20042019999999999</v>
      </c>
      <c r="Z2469">
        <v>-5.5587800000000001E-3</v>
      </c>
      <c r="AA2469">
        <v>0.97969419999999996</v>
      </c>
      <c r="AB2469">
        <v>44</v>
      </c>
      <c r="AC2469">
        <v>-7.9692000000000496</v>
      </c>
      <c r="AD2469">
        <v>-1.1146817664440001</v>
      </c>
      <c r="AE2469">
        <v>-2.2141000000000299</v>
      </c>
      <c r="AF2469">
        <v>-1.72081942625589</v>
      </c>
      <c r="AG2469">
        <v>-1.1146817664440001</v>
      </c>
      <c r="AH2469">
        <v>7.9391584040445196</v>
      </c>
      <c r="AI2469">
        <v>97.813146484875901</v>
      </c>
      <c r="AJ2469">
        <v>102.22973031589299</v>
      </c>
      <c r="AK2469">
        <v>8.1996323760722998</v>
      </c>
      <c r="AL2469">
        <v>85.465419491743802</v>
      </c>
      <c r="AM2469">
        <v>95.755108474418506</v>
      </c>
      <c r="AN2469">
        <v>0.99999994177183904</v>
      </c>
    </row>
    <row r="2470" spans="1:40" x14ac:dyDescent="0.25">
      <c r="A2470" t="str">
        <f>"20190312151034315"</f>
        <v>20190312151034315</v>
      </c>
      <c r="B2470" t="str">
        <f>"1552374634313055"</f>
        <v>1552374634313055</v>
      </c>
      <c r="C2470" t="s">
        <v>40</v>
      </c>
      <c r="D2470">
        <v>5.6348989999999999</v>
      </c>
      <c r="E2470">
        <v>0.4608487</v>
      </c>
      <c r="F2470" t="s">
        <v>52</v>
      </c>
      <c r="G2470">
        <v>-469.04559999999998</v>
      </c>
      <c r="H2470" s="1">
        <v>3.4265609999999999E-6</v>
      </c>
      <c r="I2470">
        <v>281.19049999999999</v>
      </c>
      <c r="J2470">
        <v>-461.1404</v>
      </c>
      <c r="K2470">
        <v>1.1148100000000001</v>
      </c>
      <c r="L2470">
        <v>283.43869999999998</v>
      </c>
      <c r="M2470">
        <v>-0.99797820000000004</v>
      </c>
      <c r="N2470">
        <v>0</v>
      </c>
      <c r="O2470">
        <v>-6.185326E-2</v>
      </c>
      <c r="P2470">
        <v>-0.98461259999999995</v>
      </c>
      <c r="Q2470">
        <v>6.6155430000000001E-2</v>
      </c>
      <c r="R2470">
        <v>-0.1617468</v>
      </c>
      <c r="S2470">
        <v>-2.942841</v>
      </c>
      <c r="T2470">
        <v>-0.39394750000000001</v>
      </c>
      <c r="U2470">
        <v>-0.80426030000000004</v>
      </c>
      <c r="V2470">
        <v>-0.10145510000000001</v>
      </c>
      <c r="W2470">
        <v>7.9501870000000002E-2</v>
      </c>
      <c r="X2470">
        <v>0.99165840000000005</v>
      </c>
      <c r="Y2470">
        <v>-0.202288</v>
      </c>
      <c r="Z2470">
        <v>-5.1629659999999997E-3</v>
      </c>
      <c r="AA2470">
        <v>0.97931250000000003</v>
      </c>
      <c r="AB2470">
        <v>44</v>
      </c>
      <c r="AC2470">
        <v>-7.9051999999999696</v>
      </c>
      <c r="AD2470">
        <v>-1.114806573439</v>
      </c>
      <c r="AE2470">
        <v>-2.24819999999999</v>
      </c>
      <c r="AF2470">
        <v>-1.72317490868267</v>
      </c>
      <c r="AG2470">
        <v>-1.114806573439</v>
      </c>
      <c r="AH2470">
        <v>7.8840741259697804</v>
      </c>
      <c r="AI2470">
        <v>97.864996883371703</v>
      </c>
      <c r="AJ2470">
        <v>102.328917447042</v>
      </c>
      <c r="AK2470">
        <v>8.1468245522953602</v>
      </c>
      <c r="AL2470">
        <v>85.440066361964796</v>
      </c>
      <c r="AM2470">
        <v>95.841521662125501</v>
      </c>
      <c r="AN2470">
        <v>1.0000000334700301</v>
      </c>
    </row>
    <row r="2471" spans="1:40" x14ac:dyDescent="0.25">
      <c r="A2471" t="str">
        <f>"20190312151034339"</f>
        <v>20190312151034339</v>
      </c>
      <c r="B2471" t="str">
        <f>"1552374634333553"</f>
        <v>1552374634333553</v>
      </c>
      <c r="C2471" t="s">
        <v>40</v>
      </c>
      <c r="D2471">
        <v>5.4794960000000001</v>
      </c>
      <c r="E2471">
        <v>0.46090520000000001</v>
      </c>
      <c r="F2471" t="s">
        <v>52</v>
      </c>
      <c r="G2471">
        <v>-469.37729999999999</v>
      </c>
      <c r="H2471" s="1">
        <v>3.60533E-6</v>
      </c>
      <c r="I2471">
        <v>281.13909999999998</v>
      </c>
      <c r="J2471">
        <v>-461.57799999999997</v>
      </c>
      <c r="K2471">
        <v>1.1149119999999999</v>
      </c>
      <c r="L2471">
        <v>283.4083</v>
      </c>
      <c r="M2471">
        <v>-0.99768590000000001</v>
      </c>
      <c r="N2471">
        <v>0</v>
      </c>
      <c r="O2471">
        <v>-6.6401749999999995E-2</v>
      </c>
      <c r="P2471">
        <v>-0.98354209999999997</v>
      </c>
      <c r="Q2471">
        <v>6.6998020000000005E-2</v>
      </c>
      <c r="R2471">
        <v>-0.1677989</v>
      </c>
      <c r="S2471">
        <v>-2.9387819999999998</v>
      </c>
      <c r="T2471">
        <v>-0.39774310000000002</v>
      </c>
      <c r="U2471">
        <v>-0.82046509999999995</v>
      </c>
      <c r="V2471">
        <v>-0.10306940000000001</v>
      </c>
      <c r="W2471">
        <v>8.0297080000000007E-2</v>
      </c>
      <c r="X2471">
        <v>0.99142779999999997</v>
      </c>
      <c r="Y2471">
        <v>-0.20319329999999999</v>
      </c>
      <c r="Z2471">
        <v>-4.6776810000000004E-3</v>
      </c>
      <c r="AA2471">
        <v>0.97912750000000004</v>
      </c>
      <c r="AB2471">
        <v>44</v>
      </c>
      <c r="AC2471">
        <v>-7.7992999999999597</v>
      </c>
      <c r="AD2471">
        <v>-1.11490839467</v>
      </c>
      <c r="AE2471">
        <v>-2.2692000000000099</v>
      </c>
      <c r="AF2471">
        <v>-1.71395756546183</v>
      </c>
      <c r="AG2471">
        <v>-1.11490839467</v>
      </c>
      <c r="AH2471">
        <v>7.7860893830014497</v>
      </c>
      <c r="AI2471">
        <v>97.960853640757193</v>
      </c>
      <c r="AJ2471">
        <v>102.41456299622899</v>
      </c>
      <c r="AK2471">
        <v>8.0500844184888791</v>
      </c>
      <c r="AL2471">
        <v>85.394357909399403</v>
      </c>
      <c r="AM2471">
        <v>95.935181137209796</v>
      </c>
      <c r="AN2471">
        <v>1.0000000024428599</v>
      </c>
    </row>
    <row r="2472" spans="1:40" x14ac:dyDescent="0.25">
      <c r="A2472" t="str">
        <f>"20190312151034360"</f>
        <v>20190312151034360</v>
      </c>
      <c r="B2472" t="str">
        <f>"1552374634353070"</f>
        <v>1552374634353070</v>
      </c>
      <c r="C2472" t="s">
        <v>40</v>
      </c>
      <c r="D2472">
        <v>5.5183669999999996</v>
      </c>
      <c r="E2472">
        <v>0.4612116</v>
      </c>
      <c r="F2472" t="s">
        <v>52</v>
      </c>
      <c r="G2472">
        <v>-469.78530000000001</v>
      </c>
      <c r="H2472" s="1">
        <v>3.8257590000000002E-6</v>
      </c>
      <c r="I2472">
        <v>281.06400000000002</v>
      </c>
      <c r="J2472">
        <v>-462.00299999999999</v>
      </c>
      <c r="K2472">
        <v>1.1150009999999999</v>
      </c>
      <c r="L2472">
        <v>283.3766</v>
      </c>
      <c r="M2472">
        <v>-0.99738000000000004</v>
      </c>
      <c r="N2472">
        <v>0</v>
      </c>
      <c r="O2472">
        <v>-7.0848159999999993E-2</v>
      </c>
      <c r="P2472">
        <v>-0.98251770000000005</v>
      </c>
      <c r="Q2472">
        <v>6.7271780000000003E-2</v>
      </c>
      <c r="R2472">
        <v>-0.1735901</v>
      </c>
      <c r="S2472">
        <v>-2.934326</v>
      </c>
      <c r="T2472">
        <v>-0.39860580000000001</v>
      </c>
      <c r="U2472">
        <v>-0.83813479999999996</v>
      </c>
      <c r="V2472">
        <v>-0.10451340000000001</v>
      </c>
      <c r="W2472">
        <v>8.053043E-2</v>
      </c>
      <c r="X2472">
        <v>0.99125770000000002</v>
      </c>
      <c r="Y2472">
        <v>-0.20469390000000001</v>
      </c>
      <c r="Z2472">
        <v>-4.2049180000000002E-3</v>
      </c>
      <c r="AA2472">
        <v>0.97881700000000005</v>
      </c>
      <c r="AB2472">
        <v>44</v>
      </c>
      <c r="AC2472">
        <v>-7.7822999999999602</v>
      </c>
      <c r="AD2472">
        <v>-1.1149971742409901</v>
      </c>
      <c r="AE2472">
        <v>-2.31259999999997</v>
      </c>
      <c r="AF2472">
        <v>-1.7228706200925601</v>
      </c>
      <c r="AG2472">
        <v>-1.1149971742409901</v>
      </c>
      <c r="AH2472">
        <v>7.7798593031718903</v>
      </c>
      <c r="AI2472">
        <v>97.965584400358495</v>
      </c>
      <c r="AJ2472">
        <v>102.486783732299</v>
      </c>
      <c r="AK2472">
        <v>8.0459749346672602</v>
      </c>
      <c r="AL2472">
        <v>85.380944556094093</v>
      </c>
      <c r="AM2472">
        <v>96.018751965826993</v>
      </c>
      <c r="AN2472">
        <v>1.0000000143724099</v>
      </c>
    </row>
    <row r="2473" spans="1:40" x14ac:dyDescent="0.25">
      <c r="A2473" t="str">
        <f>"20190312151034383"</f>
        <v>20190312151034383</v>
      </c>
      <c r="B2473" t="str">
        <f>"1552374634373567"</f>
        <v>1552374634373567</v>
      </c>
      <c r="C2473" t="s">
        <v>40</v>
      </c>
      <c r="D2473">
        <v>5.5715490000000001</v>
      </c>
      <c r="E2473">
        <v>0.46115970000000001</v>
      </c>
      <c r="F2473" t="s">
        <v>50</v>
      </c>
      <c r="G2473">
        <v>-470.1266</v>
      </c>
      <c r="H2473" s="1">
        <v>6.24296799999999E-6</v>
      </c>
      <c r="I2473">
        <v>281.01339999999999</v>
      </c>
      <c r="J2473">
        <v>-462.43610000000001</v>
      </c>
      <c r="K2473">
        <v>1.115073</v>
      </c>
      <c r="L2473">
        <v>283.3424</v>
      </c>
      <c r="M2473">
        <v>-0.99704630000000005</v>
      </c>
      <c r="N2473">
        <v>0</v>
      </c>
      <c r="O2473">
        <v>-7.5396039999999998E-2</v>
      </c>
      <c r="P2473">
        <v>-0.98141040000000002</v>
      </c>
      <c r="Q2473">
        <v>6.7117640000000006E-2</v>
      </c>
      <c r="R2473">
        <v>-0.17980260000000001</v>
      </c>
      <c r="S2473">
        <v>-2.9302670000000002</v>
      </c>
      <c r="T2473">
        <v>-0.40218720000000002</v>
      </c>
      <c r="U2473">
        <v>-0.85244750000000002</v>
      </c>
      <c r="V2473">
        <v>-0.1062775</v>
      </c>
      <c r="W2473">
        <v>8.0334130000000004E-2</v>
      </c>
      <c r="X2473">
        <v>0.99108600000000002</v>
      </c>
      <c r="Y2473">
        <v>-0.20501800000000001</v>
      </c>
      <c r="Z2473">
        <v>-3.6627449999999998E-3</v>
      </c>
      <c r="AA2473">
        <v>0.97875140000000005</v>
      </c>
      <c r="AB2473">
        <v>44</v>
      </c>
      <c r="AC2473">
        <v>-7.6904999999999797</v>
      </c>
      <c r="AD2473">
        <v>-1.1150667570319901</v>
      </c>
      <c r="AE2473">
        <v>-2.3290000000000002</v>
      </c>
      <c r="AF2473">
        <v>-1.7095536027456599</v>
      </c>
      <c r="AG2473">
        <v>-1.1150667570319901</v>
      </c>
      <c r="AH2473">
        <v>7.6960210043201602</v>
      </c>
      <c r="AI2473">
        <v>98.050577672723406</v>
      </c>
      <c r="AJ2473">
        <v>102.524030977744</v>
      </c>
      <c r="AK2473">
        <v>7.9620780385672996</v>
      </c>
      <c r="AL2473">
        <v>85.392228068300795</v>
      </c>
      <c r="AM2473">
        <v>96.120631136365205</v>
      </c>
      <c r="AN2473">
        <v>0.99999996942255298</v>
      </c>
    </row>
    <row r="2474" spans="1:40" x14ac:dyDescent="0.25">
      <c r="A2474" t="str">
        <f>"20190312151034404"</f>
        <v>20190312151034404</v>
      </c>
      <c r="B2474" t="str">
        <f>"1552374634393086"</f>
        <v>1552374634393086</v>
      </c>
      <c r="C2474" t="s">
        <v>40</v>
      </c>
      <c r="D2474">
        <v>5.504156</v>
      </c>
      <c r="E2474">
        <v>0.4611381</v>
      </c>
      <c r="F2474" t="s">
        <v>50</v>
      </c>
      <c r="G2474">
        <v>-470.4683</v>
      </c>
      <c r="H2474" s="1">
        <v>6.0859749999999998E-6</v>
      </c>
      <c r="I2474">
        <v>280.95069999999998</v>
      </c>
      <c r="J2474">
        <v>-462.86079999999998</v>
      </c>
      <c r="K2474">
        <v>1.1151359999999999</v>
      </c>
      <c r="L2474">
        <v>283.30700000000002</v>
      </c>
      <c r="M2474">
        <v>-0.99669770000000002</v>
      </c>
      <c r="N2474">
        <v>0</v>
      </c>
      <c r="O2474">
        <v>-7.9873730000000004E-2</v>
      </c>
      <c r="P2474">
        <v>-0.98022860000000001</v>
      </c>
      <c r="Q2474">
        <v>6.7291599999999993E-2</v>
      </c>
      <c r="R2474">
        <v>-0.18607589999999999</v>
      </c>
      <c r="S2474">
        <v>-2.925049</v>
      </c>
      <c r="T2474">
        <v>-0.40606619999999999</v>
      </c>
      <c r="U2474">
        <v>-0.87097169999999902</v>
      </c>
      <c r="V2474">
        <v>-0.1081821</v>
      </c>
      <c r="W2474">
        <v>8.0465800000000004E-2</v>
      </c>
      <c r="X2474">
        <v>0.99086929999999995</v>
      </c>
      <c r="Y2474">
        <v>-0.20679520000000001</v>
      </c>
      <c r="Z2474">
        <v>-3.220662E-3</v>
      </c>
      <c r="AA2474">
        <v>0.978379</v>
      </c>
      <c r="AB2474">
        <v>43</v>
      </c>
      <c r="AC2474">
        <v>-7.6075000000000097</v>
      </c>
      <c r="AD2474">
        <v>-1.1151299140249999</v>
      </c>
      <c r="AE2474">
        <v>-2.3563000000000298</v>
      </c>
      <c r="AF2474">
        <v>-1.7075871611073401</v>
      </c>
      <c r="AG2474">
        <v>-1.1151299140249999</v>
      </c>
      <c r="AH2474">
        <v>7.6219811279479304</v>
      </c>
      <c r="AI2474">
        <v>98.124958041218406</v>
      </c>
      <c r="AJ2474">
        <v>102.627722203769</v>
      </c>
      <c r="AK2474">
        <v>7.8901181836983003</v>
      </c>
      <c r="AL2474">
        <v>85.384659760405199</v>
      </c>
      <c r="AM2474">
        <v>96.230815791363895</v>
      </c>
      <c r="AN2474">
        <v>1.0000000407062599</v>
      </c>
    </row>
    <row r="2475" spans="1:40" x14ac:dyDescent="0.25">
      <c r="A2475" t="str">
        <f>"20190312151034428"</f>
        <v>20190312151034428</v>
      </c>
      <c r="B2475" t="str">
        <f>"1552374634423342"</f>
        <v>1552374634423342</v>
      </c>
      <c r="C2475" t="s">
        <v>40</v>
      </c>
      <c r="D2475">
        <v>5.5517130000000003</v>
      </c>
      <c r="E2475">
        <v>0.46124340000000003</v>
      </c>
      <c r="F2475" t="s">
        <v>50</v>
      </c>
      <c r="G2475">
        <v>-470.79469999999998</v>
      </c>
      <c r="H2475" s="1">
        <v>5.9358680000000002E-6</v>
      </c>
      <c r="I2475">
        <v>280.88940000000002</v>
      </c>
      <c r="J2475">
        <v>-463.30149999999998</v>
      </c>
      <c r="K2475">
        <v>1.1152</v>
      </c>
      <c r="L2475">
        <v>283.26819999999998</v>
      </c>
      <c r="M2475">
        <v>-0.99631230000000004</v>
      </c>
      <c r="N2475">
        <v>0</v>
      </c>
      <c r="O2475">
        <v>-8.4545200000000001E-2</v>
      </c>
      <c r="P2475">
        <v>-0.97896609999999995</v>
      </c>
      <c r="Q2475">
        <v>6.7796770000000006E-2</v>
      </c>
      <c r="R2475">
        <v>-0.19242960000000001</v>
      </c>
      <c r="S2475">
        <v>-2.9198300000000001</v>
      </c>
      <c r="T2475">
        <v>-0.41039110000000001</v>
      </c>
      <c r="U2475">
        <v>-0.88973999999999998</v>
      </c>
      <c r="V2475">
        <v>-0.109986899999999</v>
      </c>
      <c r="W2475">
        <v>8.0929199999999896E-2</v>
      </c>
      <c r="X2475">
        <v>0.99063279999999998</v>
      </c>
      <c r="Y2475">
        <v>-0.2084549</v>
      </c>
      <c r="Z2475">
        <v>-2.7378379999999998E-3</v>
      </c>
      <c r="AA2475">
        <v>0.97802820000000001</v>
      </c>
      <c r="AB2475">
        <v>43</v>
      </c>
      <c r="AC2475">
        <v>-7.4931999999999999</v>
      </c>
      <c r="AD2475">
        <v>-1.115194064132</v>
      </c>
      <c r="AE2475">
        <v>-2.3787999999999498</v>
      </c>
      <c r="AF2475">
        <v>-1.7024432790533499</v>
      </c>
      <c r="AG2475">
        <v>-1.115194064132</v>
      </c>
      <c r="AH2475">
        <v>7.5162634253336797</v>
      </c>
      <c r="AI2475">
        <v>98.233851076161997</v>
      </c>
      <c r="AJ2475">
        <v>102.762229293033</v>
      </c>
      <c r="AK2475">
        <v>7.7869240909410404</v>
      </c>
      <c r="AL2475">
        <v>85.358021827750093</v>
      </c>
      <c r="AM2475">
        <v>96.335426239978602</v>
      </c>
      <c r="AN2475">
        <v>0.99999999901004499</v>
      </c>
    </row>
    <row r="2476" spans="1:40" x14ac:dyDescent="0.25">
      <c r="A2476" t="str">
        <f>"20190312151034450"</f>
        <v>20190312151034450</v>
      </c>
      <c r="B2476" t="str">
        <f>"1552374634442863"</f>
        <v>1552374634442863</v>
      </c>
      <c r="C2476" t="s">
        <v>40</v>
      </c>
      <c r="D2476">
        <v>5.5048019999999998</v>
      </c>
      <c r="E2476">
        <v>0.4614374</v>
      </c>
      <c r="F2476" t="s">
        <v>50</v>
      </c>
      <c r="G2476">
        <v>-471.17099999999999</v>
      </c>
      <c r="H2476" s="1">
        <v>5.76269E-6</v>
      </c>
      <c r="I2476">
        <v>280.81700000000001</v>
      </c>
      <c r="J2476">
        <v>-463.73829999999998</v>
      </c>
      <c r="K2476">
        <v>1.1152610000000001</v>
      </c>
      <c r="L2476">
        <v>283.2276</v>
      </c>
      <c r="M2476">
        <v>-0.99590489999999998</v>
      </c>
      <c r="N2476">
        <v>0</v>
      </c>
      <c r="O2476">
        <v>-8.9215260000000005E-2</v>
      </c>
      <c r="P2476">
        <v>-0.9776686</v>
      </c>
      <c r="Q2476">
        <v>6.8334279999999997E-2</v>
      </c>
      <c r="R2476">
        <v>-0.1987322</v>
      </c>
      <c r="S2476">
        <v>-2.9146420000000002</v>
      </c>
      <c r="T2476">
        <v>-0.41303800000000002</v>
      </c>
      <c r="U2476">
        <v>-0.90786739999999999</v>
      </c>
      <c r="V2476">
        <v>-0.1117489</v>
      </c>
      <c r="W2476">
        <v>8.1425369999999997E-2</v>
      </c>
      <c r="X2476">
        <v>0.99039489999999997</v>
      </c>
      <c r="Y2476">
        <v>-0.20992420000000001</v>
      </c>
      <c r="Z2476">
        <v>-2.222014E-3</v>
      </c>
      <c r="AA2476">
        <v>0.97771509999999995</v>
      </c>
      <c r="AB2476">
        <v>43</v>
      </c>
      <c r="AC2476">
        <v>-7.4327000000000103</v>
      </c>
      <c r="AD2476">
        <v>-1.11525523731</v>
      </c>
      <c r="AE2476">
        <v>-2.4105999999999801</v>
      </c>
      <c r="AF2476">
        <v>-1.7031094456650699</v>
      </c>
      <c r="AG2476">
        <v>-1.11525523731</v>
      </c>
      <c r="AH2476">
        <v>7.46604656966724</v>
      </c>
      <c r="AI2476">
        <v>98.286065055492202</v>
      </c>
      <c r="AJ2476">
        <v>102.850089446596</v>
      </c>
      <c r="AK2476">
        <v>7.7386192184847102</v>
      </c>
      <c r="AL2476">
        <v>85.329499170638599</v>
      </c>
      <c r="AM2476">
        <v>96.437608347720001</v>
      </c>
      <c r="AN2476">
        <v>0.99999998273842805</v>
      </c>
    </row>
    <row r="2477" spans="1:40" x14ac:dyDescent="0.25">
      <c r="A2477" t="str">
        <f>"20190312151034472"</f>
        <v>20190312151034472</v>
      </c>
      <c r="B2477" t="str">
        <f>"1552374634463358"</f>
        <v>1552374634463358</v>
      </c>
      <c r="C2477" t="s">
        <v>40</v>
      </c>
      <c r="D2477">
        <v>5.4471350000000003</v>
      </c>
      <c r="E2477">
        <v>0.4615397</v>
      </c>
      <c r="F2477" t="s">
        <v>50</v>
      </c>
      <c r="G2477">
        <v>-471.57580000000002</v>
      </c>
      <c r="H2477" s="1">
        <v>5.5760450000000002E-6</v>
      </c>
      <c r="I2477">
        <v>280.73540000000003</v>
      </c>
      <c r="J2477">
        <v>-464.15690000000001</v>
      </c>
      <c r="K2477">
        <v>1.1153329999999999</v>
      </c>
      <c r="L2477">
        <v>283.18680000000001</v>
      </c>
      <c r="M2477">
        <v>-0.99548829999999999</v>
      </c>
      <c r="N2477">
        <v>0</v>
      </c>
      <c r="O2477">
        <v>-9.3749490000000005E-2</v>
      </c>
      <c r="P2477">
        <v>-0.97647660000000003</v>
      </c>
      <c r="Q2477">
        <v>6.7462720000000004E-2</v>
      </c>
      <c r="R2477">
        <v>-0.2047987</v>
      </c>
      <c r="S2477">
        <v>-2.909424</v>
      </c>
      <c r="T2477">
        <v>-0.41400399999999998</v>
      </c>
      <c r="U2477">
        <v>-0.92514039999999997</v>
      </c>
      <c r="V2477">
        <v>-0.1133855</v>
      </c>
      <c r="W2477">
        <v>8.0514760000000005E-2</v>
      </c>
      <c r="X2477">
        <v>0.99028340000000004</v>
      </c>
      <c r="Y2477">
        <v>-0.21127399999999999</v>
      </c>
      <c r="Z2477">
        <v>-1.7027019999999999E-3</v>
      </c>
      <c r="AA2477">
        <v>0.9774254</v>
      </c>
      <c r="AB2477">
        <v>43</v>
      </c>
      <c r="AC2477">
        <v>-7.4188999999999998</v>
      </c>
      <c r="AD2477">
        <v>-1.115327423955</v>
      </c>
      <c r="AE2477">
        <v>-2.4513999999999698</v>
      </c>
      <c r="AF2477">
        <v>-1.7101621244506799</v>
      </c>
      <c r="AG2477">
        <v>-1.115327423955</v>
      </c>
      <c r="AH2477">
        <v>7.4639735283349697</v>
      </c>
      <c r="AI2477">
        <v>98.287073173855205</v>
      </c>
      <c r="AJ2477">
        <v>102.90498866882599</v>
      </c>
      <c r="AK2477">
        <v>7.7381852256337798</v>
      </c>
      <c r="AL2477">
        <v>85.381845495072795</v>
      </c>
      <c r="AM2477">
        <v>96.531809508616206</v>
      </c>
      <c r="AN2477">
        <v>1.00000005525183</v>
      </c>
    </row>
    <row r="2478" spans="1:40" x14ac:dyDescent="0.25">
      <c r="A2478" t="str">
        <f>"20190312151034494"</f>
        <v>20190312151034494</v>
      </c>
      <c r="B2478" t="str">
        <f>"1552374634482879"</f>
        <v>1552374634482879</v>
      </c>
      <c r="C2478" t="s">
        <v>40</v>
      </c>
      <c r="D2478">
        <v>5.120406</v>
      </c>
      <c r="E2478">
        <v>0.46169260000000001</v>
      </c>
      <c r="F2478" t="s">
        <v>50</v>
      </c>
      <c r="G2478">
        <v>-471.88209999999998</v>
      </c>
      <c r="H2478" s="1">
        <v>5.43519699999999E-6</v>
      </c>
      <c r="I2478">
        <v>280.67809999999997</v>
      </c>
      <c r="J2478">
        <v>-464.5763</v>
      </c>
      <c r="K2478">
        <v>1.11541</v>
      </c>
      <c r="L2478">
        <v>283.14389999999997</v>
      </c>
      <c r="M2478">
        <v>-0.99504230000000005</v>
      </c>
      <c r="N2478">
        <v>0</v>
      </c>
      <c r="O2478">
        <v>-9.8370219999999994E-2</v>
      </c>
      <c r="P2478">
        <v>-0.9752634</v>
      </c>
      <c r="Q2478">
        <v>6.7116640000000005E-2</v>
      </c>
      <c r="R2478">
        <v>-0.21061070000000001</v>
      </c>
      <c r="S2478">
        <v>-2.9034420000000001</v>
      </c>
      <c r="T2478">
        <v>-0.41918749999999999</v>
      </c>
      <c r="U2478">
        <v>-0.94287109999999996</v>
      </c>
      <c r="V2478">
        <v>-0.11469600000000001</v>
      </c>
      <c r="W2478">
        <v>8.0131649999999999E-2</v>
      </c>
      <c r="X2478">
        <v>0.99016349999999997</v>
      </c>
      <c r="Y2478">
        <v>-0.2127289</v>
      </c>
      <c r="Z2478">
        <v>-1.1882119999999999E-3</v>
      </c>
      <c r="AA2478">
        <v>0.97711060000000005</v>
      </c>
      <c r="AB2478">
        <v>43</v>
      </c>
      <c r="AC2478">
        <v>-7.3057999999999703</v>
      </c>
      <c r="AD2478">
        <v>-1.115404564803</v>
      </c>
      <c r="AE2478">
        <v>-2.4658000000000002</v>
      </c>
      <c r="AF2478">
        <v>-1.69952440196526</v>
      </c>
      <c r="AG2478">
        <v>-1.115404564803</v>
      </c>
      <c r="AH2478">
        <v>7.3589553683854101</v>
      </c>
      <c r="AI2478">
        <v>98.400931084360806</v>
      </c>
      <c r="AJ2478">
        <v>103.004255334216</v>
      </c>
      <c r="AK2478">
        <v>7.6345749488722099</v>
      </c>
      <c r="AL2478">
        <v>85.403867004800802</v>
      </c>
      <c r="AM2478">
        <v>96.607432905896999</v>
      </c>
      <c r="AN2478">
        <v>1.00000000523998</v>
      </c>
    </row>
    <row r="2479" spans="1:40" x14ac:dyDescent="0.25">
      <c r="A2479" t="str">
        <f>"20190312151034517"</f>
        <v>20190312151034517</v>
      </c>
      <c r="B2479" t="str">
        <f>"1552374634513134"</f>
        <v>1552374634513134</v>
      </c>
      <c r="C2479" t="s">
        <v>40</v>
      </c>
      <c r="D2479">
        <v>5.4538479999999998</v>
      </c>
      <c r="E2479">
        <v>0.46183610000000003</v>
      </c>
      <c r="F2479" t="s">
        <v>50</v>
      </c>
      <c r="G2479">
        <v>-472.2192</v>
      </c>
      <c r="H2479" s="1">
        <v>5.2799850000000001E-6</v>
      </c>
      <c r="I2479">
        <v>280.613</v>
      </c>
      <c r="J2479">
        <v>-465.00819999999999</v>
      </c>
      <c r="K2479">
        <v>1.1155079999999999</v>
      </c>
      <c r="L2479">
        <v>283.09750000000003</v>
      </c>
      <c r="M2479">
        <v>-0.99454889999999996</v>
      </c>
      <c r="N2479">
        <v>0</v>
      </c>
      <c r="O2479">
        <v>-0.1032385</v>
      </c>
      <c r="P2479">
        <v>-0.97397920000000004</v>
      </c>
      <c r="Q2479">
        <v>6.8062090000000006E-2</v>
      </c>
      <c r="R2479">
        <v>-0.21617649999999999</v>
      </c>
      <c r="S2479">
        <v>-2.8979490000000001</v>
      </c>
      <c r="T2479">
        <v>-0.42292239999999998</v>
      </c>
      <c r="U2479">
        <v>-0.95962519999999996</v>
      </c>
      <c r="V2479">
        <v>-0.11554250000000001</v>
      </c>
      <c r="W2479">
        <v>8.1041840000000004E-2</v>
      </c>
      <c r="X2479">
        <v>0.98999099999999995</v>
      </c>
      <c r="Y2479">
        <v>-0.2136094</v>
      </c>
      <c r="Z2479">
        <v>-5.8253669999999995E-4</v>
      </c>
      <c r="AA2479">
        <v>0.97691899999999998</v>
      </c>
      <c r="AB2479">
        <v>43</v>
      </c>
      <c r="AC2479">
        <v>-7.2110000000000101</v>
      </c>
      <c r="AD2479">
        <v>-1.1155027200149901</v>
      </c>
      <c r="AE2479">
        <v>-2.4845000000000201</v>
      </c>
      <c r="AF2479">
        <v>-1.69052674209589</v>
      </c>
      <c r="AG2479">
        <v>-1.1155027200149901</v>
      </c>
      <c r="AH2479">
        <v>7.2733983477985804</v>
      </c>
      <c r="AI2479">
        <v>98.496329215861195</v>
      </c>
      <c r="AJ2479">
        <v>103.08470921144701</v>
      </c>
      <c r="AK2479">
        <v>7.55013579413386</v>
      </c>
      <c r="AL2479">
        <v>85.351546835016705</v>
      </c>
      <c r="AM2479">
        <v>96.656911646316701</v>
      </c>
      <c r="AN2479">
        <v>1.0000000146089101</v>
      </c>
    </row>
    <row r="2480" spans="1:40" x14ac:dyDescent="0.25">
      <c r="A2480" t="str">
        <f>"20190312151034539"</f>
        <v>20190312151034539</v>
      </c>
      <c r="B2480" t="str">
        <f>"1552374634533634"</f>
        <v>1552374634533634</v>
      </c>
      <c r="C2480" t="s">
        <v>40</v>
      </c>
      <c r="D2480">
        <v>5.3967660000000004</v>
      </c>
      <c r="E2480">
        <v>0.46191480000000001</v>
      </c>
      <c r="F2480" t="s">
        <v>50</v>
      </c>
      <c r="G2480">
        <v>-472.6225</v>
      </c>
      <c r="H2480" s="1">
        <v>5.0939030000000003E-6</v>
      </c>
      <c r="I2480">
        <v>280.5301</v>
      </c>
      <c r="J2480">
        <v>-465.43270000000001</v>
      </c>
      <c r="K2480">
        <v>1.115621</v>
      </c>
      <c r="L2480">
        <v>283.04969999999997</v>
      </c>
      <c r="M2480">
        <v>-0.99402480000000004</v>
      </c>
      <c r="N2480">
        <v>0</v>
      </c>
      <c r="O2480">
        <v>-0.1081675</v>
      </c>
      <c r="P2480">
        <v>-0.97270630000000002</v>
      </c>
      <c r="Q2480">
        <v>6.8543519999999997E-2</v>
      </c>
      <c r="R2480">
        <v>-0.2216853</v>
      </c>
      <c r="S2480">
        <v>-2.8932500000000001</v>
      </c>
      <c r="T2480">
        <v>-0.42386469999999998</v>
      </c>
      <c r="U2480">
        <v>-0.97555539999999996</v>
      </c>
      <c r="V2480">
        <v>-0.11627129999999999</v>
      </c>
      <c r="W2480">
        <v>8.1485719999999998E-2</v>
      </c>
      <c r="X2480">
        <v>0.9898692</v>
      </c>
      <c r="Y2480">
        <v>-0.21411559999999999</v>
      </c>
      <c r="Z2480" s="1">
        <v>6.9222409999999997E-5</v>
      </c>
      <c r="AA2480">
        <v>0.97680829999999996</v>
      </c>
      <c r="AB2480">
        <v>43</v>
      </c>
      <c r="AC2480">
        <v>-7.1897999999999902</v>
      </c>
      <c r="AD2480">
        <v>-1.1156159060969999</v>
      </c>
      <c r="AE2480">
        <v>-2.5195999999999601</v>
      </c>
      <c r="AF2480">
        <v>-1.69077182993182</v>
      </c>
      <c r="AG2480">
        <v>-1.1156159060969999</v>
      </c>
      <c r="AH2480">
        <v>7.2644020005529297</v>
      </c>
      <c r="AI2480">
        <v>98.506953051382993</v>
      </c>
      <c r="AJ2480">
        <v>103.102188698875</v>
      </c>
      <c r="AK2480">
        <v>7.5415412653160701</v>
      </c>
      <c r="AL2480">
        <v>85.326029854266594</v>
      </c>
      <c r="AM2480">
        <v>96.699337367887907</v>
      </c>
      <c r="AN2480">
        <v>0.99999998543812396</v>
      </c>
    </row>
    <row r="2481" spans="1:40" x14ac:dyDescent="0.25">
      <c r="A2481" t="str">
        <f>"20190312151034561"</f>
        <v>20190312151034561</v>
      </c>
      <c r="B2481" t="str">
        <f>"1552374634553150"</f>
        <v>1552374634553150</v>
      </c>
      <c r="C2481" t="s">
        <v>40</v>
      </c>
      <c r="D2481">
        <v>5.1942510000000004</v>
      </c>
      <c r="E2481">
        <v>0.46206999999999998</v>
      </c>
      <c r="F2481" t="s">
        <v>50</v>
      </c>
      <c r="G2481">
        <v>-473.03</v>
      </c>
      <c r="H2481" s="1">
        <v>4.9055849999999999E-6</v>
      </c>
      <c r="I2481">
        <v>280.44279999999998</v>
      </c>
      <c r="J2481">
        <v>-465.863</v>
      </c>
      <c r="K2481">
        <v>1.115756</v>
      </c>
      <c r="L2481">
        <v>282.99889999999999</v>
      </c>
      <c r="M2481">
        <v>-0.99344929999999998</v>
      </c>
      <c r="N2481">
        <v>0</v>
      </c>
      <c r="O2481">
        <v>-0.11333020000000001</v>
      </c>
      <c r="P2481">
        <v>-0.97145250000000005</v>
      </c>
      <c r="Q2481">
        <v>6.8005579999999996E-2</v>
      </c>
      <c r="R2481">
        <v>-0.2272787</v>
      </c>
      <c r="S2481">
        <v>-2.8882140000000001</v>
      </c>
      <c r="T2481">
        <v>-0.42411989999999999</v>
      </c>
      <c r="U2481">
        <v>-0.99105829999999995</v>
      </c>
      <c r="V2481">
        <v>-0.116839899999999</v>
      </c>
      <c r="W2481">
        <v>8.0911140000000006E-2</v>
      </c>
      <c r="X2481">
        <v>0.98984939999999999</v>
      </c>
      <c r="Y2481">
        <v>-0.2143013</v>
      </c>
      <c r="Z2481">
        <v>7.7842079999999999E-4</v>
      </c>
      <c r="AA2481">
        <v>0.9767673</v>
      </c>
      <c r="AB2481">
        <v>43</v>
      </c>
      <c r="AC2481">
        <v>-7.1669999999999101</v>
      </c>
      <c r="AD2481">
        <v>-1.115751094415</v>
      </c>
      <c r="AE2481">
        <v>-2.55610000000001</v>
      </c>
      <c r="AF2481">
        <v>-1.69094657744987</v>
      </c>
      <c r="AG2481">
        <v>-1.115751094415</v>
      </c>
      <c r="AH2481">
        <v>7.2545498223391904</v>
      </c>
      <c r="AI2481">
        <v>98.518722931434297</v>
      </c>
      <c r="AJ2481">
        <v>103.120676336079</v>
      </c>
      <c r="AK2481">
        <v>7.5321108566775097</v>
      </c>
      <c r="AL2481">
        <v>85.359060020777093</v>
      </c>
      <c r="AM2481">
        <v>96.731932518440402</v>
      </c>
      <c r="AN2481">
        <v>1.0000000047442299</v>
      </c>
    </row>
    <row r="2482" spans="1:40" x14ac:dyDescent="0.25">
      <c r="A2482" t="str">
        <f>"20190312151034583"</f>
        <v>20190312151034583</v>
      </c>
      <c r="B2482" t="str">
        <f>"1552374634572675"</f>
        <v>1552374634572675</v>
      </c>
      <c r="C2482" t="s">
        <v>40</v>
      </c>
      <c r="D2482">
        <v>5.361999</v>
      </c>
      <c r="E2482">
        <v>0.46218510000000002</v>
      </c>
      <c r="F2482" t="s">
        <v>50</v>
      </c>
      <c r="G2482">
        <v>-473.41210000000001</v>
      </c>
      <c r="H2482" s="1">
        <v>4.7291710000000002E-6</v>
      </c>
      <c r="I2482">
        <v>280.36320000000001</v>
      </c>
      <c r="J2482">
        <v>-466.28500000000003</v>
      </c>
      <c r="K2482">
        <v>1.115891</v>
      </c>
      <c r="L2482">
        <v>282.94670000000002</v>
      </c>
      <c r="M2482">
        <v>-0.99284079999999997</v>
      </c>
      <c r="N2482">
        <v>0</v>
      </c>
      <c r="O2482">
        <v>-0.1185407</v>
      </c>
      <c r="P2482">
        <v>-0.97028150000000002</v>
      </c>
      <c r="Q2482">
        <v>6.7946610000000005E-2</v>
      </c>
      <c r="R2482">
        <v>-0.232243</v>
      </c>
      <c r="S2482">
        <v>-2.8825379999999998</v>
      </c>
      <c r="T2482">
        <v>-0.4260391</v>
      </c>
      <c r="U2482">
        <v>-1.0064090000000001</v>
      </c>
      <c r="V2482">
        <v>-0.11673310000000001</v>
      </c>
      <c r="W2482">
        <v>8.0825099999999997E-2</v>
      </c>
      <c r="X2482">
        <v>0.989869</v>
      </c>
      <c r="Y2482">
        <v>-0.2144508</v>
      </c>
      <c r="Z2482">
        <v>1.5041449999999999E-3</v>
      </c>
      <c r="AA2482">
        <v>0.97673359999999998</v>
      </c>
      <c r="AB2482">
        <v>43</v>
      </c>
      <c r="AC2482">
        <v>-7.12709999999998</v>
      </c>
      <c r="AD2482">
        <v>-1.115886270829</v>
      </c>
      <c r="AE2482">
        <v>-2.5835000000000101</v>
      </c>
      <c r="AF2482">
        <v>-1.6838539074079999</v>
      </c>
      <c r="AG2482">
        <v>-1.115886270829</v>
      </c>
      <c r="AH2482">
        <v>7.2265428186213301</v>
      </c>
      <c r="AI2482">
        <v>98.552416904868906</v>
      </c>
      <c r="AJ2482">
        <v>103.116430636077</v>
      </c>
      <c r="AK2482">
        <v>7.5035649700849101</v>
      </c>
      <c r="AL2482">
        <v>85.364005811643594</v>
      </c>
      <c r="AM2482">
        <v>96.725703495948295</v>
      </c>
      <c r="AN2482">
        <v>0.99999997529330897</v>
      </c>
    </row>
    <row r="2483" spans="1:40" x14ac:dyDescent="0.25">
      <c r="A2483" t="str">
        <f>"20190312151034606"</f>
        <v>20190312151034606</v>
      </c>
      <c r="B2483" t="str">
        <f>"1552374634602927"</f>
        <v>1552374634602927</v>
      </c>
      <c r="C2483" t="s">
        <v>40</v>
      </c>
      <c r="D2483">
        <v>5.1041470000000002</v>
      </c>
      <c r="E2483">
        <v>0.46236519999999998</v>
      </c>
      <c r="F2483" t="s">
        <v>50</v>
      </c>
      <c r="G2483">
        <v>-473.80959999999999</v>
      </c>
      <c r="H2483" s="1">
        <v>4.545479E-6</v>
      </c>
      <c r="I2483">
        <v>280.27839999999998</v>
      </c>
      <c r="J2483">
        <v>-466.7115</v>
      </c>
      <c r="K2483">
        <v>1.1160270000000001</v>
      </c>
      <c r="L2483">
        <v>282.89159999999998</v>
      </c>
      <c r="M2483">
        <v>-0.99217690000000003</v>
      </c>
      <c r="N2483">
        <v>0</v>
      </c>
      <c r="O2483">
        <v>-0.12397560000000001</v>
      </c>
      <c r="P2483">
        <v>-0.96886680000000003</v>
      </c>
      <c r="Q2483">
        <v>6.8722539999999999E-2</v>
      </c>
      <c r="R2483">
        <v>-0.23785500000000001</v>
      </c>
      <c r="S2483">
        <v>-2.8775330000000001</v>
      </c>
      <c r="T2483">
        <v>-0.42673159999999999</v>
      </c>
      <c r="U2483">
        <v>-1.020386</v>
      </c>
      <c r="V2483">
        <v>-0.1170886</v>
      </c>
      <c r="W2483">
        <v>8.1563670000000005E-2</v>
      </c>
      <c r="X2483">
        <v>0.98976649999999999</v>
      </c>
      <c r="Y2483">
        <v>-0.21390619999999999</v>
      </c>
      <c r="Z2483">
        <v>2.3116170000000002E-3</v>
      </c>
      <c r="AA2483">
        <v>0.97685149999999998</v>
      </c>
      <c r="AB2483">
        <v>43</v>
      </c>
      <c r="AC2483">
        <v>-7.0980999999999801</v>
      </c>
      <c r="AD2483">
        <v>-1.116022454521</v>
      </c>
      <c r="AE2483">
        <v>-2.6132</v>
      </c>
      <c r="AF2483">
        <v>-1.67645314903877</v>
      </c>
      <c r="AG2483">
        <v>-1.116022454521</v>
      </c>
      <c r="AH2483">
        <v>7.2103658851707104</v>
      </c>
      <c r="AI2483">
        <v>98.573289776837001</v>
      </c>
      <c r="AJ2483">
        <v>103.089057565814</v>
      </c>
      <c r="AK2483">
        <v>7.4863460698762001</v>
      </c>
      <c r="AL2483">
        <v>85.321549027747693</v>
      </c>
      <c r="AM2483">
        <v>96.7466896979506</v>
      </c>
      <c r="AN2483">
        <v>1.00000004851803</v>
      </c>
    </row>
    <row r="2484" spans="1:40" x14ac:dyDescent="0.25">
      <c r="A2484" t="str">
        <f>"20190312151034629"</f>
        <v>20190312151034629</v>
      </c>
      <c r="B2484" t="str">
        <f>"1552374634623423"</f>
        <v>1552374634623423</v>
      </c>
      <c r="C2484" t="s">
        <v>40</v>
      </c>
      <c r="D2484">
        <v>5.3561160000000001</v>
      </c>
      <c r="E2484">
        <v>0.462482</v>
      </c>
      <c r="F2484" t="s">
        <v>50</v>
      </c>
      <c r="G2484">
        <v>-474.24700000000001</v>
      </c>
      <c r="H2484" s="1">
        <v>4.3423010000000002E-6</v>
      </c>
      <c r="I2484">
        <v>280.173</v>
      </c>
      <c r="J2484">
        <v>-467.14350000000002</v>
      </c>
      <c r="K2484">
        <v>1.1161799999999999</v>
      </c>
      <c r="L2484">
        <v>282.83330000000001</v>
      </c>
      <c r="M2484">
        <v>-0.99144860000000001</v>
      </c>
      <c r="N2484">
        <v>0</v>
      </c>
      <c r="O2484">
        <v>-0.12966839999999999</v>
      </c>
      <c r="P2484">
        <v>-0.96729880000000001</v>
      </c>
      <c r="Q2484">
        <v>6.8478609999999995E-2</v>
      </c>
      <c r="R2484">
        <v>-0.24422079999999999</v>
      </c>
      <c r="S2484">
        <v>-2.8721920000000001</v>
      </c>
      <c r="T2484">
        <v>-0.42538090000000001</v>
      </c>
      <c r="U2484">
        <v>-1.036224</v>
      </c>
      <c r="V2484">
        <v>-0.1179413</v>
      </c>
      <c r="W2484">
        <v>8.1271389999999999E-2</v>
      </c>
      <c r="X2484">
        <v>0.98968920000000005</v>
      </c>
      <c r="Y2484">
        <v>-0.21370790000000001</v>
      </c>
      <c r="Z2484">
        <v>3.118535E-3</v>
      </c>
      <c r="AA2484">
        <v>0.97689269999999995</v>
      </c>
      <c r="AB2484">
        <v>43</v>
      </c>
      <c r="AC2484">
        <v>-7.10349999999994</v>
      </c>
      <c r="AD2484">
        <v>-1.1161756576989901</v>
      </c>
      <c r="AE2484">
        <v>-2.6602999999999999</v>
      </c>
      <c r="AF2484">
        <v>-1.68025387014167</v>
      </c>
      <c r="AG2484">
        <v>-1.1161756576989901</v>
      </c>
      <c r="AH2484">
        <v>7.2319162999541602</v>
      </c>
      <c r="AI2484">
        <v>98.549587012884203</v>
      </c>
      <c r="AJ2484">
        <v>103.079963411805</v>
      </c>
      <c r="AK2484">
        <v>7.5079767272220899</v>
      </c>
      <c r="AL2484">
        <v>85.338350762965604</v>
      </c>
      <c r="AM2484">
        <v>96.795890571847394</v>
      </c>
      <c r="AN2484">
        <v>0.99999995083742899</v>
      </c>
    </row>
    <row r="2485" spans="1:40" x14ac:dyDescent="0.25">
      <c r="A2485" t="str">
        <f>"20190312151034651"</f>
        <v>20190312151034651</v>
      </c>
      <c r="B2485" t="str">
        <f>"1552374634642946"</f>
        <v>1552374634642946</v>
      </c>
      <c r="C2485" t="s">
        <v>40</v>
      </c>
      <c r="D2485">
        <v>5.2050340000000004</v>
      </c>
      <c r="E2485">
        <v>0.46250259999999999</v>
      </c>
      <c r="F2485" t="s">
        <v>50</v>
      </c>
      <c r="G2485">
        <v>-474.62860000000001</v>
      </c>
      <c r="H2485" s="1">
        <v>4.1648880000000002E-6</v>
      </c>
      <c r="I2485">
        <v>280.07960000000003</v>
      </c>
      <c r="J2485">
        <v>-467.5659</v>
      </c>
      <c r="K2485">
        <v>1.116341</v>
      </c>
      <c r="L2485">
        <v>282.77370000000002</v>
      </c>
      <c r="M2485">
        <v>-0.9906779</v>
      </c>
      <c r="N2485">
        <v>0</v>
      </c>
      <c r="O2485">
        <v>-0.13543139999999901</v>
      </c>
      <c r="P2485">
        <v>-0.96572420000000003</v>
      </c>
      <c r="Q2485">
        <v>6.8174020000000002E-2</v>
      </c>
      <c r="R2485">
        <v>-0.25045849999999997</v>
      </c>
      <c r="S2485">
        <v>-2.8654790000000001</v>
      </c>
      <c r="T2485">
        <v>-0.42729650000000002</v>
      </c>
      <c r="U2485">
        <v>-1.0541689999999999</v>
      </c>
      <c r="V2485">
        <v>-0.1186002</v>
      </c>
      <c r="W2485">
        <v>8.0919699999999997E-2</v>
      </c>
      <c r="X2485">
        <v>0.9896393</v>
      </c>
      <c r="Y2485">
        <v>-0.2142001</v>
      </c>
      <c r="Z2485">
        <v>3.911711E-3</v>
      </c>
      <c r="AA2485">
        <v>0.97678200000000004</v>
      </c>
      <c r="AB2485">
        <v>43</v>
      </c>
      <c r="AC2485">
        <v>-7.0627000000000004</v>
      </c>
      <c r="AD2485">
        <v>-1.116336835112</v>
      </c>
      <c r="AE2485">
        <v>-2.6940999999999899</v>
      </c>
      <c r="AF2485">
        <v>-1.6761032279078201</v>
      </c>
      <c r="AG2485">
        <v>-1.116336835112</v>
      </c>
      <c r="AH2485">
        <v>7.2053728977005003</v>
      </c>
      <c r="AI2485">
        <v>98.581313118783598</v>
      </c>
      <c r="AJ2485">
        <v>103.09517542789</v>
      </c>
      <c r="AK2485">
        <v>7.4815057678884296</v>
      </c>
      <c r="AL2485">
        <v>85.358567815639105</v>
      </c>
      <c r="AM2485">
        <v>96.833840289491306</v>
      </c>
      <c r="AN2485">
        <v>0.99999997469630897</v>
      </c>
    </row>
    <row r="2486" spans="1:40" x14ac:dyDescent="0.25">
      <c r="A2486" t="str">
        <f>"20190312151034695"</f>
        <v>20190312151034695</v>
      </c>
      <c r="B2486" t="str">
        <f>"1552374634692719"</f>
        <v>1552374634692719</v>
      </c>
      <c r="C2486" t="s">
        <v>40</v>
      </c>
      <c r="D2486">
        <v>5.087186</v>
      </c>
      <c r="E2486">
        <v>0.4682926</v>
      </c>
      <c r="F2486" t="s">
        <v>50</v>
      </c>
      <c r="G2486">
        <v>-475.01130000000001</v>
      </c>
      <c r="H2486" s="1">
        <v>3.9864550000000001E-6</v>
      </c>
      <c r="I2486">
        <v>279.9796</v>
      </c>
      <c r="J2486">
        <v>-468.40440000000001</v>
      </c>
      <c r="K2486">
        <v>1.1167020000000001</v>
      </c>
      <c r="L2486">
        <v>282.64749999999998</v>
      </c>
      <c r="M2486">
        <v>-0.98895599999999995</v>
      </c>
      <c r="N2486">
        <v>0</v>
      </c>
      <c r="O2486">
        <v>-0.14747769999999999</v>
      </c>
      <c r="P2486">
        <v>-0.96244499999999999</v>
      </c>
      <c r="Q2486">
        <v>6.7189159999999998E-2</v>
      </c>
      <c r="R2486">
        <v>-0.26303199999999999</v>
      </c>
      <c r="S2486">
        <v>-2.8585210000000001</v>
      </c>
      <c r="T2486">
        <v>-0.4285947</v>
      </c>
      <c r="U2486">
        <v>-1.072754</v>
      </c>
      <c r="V2486">
        <v>-0.11951050000000001</v>
      </c>
      <c r="W2486">
        <v>7.9839830000000001E-2</v>
      </c>
      <c r="X2486">
        <v>0.98961750000000004</v>
      </c>
      <c r="Y2486">
        <v>-0.20882200000000001</v>
      </c>
      <c r="Z2486">
        <v>6.016876E-3</v>
      </c>
      <c r="AA2486">
        <v>0.97793509999999995</v>
      </c>
      <c r="AB2486">
        <v>43</v>
      </c>
      <c r="AC2486">
        <v>-6.6068999999999898</v>
      </c>
      <c r="AD2486">
        <v>-1.116698013545</v>
      </c>
      <c r="AE2486">
        <v>-2.6678999999999702</v>
      </c>
      <c r="AF2486">
        <v>-1.62434714421189</v>
      </c>
      <c r="AG2486">
        <v>-1.116698013545</v>
      </c>
      <c r="AH2486">
        <v>6.7620452223190197</v>
      </c>
      <c r="AI2486">
        <v>99.122351078588494</v>
      </c>
      <c r="AJ2486">
        <v>103.507400034013</v>
      </c>
      <c r="AK2486">
        <v>7.0434915835153999</v>
      </c>
      <c r="AL2486">
        <v>85.420640673519301</v>
      </c>
      <c r="AM2486">
        <v>96.885941041770906</v>
      </c>
      <c r="AN2486">
        <v>0.99999997718546396</v>
      </c>
    </row>
    <row r="2487" spans="1:40" x14ac:dyDescent="0.25">
      <c r="A2487" t="str">
        <f>"20190312151034718"</f>
        <v>20190312151034718</v>
      </c>
      <c r="B2487" t="str">
        <f>"1552374634713215"</f>
        <v>1552374634713215</v>
      </c>
      <c r="C2487" t="s">
        <v>40</v>
      </c>
      <c r="D2487">
        <v>5.3015980000000003</v>
      </c>
      <c r="E2487">
        <v>0.46575909999999898</v>
      </c>
      <c r="F2487" t="s">
        <v>50</v>
      </c>
      <c r="G2487">
        <v>-474.40440000000001</v>
      </c>
      <c r="H2487" s="1">
        <v>4.2923119999999999E-6</v>
      </c>
      <c r="I2487">
        <v>280.39949999999999</v>
      </c>
      <c r="J2487">
        <v>-468.82139999999998</v>
      </c>
      <c r="K2487">
        <v>1.1168960000000001</v>
      </c>
      <c r="L2487">
        <v>282.5806</v>
      </c>
      <c r="M2487">
        <v>-0.98799519999999996</v>
      </c>
      <c r="N2487">
        <v>0</v>
      </c>
      <c r="O2487">
        <v>-0.15378069999999999</v>
      </c>
      <c r="P2487">
        <v>-0.96064669999999996</v>
      </c>
      <c r="Q2487">
        <v>6.6866990000000001E-2</v>
      </c>
      <c r="R2487">
        <v>-0.26960469999999997</v>
      </c>
      <c r="S2487">
        <v>-2.8612669999999998</v>
      </c>
      <c r="T2487">
        <v>-0.53253359999999905</v>
      </c>
      <c r="U2487">
        <v>-1.072052</v>
      </c>
      <c r="V2487">
        <v>-0.1199954</v>
      </c>
      <c r="W2487">
        <v>7.9466220000000004E-2</v>
      </c>
      <c r="X2487">
        <v>0.98958889999999999</v>
      </c>
      <c r="Y2487">
        <v>-0.20193449999999999</v>
      </c>
      <c r="Z2487">
        <v>9.1662759999999992E-3</v>
      </c>
      <c r="AA2487">
        <v>0.97935609999999995</v>
      </c>
      <c r="AB2487">
        <v>43</v>
      </c>
      <c r="AC2487">
        <v>-5.5830000000000197</v>
      </c>
      <c r="AD2487">
        <v>-1.1168917076879901</v>
      </c>
      <c r="AE2487">
        <v>-2.18110000000001</v>
      </c>
      <c r="AF2487">
        <v>-1.2529933726694</v>
      </c>
      <c r="AG2487">
        <v>-1.1168917076879901</v>
      </c>
      <c r="AH2487">
        <v>5.6556498151570098</v>
      </c>
      <c r="AI2487">
        <v>100.913132079243</v>
      </c>
      <c r="AJ2487">
        <v>102.491946486353</v>
      </c>
      <c r="AK2487">
        <v>5.8994757657220003</v>
      </c>
      <c r="AL2487">
        <v>85.442115211526399</v>
      </c>
      <c r="AM2487">
        <v>96.9138079558372</v>
      </c>
      <c r="AN2487">
        <v>0.99999998357272901</v>
      </c>
    </row>
    <row r="2488" spans="1:40" x14ac:dyDescent="0.25">
      <c r="A2488" t="str">
        <f>"20190312151034740"</f>
        <v>20190312151034740</v>
      </c>
      <c r="B2488" t="str">
        <f>"1552374634733714"</f>
        <v>1552374634733714</v>
      </c>
      <c r="C2488" t="s">
        <v>40</v>
      </c>
      <c r="D2488">
        <v>5.1123070000000004</v>
      </c>
      <c r="E2488">
        <v>0.46648620000000002</v>
      </c>
      <c r="F2488" t="s">
        <v>50</v>
      </c>
      <c r="G2488">
        <v>-476.04840000000002</v>
      </c>
      <c r="H2488" s="1">
        <v>3.5080449999999999E-6</v>
      </c>
      <c r="I2488">
        <v>279.76799999999997</v>
      </c>
      <c r="J2488">
        <v>-469.24270000000001</v>
      </c>
      <c r="K2488">
        <v>1.1171009999999999</v>
      </c>
      <c r="L2488">
        <v>282.51</v>
      </c>
      <c r="M2488">
        <v>-0.98694539999999997</v>
      </c>
      <c r="N2488">
        <v>0</v>
      </c>
      <c r="O2488">
        <v>-0.16037799999999999</v>
      </c>
      <c r="P2488">
        <v>-0.9588274</v>
      </c>
      <c r="Q2488">
        <v>6.7139480000000001E-2</v>
      </c>
      <c r="R2488">
        <v>-0.27593889999999999</v>
      </c>
      <c r="S2488">
        <v>-2.8429570000000002</v>
      </c>
      <c r="T2488">
        <v>-0.43936409999999998</v>
      </c>
      <c r="U2488">
        <v>-1.1064449999999999</v>
      </c>
      <c r="V2488">
        <v>-0.119963</v>
      </c>
      <c r="W2488">
        <v>7.9694840000000003E-2</v>
      </c>
      <c r="X2488">
        <v>0.98957439999999997</v>
      </c>
      <c r="Y2488">
        <v>-0.20802380000000001</v>
      </c>
      <c r="Z2488">
        <v>8.1086400000000003E-3</v>
      </c>
      <c r="AA2488">
        <v>0.97809020000000002</v>
      </c>
      <c r="AB2488">
        <v>43</v>
      </c>
      <c r="AC2488">
        <v>-6.8056999999999999</v>
      </c>
      <c r="AD2488">
        <v>-1.1170974919550001</v>
      </c>
      <c r="AE2488">
        <v>-2.7420000000000102</v>
      </c>
      <c r="AF2488">
        <v>-1.5783106823555899</v>
      </c>
      <c r="AG2488">
        <v>-1.1170974919550001</v>
      </c>
      <c r="AH2488">
        <v>6.9952419765688303</v>
      </c>
      <c r="AI2488">
        <v>98.854258555549606</v>
      </c>
      <c r="AJ2488">
        <v>102.714535061425</v>
      </c>
      <c r="AK2488">
        <v>7.2575740938223001</v>
      </c>
      <c r="AL2488">
        <v>85.428974378897294</v>
      </c>
      <c r="AM2488">
        <v>96.912059517284604</v>
      </c>
      <c r="AN2488">
        <v>0.99999994101349099</v>
      </c>
    </row>
    <row r="2489" spans="1:40" x14ac:dyDescent="0.25">
      <c r="A2489" t="str">
        <f>"20190312151034762"</f>
        <v>20190312151034762</v>
      </c>
      <c r="B2489" t="str">
        <f>"1552374634753231"</f>
        <v>1552374634753231</v>
      </c>
      <c r="C2489" t="s">
        <v>40</v>
      </c>
      <c r="D2489">
        <v>5.0982320000000003</v>
      </c>
      <c r="E2489">
        <v>0.46679739999999997</v>
      </c>
      <c r="F2489" t="s">
        <v>50</v>
      </c>
      <c r="G2489">
        <v>-476.31599999999997</v>
      </c>
      <c r="H2489" s="1">
        <v>3.3848889999999999E-6</v>
      </c>
      <c r="I2489">
        <v>279.71660000000003</v>
      </c>
      <c r="J2489">
        <v>-469.66770000000002</v>
      </c>
      <c r="K2489">
        <v>1.117291</v>
      </c>
      <c r="L2489">
        <v>282.43560000000002</v>
      </c>
      <c r="M2489">
        <v>-0.98580820000000002</v>
      </c>
      <c r="N2489">
        <v>0</v>
      </c>
      <c r="O2489">
        <v>-0.16722529999999999</v>
      </c>
      <c r="P2489">
        <v>-0.95671090000000003</v>
      </c>
      <c r="Q2489">
        <v>6.6972110000000001E-2</v>
      </c>
      <c r="R2489">
        <v>-0.28322940000000002</v>
      </c>
      <c r="S2489">
        <v>-2.8376769999999998</v>
      </c>
      <c r="T2489">
        <v>-0.44816040000000001</v>
      </c>
      <c r="U2489">
        <v>-1.1206670000000001</v>
      </c>
      <c r="V2489">
        <v>-0.12066109999999999</v>
      </c>
      <c r="W2489">
        <v>7.9471920000000001E-2</v>
      </c>
      <c r="X2489">
        <v>0.98950749999999998</v>
      </c>
      <c r="Y2489">
        <v>-0.2061674</v>
      </c>
      <c r="Z2489">
        <v>9.4244710000000002E-3</v>
      </c>
      <c r="AA2489">
        <v>0.97847130000000004</v>
      </c>
      <c r="AB2489">
        <v>43</v>
      </c>
      <c r="AC2489">
        <v>-6.6482999999999404</v>
      </c>
      <c r="AD2489">
        <v>-1.1172876151109901</v>
      </c>
      <c r="AE2489">
        <v>-2.7189999999999901</v>
      </c>
      <c r="AF2489">
        <v>-1.5317573287980799</v>
      </c>
      <c r="AG2489">
        <v>-1.1172876151109901</v>
      </c>
      <c r="AH2489">
        <v>6.8438063982789501</v>
      </c>
      <c r="AI2489">
        <v>99.051933999321193</v>
      </c>
      <c r="AJ2489">
        <v>102.615829303487</v>
      </c>
      <c r="AK2489">
        <v>7.1015701183844504</v>
      </c>
      <c r="AL2489">
        <v>85.441787618041104</v>
      </c>
      <c r="AM2489">
        <v>96.952355747943002</v>
      </c>
      <c r="AN2489">
        <v>0.99999998983897298</v>
      </c>
    </row>
    <row r="2490" spans="1:40" x14ac:dyDescent="0.25">
      <c r="A2490" t="str">
        <f>"20190312151034785"</f>
        <v>20190312151034785</v>
      </c>
      <c r="B2490" t="str">
        <f>"1552374634773737"</f>
        <v>1552374634773737</v>
      </c>
      <c r="C2490" t="s">
        <v>40</v>
      </c>
      <c r="D2490">
        <v>5.0686109999999998</v>
      </c>
      <c r="E2490">
        <v>0.46721970000000002</v>
      </c>
      <c r="F2490" t="s">
        <v>50</v>
      </c>
      <c r="G2490">
        <v>-476.649</v>
      </c>
      <c r="H2490" s="1">
        <v>3.2291640000000002E-6</v>
      </c>
      <c r="I2490">
        <v>279.62430000000001</v>
      </c>
      <c r="J2490">
        <v>-470.07440000000003</v>
      </c>
      <c r="K2490">
        <v>1.1174759999999999</v>
      </c>
      <c r="L2490">
        <v>282.36160000000001</v>
      </c>
      <c r="M2490">
        <v>-0.98464240000000003</v>
      </c>
      <c r="N2490">
        <v>0</v>
      </c>
      <c r="O2490">
        <v>-0.17395659999999999</v>
      </c>
      <c r="P2490">
        <v>-0.95452170000000003</v>
      </c>
      <c r="Q2490">
        <v>6.6215739999999995E-2</v>
      </c>
      <c r="R2490">
        <v>-0.29069669999999997</v>
      </c>
      <c r="S2490">
        <v>-2.8300480000000001</v>
      </c>
      <c r="T2490">
        <v>-0.45292209999999999</v>
      </c>
      <c r="U2490">
        <v>-1.139648</v>
      </c>
      <c r="V2490">
        <v>-0.12164709999999999</v>
      </c>
      <c r="W2490">
        <v>7.8656229999999994E-2</v>
      </c>
      <c r="X2490">
        <v>0.98945190000000005</v>
      </c>
      <c r="Y2490">
        <v>-0.20610619999999999</v>
      </c>
      <c r="Z2490">
        <v>1.0539929999999999E-2</v>
      </c>
      <c r="AA2490">
        <v>0.97847280000000003</v>
      </c>
      <c r="AB2490">
        <v>43</v>
      </c>
      <c r="AC2490">
        <v>-6.57459999999997</v>
      </c>
      <c r="AD2490">
        <v>-1.1174727708359999</v>
      </c>
      <c r="AE2490">
        <v>-2.7372999999999998</v>
      </c>
      <c r="AF2490">
        <v>-1.51444844479852</v>
      </c>
      <c r="AG2490">
        <v>-1.1174727708359999</v>
      </c>
      <c r="AH2490">
        <v>6.7835411953909004</v>
      </c>
      <c r="AI2490">
        <v>99.133567098186305</v>
      </c>
      <c r="AJ2490">
        <v>102.585095660558</v>
      </c>
      <c r="AK2490">
        <v>7.0397962069280098</v>
      </c>
      <c r="AL2490">
        <v>85.488669756692801</v>
      </c>
      <c r="AM2490">
        <v>97.0089950929314</v>
      </c>
      <c r="AN2490">
        <v>0.99999994093491396</v>
      </c>
    </row>
    <row r="2491" spans="1:40" x14ac:dyDescent="0.25">
      <c r="A2491" t="str">
        <f>"20190312151034806"</f>
        <v>20190312151034806</v>
      </c>
      <c r="B2491" t="str">
        <f>"1552374634803022"</f>
        <v>1552374634803022</v>
      </c>
      <c r="C2491" t="s">
        <v>40</v>
      </c>
      <c r="D2491">
        <v>5.0860209999999997</v>
      </c>
      <c r="E2491">
        <v>0.46749580000000002</v>
      </c>
      <c r="F2491" t="s">
        <v>50</v>
      </c>
      <c r="G2491">
        <v>-476.89710000000002</v>
      </c>
      <c r="H2491">
        <v>7.0698710000000001E-3</v>
      </c>
      <c r="I2491">
        <v>279.56139999999999</v>
      </c>
      <c r="J2491">
        <v>-470.48910000000001</v>
      </c>
      <c r="K2491">
        <v>1.117667</v>
      </c>
      <c r="L2491">
        <v>282.28309999999999</v>
      </c>
      <c r="M2491">
        <v>-0.98337039999999998</v>
      </c>
      <c r="N2491">
        <v>0</v>
      </c>
      <c r="O2491">
        <v>-0.18100759999999999</v>
      </c>
      <c r="P2491">
        <v>-0.95218829999999999</v>
      </c>
      <c r="Q2491">
        <v>6.5702990000000003E-2</v>
      </c>
      <c r="R2491">
        <v>-0.29836309999999999</v>
      </c>
      <c r="S2491">
        <v>-2.8220830000000001</v>
      </c>
      <c r="T2491">
        <v>-0.45930189999999999</v>
      </c>
      <c r="U2491">
        <v>-1.158234</v>
      </c>
      <c r="V2491">
        <v>-0.1225367</v>
      </c>
      <c r="W2491">
        <v>7.8083420000000001E-2</v>
      </c>
      <c r="X2491">
        <v>0.98938760000000003</v>
      </c>
      <c r="Y2491">
        <v>-0.20565020000000001</v>
      </c>
      <c r="Z2491">
        <v>1.1798039999999999E-2</v>
      </c>
      <c r="AA2491">
        <v>0.97855440000000005</v>
      </c>
      <c r="AB2491">
        <v>43</v>
      </c>
      <c r="AC2491">
        <v>-6.4080000000000101</v>
      </c>
      <c r="AD2491">
        <v>-1.1105971290000001</v>
      </c>
      <c r="AE2491">
        <v>-2.72169999999999</v>
      </c>
      <c r="AF2491">
        <v>-1.4790704160697701</v>
      </c>
      <c r="AG2491">
        <v>-1.1105971290000001</v>
      </c>
      <c r="AH2491">
        <v>6.6262115035262497</v>
      </c>
      <c r="AI2491">
        <v>99.290217992239306</v>
      </c>
      <c r="AJ2491">
        <v>102.58300654527901</v>
      </c>
      <c r="AK2491">
        <v>6.8795170010764197</v>
      </c>
      <c r="AL2491">
        <v>85.521591066229405</v>
      </c>
      <c r="AM2491">
        <v>97.060190385233199</v>
      </c>
      <c r="AN2491">
        <v>1.00000004317977</v>
      </c>
    </row>
    <row r="2492" spans="1:40" x14ac:dyDescent="0.25">
      <c r="A2492" t="str">
        <f>"20190312151034820"</f>
        <v>20190312151034820</v>
      </c>
      <c r="B2492" t="str">
        <f>"1552374634812767"</f>
        <v>1552374634812767</v>
      </c>
      <c r="C2492" t="s">
        <v>40</v>
      </c>
      <c r="D2492">
        <v>5.0205060000000001</v>
      </c>
      <c r="E2492">
        <v>0.46759309999999998</v>
      </c>
      <c r="F2492" t="s">
        <v>50</v>
      </c>
      <c r="G2492">
        <v>-476.99799999999999</v>
      </c>
      <c r="H2492">
        <v>4.160867E-2</v>
      </c>
      <c r="I2492">
        <v>279.55380000000002</v>
      </c>
      <c r="J2492">
        <v>-470.72770000000003</v>
      </c>
      <c r="K2492">
        <v>1.117777</v>
      </c>
      <c r="L2492">
        <v>282.23660000000001</v>
      </c>
      <c r="M2492">
        <v>-0.98260049999999999</v>
      </c>
      <c r="N2492">
        <v>0</v>
      </c>
      <c r="O2492">
        <v>-0.18514030000000001</v>
      </c>
      <c r="P2492">
        <v>-0.95076609999999995</v>
      </c>
      <c r="Q2492">
        <v>6.5528980000000001E-2</v>
      </c>
      <c r="R2492">
        <v>-0.30290289999999997</v>
      </c>
      <c r="S2492">
        <v>-2.81311</v>
      </c>
      <c r="T2492">
        <v>-0.46506760000000003</v>
      </c>
      <c r="U2492">
        <v>-1.179565</v>
      </c>
      <c r="V2492">
        <v>-0.123113899999999</v>
      </c>
      <c r="W2492">
        <v>7.7872830000000004E-2</v>
      </c>
      <c r="X2492">
        <v>0.98933249999999995</v>
      </c>
      <c r="Y2492">
        <v>-0.20895949999999999</v>
      </c>
      <c r="Z2492">
        <v>1.232867E-2</v>
      </c>
      <c r="AA2492">
        <v>0.97784660000000001</v>
      </c>
      <c r="AB2492">
        <v>43</v>
      </c>
      <c r="AC2492">
        <v>-6.2703000000000104</v>
      </c>
      <c r="AD2492">
        <v>-1.07616833</v>
      </c>
      <c r="AE2492">
        <v>-2.6827999999999799</v>
      </c>
      <c r="AF2492">
        <v>-1.43955423090059</v>
      </c>
      <c r="AG2492">
        <v>-1.07616833</v>
      </c>
      <c r="AH2492">
        <v>6.4968614071313802</v>
      </c>
      <c r="AI2492">
        <v>99.1864478796941</v>
      </c>
      <c r="AJ2492">
        <v>102.49356711414499</v>
      </c>
      <c r="AK2492">
        <v>6.7408948071952501</v>
      </c>
      <c r="AL2492">
        <v>85.5336936552644</v>
      </c>
      <c r="AM2492">
        <v>97.093499935580894</v>
      </c>
      <c r="AN2492">
        <v>1.00000000279083</v>
      </c>
    </row>
    <row r="2493" spans="1:40" x14ac:dyDescent="0.25">
      <c r="A2493" t="str">
        <f>"20190312151034841"</f>
        <v>20190312151034841</v>
      </c>
      <c r="B2493" t="str">
        <f>"1552374634833262"</f>
        <v>1552374634833262</v>
      </c>
      <c r="C2493" t="s">
        <v>40</v>
      </c>
      <c r="D2493">
        <v>5.1001310000000002</v>
      </c>
      <c r="E2493">
        <v>0.46772819999999998</v>
      </c>
      <c r="F2493" t="s">
        <v>50</v>
      </c>
      <c r="G2493">
        <v>-477.08589999999998</v>
      </c>
      <c r="H2493">
        <v>6.0870220000000003E-2</v>
      </c>
      <c r="I2493">
        <v>279.53629999999998</v>
      </c>
      <c r="J2493">
        <v>-471.12040000000002</v>
      </c>
      <c r="K2493">
        <v>1.1179600000000001</v>
      </c>
      <c r="L2493">
        <v>282.15750000000003</v>
      </c>
      <c r="M2493">
        <v>-0.98126080000000004</v>
      </c>
      <c r="N2493">
        <v>0</v>
      </c>
      <c r="O2493">
        <v>-0.19211349999999999</v>
      </c>
      <c r="P2493">
        <v>-0.94808440000000005</v>
      </c>
      <c r="Q2493">
        <v>6.5624539999999995E-2</v>
      </c>
      <c r="R2493">
        <v>-0.31117460000000002</v>
      </c>
      <c r="S2493">
        <v>-2.8076479999999999</v>
      </c>
      <c r="T2493">
        <v>-0.46670970000000001</v>
      </c>
      <c r="U2493">
        <v>-1.1924129999999999</v>
      </c>
      <c r="V2493">
        <v>-0.1247491</v>
      </c>
      <c r="W2493">
        <v>7.7891829999999995E-2</v>
      </c>
      <c r="X2493">
        <v>0.98912610000000001</v>
      </c>
      <c r="Y2493">
        <v>-0.20659259999999999</v>
      </c>
      <c r="Z2493">
        <v>1.363636E-2</v>
      </c>
      <c r="AA2493">
        <v>0.97833199999999998</v>
      </c>
      <c r="AB2493">
        <v>43</v>
      </c>
      <c r="AC2493">
        <v>-5.9654999999999596</v>
      </c>
      <c r="AD2493">
        <v>-1.0570897800000001</v>
      </c>
      <c r="AE2493">
        <v>-2.6212000000000399</v>
      </c>
      <c r="AF2493">
        <v>-1.38961150717463</v>
      </c>
      <c r="AG2493">
        <v>-1.0570897800000001</v>
      </c>
      <c r="AH2493">
        <v>6.1949344949718901</v>
      </c>
      <c r="AI2493">
        <v>99.453046847359801</v>
      </c>
      <c r="AJ2493">
        <v>102.64297557523</v>
      </c>
      <c r="AK2493">
        <v>6.4362778327885497</v>
      </c>
      <c r="AL2493">
        <v>85.532601520122199</v>
      </c>
      <c r="AM2493">
        <v>97.188221074455598</v>
      </c>
      <c r="AN2493">
        <v>0.99999995841638301</v>
      </c>
    </row>
    <row r="2494" spans="1:40" x14ac:dyDescent="0.25">
      <c r="A2494" t="str">
        <f>"20190312151034855"</f>
        <v>20190312151034855</v>
      </c>
      <c r="B2494" t="str">
        <f>"1552374634843023"</f>
        <v>1552374634843023</v>
      </c>
      <c r="C2494" t="s">
        <v>40</v>
      </c>
      <c r="D2494">
        <v>5.1025549999999997</v>
      </c>
      <c r="E2494">
        <v>0.46782810000000002</v>
      </c>
      <c r="F2494" t="s">
        <v>50</v>
      </c>
      <c r="G2494">
        <v>-477.33629999999999</v>
      </c>
      <c r="H2494">
        <v>8.0000260000000004E-2</v>
      </c>
      <c r="I2494">
        <v>279.4538</v>
      </c>
      <c r="J2494">
        <v>-471.387</v>
      </c>
      <c r="K2494">
        <v>1.1180909999999999</v>
      </c>
      <c r="L2494">
        <v>282.10210000000001</v>
      </c>
      <c r="M2494">
        <v>-0.98030079999999997</v>
      </c>
      <c r="N2494">
        <v>0</v>
      </c>
      <c r="O2494">
        <v>-0.1969534</v>
      </c>
      <c r="P2494">
        <v>-0.94621719999999998</v>
      </c>
      <c r="Q2494">
        <v>6.5433030000000003E-2</v>
      </c>
      <c r="R2494">
        <v>-0.31684610000000002</v>
      </c>
      <c r="S2494">
        <v>-2.797272</v>
      </c>
      <c r="T2494">
        <v>-0.46709600000000001</v>
      </c>
      <c r="U2494">
        <v>-1.216675</v>
      </c>
      <c r="V2494">
        <v>-0.12581120000000001</v>
      </c>
      <c r="W2494">
        <v>7.7648419999999996E-2</v>
      </c>
      <c r="X2494">
        <v>0.98901079999999997</v>
      </c>
      <c r="Y2494">
        <v>-0.21023839999999999</v>
      </c>
      <c r="Z2494">
        <v>1.4117970000000001E-2</v>
      </c>
      <c r="AA2494">
        <v>0.97754819999999998</v>
      </c>
      <c r="AB2494">
        <v>43</v>
      </c>
      <c r="AC2494">
        <v>-5.9493000000000498</v>
      </c>
      <c r="AD2494">
        <v>-1.0380907399999999</v>
      </c>
      <c r="AE2494">
        <v>-2.6482999999999999</v>
      </c>
      <c r="AF2494">
        <v>-1.38924965008779</v>
      </c>
      <c r="AG2494">
        <v>-1.0380907399999999</v>
      </c>
      <c r="AH2494">
        <v>6.1969216853790199</v>
      </c>
      <c r="AI2494">
        <v>99.283461382751895</v>
      </c>
      <c r="AJ2494">
        <v>102.63586604083901</v>
      </c>
      <c r="AK2494">
        <v>6.4350202291417498</v>
      </c>
      <c r="AL2494">
        <v>85.546590657397005</v>
      </c>
      <c r="AM2494">
        <v>97.249608616963698</v>
      </c>
      <c r="AN2494">
        <v>1.00000004884528</v>
      </c>
    </row>
    <row r="2495" spans="1:40" x14ac:dyDescent="0.25">
      <c r="A2495" t="str">
        <f>"20190312151034875"</f>
        <v>20190312151034875</v>
      </c>
      <c r="B2495" t="str">
        <f>"1552374634863519"</f>
        <v>1552374634863519</v>
      </c>
      <c r="C2495" t="s">
        <v>40</v>
      </c>
      <c r="D2495">
        <v>4.8838800000000004</v>
      </c>
      <c r="E2495">
        <v>0.45132709999999998</v>
      </c>
      <c r="F2495" t="s">
        <v>50</v>
      </c>
      <c r="G2495">
        <v>-477.56380000000001</v>
      </c>
      <c r="H2495">
        <v>8.0000199999999994E-2</v>
      </c>
      <c r="I2495">
        <v>279.37299999999999</v>
      </c>
      <c r="J2495">
        <v>-471.74200000000002</v>
      </c>
      <c r="K2495">
        <v>1.118268</v>
      </c>
      <c r="L2495">
        <v>282.02609999999999</v>
      </c>
      <c r="M2495">
        <v>-0.97895460000000001</v>
      </c>
      <c r="N2495">
        <v>0</v>
      </c>
      <c r="O2495">
        <v>-0.20353760000000001</v>
      </c>
      <c r="P2495">
        <v>-0.94348469999999995</v>
      </c>
      <c r="Q2495">
        <v>6.4462000000000005E-2</v>
      </c>
      <c r="R2495">
        <v>-0.32508710000000002</v>
      </c>
      <c r="S2495">
        <v>-2.7901609999999999</v>
      </c>
      <c r="T2495">
        <v>-0.46892810000000001</v>
      </c>
      <c r="U2495">
        <v>-1.232758</v>
      </c>
      <c r="V2495">
        <v>-0.12779409999999999</v>
      </c>
      <c r="W2495">
        <v>7.6594899999999994E-2</v>
      </c>
      <c r="X2495">
        <v>0.98883869999999896</v>
      </c>
      <c r="Y2495">
        <v>-0.20938499999999999</v>
      </c>
      <c r="Z2495">
        <v>1.5266750000000001E-2</v>
      </c>
      <c r="AA2495">
        <v>0.97771410000000003</v>
      </c>
      <c r="AB2495">
        <v>43</v>
      </c>
      <c r="AC2495">
        <v>-5.8218000000000503</v>
      </c>
      <c r="AD2495">
        <v>-1.0382678000000001</v>
      </c>
      <c r="AE2495">
        <v>-2.65309999999999</v>
      </c>
      <c r="AF2495">
        <v>-1.3762204852898601</v>
      </c>
      <c r="AG2495">
        <v>-1.0382678000000001</v>
      </c>
      <c r="AH2495">
        <v>6.0798509706255102</v>
      </c>
      <c r="AI2495">
        <v>99.456274437652993</v>
      </c>
      <c r="AJ2495">
        <v>102.754398677103</v>
      </c>
      <c r="AK2495">
        <v>6.31953880229121</v>
      </c>
      <c r="AL2495">
        <v>85.607133194241797</v>
      </c>
      <c r="AM2495">
        <v>97.363892317626394</v>
      </c>
      <c r="AN2495">
        <v>1.0000000426592499</v>
      </c>
    </row>
    <row r="2496" spans="1:40" x14ac:dyDescent="0.25">
      <c r="A2496" t="str">
        <f>"20190312151034896"</f>
        <v>20190312151034896</v>
      </c>
      <c r="B2496" t="str">
        <f>"1552374634892799"</f>
        <v>1552374634892799</v>
      </c>
      <c r="C2496" t="s">
        <v>40</v>
      </c>
      <c r="D2496">
        <v>5.0441390000000004</v>
      </c>
      <c r="E2496">
        <v>0.43072680000000002</v>
      </c>
      <c r="F2496" t="s">
        <v>50</v>
      </c>
      <c r="G2496">
        <v>-476.84440000000001</v>
      </c>
      <c r="H2496">
        <v>8.0000420000000003E-2</v>
      </c>
      <c r="I2496">
        <v>279.44490000000002</v>
      </c>
      <c r="J2496">
        <v>-472.1465</v>
      </c>
      <c r="K2496">
        <v>1.118492</v>
      </c>
      <c r="L2496">
        <v>281.93639999999999</v>
      </c>
      <c r="M2496">
        <v>-0.97732030000000003</v>
      </c>
      <c r="N2496">
        <v>0</v>
      </c>
      <c r="O2496">
        <v>-0.2112446</v>
      </c>
      <c r="P2496">
        <v>-0.94016909999999998</v>
      </c>
      <c r="Q2496">
        <v>6.2945039999999994E-2</v>
      </c>
      <c r="R2496">
        <v>-0.33484370000000002</v>
      </c>
      <c r="S2496">
        <v>-2.7402039999999999</v>
      </c>
      <c r="T2496">
        <v>-0.55759360000000002</v>
      </c>
      <c r="U2496">
        <v>-1.386169</v>
      </c>
      <c r="V2496">
        <v>-0.13023799999999999</v>
      </c>
      <c r="W2496">
        <v>7.4974529999999998E-2</v>
      </c>
      <c r="X2496">
        <v>0.98864390000000002</v>
      </c>
      <c r="Y2496">
        <v>-0.25199749999999999</v>
      </c>
      <c r="Z2496">
        <v>1.550265E-2</v>
      </c>
      <c r="AA2496">
        <v>0.96760369999999996</v>
      </c>
      <c r="AB2496">
        <v>43</v>
      </c>
      <c r="AC2496">
        <v>-4.6978999999999997</v>
      </c>
      <c r="AD2496">
        <v>-1.0384915800000001</v>
      </c>
      <c r="AE2496">
        <v>-2.4914999999999701</v>
      </c>
      <c r="AF2496">
        <v>-1.3897444711540701</v>
      </c>
      <c r="AG2496">
        <v>-1.0384915800000001</v>
      </c>
      <c r="AH2496">
        <v>4.9302049517800803</v>
      </c>
      <c r="AI2496">
        <v>101.46069201658599</v>
      </c>
      <c r="AJ2496">
        <v>105.742279708314</v>
      </c>
      <c r="AK2496">
        <v>5.2265452569925301</v>
      </c>
      <c r="AL2496">
        <v>85.700240875962706</v>
      </c>
      <c r="AM2496">
        <v>97.504589252750606</v>
      </c>
      <c r="AN2496">
        <v>0.99999993889996297</v>
      </c>
    </row>
    <row r="2497" spans="1:40" x14ac:dyDescent="0.25">
      <c r="A2497" t="str">
        <f>"20190312151034909"</f>
        <v>20190312151034909</v>
      </c>
      <c r="B2497" t="str">
        <f>"1552374634903535"</f>
        <v>1552374634903535</v>
      </c>
      <c r="C2497" t="s">
        <v>40</v>
      </c>
      <c r="D2497">
        <v>5.0296709999999996</v>
      </c>
      <c r="E2497">
        <v>0.42556870000000002</v>
      </c>
      <c r="F2497" t="s">
        <v>50</v>
      </c>
      <c r="G2497">
        <v>-477.03649999999999</v>
      </c>
      <c r="H2497">
        <v>8.0000420000000003E-2</v>
      </c>
      <c r="I2497">
        <v>279.0609</v>
      </c>
      <c r="J2497">
        <v>-472.37709999999998</v>
      </c>
      <c r="K2497">
        <v>1.1186229999999999</v>
      </c>
      <c r="L2497">
        <v>281.88330000000002</v>
      </c>
      <c r="M2497">
        <v>-0.97633040000000004</v>
      </c>
      <c r="N2497">
        <v>0</v>
      </c>
      <c r="O2497">
        <v>-0.21577260000000001</v>
      </c>
      <c r="P2497">
        <v>-0.9383222</v>
      </c>
      <c r="Q2497">
        <v>6.2015679999999997E-2</v>
      </c>
      <c r="R2497">
        <v>-0.34015580000000001</v>
      </c>
      <c r="S2497">
        <v>-2.6697389999999999</v>
      </c>
      <c r="T2497">
        <v>-0.56697419999999898</v>
      </c>
      <c r="U2497">
        <v>-1.5699160000000001</v>
      </c>
      <c r="V2497">
        <v>-0.13124</v>
      </c>
      <c r="W2497">
        <v>7.3992580000000002E-2</v>
      </c>
      <c r="X2497">
        <v>0.98858539999999995</v>
      </c>
      <c r="Y2497">
        <v>-0.30741429999999997</v>
      </c>
      <c r="Z2497">
        <v>1.1253290000000001E-2</v>
      </c>
      <c r="AA2497">
        <v>0.95150919999999894</v>
      </c>
      <c r="AB2497">
        <v>43</v>
      </c>
      <c r="AC2497">
        <v>-4.6593999999999998</v>
      </c>
      <c r="AD2497">
        <v>-1.03862258</v>
      </c>
      <c r="AE2497">
        <v>-2.8224000000000098</v>
      </c>
      <c r="AF2497">
        <v>-1.6890207976168601</v>
      </c>
      <c r="AG2497">
        <v>-1.03862258</v>
      </c>
      <c r="AH2497">
        <v>4.9777374146156799</v>
      </c>
      <c r="AI2497">
        <v>101.177027982501</v>
      </c>
      <c r="AJ2497">
        <v>108.742843374798</v>
      </c>
      <c r="AK2497">
        <v>5.3581151431574296</v>
      </c>
      <c r="AL2497">
        <v>85.756659305296296</v>
      </c>
      <c r="AM2497">
        <v>97.562103303566104</v>
      </c>
      <c r="AN2497">
        <v>0.99999996629410703</v>
      </c>
    </row>
    <row r="2498" spans="1:40" x14ac:dyDescent="0.25">
      <c r="A2498" t="str">
        <f>"20190312151034922"</f>
        <v>20190312151034922</v>
      </c>
      <c r="B2498" t="str">
        <f>"1552374634913296"</f>
        <v>1552374634913296</v>
      </c>
      <c r="C2498" t="s">
        <v>40</v>
      </c>
      <c r="D2498">
        <v>4.9907199999999996</v>
      </c>
      <c r="E2498">
        <v>0.42244029999999999</v>
      </c>
      <c r="F2498" t="s">
        <v>50</v>
      </c>
      <c r="G2498">
        <v>-477.21030000000002</v>
      </c>
      <c r="H2498">
        <v>8.0000399999999902E-2</v>
      </c>
      <c r="I2498">
        <v>278.91849999999999</v>
      </c>
      <c r="J2498">
        <v>-472.61470000000003</v>
      </c>
      <c r="K2498">
        <v>1.11876</v>
      </c>
      <c r="L2498">
        <v>281.8279</v>
      </c>
      <c r="M2498">
        <v>-0.97527410000000003</v>
      </c>
      <c r="N2498">
        <v>0</v>
      </c>
      <c r="O2498">
        <v>-0.22049640000000001</v>
      </c>
      <c r="P2498">
        <v>-0.93627289999999996</v>
      </c>
      <c r="Q2498">
        <v>6.0963879999999998E-2</v>
      </c>
      <c r="R2498">
        <v>-0.34594269999999999</v>
      </c>
      <c r="S2498">
        <v>-2.6463320000000001</v>
      </c>
      <c r="T2498">
        <v>-0.56867480000000004</v>
      </c>
      <c r="U2498">
        <v>-1.6233519999999999</v>
      </c>
      <c r="V2498">
        <v>-0.13254759999999999</v>
      </c>
      <c r="W2498">
        <v>7.2879799999999995E-2</v>
      </c>
      <c r="X2498">
        <v>0.98849359999999997</v>
      </c>
      <c r="Y2498">
        <v>-0.32039240000000002</v>
      </c>
      <c r="Z2498">
        <v>1.090611E-2</v>
      </c>
      <c r="AA2498">
        <v>0.94722220000000001</v>
      </c>
      <c r="AB2498">
        <v>43</v>
      </c>
      <c r="AC2498">
        <v>-4.5955999999999904</v>
      </c>
      <c r="AD2498">
        <v>-1.0387595999999999</v>
      </c>
      <c r="AE2498">
        <v>-2.9094000000000002</v>
      </c>
      <c r="AF2498">
        <v>-1.7601535004242701</v>
      </c>
      <c r="AG2498">
        <v>-1.0387595999999999</v>
      </c>
      <c r="AH2498">
        <v>4.9437373394432296</v>
      </c>
      <c r="AI2498">
        <v>101.196647486806</v>
      </c>
      <c r="AJ2498">
        <v>109.597611885679</v>
      </c>
      <c r="AK2498">
        <v>5.3495514515754703</v>
      </c>
      <c r="AL2498">
        <v>85.820589517169907</v>
      </c>
      <c r="AM2498">
        <v>97.637263754404898</v>
      </c>
      <c r="AN2498">
        <v>0.99999996437737904</v>
      </c>
    </row>
    <row r="2499" spans="1:40" x14ac:dyDescent="0.25">
      <c r="A2499" t="str">
        <f>"20190312151034941"</f>
        <v>20190312151034941</v>
      </c>
      <c r="B2499" t="str">
        <f>"1552374634932815"</f>
        <v>1552374634932815</v>
      </c>
      <c r="C2499" t="s">
        <v>40</v>
      </c>
      <c r="D2499">
        <v>4.9307610000000004</v>
      </c>
      <c r="E2499">
        <v>0.42048869999999999</v>
      </c>
      <c r="F2499" t="s">
        <v>50</v>
      </c>
      <c r="G2499">
        <v>-477.43090000000001</v>
      </c>
      <c r="H2499">
        <v>8.0000370000000001E-2</v>
      </c>
      <c r="I2499">
        <v>278.77940000000001</v>
      </c>
      <c r="J2499">
        <v>-472.96820000000002</v>
      </c>
      <c r="K2499">
        <v>1.1189750000000001</v>
      </c>
      <c r="L2499">
        <v>281.74290000000002</v>
      </c>
      <c r="M2499">
        <v>-0.97361759999999997</v>
      </c>
      <c r="N2499">
        <v>0</v>
      </c>
      <c r="O2499">
        <v>-0.22769800000000001</v>
      </c>
      <c r="P2499">
        <v>-0.93295570000000005</v>
      </c>
      <c r="Q2499">
        <v>5.9303500000000002E-2</v>
      </c>
      <c r="R2499">
        <v>-0.35507329999999998</v>
      </c>
      <c r="S2499">
        <v>-2.62677</v>
      </c>
      <c r="T2499">
        <v>-0.56655</v>
      </c>
      <c r="U2499">
        <v>-1.6626590000000001</v>
      </c>
      <c r="V2499">
        <v>-0.13488020000000001</v>
      </c>
      <c r="W2499">
        <v>7.1116750000000006E-2</v>
      </c>
      <c r="X2499">
        <v>0.98830649999999998</v>
      </c>
      <c r="Y2499">
        <v>-0.32673590000000002</v>
      </c>
      <c r="Z2499">
        <v>1.1596240000000001E-2</v>
      </c>
      <c r="AA2499">
        <v>0.94504449999999995</v>
      </c>
      <c r="AB2499">
        <v>42</v>
      </c>
      <c r="AC2499">
        <v>-4.4626999999999803</v>
      </c>
      <c r="AD2499">
        <v>-1.03897463</v>
      </c>
      <c r="AE2499">
        <v>-2.96350000000001</v>
      </c>
      <c r="AF2499">
        <v>-1.80160875071476</v>
      </c>
      <c r="AG2499">
        <v>-1.03897463</v>
      </c>
      <c r="AH2499">
        <v>4.8383127433498396</v>
      </c>
      <c r="AI2499">
        <v>101.378249927148</v>
      </c>
      <c r="AJ2499">
        <v>110.423470022271</v>
      </c>
      <c r="AK2499">
        <v>5.2663585687737902</v>
      </c>
      <c r="AL2499">
        <v>85.921867842056201</v>
      </c>
      <c r="AM2499">
        <v>97.771491029690395</v>
      </c>
      <c r="AN2499">
        <v>0.99999999921242599</v>
      </c>
    </row>
    <row r="2500" spans="1:40" x14ac:dyDescent="0.25">
      <c r="A2500" t="str">
        <f>"20190312151034953"</f>
        <v>20190312151034953</v>
      </c>
      <c r="B2500" t="str">
        <f>"1552374634943551"</f>
        <v>1552374634943551</v>
      </c>
      <c r="C2500" t="s">
        <v>40</v>
      </c>
      <c r="D2500">
        <v>4.9641760000000001</v>
      </c>
      <c r="E2500">
        <v>0.42003459999999998</v>
      </c>
      <c r="F2500" t="s">
        <v>50</v>
      </c>
      <c r="G2500">
        <v>-477.84699999999998</v>
      </c>
      <c r="H2500">
        <v>8.000032E-2</v>
      </c>
      <c r="I2500">
        <v>278.55239999999998</v>
      </c>
      <c r="J2500">
        <v>-473.19380000000001</v>
      </c>
      <c r="K2500">
        <v>1.1191139999999999</v>
      </c>
      <c r="L2500">
        <v>281.68709999999999</v>
      </c>
      <c r="M2500">
        <v>-0.97250530000000002</v>
      </c>
      <c r="N2500">
        <v>0</v>
      </c>
      <c r="O2500">
        <v>-0.2324011</v>
      </c>
      <c r="P2500">
        <v>-0.93081639999999999</v>
      </c>
      <c r="Q2500">
        <v>5.9003409999999999E-2</v>
      </c>
      <c r="R2500">
        <v>-0.36069289999999998</v>
      </c>
      <c r="S2500">
        <v>-2.6029969999999998</v>
      </c>
      <c r="T2500">
        <v>-0.55432760000000003</v>
      </c>
      <c r="U2500">
        <v>-1.7022710000000001</v>
      </c>
      <c r="V2500">
        <v>-0.1360777</v>
      </c>
      <c r="W2500">
        <v>7.0757169999999994E-2</v>
      </c>
      <c r="X2500">
        <v>0.98816809999999999</v>
      </c>
      <c r="Y2500">
        <v>-0.33617849999999999</v>
      </c>
      <c r="Z2500">
        <v>1.1324020000000001E-2</v>
      </c>
      <c r="AA2500">
        <v>0.94173030000000002</v>
      </c>
      <c r="AB2500">
        <v>42</v>
      </c>
      <c r="AC2500">
        <v>-4.6531999999999698</v>
      </c>
      <c r="AD2500">
        <v>-1.03911368</v>
      </c>
      <c r="AE2500">
        <v>-3.1347</v>
      </c>
      <c r="AF2500">
        <v>-1.9020793175698301</v>
      </c>
      <c r="AG2500">
        <v>-1.03911368</v>
      </c>
      <c r="AH2500">
        <v>5.0801016642285299</v>
      </c>
      <c r="AI2500">
        <v>100.84414855775</v>
      </c>
      <c r="AJ2500">
        <v>110.52678301517</v>
      </c>
      <c r="AK2500">
        <v>5.5231418494537596</v>
      </c>
      <c r="AL2500">
        <v>85.942522114413904</v>
      </c>
      <c r="AM2500">
        <v>97.840718356823302</v>
      </c>
      <c r="AN2500">
        <v>0.99999995570065303</v>
      </c>
    </row>
    <row r="2501" spans="1:40" x14ac:dyDescent="0.25">
      <c r="A2501" t="str">
        <f>"20190312151034967"</f>
        <v>20190312151034967</v>
      </c>
      <c r="B2501" t="str">
        <f>"1552374634963071"</f>
        <v>1552374634963071</v>
      </c>
      <c r="C2501" t="s">
        <v>40</v>
      </c>
      <c r="D2501">
        <v>4.9223999999999997</v>
      </c>
      <c r="E2501">
        <v>0.41828149999999997</v>
      </c>
      <c r="F2501" t="s">
        <v>50</v>
      </c>
      <c r="G2501">
        <v>-478.09969999999998</v>
      </c>
      <c r="H2501">
        <v>8.0000299999999996E-2</v>
      </c>
      <c r="I2501">
        <v>278.42849999999999</v>
      </c>
      <c r="J2501">
        <v>-473.43950000000001</v>
      </c>
      <c r="K2501">
        <v>1.11927</v>
      </c>
      <c r="L2501">
        <v>281.62479999999999</v>
      </c>
      <c r="M2501">
        <v>-0.97124319999999997</v>
      </c>
      <c r="N2501">
        <v>0</v>
      </c>
      <c r="O2501">
        <v>-0.2376202</v>
      </c>
      <c r="P2501">
        <v>-0.92838620000000005</v>
      </c>
      <c r="Q2501">
        <v>5.8930219999999998E-2</v>
      </c>
      <c r="R2501">
        <v>-0.36691439999999997</v>
      </c>
      <c r="S2501">
        <v>-2.590881</v>
      </c>
      <c r="T2501">
        <v>-0.54877759999999998</v>
      </c>
      <c r="U2501">
        <v>-1.720947</v>
      </c>
      <c r="V2501">
        <v>-0.13741010000000001</v>
      </c>
      <c r="W2501">
        <v>7.0617310000000003E-2</v>
      </c>
      <c r="X2501">
        <v>0.98799380000000003</v>
      </c>
      <c r="Y2501">
        <v>-0.33794249999999998</v>
      </c>
      <c r="Z2501">
        <v>1.199952E-2</v>
      </c>
      <c r="AA2501">
        <v>0.94109030000000005</v>
      </c>
      <c r="AB2501">
        <v>42</v>
      </c>
      <c r="AC2501">
        <v>-4.6601999999999704</v>
      </c>
      <c r="AD2501">
        <v>-1.0392697</v>
      </c>
      <c r="AE2501">
        <v>-3.1962999999999999</v>
      </c>
      <c r="AF2501">
        <v>-1.9319079804308901</v>
      </c>
      <c r="AG2501">
        <v>-1.0392697</v>
      </c>
      <c r="AH2501">
        <v>5.1133372665495402</v>
      </c>
      <c r="AI2501">
        <v>100.765115191118</v>
      </c>
      <c r="AJ2501">
        <v>110.69743921997301</v>
      </c>
      <c r="AK2501">
        <v>5.5640424113835598</v>
      </c>
      <c r="AL2501">
        <v>85.950555958000393</v>
      </c>
      <c r="AM2501">
        <v>97.917900635750101</v>
      </c>
      <c r="AN2501">
        <v>1.00000004444604</v>
      </c>
    </row>
    <row r="2502" spans="1:40" x14ac:dyDescent="0.25">
      <c r="A2502" t="str">
        <f>"20190312151034981"</f>
        <v>20190312151034981</v>
      </c>
      <c r="B2502" t="str">
        <f>"1552374634972831"</f>
        <v>1552374634972831</v>
      </c>
      <c r="C2502" t="s">
        <v>40</v>
      </c>
      <c r="D2502">
        <v>4.9511279999999998</v>
      </c>
      <c r="E2502">
        <v>0.41794170000000003</v>
      </c>
      <c r="F2502" t="s">
        <v>50</v>
      </c>
      <c r="G2502">
        <v>-478.2921</v>
      </c>
      <c r="H2502">
        <v>8.0000249999999995E-2</v>
      </c>
      <c r="I2502">
        <v>278.3227</v>
      </c>
      <c r="J2502">
        <v>-473.6789</v>
      </c>
      <c r="K2502">
        <v>1.119421</v>
      </c>
      <c r="L2502">
        <v>281.56310000000002</v>
      </c>
      <c r="M2502">
        <v>-0.96996689999999997</v>
      </c>
      <c r="N2502">
        <v>0</v>
      </c>
      <c r="O2502">
        <v>-0.24277560000000001</v>
      </c>
      <c r="P2502">
        <v>-0.92600959999999999</v>
      </c>
      <c r="Q2502">
        <v>5.8744930000000001E-2</v>
      </c>
      <c r="R2502">
        <v>-0.3729017</v>
      </c>
      <c r="S2502">
        <v>-2.5741580000000002</v>
      </c>
      <c r="T2502">
        <v>-0.55130829999999997</v>
      </c>
      <c r="U2502">
        <v>-1.751709</v>
      </c>
      <c r="V2502">
        <v>-0.13856199999999999</v>
      </c>
      <c r="W2502">
        <v>7.0370000000000002E-2</v>
      </c>
      <c r="X2502">
        <v>0.98785049999999996</v>
      </c>
      <c r="Y2502">
        <v>-0.34345920000000002</v>
      </c>
      <c r="Z2502">
        <v>1.2470759999999999E-2</v>
      </c>
      <c r="AA2502">
        <v>0.93908480000000005</v>
      </c>
      <c r="AB2502">
        <v>42</v>
      </c>
      <c r="AC2502">
        <v>-4.6132</v>
      </c>
      <c r="AD2502">
        <v>-1.0394207499999999</v>
      </c>
      <c r="AE2502">
        <v>-3.2404000000000202</v>
      </c>
      <c r="AF2502">
        <v>-1.9568149341399901</v>
      </c>
      <c r="AG2502">
        <v>-1.0394207499999999</v>
      </c>
      <c r="AH2502">
        <v>5.0889372128146304</v>
      </c>
      <c r="AI2502">
        <v>100.793503744367</v>
      </c>
      <c r="AJ2502">
        <v>111.03291476349</v>
      </c>
      <c r="AK2502">
        <v>5.5503875664653703</v>
      </c>
      <c r="AL2502">
        <v>85.964760885851405</v>
      </c>
      <c r="AM2502">
        <v>97.9845667519579</v>
      </c>
      <c r="AN2502">
        <v>0.99999998754712405</v>
      </c>
    </row>
    <row r="2503" spans="1:40" x14ac:dyDescent="0.25">
      <c r="A2503" t="str">
        <f>"20190312151034995"</f>
        <v>20190312151034995</v>
      </c>
      <c r="B2503" t="str">
        <f>"1552374634983569"</f>
        <v>1552374634983569</v>
      </c>
      <c r="C2503" t="s">
        <v>40</v>
      </c>
      <c r="D2503">
        <v>4.9570379999999998</v>
      </c>
      <c r="E2503">
        <v>0.41768509999999998</v>
      </c>
      <c r="F2503" t="s">
        <v>50</v>
      </c>
      <c r="G2503">
        <v>-478.53269999999998</v>
      </c>
      <c r="H2503">
        <v>8.0000210000000002E-2</v>
      </c>
      <c r="I2503">
        <v>278.20830000000001</v>
      </c>
      <c r="J2503">
        <v>-473.95240000000001</v>
      </c>
      <c r="K2503">
        <v>1.1195949999999999</v>
      </c>
      <c r="L2503">
        <v>281.4907</v>
      </c>
      <c r="M2503">
        <v>-0.96843829999999997</v>
      </c>
      <c r="N2503">
        <v>0</v>
      </c>
      <c r="O2503">
        <v>-0.24880269999999999</v>
      </c>
      <c r="P2503">
        <v>-0.92321540000000002</v>
      </c>
      <c r="Q2503">
        <v>5.9127140000000002E-2</v>
      </c>
      <c r="R2503">
        <v>-0.37970700000000002</v>
      </c>
      <c r="S2503">
        <v>-2.5615230000000002</v>
      </c>
      <c r="T2503">
        <v>-0.54854139999999996</v>
      </c>
      <c r="U2503">
        <v>-1.7704470000000001</v>
      </c>
      <c r="V2503">
        <v>-0.13973629999999901</v>
      </c>
      <c r="W2503">
        <v>7.0682010000000003E-2</v>
      </c>
      <c r="X2503">
        <v>0.98766279999999995</v>
      </c>
      <c r="Y2503">
        <v>-0.34452120000000003</v>
      </c>
      <c r="Z2503">
        <v>1.341029E-2</v>
      </c>
      <c r="AA2503">
        <v>0.93868280000000004</v>
      </c>
      <c r="AB2503">
        <v>42</v>
      </c>
      <c r="AC2503">
        <v>-4.5802999999999603</v>
      </c>
      <c r="AD2503">
        <v>-1.03959479</v>
      </c>
      <c r="AE2503">
        <v>-3.2823999999999902</v>
      </c>
      <c r="AF2503">
        <v>-1.97231010801427</v>
      </c>
      <c r="AG2503">
        <v>-1.03959479</v>
      </c>
      <c r="AH2503">
        <v>5.0800912277751502</v>
      </c>
      <c r="AI2503">
        <v>100.800427102003</v>
      </c>
      <c r="AJ2503">
        <v>111.218355704111</v>
      </c>
      <c r="AK2503">
        <v>5.5478005887097703</v>
      </c>
      <c r="AL2503">
        <v>85.946839427156306</v>
      </c>
      <c r="AM2503">
        <v>98.052861603579601</v>
      </c>
      <c r="AN2503">
        <v>0.999999993289585</v>
      </c>
    </row>
    <row r="2504" spans="1:40" x14ac:dyDescent="0.25">
      <c r="A2504" t="str">
        <f>"20190312151035008"</f>
        <v>20190312151035008</v>
      </c>
      <c r="B2504" t="str">
        <f>"1552374635003088"</f>
        <v>1552374635003088</v>
      </c>
      <c r="C2504" t="s">
        <v>40</v>
      </c>
      <c r="D2504">
        <v>4.9604540000000004</v>
      </c>
      <c r="E2504">
        <v>0.41717599999999999</v>
      </c>
      <c r="F2504" t="s">
        <v>50</v>
      </c>
      <c r="G2504">
        <v>-478.8168</v>
      </c>
      <c r="H2504">
        <v>8.0000180000000004E-2</v>
      </c>
      <c r="I2504">
        <v>278.07130000000001</v>
      </c>
      <c r="J2504">
        <v>-474.18880000000001</v>
      </c>
      <c r="K2504">
        <v>1.119745</v>
      </c>
      <c r="L2504">
        <v>281.42630000000003</v>
      </c>
      <c r="M2504">
        <v>-0.96705180000000002</v>
      </c>
      <c r="N2504">
        <v>0</v>
      </c>
      <c r="O2504">
        <v>-0.2541371</v>
      </c>
      <c r="P2504">
        <v>-0.92058839999999997</v>
      </c>
      <c r="Q2504">
        <v>5.9370079999999999E-2</v>
      </c>
      <c r="R2504">
        <v>-0.38599519999999998</v>
      </c>
      <c r="S2504">
        <v>-2.5477910000000001</v>
      </c>
      <c r="T2504">
        <v>-0.54449930000000002</v>
      </c>
      <c r="U2504">
        <v>-1.7909550000000001</v>
      </c>
      <c r="V2504">
        <v>-0.14106679999999999</v>
      </c>
      <c r="W2504">
        <v>7.0856580000000002E-2</v>
      </c>
      <c r="X2504">
        <v>0.98746109999999998</v>
      </c>
      <c r="Y2504">
        <v>-0.34684700000000002</v>
      </c>
      <c r="Z2504">
        <v>1.406453E-2</v>
      </c>
      <c r="AA2504">
        <v>0.93781630000000005</v>
      </c>
      <c r="AB2504">
        <v>42</v>
      </c>
      <c r="AC2504">
        <v>-4.6279999999999797</v>
      </c>
      <c r="AD2504">
        <v>-1.0397448199999999</v>
      </c>
      <c r="AE2504">
        <v>-3.3550000000000102</v>
      </c>
      <c r="AF2504">
        <v>-2.0022969411928</v>
      </c>
      <c r="AG2504">
        <v>-1.0397448199999999</v>
      </c>
      <c r="AH2504">
        <v>5.1580846324275003</v>
      </c>
      <c r="AI2504">
        <v>100.64257517886099</v>
      </c>
      <c r="AJ2504">
        <v>111.215521892713</v>
      </c>
      <c r="AK2504">
        <v>5.6299288989037501</v>
      </c>
      <c r="AL2504">
        <v>85.936812028141105</v>
      </c>
      <c r="AM2504">
        <v>98.130155155377693</v>
      </c>
      <c r="AN2504">
        <v>0.99999996050237205</v>
      </c>
    </row>
    <row r="2505" spans="1:40" x14ac:dyDescent="0.25">
      <c r="A2505" t="str">
        <f>"20190312151035021"</f>
        <v>20190312151035021</v>
      </c>
      <c r="B2505" t="str">
        <f>"1552374635012847"</f>
        <v>1552374635012847</v>
      </c>
      <c r="C2505" t="s">
        <v>40</v>
      </c>
      <c r="D2505">
        <v>4.8791900000000004</v>
      </c>
      <c r="E2505">
        <v>0.41717290000000001</v>
      </c>
      <c r="F2505" t="s">
        <v>50</v>
      </c>
      <c r="G2505">
        <v>-479.05169999999998</v>
      </c>
      <c r="H2505">
        <v>8.0000039999999994E-2</v>
      </c>
      <c r="I2505">
        <v>277.94889999999998</v>
      </c>
      <c r="J2505">
        <v>-474.41460000000001</v>
      </c>
      <c r="K2505">
        <v>1.119893</v>
      </c>
      <c r="L2505">
        <v>281.36380000000003</v>
      </c>
      <c r="M2505">
        <v>-0.96568229999999999</v>
      </c>
      <c r="N2505">
        <v>0</v>
      </c>
      <c r="O2505">
        <v>-0.25929160000000001</v>
      </c>
      <c r="P2505">
        <v>-0.91834680000000002</v>
      </c>
      <c r="Q2505">
        <v>5.9447710000000001E-2</v>
      </c>
      <c r="R2505">
        <v>-0.39128649999999998</v>
      </c>
      <c r="S2505">
        <v>-2.5339659999999999</v>
      </c>
      <c r="T2505">
        <v>-0.54179600000000006</v>
      </c>
      <c r="U2505">
        <v>-1.8119810000000001</v>
      </c>
      <c r="V2505">
        <v>-0.14151240000000001</v>
      </c>
      <c r="W2505">
        <v>7.0888439999999997E-2</v>
      </c>
      <c r="X2505">
        <v>0.98739509999999997</v>
      </c>
      <c r="Y2505">
        <v>-0.34946339999999998</v>
      </c>
      <c r="Z2505">
        <v>1.468353E-2</v>
      </c>
      <c r="AA2505">
        <v>0.93683499999999997</v>
      </c>
      <c r="AB2505">
        <v>42</v>
      </c>
      <c r="AC2505">
        <v>-4.63709999999997</v>
      </c>
      <c r="AD2505">
        <v>-1.03989296</v>
      </c>
      <c r="AE2505">
        <v>-3.4149000000000398</v>
      </c>
      <c r="AF2505">
        <v>-2.02941129665414</v>
      </c>
      <c r="AG2505">
        <v>-1.03989296</v>
      </c>
      <c r="AH2505">
        <v>5.1946448880658904</v>
      </c>
      <c r="AI2505">
        <v>100.562149394115</v>
      </c>
      <c r="AJ2505">
        <v>111.339281668094</v>
      </c>
      <c r="AK2505">
        <v>5.6731140559973001</v>
      </c>
      <c r="AL2505">
        <v>85.934982171558602</v>
      </c>
      <c r="AM2505">
        <v>98.156029437194107</v>
      </c>
      <c r="AN2505">
        <v>1.0000000068917001</v>
      </c>
    </row>
    <row r="2506" spans="1:40" x14ac:dyDescent="0.25">
      <c r="A2506" t="str">
        <f>"20190312151035033"</f>
        <v>20190312151035033</v>
      </c>
      <c r="B2506" t="str">
        <f>"1552374635023583"</f>
        <v>1552374635023583</v>
      </c>
      <c r="C2506" t="s">
        <v>40</v>
      </c>
      <c r="D2506">
        <v>4.9233289999999998</v>
      </c>
      <c r="E2506">
        <v>0.4171801</v>
      </c>
      <c r="F2506" t="s">
        <v>50</v>
      </c>
      <c r="G2506">
        <v>-479.26979999999998</v>
      </c>
      <c r="H2506">
        <v>7.9999979999999998E-2</v>
      </c>
      <c r="I2506">
        <v>277.84879999999998</v>
      </c>
      <c r="J2506">
        <v>-474.64359999999999</v>
      </c>
      <c r="K2506">
        <v>1.120047</v>
      </c>
      <c r="L2506">
        <v>281.2989</v>
      </c>
      <c r="M2506">
        <v>-0.96423250000000005</v>
      </c>
      <c r="N2506">
        <v>0</v>
      </c>
      <c r="O2506">
        <v>-0.26463059999999899</v>
      </c>
      <c r="P2506">
        <v>-0.91615869999999999</v>
      </c>
      <c r="Q2506">
        <v>5.9265949999999998E-2</v>
      </c>
      <c r="R2506">
        <v>-0.39641029999999999</v>
      </c>
      <c r="S2506">
        <v>-2.5233460000000001</v>
      </c>
      <c r="T2506">
        <v>-0.54045100000000001</v>
      </c>
      <c r="U2506">
        <v>-1.826843</v>
      </c>
      <c r="V2506">
        <v>-0.14158470000000001</v>
      </c>
      <c r="W2506">
        <v>7.06706E-2</v>
      </c>
      <c r="X2506">
        <v>0.98740039999999996</v>
      </c>
      <c r="Y2506">
        <v>-0.34984789999999999</v>
      </c>
      <c r="Z2506">
        <v>1.5576080000000001E-2</v>
      </c>
      <c r="AA2506">
        <v>0.93667699999999998</v>
      </c>
      <c r="AB2506">
        <v>42</v>
      </c>
      <c r="AC2506">
        <v>-4.6261999999999803</v>
      </c>
      <c r="AD2506">
        <v>-1.04004702</v>
      </c>
      <c r="AE2506">
        <v>-3.4501000000000199</v>
      </c>
      <c r="AF2506">
        <v>-2.0365578408707599</v>
      </c>
      <c r="AG2506">
        <v>-1.04004702</v>
      </c>
      <c r="AH2506">
        <v>5.2052822539051098</v>
      </c>
      <c r="AI2506">
        <v>100.540567773115</v>
      </c>
      <c r="AJ2506">
        <v>111.367837407997</v>
      </c>
      <c r="AK2506">
        <v>5.6854400872617203</v>
      </c>
      <c r="AL2506">
        <v>85.947495063244503</v>
      </c>
      <c r="AM2506">
        <v>98.160097111501202</v>
      </c>
      <c r="AN2506">
        <v>1.0000000554493</v>
      </c>
    </row>
    <row r="2507" spans="1:40" x14ac:dyDescent="0.25">
      <c r="A2507" t="str">
        <f>"20190312151035046"</f>
        <v>20190312151035046</v>
      </c>
      <c r="B2507" t="str">
        <f>"1552374635033344"</f>
        <v>1552374635033344</v>
      </c>
      <c r="C2507" t="s">
        <v>40</v>
      </c>
      <c r="D2507">
        <v>4.9230720000000003</v>
      </c>
      <c r="E2507">
        <v>0.41724420000000001</v>
      </c>
      <c r="F2507" t="s">
        <v>50</v>
      </c>
      <c r="G2507">
        <v>-479.49979999999999</v>
      </c>
      <c r="H2507">
        <v>7.9999959999999995E-2</v>
      </c>
      <c r="I2507">
        <v>277.74079999999998</v>
      </c>
      <c r="J2507">
        <v>-474.86169999999998</v>
      </c>
      <c r="K2507">
        <v>1.120193</v>
      </c>
      <c r="L2507">
        <v>281.23570000000001</v>
      </c>
      <c r="M2507">
        <v>-0.96279440000000005</v>
      </c>
      <c r="N2507">
        <v>0</v>
      </c>
      <c r="O2507">
        <v>-0.26981509999999997</v>
      </c>
      <c r="P2507">
        <v>-0.9138423</v>
      </c>
      <c r="Q2507">
        <v>5.9417869999999998E-2</v>
      </c>
      <c r="R2507">
        <v>-0.40169890000000003</v>
      </c>
      <c r="S2507">
        <v>-2.512756</v>
      </c>
      <c r="T2507">
        <v>-0.53815100000000005</v>
      </c>
      <c r="U2507">
        <v>-1.841064</v>
      </c>
      <c r="V2507">
        <v>-0.1420121</v>
      </c>
      <c r="W2507">
        <v>7.0778579999999994E-2</v>
      </c>
      <c r="X2507">
        <v>0.98733119999999996</v>
      </c>
      <c r="Y2507">
        <v>-0.35021479999999999</v>
      </c>
      <c r="Z2507">
        <v>1.6411419999999999E-2</v>
      </c>
      <c r="AA2507">
        <v>0.93652559999999996</v>
      </c>
      <c r="AB2507">
        <v>42</v>
      </c>
      <c r="AC2507">
        <v>-4.6380999999999997</v>
      </c>
      <c r="AD2507">
        <v>-1.0401930399999999</v>
      </c>
      <c r="AE2507">
        <v>-3.4949000000000199</v>
      </c>
      <c r="AF2507">
        <v>-2.0479775114419101</v>
      </c>
      <c r="AG2507">
        <v>-1.0401930399999999</v>
      </c>
      <c r="AH2507">
        <v>5.24098634199167</v>
      </c>
      <c r="AI2507">
        <v>100.473480753684</v>
      </c>
      <c r="AJ2507">
        <v>111.343661795233</v>
      </c>
      <c r="AK2507">
        <v>5.7222505436916604</v>
      </c>
      <c r="AL2507">
        <v>85.9412923914808</v>
      </c>
      <c r="AM2507">
        <v>98.184962526764096</v>
      </c>
      <c r="AN2507">
        <v>0.99999997121333195</v>
      </c>
    </row>
    <row r="2508" spans="1:40" x14ac:dyDescent="0.25">
      <c r="A2508" t="str">
        <f>"20190312151035060"</f>
        <v>20190312151035060</v>
      </c>
      <c r="B2508" t="str">
        <f>"1552374635052863"</f>
        <v>1552374635052863</v>
      </c>
      <c r="C2508" t="s">
        <v>40</v>
      </c>
      <c r="D2508">
        <v>4.8662839999999896</v>
      </c>
      <c r="E2508">
        <v>0.41761330000000002</v>
      </c>
      <c r="F2508" t="s">
        <v>50</v>
      </c>
      <c r="G2508">
        <v>-480.0949</v>
      </c>
      <c r="H2508" s="1">
        <v>1.37507E-6</v>
      </c>
      <c r="I2508">
        <v>277.35509999999999</v>
      </c>
      <c r="J2508">
        <v>-475.10050000000001</v>
      </c>
      <c r="K2508">
        <v>1.120357</v>
      </c>
      <c r="L2508">
        <v>281.1653</v>
      </c>
      <c r="M2508">
        <v>-0.96116740000000001</v>
      </c>
      <c r="N2508">
        <v>0</v>
      </c>
      <c r="O2508">
        <v>-0.27555370000000001</v>
      </c>
      <c r="P2508">
        <v>-0.91123710000000002</v>
      </c>
      <c r="Q2508">
        <v>5.8735490000000001E-2</v>
      </c>
      <c r="R2508">
        <v>-0.4076729</v>
      </c>
      <c r="S2508">
        <v>-2.5020449999999999</v>
      </c>
      <c r="T2508">
        <v>-0.53557769999999905</v>
      </c>
      <c r="U2508">
        <v>-1.8553470000000001</v>
      </c>
      <c r="V2508">
        <v>-0.142586299999999</v>
      </c>
      <c r="W2508">
        <v>7.00456E-2</v>
      </c>
      <c r="X2508">
        <v>0.98730079999999998</v>
      </c>
      <c r="Y2508">
        <v>-0.3500856</v>
      </c>
      <c r="Z2508">
        <v>1.7375640000000001E-2</v>
      </c>
      <c r="AA2508">
        <v>0.93655659999999996</v>
      </c>
      <c r="AB2508">
        <v>42</v>
      </c>
      <c r="AC2508">
        <v>-4.9943999999999802</v>
      </c>
      <c r="AD2508">
        <v>-1.12035562493</v>
      </c>
      <c r="AE2508">
        <v>-3.8102</v>
      </c>
      <c r="AF2508">
        <v>-2.2157945627878401</v>
      </c>
      <c r="AG2508">
        <v>-1.12035562493</v>
      </c>
      <c r="AH2508">
        <v>5.6706619624999703</v>
      </c>
      <c r="AI2508">
        <v>100.426966639711</v>
      </c>
      <c r="AJ2508">
        <v>111.342927347828</v>
      </c>
      <c r="AK2508">
        <v>6.1904240051660802</v>
      </c>
      <c r="AL2508">
        <v>85.983393884167597</v>
      </c>
      <c r="AM2508">
        <v>98.217855408811303</v>
      </c>
      <c r="AN2508">
        <v>1.0000000543538401</v>
      </c>
    </row>
    <row r="2509" spans="1:40" x14ac:dyDescent="0.25">
      <c r="A2509" t="str">
        <f>"20190312151035075"</f>
        <v>20190312151035075</v>
      </c>
      <c r="B2509" t="str">
        <f>"1552374635063599"</f>
        <v>1552374635063599</v>
      </c>
      <c r="C2509" t="s">
        <v>40</v>
      </c>
      <c r="D2509">
        <v>4.9188769999999904</v>
      </c>
      <c r="E2509">
        <v>0.41767599999999999</v>
      </c>
      <c r="F2509" t="s">
        <v>50</v>
      </c>
      <c r="G2509">
        <v>-480.29570000000001</v>
      </c>
      <c r="H2509" s="1">
        <v>1.3772670000000001E-6</v>
      </c>
      <c r="I2509">
        <v>277.26639999999998</v>
      </c>
      <c r="J2509">
        <v>-475.39030000000002</v>
      </c>
      <c r="K2509">
        <v>1.1205620000000001</v>
      </c>
      <c r="L2509">
        <v>281.07749999999999</v>
      </c>
      <c r="M2509">
        <v>-0.95909180000000005</v>
      </c>
      <c r="N2509">
        <v>0</v>
      </c>
      <c r="O2509">
        <v>-0.28269109999999997</v>
      </c>
      <c r="P2509">
        <v>-0.90815080000000004</v>
      </c>
      <c r="Q2509">
        <v>5.8507829999999997E-2</v>
      </c>
      <c r="R2509">
        <v>-0.41453479999999998</v>
      </c>
      <c r="S2509">
        <v>-2.4906009999999998</v>
      </c>
      <c r="T2509">
        <v>-0.53710719999999901</v>
      </c>
      <c r="U2509">
        <v>-1.8691409999999999</v>
      </c>
      <c r="V2509">
        <v>-0.1427194</v>
      </c>
      <c r="W2509">
        <v>6.9771620000000006E-2</v>
      </c>
      <c r="X2509">
        <v>0.98730090000000004</v>
      </c>
      <c r="Y2509">
        <v>-0.348614799999999</v>
      </c>
      <c r="Z2509">
        <v>1.884796E-2</v>
      </c>
      <c r="AA2509">
        <v>0.93707660000000004</v>
      </c>
      <c r="AB2509">
        <v>42</v>
      </c>
      <c r="AC2509">
        <v>-4.9053999999999798</v>
      </c>
      <c r="AD2509">
        <v>-1.1205606227330001</v>
      </c>
      <c r="AE2509">
        <v>-3.8111000000000002</v>
      </c>
      <c r="AF2509">
        <v>-2.1972417912847799</v>
      </c>
      <c r="AG2509">
        <v>-1.1205606227330001</v>
      </c>
      <c r="AH2509">
        <v>5.6005104826450003</v>
      </c>
      <c r="AI2509">
        <v>100.551004423284</v>
      </c>
      <c r="AJ2509">
        <v>111.42150926547301</v>
      </c>
      <c r="AK2509">
        <v>6.11957884701265</v>
      </c>
      <c r="AL2509">
        <v>85.999130010251903</v>
      </c>
      <c r="AM2509">
        <v>98.225420788622699</v>
      </c>
      <c r="AN2509">
        <v>0.99999998661729705</v>
      </c>
    </row>
    <row r="2510" spans="1:40" x14ac:dyDescent="0.25">
      <c r="A2510" t="str">
        <f>"20190312151035088"</f>
        <v>20190312151035088</v>
      </c>
      <c r="B2510" t="str">
        <f>"1552374635083119"</f>
        <v>1552374635083119</v>
      </c>
      <c r="C2510" t="s">
        <v>40</v>
      </c>
      <c r="D2510">
        <v>4.8774639999999998</v>
      </c>
      <c r="E2510">
        <v>0.4179619</v>
      </c>
      <c r="F2510" t="s">
        <v>50</v>
      </c>
      <c r="G2510">
        <v>-480.55059999999997</v>
      </c>
      <c r="H2510" s="1">
        <v>1.3785879999999999E-6</v>
      </c>
      <c r="I2510">
        <v>277.1456</v>
      </c>
      <c r="J2510">
        <v>-475.62380000000002</v>
      </c>
      <c r="K2510">
        <v>1.120722</v>
      </c>
      <c r="L2510">
        <v>281.00459999999998</v>
      </c>
      <c r="M2510">
        <v>-0.95733990000000002</v>
      </c>
      <c r="N2510">
        <v>0</v>
      </c>
      <c r="O2510">
        <v>-0.28856730000000003</v>
      </c>
      <c r="P2510">
        <v>-0.90520719999999999</v>
      </c>
      <c r="Q2510">
        <v>5.7478870000000001E-2</v>
      </c>
      <c r="R2510">
        <v>-0.42106539999999998</v>
      </c>
      <c r="S2510">
        <v>-2.4766849999999998</v>
      </c>
      <c r="T2510">
        <v>-0.5378174</v>
      </c>
      <c r="U2510">
        <v>-1.8871150000000001</v>
      </c>
      <c r="V2510">
        <v>-0.14376040000000001</v>
      </c>
      <c r="W2510">
        <v>6.8679409999999996E-2</v>
      </c>
      <c r="X2510">
        <v>0.98722650000000001</v>
      </c>
      <c r="Y2510">
        <v>-0.34976780000000002</v>
      </c>
      <c r="Z2510">
        <v>1.9830549999999999E-2</v>
      </c>
      <c r="AA2510">
        <v>0.93662650000000003</v>
      </c>
      <c r="AB2510">
        <v>42</v>
      </c>
      <c r="AC2510">
        <v>-4.9267999999999503</v>
      </c>
      <c r="AD2510">
        <v>-1.120720621412</v>
      </c>
      <c r="AE2510">
        <v>-3.85899999999998</v>
      </c>
      <c r="AF2510">
        <v>-2.2022950395187801</v>
      </c>
      <c r="AG2510">
        <v>-1.120720621412</v>
      </c>
      <c r="AH2510">
        <v>5.6496883590702698</v>
      </c>
      <c r="AI2510">
        <v>100.471411003193</v>
      </c>
      <c r="AJ2510">
        <v>111.296246147302</v>
      </c>
      <c r="AK2510">
        <v>6.1664492787147198</v>
      </c>
      <c r="AL2510">
        <v>86.061859726617797</v>
      </c>
      <c r="AM2510">
        <v>98.285203158288297</v>
      </c>
      <c r="AN2510">
        <v>1.00000003813417</v>
      </c>
    </row>
    <row r="2511" spans="1:40" x14ac:dyDescent="0.25">
      <c r="A2511" t="str">
        <f>"20190312151035104"</f>
        <v>20190312151035104</v>
      </c>
      <c r="B2511" t="str">
        <f>"1552374635092879"</f>
        <v>1552374635092879</v>
      </c>
      <c r="C2511" t="s">
        <v>40</v>
      </c>
      <c r="D2511">
        <v>4.8686740000000004</v>
      </c>
      <c r="E2511">
        <v>0.41812510000000003</v>
      </c>
      <c r="F2511" t="s">
        <v>50</v>
      </c>
      <c r="G2511">
        <v>-480.75650000000002</v>
      </c>
      <c r="H2511" s="1">
        <v>1.378828E-6</v>
      </c>
      <c r="I2511">
        <v>277.04320000000001</v>
      </c>
      <c r="J2511">
        <v>-475.8997</v>
      </c>
      <c r="K2511">
        <v>1.1209089999999999</v>
      </c>
      <c r="L2511">
        <v>280.9169</v>
      </c>
      <c r="M2511">
        <v>-0.9551868</v>
      </c>
      <c r="N2511">
        <v>0</v>
      </c>
      <c r="O2511">
        <v>-0.29561500000000002</v>
      </c>
      <c r="P2511">
        <v>-0.90182689999999999</v>
      </c>
      <c r="Q2511">
        <v>5.7229629999999997E-2</v>
      </c>
      <c r="R2511">
        <v>-0.42829139999999999</v>
      </c>
      <c r="S2511">
        <v>-2.4638059999999999</v>
      </c>
      <c r="T2511">
        <v>-0.53796909999999998</v>
      </c>
      <c r="U2511">
        <v>-1.9015500000000001</v>
      </c>
      <c r="V2511">
        <v>-0.14440220000000001</v>
      </c>
      <c r="W2511">
        <v>6.8371630000000003E-2</v>
      </c>
      <c r="X2511">
        <v>0.98715410000000003</v>
      </c>
      <c r="Y2511">
        <v>-0.348775</v>
      </c>
      <c r="Z2511">
        <v>2.1209450000000001E-2</v>
      </c>
      <c r="AA2511">
        <v>0.93696650000000004</v>
      </c>
      <c r="AB2511">
        <v>42</v>
      </c>
      <c r="AC2511">
        <v>-4.8568000000000202</v>
      </c>
      <c r="AD2511">
        <v>-1.1209076211719999</v>
      </c>
      <c r="AE2511">
        <v>-3.8736999999999799</v>
      </c>
      <c r="AF2511">
        <v>-2.19322391299109</v>
      </c>
      <c r="AG2511">
        <v>-1.1209076211719999</v>
      </c>
      <c r="AH2511">
        <v>5.60254863356292</v>
      </c>
      <c r="AI2511">
        <v>100.55345821743801</v>
      </c>
      <c r="AJ2511">
        <v>111.378801235838</v>
      </c>
      <c r="AK2511">
        <v>6.1200666842081999</v>
      </c>
      <c r="AL2511">
        <v>86.0795354097976</v>
      </c>
      <c r="AM2511">
        <v>98.322276316104507</v>
      </c>
      <c r="AN2511">
        <v>0.99999994615025201</v>
      </c>
    </row>
    <row r="2512" spans="1:40" x14ac:dyDescent="0.25">
      <c r="A2512" t="str">
        <f>"20190312151035118"</f>
        <v>20190312151035118</v>
      </c>
      <c r="B2512" t="str">
        <f>"1552374635113375"</f>
        <v>1552374635113375</v>
      </c>
      <c r="C2512" t="s">
        <v>40</v>
      </c>
      <c r="D2512">
        <v>4.8544369999999999</v>
      </c>
      <c r="E2512">
        <v>0.41849449999999999</v>
      </c>
      <c r="F2512" t="s">
        <v>50</v>
      </c>
      <c r="G2512">
        <v>-481.01560000000001</v>
      </c>
      <c r="H2512" s="1">
        <v>1.3777109999999901E-6</v>
      </c>
      <c r="I2512">
        <v>276.90640000000002</v>
      </c>
      <c r="J2512">
        <v>-476.15570000000002</v>
      </c>
      <c r="K2512">
        <v>1.1210850000000001</v>
      </c>
      <c r="L2512">
        <v>280.83370000000002</v>
      </c>
      <c r="M2512">
        <v>-0.95310539999999999</v>
      </c>
      <c r="N2512">
        <v>0</v>
      </c>
      <c r="O2512">
        <v>-0.3022569</v>
      </c>
      <c r="P2512">
        <v>-0.89859869999999997</v>
      </c>
      <c r="Q2512">
        <v>5.7025819999999998E-2</v>
      </c>
      <c r="R2512">
        <v>-0.4350502</v>
      </c>
      <c r="S2512">
        <v>-2.4489139999999998</v>
      </c>
      <c r="T2512">
        <v>-0.53656219999999999</v>
      </c>
      <c r="U2512">
        <v>-1.9197690000000001</v>
      </c>
      <c r="V2512">
        <v>-0.14496389999999901</v>
      </c>
      <c r="W2512">
        <v>6.8112829999999999E-2</v>
      </c>
      <c r="X2512">
        <v>0.98708969999999896</v>
      </c>
      <c r="Y2512">
        <v>-0.34941739999999999</v>
      </c>
      <c r="Z2512">
        <v>2.2300799999999999E-2</v>
      </c>
      <c r="AA2512">
        <v>0.93670180000000003</v>
      </c>
      <c r="AB2512">
        <v>42</v>
      </c>
      <c r="AC2512">
        <v>-4.8598999999999801</v>
      </c>
      <c r="AD2512">
        <v>-1.1210836222889999</v>
      </c>
      <c r="AE2512">
        <v>-3.9272999999999998</v>
      </c>
      <c r="AF2512">
        <v>-2.20352057608515</v>
      </c>
      <c r="AG2512">
        <v>-1.1210836222889999</v>
      </c>
      <c r="AH2512">
        <v>5.6382198300161299</v>
      </c>
      <c r="AI2512">
        <v>100.49204988993699</v>
      </c>
      <c r="AJ2512">
        <v>111.34647729514499</v>
      </c>
      <c r="AK2512">
        <v>6.1564481861689</v>
      </c>
      <c r="AL2512">
        <v>86.094398350478002</v>
      </c>
      <c r="AM2512">
        <v>98.354729898525406</v>
      </c>
      <c r="AN2512">
        <v>0.99999998287995395</v>
      </c>
    </row>
    <row r="2513" spans="1:40" x14ac:dyDescent="0.25">
      <c r="A2513" t="str">
        <f>"20190312151035130"</f>
        <v>20190312151035130</v>
      </c>
      <c r="B2513" t="str">
        <f>"1552374635123136"</f>
        <v>1552374635123136</v>
      </c>
      <c r="C2513" t="s">
        <v>40</v>
      </c>
      <c r="D2513">
        <v>4.8289559999999998</v>
      </c>
      <c r="E2513">
        <v>0.41868260000000002</v>
      </c>
      <c r="F2513" t="s">
        <v>50</v>
      </c>
      <c r="G2513">
        <v>-481.25990000000002</v>
      </c>
      <c r="H2513" s="1">
        <v>1.3769749999999899E-6</v>
      </c>
      <c r="I2513">
        <v>276.7792</v>
      </c>
      <c r="J2513">
        <v>-476.37569999999999</v>
      </c>
      <c r="K2513">
        <v>1.1212329999999999</v>
      </c>
      <c r="L2513">
        <v>280.76</v>
      </c>
      <c r="M2513">
        <v>-0.95123219999999997</v>
      </c>
      <c r="N2513">
        <v>0</v>
      </c>
      <c r="O2513">
        <v>-0.30810029999999999</v>
      </c>
      <c r="P2513">
        <v>-0.8953738</v>
      </c>
      <c r="Q2513">
        <v>5.6318600000000003E-2</v>
      </c>
      <c r="R2513">
        <v>-0.44174020000000003</v>
      </c>
      <c r="S2513">
        <v>-2.435791</v>
      </c>
      <c r="T2513">
        <v>-0.53498959999999995</v>
      </c>
      <c r="U2513">
        <v>-1.9348449999999999</v>
      </c>
      <c r="V2513">
        <v>-0.14626259999999999</v>
      </c>
      <c r="W2513">
        <v>6.7336409999999999E-2</v>
      </c>
      <c r="X2513">
        <v>0.98695140000000003</v>
      </c>
      <c r="Y2513">
        <v>-0.34975430000000002</v>
      </c>
      <c r="Z2513">
        <v>2.326727E-2</v>
      </c>
      <c r="AA2513">
        <v>0.93655250000000001</v>
      </c>
      <c r="AB2513">
        <v>42</v>
      </c>
      <c r="AC2513">
        <v>-4.8842000000000203</v>
      </c>
      <c r="AD2513">
        <v>-1.1212316230249999</v>
      </c>
      <c r="AE2513">
        <v>-3.9807999999999799</v>
      </c>
      <c r="AF2513">
        <v>-2.2120614168490902</v>
      </c>
      <c r="AG2513">
        <v>-1.1212316230249999</v>
      </c>
      <c r="AH2513">
        <v>5.6929092029479396</v>
      </c>
      <c r="AI2513">
        <v>100.40256352214701</v>
      </c>
      <c r="AJ2513">
        <v>111.23435047735499</v>
      </c>
      <c r="AK2513">
        <v>6.2096369666344504</v>
      </c>
      <c r="AL2513">
        <v>86.138986391394894</v>
      </c>
      <c r="AM2513">
        <v>98.429671730175102</v>
      </c>
      <c r="AN2513">
        <v>1.0000000031162</v>
      </c>
    </row>
    <row r="2514" spans="1:40" x14ac:dyDescent="0.25">
      <c r="A2514" t="str">
        <f>"20190312151035143"</f>
        <v>20190312151035143</v>
      </c>
      <c r="B2514" t="str">
        <f>"1552374635132895"</f>
        <v>1552374635132895</v>
      </c>
      <c r="C2514" t="s">
        <v>40</v>
      </c>
      <c r="D2514">
        <v>4.8409370000000003</v>
      </c>
      <c r="E2514">
        <v>0.41884929999999898</v>
      </c>
      <c r="F2514" t="s">
        <v>50</v>
      </c>
      <c r="G2514">
        <v>-481.4461</v>
      </c>
      <c r="H2514" s="1">
        <v>1.375371E-6</v>
      </c>
      <c r="I2514">
        <v>276.67630000000003</v>
      </c>
      <c r="J2514">
        <v>-476.5856</v>
      </c>
      <c r="K2514">
        <v>1.1213709999999999</v>
      </c>
      <c r="L2514">
        <v>280.68860000000001</v>
      </c>
      <c r="M2514">
        <v>-0.94939119999999999</v>
      </c>
      <c r="N2514">
        <v>0</v>
      </c>
      <c r="O2514">
        <v>-0.3137259</v>
      </c>
      <c r="P2514">
        <v>-0.89256589999999902</v>
      </c>
      <c r="Q2514">
        <v>5.5960309999999999E-2</v>
      </c>
      <c r="R2514">
        <v>-0.44743080000000002</v>
      </c>
      <c r="S2514">
        <v>-2.4219059999999999</v>
      </c>
      <c r="T2514">
        <v>-0.53556630000000005</v>
      </c>
      <c r="U2514">
        <v>-1.9505920000000001</v>
      </c>
      <c r="V2514">
        <v>-0.14671039999999999</v>
      </c>
      <c r="W2514">
        <v>6.6935359999999999E-2</v>
      </c>
      <c r="X2514">
        <v>0.98691220000000002</v>
      </c>
      <c r="Y2514">
        <v>-0.3505838</v>
      </c>
      <c r="Z2514">
        <v>2.4242699999999999E-2</v>
      </c>
      <c r="AA2514">
        <v>0.93621750000000004</v>
      </c>
      <c r="AB2514">
        <v>42</v>
      </c>
      <c r="AC2514">
        <v>-4.8605</v>
      </c>
      <c r="AD2514">
        <v>-1.1213696246289999</v>
      </c>
      <c r="AE2514">
        <v>-4.0122999999999802</v>
      </c>
      <c r="AF2514">
        <v>-2.2145397084371199</v>
      </c>
      <c r="AG2514">
        <v>-1.1213696246289999</v>
      </c>
      <c r="AH2514">
        <v>5.6937208112475197</v>
      </c>
      <c r="AI2514">
        <v>100.401059966886</v>
      </c>
      <c r="AJ2514">
        <v>111.253258430247</v>
      </c>
      <c r="AK2514">
        <v>6.2112891280086497</v>
      </c>
      <c r="AL2514">
        <v>86.162016762977004</v>
      </c>
      <c r="AM2514">
        <v>98.455438636116298</v>
      </c>
      <c r="AN2514">
        <v>0.99999998719766403</v>
      </c>
    </row>
    <row r="2515" spans="1:40" x14ac:dyDescent="0.25">
      <c r="A2515" t="str">
        <f>"20190312151035155"</f>
        <v>20190312151035155</v>
      </c>
      <c r="B2515" t="str">
        <f>"1552374635143632"</f>
        <v>1552374635143632</v>
      </c>
      <c r="C2515" t="s">
        <v>40</v>
      </c>
      <c r="D2515">
        <v>4.8458800000000002</v>
      </c>
      <c r="E2515">
        <v>0.41901389999999999</v>
      </c>
      <c r="F2515" t="s">
        <v>50</v>
      </c>
      <c r="G2515">
        <v>-481.64060000000001</v>
      </c>
      <c r="H2515" s="1">
        <v>1.3733499999999999E-6</v>
      </c>
      <c r="I2515">
        <v>276.56689999999998</v>
      </c>
      <c r="J2515">
        <v>-476.80990000000003</v>
      </c>
      <c r="K2515">
        <v>1.1215189999999999</v>
      </c>
      <c r="L2515">
        <v>280.61090000000002</v>
      </c>
      <c r="M2515">
        <v>-0.94735829999999999</v>
      </c>
      <c r="N2515">
        <v>0</v>
      </c>
      <c r="O2515">
        <v>-0.31981179999999998</v>
      </c>
      <c r="P2515">
        <v>-0.8893856</v>
      </c>
      <c r="Q2515">
        <v>5.5417050000000002E-2</v>
      </c>
      <c r="R2515">
        <v>-0.45378679999999899</v>
      </c>
      <c r="S2515">
        <v>-2.409729</v>
      </c>
      <c r="T2515">
        <v>-0.53455810000000004</v>
      </c>
      <c r="U2515">
        <v>-1.9648129999999999</v>
      </c>
      <c r="V2515">
        <v>-0.1474174</v>
      </c>
      <c r="W2515">
        <v>6.6339670000000003E-2</v>
      </c>
      <c r="X2515">
        <v>0.98684709999999998</v>
      </c>
      <c r="Y2515">
        <v>-0.35029440000000001</v>
      </c>
      <c r="Z2515">
        <v>2.5327570000000001E-2</v>
      </c>
      <c r="AA2515">
        <v>0.93629720000000005</v>
      </c>
      <c r="AB2515">
        <v>42</v>
      </c>
      <c r="AC2515">
        <v>-4.83069999999997</v>
      </c>
      <c r="AD2515">
        <v>-1.12151762665</v>
      </c>
      <c r="AE2515">
        <v>-4.0440000000000396</v>
      </c>
      <c r="AF2515">
        <v>-2.21623352266705</v>
      </c>
      <c r="AG2515">
        <v>-1.12151762665</v>
      </c>
      <c r="AH2515">
        <v>5.6900814275899902</v>
      </c>
      <c r="AI2515">
        <v>100.407030372752</v>
      </c>
      <c r="AJ2515">
        <v>111.28044853696299</v>
      </c>
      <c r="AK2515">
        <v>6.2085843367457301</v>
      </c>
      <c r="AL2515">
        <v>86.196223445184799</v>
      </c>
      <c r="AM2515">
        <v>98.496144577196006</v>
      </c>
      <c r="AN2515">
        <v>1.00000002020843</v>
      </c>
    </row>
    <row r="2516" spans="1:40" x14ac:dyDescent="0.25">
      <c r="A2516" t="str">
        <f>"20190312151035168"</f>
        <v>20190312151035168</v>
      </c>
      <c r="B2516" t="str">
        <f>"1552374635163151"</f>
        <v>1552374635163151</v>
      </c>
      <c r="C2516" t="s">
        <v>40</v>
      </c>
      <c r="D2516">
        <v>4.8321399999999999</v>
      </c>
      <c r="E2516">
        <v>0.41940680000000002</v>
      </c>
      <c r="F2516" t="s">
        <v>50</v>
      </c>
      <c r="G2516">
        <v>-481.8313</v>
      </c>
      <c r="H2516" s="1">
        <v>1.371081E-6</v>
      </c>
      <c r="I2516">
        <v>276.45800000000003</v>
      </c>
      <c r="J2516">
        <v>-477.0222</v>
      </c>
      <c r="K2516">
        <v>1.121656</v>
      </c>
      <c r="L2516">
        <v>280.53530000000001</v>
      </c>
      <c r="M2516">
        <v>-0.94535579999999997</v>
      </c>
      <c r="N2516">
        <v>0</v>
      </c>
      <c r="O2516">
        <v>-0.32568190000000002</v>
      </c>
      <c r="P2516">
        <v>-0.88631190000000004</v>
      </c>
      <c r="Q2516">
        <v>5.5095869999999998E-2</v>
      </c>
      <c r="R2516">
        <v>-0.45979940000000002</v>
      </c>
      <c r="S2516">
        <v>-2.3955690000000001</v>
      </c>
      <c r="T2516">
        <v>-0.53504229999999997</v>
      </c>
      <c r="U2516">
        <v>-1.9812320000000001</v>
      </c>
      <c r="V2516">
        <v>-0.14798800000000001</v>
      </c>
      <c r="W2516">
        <v>6.5972359999999994E-2</v>
      </c>
      <c r="X2516">
        <v>0.98678630000000001</v>
      </c>
      <c r="Y2516">
        <v>-0.35107680000000002</v>
      </c>
      <c r="Z2516">
        <v>2.634819E-2</v>
      </c>
      <c r="AA2516">
        <v>0.93597589999999997</v>
      </c>
      <c r="AB2516">
        <v>42</v>
      </c>
      <c r="AC2516">
        <v>-4.8090999999999999</v>
      </c>
      <c r="AD2516">
        <v>-1.1216546289189999</v>
      </c>
      <c r="AE2516">
        <v>-4.0773000000000303</v>
      </c>
      <c r="AF2516">
        <v>-2.2183219375290899</v>
      </c>
      <c r="AG2516">
        <v>-1.1216546289189999</v>
      </c>
      <c r="AH2516">
        <v>5.6946688241554799</v>
      </c>
      <c r="AI2516">
        <v>100.39989017363</v>
      </c>
      <c r="AJ2516">
        <v>111.28308385714401</v>
      </c>
      <c r="AK2516">
        <v>6.2135589111157996</v>
      </c>
      <c r="AL2516">
        <v>86.217314890818699</v>
      </c>
      <c r="AM2516">
        <v>98.529065165474506</v>
      </c>
      <c r="AN2516">
        <v>1.0000000011478201</v>
      </c>
    </row>
    <row r="2517" spans="1:40" x14ac:dyDescent="0.25">
      <c r="A2517" t="str">
        <f>"20190312151035180"</f>
        <v>20190312151035180</v>
      </c>
      <c r="B2517" t="str">
        <f>"1552374635172912"</f>
        <v>1552374635172912</v>
      </c>
      <c r="C2517" t="s">
        <v>40</v>
      </c>
      <c r="D2517">
        <v>4.8034339999999904</v>
      </c>
      <c r="E2517">
        <v>0.4195662</v>
      </c>
      <c r="F2517" t="s">
        <v>50</v>
      </c>
      <c r="G2517">
        <v>-482.03949999999998</v>
      </c>
      <c r="H2517" s="1">
        <v>1.36816E-6</v>
      </c>
      <c r="I2517">
        <v>276.33659999999998</v>
      </c>
      <c r="J2517">
        <v>-477.24470000000002</v>
      </c>
      <c r="K2517">
        <v>1.121799</v>
      </c>
      <c r="L2517">
        <v>280.45510000000002</v>
      </c>
      <c r="M2517">
        <v>-0.94319830000000004</v>
      </c>
      <c r="N2517">
        <v>0</v>
      </c>
      <c r="O2517">
        <v>-0.33187749999999999</v>
      </c>
      <c r="P2517">
        <v>-0.88297159999999997</v>
      </c>
      <c r="Q2517">
        <v>5.4965779999999999E-2</v>
      </c>
      <c r="R2517">
        <v>-0.46619719999999998</v>
      </c>
      <c r="S2517">
        <v>-2.3832399999999998</v>
      </c>
      <c r="T2517">
        <v>-0.53279350000000003</v>
      </c>
      <c r="U2517">
        <v>-1.9944459999999999</v>
      </c>
      <c r="V2517">
        <v>-0.14866879999999999</v>
      </c>
      <c r="W2517">
        <v>6.5790150000000006E-2</v>
      </c>
      <c r="X2517">
        <v>0.98669609999999996</v>
      </c>
      <c r="Y2517">
        <v>-0.3504584</v>
      </c>
      <c r="Z2517">
        <v>2.7421899999999999E-2</v>
      </c>
      <c r="AA2517">
        <v>0.93617680000000003</v>
      </c>
      <c r="AB2517">
        <v>42</v>
      </c>
      <c r="AC2517">
        <v>-4.7947999999999498</v>
      </c>
      <c r="AD2517">
        <v>-1.12179763184</v>
      </c>
      <c r="AE2517">
        <v>-4.11850000000004</v>
      </c>
      <c r="AF2517">
        <v>-2.2235076592017502</v>
      </c>
      <c r="AG2517">
        <v>-1.12179763184</v>
      </c>
      <c r="AH2517">
        <v>5.71011506715592</v>
      </c>
      <c r="AI2517">
        <v>100.374162524401</v>
      </c>
      <c r="AJ2517">
        <v>111.27584146584999</v>
      </c>
      <c r="AK2517">
        <v>6.2295931101069302</v>
      </c>
      <c r="AL2517">
        <v>86.227777385732594</v>
      </c>
      <c r="AM2517">
        <v>98.568492652597399</v>
      </c>
      <c r="AN2517">
        <v>0.99999997484283598</v>
      </c>
    </row>
    <row r="2518" spans="1:40" x14ac:dyDescent="0.25">
      <c r="A2518" t="str">
        <f>"20190312151035192"</f>
        <v>20190312151035192</v>
      </c>
      <c r="B2518" t="str">
        <f>"1552374635183647"</f>
        <v>1552374635183647</v>
      </c>
      <c r="C2518" t="s">
        <v>40</v>
      </c>
      <c r="D2518">
        <v>4.8025180000000001</v>
      </c>
      <c r="E2518">
        <v>0.41974539999999999</v>
      </c>
      <c r="F2518" t="s">
        <v>50</v>
      </c>
      <c r="G2518">
        <v>-482.24</v>
      </c>
      <c r="H2518" s="1">
        <v>1.364613E-6</v>
      </c>
      <c r="I2518">
        <v>276.21539999999999</v>
      </c>
      <c r="J2518">
        <v>-477.44920000000002</v>
      </c>
      <c r="K2518">
        <v>1.121929</v>
      </c>
      <c r="L2518">
        <v>280.37950000000001</v>
      </c>
      <c r="M2518">
        <v>-0.94113979999999997</v>
      </c>
      <c r="N2518">
        <v>0</v>
      </c>
      <c r="O2518">
        <v>-0.33766990000000002</v>
      </c>
      <c r="P2518">
        <v>-0.87986790000000004</v>
      </c>
      <c r="Q2518">
        <v>5.4609360000000003E-2</v>
      </c>
      <c r="R2518">
        <v>-0.4720702</v>
      </c>
      <c r="S2518">
        <v>-2.3690799999999999</v>
      </c>
      <c r="T2518">
        <v>-0.53201940000000003</v>
      </c>
      <c r="U2518">
        <v>-2.0107119999999998</v>
      </c>
      <c r="V2518">
        <v>-0.1491817</v>
      </c>
      <c r="W2518">
        <v>6.5390459999999997E-2</v>
      </c>
      <c r="X2518">
        <v>0.98664529999999995</v>
      </c>
      <c r="Y2518">
        <v>-0.35126059999999998</v>
      </c>
      <c r="Z2518">
        <v>2.8361319999999999E-2</v>
      </c>
      <c r="AA2518">
        <v>0.93584809999999996</v>
      </c>
      <c r="AB2518">
        <v>42</v>
      </c>
      <c r="AC2518">
        <v>-4.7907999999999902</v>
      </c>
      <c r="AD2518">
        <v>-1.121927635387</v>
      </c>
      <c r="AE2518">
        <v>-4.1641000000000101</v>
      </c>
      <c r="AF2518">
        <v>-2.2318381611937301</v>
      </c>
      <c r="AG2518">
        <v>-1.121927635387</v>
      </c>
      <c r="AH2518">
        <v>5.7363915972614201</v>
      </c>
      <c r="AI2518">
        <v>100.329970390711</v>
      </c>
      <c r="AJ2518">
        <v>111.259347623431</v>
      </c>
      <c r="AK2518">
        <v>6.2566773733297998</v>
      </c>
      <c r="AL2518">
        <v>86.2507275255211</v>
      </c>
      <c r="AM2518">
        <v>98.598048570156195</v>
      </c>
      <c r="AN2518">
        <v>1.0000000199429899</v>
      </c>
    </row>
    <row r="2519" spans="1:40" x14ac:dyDescent="0.25">
      <c r="A2519" t="str">
        <f>"20190312151035205"</f>
        <v>20190312151035205</v>
      </c>
      <c r="B2519" t="str">
        <f>"1552374635193408"</f>
        <v>1552374635193408</v>
      </c>
      <c r="C2519" t="s">
        <v>40</v>
      </c>
      <c r="D2519">
        <v>4.8261159999999999</v>
      </c>
      <c r="E2519">
        <v>0.41995850000000001</v>
      </c>
      <c r="F2519" t="s">
        <v>50</v>
      </c>
      <c r="G2519">
        <v>-482.43180000000001</v>
      </c>
      <c r="H2519" s="1">
        <v>1.360548E-6</v>
      </c>
      <c r="I2519">
        <v>276.0958</v>
      </c>
      <c r="J2519">
        <v>-477.66829999999999</v>
      </c>
      <c r="K2519">
        <v>1.1220650000000001</v>
      </c>
      <c r="L2519">
        <v>280.29700000000003</v>
      </c>
      <c r="M2519">
        <v>-0.93886599999999998</v>
      </c>
      <c r="N2519">
        <v>0</v>
      </c>
      <c r="O2519">
        <v>-0.34394019999999997</v>
      </c>
      <c r="P2519">
        <v>-0.87637739999999997</v>
      </c>
      <c r="Q2519">
        <v>5.4554789999999999E-2</v>
      </c>
      <c r="R2519">
        <v>-0.47852539999999999</v>
      </c>
      <c r="S2519">
        <v>-2.355804</v>
      </c>
      <c r="T2519">
        <v>-0.53045549999999997</v>
      </c>
      <c r="U2519">
        <v>-2.0253909999999999</v>
      </c>
      <c r="V2519">
        <v>-0.1498739</v>
      </c>
      <c r="W2519">
        <v>6.5285300000000004E-2</v>
      </c>
      <c r="X2519">
        <v>0.98654739999999996</v>
      </c>
      <c r="Y2519">
        <v>-0.35105769999999997</v>
      </c>
      <c r="Z2519">
        <v>2.9433109999999998E-2</v>
      </c>
      <c r="AA2519">
        <v>0.93589109999999998</v>
      </c>
      <c r="AB2519">
        <v>42</v>
      </c>
      <c r="AC2519">
        <v>-4.7635000000000201</v>
      </c>
      <c r="AD2519">
        <v>-1.1220636394519901</v>
      </c>
      <c r="AE2519">
        <v>-4.2012000000000196</v>
      </c>
      <c r="AF2519">
        <v>-2.2364770423328699</v>
      </c>
      <c r="AG2519">
        <v>-1.1220636394519901</v>
      </c>
      <c r="AH2519">
        <v>5.7388405411211298</v>
      </c>
      <c r="AI2519">
        <v>100.32468762120401</v>
      </c>
      <c r="AJ2519">
        <v>111.291303655783</v>
      </c>
      <c r="AK2519">
        <v>6.2606027767522301</v>
      </c>
      <c r="AL2519">
        <v>86.256765818404105</v>
      </c>
      <c r="AM2519">
        <v>98.638187211353596</v>
      </c>
      <c r="AN2519">
        <v>1.0000000643720199</v>
      </c>
    </row>
    <row r="2520" spans="1:40" x14ac:dyDescent="0.25">
      <c r="A2520" t="str">
        <f>"20190312151035216"</f>
        <v>20190312151035216</v>
      </c>
      <c r="B2520" t="str">
        <f>"1552374635212927"</f>
        <v>1552374635212927</v>
      </c>
      <c r="C2520" t="s">
        <v>40</v>
      </c>
      <c r="D2520">
        <v>4.7826000000000004</v>
      </c>
      <c r="E2520">
        <v>0.42043730000000001</v>
      </c>
      <c r="F2520" t="s">
        <v>50</v>
      </c>
      <c r="G2520">
        <v>-482.63459999999998</v>
      </c>
      <c r="H2520" s="1">
        <v>1.3558260000000001E-6</v>
      </c>
      <c r="I2520">
        <v>275.96679999999998</v>
      </c>
      <c r="J2520">
        <v>-477.87450000000001</v>
      </c>
      <c r="K2520">
        <v>1.122193</v>
      </c>
      <c r="L2520">
        <v>280.2183</v>
      </c>
      <c r="M2520">
        <v>-0.93666760000000004</v>
      </c>
      <c r="N2520">
        <v>0</v>
      </c>
      <c r="O2520">
        <v>-0.34988239999999998</v>
      </c>
      <c r="P2520">
        <v>-0.873054199999999</v>
      </c>
      <c r="Q2520">
        <v>5.4124419999999999E-2</v>
      </c>
      <c r="R2520">
        <v>-0.4846104</v>
      </c>
      <c r="S2520">
        <v>-2.3414000000000001</v>
      </c>
      <c r="T2520">
        <v>-0.52899669999999999</v>
      </c>
      <c r="U2520">
        <v>-2.0414729999999999</v>
      </c>
      <c r="V2520">
        <v>-0.1504858</v>
      </c>
      <c r="W2520">
        <v>6.4808039999999997E-2</v>
      </c>
      <c r="X2520">
        <v>0.98648570000000002</v>
      </c>
      <c r="Y2520">
        <v>-0.35169509999999998</v>
      </c>
      <c r="Z2520">
        <v>3.0371490000000001E-2</v>
      </c>
      <c r="AA2520">
        <v>0.93562179999999995</v>
      </c>
      <c r="AB2520">
        <v>42</v>
      </c>
      <c r="AC2520">
        <v>-4.7600999999999596</v>
      </c>
      <c r="AD2520">
        <v>-1.1221916441740001</v>
      </c>
      <c r="AE2520">
        <v>-4.2515000000000196</v>
      </c>
      <c r="AF2520">
        <v>-2.2475558831592299</v>
      </c>
      <c r="AG2520">
        <v>-1.1221916441740001</v>
      </c>
      <c r="AH2520">
        <v>5.7685207160802801</v>
      </c>
      <c r="AI2520">
        <v>100.27413363584699</v>
      </c>
      <c r="AJ2520">
        <v>111.28709739891499</v>
      </c>
      <c r="AK2520">
        <v>6.2917924938784298</v>
      </c>
      <c r="AL2520">
        <v>86.284168770128503</v>
      </c>
      <c r="AM2520">
        <v>98.673453903048497</v>
      </c>
      <c r="AN2520">
        <v>1.00000004717738</v>
      </c>
    </row>
    <row r="2521" spans="1:40" x14ac:dyDescent="0.25">
      <c r="A2521" t="str">
        <f>"20190312151035232"</f>
        <v>20190312151035232</v>
      </c>
      <c r="B2521" t="str">
        <f>"1552374635223663"</f>
        <v>1552374635223663</v>
      </c>
      <c r="C2521" t="s">
        <v>40</v>
      </c>
      <c r="D2521">
        <v>4.7778510000000001</v>
      </c>
      <c r="E2521">
        <v>0.42070590000000002</v>
      </c>
      <c r="F2521" t="s">
        <v>50</v>
      </c>
      <c r="G2521">
        <v>-482.83629999999999</v>
      </c>
      <c r="H2521" s="1">
        <v>1.351533E-6</v>
      </c>
      <c r="I2521">
        <v>275.84089999999998</v>
      </c>
      <c r="J2521">
        <v>-478.13869999999997</v>
      </c>
      <c r="K2521">
        <v>1.122352</v>
      </c>
      <c r="L2521">
        <v>280.11430000000001</v>
      </c>
      <c r="M2521">
        <v>-0.93373399999999995</v>
      </c>
      <c r="N2521">
        <v>0</v>
      </c>
      <c r="O2521">
        <v>-0.35763610000000001</v>
      </c>
      <c r="P2521">
        <v>-0.868349699999999</v>
      </c>
      <c r="Q2521">
        <v>5.3450310000000001E-2</v>
      </c>
      <c r="R2521">
        <v>-0.4930639</v>
      </c>
      <c r="S2521">
        <v>-2.3285520000000002</v>
      </c>
      <c r="T2521">
        <v>-0.52663769999999999</v>
      </c>
      <c r="U2521">
        <v>-2.0543209999999998</v>
      </c>
      <c r="V2521">
        <v>-0.1518765</v>
      </c>
      <c r="W2521">
        <v>6.4056210000000002E-2</v>
      </c>
      <c r="X2521">
        <v>0.98632160000000002</v>
      </c>
      <c r="Y2521">
        <v>-0.34951959999999999</v>
      </c>
      <c r="Z2521">
        <v>3.1830869999999997E-2</v>
      </c>
      <c r="AA2521">
        <v>0.9363882</v>
      </c>
      <c r="AB2521">
        <v>42</v>
      </c>
      <c r="AC2521">
        <v>-4.69760000000002</v>
      </c>
      <c r="AD2521">
        <v>-1.1223506484670001</v>
      </c>
      <c r="AE2521">
        <v>-4.2734000000000298</v>
      </c>
      <c r="AF2521">
        <v>-2.2404811621382299</v>
      </c>
      <c r="AG2521">
        <v>-1.1223506484670001</v>
      </c>
      <c r="AH2521">
        <v>5.7361660191536101</v>
      </c>
      <c r="AI2521">
        <v>100.328972095125</v>
      </c>
      <c r="AJ2521">
        <v>111.335050735745</v>
      </c>
      <c r="AK2521">
        <v>6.2596347669255596</v>
      </c>
      <c r="AL2521">
        <v>86.327334918310001</v>
      </c>
      <c r="AM2521">
        <v>98.753806830903201</v>
      </c>
      <c r="AN2521">
        <v>0.99999998395918599</v>
      </c>
    </row>
    <row r="2522" spans="1:40" x14ac:dyDescent="0.25">
      <c r="A2522" t="str">
        <f>"20190312151035244"</f>
        <v>20190312151035244</v>
      </c>
      <c r="B2522" t="str">
        <f>"1552374635233424"</f>
        <v>1552374635233424</v>
      </c>
      <c r="C2522" t="s">
        <v>40</v>
      </c>
      <c r="D2522">
        <v>4.7743149999999996</v>
      </c>
      <c r="E2522">
        <v>0.42095369999999999</v>
      </c>
      <c r="F2522" t="s">
        <v>50</v>
      </c>
      <c r="G2522">
        <v>-483.05399999999997</v>
      </c>
      <c r="H2522" s="1">
        <v>1.3458779999999999E-6</v>
      </c>
      <c r="I2522">
        <v>275.69909999999999</v>
      </c>
      <c r="J2522">
        <v>-478.33859999999999</v>
      </c>
      <c r="K2522">
        <v>1.122468</v>
      </c>
      <c r="L2522">
        <v>280.0342</v>
      </c>
      <c r="M2522">
        <v>-0.93144450000000001</v>
      </c>
      <c r="N2522">
        <v>0</v>
      </c>
      <c r="O2522">
        <v>-0.3635564</v>
      </c>
      <c r="P2522">
        <v>-0.86486419999999997</v>
      </c>
      <c r="Q2522">
        <v>5.2998650000000001E-2</v>
      </c>
      <c r="R2522">
        <v>-0.49920029999999999</v>
      </c>
      <c r="S2522">
        <v>-2.309418</v>
      </c>
      <c r="T2522">
        <v>-0.5273331</v>
      </c>
      <c r="U2522">
        <v>-2.0744630000000002</v>
      </c>
      <c r="V2522">
        <v>-0.15259529999999999</v>
      </c>
      <c r="W2522">
        <v>6.3556539999999995E-2</v>
      </c>
      <c r="X2522">
        <v>0.98624299999999998</v>
      </c>
      <c r="Y2522">
        <v>-0.35198610000000002</v>
      </c>
      <c r="Z2522">
        <v>3.2734220000000001E-2</v>
      </c>
      <c r="AA2522">
        <v>0.93543270000000001</v>
      </c>
      <c r="AB2522">
        <v>42</v>
      </c>
      <c r="AC2522">
        <v>-4.7154000000000398</v>
      </c>
      <c r="AD2522">
        <v>-1.1224666541220001</v>
      </c>
      <c r="AE2522">
        <v>-4.3351000000000104</v>
      </c>
      <c r="AF2522">
        <v>-2.2546302014624802</v>
      </c>
      <c r="AG2522">
        <v>-1.1224666541220001</v>
      </c>
      <c r="AH2522">
        <v>5.7910591430533103</v>
      </c>
      <c r="AI2522">
        <v>100.23844848583801</v>
      </c>
      <c r="AJ2522">
        <v>111.272431362604</v>
      </c>
      <c r="AK2522">
        <v>6.3150340247146701</v>
      </c>
      <c r="AL2522">
        <v>86.356022442518196</v>
      </c>
      <c r="AM2522">
        <v>98.795280527646696</v>
      </c>
      <c r="AN2522">
        <v>1.0000000072039299</v>
      </c>
    </row>
    <row r="2523" spans="1:40" x14ac:dyDescent="0.25">
      <c r="A2523" t="str">
        <f>"20190312151035255"</f>
        <v>20190312151035255</v>
      </c>
      <c r="B2523" t="str">
        <f>"1552374635252944"</f>
        <v>1552374635252944</v>
      </c>
      <c r="C2523" t="s">
        <v>40</v>
      </c>
      <c r="D2523">
        <v>4.7847980000000003</v>
      </c>
      <c r="E2523">
        <v>0.42150120000000002</v>
      </c>
      <c r="F2523" t="s">
        <v>50</v>
      </c>
      <c r="G2523">
        <v>-483.2226</v>
      </c>
      <c r="H2523" s="1">
        <v>1.341571E-6</v>
      </c>
      <c r="I2523">
        <v>275.58980000000003</v>
      </c>
      <c r="J2523">
        <v>-478.5437</v>
      </c>
      <c r="K2523">
        <v>1.122584</v>
      </c>
      <c r="L2523">
        <v>279.95080000000002</v>
      </c>
      <c r="M2523">
        <v>-0.92903250000000004</v>
      </c>
      <c r="N2523">
        <v>0</v>
      </c>
      <c r="O2523">
        <v>-0.369676</v>
      </c>
      <c r="P2523">
        <v>-0.86115160000000002</v>
      </c>
      <c r="Q2523">
        <v>5.2397300000000001E-2</v>
      </c>
      <c r="R2523">
        <v>-0.50564100000000001</v>
      </c>
      <c r="S2523">
        <v>-2.29541</v>
      </c>
      <c r="T2523">
        <v>-0.52754060000000003</v>
      </c>
      <c r="U2523">
        <v>-2.0888369999999998</v>
      </c>
      <c r="V2523">
        <v>-0.15345610000000001</v>
      </c>
      <c r="W2523">
        <v>6.2901250000000006E-2</v>
      </c>
      <c r="X2523">
        <v>0.98615149999999996</v>
      </c>
      <c r="Y2523">
        <v>-0.35194809999999999</v>
      </c>
      <c r="Z2523">
        <v>3.3862650000000001E-2</v>
      </c>
      <c r="AA2523">
        <v>0.93540679999999998</v>
      </c>
      <c r="AB2523">
        <v>42</v>
      </c>
      <c r="AC2523">
        <v>-4.6788999999999898</v>
      </c>
      <c r="AD2523">
        <v>-1.122582658429</v>
      </c>
      <c r="AE2523">
        <v>-4.36099999999999</v>
      </c>
      <c r="AF2523">
        <v>-2.2527183332181901</v>
      </c>
      <c r="AG2523">
        <v>-1.122582658429</v>
      </c>
      <c r="AH2523">
        <v>5.7816219957229196</v>
      </c>
      <c r="AI2523">
        <v>100.254808648289</v>
      </c>
      <c r="AJ2523">
        <v>111.28759532880601</v>
      </c>
      <c r="AK2523">
        <v>6.3057184059589897</v>
      </c>
      <c r="AL2523">
        <v>86.393643266991006</v>
      </c>
      <c r="AM2523">
        <v>98.844920691385695</v>
      </c>
      <c r="AN2523">
        <v>1.0000000614155</v>
      </c>
    </row>
    <row r="2524" spans="1:40" x14ac:dyDescent="0.25">
      <c r="A2524" t="str">
        <f>"20190312151035269"</f>
        <v>20190312151035269</v>
      </c>
      <c r="B2524" t="str">
        <f>"1552374635263680"</f>
        <v>1552374635263680</v>
      </c>
      <c r="C2524" t="s">
        <v>40</v>
      </c>
      <c r="D2524">
        <v>4.777698</v>
      </c>
      <c r="E2524">
        <v>0.42176809999999998</v>
      </c>
      <c r="F2524" t="s">
        <v>50</v>
      </c>
      <c r="G2524">
        <v>-483.4008</v>
      </c>
      <c r="H2524" s="1">
        <v>1.3374910000000001E-6</v>
      </c>
      <c r="I2524">
        <v>275.4769</v>
      </c>
      <c r="J2524">
        <v>-478.77019999999999</v>
      </c>
      <c r="K2524">
        <v>1.1227100000000001</v>
      </c>
      <c r="L2524">
        <v>279.8562</v>
      </c>
      <c r="M2524">
        <v>-0.92627420000000005</v>
      </c>
      <c r="N2524">
        <v>0</v>
      </c>
      <c r="O2524">
        <v>-0.3765327</v>
      </c>
      <c r="P2524">
        <v>-0.85688699999999995</v>
      </c>
      <c r="Q2524">
        <v>5.175225E-2</v>
      </c>
      <c r="R2524">
        <v>-0.51290009999999997</v>
      </c>
      <c r="S2524">
        <v>-2.2817379999999998</v>
      </c>
      <c r="T2524">
        <v>-0.52736450000000001</v>
      </c>
      <c r="U2524">
        <v>-2.1017760000000001</v>
      </c>
      <c r="V2524">
        <v>-0.15448700000000001</v>
      </c>
      <c r="W2524">
        <v>6.2195479999999997E-2</v>
      </c>
      <c r="X2524">
        <v>0.9860352</v>
      </c>
      <c r="Y2524">
        <v>-0.35078759999999998</v>
      </c>
      <c r="Z2524">
        <v>3.5205279999999999E-2</v>
      </c>
      <c r="AA2524">
        <v>0.93579299999999999</v>
      </c>
      <c r="AB2524">
        <v>42</v>
      </c>
      <c r="AC2524">
        <v>-4.63060000000001</v>
      </c>
      <c r="AD2524">
        <v>-1.1227086625089999</v>
      </c>
      <c r="AE2524">
        <v>-4.3792999999999997</v>
      </c>
      <c r="AF2524">
        <v>-2.24351981478052</v>
      </c>
      <c r="AG2524">
        <v>-1.1227086625089999</v>
      </c>
      <c r="AH2524">
        <v>5.76012672253876</v>
      </c>
      <c r="AI2524">
        <v>100.29387792597301</v>
      </c>
      <c r="AJ2524">
        <v>111.280485714213</v>
      </c>
      <c r="AK2524">
        <v>6.2827474690529099</v>
      </c>
      <c r="AL2524">
        <v>86.434159892146297</v>
      </c>
      <c r="AM2524">
        <v>98.904424299040002</v>
      </c>
      <c r="AN2524">
        <v>0.99999996327023399</v>
      </c>
    </row>
    <row r="2525" spans="1:40" x14ac:dyDescent="0.25">
      <c r="A2525" t="str">
        <f>"20190312151035283"</f>
        <v>20190312151035283</v>
      </c>
      <c r="B2525" t="str">
        <f>"1552374635273439"</f>
        <v>1552374635273439</v>
      </c>
      <c r="C2525" t="s">
        <v>40</v>
      </c>
      <c r="D2525">
        <v>4.7742399999999998</v>
      </c>
      <c r="E2525">
        <v>0.42199730000000002</v>
      </c>
      <c r="F2525" t="s">
        <v>50</v>
      </c>
      <c r="G2525">
        <v>-483.58440000000002</v>
      </c>
      <c r="H2525" s="1">
        <v>1.331773E-6</v>
      </c>
      <c r="I2525">
        <v>275.35199999999998</v>
      </c>
      <c r="J2525">
        <v>-478.99759999999998</v>
      </c>
      <c r="K2525">
        <v>1.1228340000000001</v>
      </c>
      <c r="L2525">
        <v>279.75970000000001</v>
      </c>
      <c r="M2525">
        <v>-0.92342610000000003</v>
      </c>
      <c r="N2525">
        <v>0</v>
      </c>
      <c r="O2525">
        <v>-0.38346340000000001</v>
      </c>
      <c r="P2525">
        <v>-0.85260899999999995</v>
      </c>
      <c r="Q2525">
        <v>5.1074920000000003E-2</v>
      </c>
      <c r="R2525">
        <v>-0.52004709999999998</v>
      </c>
      <c r="S2525">
        <v>-2.2646790000000001</v>
      </c>
      <c r="T2525">
        <v>-0.52814569999999905</v>
      </c>
      <c r="U2525">
        <v>-2.1188959999999999</v>
      </c>
      <c r="V2525">
        <v>-0.15532670000000001</v>
      </c>
      <c r="W2525">
        <v>6.1463039999999997E-2</v>
      </c>
      <c r="X2525">
        <v>0.98594919999999997</v>
      </c>
      <c r="Y2525">
        <v>-0.35113689999999997</v>
      </c>
      <c r="Z2525">
        <v>3.6492480000000001E-2</v>
      </c>
      <c r="AA2525">
        <v>0.93561269999999996</v>
      </c>
      <c r="AB2525">
        <v>42</v>
      </c>
      <c r="AC2525">
        <v>-4.5868000000000304</v>
      </c>
      <c r="AD2525">
        <v>-1.122832668227</v>
      </c>
      <c r="AE2525">
        <v>-4.40769999999997</v>
      </c>
      <c r="AF2525">
        <v>-2.2417500681511502</v>
      </c>
      <c r="AG2525">
        <v>-1.122832668227</v>
      </c>
      <c r="AH2525">
        <v>5.7474107574654898</v>
      </c>
      <c r="AI2525">
        <v>100.31538758183</v>
      </c>
      <c r="AJ2525">
        <v>111.308032228651</v>
      </c>
      <c r="AK2525">
        <v>6.2704806023082096</v>
      </c>
      <c r="AL2525">
        <v>86.476206038478196</v>
      </c>
      <c r="AM2525">
        <v>98.952809913283701</v>
      </c>
      <c r="AN2525">
        <v>0.99999995699978395</v>
      </c>
    </row>
    <row r="2526" spans="1:40" x14ac:dyDescent="0.25">
      <c r="A2526" t="str">
        <f>"20190312151035296"</f>
        <v>20190312151035296</v>
      </c>
      <c r="B2526" t="str">
        <f>"1552374635292959"</f>
        <v>1552374635292959</v>
      </c>
      <c r="C2526" t="s">
        <v>40</v>
      </c>
      <c r="D2526">
        <v>4.7483339999999998</v>
      </c>
      <c r="E2526">
        <v>0.42249409999999998</v>
      </c>
      <c r="F2526" t="s">
        <v>50</v>
      </c>
      <c r="G2526">
        <v>-483.7672</v>
      </c>
      <c r="H2526" s="1">
        <v>1.326082E-6</v>
      </c>
      <c r="I2526">
        <v>275.22750000000002</v>
      </c>
      <c r="J2526">
        <v>-479.23039999999997</v>
      </c>
      <c r="K2526">
        <v>1.1229559999999901</v>
      </c>
      <c r="L2526">
        <v>279.65899999999999</v>
      </c>
      <c r="M2526">
        <v>-0.92042139999999995</v>
      </c>
      <c r="N2526">
        <v>0</v>
      </c>
      <c r="O2526">
        <v>-0.39061970000000001</v>
      </c>
      <c r="P2526">
        <v>-0.84819940000000005</v>
      </c>
      <c r="Q2526">
        <v>5.0471660000000002E-2</v>
      </c>
      <c r="R2526">
        <v>-0.52726669999999998</v>
      </c>
      <c r="S2526">
        <v>-2.2476500000000001</v>
      </c>
      <c r="T2526">
        <v>-0.52912799999999904</v>
      </c>
      <c r="U2526">
        <v>-2.135742</v>
      </c>
      <c r="V2526">
        <v>-0.15603159999999999</v>
      </c>
      <c r="W2526">
        <v>6.0808620000000001E-2</v>
      </c>
      <c r="X2526">
        <v>0.98587849999999999</v>
      </c>
      <c r="Y2526">
        <v>-0.3511783</v>
      </c>
      <c r="Z2526">
        <v>3.7867169999999999E-2</v>
      </c>
      <c r="AA2526">
        <v>0.93554250000000005</v>
      </c>
      <c r="AB2526">
        <v>42</v>
      </c>
      <c r="AC2526">
        <v>-4.5368000000000199</v>
      </c>
      <c r="AD2526">
        <v>-1.1229546739180001</v>
      </c>
      <c r="AE2526">
        <v>-4.4314999999999696</v>
      </c>
      <c r="AF2526">
        <v>-2.2368310419512101</v>
      </c>
      <c r="AG2526">
        <v>-1.1229546739180001</v>
      </c>
      <c r="AH2526">
        <v>5.7279243707861101</v>
      </c>
      <c r="AI2526">
        <v>100.349217996793</v>
      </c>
      <c r="AJ2526">
        <v>111.33130983062701</v>
      </c>
      <c r="AK2526">
        <v>6.2508845699913804</v>
      </c>
      <c r="AL2526">
        <v>86.513771902657197</v>
      </c>
      <c r="AM2526">
        <v>98.9934111877552</v>
      </c>
      <c r="AN2526">
        <v>0.99999998261355705</v>
      </c>
    </row>
    <row r="2527" spans="1:40" x14ac:dyDescent="0.25">
      <c r="A2527" t="str">
        <f>"20190312151035310"</f>
        <v>20190312151035310</v>
      </c>
      <c r="B2527" t="str">
        <f>"1552374635303695"</f>
        <v>1552374635303695</v>
      </c>
      <c r="C2527" t="s">
        <v>40</v>
      </c>
      <c r="D2527">
        <v>4.77224</v>
      </c>
      <c r="E2527">
        <v>0.42276839999999999</v>
      </c>
      <c r="F2527" t="s">
        <v>50</v>
      </c>
      <c r="G2527">
        <v>-483.97039999999998</v>
      </c>
      <c r="H2527" s="1">
        <v>1.31993E-6</v>
      </c>
      <c r="I2527">
        <v>275.09030000000001</v>
      </c>
      <c r="J2527">
        <v>-479.45929999999998</v>
      </c>
      <c r="K2527">
        <v>1.1230719999999901</v>
      </c>
      <c r="L2527">
        <v>279.55709999999999</v>
      </c>
      <c r="M2527">
        <v>-0.91736090000000003</v>
      </c>
      <c r="N2527">
        <v>0</v>
      </c>
      <c r="O2527">
        <v>-0.39775290000000002</v>
      </c>
      <c r="P2527">
        <v>-0.84333789999999997</v>
      </c>
      <c r="Q2527">
        <v>4.9206420000000001E-2</v>
      </c>
      <c r="R2527">
        <v>-0.53512609999999905</v>
      </c>
      <c r="S2527">
        <v>-2.2314150000000001</v>
      </c>
      <c r="T2527">
        <v>-0.52864440000000001</v>
      </c>
      <c r="U2527">
        <v>-2.150757</v>
      </c>
      <c r="V2527">
        <v>-0.15748879999999901</v>
      </c>
      <c r="W2527">
        <v>5.9469229999999998E-2</v>
      </c>
      <c r="X2527">
        <v>0.98572850000000001</v>
      </c>
      <c r="Y2527">
        <v>-0.350663</v>
      </c>
      <c r="Z2527">
        <v>3.9192299999999999E-2</v>
      </c>
      <c r="AA2527">
        <v>0.93568130000000005</v>
      </c>
      <c r="AB2527">
        <v>42</v>
      </c>
      <c r="AC2527">
        <v>-4.5110999999999901</v>
      </c>
      <c r="AD2527">
        <v>-1.1230706800700001</v>
      </c>
      <c r="AE2527">
        <v>-4.4667999999999699</v>
      </c>
      <c r="AF2527">
        <v>-2.2337366141242998</v>
      </c>
      <c r="AG2527">
        <v>-1.1230706800700001</v>
      </c>
      <c r="AH2527">
        <v>5.73618637741487</v>
      </c>
      <c r="AI2527">
        <v>100.339450402219</v>
      </c>
      <c r="AJ2527">
        <v>111.276507901095</v>
      </c>
      <c r="AK2527">
        <v>6.2573717462008203</v>
      </c>
      <c r="AL2527">
        <v>86.590652493869797</v>
      </c>
      <c r="AM2527">
        <v>99.077368283214994</v>
      </c>
      <c r="AN2527">
        <v>0.99999999357724101</v>
      </c>
    </row>
    <row r="2528" spans="1:40" x14ac:dyDescent="0.25">
      <c r="A2528" t="str">
        <f>"20190312151035322"</f>
        <v>20190312151035322</v>
      </c>
      <c r="B2528" t="str">
        <f>"1552374635313455"</f>
        <v>1552374635313455</v>
      </c>
      <c r="C2528" t="s">
        <v>40</v>
      </c>
      <c r="D2528">
        <v>4.7732919999999996</v>
      </c>
      <c r="E2528">
        <v>0.4230566</v>
      </c>
      <c r="F2528" t="s">
        <v>50</v>
      </c>
      <c r="G2528">
        <v>-484.13159999999999</v>
      </c>
      <c r="H2528" s="1">
        <v>1.3139339999999999E-6</v>
      </c>
      <c r="I2528">
        <v>274.9751</v>
      </c>
      <c r="J2528">
        <v>-479.65559999999999</v>
      </c>
      <c r="K2528">
        <v>1.1231709999999999</v>
      </c>
      <c r="L2528">
        <v>279.46850000000001</v>
      </c>
      <c r="M2528">
        <v>-0.91467169999999998</v>
      </c>
      <c r="N2528">
        <v>0</v>
      </c>
      <c r="O2528">
        <v>-0.40389849999999999</v>
      </c>
      <c r="P2528">
        <v>-0.83941290000000002</v>
      </c>
      <c r="Q2528">
        <v>4.8587279999999997E-2</v>
      </c>
      <c r="R2528">
        <v>-0.54131819999999997</v>
      </c>
      <c r="S2528">
        <v>-2.2119140000000002</v>
      </c>
      <c r="T2528">
        <v>-0.53167390000000003</v>
      </c>
      <c r="U2528">
        <v>-2.1691889999999998</v>
      </c>
      <c r="V2528">
        <v>-0.15811120000000001</v>
      </c>
      <c r="W2528">
        <v>5.8807110000000003E-2</v>
      </c>
      <c r="X2528">
        <v>0.98566860000000001</v>
      </c>
      <c r="Y2528">
        <v>-0.35253040000000002</v>
      </c>
      <c r="Z2528">
        <v>4.0394230000000003E-2</v>
      </c>
      <c r="AA2528">
        <v>0.93492819999999999</v>
      </c>
      <c r="AB2528">
        <v>42</v>
      </c>
      <c r="AC2528">
        <v>-4.4759999999999902</v>
      </c>
      <c r="AD2528">
        <v>-1.1231696860660001</v>
      </c>
      <c r="AE2528">
        <v>-4.4934000000000003</v>
      </c>
      <c r="AF2528">
        <v>-2.2324035758427301</v>
      </c>
      <c r="AG2528">
        <v>-1.1231696860660001</v>
      </c>
      <c r="AH2528">
        <v>5.7299638270350002</v>
      </c>
      <c r="AI2528">
        <v>100.350677280057</v>
      </c>
      <c r="AJ2528">
        <v>111.285972224158</v>
      </c>
      <c r="AK2528">
        <v>6.2512095892125297</v>
      </c>
      <c r="AL2528">
        <v>86.628655739274194</v>
      </c>
      <c r="AM2528">
        <v>99.113186018619103</v>
      </c>
      <c r="AN2528">
        <v>1.00000000838897</v>
      </c>
    </row>
    <row r="2529" spans="1:40" x14ac:dyDescent="0.25">
      <c r="A2529" t="str">
        <f>"20190312151035333"</f>
        <v>20190312151035333</v>
      </c>
      <c r="B2529" t="str">
        <f>"1552374635323215"</f>
        <v>1552374635323215</v>
      </c>
      <c r="C2529" t="s">
        <v>40</v>
      </c>
      <c r="D2529">
        <v>4.7481099999999996</v>
      </c>
      <c r="E2529">
        <v>0.42332779999999998</v>
      </c>
      <c r="F2529" t="s">
        <v>50</v>
      </c>
      <c r="G2529">
        <v>-484.28320000000002</v>
      </c>
      <c r="H2529" s="1">
        <v>1.3089610000000001E-6</v>
      </c>
      <c r="I2529">
        <v>274.87049999999999</v>
      </c>
      <c r="J2529">
        <v>-479.86630000000002</v>
      </c>
      <c r="K2529">
        <v>1.1232709999999999</v>
      </c>
      <c r="L2529">
        <v>279.3716</v>
      </c>
      <c r="M2529">
        <v>-0.9117056</v>
      </c>
      <c r="N2529">
        <v>0</v>
      </c>
      <c r="O2529">
        <v>-0.41054879999999999</v>
      </c>
      <c r="P2529">
        <v>-0.83500359999999996</v>
      </c>
      <c r="Q2529">
        <v>4.8540800000000002E-2</v>
      </c>
      <c r="R2529">
        <v>-0.54809929999999996</v>
      </c>
      <c r="S2529">
        <v>-2.1970209999999999</v>
      </c>
      <c r="T2529">
        <v>-0.53324459999999996</v>
      </c>
      <c r="U2529">
        <v>-2.183014</v>
      </c>
      <c r="V2529">
        <v>-0.15893080000000001</v>
      </c>
      <c r="W2529">
        <v>5.8709039999999997E-2</v>
      </c>
      <c r="X2529">
        <v>0.98554260000000005</v>
      </c>
      <c r="Y2529">
        <v>-0.35193269999999999</v>
      </c>
      <c r="Z2529">
        <v>4.1799940000000001E-2</v>
      </c>
      <c r="AA2529">
        <v>0.93509149999999996</v>
      </c>
      <c r="AB2529">
        <v>42</v>
      </c>
      <c r="AC2529">
        <v>-4.4168999999999903</v>
      </c>
      <c r="AD2529">
        <v>-1.1232696910390001</v>
      </c>
      <c r="AE2529">
        <v>-4.5011000000000001</v>
      </c>
      <c r="AF2529">
        <v>-2.2201645110140902</v>
      </c>
      <c r="AG2529">
        <v>-1.1232696910390001</v>
      </c>
      <c r="AH2529">
        <v>5.69486721523137</v>
      </c>
      <c r="AI2529">
        <v>100.413114378646</v>
      </c>
      <c r="AJ2529">
        <v>111.298502774268</v>
      </c>
      <c r="AK2529">
        <v>6.2146904873766902</v>
      </c>
      <c r="AL2529">
        <v>86.634284377443194</v>
      </c>
      <c r="AM2529">
        <v>99.160778408782605</v>
      </c>
      <c r="AN2529">
        <v>0.99999998349055996</v>
      </c>
    </row>
    <row r="2530" spans="1:40" x14ac:dyDescent="0.25">
      <c r="A2530" t="str">
        <f>"20190312151035347"</f>
        <v>20190312151035347</v>
      </c>
      <c r="B2530" t="str">
        <f>"1552374635343712"</f>
        <v>1552374635343712</v>
      </c>
      <c r="C2530" t="s">
        <v>40</v>
      </c>
      <c r="D2530">
        <v>4.819045</v>
      </c>
      <c r="E2530">
        <v>0.42361680000000002</v>
      </c>
      <c r="F2530" t="s">
        <v>50</v>
      </c>
      <c r="G2530">
        <v>-484.46519999999998</v>
      </c>
      <c r="H2530" s="1">
        <v>1.300943E-6</v>
      </c>
      <c r="I2530">
        <v>274.73329999999999</v>
      </c>
      <c r="J2530">
        <v>-480.07870000000003</v>
      </c>
      <c r="K2530">
        <v>1.123372</v>
      </c>
      <c r="L2530">
        <v>279.27170000000001</v>
      </c>
      <c r="M2530">
        <v>-0.90862799999999999</v>
      </c>
      <c r="N2530">
        <v>0</v>
      </c>
      <c r="O2530">
        <v>-0.41731469999999998</v>
      </c>
      <c r="P2530">
        <v>-0.83031200000000005</v>
      </c>
      <c r="Q2530">
        <v>4.806564E-2</v>
      </c>
      <c r="R2530">
        <v>-0.5552222</v>
      </c>
      <c r="S2530">
        <v>-2.1802980000000001</v>
      </c>
      <c r="T2530">
        <v>-0.53253099999999998</v>
      </c>
      <c r="U2530">
        <v>-2.1990050000000001</v>
      </c>
      <c r="V2530">
        <v>-0.1600241</v>
      </c>
      <c r="W2530">
        <v>5.8173999999999997E-2</v>
      </c>
      <c r="X2530">
        <v>0.98539739999999998</v>
      </c>
      <c r="Y2530">
        <v>-0.35203759999999901</v>
      </c>
      <c r="Z2530">
        <v>4.2989720000000002E-2</v>
      </c>
      <c r="AA2530">
        <v>0.93499810000000005</v>
      </c>
      <c r="AB2530">
        <v>42</v>
      </c>
      <c r="AC2530">
        <v>-4.3864999999999501</v>
      </c>
      <c r="AD2530">
        <v>-1.123370699057</v>
      </c>
      <c r="AE2530">
        <v>-4.5384000000000198</v>
      </c>
      <c r="AF2530">
        <v>-2.2230269751095202</v>
      </c>
      <c r="AG2530">
        <v>-1.123370699057</v>
      </c>
      <c r="AH2530">
        <v>5.6998015624679299</v>
      </c>
      <c r="AI2530">
        <v>100.40464440866199</v>
      </c>
      <c r="AJ2530">
        <v>111.3066942186</v>
      </c>
      <c r="AK2530">
        <v>6.2202530905965796</v>
      </c>
      <c r="AL2530">
        <v>86.664992390296305</v>
      </c>
      <c r="AM2530">
        <v>99.224052579068896</v>
      </c>
      <c r="AN2530">
        <v>0.99999998139178403</v>
      </c>
    </row>
    <row r="2531" spans="1:40" x14ac:dyDescent="0.25">
      <c r="A2531" t="str">
        <f>"20190312151035366"</f>
        <v>20190312151035366</v>
      </c>
      <c r="B2531" t="str">
        <f>"1552374635363231"</f>
        <v>1552374635363231</v>
      </c>
      <c r="C2531" t="s">
        <v>40</v>
      </c>
      <c r="D2531">
        <v>4.8221239999999996</v>
      </c>
      <c r="E2531">
        <v>0.43469439999999998</v>
      </c>
      <c r="F2531" t="s">
        <v>50</v>
      </c>
      <c r="G2531">
        <v>-484.63350000000003</v>
      </c>
      <c r="H2531" s="1">
        <v>1.2921089999999999E-6</v>
      </c>
      <c r="I2531">
        <v>274.60739999999998</v>
      </c>
      <c r="J2531">
        <v>-480.38670000000002</v>
      </c>
      <c r="K2531">
        <v>1.1235109999999999</v>
      </c>
      <c r="L2531">
        <v>279.12380000000002</v>
      </c>
      <c r="M2531">
        <v>-0.9040205</v>
      </c>
      <c r="N2531">
        <v>0</v>
      </c>
      <c r="O2531">
        <v>-0.42720330000000001</v>
      </c>
      <c r="P2531">
        <v>-0.82309019999999999</v>
      </c>
      <c r="Q2531">
        <v>4.7517459999999997E-2</v>
      </c>
      <c r="R2531">
        <v>-0.56591930000000001</v>
      </c>
      <c r="S2531">
        <v>-2.1629330000000002</v>
      </c>
      <c r="T2531">
        <v>-0.53344959999999997</v>
      </c>
      <c r="U2531">
        <v>-2.2149350000000001</v>
      </c>
      <c r="V2531">
        <v>-0.1620142</v>
      </c>
      <c r="W2531">
        <v>5.7522780000000003E-2</v>
      </c>
      <c r="X2531">
        <v>0.98511040000000005</v>
      </c>
      <c r="Y2531">
        <v>-0.34909099999999998</v>
      </c>
      <c r="Z2531">
        <v>4.515392E-2</v>
      </c>
      <c r="AA2531">
        <v>0.93600030000000001</v>
      </c>
      <c r="AB2531">
        <v>42</v>
      </c>
      <c r="AC2531">
        <v>-4.2468000000000004</v>
      </c>
      <c r="AD2531">
        <v>-1.1235097078909999</v>
      </c>
      <c r="AE2531">
        <v>-4.5164000000000302</v>
      </c>
      <c r="AF2531">
        <v>-2.1967981594361299</v>
      </c>
      <c r="AG2531">
        <v>-1.1235097078909999</v>
      </c>
      <c r="AH2531">
        <v>5.5858615756087104</v>
      </c>
      <c r="AI2531">
        <v>100.601910923359</v>
      </c>
      <c r="AJ2531">
        <v>111.468637698474</v>
      </c>
      <c r="AK2531">
        <v>6.1065576030108097</v>
      </c>
      <c r="AL2531">
        <v>86.702367151943093</v>
      </c>
      <c r="AM2531">
        <v>99.339429471917498</v>
      </c>
      <c r="AN2531">
        <v>0.99999998570436399</v>
      </c>
    </row>
    <row r="2532" spans="1:40" x14ac:dyDescent="0.25">
      <c r="A2532" t="str">
        <f>"20190312151035376"</f>
        <v>20190312151035376</v>
      </c>
      <c r="B2532" t="str">
        <f>"1552374635372991"</f>
        <v>1552374635372991</v>
      </c>
      <c r="C2532" t="s">
        <v>40</v>
      </c>
      <c r="D2532">
        <v>4.8486050000000001</v>
      </c>
      <c r="E2532">
        <v>0.43515340000000002</v>
      </c>
      <c r="F2532" t="s">
        <v>50</v>
      </c>
      <c r="G2532">
        <v>-486.15039999999999</v>
      </c>
      <c r="H2532" s="1">
        <v>1.0048699999999999E-6</v>
      </c>
      <c r="I2532">
        <v>273.41419999999999</v>
      </c>
      <c r="J2532">
        <v>-480.56509999999997</v>
      </c>
      <c r="K2532">
        <v>1.1235889999999999</v>
      </c>
      <c r="L2532">
        <v>279.0367</v>
      </c>
      <c r="M2532">
        <v>-0.90127869999999999</v>
      </c>
      <c r="N2532">
        <v>0</v>
      </c>
      <c r="O2532">
        <v>-0.4329575</v>
      </c>
      <c r="P2532">
        <v>-0.81892489999999996</v>
      </c>
      <c r="Q2532">
        <v>4.7119590000000003E-2</v>
      </c>
      <c r="R2532">
        <v>-0.57196369999999996</v>
      </c>
      <c r="S2532">
        <v>-2.1827390000000002</v>
      </c>
      <c r="T2532">
        <v>-0.42547879999999899</v>
      </c>
      <c r="U2532">
        <v>-2.1622309999999998</v>
      </c>
      <c r="V2532">
        <v>-0.1629757</v>
      </c>
      <c r="W2532">
        <v>5.707243E-2</v>
      </c>
      <c r="X2532">
        <v>0.98497800000000002</v>
      </c>
      <c r="Y2532">
        <v>-0.32744099999999998</v>
      </c>
      <c r="Z2532">
        <v>3.8729600000000003E-2</v>
      </c>
      <c r="AA2532">
        <v>0.94407759999999996</v>
      </c>
      <c r="AB2532">
        <v>42</v>
      </c>
      <c r="AC2532">
        <v>-5.5853000000000099</v>
      </c>
      <c r="AD2532">
        <v>-1.1235879951300001</v>
      </c>
      <c r="AE2532">
        <v>-5.6224999999999996</v>
      </c>
      <c r="AF2532">
        <v>-2.5973586851186901</v>
      </c>
      <c r="AG2532">
        <v>-1.1235879951300001</v>
      </c>
      <c r="AH2532">
        <v>7.3219564517447697</v>
      </c>
      <c r="AI2532">
        <v>98.229319272336696</v>
      </c>
      <c r="AJ2532">
        <v>109.53140816835101</v>
      </c>
      <c r="AK2532">
        <v>7.8498260110150602</v>
      </c>
      <c r="AL2532">
        <v>86.728212816841094</v>
      </c>
      <c r="AM2532">
        <v>99.395110946376406</v>
      </c>
      <c r="AN2532">
        <v>1.0000000007702901</v>
      </c>
    </row>
    <row r="2533" spans="1:40" x14ac:dyDescent="0.25">
      <c r="A2533" t="str">
        <f>"20190312151035388"</f>
        <v>20190312151035388</v>
      </c>
      <c r="B2533" t="str">
        <f>"1552374635382752"</f>
        <v>1552374635382752</v>
      </c>
      <c r="C2533" t="s">
        <v>40</v>
      </c>
      <c r="D2533">
        <v>4.8239330000000002</v>
      </c>
      <c r="E2533">
        <v>0.43587150000000002</v>
      </c>
      <c r="F2533" t="s">
        <v>50</v>
      </c>
      <c r="G2533">
        <v>-486.01459999999997</v>
      </c>
      <c r="H2533" s="1">
        <v>1.0475740000000001E-6</v>
      </c>
      <c r="I2533">
        <v>273.56909999999999</v>
      </c>
      <c r="J2533">
        <v>-480.75670000000002</v>
      </c>
      <c r="K2533">
        <v>1.1236699999999999</v>
      </c>
      <c r="L2533">
        <v>278.94049999999999</v>
      </c>
      <c r="M2533">
        <v>-0.89824599999999899</v>
      </c>
      <c r="N2533">
        <v>0</v>
      </c>
      <c r="O2533">
        <v>-0.43921379999999999</v>
      </c>
      <c r="P2533">
        <v>-0.8143224</v>
      </c>
      <c r="Q2533">
        <v>4.648861E-2</v>
      </c>
      <c r="R2533">
        <v>-0.57854810000000001</v>
      </c>
      <c r="S2533">
        <v>-2.169098</v>
      </c>
      <c r="T2533">
        <v>-0.44722079999999997</v>
      </c>
      <c r="U2533">
        <v>-2.1762700000000001</v>
      </c>
      <c r="V2533">
        <v>-0.16404479999999999</v>
      </c>
      <c r="W2533">
        <v>5.6384990000000003E-2</v>
      </c>
      <c r="X2533">
        <v>0.9848401</v>
      </c>
      <c r="Y2533">
        <v>-0.32701380000000002</v>
      </c>
      <c r="Z2533">
        <v>4.1689160000000003E-2</v>
      </c>
      <c r="AA2533">
        <v>0.94409949999999998</v>
      </c>
      <c r="AB2533">
        <v>42</v>
      </c>
      <c r="AC2533">
        <v>-5.2578999999999496</v>
      </c>
      <c r="AD2533">
        <v>-1.123668952426</v>
      </c>
      <c r="AE2533">
        <v>-5.3713999999999897</v>
      </c>
      <c r="AF2533">
        <v>-2.4608096397794799</v>
      </c>
      <c r="AG2533">
        <v>-1.123668952426</v>
      </c>
      <c r="AH2533">
        <v>6.9281167911994403</v>
      </c>
      <c r="AI2533">
        <v>98.689560123273395</v>
      </c>
      <c r="AJ2533">
        <v>109.554616483259</v>
      </c>
      <c r="AK2533">
        <v>7.4375411441132497</v>
      </c>
      <c r="AL2533">
        <v>86.767663733849005</v>
      </c>
      <c r="AM2533">
        <v>99.456932348245402</v>
      </c>
      <c r="AN2533">
        <v>0.99999999303617404</v>
      </c>
    </row>
    <row r="2534" spans="1:40" x14ac:dyDescent="0.25">
      <c r="A2534" t="str">
        <f>"20190312151035399"</f>
        <v>20190312151035399</v>
      </c>
      <c r="B2534" t="str">
        <f>"1552374635393488"</f>
        <v>1552374635393488</v>
      </c>
      <c r="C2534" t="s">
        <v>40</v>
      </c>
      <c r="D2534">
        <v>4.8031969999999999</v>
      </c>
      <c r="E2534">
        <v>0.43654880000000001</v>
      </c>
      <c r="F2534" t="s">
        <v>50</v>
      </c>
      <c r="G2534">
        <v>-486.16140000000001</v>
      </c>
      <c r="H2534" s="1">
        <v>1.018989E-6</v>
      </c>
      <c r="I2534">
        <v>273.45139999999998</v>
      </c>
      <c r="J2534">
        <v>-480.94069999999999</v>
      </c>
      <c r="K2534">
        <v>1.1237379999999999</v>
      </c>
      <c r="L2534">
        <v>278.84750000000003</v>
      </c>
      <c r="M2534">
        <v>-0.89528229999999998</v>
      </c>
      <c r="N2534">
        <v>0</v>
      </c>
      <c r="O2534">
        <v>-0.4452236</v>
      </c>
      <c r="P2534">
        <v>-0.80993570000000004</v>
      </c>
      <c r="Q2534">
        <v>4.610086E-2</v>
      </c>
      <c r="R2534">
        <v>-0.58470419999999901</v>
      </c>
      <c r="S2534">
        <v>-2.154785</v>
      </c>
      <c r="T2534">
        <v>-0.44799519999999998</v>
      </c>
      <c r="U2534">
        <v>-2.1884459999999999</v>
      </c>
      <c r="V2534">
        <v>-0.1648993</v>
      </c>
      <c r="W2534">
        <v>5.5948409999999997E-2</v>
      </c>
      <c r="X2534">
        <v>0.98472230000000005</v>
      </c>
      <c r="Y2534">
        <v>-0.326497599999999</v>
      </c>
      <c r="Z2534">
        <v>4.2757990000000003E-2</v>
      </c>
      <c r="AA2534">
        <v>0.94423040000000003</v>
      </c>
      <c r="AB2534">
        <v>41</v>
      </c>
      <c r="AC2534">
        <v>-5.2207000000000203</v>
      </c>
      <c r="AD2534">
        <v>-1.1237369810109901</v>
      </c>
      <c r="AE2534">
        <v>-5.3961000000000396</v>
      </c>
      <c r="AF2534">
        <v>-2.4520354864757801</v>
      </c>
      <c r="AG2534">
        <v>-1.1237369810109901</v>
      </c>
      <c r="AH2534">
        <v>6.9222793118864798</v>
      </c>
      <c r="AI2534">
        <v>98.699906753643205</v>
      </c>
      <c r="AJ2534">
        <v>109.505352725534</v>
      </c>
      <c r="AK2534">
        <v>7.4292135318080401</v>
      </c>
      <c r="AL2534">
        <v>86.792717516721893</v>
      </c>
      <c r="AM2534">
        <v>99.5064126896998</v>
      </c>
      <c r="AN2534">
        <v>1.0000000059196501</v>
      </c>
    </row>
    <row r="2535" spans="1:40" x14ac:dyDescent="0.25">
      <c r="A2535" t="str">
        <f>"20190312151035410"</f>
        <v>20190312151035410</v>
      </c>
      <c r="B2535" t="str">
        <f>"1552374635403561"</f>
        <v>1552374635403561</v>
      </c>
      <c r="C2535" t="s">
        <v>40</v>
      </c>
      <c r="D2535">
        <v>4.8081639999999997</v>
      </c>
      <c r="E2535">
        <v>0.4371314</v>
      </c>
      <c r="F2535" t="s">
        <v>50</v>
      </c>
      <c r="G2535">
        <v>-486.30110000000002</v>
      </c>
      <c r="H2535" s="1">
        <v>9.9249109999999993E-7</v>
      </c>
      <c r="I2535">
        <v>273.34140000000002</v>
      </c>
      <c r="J2535">
        <v>-481.12189999999998</v>
      </c>
      <c r="K2535">
        <v>1.1238109999999999</v>
      </c>
      <c r="L2535">
        <v>278.75360000000001</v>
      </c>
      <c r="M2535">
        <v>-0.8922831</v>
      </c>
      <c r="N2535">
        <v>0</v>
      </c>
      <c r="O2535">
        <v>-0.45120359999999998</v>
      </c>
      <c r="P2535">
        <v>-0.80546790000000001</v>
      </c>
      <c r="Q2535">
        <v>4.5771770000000003E-2</v>
      </c>
      <c r="R2535">
        <v>-0.59086919999999898</v>
      </c>
      <c r="S2535">
        <v>-2.1415099999999998</v>
      </c>
      <c r="T2535">
        <v>-0.44894109999999998</v>
      </c>
      <c r="U2535">
        <v>-2.1997070000000001</v>
      </c>
      <c r="V2535">
        <v>-0.1658184</v>
      </c>
      <c r="W2535">
        <v>5.5568970000000002E-2</v>
      </c>
      <c r="X2535">
        <v>0.98458950000000001</v>
      </c>
      <c r="Y2535">
        <v>-0.32557530000000001</v>
      </c>
      <c r="Z2535">
        <v>4.3869930000000001E-2</v>
      </c>
      <c r="AA2535">
        <v>0.94449780000000005</v>
      </c>
      <c r="AB2535">
        <v>41</v>
      </c>
      <c r="AC2535">
        <v>-5.17920000000003</v>
      </c>
      <c r="AD2535">
        <v>-1.1238100075088999</v>
      </c>
      <c r="AE2535">
        <v>-5.4121999999999799</v>
      </c>
      <c r="AF2535">
        <v>-2.4377829298004201</v>
      </c>
      <c r="AG2535">
        <v>-1.1238100075088999</v>
      </c>
      <c r="AH2535">
        <v>6.9086989480771104</v>
      </c>
      <c r="AI2535">
        <v>98.720990735468106</v>
      </c>
      <c r="AJ2535">
        <v>109.435747063522</v>
      </c>
      <c r="AK2535">
        <v>7.4118726176969103</v>
      </c>
      <c r="AL2535">
        <v>86.8144918994753</v>
      </c>
      <c r="AM2535">
        <v>99.559689050996099</v>
      </c>
      <c r="AN2535">
        <v>1.00000006785783</v>
      </c>
    </row>
    <row r="2536" spans="1:40" x14ac:dyDescent="0.25">
      <c r="A2536" t="str">
        <f>"20190312151035422"</f>
        <v>20190312151035422</v>
      </c>
      <c r="B2536" t="str">
        <f>"1552374635413322"</f>
        <v>1552374635413322</v>
      </c>
      <c r="C2536" t="s">
        <v>40</v>
      </c>
      <c r="D2536">
        <v>4.8105769999999897</v>
      </c>
      <c r="E2536">
        <v>0.43768170000000001</v>
      </c>
      <c r="F2536" t="s">
        <v>50</v>
      </c>
      <c r="G2536">
        <v>-486.44060000000002</v>
      </c>
      <c r="H2536" s="1">
        <v>9.6282669999999999E-7</v>
      </c>
      <c r="I2536">
        <v>273.22250000000003</v>
      </c>
      <c r="J2536">
        <v>-481.29939999999999</v>
      </c>
      <c r="K2536">
        <v>1.1238840000000001</v>
      </c>
      <c r="L2536">
        <v>278.66059999999999</v>
      </c>
      <c r="M2536">
        <v>-0.889289</v>
      </c>
      <c r="N2536">
        <v>0</v>
      </c>
      <c r="O2536">
        <v>-0.45707619999999999</v>
      </c>
      <c r="P2536">
        <v>-0.80098000000000003</v>
      </c>
      <c r="Q2536">
        <v>4.5303139999999999E-2</v>
      </c>
      <c r="R2536">
        <v>-0.59697480000000003</v>
      </c>
      <c r="S2536">
        <v>-2.1272579999999999</v>
      </c>
      <c r="T2536">
        <v>-0.44947389999999998</v>
      </c>
      <c r="U2536">
        <v>-2.212189</v>
      </c>
      <c r="V2536">
        <v>-0.16679449999999901</v>
      </c>
      <c r="W2536">
        <v>5.5048119999999999E-2</v>
      </c>
      <c r="X2536">
        <v>0.98445380000000005</v>
      </c>
      <c r="Y2536">
        <v>-0.32521879999999997</v>
      </c>
      <c r="Z2536">
        <v>4.4885719999999997E-2</v>
      </c>
      <c r="AA2536">
        <v>0.94457290000000005</v>
      </c>
      <c r="AB2536">
        <v>41</v>
      </c>
      <c r="AC2536">
        <v>-5.14120000000002</v>
      </c>
      <c r="AD2536">
        <v>-1.1238830371733</v>
      </c>
      <c r="AE2536">
        <v>-5.4380999999999604</v>
      </c>
      <c r="AF2536">
        <v>-2.4315875991101898</v>
      </c>
      <c r="AG2536">
        <v>-1.1238830371733</v>
      </c>
      <c r="AH2536">
        <v>6.9028246769814601</v>
      </c>
      <c r="AI2536">
        <v>98.730466179729007</v>
      </c>
      <c r="AJ2536">
        <v>109.40531153828</v>
      </c>
      <c r="AK2536">
        <v>7.4043716718257997</v>
      </c>
      <c r="AL2536">
        <v>86.844379916255306</v>
      </c>
      <c r="AM2536">
        <v>99.616215778504497</v>
      </c>
      <c r="AN2536">
        <v>0.99999999254011196</v>
      </c>
    </row>
    <row r="2537" spans="1:40" x14ac:dyDescent="0.25">
      <c r="A2537" t="str">
        <f>"20190312151035432"</f>
        <v>20190312151035432</v>
      </c>
      <c r="B2537" t="str">
        <f>"1552374635423082"</f>
        <v>1552374635423082</v>
      </c>
      <c r="C2537" t="s">
        <v>40</v>
      </c>
      <c r="D2537">
        <v>4.8172649999999999</v>
      </c>
      <c r="E2537">
        <v>0.43859300000000001</v>
      </c>
      <c r="F2537" t="s">
        <v>50</v>
      </c>
      <c r="G2537">
        <v>-486.41419999999999</v>
      </c>
      <c r="H2537" s="1">
        <v>9.7839050000000008E-7</v>
      </c>
      <c r="I2537">
        <v>273.27319999999997</v>
      </c>
      <c r="J2537">
        <v>-481.48230000000001</v>
      </c>
      <c r="K2537">
        <v>1.123953</v>
      </c>
      <c r="L2537">
        <v>278.56310000000002</v>
      </c>
      <c r="M2537">
        <v>-0.88613519999999901</v>
      </c>
      <c r="N2537">
        <v>0</v>
      </c>
      <c r="O2537">
        <v>-0.46316020000000002</v>
      </c>
      <c r="P2537">
        <v>-0.79633419999999999</v>
      </c>
      <c r="Q2537">
        <v>4.5082520000000001E-2</v>
      </c>
      <c r="R2537">
        <v>-0.60317469999999995</v>
      </c>
      <c r="S2537">
        <v>-2.112946</v>
      </c>
      <c r="T2537">
        <v>-0.46428799999999998</v>
      </c>
      <c r="U2537">
        <v>-2.225616</v>
      </c>
      <c r="V2537">
        <v>-0.16768739999999999</v>
      </c>
      <c r="W2537">
        <v>5.4777680000000002E-2</v>
      </c>
      <c r="X2537">
        <v>0.9843172</v>
      </c>
      <c r="Y2537">
        <v>-0.32489980000000002</v>
      </c>
      <c r="Z2537">
        <v>4.7362630000000003E-2</v>
      </c>
      <c r="AA2537">
        <v>0.94456169999999995</v>
      </c>
      <c r="AB2537">
        <v>41</v>
      </c>
      <c r="AC2537">
        <v>-4.9318999999999802</v>
      </c>
      <c r="AD2537">
        <v>-1.1239520216095</v>
      </c>
      <c r="AE2537">
        <v>-5.2899000000000402</v>
      </c>
      <c r="AF2537">
        <v>-2.3469227524369098</v>
      </c>
      <c r="AG2537">
        <v>-1.1239520216095</v>
      </c>
      <c r="AH2537">
        <v>6.6603876984104398</v>
      </c>
      <c r="AI2537">
        <v>99.043330079089401</v>
      </c>
      <c r="AJ2537">
        <v>109.41094348489101</v>
      </c>
      <c r="AK2537">
        <v>7.1506698179907104</v>
      </c>
      <c r="AL2537">
        <v>86.8598984390255</v>
      </c>
      <c r="AM2537">
        <v>99.668041565177006</v>
      </c>
      <c r="AN2537">
        <v>1.00000000428039</v>
      </c>
    </row>
    <row r="2538" spans="1:40" x14ac:dyDescent="0.25">
      <c r="A2538" t="str">
        <f>"20190312151035445"</f>
        <v>20190312151035445</v>
      </c>
      <c r="B2538" t="str">
        <f>"1552374635443577"</f>
        <v>1552374635443577</v>
      </c>
      <c r="C2538" t="s">
        <v>40</v>
      </c>
      <c r="D2538">
        <v>4.8552299999999997</v>
      </c>
      <c r="E2538">
        <v>0.44009379999999998</v>
      </c>
      <c r="F2538" t="s">
        <v>50</v>
      </c>
      <c r="G2538">
        <v>-486.55889999999999</v>
      </c>
      <c r="H2538" s="1">
        <v>9.5034080000000002E-7</v>
      </c>
      <c r="I2538">
        <v>273.15750000000003</v>
      </c>
      <c r="J2538">
        <v>-481.67720000000003</v>
      </c>
      <c r="K2538">
        <v>1.1240270000000001</v>
      </c>
      <c r="L2538">
        <v>278.45729999999998</v>
      </c>
      <c r="M2538">
        <v>-0.8826948</v>
      </c>
      <c r="N2538">
        <v>0</v>
      </c>
      <c r="O2538">
        <v>-0.46968300000000002</v>
      </c>
      <c r="P2538">
        <v>-0.7911475</v>
      </c>
      <c r="Q2538">
        <v>4.51014E-2</v>
      </c>
      <c r="R2538">
        <v>-0.6099599</v>
      </c>
      <c r="S2538">
        <v>-2.099945</v>
      </c>
      <c r="T2538">
        <v>-0.46492410000000001</v>
      </c>
      <c r="U2538">
        <v>-2.2360530000000001</v>
      </c>
      <c r="V2538">
        <v>-0.16885449999999999</v>
      </c>
      <c r="W2538">
        <v>5.473625E-2</v>
      </c>
      <c r="X2538">
        <v>0.98411999999999999</v>
      </c>
      <c r="Y2538">
        <v>-0.32311709999999999</v>
      </c>
      <c r="Z2538">
        <v>4.8641959999999998E-2</v>
      </c>
      <c r="AA2538">
        <v>0.94510810000000001</v>
      </c>
      <c r="AB2538">
        <v>41</v>
      </c>
      <c r="AC2538">
        <v>-4.8816999999999604</v>
      </c>
      <c r="AD2538">
        <v>-1.1240260496592001</v>
      </c>
      <c r="AE2538">
        <v>-5.2997999999999399</v>
      </c>
      <c r="AF2538">
        <v>-2.3288772293372202</v>
      </c>
      <c r="AG2538">
        <v>-1.1240260496592001</v>
      </c>
      <c r="AH2538">
        <v>6.6375950913164097</v>
      </c>
      <c r="AI2538">
        <v>99.078669394443907</v>
      </c>
      <c r="AJ2538">
        <v>109.334013021868</v>
      </c>
      <c r="AK2538">
        <v>7.1235365027425503</v>
      </c>
      <c r="AL2538">
        <v>86.862275872035298</v>
      </c>
      <c r="AM2538">
        <v>99.7359610742607</v>
      </c>
      <c r="AN2538">
        <v>1.00000003681715</v>
      </c>
    </row>
    <row r="2539" spans="1:40" x14ac:dyDescent="0.25">
      <c r="A2539" t="str">
        <f>"20190312151035457"</f>
        <v>20190312151035457</v>
      </c>
      <c r="B2539" t="str">
        <f>"1552374635453337"</f>
        <v>1552374635453337</v>
      </c>
      <c r="C2539" t="s">
        <v>40</v>
      </c>
      <c r="D2539">
        <v>4.8198689999999997</v>
      </c>
      <c r="E2539">
        <v>0.44039050000000002</v>
      </c>
      <c r="F2539" t="s">
        <v>50</v>
      </c>
      <c r="G2539">
        <v>-486.66129999999998</v>
      </c>
      <c r="H2539" s="1">
        <v>9.3883010000000004E-7</v>
      </c>
      <c r="I2539">
        <v>273.0992</v>
      </c>
      <c r="J2539">
        <v>-481.86130000000003</v>
      </c>
      <c r="K2539">
        <v>1.1240950000000001</v>
      </c>
      <c r="L2539">
        <v>278.35629999999998</v>
      </c>
      <c r="M2539">
        <v>-0.87937999999999905</v>
      </c>
      <c r="N2539">
        <v>0</v>
      </c>
      <c r="O2539">
        <v>-0.47585959999999999</v>
      </c>
      <c r="P2539">
        <v>-0.78617579999999998</v>
      </c>
      <c r="Q2539">
        <v>4.4807649999999997E-2</v>
      </c>
      <c r="R2539">
        <v>-0.61637649999999999</v>
      </c>
      <c r="S2539">
        <v>-2.088104</v>
      </c>
      <c r="T2539">
        <v>-0.47091250000000001</v>
      </c>
      <c r="U2539">
        <v>-2.2447810000000001</v>
      </c>
      <c r="V2539">
        <v>-0.1699543</v>
      </c>
      <c r="W2539">
        <v>5.4385349999999999E-2</v>
      </c>
      <c r="X2539">
        <v>0.98395010000000005</v>
      </c>
      <c r="Y2539">
        <v>-0.32108969999999998</v>
      </c>
      <c r="Z2539">
        <v>5.045811E-2</v>
      </c>
      <c r="AA2539">
        <v>0.94570370000000004</v>
      </c>
      <c r="AB2539">
        <v>41</v>
      </c>
      <c r="AC2539">
        <v>-4.7999999999999501</v>
      </c>
      <c r="AD2539">
        <v>-1.1240940611699</v>
      </c>
      <c r="AE2539">
        <v>-5.2570999999999799</v>
      </c>
      <c r="AF2539">
        <v>-2.2822473606643401</v>
      </c>
      <c r="AG2539">
        <v>-1.1240940611699</v>
      </c>
      <c r="AH2539">
        <v>6.5599347901542497</v>
      </c>
      <c r="AI2539">
        <v>99.193182442974205</v>
      </c>
      <c r="AJ2539">
        <v>109.183144550818</v>
      </c>
      <c r="AK2539">
        <v>7.0359778939883597</v>
      </c>
      <c r="AL2539">
        <v>86.882410884040098</v>
      </c>
      <c r="AM2539">
        <v>99.799808111813306</v>
      </c>
      <c r="AN2539">
        <v>1.00000001483656</v>
      </c>
    </row>
    <row r="2540" spans="1:40" x14ac:dyDescent="0.25">
      <c r="A2540" t="str">
        <f>"20190312151035470"</f>
        <v>20190312151035470</v>
      </c>
      <c r="B2540" t="str">
        <f>"1552374635463097"</f>
        <v>1552374635463097</v>
      </c>
      <c r="C2540" t="s">
        <v>40</v>
      </c>
      <c r="D2540">
        <v>4.881367</v>
      </c>
      <c r="E2540">
        <v>0.43959300000000001</v>
      </c>
      <c r="F2540" t="s">
        <v>50</v>
      </c>
      <c r="G2540">
        <v>-486.76839999999999</v>
      </c>
      <c r="H2540" s="1">
        <v>9.1386260000000001E-7</v>
      </c>
      <c r="I2540">
        <v>273.00170000000003</v>
      </c>
      <c r="J2540">
        <v>-482.06470000000002</v>
      </c>
      <c r="K2540">
        <v>1.1241680000000001</v>
      </c>
      <c r="L2540">
        <v>278.24160000000001</v>
      </c>
      <c r="M2540">
        <v>-0.87561259999999996</v>
      </c>
      <c r="N2540">
        <v>0</v>
      </c>
      <c r="O2540">
        <v>-0.48275679999999999</v>
      </c>
      <c r="P2540">
        <v>-0.78049080000000004</v>
      </c>
      <c r="Q2540">
        <v>4.4427580000000001E-2</v>
      </c>
      <c r="R2540">
        <v>-0.62358690000000006</v>
      </c>
      <c r="S2540">
        <v>-2.0711360000000001</v>
      </c>
      <c r="T2540">
        <v>-0.47444249999999999</v>
      </c>
      <c r="U2540">
        <v>-2.259979</v>
      </c>
      <c r="V2540">
        <v>-0.171265</v>
      </c>
      <c r="W2540">
        <v>5.3939210000000001E-2</v>
      </c>
      <c r="X2540">
        <v>0.98374740000000005</v>
      </c>
      <c r="Y2540">
        <v>-0.3207566</v>
      </c>
      <c r="Z2540">
        <v>5.201364E-2</v>
      </c>
      <c r="AA2540">
        <v>0.94573240000000003</v>
      </c>
      <c r="AB2540">
        <v>41</v>
      </c>
      <c r="AC2540">
        <v>-4.7036999999999596</v>
      </c>
      <c r="AD2540">
        <v>-1.1241670861374</v>
      </c>
      <c r="AE2540">
        <v>-5.2398999999999702</v>
      </c>
      <c r="AF2540">
        <v>-2.26006175841674</v>
      </c>
      <c r="AG2540">
        <v>-1.1241670861374</v>
      </c>
      <c r="AH2540">
        <v>6.4837808388258704</v>
      </c>
      <c r="AI2540">
        <v>99.297991312623694</v>
      </c>
      <c r="AJ2540">
        <v>109.217103126392</v>
      </c>
      <c r="AK2540">
        <v>6.9578045930694197</v>
      </c>
      <c r="AL2540">
        <v>86.908010485844201</v>
      </c>
      <c r="AM2540">
        <v>99.875897439679903</v>
      </c>
      <c r="AN2540">
        <v>1.00000004280359</v>
      </c>
    </row>
    <row r="2541" spans="1:40" x14ac:dyDescent="0.25">
      <c r="A2541" t="str">
        <f>"20190312151035490"</f>
        <v>20190312151035490</v>
      </c>
      <c r="B2541" t="str">
        <f>"1552374635483593"</f>
        <v>1552374635483593</v>
      </c>
      <c r="C2541" t="s">
        <v>40</v>
      </c>
      <c r="D2541">
        <v>4.8800140000000001</v>
      </c>
      <c r="E2541">
        <v>0.40323389999999998</v>
      </c>
      <c r="F2541" t="s">
        <v>50</v>
      </c>
      <c r="G2541">
        <v>-486.90519999999998</v>
      </c>
      <c r="H2541" s="1">
        <v>8.6846699999999996E-7</v>
      </c>
      <c r="I2541">
        <v>272.839</v>
      </c>
      <c r="J2541">
        <v>-482.37630000000001</v>
      </c>
      <c r="K2541">
        <v>1.12429</v>
      </c>
      <c r="L2541">
        <v>278.06259999999997</v>
      </c>
      <c r="M2541">
        <v>-0.86967640000000002</v>
      </c>
      <c r="N2541">
        <v>0</v>
      </c>
      <c r="O2541">
        <v>-0.49336960000000002</v>
      </c>
      <c r="P2541">
        <v>-0.77161469999999999</v>
      </c>
      <c r="Q2541">
        <v>4.3210890000000002E-2</v>
      </c>
      <c r="R2541">
        <v>-0.63462099999999999</v>
      </c>
      <c r="S2541">
        <v>-2.0461119999999999</v>
      </c>
      <c r="T2541">
        <v>-0.47519679999999997</v>
      </c>
      <c r="U2541">
        <v>-2.283722</v>
      </c>
      <c r="V2541">
        <v>-0.1732273</v>
      </c>
      <c r="W2541">
        <v>5.2621670000000002E-2</v>
      </c>
      <c r="X2541">
        <v>0.98347510000000005</v>
      </c>
      <c r="Y2541">
        <v>-0.31998110000000002</v>
      </c>
      <c r="Z2541">
        <v>5.391746E-2</v>
      </c>
      <c r="AA2541">
        <v>0.94588850000000002</v>
      </c>
      <c r="AB2541">
        <v>41</v>
      </c>
      <c r="AC2541">
        <v>-4.5288999999999602</v>
      </c>
      <c r="AD2541">
        <v>-1.1242891315329999</v>
      </c>
      <c r="AE2541">
        <v>-5.22359999999997</v>
      </c>
      <c r="AF2541">
        <v>-2.2492255011281301</v>
      </c>
      <c r="AG2541">
        <v>-1.1242891315329999</v>
      </c>
      <c r="AH2541">
        <v>6.3487578515254999</v>
      </c>
      <c r="AI2541">
        <v>99.4765648604604</v>
      </c>
      <c r="AJ2541">
        <v>109.50811842239</v>
      </c>
      <c r="AK2541">
        <v>6.82859924607639</v>
      </c>
      <c r="AL2541">
        <v>86.983607233884797</v>
      </c>
      <c r="AM2541">
        <v>99.989496261798493</v>
      </c>
      <c r="AN2541">
        <v>1.00000000496944</v>
      </c>
    </row>
    <row r="2542" spans="1:40" x14ac:dyDescent="0.25">
      <c r="A2542" t="str">
        <f>"20190312151035504"</f>
        <v>20190312151035504</v>
      </c>
      <c r="B2542" t="str">
        <f>"1552374635493354"</f>
        <v>1552374635493354</v>
      </c>
      <c r="C2542" t="s">
        <v>40</v>
      </c>
      <c r="D2542">
        <v>4.9338259999999998</v>
      </c>
      <c r="E2542">
        <v>0.40027849999999998</v>
      </c>
      <c r="F2542" t="s">
        <v>50</v>
      </c>
      <c r="G2542">
        <v>-486.28</v>
      </c>
      <c r="H2542" s="1">
        <v>7.4361940000000003E-7</v>
      </c>
      <c r="I2542">
        <v>272.64269999999999</v>
      </c>
      <c r="J2542">
        <v>-482.59559999999999</v>
      </c>
      <c r="K2542">
        <v>1.1243700000000001</v>
      </c>
      <c r="L2542">
        <v>277.93369999999999</v>
      </c>
      <c r="M2542">
        <v>-0.86536579999999996</v>
      </c>
      <c r="N2542">
        <v>0</v>
      </c>
      <c r="O2542">
        <v>-0.50089139999999999</v>
      </c>
      <c r="P2542">
        <v>-0.76557889999999995</v>
      </c>
      <c r="Q2542">
        <v>4.2860490000000001E-2</v>
      </c>
      <c r="R2542">
        <v>-0.64191299999999996</v>
      </c>
      <c r="S2542">
        <v>-1.8289489999999999</v>
      </c>
      <c r="T2542">
        <v>-0.52674540000000003</v>
      </c>
      <c r="U2542">
        <v>-2.539307</v>
      </c>
      <c r="V2542">
        <v>-0.17402020000000001</v>
      </c>
      <c r="W2542">
        <v>5.2223110000000003E-2</v>
      </c>
      <c r="X2542">
        <v>0.98335640000000002</v>
      </c>
      <c r="Y2542">
        <v>-0.41010629999999998</v>
      </c>
      <c r="Z2542">
        <v>5.2613859999999998E-2</v>
      </c>
      <c r="AA2542">
        <v>0.91051879999999996</v>
      </c>
      <c r="AB2542">
        <v>41</v>
      </c>
      <c r="AC2542">
        <v>-3.6843999999999801</v>
      </c>
      <c r="AD2542">
        <v>-1.1243692563806</v>
      </c>
      <c r="AE2542">
        <v>-5.2909999999999897</v>
      </c>
      <c r="AF2542">
        <v>-2.6528301070957898</v>
      </c>
      <c r="AG2542">
        <v>-1.1243692563806</v>
      </c>
      <c r="AH2542">
        <v>5.6669568166518003</v>
      </c>
      <c r="AI2542">
        <v>100.18696584600499</v>
      </c>
      <c r="AJ2542">
        <v>115.085352367928</v>
      </c>
      <c r="AK2542">
        <v>6.35736685771744</v>
      </c>
      <c r="AL2542">
        <v>87.006474606152807</v>
      </c>
      <c r="AM2542">
        <v>100.035479854747</v>
      </c>
      <c r="AN2542">
        <v>1.0000000463235299</v>
      </c>
    </row>
    <row r="2543" spans="1:40" x14ac:dyDescent="0.25">
      <c r="A2543" t="str">
        <f>"20190312151035515"</f>
        <v>20190312151035515</v>
      </c>
      <c r="B2543" t="str">
        <f>"1552374635512874"</f>
        <v>1552374635512874</v>
      </c>
      <c r="C2543" t="s">
        <v>40</v>
      </c>
      <c r="D2543">
        <v>4.9038209999999998</v>
      </c>
      <c r="E2543">
        <v>0.39888200000000001</v>
      </c>
      <c r="F2543" t="s">
        <v>50</v>
      </c>
      <c r="G2543">
        <v>-486.36020000000002</v>
      </c>
      <c r="H2543" s="1">
        <v>7.0528739999999998E-7</v>
      </c>
      <c r="I2543">
        <v>272.51409999999998</v>
      </c>
      <c r="J2543">
        <v>-482.79390000000001</v>
      </c>
      <c r="K2543">
        <v>1.1244430000000001</v>
      </c>
      <c r="L2543">
        <v>277.8152</v>
      </c>
      <c r="M2543">
        <v>-0.86137569999999997</v>
      </c>
      <c r="N2543">
        <v>0</v>
      </c>
      <c r="O2543">
        <v>-0.5077218</v>
      </c>
      <c r="P2543">
        <v>-0.76018459999999999</v>
      </c>
      <c r="Q2543">
        <v>4.2447440000000003E-2</v>
      </c>
      <c r="R2543">
        <v>-0.64831949999999905</v>
      </c>
      <c r="S2543">
        <v>-1.789032</v>
      </c>
      <c r="T2543">
        <v>-0.53432939999999995</v>
      </c>
      <c r="U2543">
        <v>-2.5754999999999999</v>
      </c>
      <c r="V2543">
        <v>-0.1744819</v>
      </c>
      <c r="W2543">
        <v>5.1776450000000002E-2</v>
      </c>
      <c r="X2543">
        <v>0.98329820000000001</v>
      </c>
      <c r="Y2543">
        <v>-0.4184158</v>
      </c>
      <c r="Z2543">
        <v>5.3849689999999999E-2</v>
      </c>
      <c r="AA2543">
        <v>0.90665779999999996</v>
      </c>
      <c r="AB2543">
        <v>41</v>
      </c>
      <c r="AC2543">
        <v>-3.5663000000000098</v>
      </c>
      <c r="AD2543">
        <v>-1.1244422947126</v>
      </c>
      <c r="AE2543">
        <v>-5.3011000000000204</v>
      </c>
      <c r="AF2543">
        <v>-2.6730986232814402</v>
      </c>
      <c r="AG2543">
        <v>-1.1244422947126</v>
      </c>
      <c r="AH2543">
        <v>5.5909549417167801</v>
      </c>
      <c r="AI2543">
        <v>100.284208241984</v>
      </c>
      <c r="AJ2543">
        <v>115.552989409069</v>
      </c>
      <c r="AK2543">
        <v>6.2983016666586398</v>
      </c>
      <c r="AL2543">
        <v>87.032100995751406</v>
      </c>
      <c r="AM2543">
        <v>100.06214542861601</v>
      </c>
      <c r="AN2543">
        <v>1.00000004216272</v>
      </c>
    </row>
    <row r="2544" spans="1:40" x14ac:dyDescent="0.25">
      <c r="A2544" t="str">
        <f>"20190312151035527"</f>
        <v>20190312151035527</v>
      </c>
      <c r="B2544" t="str">
        <f>"1552374635523610"</f>
        <v>1552374635523610</v>
      </c>
      <c r="C2544" t="s">
        <v>40</v>
      </c>
      <c r="D2544">
        <v>4.946968</v>
      </c>
      <c r="E2544">
        <v>0.39925719999999998</v>
      </c>
      <c r="F2544" t="s">
        <v>50</v>
      </c>
      <c r="G2544">
        <v>-486.4975</v>
      </c>
      <c r="H2544" s="1">
        <v>6.5775209999999996E-7</v>
      </c>
      <c r="I2544">
        <v>272.34519999999998</v>
      </c>
      <c r="J2544">
        <v>-482.96190000000001</v>
      </c>
      <c r="K2544">
        <v>1.124501</v>
      </c>
      <c r="L2544">
        <v>277.71230000000003</v>
      </c>
      <c r="M2544">
        <v>-0.85790449999999996</v>
      </c>
      <c r="N2544">
        <v>0</v>
      </c>
      <c r="O2544">
        <v>-0.51356480000000004</v>
      </c>
      <c r="P2544">
        <v>-0.75530149999999996</v>
      </c>
      <c r="Q2544">
        <v>4.2232640000000002E-2</v>
      </c>
      <c r="R2544">
        <v>-0.65401549999999997</v>
      </c>
      <c r="S2544">
        <v>-1.7597349999999901</v>
      </c>
      <c r="T2544">
        <v>-0.53426859999999998</v>
      </c>
      <c r="U2544">
        <v>-2.5989990000000001</v>
      </c>
      <c r="V2544">
        <v>-0.17518410000000001</v>
      </c>
      <c r="W2544">
        <v>5.1522150000000003E-2</v>
      </c>
      <c r="X2544">
        <v>0.98318669999999997</v>
      </c>
      <c r="Y2544">
        <v>-0.42306860000000002</v>
      </c>
      <c r="Z2544">
        <v>5.4518820000000003E-2</v>
      </c>
      <c r="AA2544">
        <v>0.90445600000000004</v>
      </c>
      <c r="AB2544">
        <v>41</v>
      </c>
      <c r="AC2544">
        <v>-3.5355999999999801</v>
      </c>
      <c r="AD2544">
        <v>-1.1245003422478901</v>
      </c>
      <c r="AE2544">
        <v>-5.3671000000000504</v>
      </c>
      <c r="AF2544">
        <v>-2.7062050502308299</v>
      </c>
      <c r="AG2544">
        <v>-1.1245003422478901</v>
      </c>
      <c r="AH2544">
        <v>5.61829571340615</v>
      </c>
      <c r="AI2544">
        <v>100.221811792183</v>
      </c>
      <c r="AJ2544">
        <v>115.719057374944</v>
      </c>
      <c r="AK2544">
        <v>6.3366626481838599</v>
      </c>
      <c r="AL2544">
        <v>87.046690790396894</v>
      </c>
      <c r="AM2544">
        <v>100.102930033533</v>
      </c>
      <c r="AN2544">
        <v>1.00000004394516</v>
      </c>
    </row>
    <row r="2545" spans="1:40" x14ac:dyDescent="0.25">
      <c r="A2545" t="str">
        <f>"20190312151035539"</f>
        <v>20190312151035539</v>
      </c>
      <c r="B2545" t="str">
        <f>"1552374635533369"</f>
        <v>1552374635533369</v>
      </c>
      <c r="C2545" t="s">
        <v>40</v>
      </c>
      <c r="D2545">
        <v>4.9118060000000003</v>
      </c>
      <c r="E2545">
        <v>0.39988259999999998</v>
      </c>
      <c r="F2545" t="s">
        <v>50</v>
      </c>
      <c r="G2545">
        <v>-486.6309</v>
      </c>
      <c r="H2545" s="1">
        <v>6.2338469999999896E-7</v>
      </c>
      <c r="I2545">
        <v>272.21449999999999</v>
      </c>
      <c r="J2545">
        <v>-483.1472</v>
      </c>
      <c r="K2545">
        <v>1.1245639999999999</v>
      </c>
      <c r="L2545">
        <v>277.59789999999998</v>
      </c>
      <c r="M2545">
        <v>-0.85401299999999902</v>
      </c>
      <c r="N2545">
        <v>0</v>
      </c>
      <c r="O2545">
        <v>-0.52001009999999903</v>
      </c>
      <c r="P2545">
        <v>-0.74996660000000004</v>
      </c>
      <c r="Q2545">
        <v>4.2298259999999997E-2</v>
      </c>
      <c r="R2545">
        <v>-0.66012199999999999</v>
      </c>
      <c r="S2545">
        <v>-1.7418209999999901</v>
      </c>
      <c r="T2545">
        <v>-0.53384039999999999</v>
      </c>
      <c r="U2545">
        <v>-2.609985</v>
      </c>
      <c r="V2545">
        <v>-0.17577179999999901</v>
      </c>
      <c r="W2545">
        <v>5.1550720000000001E-2</v>
      </c>
      <c r="X2545">
        <v>0.98308030000000002</v>
      </c>
      <c r="Y2545">
        <v>-0.42236869999999999</v>
      </c>
      <c r="Z2545">
        <v>5.5778179999999997E-2</v>
      </c>
      <c r="AA2545">
        <v>0.90470629999999996</v>
      </c>
      <c r="AB2545">
        <v>41</v>
      </c>
      <c r="AC2545">
        <v>-3.48369999999999</v>
      </c>
      <c r="AD2545">
        <v>-1.12456337661529</v>
      </c>
      <c r="AE2545">
        <v>-5.3833999999999902</v>
      </c>
      <c r="AF2545">
        <v>-2.7031437646402101</v>
      </c>
      <c r="AG2545">
        <v>-1.12456337661529</v>
      </c>
      <c r="AH2545">
        <v>5.6029431159121303</v>
      </c>
      <c r="AI2545">
        <v>100.246755033516</v>
      </c>
      <c r="AJ2545">
        <v>115.755017377409</v>
      </c>
      <c r="AK2545">
        <v>6.3217561294694704</v>
      </c>
      <c r="AL2545">
        <v>87.045051658192307</v>
      </c>
      <c r="AM2545">
        <v>100.13719559184101</v>
      </c>
      <c r="AN2545">
        <v>1.00000003932792</v>
      </c>
    </row>
    <row r="2546" spans="1:40" x14ac:dyDescent="0.25">
      <c r="A2546" t="str">
        <f>"20190312151035550"</f>
        <v>20190312151035550</v>
      </c>
      <c r="B2546" t="str">
        <f>"1552374635543129"</f>
        <v>1552374635543129</v>
      </c>
      <c r="C2546" t="s">
        <v>40</v>
      </c>
      <c r="D2546">
        <v>4.9107690000000002</v>
      </c>
      <c r="E2546">
        <v>0.40060709999999999</v>
      </c>
      <c r="F2546" t="s">
        <v>50</v>
      </c>
      <c r="G2546">
        <v>-486.78289999999998</v>
      </c>
      <c r="H2546" s="1">
        <v>5.8631840000000004E-7</v>
      </c>
      <c r="I2546">
        <v>272.07150000000001</v>
      </c>
      <c r="J2546">
        <v>-483.3329</v>
      </c>
      <c r="K2546">
        <v>1.1246259999999999</v>
      </c>
      <c r="L2546">
        <v>277.48059999999998</v>
      </c>
      <c r="M2546">
        <v>-0.85001090000000001</v>
      </c>
      <c r="N2546">
        <v>0</v>
      </c>
      <c r="O2546">
        <v>-0.52652559999999904</v>
      </c>
      <c r="P2546">
        <v>-0.74439569999999999</v>
      </c>
      <c r="Q2546">
        <v>4.2152630000000003E-2</v>
      </c>
      <c r="R2546">
        <v>-0.66640690000000002</v>
      </c>
      <c r="S2546">
        <v>-1.723846</v>
      </c>
      <c r="T2546">
        <v>-0.53320809999999996</v>
      </c>
      <c r="U2546">
        <v>-2.6203310000000002</v>
      </c>
      <c r="V2546">
        <v>-0.17652200000000001</v>
      </c>
      <c r="W2546">
        <v>5.1362619999999998E-2</v>
      </c>
      <c r="X2546">
        <v>0.98295569999999999</v>
      </c>
      <c r="Y2546">
        <v>-0.42147899999999999</v>
      </c>
      <c r="Z2546">
        <v>5.7053329999999999E-2</v>
      </c>
      <c r="AA2546">
        <v>0.9050416</v>
      </c>
      <c r="AB2546">
        <v>41</v>
      </c>
      <c r="AC2546">
        <v>-3.4499999999999802</v>
      </c>
      <c r="AD2546">
        <v>-1.1246254136816001</v>
      </c>
      <c r="AE2546">
        <v>-5.4090999999999596</v>
      </c>
      <c r="AF2546">
        <v>-2.6987062352145301</v>
      </c>
      <c r="AG2546">
        <v>-1.1246254136816001</v>
      </c>
      <c r="AH2546">
        <v>5.6089459658827199</v>
      </c>
      <c r="AI2546">
        <v>100.241697528676</v>
      </c>
      <c r="AJ2546">
        <v>115.69421743677</v>
      </c>
      <c r="AK2546">
        <v>6.3251934763512496</v>
      </c>
      <c r="AL2546">
        <v>87.055843238386501</v>
      </c>
      <c r="AM2546">
        <v>100.18082198098899</v>
      </c>
      <c r="AN2546">
        <v>1.0000000216898699</v>
      </c>
    </row>
    <row r="2547" spans="1:40" x14ac:dyDescent="0.25">
      <c r="A2547" t="str">
        <f>"20190312151035562"</f>
        <v>20190312151035562</v>
      </c>
      <c r="B2547" t="str">
        <f>"1552374635552890"</f>
        <v>1552374635552890</v>
      </c>
      <c r="C2547" t="s">
        <v>40</v>
      </c>
      <c r="D2547">
        <v>4.9563240000000004</v>
      </c>
      <c r="E2547">
        <v>0.40128049999999998</v>
      </c>
      <c r="F2547" t="s">
        <v>50</v>
      </c>
      <c r="G2547">
        <v>-486.9323</v>
      </c>
      <c r="H2547" s="1">
        <v>5.4985549999999996E-7</v>
      </c>
      <c r="I2547">
        <v>271.93090000000001</v>
      </c>
      <c r="J2547">
        <v>-483.49509999999998</v>
      </c>
      <c r="K2547">
        <v>1.1246780000000001</v>
      </c>
      <c r="L2547">
        <v>277.37689999999998</v>
      </c>
      <c r="M2547">
        <v>-0.846450499999999</v>
      </c>
      <c r="N2547">
        <v>0</v>
      </c>
      <c r="O2547">
        <v>-0.5322306</v>
      </c>
      <c r="P2547">
        <v>-0.73942810000000003</v>
      </c>
      <c r="Q2547">
        <v>4.2245070000000003E-2</v>
      </c>
      <c r="R2547">
        <v>-0.67190890000000003</v>
      </c>
      <c r="S2547">
        <v>-1.705811</v>
      </c>
      <c r="T2547">
        <v>-0.53297919999999999</v>
      </c>
      <c r="U2547">
        <v>-2.630096</v>
      </c>
      <c r="V2547">
        <v>-0.17721429999999999</v>
      </c>
      <c r="W2547">
        <v>5.1415959999999997E-2</v>
      </c>
      <c r="X2547">
        <v>0.98282829999999999</v>
      </c>
      <c r="Y2547">
        <v>-0.42133749999999998</v>
      </c>
      <c r="Z2547">
        <v>5.8161749999999998E-2</v>
      </c>
      <c r="AA2547">
        <v>0.90503699999999998</v>
      </c>
      <c r="AB2547">
        <v>41</v>
      </c>
      <c r="AC2547">
        <v>-3.43720000000001</v>
      </c>
      <c r="AD2547">
        <v>-1.1246774501445</v>
      </c>
      <c r="AE2547">
        <v>-5.4459999999999598</v>
      </c>
      <c r="AF2547">
        <v>-2.6984369477042498</v>
      </c>
      <c r="AG2547">
        <v>-1.1246774501445</v>
      </c>
      <c r="AH2547">
        <v>5.6367633342894301</v>
      </c>
      <c r="AI2547">
        <v>100.202111562601</v>
      </c>
      <c r="AJ2547">
        <v>115.581416919554</v>
      </c>
      <c r="AK2547">
        <v>6.3497686740847996</v>
      </c>
      <c r="AL2547">
        <v>87.052782939257597</v>
      </c>
      <c r="AM2547">
        <v>100.221206945373</v>
      </c>
      <c r="AN2547">
        <v>0.99999998817405</v>
      </c>
    </row>
    <row r="2548" spans="1:40" x14ac:dyDescent="0.25">
      <c r="A2548" t="str">
        <f>"20190312151035572"</f>
        <v>20190312151035572</v>
      </c>
      <c r="B2548" t="str">
        <f>"1552374635563626"</f>
        <v>1552374635563626</v>
      </c>
      <c r="C2548" t="s">
        <v>40</v>
      </c>
      <c r="D2548">
        <v>4.97323</v>
      </c>
      <c r="E2548">
        <v>0.4019604</v>
      </c>
      <c r="F2548" t="s">
        <v>50</v>
      </c>
      <c r="G2548">
        <v>-487.06079999999997</v>
      </c>
      <c r="H2548" s="1">
        <v>5.1910940000000004E-7</v>
      </c>
      <c r="I2548">
        <v>271.8116</v>
      </c>
      <c r="J2548">
        <v>-483.66199999999998</v>
      </c>
      <c r="K2548">
        <v>1.12473</v>
      </c>
      <c r="L2548">
        <v>277.26839999999999</v>
      </c>
      <c r="M2548">
        <v>-0.84270809999999996</v>
      </c>
      <c r="N2548">
        <v>0</v>
      </c>
      <c r="O2548">
        <v>-0.53813619999999995</v>
      </c>
      <c r="P2548">
        <v>-0.73430719999999905</v>
      </c>
      <c r="Q2548">
        <v>4.1985040000000001E-2</v>
      </c>
      <c r="R2548">
        <v>-0.67751819999999996</v>
      </c>
      <c r="S2548">
        <v>-1.6903379999999999</v>
      </c>
      <c r="T2548">
        <v>-0.5331475</v>
      </c>
      <c r="U2548">
        <v>-2.6381839999999999</v>
      </c>
      <c r="V2548">
        <v>-0.17781350000000001</v>
      </c>
      <c r="W2548">
        <v>5.112071E-2</v>
      </c>
      <c r="X2548">
        <v>0.98273549999999998</v>
      </c>
      <c r="Y2548">
        <v>-0.42008830000000003</v>
      </c>
      <c r="Z2548">
        <v>5.9443009999999998E-2</v>
      </c>
      <c r="AA2548">
        <v>0.90553430000000001</v>
      </c>
      <c r="AB2548">
        <v>41</v>
      </c>
      <c r="AC2548">
        <v>-3.3987999999999898</v>
      </c>
      <c r="AD2548">
        <v>-1.1247294808906001</v>
      </c>
      <c r="AE2548">
        <v>-5.4567999999999799</v>
      </c>
      <c r="AF2548">
        <v>-2.6875589602423</v>
      </c>
      <c r="AG2548">
        <v>-1.1247294808906001</v>
      </c>
      <c r="AH2548">
        <v>5.6291294020325999</v>
      </c>
      <c r="AI2548">
        <v>100.221113796523</v>
      </c>
      <c r="AJ2548">
        <v>115.52157154958201</v>
      </c>
      <c r="AK2548">
        <v>6.3383820802150304</v>
      </c>
      <c r="AL2548">
        <v>87.069721874221202</v>
      </c>
      <c r="AM2548">
        <v>100.25598270984101</v>
      </c>
      <c r="AN2548">
        <v>1.0000000153666999</v>
      </c>
    </row>
    <row r="2549" spans="1:40" x14ac:dyDescent="0.25">
      <c r="A2549" t="str">
        <f>"20190312151035584"</f>
        <v>20190312151035584</v>
      </c>
      <c r="B2549" t="str">
        <f>"1552374635573386"</f>
        <v>1552374635573386</v>
      </c>
      <c r="C2549" t="s">
        <v>40</v>
      </c>
      <c r="D2549">
        <v>4.9591399999999997</v>
      </c>
      <c r="E2549">
        <v>0.40273389999999998</v>
      </c>
      <c r="F2549" t="s">
        <v>50</v>
      </c>
      <c r="G2549">
        <v>-487.18700000000001</v>
      </c>
      <c r="H2549" s="1">
        <v>4.8930219999999995E-7</v>
      </c>
      <c r="I2549">
        <v>271.69569999999999</v>
      </c>
      <c r="J2549">
        <v>-483.82190000000003</v>
      </c>
      <c r="K2549">
        <v>1.1247799999999999</v>
      </c>
      <c r="L2549">
        <v>277.16289999999998</v>
      </c>
      <c r="M2549">
        <v>-0.83905459999999998</v>
      </c>
      <c r="N2549">
        <v>0</v>
      </c>
      <c r="O2549">
        <v>-0.54381459999999904</v>
      </c>
      <c r="P2549">
        <v>-0.7292556</v>
      </c>
      <c r="Q2549">
        <v>4.1214380000000002E-2</v>
      </c>
      <c r="R2549">
        <v>-0.68299940000000003</v>
      </c>
      <c r="S2549">
        <v>-1.6741029999999999</v>
      </c>
      <c r="T2549">
        <v>-0.53416799999999998</v>
      </c>
      <c r="U2549">
        <v>-2.6466370000000001</v>
      </c>
      <c r="V2549">
        <v>-0.17849329999999999</v>
      </c>
      <c r="W2549">
        <v>5.0312549999999998E-2</v>
      </c>
      <c r="X2549">
        <v>0.98265400000000003</v>
      </c>
      <c r="Y2549">
        <v>-0.41929840000000002</v>
      </c>
      <c r="Z2549">
        <v>6.0741299999999998E-2</v>
      </c>
      <c r="AA2549">
        <v>0.90581420000000001</v>
      </c>
      <c r="AB2549">
        <v>41</v>
      </c>
      <c r="AC2549">
        <v>-3.36509999999992</v>
      </c>
      <c r="AD2549">
        <v>-1.12477951069779</v>
      </c>
      <c r="AE2549">
        <v>-5.4671999999999903</v>
      </c>
      <c r="AF2549">
        <v>-2.6755091040457701</v>
      </c>
      <c r="AG2549">
        <v>-1.12477951069779</v>
      </c>
      <c r="AH2549">
        <v>5.6247204355415601</v>
      </c>
      <c r="AI2549">
        <v>100.23627976576201</v>
      </c>
      <c r="AJ2549">
        <v>115.439017442815</v>
      </c>
      <c r="AK2549">
        <v>6.32937263016772</v>
      </c>
      <c r="AL2549">
        <v>87.1160857904121</v>
      </c>
      <c r="AM2549">
        <v>100.29519111111399</v>
      </c>
      <c r="AN2549">
        <v>1.0000000472741899</v>
      </c>
    </row>
    <row r="2550" spans="1:40" x14ac:dyDescent="0.25">
      <c r="A2550" t="str">
        <f>"20190312151035594"</f>
        <v>20190312151035594</v>
      </c>
      <c r="B2550" t="str">
        <f>"1552374635583146"</f>
        <v>1552374635583146</v>
      </c>
      <c r="C2550" t="s">
        <v>40</v>
      </c>
      <c r="D2550">
        <v>4.9406540000000003</v>
      </c>
      <c r="E2550">
        <v>0.40333259999999899</v>
      </c>
      <c r="F2550" t="s">
        <v>50</v>
      </c>
      <c r="G2550">
        <v>-487.29500000000002</v>
      </c>
      <c r="H2550" s="1">
        <v>4.6668409999999999E-7</v>
      </c>
      <c r="I2550">
        <v>271.6046</v>
      </c>
      <c r="J2550">
        <v>-483.99919999999997</v>
      </c>
      <c r="K2550">
        <v>1.1248320000000001</v>
      </c>
      <c r="L2550">
        <v>277.0444</v>
      </c>
      <c r="M2550">
        <v>-0.8349259</v>
      </c>
      <c r="N2550">
        <v>0</v>
      </c>
      <c r="O2550">
        <v>-0.55013159999999905</v>
      </c>
      <c r="P2550">
        <v>-0.72340660000000001</v>
      </c>
      <c r="Q2550">
        <v>4.0390790000000003E-2</v>
      </c>
      <c r="R2550">
        <v>-0.68923970000000001</v>
      </c>
      <c r="S2550">
        <v>-1.65841699999999</v>
      </c>
      <c r="T2550">
        <v>-0.53707660000000002</v>
      </c>
      <c r="U2550">
        <v>-2.6540530000000002</v>
      </c>
      <c r="V2550">
        <v>-0.1794714</v>
      </c>
      <c r="W2550">
        <v>4.9438169999999997E-2</v>
      </c>
      <c r="X2550">
        <v>0.98252019999999995</v>
      </c>
      <c r="Y2550">
        <v>-0.4175198</v>
      </c>
      <c r="Z2550">
        <v>6.2475349999999999E-2</v>
      </c>
      <c r="AA2550">
        <v>0.90651749999999998</v>
      </c>
      <c r="AB2550">
        <v>41</v>
      </c>
      <c r="AC2550">
        <v>-3.2958000000000398</v>
      </c>
      <c r="AD2550">
        <v>-1.1248315333159</v>
      </c>
      <c r="AE2550">
        <v>-5.4397999999999902</v>
      </c>
      <c r="AF2550">
        <v>-2.6462864842740199</v>
      </c>
      <c r="AG2550">
        <v>-1.1248315333159</v>
      </c>
      <c r="AH2550">
        <v>5.5708482600362101</v>
      </c>
      <c r="AI2550">
        <v>100.33614520074499</v>
      </c>
      <c r="AJ2550">
        <v>115.408838884188</v>
      </c>
      <c r="AK2550">
        <v>6.2691648942695402</v>
      </c>
      <c r="AL2550">
        <v>87.166246451134</v>
      </c>
      <c r="AM2550">
        <v>100.351769143217</v>
      </c>
      <c r="AN2550">
        <v>1.00000002973947</v>
      </c>
    </row>
    <row r="2551" spans="1:40" x14ac:dyDescent="0.25">
      <c r="A2551" t="str">
        <f>"20190312151035606"</f>
        <v>20190312151035606</v>
      </c>
      <c r="B2551" t="str">
        <f>"1552374635603092"</f>
        <v>1552374635603092</v>
      </c>
      <c r="C2551" t="s">
        <v>40</v>
      </c>
      <c r="D2551">
        <v>4.9406800000000004</v>
      </c>
      <c r="E2551">
        <v>0.4047366</v>
      </c>
      <c r="F2551" t="s">
        <v>50</v>
      </c>
      <c r="G2551">
        <v>-487.43669999999997</v>
      </c>
      <c r="H2551" s="1">
        <v>4.2701019999999999E-7</v>
      </c>
      <c r="I2551">
        <v>271.45679999999999</v>
      </c>
      <c r="J2551">
        <v>-484.1558</v>
      </c>
      <c r="K2551">
        <v>1.124878</v>
      </c>
      <c r="L2551">
        <v>276.93740000000003</v>
      </c>
      <c r="M2551">
        <v>-0.83119080000000001</v>
      </c>
      <c r="N2551">
        <v>0</v>
      </c>
      <c r="O2551">
        <v>-0.55575859999999899</v>
      </c>
      <c r="P2551">
        <v>-0.71841369999999904</v>
      </c>
      <c r="Q2551">
        <v>3.9204870000000003E-2</v>
      </c>
      <c r="R2551">
        <v>-0.69451070000000004</v>
      </c>
      <c r="S2551">
        <v>-1.638855</v>
      </c>
      <c r="T2551">
        <v>-0.53626560000000001</v>
      </c>
      <c r="U2551">
        <v>-2.6638790000000001</v>
      </c>
      <c r="V2551">
        <v>-0.17994549999999901</v>
      </c>
      <c r="W2551">
        <v>4.8222729999999998E-2</v>
      </c>
      <c r="X2551">
        <v>0.98249390000000003</v>
      </c>
      <c r="Y2551">
        <v>-0.41775010000000001</v>
      </c>
      <c r="Z2551">
        <v>6.3493339999999995E-2</v>
      </c>
      <c r="AA2551">
        <v>0.9063407</v>
      </c>
      <c r="AB2551">
        <v>41</v>
      </c>
      <c r="AC2551">
        <v>-3.2808999999999702</v>
      </c>
      <c r="AD2551">
        <v>-1.1248775729898</v>
      </c>
      <c r="AE2551">
        <v>-5.4806000000000301</v>
      </c>
      <c r="AF2551">
        <v>-2.6501941263831399</v>
      </c>
      <c r="AG2551">
        <v>-1.1248775729898</v>
      </c>
      <c r="AH2551">
        <v>5.6000082233617299</v>
      </c>
      <c r="AI2551">
        <v>100.29080734065199</v>
      </c>
      <c r="AJ2551">
        <v>115.32577163734</v>
      </c>
      <c r="AK2551">
        <v>6.2967428535275403</v>
      </c>
      <c r="AL2551">
        <v>87.2359692350541</v>
      </c>
      <c r="AM2551">
        <v>100.37879313945299</v>
      </c>
      <c r="AN2551">
        <v>1.0000000390980499</v>
      </c>
    </row>
    <row r="2552" spans="1:40" x14ac:dyDescent="0.25">
      <c r="A2552" t="str">
        <f>"20190312151035616"</f>
        <v>20190312151035616</v>
      </c>
      <c r="B2552" t="str">
        <f>"1552374635612851"</f>
        <v>1552374635612851</v>
      </c>
      <c r="C2552" t="s">
        <v>40</v>
      </c>
      <c r="D2552">
        <v>4.9538510000000002</v>
      </c>
      <c r="E2552">
        <v>0.40548319999999999</v>
      </c>
      <c r="F2552" t="s">
        <v>50</v>
      </c>
      <c r="G2552">
        <v>-487.57209999999998</v>
      </c>
      <c r="H2552" s="1">
        <v>3.9692599999999999E-7</v>
      </c>
      <c r="I2552">
        <v>271.33769999999998</v>
      </c>
      <c r="J2552">
        <v>-484.3218</v>
      </c>
      <c r="K2552">
        <v>1.124924</v>
      </c>
      <c r="L2552">
        <v>276.82339999999999</v>
      </c>
      <c r="M2552">
        <v>-0.82717600000000002</v>
      </c>
      <c r="N2552">
        <v>0</v>
      </c>
      <c r="O2552">
        <v>-0.5617164</v>
      </c>
      <c r="P2552">
        <v>-0.71283629999999998</v>
      </c>
      <c r="Q2552">
        <v>3.8277800000000001E-2</v>
      </c>
      <c r="R2552">
        <v>-0.70028539999999995</v>
      </c>
      <c r="S2552">
        <v>-1.627014</v>
      </c>
      <c r="T2552">
        <v>-0.53571930000000001</v>
      </c>
      <c r="U2552">
        <v>-2.6668400000000001</v>
      </c>
      <c r="V2552">
        <v>-0.18075869999999999</v>
      </c>
      <c r="W2552">
        <v>4.7252049999999997E-2</v>
      </c>
      <c r="X2552">
        <v>0.98239180000000004</v>
      </c>
      <c r="Y2552">
        <v>-0.41468319999999997</v>
      </c>
      <c r="Z2552">
        <v>6.4908220000000003E-2</v>
      </c>
      <c r="AA2552">
        <v>0.90764800000000001</v>
      </c>
      <c r="AB2552">
        <v>41</v>
      </c>
      <c r="AC2552">
        <v>-3.2502999999999802</v>
      </c>
      <c r="AD2552">
        <v>-1.124923603074</v>
      </c>
      <c r="AE2552">
        <v>-5.4856999999999996</v>
      </c>
      <c r="AF2552">
        <v>-2.63036804235947</v>
      </c>
      <c r="AG2552">
        <v>-1.124923603074</v>
      </c>
      <c r="AH2552">
        <v>5.5965215619322803</v>
      </c>
      <c r="AI2552">
        <v>100.310127938821</v>
      </c>
      <c r="AJ2552">
        <v>115.173548911407</v>
      </c>
      <c r="AK2552">
        <v>6.2853275765223202</v>
      </c>
      <c r="AL2552">
        <v>87.291648627766506</v>
      </c>
      <c r="AM2552">
        <v>100.425730044342</v>
      </c>
      <c r="AN2552">
        <v>1.00000005628106</v>
      </c>
    </row>
    <row r="2553" spans="1:40" x14ac:dyDescent="0.25">
      <c r="A2553" t="str">
        <f>"20190312151035628"</f>
        <v>20190312151035628</v>
      </c>
      <c r="B2553" t="str">
        <f>"1552374635623586"</f>
        <v>1552374635623586</v>
      </c>
      <c r="C2553" t="s">
        <v>40</v>
      </c>
      <c r="D2553">
        <v>4.9361119999999996</v>
      </c>
      <c r="E2553">
        <v>0.40611409999999998</v>
      </c>
      <c r="F2553" t="s">
        <v>50</v>
      </c>
      <c r="G2553">
        <v>-487.69409999999999</v>
      </c>
      <c r="H2553" s="1">
        <v>3.6437869999999998E-7</v>
      </c>
      <c r="I2553">
        <v>271.21510000000001</v>
      </c>
      <c r="J2553">
        <v>-484.48129999999998</v>
      </c>
      <c r="K2553">
        <v>1.1249720000000001</v>
      </c>
      <c r="L2553">
        <v>276.71100000000001</v>
      </c>
      <c r="M2553">
        <v>-0.82321420000000001</v>
      </c>
      <c r="N2553">
        <v>0</v>
      </c>
      <c r="O2553">
        <v>-0.56750630000000002</v>
      </c>
      <c r="P2553">
        <v>-0.70755429999999997</v>
      </c>
      <c r="Q2553">
        <v>3.7184059999999998E-2</v>
      </c>
      <c r="R2553">
        <v>-0.70567990000000003</v>
      </c>
      <c r="S2553">
        <v>-1.6088260000000001</v>
      </c>
      <c r="T2553">
        <v>-0.53667699999999996</v>
      </c>
      <c r="U2553">
        <v>-2.6756289999999998</v>
      </c>
      <c r="V2553">
        <v>-0.18126049999999999</v>
      </c>
      <c r="W2553">
        <v>4.6128410000000002E-2</v>
      </c>
      <c r="X2553">
        <v>0.98235269999999997</v>
      </c>
      <c r="Y2553">
        <v>-0.41420780000000001</v>
      </c>
      <c r="Z2553">
        <v>6.6227599999999998E-2</v>
      </c>
      <c r="AA2553">
        <v>0.90776970000000001</v>
      </c>
      <c r="AB2553">
        <v>41</v>
      </c>
      <c r="AC2553">
        <v>-3.2128000000000099</v>
      </c>
      <c r="AD2553">
        <v>-1.12497163562129</v>
      </c>
      <c r="AE2553">
        <v>-5.4958999999999998</v>
      </c>
      <c r="AF2553">
        <v>-2.6195604990238199</v>
      </c>
      <c r="AG2553">
        <v>-1.12497163562129</v>
      </c>
      <c r="AH2553">
        <v>5.5899545282031404</v>
      </c>
      <c r="AI2553">
        <v>100.32777818291299</v>
      </c>
      <c r="AJ2553">
        <v>115.108694375059</v>
      </c>
      <c r="AK2553">
        <v>6.2749701207557296</v>
      </c>
      <c r="AL2553">
        <v>87.356098631317707</v>
      </c>
      <c r="AM2553">
        <v>100.454442360653</v>
      </c>
      <c r="AN2553">
        <v>1.00000001313333</v>
      </c>
    </row>
    <row r="2554" spans="1:40" x14ac:dyDescent="0.25">
      <c r="A2554" t="str">
        <f>"20190312151035641"</f>
        <v>20190312151035641</v>
      </c>
      <c r="B2554" t="str">
        <f>"1552374635633347"</f>
        <v>1552374635633347</v>
      </c>
      <c r="C2554" t="s">
        <v>40</v>
      </c>
      <c r="D2554">
        <v>4.9956779999999998</v>
      </c>
      <c r="E2554">
        <v>0.40688770000000002</v>
      </c>
      <c r="F2554" t="s">
        <v>50</v>
      </c>
      <c r="G2554">
        <v>-487.8168</v>
      </c>
      <c r="H2554" s="1">
        <v>3.2945830000000001E-7</v>
      </c>
      <c r="I2554">
        <v>271.08550000000002</v>
      </c>
      <c r="J2554">
        <v>-484.6653</v>
      </c>
      <c r="K2554">
        <v>1.1250260000000001</v>
      </c>
      <c r="L2554">
        <v>276.58030000000002</v>
      </c>
      <c r="M2554">
        <v>-0.81856949999999995</v>
      </c>
      <c r="N2554">
        <v>0</v>
      </c>
      <c r="O2554">
        <v>-0.5741851</v>
      </c>
      <c r="P2554">
        <v>-0.70150179999999995</v>
      </c>
      <c r="Q2554">
        <v>3.665086E-2</v>
      </c>
      <c r="R2554">
        <v>-0.71172489999999999</v>
      </c>
      <c r="S2554">
        <v>-1.5913389999999901</v>
      </c>
      <c r="T2554">
        <v>-0.53671769999999996</v>
      </c>
      <c r="U2554">
        <v>-2.6838989999999998</v>
      </c>
      <c r="V2554">
        <v>-0.181668</v>
      </c>
      <c r="W2554">
        <v>4.5566339999999997E-2</v>
      </c>
      <c r="X2554">
        <v>0.98230360000000005</v>
      </c>
      <c r="Y2554">
        <v>-0.41248259999999998</v>
      </c>
      <c r="Z2554">
        <v>6.7714239999999995E-2</v>
      </c>
      <c r="AA2554">
        <v>0.90844530000000001</v>
      </c>
      <c r="AB2554">
        <v>41</v>
      </c>
      <c r="AC2554">
        <v>-3.1514999999999902</v>
      </c>
      <c r="AD2554">
        <v>-1.1250256705416899</v>
      </c>
      <c r="AE2554">
        <v>-5.4947999999999899</v>
      </c>
      <c r="AF2554">
        <v>-2.6064575376111501</v>
      </c>
      <c r="AG2554">
        <v>-1.1250256705416899</v>
      </c>
      <c r="AH2554">
        <v>5.5601006870276803</v>
      </c>
      <c r="AI2554">
        <v>100.381893458411</v>
      </c>
      <c r="AJ2554">
        <v>115.116189501817</v>
      </c>
      <c r="AK2554">
        <v>6.2429178518248598</v>
      </c>
      <c r="AL2554">
        <v>87.388336626016894</v>
      </c>
      <c r="AM2554">
        <v>100.477937677203</v>
      </c>
      <c r="AN2554">
        <v>0.99999995806897701</v>
      </c>
    </row>
    <row r="2555" spans="1:40" x14ac:dyDescent="0.25">
      <c r="A2555" t="str">
        <f>"20190312151035652"</f>
        <v>20190312151035652</v>
      </c>
      <c r="B2555" t="str">
        <f>"1552374635643107"</f>
        <v>1552374635643107</v>
      </c>
      <c r="C2555" t="s">
        <v>40</v>
      </c>
      <c r="D2555">
        <v>4.9306190000000001</v>
      </c>
      <c r="E2555">
        <v>0.40688770000000002</v>
      </c>
      <c r="F2555" t="s">
        <v>50</v>
      </c>
      <c r="G2555">
        <v>-487.96249999999998</v>
      </c>
      <c r="H2555" s="1">
        <v>2.8823690000000002E-7</v>
      </c>
      <c r="I2555">
        <v>270.9323</v>
      </c>
      <c r="J2555">
        <v>-484.84719999999999</v>
      </c>
      <c r="K2555">
        <v>1.125081</v>
      </c>
      <c r="L2555">
        <v>276.44830000000002</v>
      </c>
      <c r="M2555">
        <v>-0.81386289999999994</v>
      </c>
      <c r="N2555">
        <v>0</v>
      </c>
      <c r="O2555">
        <v>-0.58083680000000004</v>
      </c>
      <c r="P2555">
        <v>-0.69526880000000002</v>
      </c>
      <c r="Q2555">
        <v>3.6231190000000003E-2</v>
      </c>
      <c r="R2555">
        <v>-0.71783629999999998</v>
      </c>
      <c r="S2555">
        <v>-1.572174</v>
      </c>
      <c r="T2555">
        <v>-0.53644179999999997</v>
      </c>
      <c r="U2555">
        <v>-2.693085</v>
      </c>
      <c r="V2555">
        <v>-0.18223800000000001</v>
      </c>
      <c r="W2555">
        <v>4.5112380000000001E-2</v>
      </c>
      <c r="X2555">
        <v>0.98221899999999995</v>
      </c>
      <c r="Y2555">
        <v>-0.41129919999999998</v>
      </c>
      <c r="Z2555">
        <v>6.9114099999999998E-2</v>
      </c>
      <c r="AA2555">
        <v>0.90887640000000003</v>
      </c>
      <c r="AB2555">
        <v>41</v>
      </c>
      <c r="AC2555">
        <v>-3.1152999999999902</v>
      </c>
      <c r="AD2555">
        <v>-1.1250807117631001</v>
      </c>
      <c r="AE2555">
        <v>-5.5160000000000098</v>
      </c>
      <c r="AF2555">
        <v>-2.59817897571974</v>
      </c>
      <c r="AG2555">
        <v>-1.1250807117631001</v>
      </c>
      <c r="AH2555">
        <v>5.5645425361854102</v>
      </c>
      <c r="AI2555">
        <v>100.381538357596</v>
      </c>
      <c r="AJ2555">
        <v>115.02866590046899</v>
      </c>
      <c r="AK2555">
        <v>6.2434344903162202</v>
      </c>
      <c r="AL2555">
        <v>87.414373476395895</v>
      </c>
      <c r="AM2555">
        <v>100.51096681913999</v>
      </c>
      <c r="AN2555">
        <v>0.999999989717132</v>
      </c>
    </row>
    <row r="2556" spans="1:40" x14ac:dyDescent="0.25">
      <c r="A2556" t="str">
        <f>"20190312151035665"</f>
        <v>20190312151035665</v>
      </c>
      <c r="B2556" t="str">
        <f>"1552374635653843"</f>
        <v>1552374635653843</v>
      </c>
      <c r="C2556" t="s">
        <v>40</v>
      </c>
      <c r="D2556">
        <v>4.9743149999999998</v>
      </c>
      <c r="E2556">
        <v>0.42060930000000002</v>
      </c>
      <c r="F2556" t="s">
        <v>50</v>
      </c>
      <c r="G2556">
        <v>-488.08819999999997</v>
      </c>
      <c r="H2556" s="1">
        <v>2.4585009999999999E-7</v>
      </c>
      <c r="I2556">
        <v>270.78089999999997</v>
      </c>
      <c r="J2556">
        <v>-485.02339999999998</v>
      </c>
      <c r="K2556">
        <v>1.125135</v>
      </c>
      <c r="L2556">
        <v>276.31819999999999</v>
      </c>
      <c r="M2556">
        <v>-0.80919819999999998</v>
      </c>
      <c r="N2556">
        <v>0</v>
      </c>
      <c r="O2556">
        <v>-0.58731730000000004</v>
      </c>
      <c r="P2556">
        <v>-0.68923570000000001</v>
      </c>
      <c r="Q2556">
        <v>3.592919E-2</v>
      </c>
      <c r="R2556">
        <v>-0.72364589999999995</v>
      </c>
      <c r="S2556">
        <v>-1.548035</v>
      </c>
      <c r="T2556">
        <v>-0.5373732</v>
      </c>
      <c r="U2556">
        <v>-2.7069399999999999</v>
      </c>
      <c r="V2556">
        <v>-0.18262339999999999</v>
      </c>
      <c r="W2556">
        <v>4.4784169999999998E-2</v>
      </c>
      <c r="X2556">
        <v>0.98216250000000005</v>
      </c>
      <c r="Y2556">
        <v>-0.41218759999999999</v>
      </c>
      <c r="Z2556">
        <v>7.0435529999999996E-2</v>
      </c>
      <c r="AA2556">
        <v>0.90837230000000002</v>
      </c>
      <c r="AB2556">
        <v>41</v>
      </c>
      <c r="AC2556">
        <v>-3.0647999999999902</v>
      </c>
      <c r="AD2556">
        <v>-1.1251347541498999</v>
      </c>
      <c r="AE2556">
        <v>-5.5373000000000099</v>
      </c>
      <c r="AF2556">
        <v>-2.5989668924596798</v>
      </c>
      <c r="AG2556">
        <v>-1.1251347541498999</v>
      </c>
      <c r="AH2556">
        <v>5.5572806699919797</v>
      </c>
      <c r="AI2556">
        <v>100.39236495583501</v>
      </c>
      <c r="AJ2556">
        <v>115.064026126443</v>
      </c>
      <c r="AK2556">
        <v>6.2373011445788</v>
      </c>
      <c r="AL2556">
        <v>87.433197710304896</v>
      </c>
      <c r="AM2556">
        <v>100.533291022028</v>
      </c>
      <c r="AN2556">
        <v>1.00000005225819</v>
      </c>
    </row>
    <row r="2557" spans="1:40" x14ac:dyDescent="0.25">
      <c r="A2557" t="str">
        <f>"20190312151035680"</f>
        <v>20190312151035680</v>
      </c>
      <c r="B2557" t="str">
        <f>"1552374635673362"</f>
        <v>1552374635673362</v>
      </c>
      <c r="C2557" t="s">
        <v>40</v>
      </c>
      <c r="D2557">
        <v>4.9944800000000003</v>
      </c>
      <c r="E2557">
        <v>0.4218848</v>
      </c>
      <c r="F2557" t="s">
        <v>50</v>
      </c>
      <c r="G2557">
        <v>-488.84390000000002</v>
      </c>
      <c r="H2557" s="1">
        <v>7.3254899999999998E-8</v>
      </c>
      <c r="I2557">
        <v>270.03230000000002</v>
      </c>
      <c r="J2557">
        <v>-485.23289999999997</v>
      </c>
      <c r="K2557">
        <v>1.1251960000000001</v>
      </c>
      <c r="L2557">
        <v>276.16140000000001</v>
      </c>
      <c r="M2557">
        <v>-0.80353369999999902</v>
      </c>
      <c r="N2557">
        <v>0</v>
      </c>
      <c r="O2557">
        <v>-0.59504309999999905</v>
      </c>
      <c r="P2557">
        <v>-0.68156130000000004</v>
      </c>
      <c r="Q2557">
        <v>3.4764129999999997E-2</v>
      </c>
      <c r="R2557">
        <v>-0.73093520000000001</v>
      </c>
      <c r="S2557">
        <v>-1.6048579999999999</v>
      </c>
      <c r="T2557">
        <v>-0.47263430000000001</v>
      </c>
      <c r="U2557">
        <v>-2.640533</v>
      </c>
      <c r="V2557">
        <v>-0.1835862</v>
      </c>
      <c r="W2557">
        <v>4.3566569999999999E-2</v>
      </c>
      <c r="X2557">
        <v>0.98203770000000001</v>
      </c>
      <c r="Y2557">
        <v>-0.37902209999999997</v>
      </c>
      <c r="Z2557">
        <v>6.6297800000000004E-2</v>
      </c>
      <c r="AA2557">
        <v>0.92300970000000004</v>
      </c>
      <c r="AB2557">
        <v>41</v>
      </c>
      <c r="AC2557">
        <v>-3.6110000000000402</v>
      </c>
      <c r="AD2557">
        <v>-1.1251959267450999</v>
      </c>
      <c r="AE2557">
        <v>-6.1290999999999896</v>
      </c>
      <c r="AF2557">
        <v>-2.70882428206688</v>
      </c>
      <c r="AG2557">
        <v>-1.1251959267450999</v>
      </c>
      <c r="AH2557">
        <v>6.3896227327040496</v>
      </c>
      <c r="AI2557">
        <v>99.2092091457572</v>
      </c>
      <c r="AJ2557">
        <v>112.97408846734</v>
      </c>
      <c r="AK2557">
        <v>7.03072354249315</v>
      </c>
      <c r="AL2557">
        <v>87.503029070505406</v>
      </c>
      <c r="AM2557">
        <v>100.5888857731</v>
      </c>
      <c r="AN2557">
        <v>0.99999999153664698</v>
      </c>
    </row>
    <row r="2558" spans="1:40" x14ac:dyDescent="0.25">
      <c r="A2558" t="str">
        <f>"20190312151035693"</f>
        <v>20190312151035693</v>
      </c>
      <c r="B2558" t="str">
        <f>"1552374635683125"</f>
        <v>1552374635683125</v>
      </c>
      <c r="C2558" t="s">
        <v>40</v>
      </c>
      <c r="D2558">
        <v>4.9749489999999996</v>
      </c>
      <c r="E2558">
        <v>0.42277379999999998</v>
      </c>
      <c r="F2558" t="s">
        <v>50</v>
      </c>
      <c r="G2558">
        <v>-488.91120000000001</v>
      </c>
      <c r="H2558" s="1">
        <v>6.9091119999999899E-8</v>
      </c>
      <c r="I2558">
        <v>270.0086</v>
      </c>
      <c r="J2558">
        <v>-485.43880000000001</v>
      </c>
      <c r="K2558">
        <v>1.1252610000000001</v>
      </c>
      <c r="L2558">
        <v>276.00360000000001</v>
      </c>
      <c r="M2558">
        <v>-0.7978016</v>
      </c>
      <c r="N2558">
        <v>0</v>
      </c>
      <c r="O2558">
        <v>-0.60270630000000003</v>
      </c>
      <c r="P2558">
        <v>-0.67448680000000005</v>
      </c>
      <c r="Q2558">
        <v>3.4246319999999997E-2</v>
      </c>
      <c r="R2558">
        <v>-0.73749259999999905</v>
      </c>
      <c r="S2558">
        <v>-1.58429</v>
      </c>
      <c r="T2558">
        <v>-0.48463820000000002</v>
      </c>
      <c r="U2558">
        <v>-2.6500849999999998</v>
      </c>
      <c r="V2558">
        <v>-0.1836574</v>
      </c>
      <c r="W2558">
        <v>4.3033960000000003E-2</v>
      </c>
      <c r="X2558">
        <v>0.98204789999999997</v>
      </c>
      <c r="Y2558">
        <v>-0.37704579999999999</v>
      </c>
      <c r="Z2558">
        <v>6.9508319999999998E-2</v>
      </c>
      <c r="AA2558">
        <v>0.92358269999999998</v>
      </c>
      <c r="AB2558">
        <v>41</v>
      </c>
      <c r="AC2558">
        <v>-3.4723999999999902</v>
      </c>
      <c r="AD2558">
        <v>-1.1252609309088799</v>
      </c>
      <c r="AE2558">
        <v>-5.9950000000000001</v>
      </c>
      <c r="AF2558">
        <v>-2.6211812211590702</v>
      </c>
      <c r="AG2558">
        <v>-1.1252609309088799</v>
      </c>
      <c r="AH2558">
        <v>6.2202387511984103</v>
      </c>
      <c r="AI2558">
        <v>99.464532141785298</v>
      </c>
      <c r="AJ2558">
        <v>112.850343464779</v>
      </c>
      <c r="AK2558">
        <v>6.8431113741263401</v>
      </c>
      <c r="AL2558">
        <v>87.533574094724401</v>
      </c>
      <c r="AM2558">
        <v>100.59279198929001</v>
      </c>
      <c r="AN2558">
        <v>1.00000002009122</v>
      </c>
    </row>
    <row r="2559" spans="1:40" x14ac:dyDescent="0.25">
      <c r="A2559" t="str">
        <f>"20190312151035713"</f>
        <v>20190312151035713</v>
      </c>
      <c r="B2559" t="str">
        <f>"1552374635703619"</f>
        <v>1552374635703619</v>
      </c>
      <c r="C2559" t="s">
        <v>40</v>
      </c>
      <c r="D2559">
        <v>4.9809539999999997</v>
      </c>
      <c r="E2559">
        <v>0.42394150000000003</v>
      </c>
      <c r="F2559" t="s">
        <v>50</v>
      </c>
      <c r="G2559">
        <v>-489.05860000000001</v>
      </c>
      <c r="H2559" s="1">
        <v>4.0586120000000002E-8</v>
      </c>
      <c r="I2559">
        <v>269.84679999999997</v>
      </c>
      <c r="J2559">
        <v>-485.70890000000003</v>
      </c>
      <c r="K2559">
        <v>1.125346</v>
      </c>
      <c r="L2559">
        <v>275.7919</v>
      </c>
      <c r="M2559">
        <v>-0.79005559999999997</v>
      </c>
      <c r="N2559">
        <v>0</v>
      </c>
      <c r="O2559">
        <v>-0.61282440000000005</v>
      </c>
      <c r="P2559">
        <v>-0.6646531</v>
      </c>
      <c r="Q2559">
        <v>3.2965170000000002E-2</v>
      </c>
      <c r="R2559">
        <v>-0.74642459999999999</v>
      </c>
      <c r="S2559">
        <v>-1.563965</v>
      </c>
      <c r="T2559">
        <v>-0.48617949999999999</v>
      </c>
      <c r="U2559">
        <v>-2.6600950000000001</v>
      </c>
      <c r="V2559">
        <v>-0.184165</v>
      </c>
      <c r="W2559">
        <v>4.1717160000000003E-2</v>
      </c>
      <c r="X2559">
        <v>0.98200960000000004</v>
      </c>
      <c r="Y2559">
        <v>-0.37211899999999998</v>
      </c>
      <c r="Z2559">
        <v>7.1916129999999995E-2</v>
      </c>
      <c r="AA2559">
        <v>0.92539479999999996</v>
      </c>
      <c r="AB2559">
        <v>41</v>
      </c>
      <c r="AC2559">
        <v>-3.3496999999999799</v>
      </c>
      <c r="AD2559">
        <v>-1.1253459594138699</v>
      </c>
      <c r="AE2559">
        <v>-5.9451000000000196</v>
      </c>
      <c r="AF2559">
        <v>-2.5745054543169399</v>
      </c>
      <c r="AG2559">
        <v>-1.1253459594138699</v>
      </c>
      <c r="AH2559">
        <v>6.1240118389004801</v>
      </c>
      <c r="AI2559">
        <v>99.614582707953801</v>
      </c>
      <c r="AJ2559">
        <v>112.801653134068</v>
      </c>
      <c r="AK2559">
        <v>6.7378040091464602</v>
      </c>
      <c r="AL2559">
        <v>87.609088872260699</v>
      </c>
      <c r="AM2559">
        <v>100.621808361738</v>
      </c>
      <c r="AN2559">
        <v>0.99999996157781201</v>
      </c>
    </row>
    <row r="2560" spans="1:40" x14ac:dyDescent="0.25">
      <c r="A2560" t="str">
        <f>"20190312151035725"</f>
        <v>20190312151035725</v>
      </c>
      <c r="B2560" t="str">
        <f>"1552374635713379"</f>
        <v>1552374635713379</v>
      </c>
      <c r="C2560" t="s">
        <v>40</v>
      </c>
      <c r="D2560">
        <v>5.0124490000000002</v>
      </c>
      <c r="E2560">
        <v>0.42456840000000001</v>
      </c>
      <c r="F2560" t="s">
        <v>50</v>
      </c>
      <c r="G2560">
        <v>-489.20280000000002</v>
      </c>
      <c r="H2560" s="1">
        <v>1.485829E-8</v>
      </c>
      <c r="I2560">
        <v>269.70069999999998</v>
      </c>
      <c r="J2560">
        <v>-485.87110000000001</v>
      </c>
      <c r="K2560">
        <v>1.1253959999999901</v>
      </c>
      <c r="L2560">
        <v>275.66180000000003</v>
      </c>
      <c r="M2560">
        <v>-0.78526470000000004</v>
      </c>
      <c r="N2560">
        <v>0</v>
      </c>
      <c r="O2560">
        <v>-0.61895089999999997</v>
      </c>
      <c r="P2560">
        <v>-0.65844769999999997</v>
      </c>
      <c r="Q2560">
        <v>3.2819330000000001E-2</v>
      </c>
      <c r="R2560">
        <v>-0.75191039999999998</v>
      </c>
      <c r="S2560">
        <v>-1.5342709999999999</v>
      </c>
      <c r="T2560">
        <v>-0.49417139999999998</v>
      </c>
      <c r="U2560">
        <v>-2.6748050000000001</v>
      </c>
      <c r="V2560">
        <v>-0.18466550000000001</v>
      </c>
      <c r="W2560">
        <v>4.1540889999999997E-2</v>
      </c>
      <c r="X2560">
        <v>0.98192310000000005</v>
      </c>
      <c r="Y2560">
        <v>-0.37489679999999997</v>
      </c>
      <c r="Z2560">
        <v>7.4050950000000004E-2</v>
      </c>
      <c r="AA2560">
        <v>0.92410429999999999</v>
      </c>
      <c r="AB2560">
        <v>41</v>
      </c>
      <c r="AC2560">
        <v>-3.3317000000000099</v>
      </c>
      <c r="AD2560">
        <v>-1.1253959851417099</v>
      </c>
      <c r="AE2560">
        <v>-5.96110000000004</v>
      </c>
      <c r="AF2560">
        <v>-2.5499697535703101</v>
      </c>
      <c r="AG2560">
        <v>-1.1253959851417099</v>
      </c>
      <c r="AH2560">
        <v>6.1399621261429296</v>
      </c>
      <c r="AI2560">
        <v>99.6075403837999</v>
      </c>
      <c r="AJ2560">
        <v>112.55345789658099</v>
      </c>
      <c r="AK2560">
        <v>6.74299612768435</v>
      </c>
      <c r="AL2560">
        <v>87.619197214145601</v>
      </c>
      <c r="AM2560">
        <v>100.65093220838401</v>
      </c>
      <c r="AN2560">
        <v>0.99999998337292595</v>
      </c>
    </row>
    <row r="2561" spans="1:40" x14ac:dyDescent="0.25">
      <c r="A2561" t="str">
        <f>"20190312151035745"</f>
        <v>20190312151035745</v>
      </c>
      <c r="B2561" t="str">
        <f>"1552374635743635"</f>
        <v>1552374635743635</v>
      </c>
      <c r="C2561" t="s">
        <v>40</v>
      </c>
      <c r="D2561">
        <v>4.9996600000000004</v>
      </c>
      <c r="E2561">
        <v>0.42624230000000002</v>
      </c>
      <c r="F2561" t="s">
        <v>42</v>
      </c>
      <c r="G2561">
        <v>-489.33629999999999</v>
      </c>
      <c r="H2561" s="1">
        <v>-4.361958E-6</v>
      </c>
      <c r="I2561">
        <v>269.52620000000002</v>
      </c>
      <c r="J2561">
        <v>-486.1592</v>
      </c>
      <c r="K2561">
        <v>1.125489</v>
      </c>
      <c r="L2561">
        <v>275.42599999999999</v>
      </c>
      <c r="M2561">
        <v>-0.77651169999999903</v>
      </c>
      <c r="N2561">
        <v>0</v>
      </c>
      <c r="O2561">
        <v>-0.62989659999999903</v>
      </c>
      <c r="P2561">
        <v>-0.64726139999999999</v>
      </c>
      <c r="Q2561">
        <v>3.1797609999999997E-2</v>
      </c>
      <c r="R2561">
        <v>-0.76160490000000003</v>
      </c>
      <c r="S2561">
        <v>-1.515808</v>
      </c>
      <c r="T2561">
        <v>-0.49228690000000003</v>
      </c>
      <c r="U2561">
        <v>-2.6838989999999998</v>
      </c>
      <c r="V2561">
        <v>-0.18542230000000001</v>
      </c>
      <c r="W2561">
        <v>4.047129E-2</v>
      </c>
      <c r="X2561">
        <v>0.98182519999999995</v>
      </c>
      <c r="Y2561">
        <v>-0.36817070000000002</v>
      </c>
      <c r="Z2561">
        <v>7.6258919999999994E-2</v>
      </c>
      <c r="AA2561">
        <v>0.92662549999999999</v>
      </c>
      <c r="AB2561">
        <v>41</v>
      </c>
      <c r="AC2561">
        <v>-3.17709999999999</v>
      </c>
      <c r="AD2561">
        <v>-1.1254933619580001</v>
      </c>
      <c r="AE2561">
        <v>-5.8997999999999697</v>
      </c>
      <c r="AF2561">
        <v>-2.5095565168802101</v>
      </c>
      <c r="AG2561">
        <v>-1.1254933619580001</v>
      </c>
      <c r="AH2561">
        <v>6.0144470872935498</v>
      </c>
      <c r="AI2561">
        <v>99.7983770737724</v>
      </c>
      <c r="AJ2561">
        <v>112.64856842093501</v>
      </c>
      <c r="AK2561">
        <v>6.6134849349704696</v>
      </c>
      <c r="AL2561">
        <v>87.680532502190701</v>
      </c>
      <c r="AM2561">
        <v>100.69461912532201</v>
      </c>
      <c r="AN2561">
        <v>1.0000000390032899</v>
      </c>
    </row>
    <row r="2562" spans="1:40" x14ac:dyDescent="0.25">
      <c r="A2562" t="str">
        <f>"20190312151035756"</f>
        <v>20190312151035756</v>
      </c>
      <c r="B2562" t="str">
        <f>"1552374635753395"</f>
        <v>1552374635753395</v>
      </c>
      <c r="C2562" t="s">
        <v>40</v>
      </c>
      <c r="D2562">
        <v>4.979266</v>
      </c>
      <c r="E2562">
        <v>0.42624230000000002</v>
      </c>
      <c r="F2562" t="s">
        <v>42</v>
      </c>
      <c r="G2562">
        <v>-489.53629999999998</v>
      </c>
      <c r="H2562" s="1">
        <v>-4.2288260000000004E-6</v>
      </c>
      <c r="I2562">
        <v>269.29849999999999</v>
      </c>
      <c r="J2562">
        <v>-486.30990000000003</v>
      </c>
      <c r="K2562">
        <v>1.1255379999999999</v>
      </c>
      <c r="L2562">
        <v>275.3005</v>
      </c>
      <c r="M2562">
        <v>-0.7718121</v>
      </c>
      <c r="N2562">
        <v>0</v>
      </c>
      <c r="O2562">
        <v>-0.63564589999999999</v>
      </c>
      <c r="P2562">
        <v>-0.64134440000000004</v>
      </c>
      <c r="Q2562">
        <v>3.1765410000000001E-2</v>
      </c>
      <c r="R2562">
        <v>-0.76659569999999999</v>
      </c>
      <c r="S2562">
        <v>-1.4862059999999999</v>
      </c>
      <c r="T2562">
        <v>-0.49531629999999899</v>
      </c>
      <c r="U2562">
        <v>-2.696625</v>
      </c>
      <c r="V2562">
        <v>-0.18573919999999999</v>
      </c>
      <c r="W2562">
        <v>4.0416979999999998E-2</v>
      </c>
      <c r="X2562">
        <v>0.98176750000000002</v>
      </c>
      <c r="Y2562">
        <v>-0.37095220000000001</v>
      </c>
      <c r="Z2562">
        <v>7.7665219999999993E-2</v>
      </c>
      <c r="AA2562">
        <v>0.92539859999999896</v>
      </c>
      <c r="AB2562">
        <v>41</v>
      </c>
      <c r="AC2562">
        <v>-3.2263999999999502</v>
      </c>
      <c r="AD2562">
        <v>-1.125542228826</v>
      </c>
      <c r="AE2562">
        <v>-6.0019999999999998</v>
      </c>
      <c r="AF2562">
        <v>-2.5133333979269801</v>
      </c>
      <c r="AG2562">
        <v>-1.125542228826</v>
      </c>
      <c r="AH2562">
        <v>6.1386617320208803</v>
      </c>
      <c r="AI2562">
        <v>99.630327802157296</v>
      </c>
      <c r="AJ2562">
        <v>112.26551395604299</v>
      </c>
      <c r="AK2562">
        <v>6.72806494753012</v>
      </c>
      <c r="AL2562">
        <v>87.683646701378095</v>
      </c>
      <c r="AM2562">
        <v>100.71308936917001</v>
      </c>
      <c r="AN2562">
        <v>1.0000000033726</v>
      </c>
    </row>
    <row r="2563" spans="1:40" x14ac:dyDescent="0.25">
      <c r="A2563" t="str">
        <f>"20190312151035768"</f>
        <v>20190312151035768</v>
      </c>
      <c r="B2563" t="str">
        <f>"1552374635763154"</f>
        <v>1552374635763154</v>
      </c>
      <c r="C2563" t="s">
        <v>40</v>
      </c>
      <c r="D2563">
        <v>5.0026970000000004</v>
      </c>
      <c r="E2563">
        <v>0.4342607</v>
      </c>
      <c r="F2563" t="s">
        <v>42</v>
      </c>
      <c r="G2563">
        <v>-489.63780000000003</v>
      </c>
      <c r="H2563" s="1">
        <v>-4.1465120000000004E-6</v>
      </c>
      <c r="I2563">
        <v>269.14859999999999</v>
      </c>
      <c r="J2563">
        <v>-486.46260000000001</v>
      </c>
      <c r="K2563">
        <v>1.125594</v>
      </c>
      <c r="L2563">
        <v>275.17020000000002</v>
      </c>
      <c r="M2563">
        <v>-0.7669163</v>
      </c>
      <c r="N2563">
        <v>0</v>
      </c>
      <c r="O2563">
        <v>-0.64154389999999994</v>
      </c>
      <c r="P2563">
        <v>-0.63520100000000002</v>
      </c>
      <c r="Q2563">
        <v>3.156639E-2</v>
      </c>
      <c r="R2563">
        <v>-0.77170130000000003</v>
      </c>
      <c r="S2563">
        <v>-1.4650570000000001</v>
      </c>
      <c r="T2563">
        <v>-0.49550290000000002</v>
      </c>
      <c r="U2563">
        <v>-2.7082820000000001</v>
      </c>
      <c r="V2563">
        <v>-0.18605869999999999</v>
      </c>
      <c r="W2563">
        <v>4.0196379999999997E-2</v>
      </c>
      <c r="X2563">
        <v>0.98171600000000003</v>
      </c>
      <c r="Y2563">
        <v>-0.37113420000000003</v>
      </c>
      <c r="Z2563">
        <v>7.8765479999999999E-2</v>
      </c>
      <c r="AA2563">
        <v>0.92523259999999996</v>
      </c>
      <c r="AB2563">
        <v>41</v>
      </c>
      <c r="AC2563">
        <v>-3.17520000000001</v>
      </c>
      <c r="AD2563">
        <v>-1.125598146512</v>
      </c>
      <c r="AE2563">
        <v>-6.0216000000000296</v>
      </c>
      <c r="AF2563">
        <v>-2.5126735410674899</v>
      </c>
      <c r="AG2563">
        <v>-1.125598146512</v>
      </c>
      <c r="AH2563">
        <v>6.1314227189422299</v>
      </c>
      <c r="AI2563">
        <v>99.640707542468107</v>
      </c>
      <c r="AJ2563">
        <v>112.28395049238399</v>
      </c>
      <c r="AK2563">
        <v>6.7212234057329798</v>
      </c>
      <c r="AL2563">
        <v>87.696296299502905</v>
      </c>
      <c r="AM2563">
        <v>100.731639812325</v>
      </c>
      <c r="AN2563">
        <v>0.99999994673339498</v>
      </c>
    </row>
    <row r="2564" spans="1:40" x14ac:dyDescent="0.25">
      <c r="A2564" t="str">
        <f>"20190312151035779"</f>
        <v>20190312151035779</v>
      </c>
      <c r="B2564" t="str">
        <f>"1552374635772915"</f>
        <v>1552374635772915</v>
      </c>
      <c r="C2564" t="s">
        <v>40</v>
      </c>
      <c r="D2564">
        <v>4.9971800000000002</v>
      </c>
      <c r="E2564">
        <v>0.43521460000000001</v>
      </c>
      <c r="F2564" t="s">
        <v>42</v>
      </c>
      <c r="G2564">
        <v>-490.02749999999997</v>
      </c>
      <c r="H2564" s="1">
        <v>-3.9488049999999997E-6</v>
      </c>
      <c r="I2564">
        <v>268.77679999999998</v>
      </c>
      <c r="J2564">
        <v>-486.61869999999999</v>
      </c>
      <c r="K2564">
        <v>1.1256469999999901</v>
      </c>
      <c r="L2564">
        <v>275.03590000000003</v>
      </c>
      <c r="M2564">
        <v>-0.76183690000000004</v>
      </c>
      <c r="N2564">
        <v>0</v>
      </c>
      <c r="O2564">
        <v>-0.64756689999999995</v>
      </c>
      <c r="P2564">
        <v>-0.62856099999999904</v>
      </c>
      <c r="Q2564">
        <v>3.1140419999999999E-2</v>
      </c>
      <c r="R2564">
        <v>-0.77713690000000002</v>
      </c>
      <c r="S2564">
        <v>-1.493134</v>
      </c>
      <c r="T2564">
        <v>-0.4714411</v>
      </c>
      <c r="U2564">
        <v>-2.677765</v>
      </c>
      <c r="V2564">
        <v>-0.18674279999999999</v>
      </c>
      <c r="W2564">
        <v>3.9732789999999997E-2</v>
      </c>
      <c r="X2564">
        <v>0.98160510000000001</v>
      </c>
      <c r="Y2564">
        <v>-0.35191230000000001</v>
      </c>
      <c r="Z2564">
        <v>7.7626819999999999E-2</v>
      </c>
      <c r="AA2564">
        <v>0.93280859999999999</v>
      </c>
      <c r="AB2564">
        <v>41</v>
      </c>
      <c r="AC2564">
        <v>-3.4087999999999798</v>
      </c>
      <c r="AD2564">
        <v>-1.1256509488049999</v>
      </c>
      <c r="AE2564">
        <v>-6.2591000000000401</v>
      </c>
      <c r="AF2564">
        <v>-2.4989862855040199</v>
      </c>
      <c r="AG2564">
        <v>-1.1256509488049999</v>
      </c>
      <c r="AH2564">
        <v>6.4891371128107602</v>
      </c>
      <c r="AI2564">
        <v>99.195171258884699</v>
      </c>
      <c r="AJ2564">
        <v>111.06184594662</v>
      </c>
      <c r="AK2564">
        <v>7.0442120199878104</v>
      </c>
      <c r="AL2564">
        <v>87.722879569999193</v>
      </c>
      <c r="AM2564">
        <v>100.771364882854</v>
      </c>
      <c r="AN2564">
        <v>1.00000007014951</v>
      </c>
    </row>
    <row r="2565" spans="1:40" x14ac:dyDescent="0.25">
      <c r="A2565" t="str">
        <f>"20190312151035790"</f>
        <v>20190312151035790</v>
      </c>
      <c r="B2565" t="str">
        <f>"1552374635783651"</f>
        <v>1552374635783651</v>
      </c>
      <c r="C2565" t="s">
        <v>40</v>
      </c>
      <c r="D2565">
        <v>5.0090050000000002</v>
      </c>
      <c r="E2565">
        <v>0.43589879999999998</v>
      </c>
      <c r="F2565" t="s">
        <v>42</v>
      </c>
      <c r="G2565">
        <v>-490.08659999999998</v>
      </c>
      <c r="H2565" s="1">
        <v>-3.9438079999999996E-6</v>
      </c>
      <c r="I2565">
        <v>268.7285</v>
      </c>
      <c r="J2565">
        <v>-486.76139999999998</v>
      </c>
      <c r="K2565">
        <v>1.12569599999999</v>
      </c>
      <c r="L2565">
        <v>274.91050000000001</v>
      </c>
      <c r="M2565">
        <v>-0.757071099999999</v>
      </c>
      <c r="N2565">
        <v>0</v>
      </c>
      <c r="O2565">
        <v>-0.65313180000000004</v>
      </c>
      <c r="P2565">
        <v>-0.62223430000000002</v>
      </c>
      <c r="Q2565">
        <v>3.077738E-2</v>
      </c>
      <c r="R2565">
        <v>-0.78222590000000003</v>
      </c>
      <c r="S2565">
        <v>-1.47641</v>
      </c>
      <c r="T2565">
        <v>-0.47923369999999998</v>
      </c>
      <c r="U2565">
        <v>-2.6853030000000002</v>
      </c>
      <c r="V2565">
        <v>-0.18751699999999999</v>
      </c>
      <c r="W2565">
        <v>3.9329700000000002E-2</v>
      </c>
      <c r="X2565">
        <v>0.98147359999999995</v>
      </c>
      <c r="Y2565">
        <v>-0.35072510000000001</v>
      </c>
      <c r="Z2565">
        <v>7.9995830000000004E-2</v>
      </c>
      <c r="AA2565">
        <v>0.93305550000000004</v>
      </c>
      <c r="AB2565">
        <v>40</v>
      </c>
      <c r="AC2565">
        <v>-3.3251999999999899</v>
      </c>
      <c r="AD2565">
        <v>-1.12569994380799</v>
      </c>
      <c r="AE2565">
        <v>-6.1820000000000102</v>
      </c>
      <c r="AF2565">
        <v>-2.4458477945328698</v>
      </c>
      <c r="AG2565">
        <v>-1.12569994380799</v>
      </c>
      <c r="AH2565">
        <v>6.3915589825742796</v>
      </c>
      <c r="AI2565">
        <v>99.340970213224097</v>
      </c>
      <c r="AJ2565">
        <v>110.940270333448</v>
      </c>
      <c r="AK2565">
        <v>6.9355171418746098</v>
      </c>
      <c r="AL2565">
        <v>87.745992695588896</v>
      </c>
      <c r="AM2565">
        <v>100.816384660501</v>
      </c>
      <c r="AN2565">
        <v>0.99999993904402296</v>
      </c>
    </row>
    <row r="2566" spans="1:40" x14ac:dyDescent="0.25">
      <c r="A2566" t="str">
        <f>"20190312151035802"</f>
        <v>20190312151035802</v>
      </c>
      <c r="B2566" t="str">
        <f>"1552374635793410"</f>
        <v>1552374635793410</v>
      </c>
      <c r="C2566" t="s">
        <v>40</v>
      </c>
      <c r="D2566">
        <v>4.9699929999999997</v>
      </c>
      <c r="E2566">
        <v>0.43666919999999998</v>
      </c>
      <c r="F2566" t="s">
        <v>42</v>
      </c>
      <c r="G2566">
        <v>-490.17829999999998</v>
      </c>
      <c r="H2566" s="1">
        <v>-3.9140750000000003E-6</v>
      </c>
      <c r="I2566">
        <v>268.60230000000001</v>
      </c>
      <c r="J2566">
        <v>-486.9135</v>
      </c>
      <c r="K2566">
        <v>1.1257490000000001</v>
      </c>
      <c r="L2566">
        <v>274.77530000000002</v>
      </c>
      <c r="M2566">
        <v>-0.7519034</v>
      </c>
      <c r="N2566">
        <v>0</v>
      </c>
      <c r="O2566">
        <v>-0.65907399999999905</v>
      </c>
      <c r="P2566">
        <v>-0.61554069999999905</v>
      </c>
      <c r="Q2566">
        <v>3.0090430000000001E-2</v>
      </c>
      <c r="R2566">
        <v>-0.78753050000000002</v>
      </c>
      <c r="S2566">
        <v>-1.4590449999999999</v>
      </c>
      <c r="T2566">
        <v>-0.48067359999999998</v>
      </c>
      <c r="U2566">
        <v>-2.6935730000000002</v>
      </c>
      <c r="V2566">
        <v>-0.18815599999999999</v>
      </c>
      <c r="W2566">
        <v>3.8606889999999998E-2</v>
      </c>
      <c r="X2566">
        <v>0.98138000000000003</v>
      </c>
      <c r="Y2566">
        <v>-0.34926040000000003</v>
      </c>
      <c r="Z2566">
        <v>8.1419069999999996E-2</v>
      </c>
      <c r="AA2566">
        <v>0.93348169999999997</v>
      </c>
      <c r="AB2566">
        <v>40</v>
      </c>
      <c r="AC2566">
        <v>-3.2647999999999802</v>
      </c>
      <c r="AD2566">
        <v>-1.125752914075</v>
      </c>
      <c r="AE2566">
        <v>-6.173</v>
      </c>
      <c r="AF2566">
        <v>-2.4270080183641598</v>
      </c>
      <c r="AG2566">
        <v>-1.125752914075</v>
      </c>
      <c r="AH2566">
        <v>6.3588781814231501</v>
      </c>
      <c r="AI2566">
        <v>99.3916219420462</v>
      </c>
      <c r="AJ2566">
        <v>110.89047303392699</v>
      </c>
      <c r="AK2566">
        <v>6.8987694026494104</v>
      </c>
      <c r="AL2566">
        <v>87.787438139858907</v>
      </c>
      <c r="AM2566">
        <v>100.853380197805</v>
      </c>
      <c r="AN2566">
        <v>0.99999993834573397</v>
      </c>
    </row>
    <row r="2567" spans="1:40" x14ac:dyDescent="0.25">
      <c r="A2567" t="str">
        <f>"20190312151035812"</f>
        <v>20190312151035812</v>
      </c>
      <c r="B2567" t="str">
        <f>"1552374635803171"</f>
        <v>1552374635803171</v>
      </c>
      <c r="C2567" t="s">
        <v>40</v>
      </c>
      <c r="D2567">
        <v>5.0110140000000003</v>
      </c>
      <c r="E2567">
        <v>0.43730849999999999</v>
      </c>
      <c r="F2567" t="s">
        <v>42</v>
      </c>
      <c r="G2567">
        <v>-490.28030000000001</v>
      </c>
      <c r="H2567" s="1">
        <v>-3.8797479999999999E-6</v>
      </c>
      <c r="I2567">
        <v>268.45909999999998</v>
      </c>
      <c r="J2567">
        <v>-487.0668</v>
      </c>
      <c r="K2567">
        <v>1.125802</v>
      </c>
      <c r="L2567">
        <v>274.63670000000002</v>
      </c>
      <c r="M2567">
        <v>-0.74657459999999998</v>
      </c>
      <c r="N2567">
        <v>0</v>
      </c>
      <c r="O2567">
        <v>-0.66510389999999997</v>
      </c>
      <c r="P2567">
        <v>-0.60845749999999998</v>
      </c>
      <c r="Q2567">
        <v>2.9672069999999998E-2</v>
      </c>
      <c r="R2567">
        <v>-0.79303190000000001</v>
      </c>
      <c r="S2567">
        <v>-1.4403079999999999</v>
      </c>
      <c r="T2567">
        <v>-0.48159750000000001</v>
      </c>
      <c r="U2567">
        <v>-2.7020870000000001</v>
      </c>
      <c r="V2567">
        <v>-0.189055</v>
      </c>
      <c r="W2567">
        <v>3.814232E-2</v>
      </c>
      <c r="X2567">
        <v>0.98122540000000003</v>
      </c>
      <c r="Y2567">
        <v>-0.34803630000000002</v>
      </c>
      <c r="Z2567">
        <v>8.277234E-2</v>
      </c>
      <c r="AA2567">
        <v>0.93381979999999998</v>
      </c>
      <c r="AB2567">
        <v>40</v>
      </c>
      <c r="AC2567">
        <v>-3.21350000000001</v>
      </c>
      <c r="AD2567">
        <v>-1.1258058797479999</v>
      </c>
      <c r="AE2567">
        <v>-6.1776000000000399</v>
      </c>
      <c r="AF2567">
        <v>-2.41200727995396</v>
      </c>
      <c r="AG2567">
        <v>-1.1258058797479999</v>
      </c>
      <c r="AH2567">
        <v>6.3429251926934596</v>
      </c>
      <c r="AI2567">
        <v>99.419578411748702</v>
      </c>
      <c r="AJ2567">
        <v>110.820174441091</v>
      </c>
      <c r="AK2567">
        <v>6.8788020757637298</v>
      </c>
      <c r="AL2567">
        <v>87.814075704717297</v>
      </c>
      <c r="AM2567">
        <v>100.905673703446</v>
      </c>
      <c r="AN2567">
        <v>0.99999995760256999</v>
      </c>
    </row>
    <row r="2568" spans="1:40" x14ac:dyDescent="0.25">
      <c r="A2568" t="str">
        <f>"20190312151035824"</f>
        <v>20190312151035824</v>
      </c>
      <c r="B2568" t="str">
        <f>"1552374635812931"</f>
        <v>1552374635812931</v>
      </c>
      <c r="C2568" t="s">
        <v>40</v>
      </c>
      <c r="D2568">
        <v>5.0144890000000002</v>
      </c>
      <c r="E2568">
        <v>0.43730849999999999</v>
      </c>
      <c r="F2568" t="s">
        <v>42</v>
      </c>
      <c r="G2568">
        <v>-490.41140000000001</v>
      </c>
      <c r="H2568" s="1">
        <v>-3.8257679999999998E-6</v>
      </c>
      <c r="I2568">
        <v>268.25189999999998</v>
      </c>
      <c r="J2568">
        <v>-487.20620000000002</v>
      </c>
      <c r="K2568">
        <v>1.125856</v>
      </c>
      <c r="L2568">
        <v>274.50850000000003</v>
      </c>
      <c r="M2568">
        <v>-0.74162079999999997</v>
      </c>
      <c r="N2568">
        <v>0</v>
      </c>
      <c r="O2568">
        <v>-0.67062239999999995</v>
      </c>
      <c r="P2568">
        <v>-0.60168299999999997</v>
      </c>
      <c r="Q2568">
        <v>2.9052519999999998E-2</v>
      </c>
      <c r="R2568">
        <v>-0.79820639999999998</v>
      </c>
      <c r="S2568">
        <v>-1.420258</v>
      </c>
      <c r="T2568">
        <v>-0.47805419999999998</v>
      </c>
      <c r="U2568">
        <v>-2.711182</v>
      </c>
      <c r="V2568">
        <v>-0.19012979999999999</v>
      </c>
      <c r="W2568">
        <v>3.746903E-2</v>
      </c>
      <c r="X2568">
        <v>0.98104369999999996</v>
      </c>
      <c r="Y2568">
        <v>-0.34779779999999999</v>
      </c>
      <c r="Z2568">
        <v>8.3212309999999998E-2</v>
      </c>
      <c r="AA2568">
        <v>0.93386959999999997</v>
      </c>
      <c r="AB2568">
        <v>40</v>
      </c>
      <c r="AC2568">
        <v>-3.2051999999999898</v>
      </c>
      <c r="AD2568">
        <v>-1.1258598257679999</v>
      </c>
      <c r="AE2568">
        <v>-6.2566000000000397</v>
      </c>
      <c r="AF2568">
        <v>-2.4285826832230502</v>
      </c>
      <c r="AG2568">
        <v>-1.1258598257679999</v>
      </c>
      <c r="AH2568">
        <v>6.4093307992447501</v>
      </c>
      <c r="AI2568">
        <v>99.328260993826305</v>
      </c>
      <c r="AJ2568">
        <v>110.752380059629</v>
      </c>
      <c r="AK2568">
        <v>6.9458689514470802</v>
      </c>
      <c r="AL2568">
        <v>87.852680082508698</v>
      </c>
      <c r="AM2568">
        <v>100.968156549897</v>
      </c>
      <c r="AN2568">
        <v>1.0000000051834299</v>
      </c>
    </row>
    <row r="2569" spans="1:40" x14ac:dyDescent="0.25">
      <c r="A2569" t="str">
        <f>"20190312151035835"</f>
        <v>20190312151035835</v>
      </c>
      <c r="B2569" t="str">
        <f>"1552374635833427"</f>
        <v>1552374635833427</v>
      </c>
      <c r="C2569" t="s">
        <v>40</v>
      </c>
      <c r="D2569">
        <v>5.040915</v>
      </c>
      <c r="E2569">
        <v>0.4449032</v>
      </c>
      <c r="F2569" t="s">
        <v>42</v>
      </c>
      <c r="G2569">
        <v>-490.48160000000001</v>
      </c>
      <c r="H2569" s="1">
        <v>-3.7888079999999998E-6</v>
      </c>
      <c r="I2569">
        <v>268.12220000000002</v>
      </c>
      <c r="J2569">
        <v>-487.35849999999999</v>
      </c>
      <c r="K2569">
        <v>1.1259110000000001</v>
      </c>
      <c r="L2569">
        <v>274.36689999999999</v>
      </c>
      <c r="M2569">
        <v>-0.73611389999999999</v>
      </c>
      <c r="N2569">
        <v>0</v>
      </c>
      <c r="O2569">
        <v>-0.67666199999999999</v>
      </c>
      <c r="P2569">
        <v>-0.59421959999999996</v>
      </c>
      <c r="Q2569">
        <v>2.8684999999999999E-2</v>
      </c>
      <c r="R2569">
        <v>-0.80379089999999997</v>
      </c>
      <c r="S2569">
        <v>-1.3966369999999999</v>
      </c>
      <c r="T2569">
        <v>-0.48006280000000001</v>
      </c>
      <c r="U2569">
        <v>-2.7230829999999999</v>
      </c>
      <c r="V2569">
        <v>-0.19125159999999999</v>
      </c>
      <c r="W2569">
        <v>3.7045410000000001E-2</v>
      </c>
      <c r="X2569">
        <v>0.98084170000000004</v>
      </c>
      <c r="Y2569">
        <v>-0.34825780000000001</v>
      </c>
      <c r="Z2569">
        <v>8.4622849999999999E-2</v>
      </c>
      <c r="AA2569">
        <v>0.93357140000000005</v>
      </c>
      <c r="AB2569">
        <v>40</v>
      </c>
      <c r="AC2569">
        <v>-3.12310000000002</v>
      </c>
      <c r="AD2569">
        <v>-1.1259147888079899</v>
      </c>
      <c r="AE2569">
        <v>-6.2446999999999599</v>
      </c>
      <c r="AF2569">
        <v>-2.4209037436516998</v>
      </c>
      <c r="AG2569">
        <v>-1.1259147888079899</v>
      </c>
      <c r="AH2569">
        <v>6.3599891090823704</v>
      </c>
      <c r="AI2569">
        <v>99.394488418166404</v>
      </c>
      <c r="AJ2569">
        <v>110.839121571657</v>
      </c>
      <c r="AK2569">
        <v>6.8976750079522997</v>
      </c>
      <c r="AL2569">
        <v>87.876968548926698</v>
      </c>
      <c r="AM2569">
        <v>101.03350379075501</v>
      </c>
      <c r="AN2569">
        <v>0.99999998868175899</v>
      </c>
    </row>
    <row r="2570" spans="1:40" x14ac:dyDescent="0.25">
      <c r="A2570" t="str">
        <f>"20190312151035847"</f>
        <v>20190312151035847</v>
      </c>
      <c r="B2570" t="str">
        <f>"1552374635843187"</f>
        <v>1552374635843187</v>
      </c>
      <c r="C2570" t="s">
        <v>40</v>
      </c>
      <c r="D2570">
        <v>5.0411289999999997</v>
      </c>
      <c r="E2570">
        <v>0.44568950000000002</v>
      </c>
      <c r="F2570" t="s">
        <v>42</v>
      </c>
      <c r="G2570">
        <v>-490.84930000000003</v>
      </c>
      <c r="H2570" s="1">
        <v>-3.7209529999999998E-6</v>
      </c>
      <c r="I2570">
        <v>267.73599999999999</v>
      </c>
      <c r="J2570">
        <v>-487.5018</v>
      </c>
      <c r="K2570">
        <v>1.1259629999999901</v>
      </c>
      <c r="L2570">
        <v>274.23039999999997</v>
      </c>
      <c r="M2570">
        <v>-0.73078580000000004</v>
      </c>
      <c r="N2570">
        <v>0</v>
      </c>
      <c r="O2570">
        <v>-0.68241260000000004</v>
      </c>
      <c r="P2570">
        <v>-0.58719379999999999</v>
      </c>
      <c r="Q2570">
        <v>2.813088E-2</v>
      </c>
      <c r="R2570">
        <v>-0.80895729999999999</v>
      </c>
      <c r="S2570">
        <v>-1.420593</v>
      </c>
      <c r="T2570">
        <v>-0.45819120000000002</v>
      </c>
      <c r="U2570">
        <v>-2.6984249999999999</v>
      </c>
      <c r="V2570">
        <v>-0.19210469999999999</v>
      </c>
      <c r="W2570">
        <v>3.6446909999999999E-2</v>
      </c>
      <c r="X2570">
        <v>0.98069740000000005</v>
      </c>
      <c r="Y2570">
        <v>-0.33084170000000002</v>
      </c>
      <c r="Z2570">
        <v>8.3149780000000006E-2</v>
      </c>
      <c r="AA2570">
        <v>0.94001590000000002</v>
      </c>
      <c r="AB2570">
        <v>40</v>
      </c>
      <c r="AC2570">
        <v>-3.3475000000000201</v>
      </c>
      <c r="AD2570">
        <v>-1.12596672095299</v>
      </c>
      <c r="AE2570">
        <v>-6.4943999999999802</v>
      </c>
      <c r="AF2570">
        <v>-2.4048523273269402</v>
      </c>
      <c r="AG2570">
        <v>-1.12596672095299</v>
      </c>
      <c r="AH2570">
        <v>6.7194955681153798</v>
      </c>
      <c r="AI2570">
        <v>98.965516332004199</v>
      </c>
      <c r="AJ2570">
        <v>109.69187179904399</v>
      </c>
      <c r="AK2570">
        <v>7.2251461205200398</v>
      </c>
      <c r="AL2570">
        <v>87.911283255209099</v>
      </c>
      <c r="AM2570">
        <v>101.083094580563</v>
      </c>
      <c r="AN2570">
        <v>0.99999999168869902</v>
      </c>
    </row>
    <row r="2571" spans="1:40" x14ac:dyDescent="0.25">
      <c r="A2571" t="str">
        <f>"20190312151035857"</f>
        <v>20190312151035857</v>
      </c>
      <c r="B2571" t="str">
        <f>"1552374635852947"</f>
        <v>1552374635852947</v>
      </c>
      <c r="C2571" t="s">
        <v>40</v>
      </c>
      <c r="D2571">
        <v>5.045255</v>
      </c>
      <c r="E2571">
        <v>0.44633669999999998</v>
      </c>
      <c r="F2571" t="s">
        <v>42</v>
      </c>
      <c r="G2571">
        <v>-490.94</v>
      </c>
      <c r="H2571" s="1">
        <v>-3.6834519999999999E-6</v>
      </c>
      <c r="I2571">
        <v>267.59230000000002</v>
      </c>
      <c r="J2571">
        <v>-487.6422</v>
      </c>
      <c r="K2571">
        <v>1.1260159999999999</v>
      </c>
      <c r="L2571">
        <v>274.09620000000001</v>
      </c>
      <c r="M2571">
        <v>-0.7255026</v>
      </c>
      <c r="N2571">
        <v>0</v>
      </c>
      <c r="O2571">
        <v>-0.68802640000000004</v>
      </c>
      <c r="P2571">
        <v>-0.58018789999999998</v>
      </c>
      <c r="Q2571">
        <v>2.7610019999999999E-2</v>
      </c>
      <c r="R2571">
        <v>-0.81401489999999999</v>
      </c>
      <c r="S2571">
        <v>-1.4020079999999999</v>
      </c>
      <c r="T2571">
        <v>-0.45913959999999998</v>
      </c>
      <c r="U2571">
        <v>-2.7068479999999999</v>
      </c>
      <c r="V2571">
        <v>-0.19300829999999999</v>
      </c>
      <c r="W2571">
        <v>3.5879370000000001E-2</v>
      </c>
      <c r="X2571">
        <v>0.98054090000000005</v>
      </c>
      <c r="Y2571">
        <v>-0.32989560000000001</v>
      </c>
      <c r="Z2571">
        <v>8.4374320000000003E-2</v>
      </c>
      <c r="AA2571">
        <v>0.9402393</v>
      </c>
      <c r="AB2571">
        <v>40</v>
      </c>
      <c r="AC2571">
        <v>-3.2977999999999899</v>
      </c>
      <c r="AD2571">
        <v>-1.126019683452</v>
      </c>
      <c r="AE2571">
        <v>-6.5038999999999803</v>
      </c>
      <c r="AF2571">
        <v>-2.3928927834389899</v>
      </c>
      <c r="AG2571">
        <v>-1.126019683452</v>
      </c>
      <c r="AH2571">
        <v>6.7083768260012899</v>
      </c>
      <c r="AI2571">
        <v>98.983880076416298</v>
      </c>
      <c r="AJ2571">
        <v>109.63142930896799</v>
      </c>
      <c r="AK2571">
        <v>7.2108373882779304</v>
      </c>
      <c r="AL2571">
        <v>87.943822192781298</v>
      </c>
      <c r="AM2571">
        <v>101.135659020784</v>
      </c>
      <c r="AN2571">
        <v>0.99999999481664803</v>
      </c>
    </row>
    <row r="2572" spans="1:40" x14ac:dyDescent="0.25">
      <c r="A2572" t="str">
        <f>"20190312151035868"</f>
        <v>20190312151035868</v>
      </c>
      <c r="B2572" t="str">
        <f>"1552374635863682"</f>
        <v>1552374635863682</v>
      </c>
      <c r="C2572" t="s">
        <v>40</v>
      </c>
      <c r="D2572">
        <v>5.1228429999999996</v>
      </c>
      <c r="E2572">
        <v>0.44679219999999997</v>
      </c>
      <c r="F2572" t="s">
        <v>42</v>
      </c>
      <c r="G2572">
        <v>-491.00630000000001</v>
      </c>
      <c r="H2572" s="1">
        <v>-3.6560560000000001E-6</v>
      </c>
      <c r="I2572">
        <v>267.4873</v>
      </c>
      <c r="J2572">
        <v>-487.78489999999999</v>
      </c>
      <c r="K2572">
        <v>1.12606299999999</v>
      </c>
      <c r="L2572">
        <v>273.95569999999998</v>
      </c>
      <c r="M2572">
        <v>-0.71995640000000005</v>
      </c>
      <c r="N2572">
        <v>0</v>
      </c>
      <c r="O2572">
        <v>-0.69382730000000004</v>
      </c>
      <c r="P2572">
        <v>-0.57286959999999998</v>
      </c>
      <c r="Q2572">
        <v>2.7304849999999999E-2</v>
      </c>
      <c r="R2572">
        <v>-0.81919189999999997</v>
      </c>
      <c r="S2572">
        <v>-1.3824459999999901</v>
      </c>
      <c r="T2572">
        <v>-0.46271659999999998</v>
      </c>
      <c r="U2572">
        <v>-2.7157900000000001</v>
      </c>
      <c r="V2572">
        <v>-0.1939256</v>
      </c>
      <c r="W2572">
        <v>3.5527679999999999E-2</v>
      </c>
      <c r="X2572">
        <v>0.98037269999999999</v>
      </c>
      <c r="Y2572">
        <v>-0.32901920000000001</v>
      </c>
      <c r="Z2572">
        <v>8.6109850000000002E-2</v>
      </c>
      <c r="AA2572">
        <v>0.94038900000000003</v>
      </c>
      <c r="AB2572">
        <v>40</v>
      </c>
      <c r="AC2572">
        <v>-3.2214000000000098</v>
      </c>
      <c r="AD2572">
        <v>-1.12606665605599</v>
      </c>
      <c r="AE2572">
        <v>-6.4683999999999697</v>
      </c>
      <c r="AF2572">
        <v>-2.36476860243034</v>
      </c>
      <c r="AG2572">
        <v>-1.12606665605599</v>
      </c>
      <c r="AH2572">
        <v>6.6467215463645903</v>
      </c>
      <c r="AI2572">
        <v>99.068809421572993</v>
      </c>
      <c r="AJ2572">
        <v>109.584526253962</v>
      </c>
      <c r="AK2572">
        <v>7.1441629301009604</v>
      </c>
      <c r="AL2572">
        <v>87.963985396800098</v>
      </c>
      <c r="AM2572">
        <v>101.189121930705</v>
      </c>
      <c r="AN2572">
        <v>0.99999999264341599</v>
      </c>
    </row>
    <row r="2573" spans="1:40" x14ac:dyDescent="0.25">
      <c r="A2573" t="str">
        <f>"20190312151035882"</f>
        <v>20190312151035882</v>
      </c>
      <c r="B2573" t="str">
        <f>"1552374635873442"</f>
        <v>1552374635873442</v>
      </c>
      <c r="C2573" t="s">
        <v>40</v>
      </c>
      <c r="D2573">
        <v>5.0938499999999998</v>
      </c>
      <c r="E2573">
        <v>0.44717950000000001</v>
      </c>
      <c r="F2573" t="s">
        <v>42</v>
      </c>
      <c r="G2573">
        <v>-491.12670000000003</v>
      </c>
      <c r="H2573" s="1">
        <v>-3.5916820000000002E-6</v>
      </c>
      <c r="I2573">
        <v>267.26260000000002</v>
      </c>
      <c r="J2573">
        <v>-487.93790000000001</v>
      </c>
      <c r="K2573">
        <v>1.12612</v>
      </c>
      <c r="L2573">
        <v>273.80380000000002</v>
      </c>
      <c r="M2573">
        <v>-0.71391870000000002</v>
      </c>
      <c r="N2573">
        <v>0</v>
      </c>
      <c r="O2573">
        <v>-0.70003780000000004</v>
      </c>
      <c r="P2573">
        <v>-0.56515709999999997</v>
      </c>
      <c r="Q2573">
        <v>2.6779649999999999E-2</v>
      </c>
      <c r="R2573">
        <v>-0.82454869999999902</v>
      </c>
      <c r="S2573">
        <v>-1.3609309999999999</v>
      </c>
      <c r="T2573">
        <v>-0.4585882</v>
      </c>
      <c r="U2573">
        <v>-2.7257389999999999</v>
      </c>
      <c r="V2573">
        <v>-0.19462930000000001</v>
      </c>
      <c r="W2573">
        <v>3.4964410000000001E-2</v>
      </c>
      <c r="X2573">
        <v>0.9802535</v>
      </c>
      <c r="Y2573">
        <v>-0.32815529999999998</v>
      </c>
      <c r="Z2573">
        <v>8.6501809999999998E-2</v>
      </c>
      <c r="AA2573">
        <v>0.94065489999999996</v>
      </c>
      <c r="AB2573">
        <v>40</v>
      </c>
      <c r="AC2573">
        <v>-3.1888000000000098</v>
      </c>
      <c r="AD2573">
        <v>-1.126123591682</v>
      </c>
      <c r="AE2573">
        <v>-6.5411999999999999</v>
      </c>
      <c r="AF2573">
        <v>-2.38091338005697</v>
      </c>
      <c r="AG2573">
        <v>-1.126123591682</v>
      </c>
      <c r="AH2573">
        <v>6.6961905896034803</v>
      </c>
      <c r="AI2573">
        <v>99.003969084011501</v>
      </c>
      <c r="AJ2573">
        <v>109.573472327845</v>
      </c>
      <c r="AK2573">
        <v>7.1955452385049501</v>
      </c>
      <c r="AL2573">
        <v>87.996278469387605</v>
      </c>
      <c r="AM2573">
        <v>101.23002488229</v>
      </c>
      <c r="AN2573">
        <v>0.99999999932369399</v>
      </c>
    </row>
    <row r="2574" spans="1:40" x14ac:dyDescent="0.25">
      <c r="A2574" t="str">
        <f>"20190312151035895"</f>
        <v>20190312151035895</v>
      </c>
      <c r="B2574" t="str">
        <f>"1552374635883203"</f>
        <v>1552374635883203</v>
      </c>
      <c r="C2574" t="s">
        <v>40</v>
      </c>
      <c r="D2574">
        <v>5.4270829999999997</v>
      </c>
      <c r="E2574">
        <v>0.44717950000000001</v>
      </c>
      <c r="F2574" t="s">
        <v>42</v>
      </c>
      <c r="G2574">
        <v>-491.21159999999998</v>
      </c>
      <c r="H2574" s="1">
        <v>-3.5469860000000001E-6</v>
      </c>
      <c r="I2574">
        <v>267.10579999999999</v>
      </c>
      <c r="J2574">
        <v>-488.1155</v>
      </c>
      <c r="K2574">
        <v>1.126187</v>
      </c>
      <c r="L2574">
        <v>273.6241</v>
      </c>
      <c r="M2574">
        <v>-0.70672780000000002</v>
      </c>
      <c r="N2574">
        <v>0</v>
      </c>
      <c r="O2574">
        <v>-0.70729609999999998</v>
      </c>
      <c r="P2574">
        <v>-0.55593599999999999</v>
      </c>
      <c r="Q2574">
        <v>2.6291439999999999E-2</v>
      </c>
      <c r="R2574">
        <v>-0.83080929999999997</v>
      </c>
      <c r="S2574">
        <v>-1.3374629999999901</v>
      </c>
      <c r="T2574">
        <v>-0.46008090000000001</v>
      </c>
      <c r="U2574">
        <v>-2.7365110000000001</v>
      </c>
      <c r="V2574">
        <v>-0.19553119999999999</v>
      </c>
      <c r="W2574">
        <v>3.442829E-2</v>
      </c>
      <c r="X2574">
        <v>0.98009299999999999</v>
      </c>
      <c r="Y2574">
        <v>-0.32653739999999998</v>
      </c>
      <c r="Z2574">
        <v>8.8155689999999995E-2</v>
      </c>
      <c r="AA2574">
        <v>0.94106420000000002</v>
      </c>
      <c r="AB2574">
        <v>40</v>
      </c>
      <c r="AC2574">
        <v>-3.0960999999999701</v>
      </c>
      <c r="AD2574">
        <v>-1.1261905469859901</v>
      </c>
      <c r="AE2574">
        <v>-6.5183000000000098</v>
      </c>
      <c r="AF2574">
        <v>-2.35965702083366</v>
      </c>
      <c r="AG2574">
        <v>-1.1261905469859901</v>
      </c>
      <c r="AH2574">
        <v>6.6377126958424899</v>
      </c>
      <c r="AI2574">
        <v>99.082705099610706</v>
      </c>
      <c r="AJ2574">
        <v>109.56991796372699</v>
      </c>
      <c r="AK2574">
        <v>7.1341093513233202</v>
      </c>
      <c r="AL2574">
        <v>88.027014435882606</v>
      </c>
      <c r="AM2574">
        <v>101.282532570537</v>
      </c>
      <c r="AN2574">
        <v>1.00000002298738</v>
      </c>
    </row>
    <row r="2575" spans="1:40" x14ac:dyDescent="0.25">
      <c r="A2575" t="str">
        <f>"20190312151035915"</f>
        <v>20190312151035915</v>
      </c>
      <c r="B2575" t="str">
        <f>"1552374635903699"</f>
        <v>1552374635903699</v>
      </c>
      <c r="C2575" t="s">
        <v>40</v>
      </c>
      <c r="D2575">
        <v>5.225657</v>
      </c>
      <c r="E2575">
        <v>0.45459060000000001</v>
      </c>
      <c r="F2575" t="s">
        <v>42</v>
      </c>
      <c r="G2575">
        <v>-491.30349999999999</v>
      </c>
      <c r="H2575" s="1">
        <v>-3.4887079999999898E-6</v>
      </c>
      <c r="I2575">
        <v>266.91289999999998</v>
      </c>
      <c r="J2575">
        <v>-488.34460000000001</v>
      </c>
      <c r="K2575">
        <v>1.126274</v>
      </c>
      <c r="L2575">
        <v>273.38639999999998</v>
      </c>
      <c r="M2575">
        <v>-0.69713809999999998</v>
      </c>
      <c r="N2575">
        <v>0</v>
      </c>
      <c r="O2575">
        <v>-0.71674919999999998</v>
      </c>
      <c r="P2575">
        <v>-0.54323809999999995</v>
      </c>
      <c r="Q2575">
        <v>2.5334349999999999E-2</v>
      </c>
      <c r="R2575">
        <v>-0.83919650000000001</v>
      </c>
      <c r="S2575">
        <v>-1.306824</v>
      </c>
      <c r="T2575">
        <v>-0.4616499</v>
      </c>
      <c r="U2575">
        <v>-2.7510680000000001</v>
      </c>
      <c r="V2575">
        <v>-0.1972255</v>
      </c>
      <c r="W2575">
        <v>3.3387010000000002E-2</v>
      </c>
      <c r="X2575">
        <v>0.97978949999999998</v>
      </c>
      <c r="Y2575">
        <v>-0.32436710000000002</v>
      </c>
      <c r="Z2575">
        <v>9.0235079999999995E-2</v>
      </c>
      <c r="AA2575">
        <v>0.9416175</v>
      </c>
      <c r="AB2575">
        <v>40</v>
      </c>
      <c r="AC2575">
        <v>-2.9588999999999701</v>
      </c>
      <c r="AD2575">
        <v>-1.126277488708</v>
      </c>
      <c r="AE2575">
        <v>-6.4734999999999996</v>
      </c>
      <c r="AF2575">
        <v>-2.3340150772330102</v>
      </c>
      <c r="AG2575">
        <v>-1.126277488708</v>
      </c>
      <c r="AH2575">
        <v>6.53979083077909</v>
      </c>
      <c r="AI2575">
        <v>99.213071283997806</v>
      </c>
      <c r="AJ2575">
        <v>109.64120061459199</v>
      </c>
      <c r="AK2575">
        <v>7.0345569492800104</v>
      </c>
      <c r="AL2575">
        <v>88.086709721317405</v>
      </c>
      <c r="AM2575">
        <v>101.38118995749301</v>
      </c>
      <c r="AN2575">
        <v>1.00000002729861</v>
      </c>
    </row>
    <row r="2576" spans="1:40" x14ac:dyDescent="0.25">
      <c r="A2576" t="str">
        <f>"20190312151035927"</f>
        <v>20190312151035927</v>
      </c>
      <c r="B2576" t="str">
        <f>"1552374635923219"</f>
        <v>1552374635923219</v>
      </c>
      <c r="C2576" t="s">
        <v>40</v>
      </c>
      <c r="D2576">
        <v>5.241943</v>
      </c>
      <c r="E2576">
        <v>0.45661010000000002</v>
      </c>
      <c r="F2576" t="s">
        <v>42</v>
      </c>
      <c r="G2576">
        <v>-491.75599999999997</v>
      </c>
      <c r="H2576" s="1">
        <v>-3.3395540000000002E-6</v>
      </c>
      <c r="I2576">
        <v>266.28449999999998</v>
      </c>
      <c r="J2576">
        <v>-488.49799999999999</v>
      </c>
      <c r="K2576">
        <v>1.1263299999999901</v>
      </c>
      <c r="L2576">
        <v>273.22309999999999</v>
      </c>
      <c r="M2576">
        <v>-0.69051099999999999</v>
      </c>
      <c r="N2576">
        <v>0</v>
      </c>
      <c r="O2576">
        <v>-0.72313549999999904</v>
      </c>
      <c r="P2576">
        <v>-0.53494240000000004</v>
      </c>
      <c r="Q2576">
        <v>2.4989810000000001E-2</v>
      </c>
      <c r="R2576">
        <v>-0.84451900000000002</v>
      </c>
      <c r="S2576">
        <v>-1.314697</v>
      </c>
      <c r="T2576">
        <v>-0.4340426</v>
      </c>
      <c r="U2576">
        <v>-2.7368769999999998</v>
      </c>
      <c r="V2576">
        <v>-0.19786049999999999</v>
      </c>
      <c r="W2576">
        <v>3.3008129999999997E-2</v>
      </c>
      <c r="X2576">
        <v>0.9796743</v>
      </c>
      <c r="Y2576">
        <v>-0.311388</v>
      </c>
      <c r="Z2576">
        <v>8.6931510000000004E-2</v>
      </c>
      <c r="AA2576">
        <v>0.94629830000000004</v>
      </c>
      <c r="AB2576">
        <v>40</v>
      </c>
      <c r="AC2576">
        <v>-3.2579999999999201</v>
      </c>
      <c r="AD2576">
        <v>-1.1263333395539901</v>
      </c>
      <c r="AE2576">
        <v>-6.9386000000000001</v>
      </c>
      <c r="AF2576">
        <v>-2.38405961578286</v>
      </c>
      <c r="AG2576">
        <v>-1.1263333395539901</v>
      </c>
      <c r="AH2576">
        <v>7.1146052250332099</v>
      </c>
      <c r="AI2576">
        <v>98.536889053681605</v>
      </c>
      <c r="AJ2576">
        <v>108.525677898065</v>
      </c>
      <c r="AK2576">
        <v>7.5874880264464002</v>
      </c>
      <c r="AL2576">
        <v>88.108429911713301</v>
      </c>
      <c r="AM2576">
        <v>101.418180012192</v>
      </c>
      <c r="AN2576">
        <v>1.0000000240934099</v>
      </c>
    </row>
    <row r="2577" spans="1:40" x14ac:dyDescent="0.25">
      <c r="A2577" t="str">
        <f>"20190312151035947"</f>
        <v>20190312151035947</v>
      </c>
      <c r="B2577" t="str">
        <f>"1552374635943717"</f>
        <v>1552374635943717</v>
      </c>
      <c r="C2577" t="s">
        <v>40</v>
      </c>
      <c r="D2577">
        <v>5.2088269999999897</v>
      </c>
      <c r="E2577">
        <v>0.45861930000000001</v>
      </c>
      <c r="F2577" t="s">
        <v>42</v>
      </c>
      <c r="G2577">
        <v>-491.75689999999997</v>
      </c>
      <c r="H2577" s="1">
        <v>-3.3704259999999998E-6</v>
      </c>
      <c r="I2577">
        <v>266.35599999999999</v>
      </c>
      <c r="J2577">
        <v>-488.74220000000003</v>
      </c>
      <c r="K2577">
        <v>1.12642</v>
      </c>
      <c r="L2577">
        <v>272.95769999999999</v>
      </c>
      <c r="M2577">
        <v>-0.67964209999999903</v>
      </c>
      <c r="N2577">
        <v>0</v>
      </c>
      <c r="O2577">
        <v>-0.73335899999999998</v>
      </c>
      <c r="P2577">
        <v>-0.52073840000000005</v>
      </c>
      <c r="Q2577">
        <v>2.415836E-2</v>
      </c>
      <c r="R2577">
        <v>-0.85337439999999998</v>
      </c>
      <c r="S2577">
        <v>-1.3010250000000001</v>
      </c>
      <c r="T2577">
        <v>-0.44965539999999998</v>
      </c>
      <c r="U2577">
        <v>-2.7415159999999998</v>
      </c>
      <c r="V2577">
        <v>-0.19962170000000001</v>
      </c>
      <c r="W2577">
        <v>3.2088310000000002E-2</v>
      </c>
      <c r="X2577">
        <v>0.97934750000000004</v>
      </c>
      <c r="Y2577">
        <v>-0.30190699999999998</v>
      </c>
      <c r="Z2577">
        <v>9.2315690000000006E-2</v>
      </c>
      <c r="AA2577">
        <v>0.94885719999999996</v>
      </c>
      <c r="AB2577">
        <v>40</v>
      </c>
      <c r="AC2577">
        <v>-3.01469999999994</v>
      </c>
      <c r="AD2577">
        <v>-1.126423370426</v>
      </c>
      <c r="AE2577">
        <v>-6.6016999999999904</v>
      </c>
      <c r="AF2577">
        <v>-2.2227001790852601</v>
      </c>
      <c r="AG2577">
        <v>-1.126423370426</v>
      </c>
      <c r="AH2577">
        <v>6.7291635488321004</v>
      </c>
      <c r="AI2577">
        <v>99.031484757063197</v>
      </c>
      <c r="AJ2577">
        <v>108.27883037589901</v>
      </c>
      <c r="AK2577">
        <v>7.1757137458568003</v>
      </c>
      <c r="AL2577">
        <v>88.161159617716805</v>
      </c>
      <c r="AM2577">
        <v>101.520851920948</v>
      </c>
      <c r="AN2577">
        <v>1.00000000425289</v>
      </c>
    </row>
    <row r="2578" spans="1:40" x14ac:dyDescent="0.25">
      <c r="A2578" t="str">
        <f>"20190312151035958"</f>
        <v>20190312151035958</v>
      </c>
      <c r="B2578" t="str">
        <f>"1552374635953475"</f>
        <v>1552374635953475</v>
      </c>
      <c r="C2578" t="s">
        <v>40</v>
      </c>
      <c r="D2578">
        <v>5.1574049999999998</v>
      </c>
      <c r="E2578">
        <v>0.45937820000000001</v>
      </c>
      <c r="F2578" t="s">
        <v>42</v>
      </c>
      <c r="G2578">
        <v>-491.90499999999997</v>
      </c>
      <c r="H2578" s="1">
        <v>-3.296818E-6</v>
      </c>
      <c r="I2578">
        <v>266.0926</v>
      </c>
      <c r="J2578">
        <v>-488.87130000000002</v>
      </c>
      <c r="K2578">
        <v>1.126471</v>
      </c>
      <c r="L2578">
        <v>272.81490000000002</v>
      </c>
      <c r="M2578">
        <v>-0.67375109999999905</v>
      </c>
      <c r="N2578">
        <v>0</v>
      </c>
      <c r="O2578">
        <v>-0.7387745</v>
      </c>
      <c r="P2578">
        <v>-0.51334449999999998</v>
      </c>
      <c r="Q2578">
        <v>2.3767179999999999E-2</v>
      </c>
      <c r="R2578">
        <v>-0.8578538</v>
      </c>
      <c r="S2578">
        <v>-1.2687679999999999</v>
      </c>
      <c r="T2578">
        <v>-0.45187739999999998</v>
      </c>
      <c r="U2578">
        <v>-2.7540279999999999</v>
      </c>
      <c r="V2578">
        <v>-0.20024320000000001</v>
      </c>
      <c r="W2578">
        <v>3.1663669999999998E-2</v>
      </c>
      <c r="X2578">
        <v>0.97923450000000001</v>
      </c>
      <c r="Y2578">
        <v>-0.30511310000000003</v>
      </c>
      <c r="Z2578">
        <v>9.3592750000000002E-2</v>
      </c>
      <c r="AA2578">
        <v>0.94770589999999999</v>
      </c>
      <c r="AB2578">
        <v>40</v>
      </c>
      <c r="AC2578">
        <v>-3.0336999999999499</v>
      </c>
      <c r="AD2578">
        <v>-1.1264742968179999</v>
      </c>
      <c r="AE2578">
        <v>-6.7223000000000104</v>
      </c>
      <c r="AF2578">
        <v>-2.2360814021265698</v>
      </c>
      <c r="AG2578">
        <v>-1.1264742968179999</v>
      </c>
      <c r="AH2578">
        <v>6.85133789639446</v>
      </c>
      <c r="AI2578">
        <v>98.883608844826895</v>
      </c>
      <c r="AJ2578">
        <v>108.07520671811299</v>
      </c>
      <c r="AK2578">
        <v>7.2945072039788101</v>
      </c>
      <c r="AL2578">
        <v>88.185502180782095</v>
      </c>
      <c r="AM2578">
        <v>101.557055048339</v>
      </c>
      <c r="AN2578">
        <v>1.00000006656717</v>
      </c>
    </row>
    <row r="2579" spans="1:40" x14ac:dyDescent="0.25">
      <c r="A2579" t="str">
        <f>"20190312151035970"</f>
        <v>20190312151035970</v>
      </c>
      <c r="B2579" t="str">
        <f>"1552374635963235"</f>
        <v>1552374635963235</v>
      </c>
      <c r="C2579" t="s">
        <v>40</v>
      </c>
      <c r="D2579">
        <v>5.2454900000000002</v>
      </c>
      <c r="E2579">
        <v>0.4603526</v>
      </c>
      <c r="F2579" t="s">
        <v>42</v>
      </c>
      <c r="G2579">
        <v>-491.98430000000002</v>
      </c>
      <c r="H2579" s="1">
        <v>-3.2515900000000001E-6</v>
      </c>
      <c r="I2579">
        <v>265.93799999999999</v>
      </c>
      <c r="J2579">
        <v>-489.00420000000003</v>
      </c>
      <c r="K2579">
        <v>1.126522</v>
      </c>
      <c r="L2579">
        <v>272.66390000000001</v>
      </c>
      <c r="M2579">
        <v>-0.66749840000000005</v>
      </c>
      <c r="N2579">
        <v>0</v>
      </c>
      <c r="O2579">
        <v>-0.74442830000000004</v>
      </c>
      <c r="P2579">
        <v>-0.50527739999999999</v>
      </c>
      <c r="Q2579">
        <v>2.3642989999999999E-2</v>
      </c>
      <c r="R2579">
        <v>-0.86263330000000005</v>
      </c>
      <c r="S2579">
        <v>-1.2500610000000001</v>
      </c>
      <c r="T2579">
        <v>-0.45234920000000001</v>
      </c>
      <c r="U2579">
        <v>-2.761536</v>
      </c>
      <c r="V2579">
        <v>-0.2011715</v>
      </c>
      <c r="W2579">
        <v>3.1493529999999999E-2</v>
      </c>
      <c r="X2579">
        <v>0.97904959999999996</v>
      </c>
      <c r="Y2579">
        <v>-0.30342079999999999</v>
      </c>
      <c r="Z2579">
        <v>9.4783720000000002E-2</v>
      </c>
      <c r="AA2579">
        <v>0.94813069999999999</v>
      </c>
      <c r="AB2579">
        <v>40</v>
      </c>
      <c r="AC2579">
        <v>-2.98009999999999</v>
      </c>
      <c r="AD2579">
        <v>-1.1265252515899999</v>
      </c>
      <c r="AE2579">
        <v>-6.7259000000000198</v>
      </c>
      <c r="AF2579">
        <v>-2.21932396230652</v>
      </c>
      <c r="AG2579">
        <v>-1.1265252515899999</v>
      </c>
      <c r="AH2579">
        <v>6.8367956302756703</v>
      </c>
      <c r="AI2579">
        <v>98.907129292317194</v>
      </c>
      <c r="AJ2579">
        <v>107.98418926628599</v>
      </c>
      <c r="AK2579">
        <v>7.2757290000586501</v>
      </c>
      <c r="AL2579">
        <v>88.195255168593206</v>
      </c>
      <c r="AM2579">
        <v>101.611313740112</v>
      </c>
      <c r="AN2579">
        <v>0.99999996705213501</v>
      </c>
    </row>
    <row r="2580" spans="1:40" x14ac:dyDescent="0.25">
      <c r="A2580" t="str">
        <f>"20190312151035981"</f>
        <v>20190312151035981</v>
      </c>
      <c r="B2580" t="str">
        <f>"1552374635972995"</f>
        <v>1552374635972995</v>
      </c>
      <c r="C2580" t="s">
        <v>40</v>
      </c>
      <c r="D2580">
        <v>5.3262850000000004</v>
      </c>
      <c r="E2580">
        <v>0.4605824</v>
      </c>
      <c r="F2580" t="s">
        <v>42</v>
      </c>
      <c r="G2580">
        <v>-492.06290000000001</v>
      </c>
      <c r="H2580" s="1">
        <v>-3.2039969999999999E-6</v>
      </c>
      <c r="I2580">
        <v>265.77820000000003</v>
      </c>
      <c r="J2580">
        <v>-489.1302</v>
      </c>
      <c r="K2580">
        <v>1.1265700000000001</v>
      </c>
      <c r="L2580">
        <v>272.51940000000002</v>
      </c>
      <c r="M2580">
        <v>-0.66147849999999997</v>
      </c>
      <c r="N2580">
        <v>0</v>
      </c>
      <c r="O2580">
        <v>-0.74978180000000005</v>
      </c>
      <c r="P2580">
        <v>-0.49768770000000001</v>
      </c>
      <c r="Q2580">
        <v>2.3474749999999999E-2</v>
      </c>
      <c r="R2580">
        <v>-0.86703850000000005</v>
      </c>
      <c r="S2580">
        <v>-1.230286</v>
      </c>
      <c r="T2580">
        <v>-0.45310450000000002</v>
      </c>
      <c r="U2580">
        <v>-2.7695310000000002</v>
      </c>
      <c r="V2580">
        <v>-0.2018749</v>
      </c>
      <c r="W2580">
        <v>3.1289070000000002E-2</v>
      </c>
      <c r="X2580">
        <v>0.97891139999999999</v>
      </c>
      <c r="Y2580">
        <v>-0.302452</v>
      </c>
      <c r="Z2580">
        <v>9.5942490000000005E-2</v>
      </c>
      <c r="AA2580">
        <v>0.94832369999999999</v>
      </c>
      <c r="AB2580">
        <v>40</v>
      </c>
      <c r="AC2580">
        <v>-2.9327000000000099</v>
      </c>
      <c r="AD2580">
        <v>-1.126573203997</v>
      </c>
      <c r="AE2580">
        <v>-6.7411999999999903</v>
      </c>
      <c r="AF2580">
        <v>-2.2087140075252099</v>
      </c>
      <c r="AG2580">
        <v>-1.126573203997</v>
      </c>
      <c r="AH2580">
        <v>6.8347969532831696</v>
      </c>
      <c r="AI2580">
        <v>98.913811615369298</v>
      </c>
      <c r="AJ2580">
        <v>107.908613445825</v>
      </c>
      <c r="AK2580">
        <v>7.27062818081155</v>
      </c>
      <c r="AL2580">
        <v>88.206975708503705</v>
      </c>
      <c r="AM2580">
        <v>101.652404679792</v>
      </c>
      <c r="AN2580">
        <v>1.0000000051007101</v>
      </c>
    </row>
    <row r="2581" spans="1:40" x14ac:dyDescent="0.25">
      <c r="A2581" t="str">
        <f>"20190312151035994"</f>
        <v>20190312151035994</v>
      </c>
      <c r="B2581" t="str">
        <f>"1552374635983731"</f>
        <v>1552374635983731</v>
      </c>
      <c r="C2581" t="s">
        <v>40</v>
      </c>
      <c r="D2581">
        <v>5.1233550000000001</v>
      </c>
      <c r="E2581">
        <v>0.4605824</v>
      </c>
      <c r="F2581" t="s">
        <v>42</v>
      </c>
      <c r="G2581">
        <v>-492.14670000000001</v>
      </c>
      <c r="H2581" s="1">
        <v>-3.1403199999999999E-6</v>
      </c>
      <c r="I2581">
        <v>265.5779</v>
      </c>
      <c r="J2581">
        <v>-489.28410000000002</v>
      </c>
      <c r="K2581">
        <v>1.1266290000000001</v>
      </c>
      <c r="L2581">
        <v>272.33940000000001</v>
      </c>
      <c r="M2581">
        <v>-0.65393999999999997</v>
      </c>
      <c r="N2581">
        <v>0</v>
      </c>
      <c r="O2581">
        <v>-0.75636499999999995</v>
      </c>
      <c r="P2581">
        <v>-0.48842170000000001</v>
      </c>
      <c r="Q2581">
        <v>2.3460600000000002E-2</v>
      </c>
      <c r="R2581">
        <v>-0.87229219999999896</v>
      </c>
      <c r="S2581">
        <v>-1.2076420000000001</v>
      </c>
      <c r="T2581">
        <v>-0.45102609999999899</v>
      </c>
      <c r="U2581">
        <v>-2.779083</v>
      </c>
      <c r="V2581">
        <v>-0.20251140000000001</v>
      </c>
      <c r="W2581">
        <v>3.124188E-2</v>
      </c>
      <c r="X2581">
        <v>0.97878149999999997</v>
      </c>
      <c r="Y2581">
        <v>-0.30062169999999999</v>
      </c>
      <c r="Z2581">
        <v>9.6754469999999995E-2</v>
      </c>
      <c r="AA2581">
        <v>0.94882299999999997</v>
      </c>
      <c r="AB2581">
        <v>40</v>
      </c>
      <c r="AC2581">
        <v>-2.86259999999998</v>
      </c>
      <c r="AD2581">
        <v>-1.1266321403199999</v>
      </c>
      <c r="AE2581">
        <v>-6.7615000000000096</v>
      </c>
      <c r="AF2581">
        <v>-2.2048442446347898</v>
      </c>
      <c r="AG2581">
        <v>-1.1266321403199999</v>
      </c>
      <c r="AH2581">
        <v>6.8263710286762098</v>
      </c>
      <c r="AI2581">
        <v>98.925528084666595</v>
      </c>
      <c r="AJ2581">
        <v>107.89989723418201</v>
      </c>
      <c r="AK2581">
        <v>7.2615411273262902</v>
      </c>
      <c r="AL2581">
        <v>88.209680941252799</v>
      </c>
      <c r="AM2581">
        <v>101.689643268542</v>
      </c>
      <c r="AN2581">
        <v>1.0000000734690599</v>
      </c>
    </row>
    <row r="2582" spans="1:40" x14ac:dyDescent="0.25">
      <c r="A2582" t="str">
        <f>"20190312151036015"</f>
        <v>20190312151036015</v>
      </c>
      <c r="B2582" t="str">
        <f>"1552374636013011"</f>
        <v>1552374636013011</v>
      </c>
      <c r="C2582" t="s">
        <v>40</v>
      </c>
      <c r="D2582">
        <v>5.1745219999999996</v>
      </c>
      <c r="E2582">
        <v>0.42129640000000002</v>
      </c>
      <c r="F2582" t="s">
        <v>42</v>
      </c>
      <c r="G2582">
        <v>-492.22629999999998</v>
      </c>
      <c r="H2582" s="1">
        <v>-3.0706249999999999E-6</v>
      </c>
      <c r="I2582">
        <v>265.36599999999999</v>
      </c>
      <c r="J2582">
        <v>-489.5292</v>
      </c>
      <c r="K2582">
        <v>1.1267229999999999</v>
      </c>
      <c r="L2582">
        <v>272.04509999999999</v>
      </c>
      <c r="M2582">
        <v>-0.64153130000000003</v>
      </c>
      <c r="N2582">
        <v>0</v>
      </c>
      <c r="O2582">
        <v>-0.76691730000000002</v>
      </c>
      <c r="P2582">
        <v>-0.47351339999999997</v>
      </c>
      <c r="Q2582">
        <v>2.3130089999999999E-2</v>
      </c>
      <c r="R2582">
        <v>-0.88048289999999996</v>
      </c>
      <c r="S2582">
        <v>-1.1779170000000001</v>
      </c>
      <c r="T2582">
        <v>-0.4510518</v>
      </c>
      <c r="U2582">
        <v>-2.7918090000000002</v>
      </c>
      <c r="V2582">
        <v>-0.20321600000000001</v>
      </c>
      <c r="W2582">
        <v>3.0872030000000002E-2</v>
      </c>
      <c r="X2582">
        <v>0.97864709999999999</v>
      </c>
      <c r="Y2582">
        <v>-0.29527740000000002</v>
      </c>
      <c r="Z2582">
        <v>9.8861199999999996E-2</v>
      </c>
      <c r="AA2582">
        <v>0.95028290000000004</v>
      </c>
      <c r="AB2582">
        <v>40</v>
      </c>
      <c r="AC2582">
        <v>-2.6970999999999701</v>
      </c>
      <c r="AD2582">
        <v>-1.126726070625</v>
      </c>
      <c r="AE2582">
        <v>-6.6791</v>
      </c>
      <c r="AF2582">
        <v>-2.16376160849661</v>
      </c>
      <c r="AG2582">
        <v>-1.126726070625</v>
      </c>
      <c r="AH2582">
        <v>6.6898486382536602</v>
      </c>
      <c r="AI2582">
        <v>99.104220330640501</v>
      </c>
      <c r="AJ2582">
        <v>107.923258604984</v>
      </c>
      <c r="AK2582">
        <v>7.1207759927815699</v>
      </c>
      <c r="AL2582">
        <v>88.2308818554433</v>
      </c>
      <c r="AM2582">
        <v>101.73075637831499</v>
      </c>
      <c r="AN2582">
        <v>0.99999998561536496</v>
      </c>
    </row>
    <row r="2583" spans="1:40" x14ac:dyDescent="0.25">
      <c r="A2583" t="str">
        <f>"20190312151036026"</f>
        <v>20190312151036026</v>
      </c>
      <c r="B2583" t="str">
        <f>"1552374636022771"</f>
        <v>1552374636022771</v>
      </c>
      <c r="C2583" t="s">
        <v>40</v>
      </c>
      <c r="D2583">
        <v>5.1108260000000003</v>
      </c>
      <c r="E2583">
        <v>0.41606759999999898</v>
      </c>
      <c r="F2583" t="s">
        <v>42</v>
      </c>
      <c r="G2583">
        <v>-491.68200000000002</v>
      </c>
      <c r="H2583" s="1">
        <v>-2.5909410000000001E-6</v>
      </c>
      <c r="I2583">
        <v>264.58539999999999</v>
      </c>
      <c r="J2583">
        <v>-489.63549999999998</v>
      </c>
      <c r="K2583">
        <v>1.1267609999999999</v>
      </c>
      <c r="L2583">
        <v>271.9135</v>
      </c>
      <c r="M2583">
        <v>-0.63595009999999996</v>
      </c>
      <c r="N2583">
        <v>0</v>
      </c>
      <c r="O2583">
        <v>-0.7715514</v>
      </c>
      <c r="P2583">
        <v>-0.46691739999999998</v>
      </c>
      <c r="Q2583">
        <v>2.3211099999999998E-2</v>
      </c>
      <c r="R2583">
        <v>-0.88399640000000002</v>
      </c>
      <c r="S2583">
        <v>-0.85412600000000005</v>
      </c>
      <c r="T2583">
        <v>-0.44703029999999999</v>
      </c>
      <c r="U2583">
        <v>-2.959625</v>
      </c>
      <c r="V2583">
        <v>-0.20343820000000001</v>
      </c>
      <c r="W2583">
        <v>3.0940189999999999E-2</v>
      </c>
      <c r="X2583">
        <v>0.97859879999999999</v>
      </c>
      <c r="Y2583">
        <v>-0.39832400000000001</v>
      </c>
      <c r="Z2583">
        <v>9.2009170000000001E-2</v>
      </c>
      <c r="AA2583">
        <v>0.91261840000000005</v>
      </c>
      <c r="AB2583">
        <v>40</v>
      </c>
      <c r="AC2583">
        <v>-2.04649999999998</v>
      </c>
      <c r="AD2583">
        <v>-1.1267635909410001</v>
      </c>
      <c r="AE2583">
        <v>-7.3281000000000001</v>
      </c>
      <c r="AF2583">
        <v>-3.0156142670408799</v>
      </c>
      <c r="AG2583">
        <v>-1.1267635909410001</v>
      </c>
      <c r="AH2583">
        <v>6.8071466153664097</v>
      </c>
      <c r="AI2583">
        <v>98.605877428276798</v>
      </c>
      <c r="AJ2583">
        <v>113.89368255911501</v>
      </c>
      <c r="AK2583">
        <v>7.5299914103898704</v>
      </c>
      <c r="AL2583">
        <v>88.2269747411315</v>
      </c>
      <c r="AM2583">
        <v>101.743790481565</v>
      </c>
      <c r="AN2583">
        <v>1.0000000039689501</v>
      </c>
    </row>
    <row r="2584" spans="1:40" x14ac:dyDescent="0.25">
      <c r="A2584" t="str">
        <f>"20190312151036036"</f>
        <v>20190312151036036</v>
      </c>
      <c r="B2584" t="str">
        <f>"1552374636033508"</f>
        <v>1552374636033508</v>
      </c>
      <c r="C2584" t="s">
        <v>40</v>
      </c>
      <c r="D2584">
        <v>5.100746</v>
      </c>
      <c r="E2584">
        <v>0.41396110000000003</v>
      </c>
      <c r="F2584" t="s">
        <v>42</v>
      </c>
      <c r="G2584">
        <v>-491.62119999999999</v>
      </c>
      <c r="H2584" s="1">
        <v>-2.5184930000000001E-6</v>
      </c>
      <c r="I2584">
        <v>264.45429999999999</v>
      </c>
      <c r="J2584">
        <v>-489.75420000000003</v>
      </c>
      <c r="K2584">
        <v>1.126806</v>
      </c>
      <c r="L2584">
        <v>271.76600000000002</v>
      </c>
      <c r="M2584">
        <v>-0.62966250000000001</v>
      </c>
      <c r="N2584">
        <v>0</v>
      </c>
      <c r="O2584">
        <v>-0.77669080000000001</v>
      </c>
      <c r="P2584">
        <v>-0.45998339999999999</v>
      </c>
      <c r="Q2584">
        <v>2.281335E-2</v>
      </c>
      <c r="R2584">
        <v>-0.88763429999999999</v>
      </c>
      <c r="S2584">
        <v>-0.79479979999999995</v>
      </c>
      <c r="T2584">
        <v>-0.45101639999999998</v>
      </c>
      <c r="U2584">
        <v>-2.9857179999999999</v>
      </c>
      <c r="V2584">
        <v>-0.20314380000000001</v>
      </c>
      <c r="W2584">
        <v>3.0551749999999999E-2</v>
      </c>
      <c r="X2584">
        <v>0.97867210000000004</v>
      </c>
      <c r="Y2584">
        <v>-0.40980810000000001</v>
      </c>
      <c r="Z2584">
        <v>9.2871930000000005E-2</v>
      </c>
      <c r="AA2584">
        <v>0.9074316</v>
      </c>
      <c r="AB2584">
        <v>40</v>
      </c>
      <c r="AC2584">
        <v>-1.86699999999996</v>
      </c>
      <c r="AD2584">
        <v>-1.1268085184929999</v>
      </c>
      <c r="AE2584">
        <v>-7.3116999999999699</v>
      </c>
      <c r="AF2584">
        <v>-3.0854634361365099</v>
      </c>
      <c r="AG2584">
        <v>-1.1268085184929999</v>
      </c>
      <c r="AH2584">
        <v>6.7059405509595997</v>
      </c>
      <c r="AI2584">
        <v>98.679121811233699</v>
      </c>
      <c r="AJ2584">
        <v>114.70758339165199</v>
      </c>
      <c r="AK2584">
        <v>7.4672230933653001</v>
      </c>
      <c r="AL2584">
        <v>88.249241139366006</v>
      </c>
      <c r="AM2584">
        <v>101.72641277188799</v>
      </c>
      <c r="AN2584">
        <v>0.99999994611245402</v>
      </c>
    </row>
    <row r="2585" spans="1:40" x14ac:dyDescent="0.25">
      <c r="A2585" t="str">
        <f>"20190312151036048"</f>
        <v>20190312151036048</v>
      </c>
      <c r="B2585" t="str">
        <f>"1552374636043267"</f>
        <v>1552374636043267</v>
      </c>
      <c r="C2585" t="s">
        <v>40</v>
      </c>
      <c r="D2585">
        <v>5.1077180000000002</v>
      </c>
      <c r="E2585">
        <v>0.41299069999999999</v>
      </c>
      <c r="F2585" t="s">
        <v>42</v>
      </c>
      <c r="G2585">
        <v>-491.59809999999999</v>
      </c>
      <c r="H2585" s="1">
        <v>-2.5098410000000002E-6</v>
      </c>
      <c r="I2585">
        <v>264.44850000000002</v>
      </c>
      <c r="J2585">
        <v>-489.87709999999998</v>
      </c>
      <c r="K2585">
        <v>1.126852</v>
      </c>
      <c r="L2585">
        <v>271.60879999999997</v>
      </c>
      <c r="M2585">
        <v>-0.62294359999999904</v>
      </c>
      <c r="N2585">
        <v>0</v>
      </c>
      <c r="O2585">
        <v>-0.78208949999999999</v>
      </c>
      <c r="P2585">
        <v>-0.45216830000000002</v>
      </c>
      <c r="Q2585">
        <v>2.238099E-2</v>
      </c>
      <c r="R2585">
        <v>-0.891652</v>
      </c>
      <c r="S2585">
        <v>-0.75592040000000005</v>
      </c>
      <c r="T2585">
        <v>-0.46195199999999997</v>
      </c>
      <c r="U2585">
        <v>-2.9999389999999999</v>
      </c>
      <c r="V2585">
        <v>-0.20329729999999999</v>
      </c>
      <c r="W2585">
        <v>3.0109449999999999E-2</v>
      </c>
      <c r="X2585">
        <v>0.97865400000000002</v>
      </c>
      <c r="Y2585">
        <v>-0.4140857</v>
      </c>
      <c r="Z2585">
        <v>9.5742540000000001E-2</v>
      </c>
      <c r="AA2585">
        <v>0.90518860000000001</v>
      </c>
      <c r="AB2585">
        <v>40</v>
      </c>
      <c r="AC2585">
        <v>-1.7210000000000001</v>
      </c>
      <c r="AD2585">
        <v>-1.1268545098410001</v>
      </c>
      <c r="AE2585">
        <v>-7.1602999999999497</v>
      </c>
      <c r="AF2585">
        <v>-3.04365373422571</v>
      </c>
      <c r="AG2585">
        <v>-1.1268545098410001</v>
      </c>
      <c r="AH2585">
        <v>6.5203371283554397</v>
      </c>
      <c r="AI2585">
        <v>98.900250557215202</v>
      </c>
      <c r="AJ2585">
        <v>115.02288043185899</v>
      </c>
      <c r="AK2585">
        <v>7.2834350005767003</v>
      </c>
      <c r="AL2585">
        <v>88.274594841612696</v>
      </c>
      <c r="AM2585">
        <v>101.735238888647</v>
      </c>
      <c r="AN2585">
        <v>1.0000000114412899</v>
      </c>
    </row>
    <row r="2586" spans="1:40" x14ac:dyDescent="0.25">
      <c r="A2586" t="str">
        <f>"20190312151036059"</f>
        <v>20190312151036059</v>
      </c>
      <c r="B2586" t="str">
        <f>"1552374636053026"</f>
        <v>1552374636053026</v>
      </c>
      <c r="C2586" t="s">
        <v>40</v>
      </c>
      <c r="D2586">
        <v>5.095459</v>
      </c>
      <c r="E2586">
        <v>0.41236200000000001</v>
      </c>
      <c r="F2586" t="s">
        <v>42</v>
      </c>
      <c r="G2586">
        <v>-491.64339999999999</v>
      </c>
      <c r="H2586" s="1">
        <v>-2.436467E-6</v>
      </c>
      <c r="I2586">
        <v>264.24930000000001</v>
      </c>
      <c r="J2586">
        <v>-489.99740000000003</v>
      </c>
      <c r="K2586">
        <v>1.1268910000000001</v>
      </c>
      <c r="L2586">
        <v>271.4538</v>
      </c>
      <c r="M2586">
        <v>-0.61627900000000002</v>
      </c>
      <c r="N2586">
        <v>0</v>
      </c>
      <c r="O2586">
        <v>-0.78735119999999903</v>
      </c>
      <c r="P2586">
        <v>-0.44426270000000001</v>
      </c>
      <c r="Q2586">
        <v>2.2239930000000002E-2</v>
      </c>
      <c r="R2586">
        <v>-0.89562050000000004</v>
      </c>
      <c r="S2586">
        <v>-0.72238159999999996</v>
      </c>
      <c r="T2586">
        <v>-0.46084930000000002</v>
      </c>
      <c r="U2586">
        <v>-3.009827</v>
      </c>
      <c r="V2586">
        <v>-0.20364360000000001</v>
      </c>
      <c r="W2586">
        <v>2.994931E-2</v>
      </c>
      <c r="X2586">
        <v>0.97858690000000004</v>
      </c>
      <c r="Y2586">
        <v>-0.41657680000000002</v>
      </c>
      <c r="Z2586">
        <v>9.6324270000000003E-2</v>
      </c>
      <c r="AA2586">
        <v>0.90398310000000004</v>
      </c>
      <c r="AB2586">
        <v>40</v>
      </c>
      <c r="AC2586">
        <v>-1.6459999999999499</v>
      </c>
      <c r="AD2586">
        <v>-1.126893436467</v>
      </c>
      <c r="AE2586">
        <v>-7.2044999999999897</v>
      </c>
      <c r="AF2586">
        <v>-3.0729863996408402</v>
      </c>
      <c r="AG2586">
        <v>-1.126893436467</v>
      </c>
      <c r="AH2586">
        <v>6.5358264199051002</v>
      </c>
      <c r="AI2586">
        <v>98.868450843321696</v>
      </c>
      <c r="AJ2586">
        <v>115.18176681371899</v>
      </c>
      <c r="AK2586">
        <v>7.3095937794558399</v>
      </c>
      <c r="AL2586">
        <v>88.283774305951496</v>
      </c>
      <c r="AM2586">
        <v>101.755456697837</v>
      </c>
      <c r="AN2586">
        <v>0.99999999892102298</v>
      </c>
    </row>
    <row r="2587" spans="1:40" x14ac:dyDescent="0.25">
      <c r="A2587" t="str">
        <f>"20190312151036070"</f>
        <v>20190312151036070</v>
      </c>
      <c r="B2587" t="str">
        <f>"1552374636062789"</f>
        <v>1552374636062789</v>
      </c>
      <c r="C2587" t="s">
        <v>40</v>
      </c>
      <c r="D2587">
        <v>5.0780250000000002</v>
      </c>
      <c r="E2587">
        <v>0.41210780000000002</v>
      </c>
      <c r="F2587" t="s">
        <v>42</v>
      </c>
      <c r="G2587">
        <v>-491.67309999999998</v>
      </c>
      <c r="H2587" s="1">
        <v>-2.3970589999999998E-6</v>
      </c>
      <c r="I2587">
        <v>264.13900000000001</v>
      </c>
      <c r="J2587">
        <v>-490.11750000000001</v>
      </c>
      <c r="K2587">
        <v>1.1269309999999999</v>
      </c>
      <c r="L2587">
        <v>271.29500000000002</v>
      </c>
      <c r="M2587">
        <v>-0.60943150000000001</v>
      </c>
      <c r="N2587">
        <v>0</v>
      </c>
      <c r="O2587">
        <v>-0.79266289999999995</v>
      </c>
      <c r="P2587">
        <v>-0.43607849999999998</v>
      </c>
      <c r="Q2587">
        <v>2.2259069999999999E-2</v>
      </c>
      <c r="R2587">
        <v>-0.89963300000000002</v>
      </c>
      <c r="S2587">
        <v>-0.69143679999999996</v>
      </c>
      <c r="T2587">
        <v>-0.46497690000000003</v>
      </c>
      <c r="U2587">
        <v>-3.0182190000000002</v>
      </c>
      <c r="V2587">
        <v>-0.20408879999999999</v>
      </c>
      <c r="W2587">
        <v>2.9945960000000001E-2</v>
      </c>
      <c r="X2587">
        <v>0.97849430000000004</v>
      </c>
      <c r="Y2587">
        <v>-0.41808430000000002</v>
      </c>
      <c r="Z2587">
        <v>9.8065760000000002E-2</v>
      </c>
      <c r="AA2587">
        <v>0.90309950000000005</v>
      </c>
      <c r="AB2587">
        <v>40</v>
      </c>
      <c r="AC2587">
        <v>-1.5555999999999699</v>
      </c>
      <c r="AD2587">
        <v>-1.1269333970590001</v>
      </c>
      <c r="AE2587">
        <v>-7.1559999999999997</v>
      </c>
      <c r="AF2587">
        <v>-3.0560897393912501</v>
      </c>
      <c r="AG2587">
        <v>-1.1269333970590001</v>
      </c>
      <c r="AH2587">
        <v>6.4680786970703696</v>
      </c>
      <c r="AI2587">
        <v>98.952296106277402</v>
      </c>
      <c r="AJ2587">
        <v>115.290173570017</v>
      </c>
      <c r="AK2587">
        <v>7.2419407211130196</v>
      </c>
      <c r="AL2587">
        <v>88.283966415419997</v>
      </c>
      <c r="AM2587">
        <v>101.78152239807601</v>
      </c>
      <c r="AN2587">
        <v>1.0000000469691199</v>
      </c>
    </row>
    <row r="2588" spans="1:40" x14ac:dyDescent="0.25">
      <c r="A2588" t="str">
        <f>"20190312151036083"</f>
        <v>20190312151036083</v>
      </c>
      <c r="B2588" t="str">
        <f>"1552374636073523"</f>
        <v>1552374636073523</v>
      </c>
      <c r="C2588" t="s">
        <v>40</v>
      </c>
      <c r="D2588">
        <v>5.2677120000000004</v>
      </c>
      <c r="E2588">
        <v>0.4126533</v>
      </c>
      <c r="F2588" t="s">
        <v>42</v>
      </c>
      <c r="G2588">
        <v>-491.71640000000002</v>
      </c>
      <c r="H2588" s="1">
        <v>-2.3445120000000001E-6</v>
      </c>
      <c r="I2588">
        <v>263.98970000000003</v>
      </c>
      <c r="J2588">
        <v>-490.23910000000001</v>
      </c>
      <c r="K2588">
        <v>1.1269709999999999</v>
      </c>
      <c r="L2588">
        <v>271.13200000000001</v>
      </c>
      <c r="M2588">
        <v>-0.60237559999999901</v>
      </c>
      <c r="N2588">
        <v>0</v>
      </c>
      <c r="O2588">
        <v>-0.79803780000000002</v>
      </c>
      <c r="P2588">
        <v>-0.42757129999999999</v>
      </c>
      <c r="Q2588">
        <v>2.1909979999999999E-2</v>
      </c>
      <c r="R2588">
        <v>-0.90371619999999997</v>
      </c>
      <c r="S2588">
        <v>-0.6621399</v>
      </c>
      <c r="T2588">
        <v>-0.46668579999999998</v>
      </c>
      <c r="U2588">
        <v>-3.0252690000000002</v>
      </c>
      <c r="V2588">
        <v>-0.2046346</v>
      </c>
      <c r="W2588">
        <v>2.9568959999999998E-2</v>
      </c>
      <c r="X2588">
        <v>0.97839169999999998</v>
      </c>
      <c r="Y2588">
        <v>-0.41883609999999999</v>
      </c>
      <c r="Z2588">
        <v>9.9393560000000006E-2</v>
      </c>
      <c r="AA2588">
        <v>0.90260580000000001</v>
      </c>
      <c r="AB2588">
        <v>40</v>
      </c>
      <c r="AC2588">
        <v>-1.47730000000001</v>
      </c>
      <c r="AD2588">
        <v>-1.126973344512</v>
      </c>
      <c r="AE2588">
        <v>-7.1422999999999703</v>
      </c>
      <c r="AF2588">
        <v>-3.0509973473398602</v>
      </c>
      <c r="AG2588">
        <v>-1.126973344512</v>
      </c>
      <c r="AH2588">
        <v>6.4369481576985503</v>
      </c>
      <c r="AI2588">
        <v>98.990089374030106</v>
      </c>
      <c r="AJ2588">
        <v>115.360108097262</v>
      </c>
      <c r="AK2588">
        <v>7.2120007846376604</v>
      </c>
      <c r="AL2588">
        <v>88.305576381259101</v>
      </c>
      <c r="AM2588">
        <v>101.813349838386</v>
      </c>
      <c r="AN2588">
        <v>0.99999998077076502</v>
      </c>
    </row>
    <row r="2589" spans="1:40" x14ac:dyDescent="0.25">
      <c r="A2589" t="str">
        <f>"20190312151036095"</f>
        <v>20190312151036095</v>
      </c>
      <c r="B2589" t="str">
        <f>"1552374636083283"</f>
        <v>1552374636083283</v>
      </c>
      <c r="C2589" t="s">
        <v>40</v>
      </c>
      <c r="D2589">
        <v>5.0367110000000004</v>
      </c>
      <c r="E2589">
        <v>0.4130183</v>
      </c>
      <c r="F2589" t="s">
        <v>42</v>
      </c>
      <c r="G2589">
        <v>-491.79730000000001</v>
      </c>
      <c r="H2589" s="1">
        <v>-2.2569919999999999E-6</v>
      </c>
      <c r="I2589">
        <v>263.7355</v>
      </c>
      <c r="J2589">
        <v>-490.3716</v>
      </c>
      <c r="K2589">
        <v>1.1270169999999999</v>
      </c>
      <c r="L2589">
        <v>270.9513</v>
      </c>
      <c r="M2589">
        <v>-0.59451509999999996</v>
      </c>
      <c r="N2589">
        <v>0</v>
      </c>
      <c r="O2589">
        <v>-0.80391049999999997</v>
      </c>
      <c r="P2589">
        <v>-0.41826469999999999</v>
      </c>
      <c r="Q2589">
        <v>2.1958060000000001E-2</v>
      </c>
      <c r="R2589">
        <v>-0.90806010000000004</v>
      </c>
      <c r="S2589">
        <v>-0.63809199999999999</v>
      </c>
      <c r="T2589">
        <v>-0.46150760000000002</v>
      </c>
      <c r="U2589">
        <v>-3.0289609999999998</v>
      </c>
      <c r="V2589">
        <v>-0.2050902</v>
      </c>
      <c r="W2589">
        <v>2.959374E-2</v>
      </c>
      <c r="X2589">
        <v>0.97829560000000004</v>
      </c>
      <c r="Y2589">
        <v>-0.41701179999999899</v>
      </c>
      <c r="Z2589">
        <v>9.9565539999999994E-2</v>
      </c>
      <c r="AA2589">
        <v>0.90343119999999999</v>
      </c>
      <c r="AB2589">
        <v>40</v>
      </c>
      <c r="AC2589">
        <v>-1.4257</v>
      </c>
      <c r="AD2589">
        <v>-1.1270192569919999</v>
      </c>
      <c r="AE2589">
        <v>-7.2157999999999998</v>
      </c>
      <c r="AF2589">
        <v>-3.0720801200991001</v>
      </c>
      <c r="AG2589">
        <v>-1.1270192569919999</v>
      </c>
      <c r="AH2589">
        <v>6.496854006485</v>
      </c>
      <c r="AI2589">
        <v>98.9127027799872</v>
      </c>
      <c r="AJ2589">
        <v>115.307433516191</v>
      </c>
      <c r="AK2589">
        <v>7.2744044877583702</v>
      </c>
      <c r="AL2589">
        <v>88.304156054196298</v>
      </c>
      <c r="AM2589">
        <v>101.840039832882</v>
      </c>
      <c r="AN2589">
        <v>1.0000000302812899</v>
      </c>
    </row>
    <row r="2590" spans="1:40" x14ac:dyDescent="0.25">
      <c r="A2590" t="str">
        <f>"20190312151036116"</f>
        <v>20190312151036116</v>
      </c>
      <c r="B2590" t="str">
        <f>"1552374636113540"</f>
        <v>1552374636113540</v>
      </c>
      <c r="C2590" t="s">
        <v>40</v>
      </c>
      <c r="D2590">
        <v>5.0157119999999997</v>
      </c>
      <c r="E2590">
        <v>0.41425250000000002</v>
      </c>
      <c r="F2590" t="s">
        <v>42</v>
      </c>
      <c r="G2590">
        <v>-491.8646</v>
      </c>
      <c r="H2590" s="1">
        <v>-2.1833170000000002E-6</v>
      </c>
      <c r="I2590">
        <v>263.52199999999999</v>
      </c>
      <c r="J2590">
        <v>-490.5736</v>
      </c>
      <c r="K2590">
        <v>1.1270819999999999</v>
      </c>
      <c r="L2590">
        <v>270.66770000000002</v>
      </c>
      <c r="M2590">
        <v>-0.58212710000000001</v>
      </c>
      <c r="N2590">
        <v>0</v>
      </c>
      <c r="O2590">
        <v>-0.8129248</v>
      </c>
      <c r="P2590">
        <v>-0.40299249999999998</v>
      </c>
      <c r="Q2590">
        <v>2.180315E-2</v>
      </c>
      <c r="R2590">
        <v>-0.91494350000000002</v>
      </c>
      <c r="S2590">
        <v>-0.60971070000000005</v>
      </c>
      <c r="T2590">
        <v>-0.46025630000000001</v>
      </c>
      <c r="U2590">
        <v>-3.0339969999999998</v>
      </c>
      <c r="V2590">
        <v>-0.20649129999999999</v>
      </c>
      <c r="W2590">
        <v>2.9371149999999999E-2</v>
      </c>
      <c r="X2590">
        <v>0.97800750000000003</v>
      </c>
      <c r="Y2590">
        <v>-0.41153070000000003</v>
      </c>
      <c r="Z2590">
        <v>0.1013148</v>
      </c>
      <c r="AA2590">
        <v>0.90574710000000003</v>
      </c>
      <c r="AB2590">
        <v>40</v>
      </c>
      <c r="AC2590">
        <v>-1.2909999999999899</v>
      </c>
      <c r="AD2590">
        <v>-1.127084183317</v>
      </c>
      <c r="AE2590">
        <v>-7.1457000000000299</v>
      </c>
      <c r="AF2590">
        <v>-3.0374781760501102</v>
      </c>
      <c r="AG2590">
        <v>-1.127084183317</v>
      </c>
      <c r="AH2590">
        <v>6.4070078100943899</v>
      </c>
      <c r="AI2590">
        <v>99.031922719905097</v>
      </c>
      <c r="AJ2590">
        <v>115.36501505858</v>
      </c>
      <c r="AK2590">
        <v>7.1795780868289603</v>
      </c>
      <c r="AL2590">
        <v>88.316915009614604</v>
      </c>
      <c r="AM2590">
        <v>101.922031284223</v>
      </c>
      <c r="AN2590">
        <v>0.99999999574213105</v>
      </c>
    </row>
    <row r="2591" spans="1:40" x14ac:dyDescent="0.25">
      <c r="A2591" t="str">
        <f>"20190312151036129"</f>
        <v>20190312151036129</v>
      </c>
      <c r="B2591" t="str">
        <f>"1552374636123298"</f>
        <v>1552374636123298</v>
      </c>
      <c r="C2591" t="s">
        <v>40</v>
      </c>
      <c r="D2591">
        <v>5.0299889999999996</v>
      </c>
      <c r="E2591">
        <v>0.41469640000000002</v>
      </c>
      <c r="F2591" t="s">
        <v>42</v>
      </c>
      <c r="G2591">
        <v>-491.96589999999998</v>
      </c>
      <c r="H2591" s="1">
        <v>-2.0784240000000001E-6</v>
      </c>
      <c r="I2591">
        <v>263.21469999999999</v>
      </c>
      <c r="J2591">
        <v>-490.7013</v>
      </c>
      <c r="K2591">
        <v>1.127122</v>
      </c>
      <c r="L2591">
        <v>270.48289999999997</v>
      </c>
      <c r="M2591">
        <v>-0.57401959999999996</v>
      </c>
      <c r="N2591">
        <v>0</v>
      </c>
      <c r="O2591">
        <v>-0.8186696</v>
      </c>
      <c r="P2591">
        <v>-0.39354610000000001</v>
      </c>
      <c r="Q2591">
        <v>2.17199E-2</v>
      </c>
      <c r="R2591">
        <v>-0.91904859999999999</v>
      </c>
      <c r="S2591">
        <v>-0.56784060000000003</v>
      </c>
      <c r="T2591">
        <v>-0.45968439999999999</v>
      </c>
      <c r="U2591">
        <v>-3.0397340000000002</v>
      </c>
      <c r="V2591">
        <v>-0.20684820000000001</v>
      </c>
      <c r="W2591">
        <v>2.9269159999999999E-2</v>
      </c>
      <c r="X2591">
        <v>0.97793509999999995</v>
      </c>
      <c r="Y2591">
        <v>-0.41483320000000001</v>
      </c>
      <c r="Z2591">
        <v>0.1022033</v>
      </c>
      <c r="AA2591">
        <v>0.90413929999999998</v>
      </c>
      <c r="AB2591">
        <v>40</v>
      </c>
      <c r="AC2591">
        <v>-1.26459999999997</v>
      </c>
      <c r="AD2591">
        <v>-1.127124078424</v>
      </c>
      <c r="AE2591">
        <v>-7.26819999999997</v>
      </c>
      <c r="AF2591">
        <v>-3.06568235016567</v>
      </c>
      <c r="AG2591">
        <v>-1.127124078424</v>
      </c>
      <c r="AH2591">
        <v>6.5247980916058204</v>
      </c>
      <c r="AI2591">
        <v>98.886083782862798</v>
      </c>
      <c r="AJ2591">
        <v>115.166527668873</v>
      </c>
      <c r="AK2591">
        <v>7.2966983695712297</v>
      </c>
      <c r="AL2591">
        <v>88.322761060796296</v>
      </c>
      <c r="AM2591">
        <v>101.942904942402</v>
      </c>
      <c r="AN2591">
        <v>0.99999996069117703</v>
      </c>
    </row>
    <row r="2592" spans="1:40" x14ac:dyDescent="0.25">
      <c r="A2592" t="str">
        <f>"20190312151036141"</f>
        <v>20190312151036141</v>
      </c>
      <c r="B2592" t="str">
        <f>"1552374636133059"</f>
        <v>1552374636133059</v>
      </c>
      <c r="C2592" t="s">
        <v>40</v>
      </c>
      <c r="D2592">
        <v>5.040057</v>
      </c>
      <c r="E2592">
        <v>0.41521249999999998</v>
      </c>
      <c r="F2592" t="s">
        <v>42</v>
      </c>
      <c r="G2592">
        <v>-492.02609999999999</v>
      </c>
      <c r="H2592" s="1">
        <v>-2.0061749999999999E-6</v>
      </c>
      <c r="I2592">
        <v>263.00889999999998</v>
      </c>
      <c r="J2592">
        <v>-490.8229</v>
      </c>
      <c r="K2592">
        <v>1.1271580000000001</v>
      </c>
      <c r="L2592">
        <v>270.30439999999999</v>
      </c>
      <c r="M2592">
        <v>-0.56615490000000002</v>
      </c>
      <c r="N2592">
        <v>0</v>
      </c>
      <c r="O2592">
        <v>-0.82412759999999996</v>
      </c>
      <c r="P2592">
        <v>-0.38442330000000002</v>
      </c>
      <c r="Q2592">
        <v>2.1446699999999999E-2</v>
      </c>
      <c r="R2592">
        <v>-0.9229077</v>
      </c>
      <c r="S2592">
        <v>-0.5395508</v>
      </c>
      <c r="T2592">
        <v>-0.45905960000000001</v>
      </c>
      <c r="U2592">
        <v>-3.0440369999999999</v>
      </c>
      <c r="V2592">
        <v>-0.20716699999999999</v>
      </c>
      <c r="W2592">
        <v>2.8979359999999999E-2</v>
      </c>
      <c r="X2592">
        <v>0.97787630000000003</v>
      </c>
      <c r="Y2592">
        <v>-0.41450179999999998</v>
      </c>
      <c r="Z2592">
        <v>0.10315879999999999</v>
      </c>
      <c r="AA2592">
        <v>0.90418279999999995</v>
      </c>
      <c r="AB2592">
        <v>39</v>
      </c>
      <c r="AC2592">
        <v>-1.2031999999999801</v>
      </c>
      <c r="AD2592">
        <v>-1.12716000617499</v>
      </c>
      <c r="AE2592">
        <v>-7.2954999999999997</v>
      </c>
      <c r="AF2592">
        <v>-3.06794188325705</v>
      </c>
      <c r="AG2592">
        <v>-1.12716000617499</v>
      </c>
      <c r="AH2592">
        <v>6.5425277476166501</v>
      </c>
      <c r="AI2592">
        <v>98.865777521131093</v>
      </c>
      <c r="AJ2592">
        <v>115.122961932252</v>
      </c>
      <c r="AK2592">
        <v>7.3135098555274496</v>
      </c>
      <c r="AL2592">
        <v>88.339372512938695</v>
      </c>
      <c r="AM2592">
        <v>101.96148042901</v>
      </c>
      <c r="AN2592">
        <v>1.00000001364834</v>
      </c>
    </row>
    <row r="2593" spans="1:40" x14ac:dyDescent="0.25">
      <c r="A2593" t="str">
        <f>"20190312151036152"</f>
        <v>20190312151036152</v>
      </c>
      <c r="B2593" t="str">
        <f>"1552374636142820"</f>
        <v>1552374636142820</v>
      </c>
      <c r="C2593" t="s">
        <v>40</v>
      </c>
      <c r="D2593">
        <v>4.9646929999999996</v>
      </c>
      <c r="E2593">
        <v>0.41573320000000002</v>
      </c>
      <c r="F2593" t="s">
        <v>42</v>
      </c>
      <c r="G2593">
        <v>-492.07830000000001</v>
      </c>
      <c r="H2593" s="1">
        <v>-1.9514300000000001E-6</v>
      </c>
      <c r="I2593">
        <v>262.84890000000001</v>
      </c>
      <c r="J2593">
        <v>-490.93490000000003</v>
      </c>
      <c r="K2593">
        <v>1.127189</v>
      </c>
      <c r="L2593">
        <v>270.13600000000002</v>
      </c>
      <c r="M2593">
        <v>-0.55871329999999997</v>
      </c>
      <c r="N2593">
        <v>0</v>
      </c>
      <c r="O2593">
        <v>-0.82919009999999904</v>
      </c>
      <c r="P2593">
        <v>-0.3756912</v>
      </c>
      <c r="Q2593">
        <v>2.0815360000000002E-2</v>
      </c>
      <c r="R2593">
        <v>-0.92651090000000003</v>
      </c>
      <c r="S2593">
        <v>-0.51318359999999996</v>
      </c>
      <c r="T2593">
        <v>-0.46074140000000002</v>
      </c>
      <c r="U2593">
        <v>-3.0475460000000001</v>
      </c>
      <c r="V2593">
        <v>-0.20758219999999999</v>
      </c>
      <c r="W2593">
        <v>2.8326839999999999E-2</v>
      </c>
      <c r="X2593">
        <v>0.97780730000000005</v>
      </c>
      <c r="Y2593">
        <v>-0.41410740000000001</v>
      </c>
      <c r="Z2593">
        <v>0.1045634</v>
      </c>
      <c r="AA2593">
        <v>0.90420219999999996</v>
      </c>
      <c r="AB2593">
        <v>39</v>
      </c>
      <c r="AC2593">
        <v>-1.14339999999998</v>
      </c>
      <c r="AD2593">
        <v>-1.12719095142999</v>
      </c>
      <c r="AE2593">
        <v>-7.28709999999995</v>
      </c>
      <c r="AF2593">
        <v>-3.05246517869318</v>
      </c>
      <c r="AG2593">
        <v>-1.12719095142999</v>
      </c>
      <c r="AH2593">
        <v>6.5296894825118104</v>
      </c>
      <c r="AI2593">
        <v>98.888033992939597</v>
      </c>
      <c r="AJ2593">
        <v>115.054903168496</v>
      </c>
      <c r="AK2593">
        <v>7.2955430124251501</v>
      </c>
      <c r="AL2593">
        <v>88.376774404864804</v>
      </c>
      <c r="AM2593">
        <v>101.98558213892601</v>
      </c>
      <c r="AN2593">
        <v>0.99999994777725598</v>
      </c>
    </row>
    <row r="2594" spans="1:40" x14ac:dyDescent="0.25">
      <c r="A2594" t="str">
        <f>"20190312151036164"</f>
        <v>20190312151036164</v>
      </c>
      <c r="B2594" t="str">
        <f>"1552374636153554"</f>
        <v>1552374636153554</v>
      </c>
      <c r="C2594" t="s">
        <v>40</v>
      </c>
      <c r="D2594">
        <v>5.0020829999999998</v>
      </c>
      <c r="E2594">
        <v>0.41648099999999999</v>
      </c>
      <c r="F2594" t="s">
        <v>42</v>
      </c>
      <c r="G2594">
        <v>-492.13049999999998</v>
      </c>
      <c r="H2594" s="1">
        <v>-1.882861E-6</v>
      </c>
      <c r="I2594">
        <v>262.6567</v>
      </c>
      <c r="J2594">
        <v>-491.04169999999999</v>
      </c>
      <c r="K2594">
        <v>1.1272180000000001</v>
      </c>
      <c r="L2594">
        <v>269.97230000000002</v>
      </c>
      <c r="M2594">
        <v>-0.55146149999999905</v>
      </c>
      <c r="N2594">
        <v>0</v>
      </c>
      <c r="O2594">
        <v>-0.8340303</v>
      </c>
      <c r="P2594">
        <v>-0.36753839999999999</v>
      </c>
      <c r="Q2594">
        <v>2.0400359999999999E-2</v>
      </c>
      <c r="R2594">
        <v>-0.92978470000000002</v>
      </c>
      <c r="S2594">
        <v>-0.48767090000000002</v>
      </c>
      <c r="T2594">
        <v>-0.45974399999999999</v>
      </c>
      <c r="U2594">
        <v>-3.0505680000000002</v>
      </c>
      <c r="V2594">
        <v>-0.20763499999999999</v>
      </c>
      <c r="W2594">
        <v>2.7907390000000001E-2</v>
      </c>
      <c r="X2594">
        <v>0.97780820000000002</v>
      </c>
      <c r="Y2594">
        <v>-0.41369349999999999</v>
      </c>
      <c r="Z2594">
        <v>0.10533919999999999</v>
      </c>
      <c r="AA2594">
        <v>0.90430160000000004</v>
      </c>
      <c r="AB2594">
        <v>39</v>
      </c>
      <c r="AC2594">
        <v>-1.08879999999999</v>
      </c>
      <c r="AD2594">
        <v>-1.1272198828610001</v>
      </c>
      <c r="AE2594">
        <v>-7.3156000000000097</v>
      </c>
      <c r="AF2594">
        <v>-3.0556480291512398</v>
      </c>
      <c r="AG2594">
        <v>-1.1272198828610001</v>
      </c>
      <c r="AH2594">
        <v>6.5506587620611896</v>
      </c>
      <c r="AI2594">
        <v>98.863637221056294</v>
      </c>
      <c r="AJ2594">
        <v>115.00736844680399</v>
      </c>
      <c r="AK2594">
        <v>7.3156503305818301</v>
      </c>
      <c r="AL2594">
        <v>88.400816703289095</v>
      </c>
      <c r="AM2594">
        <v>101.98853184637601</v>
      </c>
      <c r="AN2594">
        <v>0.999999995814426</v>
      </c>
    </row>
    <row r="2595" spans="1:40" x14ac:dyDescent="0.25">
      <c r="A2595" t="str">
        <f>"20190312151036175"</f>
        <v>20190312151036175</v>
      </c>
      <c r="B2595" t="str">
        <f>"1552374636163315"</f>
        <v>1552374636163315</v>
      </c>
      <c r="C2595" t="s">
        <v>40</v>
      </c>
      <c r="D2595">
        <v>5.0292490000000001</v>
      </c>
      <c r="E2595">
        <v>0.41714479999999998</v>
      </c>
      <c r="F2595" t="s">
        <v>42</v>
      </c>
      <c r="G2595">
        <v>-492.1807</v>
      </c>
      <c r="H2595" s="1">
        <v>-1.833482E-6</v>
      </c>
      <c r="I2595">
        <v>262.51049999999998</v>
      </c>
      <c r="J2595">
        <v>-491.14670000000001</v>
      </c>
      <c r="K2595">
        <v>1.1272450000000001</v>
      </c>
      <c r="L2595">
        <v>269.8091</v>
      </c>
      <c r="M2595">
        <v>-0.54420970000000002</v>
      </c>
      <c r="N2595">
        <v>0</v>
      </c>
      <c r="O2595">
        <v>-0.83878019999999998</v>
      </c>
      <c r="P2595">
        <v>-0.35949189999999998</v>
      </c>
      <c r="Q2595">
        <v>2.0201739999999999E-2</v>
      </c>
      <c r="R2595">
        <v>-0.93292980000000003</v>
      </c>
      <c r="S2595">
        <v>-0.46594239999999998</v>
      </c>
      <c r="T2595">
        <v>-0.46112439999999999</v>
      </c>
      <c r="U2595">
        <v>-3.0524900000000001</v>
      </c>
      <c r="V2595">
        <v>-0.20760110000000001</v>
      </c>
      <c r="W2595">
        <v>2.770862E-2</v>
      </c>
      <c r="X2595">
        <v>0.9778211</v>
      </c>
      <c r="Y2595">
        <v>-0.41219420000000001</v>
      </c>
      <c r="Z2595">
        <v>0.10669770000000001</v>
      </c>
      <c r="AA2595">
        <v>0.90482680000000004</v>
      </c>
      <c r="AB2595">
        <v>39</v>
      </c>
      <c r="AC2595">
        <v>-1.03399999999999</v>
      </c>
      <c r="AD2595">
        <v>-1.1272468334819901</v>
      </c>
      <c r="AE2595">
        <v>-7.29860000000002</v>
      </c>
      <c r="AF2595">
        <v>-3.0341581279609802</v>
      </c>
      <c r="AG2595">
        <v>-1.1272468334819901</v>
      </c>
      <c r="AH2595">
        <v>6.5328151904283196</v>
      </c>
      <c r="AI2595">
        <v>98.8944162090541</v>
      </c>
      <c r="AJ2595">
        <v>114.912455069556</v>
      </c>
      <c r="AK2595">
        <v>7.2907115757899703</v>
      </c>
      <c r="AL2595">
        <v>88.412209867841696</v>
      </c>
      <c r="AM2595">
        <v>101.986477568441</v>
      </c>
      <c r="AN2595">
        <v>1.0000000439743599</v>
      </c>
    </row>
    <row r="2596" spans="1:40" x14ac:dyDescent="0.25">
      <c r="A2596" t="str">
        <f>"20190312151036186"</f>
        <v>20190312151036186</v>
      </c>
      <c r="B2596" t="str">
        <f>"1552374636182835"</f>
        <v>1552374636182835</v>
      </c>
      <c r="C2596" t="s">
        <v>40</v>
      </c>
      <c r="D2596">
        <v>4.9976019999999997</v>
      </c>
      <c r="E2596">
        <v>0.41840460000000002</v>
      </c>
      <c r="F2596" t="s">
        <v>42</v>
      </c>
      <c r="G2596">
        <v>-492.23739999999998</v>
      </c>
      <c r="H2596" s="1">
        <v>-1.766792E-6</v>
      </c>
      <c r="I2596">
        <v>262.31990000000002</v>
      </c>
      <c r="J2596">
        <v>-491.24900000000002</v>
      </c>
      <c r="K2596">
        <v>1.1272719999999901</v>
      </c>
      <c r="L2596">
        <v>269.64569999999998</v>
      </c>
      <c r="M2596">
        <v>-0.53693990000000003</v>
      </c>
      <c r="N2596">
        <v>0</v>
      </c>
      <c r="O2596">
        <v>-0.84345219999999899</v>
      </c>
      <c r="P2596">
        <v>-0.351433099999999</v>
      </c>
      <c r="Q2596">
        <v>1.9824020000000001E-2</v>
      </c>
      <c r="R2596">
        <v>-0.93600349999999999</v>
      </c>
      <c r="S2596">
        <v>-0.4448242</v>
      </c>
      <c r="T2596">
        <v>-0.45970749999999999</v>
      </c>
      <c r="U2596">
        <v>-3.05423</v>
      </c>
      <c r="V2596">
        <v>-0.20757300000000001</v>
      </c>
      <c r="W2596">
        <v>2.733064E-2</v>
      </c>
      <c r="X2596">
        <v>0.97783770000000003</v>
      </c>
      <c r="Y2596">
        <v>-0.4105297</v>
      </c>
      <c r="Z2596">
        <v>0.10741489999999999</v>
      </c>
      <c r="AA2596">
        <v>0.90549840000000004</v>
      </c>
      <c r="AB2596">
        <v>39</v>
      </c>
      <c r="AC2596">
        <v>-0.98839999999995498</v>
      </c>
      <c r="AD2596">
        <v>-1.1272737667920001</v>
      </c>
      <c r="AE2596">
        <v>-7.3257999999999504</v>
      </c>
      <c r="AF2596">
        <v>-3.0298280427930102</v>
      </c>
      <c r="AG2596">
        <v>-1.1272737667920001</v>
      </c>
      <c r="AH2596">
        <v>6.5581180223347699</v>
      </c>
      <c r="AI2596">
        <v>98.869012456311793</v>
      </c>
      <c r="AJ2596">
        <v>114.79677520717</v>
      </c>
      <c r="AK2596">
        <v>7.31160147362153</v>
      </c>
      <c r="AL2596">
        <v>88.433874726185095</v>
      </c>
      <c r="AM2596">
        <v>101.984704471116</v>
      </c>
      <c r="AN2596">
        <v>1.0000000408765399</v>
      </c>
    </row>
    <row r="2597" spans="1:40" x14ac:dyDescent="0.25">
      <c r="A2597" t="str">
        <f>"20190312151036198"</f>
        <v>20190312151036198</v>
      </c>
      <c r="B2597" t="str">
        <f>"1552374636193571"</f>
        <v>1552374636193571</v>
      </c>
      <c r="C2597" t="s">
        <v>40</v>
      </c>
      <c r="D2597">
        <v>5.016826</v>
      </c>
      <c r="E2597">
        <v>0.41894920000000002</v>
      </c>
      <c r="F2597" t="s">
        <v>42</v>
      </c>
      <c r="G2597">
        <v>-492.30270000000002</v>
      </c>
      <c r="H2597" s="1">
        <v>-1.7016430000000001E-6</v>
      </c>
      <c r="I2597">
        <v>262.1275</v>
      </c>
      <c r="J2597">
        <v>-491.35210000000001</v>
      </c>
      <c r="K2597">
        <v>1.127297</v>
      </c>
      <c r="L2597">
        <v>269.47969999999998</v>
      </c>
      <c r="M2597">
        <v>-0.52952489999999997</v>
      </c>
      <c r="N2597">
        <v>0</v>
      </c>
      <c r="O2597">
        <v>-0.84812679999999996</v>
      </c>
      <c r="P2597">
        <v>-0.34330670000000002</v>
      </c>
      <c r="Q2597">
        <v>1.9537579999999999E-2</v>
      </c>
      <c r="R2597">
        <v>-0.93902039999999998</v>
      </c>
      <c r="S2597">
        <v>-0.42803960000000002</v>
      </c>
      <c r="T2597">
        <v>-0.45792519999999998</v>
      </c>
      <c r="U2597">
        <v>-3.0540769999999999</v>
      </c>
      <c r="V2597">
        <v>-0.20747019999999999</v>
      </c>
      <c r="W2597">
        <v>2.7047499999999999E-2</v>
      </c>
      <c r="X2597">
        <v>0.97786740000000005</v>
      </c>
      <c r="Y2597">
        <v>-0.4074197</v>
      </c>
      <c r="Z2597">
        <v>0.10814840000000001</v>
      </c>
      <c r="AA2597">
        <v>0.90681480000000003</v>
      </c>
      <c r="AB2597">
        <v>39</v>
      </c>
      <c r="AC2597">
        <v>-0.95060000000000799</v>
      </c>
      <c r="AD2597">
        <v>-1.1272987016430001</v>
      </c>
      <c r="AE2597">
        <v>-7.3521999999999803</v>
      </c>
      <c r="AF2597">
        <v>-3.0176065846049802</v>
      </c>
      <c r="AG2597">
        <v>-1.1272987016430001</v>
      </c>
      <c r="AH2597">
        <v>6.5875977159233301</v>
      </c>
      <c r="AI2597">
        <v>98.843095649848806</v>
      </c>
      <c r="AJ2597">
        <v>114.611279679134</v>
      </c>
      <c r="AK2597">
        <v>7.3330209006258498</v>
      </c>
      <c r="AL2597">
        <v>88.450103468770493</v>
      </c>
      <c r="AM2597">
        <v>101.97858725558299</v>
      </c>
      <c r="AN2597">
        <v>1.0000000515635199</v>
      </c>
    </row>
    <row r="2598" spans="1:40" x14ac:dyDescent="0.25">
      <c r="A2598" t="str">
        <f>"20190312151036208"</f>
        <v>20190312151036208</v>
      </c>
      <c r="B2598" t="str">
        <f>"1552374636203331"</f>
        <v>1552374636203331</v>
      </c>
      <c r="C2598" t="s">
        <v>40</v>
      </c>
      <c r="D2598">
        <v>5.2135579999999999</v>
      </c>
      <c r="E2598">
        <v>0.4186647</v>
      </c>
      <c r="F2598" t="s">
        <v>42</v>
      </c>
      <c r="G2598">
        <v>-492.3494</v>
      </c>
      <c r="H2598" s="1">
        <v>-1.6439099999999999E-6</v>
      </c>
      <c r="I2598">
        <v>261.96390000000002</v>
      </c>
      <c r="J2598">
        <v>-491.4486</v>
      </c>
      <c r="K2598">
        <v>1.1273200000000001</v>
      </c>
      <c r="L2598">
        <v>269.31909999999999</v>
      </c>
      <c r="M2598">
        <v>-0.52234979999999998</v>
      </c>
      <c r="N2598">
        <v>0</v>
      </c>
      <c r="O2598">
        <v>-0.85256419999999999</v>
      </c>
      <c r="P2598">
        <v>-0.33545520000000001</v>
      </c>
      <c r="Q2598">
        <v>1.9391559999999999E-2</v>
      </c>
      <c r="R2598">
        <v>-0.9418569</v>
      </c>
      <c r="S2598">
        <v>-0.40551759999999998</v>
      </c>
      <c r="T2598">
        <v>-0.45838479999999998</v>
      </c>
      <c r="U2598">
        <v>-3.0560909999999999</v>
      </c>
      <c r="V2598">
        <v>-0.20738000000000001</v>
      </c>
      <c r="W2598">
        <v>2.6904500000000001E-2</v>
      </c>
      <c r="X2598">
        <v>0.97789040000000005</v>
      </c>
      <c r="Y2598">
        <v>-0.40637240000000002</v>
      </c>
      <c r="Z2598">
        <v>0.109211</v>
      </c>
      <c r="AA2598">
        <v>0.9071574</v>
      </c>
      <c r="AB2598">
        <v>39</v>
      </c>
      <c r="AC2598">
        <v>-0.90080000000000304</v>
      </c>
      <c r="AD2598">
        <v>-1.12732164391</v>
      </c>
      <c r="AE2598">
        <v>-7.35519999999996</v>
      </c>
      <c r="AF2598">
        <v>-3.0048899227746002</v>
      </c>
      <c r="AG2598">
        <v>-1.12732164391</v>
      </c>
      <c r="AH2598">
        <v>6.5897593454564101</v>
      </c>
      <c r="AI2598">
        <v>98.847262446236797</v>
      </c>
      <c r="AJ2598">
        <v>114.512695449448</v>
      </c>
      <c r="AK2598">
        <v>7.3297439087495002</v>
      </c>
      <c r="AL2598">
        <v>88.458299630255098</v>
      </c>
      <c r="AM2598">
        <v>101.973256275197</v>
      </c>
      <c r="AN2598">
        <v>0.99999997546620401</v>
      </c>
    </row>
    <row r="2599" spans="1:40" x14ac:dyDescent="0.25">
      <c r="A2599" t="str">
        <f>"20190312151036218"</f>
        <v>20190312151036218</v>
      </c>
      <c r="B2599" t="str">
        <f>"1552374636213091"</f>
        <v>1552374636213091</v>
      </c>
      <c r="C2599" t="s">
        <v>40</v>
      </c>
      <c r="D2599">
        <v>5.1027310000000003</v>
      </c>
      <c r="E2599">
        <v>0.4186647</v>
      </c>
      <c r="F2599" t="s">
        <v>42</v>
      </c>
      <c r="G2599">
        <v>-492.37720000000002</v>
      </c>
      <c r="H2599" s="1">
        <v>-1.5806759999999999E-6</v>
      </c>
      <c r="I2599">
        <v>261.79930000000002</v>
      </c>
      <c r="J2599">
        <v>-491.53829999999999</v>
      </c>
      <c r="K2599">
        <v>1.12734</v>
      </c>
      <c r="L2599">
        <v>269.16930000000002</v>
      </c>
      <c r="M2599">
        <v>-0.51563199999999998</v>
      </c>
      <c r="N2599">
        <v>0</v>
      </c>
      <c r="O2599">
        <v>-0.85664359999999995</v>
      </c>
      <c r="P2599">
        <v>-0.32849099999999998</v>
      </c>
      <c r="Q2599">
        <v>1.9136029999999998E-2</v>
      </c>
      <c r="R2599">
        <v>-0.94431339999999997</v>
      </c>
      <c r="S2599">
        <v>-0.3778687</v>
      </c>
      <c r="T2599">
        <v>-0.45874749999999997</v>
      </c>
      <c r="U2599">
        <v>-3.0600589999999999</v>
      </c>
      <c r="V2599">
        <v>-0.20690800000000001</v>
      </c>
      <c r="W2599">
        <v>2.666903E-2</v>
      </c>
      <c r="X2599">
        <v>0.9779968</v>
      </c>
      <c r="Y2599">
        <v>-0.40741630000000001</v>
      </c>
      <c r="Z2599">
        <v>0.11004269999999999</v>
      </c>
      <c r="AA2599">
        <v>0.90658839999999996</v>
      </c>
      <c r="AB2599">
        <v>39</v>
      </c>
      <c r="AC2599">
        <v>-0.83890000000002296</v>
      </c>
      <c r="AD2599">
        <v>-1.1273415806759901</v>
      </c>
      <c r="AE2599">
        <v>-7.37</v>
      </c>
      <c r="AF2599">
        <v>-3.0124265520441802</v>
      </c>
      <c r="AG2599">
        <v>-1.1273415806759901</v>
      </c>
      <c r="AH2599">
        <v>6.5946624757961096</v>
      </c>
      <c r="AI2599">
        <v>98.8383009062414</v>
      </c>
      <c r="AJ2599">
        <v>114.55081083744599</v>
      </c>
      <c r="AK2599">
        <v>7.3372464822067398</v>
      </c>
      <c r="AL2599">
        <v>88.471795870564094</v>
      </c>
      <c r="AM2599">
        <v>101.945526445391</v>
      </c>
      <c r="AN2599">
        <v>0.99999994921768898</v>
      </c>
    </row>
    <row r="2600" spans="1:40" x14ac:dyDescent="0.25">
      <c r="A2600" t="str">
        <f>"20190312151036230"</f>
        <v>20190312151036230</v>
      </c>
      <c r="B2600" t="str">
        <f>"1552374636222851"</f>
        <v>1552374636222851</v>
      </c>
      <c r="C2600" t="s">
        <v>40</v>
      </c>
      <c r="D2600">
        <v>5.0744829999999999</v>
      </c>
      <c r="E2600">
        <v>0.3901076</v>
      </c>
      <c r="F2600" t="s">
        <v>42</v>
      </c>
      <c r="G2600">
        <v>-492.40899999999999</v>
      </c>
      <c r="H2600" s="1">
        <v>-1.5260770000000001E-6</v>
      </c>
      <c r="I2600">
        <v>261.65230000000003</v>
      </c>
      <c r="J2600">
        <v>-491.6438</v>
      </c>
      <c r="K2600">
        <v>1.127356</v>
      </c>
      <c r="L2600">
        <v>268.98719999999997</v>
      </c>
      <c r="M2600">
        <v>-0.50746590000000003</v>
      </c>
      <c r="N2600">
        <v>0</v>
      </c>
      <c r="O2600">
        <v>-0.8615062</v>
      </c>
      <c r="P2600">
        <v>-0.32003819999999999</v>
      </c>
      <c r="Q2600">
        <v>1.9298760000000002E-2</v>
      </c>
      <c r="R2600">
        <v>-0.94720850000000001</v>
      </c>
      <c r="S2600">
        <v>-0.35479739999999999</v>
      </c>
      <c r="T2600">
        <v>-0.45933849999999998</v>
      </c>
      <c r="U2600">
        <v>-3.062805</v>
      </c>
      <c r="V2600">
        <v>-0.2063604</v>
      </c>
      <c r="W2600">
        <v>2.6855879999999999E-2</v>
      </c>
      <c r="X2600">
        <v>0.97810750000000002</v>
      </c>
      <c r="Y2600">
        <v>-0.40558319999999998</v>
      </c>
      <c r="Z2600">
        <v>0.1112296</v>
      </c>
      <c r="AA2600">
        <v>0.90726519999999999</v>
      </c>
      <c r="AB2600">
        <v>39</v>
      </c>
      <c r="AC2600">
        <v>-0.765199999999992</v>
      </c>
      <c r="AD2600">
        <v>-1.1273575260769999</v>
      </c>
      <c r="AE2600">
        <v>-7.3348999999999398</v>
      </c>
      <c r="AF2600">
        <v>-2.9934708903020999</v>
      </c>
      <c r="AG2600">
        <v>-1.1273575260769999</v>
      </c>
      <c r="AH2600">
        <v>6.5551471332341604</v>
      </c>
      <c r="AI2600">
        <v>98.891311043948804</v>
      </c>
      <c r="AJ2600">
        <v>114.54426484875</v>
      </c>
      <c r="AK2600">
        <v>7.2939534479619796</v>
      </c>
      <c r="AL2600">
        <v>88.461086499381395</v>
      </c>
      <c r="AM2600">
        <v>101.91350635197399</v>
      </c>
      <c r="AN2600">
        <v>1.00000006726749</v>
      </c>
    </row>
    <row r="2601" spans="1:40" x14ac:dyDescent="0.25">
      <c r="A2601" t="str">
        <f>"20190312151036250"</f>
        <v>20190312151036250</v>
      </c>
      <c r="B2601" t="str">
        <f>"1552374636243347"</f>
        <v>1552374636243347</v>
      </c>
      <c r="C2601" t="s">
        <v>40</v>
      </c>
      <c r="D2601">
        <v>5.1214309999999896</v>
      </c>
      <c r="E2601">
        <v>0.38722709999999999</v>
      </c>
      <c r="F2601" t="s">
        <v>42</v>
      </c>
      <c r="G2601">
        <v>-491.91070000000002</v>
      </c>
      <c r="H2601" s="1">
        <v>-1.300971E-6</v>
      </c>
      <c r="I2601">
        <v>261.4366</v>
      </c>
      <c r="J2601">
        <v>-491.80160000000001</v>
      </c>
      <c r="K2601">
        <v>1.127389</v>
      </c>
      <c r="L2601">
        <v>268.70859999999999</v>
      </c>
      <c r="M2601">
        <v>-0.49493009999999898</v>
      </c>
      <c r="N2601">
        <v>0</v>
      </c>
      <c r="O2601">
        <v>-0.86876790000000004</v>
      </c>
      <c r="P2601">
        <v>-0.3072336</v>
      </c>
      <c r="Q2601">
        <v>1.9440510000000001E-2</v>
      </c>
      <c r="R2601">
        <v>-0.95143560000000005</v>
      </c>
      <c r="S2601">
        <v>-0.1109619</v>
      </c>
      <c r="T2601">
        <v>-0.46872160000000002</v>
      </c>
      <c r="U2601">
        <v>-3.1392820000000001</v>
      </c>
      <c r="V2601">
        <v>-0.20538919999999999</v>
      </c>
      <c r="W2601">
        <v>2.7040829999999998E-2</v>
      </c>
      <c r="X2601">
        <v>0.97830680000000003</v>
      </c>
      <c r="Y2601">
        <v>-0.46391139999999997</v>
      </c>
      <c r="Z2601">
        <v>0.110363</v>
      </c>
      <c r="AA2601">
        <v>0.87898019999999999</v>
      </c>
      <c r="AB2601">
        <v>39</v>
      </c>
      <c r="AC2601">
        <v>-0.10910000000001201</v>
      </c>
      <c r="AD2601">
        <v>-1.127390300971</v>
      </c>
      <c r="AE2601">
        <v>-7.2719999999999896</v>
      </c>
      <c r="AF2601">
        <v>-3.4226080201224698</v>
      </c>
      <c r="AG2601">
        <v>-1.127390300971</v>
      </c>
      <c r="AH2601">
        <v>6.2230537734020199</v>
      </c>
      <c r="AI2601">
        <v>99.019823556998901</v>
      </c>
      <c r="AJ2601">
        <v>118.810287935839</v>
      </c>
      <c r="AK2601">
        <v>7.19108147755143</v>
      </c>
      <c r="AL2601">
        <v>88.450485788296405</v>
      </c>
      <c r="AM2601">
        <v>101.856681204422</v>
      </c>
      <c r="AN2601">
        <v>1.0000000624449801</v>
      </c>
    </row>
    <row r="2602" spans="1:40" x14ac:dyDescent="0.25">
      <c r="A2602" t="str">
        <f>"20190312151036261"</f>
        <v>20190312151036261</v>
      </c>
      <c r="B2602" t="str">
        <f>"1552374636253107"</f>
        <v>1552374636253107</v>
      </c>
      <c r="C2602" t="s">
        <v>40</v>
      </c>
      <c r="D2602">
        <v>5.0796229999999998</v>
      </c>
      <c r="E2602">
        <v>0.38737470000000002</v>
      </c>
      <c r="F2602" t="s">
        <v>42</v>
      </c>
      <c r="G2602">
        <v>-491.91579999999999</v>
      </c>
      <c r="H2602" s="1">
        <v>-1.118109E-6</v>
      </c>
      <c r="I2602">
        <v>261.00720000000001</v>
      </c>
      <c r="J2602">
        <v>-491.8972</v>
      </c>
      <c r="K2602">
        <v>1.127407</v>
      </c>
      <c r="L2602">
        <v>268.53570000000002</v>
      </c>
      <c r="M2602">
        <v>-0.48713269999999997</v>
      </c>
      <c r="N2602">
        <v>0</v>
      </c>
      <c r="O2602">
        <v>-0.8731641</v>
      </c>
      <c r="P2602">
        <v>-0.29922910000000003</v>
      </c>
      <c r="Q2602">
        <v>1.9597449999999999E-2</v>
      </c>
      <c r="R2602">
        <v>-0.9539803</v>
      </c>
      <c r="S2602">
        <v>-4.669189E-2</v>
      </c>
      <c r="T2602">
        <v>-0.46075270000000002</v>
      </c>
      <c r="U2602">
        <v>-3.1474609999999998</v>
      </c>
      <c r="V2602">
        <v>-0.2048577</v>
      </c>
      <c r="W2602">
        <v>2.722053E-2</v>
      </c>
      <c r="X2602">
        <v>0.97841319999999998</v>
      </c>
      <c r="Y2602">
        <v>-0.47396509999999997</v>
      </c>
      <c r="Z2602">
        <v>0.1087844</v>
      </c>
      <c r="AA2602">
        <v>0.87379810000000002</v>
      </c>
      <c r="AB2602">
        <v>39</v>
      </c>
      <c r="AC2602">
        <v>-1.8599999999992099E-2</v>
      </c>
      <c r="AD2602">
        <v>-1.1274081181090001</v>
      </c>
      <c r="AE2602">
        <v>-7.5285000000000002</v>
      </c>
      <c r="AF2602">
        <v>-3.5715659788047498</v>
      </c>
      <c r="AG2602">
        <v>-1.1274081181090001</v>
      </c>
      <c r="AH2602">
        <v>6.4392158935026602</v>
      </c>
      <c r="AI2602">
        <v>98.704944701336004</v>
      </c>
      <c r="AJ2602">
        <v>119.01531471800401</v>
      </c>
      <c r="AK2602">
        <v>7.4492035768175198</v>
      </c>
      <c r="AL2602">
        <v>88.440185867564196</v>
      </c>
      <c r="AM2602">
        <v>101.825614138953</v>
      </c>
      <c r="AN2602">
        <v>1.0000000122185</v>
      </c>
    </row>
    <row r="2603" spans="1:40" x14ac:dyDescent="0.25">
      <c r="A2603" t="str">
        <f>"20190312151036272"</f>
        <v>20190312151036272</v>
      </c>
      <c r="B2603" t="str">
        <f>"1552374636262867"</f>
        <v>1552374636262867</v>
      </c>
      <c r="C2603" t="s">
        <v>40</v>
      </c>
      <c r="D2603">
        <v>5.0753059999999897</v>
      </c>
      <c r="E2603">
        <v>0.38820680000000002</v>
      </c>
      <c r="F2603" t="s">
        <v>42</v>
      </c>
      <c r="G2603">
        <v>-491.94869999999997</v>
      </c>
      <c r="H2603" s="1">
        <v>-1.087001E-6</v>
      </c>
      <c r="I2603">
        <v>260.91430000000003</v>
      </c>
      <c r="J2603">
        <v>-491.99209999999999</v>
      </c>
      <c r="K2603">
        <v>1.1274219999999999</v>
      </c>
      <c r="L2603">
        <v>268.35950000000003</v>
      </c>
      <c r="M2603">
        <v>-0.47917349999999997</v>
      </c>
      <c r="N2603">
        <v>0</v>
      </c>
      <c r="O2603">
        <v>-0.87755669999999897</v>
      </c>
      <c r="P2603">
        <v>-0.29106340000000003</v>
      </c>
      <c r="Q2603">
        <v>1.9639400000000001E-2</v>
      </c>
      <c r="R2603">
        <v>-0.95650230000000003</v>
      </c>
      <c r="S2603">
        <v>-2.1270750000000001E-2</v>
      </c>
      <c r="T2603">
        <v>-0.46561590000000003</v>
      </c>
      <c r="U2603">
        <v>-3.1476139999999999</v>
      </c>
      <c r="V2603">
        <v>-0.2043288</v>
      </c>
      <c r="W2603">
        <v>2.7285360000000002E-2</v>
      </c>
      <c r="X2603">
        <v>0.978522</v>
      </c>
      <c r="Y2603">
        <v>-0.4730182</v>
      </c>
      <c r="Z2603">
        <v>0.110887</v>
      </c>
      <c r="AA2603">
        <v>0.87404680000000001</v>
      </c>
      <c r="AB2603">
        <v>39</v>
      </c>
      <c r="AC2603">
        <v>4.3400000000019603E-2</v>
      </c>
      <c r="AD2603">
        <v>-1.127423087001</v>
      </c>
      <c r="AE2603">
        <v>-7.4451999999999998</v>
      </c>
      <c r="AF2603">
        <v>-3.52531022215318</v>
      </c>
      <c r="AG2603">
        <v>-1.127423087001</v>
      </c>
      <c r="AH2603">
        <v>6.3677113887546604</v>
      </c>
      <c r="AI2603">
        <v>98.805092364904397</v>
      </c>
      <c r="AJ2603">
        <v>118.969913654715</v>
      </c>
      <c r="AK2603">
        <v>7.3652320608380197</v>
      </c>
      <c r="AL2603">
        <v>88.436470025047896</v>
      </c>
      <c r="AM2603">
        <v>101.79466453659001</v>
      </c>
      <c r="AN2603">
        <v>1.0000000269318801</v>
      </c>
    </row>
    <row r="2604" spans="1:40" x14ac:dyDescent="0.25">
      <c r="A2604" t="str">
        <f>"20190312151036285"</f>
        <v>20190312151036285</v>
      </c>
      <c r="B2604" t="str">
        <f>"1552374636273603"</f>
        <v>1552374636273603</v>
      </c>
      <c r="C2604" t="s">
        <v>40</v>
      </c>
      <c r="D2604">
        <v>5.0675460000000001</v>
      </c>
      <c r="E2604">
        <v>0.38903579999999999</v>
      </c>
      <c r="F2604" t="s">
        <v>41</v>
      </c>
      <c r="G2604">
        <v>-491.99259999999998</v>
      </c>
      <c r="H2604">
        <v>0.99240910000000004</v>
      </c>
      <c r="I2604">
        <v>267.43970000000002</v>
      </c>
      <c r="J2604">
        <v>-492.08229999999998</v>
      </c>
      <c r="K2604">
        <v>1.127435</v>
      </c>
      <c r="L2604">
        <v>268.1884</v>
      </c>
      <c r="M2604">
        <v>-0.47143499999999999</v>
      </c>
      <c r="N2604">
        <v>0</v>
      </c>
      <c r="O2604">
        <v>-0.88173799999999902</v>
      </c>
      <c r="P2604">
        <v>-0.28308359999999999</v>
      </c>
      <c r="Q2604">
        <v>1.926574E-2</v>
      </c>
      <c r="R2604">
        <v>-0.95890189999999997</v>
      </c>
      <c r="S2604">
        <v>-5.7983399999999999E-4</v>
      </c>
      <c r="T2604">
        <v>-0.46152130000000002</v>
      </c>
      <c r="U2604">
        <v>-3.1457519999999999</v>
      </c>
      <c r="V2604">
        <v>-0.20386319999999999</v>
      </c>
      <c r="W2604">
        <v>2.6931670000000001E-2</v>
      </c>
      <c r="X2604">
        <v>0.97862890000000002</v>
      </c>
      <c r="Y2604">
        <v>-0.47102660000000002</v>
      </c>
      <c r="Z2604">
        <v>0.11096549999999999</v>
      </c>
      <c r="AA2604">
        <v>0.8751118</v>
      </c>
      <c r="AB2604">
        <v>39</v>
      </c>
      <c r="AC2604">
        <v>8.9699999999993396E-2</v>
      </c>
      <c r="AD2604">
        <v>-0.13502589999999901</v>
      </c>
      <c r="AE2604">
        <v>-0.74869999999998504</v>
      </c>
      <c r="AF2604">
        <v>-0.41869203586152698</v>
      </c>
      <c r="AG2604">
        <v>-0.13502589999999901</v>
      </c>
      <c r="AH2604">
        <v>0.59875913524305402</v>
      </c>
      <c r="AI2604">
        <v>100.470597872735</v>
      </c>
      <c r="AJ2604">
        <v>124.963793943968</v>
      </c>
      <c r="AK2604">
        <v>0.74299900175013001</v>
      </c>
      <c r="AL2604">
        <v>88.456742410711499</v>
      </c>
      <c r="AM2604">
        <v>101.767288973018</v>
      </c>
      <c r="AN2604">
        <v>1.00000002153921</v>
      </c>
    </row>
    <row r="2605" spans="1:40" x14ac:dyDescent="0.25">
      <c r="A2605" t="str">
        <f>"20190312151036298"</f>
        <v>20190312151036298</v>
      </c>
      <c r="B2605" t="str">
        <f>"1552374636293123"</f>
        <v>1552374636293123</v>
      </c>
      <c r="C2605" t="s">
        <v>40</v>
      </c>
      <c r="D2605">
        <v>5.0731279999999996</v>
      </c>
      <c r="E2605">
        <v>0.39089980000000002</v>
      </c>
      <c r="F2605" t="s">
        <v>42</v>
      </c>
      <c r="G2605">
        <v>-492.03620000000001</v>
      </c>
      <c r="H2605" s="1">
        <v>-9.3034270000000001E-7</v>
      </c>
      <c r="I2605">
        <v>260.49489999999997</v>
      </c>
      <c r="J2605">
        <v>-492.19310000000002</v>
      </c>
      <c r="K2605">
        <v>1.127453</v>
      </c>
      <c r="L2605">
        <v>267.97449999999998</v>
      </c>
      <c r="M2605">
        <v>-0.46173890000000001</v>
      </c>
      <c r="N2605">
        <v>0</v>
      </c>
      <c r="O2605">
        <v>-0.88685409999999998</v>
      </c>
      <c r="P2605">
        <v>-0.27325110000000002</v>
      </c>
      <c r="Q2605">
        <v>1.9189589999999999E-2</v>
      </c>
      <c r="R2605">
        <v>-0.96175180000000005</v>
      </c>
      <c r="S2605">
        <v>1.8859859999999999E-2</v>
      </c>
      <c r="T2605">
        <v>-0.46064889999999997</v>
      </c>
      <c r="U2605">
        <v>-3.1434329999999999</v>
      </c>
      <c r="V2605">
        <v>-0.20315169999999999</v>
      </c>
      <c r="W2605">
        <v>2.6886859999999999E-2</v>
      </c>
      <c r="X2605">
        <v>0.97877809999999998</v>
      </c>
      <c r="Y2605">
        <v>-0.4667753</v>
      </c>
      <c r="Z2605">
        <v>0.112099</v>
      </c>
      <c r="AA2605">
        <v>0.87724259999999998</v>
      </c>
      <c r="AB2605">
        <v>39</v>
      </c>
      <c r="AC2605">
        <v>0.15690000000000701</v>
      </c>
      <c r="AD2605">
        <v>-1.12745393034269</v>
      </c>
      <c r="AE2605">
        <v>-7.4795999999999996</v>
      </c>
      <c r="AF2605">
        <v>-3.5134880315207901</v>
      </c>
      <c r="AG2605">
        <v>-1.12745393034269</v>
      </c>
      <c r="AH2605">
        <v>6.4160884304529899</v>
      </c>
      <c r="AI2605">
        <v>98.761868984872606</v>
      </c>
      <c r="AJ2605">
        <v>118.705374070537</v>
      </c>
      <c r="AK2605">
        <v>7.4014823690986198</v>
      </c>
      <c r="AL2605">
        <v>88.459310797270106</v>
      </c>
      <c r="AM2605">
        <v>101.725621335379</v>
      </c>
      <c r="AN2605">
        <v>1.0000000427465701</v>
      </c>
    </row>
    <row r="2606" spans="1:40" x14ac:dyDescent="0.25">
      <c r="A2606" t="str">
        <f>"20190312151036311"</f>
        <v>20190312151036311</v>
      </c>
      <c r="B2606" t="str">
        <f>"1552374636302883"</f>
        <v>1552374636302883</v>
      </c>
      <c r="C2606" t="s">
        <v>40</v>
      </c>
      <c r="D2606">
        <v>5.0201120000000001</v>
      </c>
      <c r="E2606">
        <v>0.39214589999999999</v>
      </c>
      <c r="F2606" t="s">
        <v>42</v>
      </c>
      <c r="G2606">
        <v>-492.10149999999999</v>
      </c>
      <c r="H2606" s="1">
        <v>-8.5104400000000003E-7</v>
      </c>
      <c r="I2606">
        <v>260.26949999999999</v>
      </c>
      <c r="J2606">
        <v>-492.29689999999999</v>
      </c>
      <c r="K2606">
        <v>1.1274679999999999</v>
      </c>
      <c r="L2606">
        <v>267.76679999999999</v>
      </c>
      <c r="M2606">
        <v>-0.45231300000000002</v>
      </c>
      <c r="N2606">
        <v>0</v>
      </c>
      <c r="O2606">
        <v>-0.89169799999999999</v>
      </c>
      <c r="P2606">
        <v>-0.263679099999999</v>
      </c>
      <c r="Q2606">
        <v>1.8829019999999998E-2</v>
      </c>
      <c r="R2606">
        <v>-0.96442700000000003</v>
      </c>
      <c r="S2606">
        <v>3.7323000000000002E-2</v>
      </c>
      <c r="T2606">
        <v>-0.459341</v>
      </c>
      <c r="U2606">
        <v>-3.1391300000000002</v>
      </c>
      <c r="V2606">
        <v>-0.20249449999999999</v>
      </c>
      <c r="W2606">
        <v>2.655511E-2</v>
      </c>
      <c r="X2606">
        <v>0.97892330000000005</v>
      </c>
      <c r="Y2606">
        <v>-0.4625764</v>
      </c>
      <c r="Z2606">
        <v>0.1131318</v>
      </c>
      <c r="AA2606">
        <v>0.87933169999999905</v>
      </c>
      <c r="AB2606">
        <v>39</v>
      </c>
      <c r="AC2606">
        <v>0.19540000000000601</v>
      </c>
      <c r="AD2606">
        <v>-1.1274688510439901</v>
      </c>
      <c r="AE2606">
        <v>-7.4972999999999903</v>
      </c>
      <c r="AF2606">
        <v>-3.4870698516346201</v>
      </c>
      <c r="AG2606">
        <v>-1.1274688510439901</v>
      </c>
      <c r="AH2606">
        <v>6.4520787569429796</v>
      </c>
      <c r="AI2606">
        <v>98.739646735391801</v>
      </c>
      <c r="AJ2606">
        <v>118.38930630534</v>
      </c>
      <c r="AK2606">
        <v>7.4202535297689396</v>
      </c>
      <c r="AL2606">
        <v>88.478325413909303</v>
      </c>
      <c r="AM2606">
        <v>101.68704802202799</v>
      </c>
      <c r="AN2606">
        <v>1.00000001184012</v>
      </c>
    </row>
    <row r="2607" spans="1:40" x14ac:dyDescent="0.25">
      <c r="A2607" t="str">
        <f>"20190312151036330"</f>
        <v>20190312151036330</v>
      </c>
      <c r="B2607" t="str">
        <f>"1552374636323379"</f>
        <v>1552374636323379</v>
      </c>
      <c r="C2607" t="s">
        <v>40</v>
      </c>
      <c r="D2607">
        <v>5.0320739999999997</v>
      </c>
      <c r="E2607">
        <v>0.3941307</v>
      </c>
      <c r="F2607" t="s">
        <v>41</v>
      </c>
      <c r="G2607">
        <v>-492.27940000000001</v>
      </c>
      <c r="H2607">
        <v>0.99058570000000001</v>
      </c>
      <c r="I2607">
        <v>266.83350000000002</v>
      </c>
      <c r="J2607">
        <v>-492.42750000000001</v>
      </c>
      <c r="K2607">
        <v>1.127483</v>
      </c>
      <c r="L2607">
        <v>267.4982</v>
      </c>
      <c r="M2607">
        <v>-0.4401003</v>
      </c>
      <c r="N2607">
        <v>0</v>
      </c>
      <c r="O2607">
        <v>-0.89778829999999998</v>
      </c>
      <c r="P2607">
        <v>-0.25177500000000003</v>
      </c>
      <c r="Q2607">
        <v>1.8238210000000001E-2</v>
      </c>
      <c r="R2607">
        <v>-0.96761390000000003</v>
      </c>
      <c r="S2607">
        <v>5.877686E-2</v>
      </c>
      <c r="T2607">
        <v>-0.45988230000000002</v>
      </c>
      <c r="U2607">
        <v>-3.1357119999999998</v>
      </c>
      <c r="V2607">
        <v>-0.20117750000000001</v>
      </c>
      <c r="W2607">
        <v>2.6023609999999999E-2</v>
      </c>
      <c r="X2607">
        <v>0.97920910000000005</v>
      </c>
      <c r="Y2607">
        <v>-0.45650489999999999</v>
      </c>
      <c r="Z2607">
        <v>0.11491659999999999</v>
      </c>
      <c r="AA2607">
        <v>0.88226839999999995</v>
      </c>
      <c r="AB2607">
        <v>39</v>
      </c>
      <c r="AC2607">
        <v>0.14809999999999901</v>
      </c>
      <c r="AD2607">
        <v>-0.1368973</v>
      </c>
      <c r="AE2607">
        <v>-0.66469999999998197</v>
      </c>
      <c r="AF2607">
        <v>-0.409029207692092</v>
      </c>
      <c r="AG2607">
        <v>-0.1368973</v>
      </c>
      <c r="AH2607">
        <v>0.51100738040531901</v>
      </c>
      <c r="AI2607">
        <v>101.813003450419</v>
      </c>
      <c r="AJ2607">
        <v>128.67507176032299</v>
      </c>
      <c r="AK2607">
        <v>0.66871092881843697</v>
      </c>
      <c r="AL2607">
        <v>88.5087886888208</v>
      </c>
      <c r="AM2607">
        <v>101.609810616825</v>
      </c>
      <c r="AN2607">
        <v>1.0000000381532399</v>
      </c>
    </row>
    <row r="2608" spans="1:40" x14ac:dyDescent="0.25">
      <c r="A2608" t="str">
        <f>"20190312151036342"</f>
        <v>20190312151036342</v>
      </c>
      <c r="B2608" t="str">
        <f>"1552374636333139"</f>
        <v>1552374636333139</v>
      </c>
      <c r="C2608" t="s">
        <v>40</v>
      </c>
      <c r="D2608">
        <v>5.0264699999999998</v>
      </c>
      <c r="E2608">
        <v>0.3941307</v>
      </c>
      <c r="F2608" t="s">
        <v>42</v>
      </c>
      <c r="G2608">
        <v>-492.22300000000001</v>
      </c>
      <c r="H2608" s="1">
        <v>-6.598286E-7</v>
      </c>
      <c r="I2608">
        <v>259.74849999999998</v>
      </c>
      <c r="J2608">
        <v>-492.51990000000001</v>
      </c>
      <c r="K2608">
        <v>1.1274930000000001</v>
      </c>
      <c r="L2608">
        <v>267.30290000000002</v>
      </c>
      <c r="M2608">
        <v>-0.43120389999999997</v>
      </c>
      <c r="N2608">
        <v>0</v>
      </c>
      <c r="O2608">
        <v>-0.90209479999999997</v>
      </c>
      <c r="P2608">
        <v>-0.24268410000000001</v>
      </c>
      <c r="Q2608">
        <v>1.798986E-2</v>
      </c>
      <c r="R2608">
        <v>-0.96993830000000003</v>
      </c>
      <c r="S2608">
        <v>8.2611080000000003E-2</v>
      </c>
      <c r="T2608">
        <v>-0.45544249999999997</v>
      </c>
      <c r="U2608">
        <v>-3.1304630000000002</v>
      </c>
      <c r="V2608">
        <v>-0.20067850000000001</v>
      </c>
      <c r="W2608">
        <v>2.5796719999999999E-2</v>
      </c>
      <c r="X2608">
        <v>0.9793174</v>
      </c>
      <c r="Y2608">
        <v>-0.4544649</v>
      </c>
      <c r="Z2608">
        <v>0.11499760000000001</v>
      </c>
      <c r="AA2608">
        <v>0.88331039999999905</v>
      </c>
      <c r="AB2608">
        <v>39</v>
      </c>
      <c r="AC2608">
        <v>0.296899999999993</v>
      </c>
      <c r="AD2608">
        <v>-1.1274936598286001</v>
      </c>
      <c r="AE2608">
        <v>-7.5544000000000402</v>
      </c>
      <c r="AF2608">
        <v>-3.4491143435369702</v>
      </c>
      <c r="AG2608">
        <v>-1.1274936598286001</v>
      </c>
      <c r="AH2608">
        <v>6.54221750086844</v>
      </c>
      <c r="AI2608">
        <v>98.668098615096795</v>
      </c>
      <c r="AJ2608">
        <v>117.798590711957</v>
      </c>
      <c r="AK2608">
        <v>7.4811925210099597</v>
      </c>
      <c r="AL2608">
        <v>88.521792764050304</v>
      </c>
      <c r="AM2608">
        <v>101.58054646582301</v>
      </c>
      <c r="AN2608">
        <v>0.99999995053388202</v>
      </c>
    </row>
    <row r="2609" spans="1:40" x14ac:dyDescent="0.25">
      <c r="A2609" t="str">
        <f>"20190312151036353"</f>
        <v>20190312151036353</v>
      </c>
      <c r="B2609" t="str">
        <f>"1552374636342900"</f>
        <v>1552374636342900</v>
      </c>
      <c r="C2609" t="s">
        <v>40</v>
      </c>
      <c r="D2609">
        <v>5.051431</v>
      </c>
      <c r="E2609">
        <v>0.40734120000000001</v>
      </c>
      <c r="F2609" t="s">
        <v>42</v>
      </c>
      <c r="G2609">
        <v>-492.24259999999998</v>
      </c>
      <c r="H2609" s="1">
        <v>-4.6783039999999999E-6</v>
      </c>
      <c r="I2609">
        <v>259.5652</v>
      </c>
      <c r="J2609">
        <v>-492.60599999999999</v>
      </c>
      <c r="K2609">
        <v>1.127502</v>
      </c>
      <c r="L2609">
        <v>267.11599999999999</v>
      </c>
      <c r="M2609">
        <v>-0.42268040000000001</v>
      </c>
      <c r="N2609">
        <v>0</v>
      </c>
      <c r="O2609">
        <v>-0.90611960000000003</v>
      </c>
      <c r="P2609">
        <v>-0.23401469999999999</v>
      </c>
      <c r="Q2609">
        <v>1.7749589999999999E-2</v>
      </c>
      <c r="R2609">
        <v>-0.97207100000000002</v>
      </c>
      <c r="S2609">
        <v>0.1121521</v>
      </c>
      <c r="T2609">
        <v>-0.45601829999999999</v>
      </c>
      <c r="U2609">
        <v>-3.1295169999999999</v>
      </c>
      <c r="V2609">
        <v>-0.2001819</v>
      </c>
      <c r="W2609">
        <v>2.5578400000000001E-2</v>
      </c>
      <c r="X2609">
        <v>0.97942479999999998</v>
      </c>
      <c r="Y2609">
        <v>-0.45440730000000001</v>
      </c>
      <c r="Z2609">
        <v>0.1160148</v>
      </c>
      <c r="AA2609">
        <v>0.88320699999999996</v>
      </c>
      <c r="AB2609">
        <v>39</v>
      </c>
      <c r="AC2609">
        <v>0.36340000000001199</v>
      </c>
      <c r="AD2609">
        <v>-1.127506678304</v>
      </c>
      <c r="AE2609">
        <v>-7.5507999999999802</v>
      </c>
      <c r="AF2609">
        <v>-3.4447362799643</v>
      </c>
      <c r="AG2609">
        <v>-1.127506678304</v>
      </c>
      <c r="AH2609">
        <v>6.5437208426040296</v>
      </c>
      <c r="AI2609">
        <v>98.669017369995501</v>
      </c>
      <c r="AJ2609">
        <v>117.76315264410501</v>
      </c>
      <c r="AK2609">
        <v>7.4804920836835898</v>
      </c>
      <c r="AL2609">
        <v>88.534305770911203</v>
      </c>
      <c r="AM2609">
        <v>101.551427759698</v>
      </c>
      <c r="AN2609">
        <v>0.99999999324460498</v>
      </c>
    </row>
    <row r="2610" spans="1:40" x14ac:dyDescent="0.25">
      <c r="A2610" t="str">
        <f>"20190312151036366"</f>
        <v>20190312151036366</v>
      </c>
      <c r="B2610" t="str">
        <f>"1552374636363395"</f>
        <v>1552374636363395</v>
      </c>
      <c r="C2610" t="s">
        <v>40</v>
      </c>
      <c r="D2610">
        <v>5.005592</v>
      </c>
      <c r="E2610">
        <v>0.40983219999999998</v>
      </c>
      <c r="F2610" t="s">
        <v>42</v>
      </c>
      <c r="G2610">
        <v>-492.50189999999998</v>
      </c>
      <c r="H2610" s="1">
        <v>-4.0672130000000004E-6</v>
      </c>
      <c r="I2610">
        <v>257.63440000000003</v>
      </c>
      <c r="J2610">
        <v>-492.6902</v>
      </c>
      <c r="K2610">
        <v>1.12751</v>
      </c>
      <c r="L2610">
        <v>266.92779999999999</v>
      </c>
      <c r="M2610">
        <v>-0.41408590000000001</v>
      </c>
      <c r="N2610">
        <v>0</v>
      </c>
      <c r="O2610">
        <v>-0.91007950000000004</v>
      </c>
      <c r="P2610">
        <v>-0.2252073</v>
      </c>
      <c r="Q2610">
        <v>1.7552849999999998E-2</v>
      </c>
      <c r="R2610">
        <v>-0.97415280000000004</v>
      </c>
      <c r="S2610">
        <v>3.4057619999999997E-2</v>
      </c>
      <c r="T2610">
        <v>-0.36876949999999997</v>
      </c>
      <c r="U2610">
        <v>-3.1011350000000002</v>
      </c>
      <c r="V2610">
        <v>-0.1997708</v>
      </c>
      <c r="W2610">
        <v>2.5400120000000002E-2</v>
      </c>
      <c r="X2610">
        <v>0.97951330000000003</v>
      </c>
      <c r="Y2610">
        <v>-0.42391649999999997</v>
      </c>
      <c r="Z2610">
        <v>9.6630190000000005E-2</v>
      </c>
      <c r="AA2610">
        <v>0.90053169999999905</v>
      </c>
      <c r="AB2610">
        <v>39</v>
      </c>
      <c r="AC2610">
        <v>0.188300000000026</v>
      </c>
      <c r="AD2610">
        <v>-1.127514067213</v>
      </c>
      <c r="AE2610">
        <v>-9.2933999999999592</v>
      </c>
      <c r="AF2610">
        <v>-3.9619194107006899</v>
      </c>
      <c r="AG2610">
        <v>-1.127514067213</v>
      </c>
      <c r="AH2610">
        <v>8.2594426843032807</v>
      </c>
      <c r="AI2610">
        <v>97.016902024854801</v>
      </c>
      <c r="AJ2610">
        <v>115.62627145685001</v>
      </c>
      <c r="AK2610">
        <v>9.2296525852244908</v>
      </c>
      <c r="AL2610">
        <v>88.544523678360903</v>
      </c>
      <c r="AM2610">
        <v>101.527327380393</v>
      </c>
      <c r="AN2610">
        <v>0.99999992175276897</v>
      </c>
    </row>
    <row r="2611" spans="1:40" x14ac:dyDescent="0.25">
      <c r="A2611" t="str">
        <f>"20190312151036377"</f>
        <v>20190312151036377</v>
      </c>
      <c r="B2611" t="str">
        <f>"1552374636373155"</f>
        <v>1552374636373155</v>
      </c>
      <c r="C2611" t="s">
        <v>40</v>
      </c>
      <c r="D2611">
        <v>5.0486659999999999</v>
      </c>
      <c r="E2611">
        <v>0.41101789999999999</v>
      </c>
      <c r="F2611" t="s">
        <v>41</v>
      </c>
      <c r="G2611">
        <v>-492.67610000000002</v>
      </c>
      <c r="H2611">
        <v>1.0037700000000001</v>
      </c>
      <c r="I2611">
        <v>265.90969999999999</v>
      </c>
      <c r="J2611">
        <v>-492.76490000000001</v>
      </c>
      <c r="K2611">
        <v>1.127515</v>
      </c>
      <c r="L2611">
        <v>266.75880000000001</v>
      </c>
      <c r="M2611">
        <v>-0.40635090000000001</v>
      </c>
      <c r="N2611">
        <v>0</v>
      </c>
      <c r="O2611">
        <v>-0.91355940000000002</v>
      </c>
      <c r="P2611">
        <v>-0.21739320000000001</v>
      </c>
      <c r="Q2611">
        <v>1.7773440000000001E-2</v>
      </c>
      <c r="R2611">
        <v>-0.97592230000000002</v>
      </c>
      <c r="S2611">
        <v>4.2846679999999998E-2</v>
      </c>
      <c r="T2611">
        <v>-0.37631959999999998</v>
      </c>
      <c r="U2611">
        <v>-3.0963129999999999</v>
      </c>
      <c r="V2611">
        <v>-0.19932069999999999</v>
      </c>
      <c r="W2611">
        <v>2.5640840000000002E-2</v>
      </c>
      <c r="X2611">
        <v>0.97959879999999999</v>
      </c>
      <c r="Y2611">
        <v>-0.41879509999999998</v>
      </c>
      <c r="Z2611">
        <v>9.9500679999999994E-2</v>
      </c>
      <c r="AA2611">
        <v>0.902613</v>
      </c>
      <c r="AB2611">
        <v>39</v>
      </c>
      <c r="AC2611">
        <v>8.8799999999991996E-2</v>
      </c>
      <c r="AD2611">
        <v>-0.12374499999999999</v>
      </c>
      <c r="AE2611">
        <v>-0.84910000000002095</v>
      </c>
      <c r="AF2611">
        <v>-0.41744771788907897</v>
      </c>
      <c r="AG2611">
        <v>-0.12374499999999999</v>
      </c>
      <c r="AH2611">
        <v>0.72450451942145699</v>
      </c>
      <c r="AI2611">
        <v>98.418180243447296</v>
      </c>
      <c r="AJ2611">
        <v>119.949846438008</v>
      </c>
      <c r="AK2611">
        <v>0.84527050158982697</v>
      </c>
      <c r="AL2611">
        <v>88.530727060859107</v>
      </c>
      <c r="AM2611">
        <v>101.501071139168</v>
      </c>
      <c r="AN2611">
        <v>1.00000000154291</v>
      </c>
    </row>
    <row r="2612" spans="1:40" x14ac:dyDescent="0.25">
      <c r="A2612" t="str">
        <f>"20190312151036388"</f>
        <v>20190312151036388</v>
      </c>
      <c r="B2612" t="str">
        <f>"1552374636382915"</f>
        <v>1552374636382915</v>
      </c>
      <c r="C2612" t="s">
        <v>40</v>
      </c>
      <c r="D2612">
        <v>5.0172540000000003</v>
      </c>
      <c r="E2612">
        <v>0.4122786</v>
      </c>
      <c r="F2612" t="s">
        <v>42</v>
      </c>
      <c r="G2612">
        <v>-492.59379999999999</v>
      </c>
      <c r="H2612" s="1">
        <v>-4.1230199999999999E-6</v>
      </c>
      <c r="I2612">
        <v>257.75049999999999</v>
      </c>
      <c r="J2612">
        <v>-492.8356</v>
      </c>
      <c r="K2612">
        <v>1.1275230000000001</v>
      </c>
      <c r="L2612">
        <v>266.59190000000001</v>
      </c>
      <c r="M2612">
        <v>-0.39871810000000002</v>
      </c>
      <c r="N2612">
        <v>0</v>
      </c>
      <c r="O2612">
        <v>-0.91691619999999996</v>
      </c>
      <c r="P2612">
        <v>-0.20970069999999999</v>
      </c>
      <c r="Q2612">
        <v>1.7333749999999998E-2</v>
      </c>
      <c r="R2612">
        <v>-0.97761200000000004</v>
      </c>
      <c r="S2612">
        <v>5.877686E-2</v>
      </c>
      <c r="T2612">
        <v>-0.3872718</v>
      </c>
      <c r="U2612">
        <v>-3.0941160000000001</v>
      </c>
      <c r="V2612">
        <v>-0.19885059999999999</v>
      </c>
      <c r="W2612">
        <v>2.5222789999999998E-2</v>
      </c>
      <c r="X2612">
        <v>0.97970520000000005</v>
      </c>
      <c r="Y2612">
        <v>-0.41586489999999998</v>
      </c>
      <c r="Z2612">
        <v>0.10312449999999999</v>
      </c>
      <c r="AA2612">
        <v>0.90356060000000005</v>
      </c>
      <c r="AB2612">
        <v>39</v>
      </c>
      <c r="AC2612">
        <v>0.24180000000001201</v>
      </c>
      <c r="AD2612">
        <v>-1.1275271230199999</v>
      </c>
      <c r="AE2612">
        <v>-8.8414000000000197</v>
      </c>
      <c r="AF2612">
        <v>-3.6875499134965999</v>
      </c>
      <c r="AG2612">
        <v>-1.1275271230199999</v>
      </c>
      <c r="AH2612">
        <v>7.8834527515018902</v>
      </c>
      <c r="AI2612">
        <v>97.381678556669996</v>
      </c>
      <c r="AJ2612">
        <v>115.06822949803799</v>
      </c>
      <c r="AK2612">
        <v>8.7759996047651008</v>
      </c>
      <c r="AL2612">
        <v>88.554687330196501</v>
      </c>
      <c r="AM2612">
        <v>101.47345291669799</v>
      </c>
      <c r="AN2612">
        <v>1.0000000145813901</v>
      </c>
    </row>
    <row r="2613" spans="1:40" x14ac:dyDescent="0.25">
      <c r="A2613" t="str">
        <f>"20190312151036400"</f>
        <v>20190312151036400</v>
      </c>
      <c r="B2613" t="str">
        <f>"1552374636393651"</f>
        <v>1552374636393651</v>
      </c>
      <c r="C2613" t="s">
        <v>40</v>
      </c>
      <c r="D2613">
        <v>5.0262190000000002</v>
      </c>
      <c r="E2613">
        <v>0.41349259999999899</v>
      </c>
      <c r="F2613" t="s">
        <v>41</v>
      </c>
      <c r="G2613">
        <v>-492.81049999999999</v>
      </c>
      <c r="H2613">
        <v>0.99366790000000005</v>
      </c>
      <c r="I2613">
        <v>265.51819999999998</v>
      </c>
      <c r="J2613">
        <v>-492.91199999999998</v>
      </c>
      <c r="K2613">
        <v>1.1275269999999999</v>
      </c>
      <c r="L2613">
        <v>266.41000000000003</v>
      </c>
      <c r="M2613">
        <v>-0.39037519999999998</v>
      </c>
      <c r="N2613">
        <v>0</v>
      </c>
      <c r="O2613">
        <v>-0.92049910000000001</v>
      </c>
      <c r="P2613">
        <v>-0.20145879999999999</v>
      </c>
      <c r="Q2613">
        <v>1.7320169999999999E-2</v>
      </c>
      <c r="R2613">
        <v>-0.97934390000000004</v>
      </c>
      <c r="S2613">
        <v>7.3394780000000007E-2</v>
      </c>
      <c r="T2613">
        <v>-0.38521270000000002</v>
      </c>
      <c r="U2613">
        <v>-3.0912480000000002</v>
      </c>
      <c r="V2613">
        <v>-0.1982062</v>
      </c>
      <c r="W2613">
        <v>2.523947E-2</v>
      </c>
      <c r="X2613">
        <v>0.97983529999999996</v>
      </c>
      <c r="Y2613">
        <v>-0.41189700000000001</v>
      </c>
      <c r="Z2613">
        <v>0.1034437</v>
      </c>
      <c r="AA2613">
        <v>0.90533989999999998</v>
      </c>
      <c r="AB2613">
        <v>39</v>
      </c>
      <c r="AC2613">
        <v>0.101499999999987</v>
      </c>
      <c r="AD2613">
        <v>-0.13385909999999901</v>
      </c>
      <c r="AE2613">
        <v>-0.891800000000046</v>
      </c>
      <c r="AF2613">
        <v>-0.43202202014038699</v>
      </c>
      <c r="AG2613">
        <v>-0.13385909999999901</v>
      </c>
      <c r="AH2613">
        <v>0.764389335870861</v>
      </c>
      <c r="AI2613">
        <v>98.668234656131503</v>
      </c>
      <c r="AJ2613">
        <v>119.474518426234</v>
      </c>
      <c r="AK2613">
        <v>0.88817359864616996</v>
      </c>
      <c r="AL2613">
        <v>88.553731270439599</v>
      </c>
      <c r="AM2613">
        <v>101.435774570831</v>
      </c>
      <c r="AN2613">
        <v>0.99999997184520495</v>
      </c>
    </row>
    <row r="2614" spans="1:40" x14ac:dyDescent="0.25">
      <c r="A2614" t="str">
        <f>"20190312151036417"</f>
        <v>20190312151036417</v>
      </c>
      <c r="B2614" t="str">
        <f>"1552374636413172"</f>
        <v>1552374636413172</v>
      </c>
      <c r="C2614" t="s">
        <v>40</v>
      </c>
      <c r="D2614">
        <v>5.0028509999999997</v>
      </c>
      <c r="E2614">
        <v>0.41569929999999999</v>
      </c>
      <c r="F2614" t="s">
        <v>42</v>
      </c>
      <c r="G2614">
        <v>-492.64760000000001</v>
      </c>
      <c r="H2614" s="1">
        <v>-3.9975990000000002E-6</v>
      </c>
      <c r="I2614">
        <v>257.35390000000001</v>
      </c>
      <c r="J2614">
        <v>-493.02269999999999</v>
      </c>
      <c r="K2614">
        <v>1.1275360000000001</v>
      </c>
      <c r="L2614">
        <v>266.13670000000002</v>
      </c>
      <c r="M2614">
        <v>-0.37783509999999998</v>
      </c>
      <c r="N2614">
        <v>0</v>
      </c>
      <c r="O2614">
        <v>-0.92571709999999996</v>
      </c>
      <c r="P2614">
        <v>-0.1891486</v>
      </c>
      <c r="Q2614">
        <v>1.679522E-2</v>
      </c>
      <c r="R2614">
        <v>-0.98180500000000004</v>
      </c>
      <c r="S2614">
        <v>9.0209960000000006E-2</v>
      </c>
      <c r="T2614">
        <v>-0.38454969999999999</v>
      </c>
      <c r="U2614">
        <v>-3.0886230000000001</v>
      </c>
      <c r="V2614">
        <v>-0.1971782</v>
      </c>
      <c r="W2614">
        <v>2.4761829999999999E-2</v>
      </c>
      <c r="X2614">
        <v>0.98005489999999995</v>
      </c>
      <c r="Y2614">
        <v>-0.40445750000000003</v>
      </c>
      <c r="Z2614">
        <v>0.1045146</v>
      </c>
      <c r="AA2614">
        <v>0.90856530000000002</v>
      </c>
      <c r="AB2614">
        <v>39</v>
      </c>
      <c r="AC2614">
        <v>0.37509999999997401</v>
      </c>
      <c r="AD2614">
        <v>-1.1275399975989999</v>
      </c>
      <c r="AE2614">
        <v>-8.7827999999999999</v>
      </c>
      <c r="AF2614">
        <v>-3.6068767995707902</v>
      </c>
      <c r="AG2614">
        <v>-1.1275399975989999</v>
      </c>
      <c r="AH2614">
        <v>7.8604974971040598</v>
      </c>
      <c r="AI2614">
        <v>97.427965544929705</v>
      </c>
      <c r="AJ2614">
        <v>114.64855073673699</v>
      </c>
      <c r="AK2614">
        <v>8.7217158630310099</v>
      </c>
      <c r="AL2614">
        <v>88.5811066225573</v>
      </c>
      <c r="AM2614">
        <v>101.375530680103</v>
      </c>
      <c r="AN2614">
        <v>0.99999999889709901</v>
      </c>
    </row>
    <row r="2615" spans="1:40" x14ac:dyDescent="0.25">
      <c r="A2615" t="str">
        <f>"20190312151036429"</f>
        <v>20190312151036429</v>
      </c>
      <c r="B2615" t="str">
        <f>"1552374636422931"</f>
        <v>1552374636422931</v>
      </c>
      <c r="C2615" t="s">
        <v>40</v>
      </c>
      <c r="D2615">
        <v>5.0048250000000003</v>
      </c>
      <c r="E2615">
        <v>0.41661769999999998</v>
      </c>
      <c r="F2615" t="s">
        <v>42</v>
      </c>
      <c r="G2615">
        <v>-492.69189999999998</v>
      </c>
      <c r="H2615" s="1">
        <v>-3.8885439999999996E-6</v>
      </c>
      <c r="I2615">
        <v>257.01029999999997</v>
      </c>
      <c r="J2615">
        <v>-493.09500000000003</v>
      </c>
      <c r="K2615">
        <v>1.1275329999999999</v>
      </c>
      <c r="L2615">
        <v>265.95010000000002</v>
      </c>
      <c r="M2615">
        <v>-0.36926530000000002</v>
      </c>
      <c r="N2615">
        <v>0</v>
      </c>
      <c r="O2615">
        <v>-0.92916869999999996</v>
      </c>
      <c r="P2615">
        <v>-0.18076929999999999</v>
      </c>
      <c r="Q2615">
        <v>1.6976080000000001E-2</v>
      </c>
      <c r="R2615">
        <v>-0.98337920000000001</v>
      </c>
      <c r="S2615">
        <v>0.11178589999999999</v>
      </c>
      <c r="T2615">
        <v>-0.38097809999999999</v>
      </c>
      <c r="U2615">
        <v>-3.0836790000000001</v>
      </c>
      <c r="V2615">
        <v>-0.19648740000000001</v>
      </c>
      <c r="W2615">
        <v>2.4975870000000001E-2</v>
      </c>
      <c r="X2615">
        <v>0.98018819999999995</v>
      </c>
      <c r="Y2615">
        <v>-0.40240740000000003</v>
      </c>
      <c r="Z2615">
        <v>0.104393899999999</v>
      </c>
      <c r="AA2615">
        <v>0.90948899999999999</v>
      </c>
      <c r="AB2615">
        <v>39</v>
      </c>
      <c r="AC2615">
        <v>0.40310000000005097</v>
      </c>
      <c r="AD2615">
        <v>-1.12753688854399</v>
      </c>
      <c r="AE2615">
        <v>-8.9398000000000408</v>
      </c>
      <c r="AF2615">
        <v>-3.6187868944984398</v>
      </c>
      <c r="AG2615">
        <v>-1.12753688854399</v>
      </c>
      <c r="AH2615">
        <v>8.0314076255441602</v>
      </c>
      <c r="AI2615">
        <v>97.294069568675994</v>
      </c>
      <c r="AJ2615">
        <v>114.25534651734</v>
      </c>
      <c r="AK2615">
        <v>8.8809045975322896</v>
      </c>
      <c r="AL2615">
        <v>88.568839241324397</v>
      </c>
      <c r="AM2615">
        <v>101.335209286267</v>
      </c>
      <c r="AN2615">
        <v>0.999999999930128</v>
      </c>
    </row>
    <row r="2616" spans="1:40" x14ac:dyDescent="0.25">
      <c r="A2616" t="str">
        <f>"20190312151036440"</f>
        <v>20190312151036440</v>
      </c>
      <c r="B2616" t="str">
        <f>"1552374636433667"</f>
        <v>1552374636433667</v>
      </c>
      <c r="C2616" t="s">
        <v>40</v>
      </c>
      <c r="D2616">
        <v>5.0099039999999997</v>
      </c>
      <c r="E2616">
        <v>0.41762250000000001</v>
      </c>
      <c r="F2616" t="s">
        <v>42</v>
      </c>
      <c r="G2616">
        <v>-492.70549999999997</v>
      </c>
      <c r="H2616" s="1">
        <v>-3.7979429999999998E-6</v>
      </c>
      <c r="I2616">
        <v>256.76420000000002</v>
      </c>
      <c r="J2616">
        <v>-493.16419999999999</v>
      </c>
      <c r="K2616">
        <v>1.1275360000000001</v>
      </c>
      <c r="L2616">
        <v>265.76900000000001</v>
      </c>
      <c r="M2616">
        <v>-0.36092790000000002</v>
      </c>
      <c r="N2616">
        <v>0</v>
      </c>
      <c r="O2616">
        <v>-0.93243889999999996</v>
      </c>
      <c r="P2616">
        <v>-0.17257890000000001</v>
      </c>
      <c r="Q2616">
        <v>1.7356969999999999E-2</v>
      </c>
      <c r="R2616">
        <v>-0.98484249999999995</v>
      </c>
      <c r="S2616">
        <v>0.13064580000000001</v>
      </c>
      <c r="T2616">
        <v>-0.37820480000000001</v>
      </c>
      <c r="U2616">
        <v>-3.081207</v>
      </c>
      <c r="V2616">
        <v>-0.1958801</v>
      </c>
      <c r="W2616">
        <v>2.538582E-2</v>
      </c>
      <c r="X2616">
        <v>0.98029920000000004</v>
      </c>
      <c r="Y2616">
        <v>-0.39979870000000001</v>
      </c>
      <c r="Z2616">
        <v>0.1043771</v>
      </c>
      <c r="AA2616">
        <v>0.91064069999999997</v>
      </c>
      <c r="AB2616">
        <v>39</v>
      </c>
      <c r="AC2616">
        <v>0.45870000000002098</v>
      </c>
      <c r="AD2616">
        <v>-1.127539797943</v>
      </c>
      <c r="AE2616">
        <v>-9.0047999999999799</v>
      </c>
      <c r="AF2616">
        <v>-3.6216872594837701</v>
      </c>
      <c r="AG2616">
        <v>-1.127539797943</v>
      </c>
      <c r="AH2616">
        <v>8.1053034171125002</v>
      </c>
      <c r="AI2616">
        <v>97.238318920553795</v>
      </c>
      <c r="AJ2616">
        <v>114.076492387622</v>
      </c>
      <c r="AK2616">
        <v>8.9489612852502596</v>
      </c>
      <c r="AL2616">
        <v>88.545343367979498</v>
      </c>
      <c r="AM2616">
        <v>101.299830861836</v>
      </c>
      <c r="AN2616">
        <v>0.99999998747686103</v>
      </c>
    </row>
    <row r="2617" spans="1:40" x14ac:dyDescent="0.25">
      <c r="A2617" t="str">
        <f>"20190312151036452"</f>
        <v>20190312151036452</v>
      </c>
      <c r="B2617" t="str">
        <f>"1552374636443427"</f>
        <v>1552374636443427</v>
      </c>
      <c r="C2617" t="s">
        <v>40</v>
      </c>
      <c r="D2617">
        <v>4.9197360000000003</v>
      </c>
      <c r="E2617">
        <v>0.41762250000000001</v>
      </c>
      <c r="F2617" t="s">
        <v>41</v>
      </c>
      <c r="G2617">
        <v>-493.11079999999998</v>
      </c>
      <c r="H2617">
        <v>0.99307350000000005</v>
      </c>
      <c r="I2617">
        <v>264.66180000000003</v>
      </c>
      <c r="J2617">
        <v>-493.2355</v>
      </c>
      <c r="K2617">
        <v>1.1275409999999999</v>
      </c>
      <c r="L2617">
        <v>265.57580000000002</v>
      </c>
      <c r="M2617">
        <v>-0.35202909999999998</v>
      </c>
      <c r="N2617">
        <v>0</v>
      </c>
      <c r="O2617">
        <v>-0.93583479999999997</v>
      </c>
      <c r="P2617">
        <v>-0.1640286</v>
      </c>
      <c r="Q2617">
        <v>1.7424419999999999E-2</v>
      </c>
      <c r="R2617">
        <v>-0.98630180000000001</v>
      </c>
      <c r="S2617">
        <v>0.14846799999999999</v>
      </c>
      <c r="T2617">
        <v>-0.37387120000000001</v>
      </c>
      <c r="U2617">
        <v>-3.0787659999999999</v>
      </c>
      <c r="V2617">
        <v>-0.19504969999999999</v>
      </c>
      <c r="W2617">
        <v>2.549355E-2</v>
      </c>
      <c r="X2617">
        <v>0.98046199999999994</v>
      </c>
      <c r="Y2617">
        <v>-0.39636749999999998</v>
      </c>
      <c r="Z2617">
        <v>0.1039653</v>
      </c>
      <c r="AA2617">
        <v>0.91218639999999995</v>
      </c>
      <c r="AB2617">
        <v>38</v>
      </c>
      <c r="AC2617">
        <v>0.124700000000018</v>
      </c>
      <c r="AD2617">
        <v>-0.13446749999999899</v>
      </c>
      <c r="AE2617">
        <v>-0.91399999999998705</v>
      </c>
      <c r="AF2617">
        <v>-0.42939247305218498</v>
      </c>
      <c r="AG2617">
        <v>-0.13446749999999899</v>
      </c>
      <c r="AH2617">
        <v>0.794686097340362</v>
      </c>
      <c r="AI2617">
        <v>98.467255763151499</v>
      </c>
      <c r="AJ2617">
        <v>118.383668336547</v>
      </c>
      <c r="AK2617">
        <v>0.91322800974136598</v>
      </c>
      <c r="AL2617">
        <v>88.539168942784002</v>
      </c>
      <c r="AM2617">
        <v>101.251331264784</v>
      </c>
      <c r="AN2617">
        <v>1.0000000200028401</v>
      </c>
    </row>
    <row r="2618" spans="1:40" x14ac:dyDescent="0.25">
      <c r="A2618" t="str">
        <f>"20190312151036463"</f>
        <v>20190312151036463</v>
      </c>
      <c r="B2618" t="str">
        <f>"1552374636453187"</f>
        <v>1552374636453187</v>
      </c>
      <c r="C2618" t="s">
        <v>40</v>
      </c>
      <c r="D2618">
        <v>4.9851660000000004</v>
      </c>
      <c r="E2618">
        <v>0.43154090000000001</v>
      </c>
      <c r="F2618" t="s">
        <v>42</v>
      </c>
      <c r="G2618">
        <v>-492.7047</v>
      </c>
      <c r="H2618" s="1">
        <v>-3.590846E-6</v>
      </c>
      <c r="I2618">
        <v>256.28190000000001</v>
      </c>
      <c r="J2618">
        <v>-493.29730000000001</v>
      </c>
      <c r="K2618">
        <v>1.1275459999999999</v>
      </c>
      <c r="L2618">
        <v>265.40350000000001</v>
      </c>
      <c r="M2618">
        <v>-0.34408460000000002</v>
      </c>
      <c r="N2618">
        <v>0</v>
      </c>
      <c r="O2618">
        <v>-0.93878490000000003</v>
      </c>
      <c r="P2618">
        <v>-0.1564932</v>
      </c>
      <c r="Q2618">
        <v>1.7757430000000001E-2</v>
      </c>
      <c r="R2618">
        <v>-0.98751940000000005</v>
      </c>
      <c r="S2618">
        <v>0.17575070000000001</v>
      </c>
      <c r="T2618">
        <v>-0.37336130000000001</v>
      </c>
      <c r="U2618">
        <v>-3.0774539999999999</v>
      </c>
      <c r="V2618">
        <v>-0.19423899999999999</v>
      </c>
      <c r="W2618">
        <v>2.586536E-2</v>
      </c>
      <c r="X2618">
        <v>0.98061319999999996</v>
      </c>
      <c r="Y2618">
        <v>-0.39667140000000001</v>
      </c>
      <c r="Z2618">
        <v>0.10436479999999999</v>
      </c>
      <c r="AA2618">
        <v>0.91200859999999995</v>
      </c>
      <c r="AB2618">
        <v>38</v>
      </c>
      <c r="AC2618">
        <v>0.59260000000000401</v>
      </c>
      <c r="AD2618">
        <v>-1.127549590846</v>
      </c>
      <c r="AE2618">
        <v>-9.1216000000000008</v>
      </c>
      <c r="AF2618">
        <v>-3.6400722085761599</v>
      </c>
      <c r="AG2618">
        <v>-1.127549590846</v>
      </c>
      <c r="AH2618">
        <v>8.2352158081008504</v>
      </c>
      <c r="AI2618">
        <v>97.1379931809916</v>
      </c>
      <c r="AJ2618">
        <v>113.846050399283</v>
      </c>
      <c r="AK2618">
        <v>9.0741541296949304</v>
      </c>
      <c r="AL2618">
        <v>88.517858782178493</v>
      </c>
      <c r="AM2618">
        <v>101.204068199362</v>
      </c>
      <c r="AN2618">
        <v>1.0000000269915801</v>
      </c>
    </row>
    <row r="2619" spans="1:40" x14ac:dyDescent="0.25">
      <c r="A2619" t="str">
        <f>"20190312151036474"</f>
        <v>20190312151036474</v>
      </c>
      <c r="B2619" t="str">
        <f>"1552374636462947"</f>
        <v>1552374636462947</v>
      </c>
      <c r="C2619" t="s">
        <v>40</v>
      </c>
      <c r="D2619">
        <v>5.0162100000000001</v>
      </c>
      <c r="E2619">
        <v>0.43169390000000002</v>
      </c>
      <c r="F2619" t="s">
        <v>42</v>
      </c>
      <c r="G2619">
        <v>-493.0095</v>
      </c>
      <c r="H2619" s="1">
        <v>-3.2942920000000002E-6</v>
      </c>
      <c r="I2619">
        <v>255.4016</v>
      </c>
      <c r="J2619">
        <v>-493.36</v>
      </c>
      <c r="K2619">
        <v>1.1275489999999999</v>
      </c>
      <c r="L2619">
        <v>265.22469999999998</v>
      </c>
      <c r="M2619">
        <v>-0.33582709999999999</v>
      </c>
      <c r="N2619">
        <v>0</v>
      </c>
      <c r="O2619">
        <v>-0.94177029999999995</v>
      </c>
      <c r="P2619">
        <v>-0.1488178</v>
      </c>
      <c r="Q2619">
        <v>1.7896209999999999E-2</v>
      </c>
      <c r="R2619">
        <v>-0.98870270000000005</v>
      </c>
      <c r="S2619">
        <v>8.8012699999999999E-2</v>
      </c>
      <c r="T2619">
        <v>-0.34474900000000003</v>
      </c>
      <c r="U2619">
        <v>-3.0580750000000001</v>
      </c>
      <c r="V2619">
        <v>-0.19325039999999999</v>
      </c>
      <c r="W2619">
        <v>2.6052209999999999E-2</v>
      </c>
      <c r="X2619">
        <v>0.98080350000000005</v>
      </c>
      <c r="Y2619">
        <v>-0.36261149999999998</v>
      </c>
      <c r="Z2619">
        <v>9.8432469999999994E-2</v>
      </c>
      <c r="AA2619">
        <v>0.92672759999999998</v>
      </c>
      <c r="AB2619">
        <v>38</v>
      </c>
      <c r="AC2619">
        <v>0.35050000000001003</v>
      </c>
      <c r="AD2619">
        <v>-1.127552294292</v>
      </c>
      <c r="AE2619">
        <v>-9.8230999999999806</v>
      </c>
      <c r="AF2619">
        <v>-3.5823378507150001</v>
      </c>
      <c r="AG2619">
        <v>-1.127552294292</v>
      </c>
      <c r="AH2619">
        <v>9.0160731372765603</v>
      </c>
      <c r="AI2619">
        <v>96.629305232388006</v>
      </c>
      <c r="AJ2619">
        <v>111.669307635113</v>
      </c>
      <c r="AK2619">
        <v>9.7669899902553592</v>
      </c>
      <c r="AL2619">
        <v>88.507149372325301</v>
      </c>
      <c r="AM2619">
        <v>101.146366954795</v>
      </c>
      <c r="AN2619">
        <v>0.99999997017914599</v>
      </c>
    </row>
    <row r="2620" spans="1:40" x14ac:dyDescent="0.25">
      <c r="A2620" t="str">
        <f>"20190312151036487"</f>
        <v>20190312151036487</v>
      </c>
      <c r="B2620" t="str">
        <f>"1552374636483444"</f>
        <v>1552374636483444</v>
      </c>
      <c r="C2620" t="s">
        <v>40</v>
      </c>
      <c r="D2620">
        <v>4.9792699999999996</v>
      </c>
      <c r="E2620">
        <v>0.43261850000000002</v>
      </c>
      <c r="F2620" t="s">
        <v>42</v>
      </c>
      <c r="G2620">
        <v>-493.00040000000001</v>
      </c>
      <c r="H2620" s="1">
        <v>-3.2515149999999999E-6</v>
      </c>
      <c r="I2620">
        <v>255.3075</v>
      </c>
      <c r="J2620">
        <v>-493.42239999999998</v>
      </c>
      <c r="K2620">
        <v>1.127553</v>
      </c>
      <c r="L2620">
        <v>265.04000000000002</v>
      </c>
      <c r="M2620">
        <v>-0.32729520000000001</v>
      </c>
      <c r="N2620">
        <v>0</v>
      </c>
      <c r="O2620">
        <v>-0.94476939999999998</v>
      </c>
      <c r="P2620">
        <v>-0.14077770000000001</v>
      </c>
      <c r="Q2620">
        <v>1.7988130000000001E-2</v>
      </c>
      <c r="R2620">
        <v>-0.98987820000000004</v>
      </c>
      <c r="S2620">
        <v>0.11087039999999999</v>
      </c>
      <c r="T2620">
        <v>-0.34759600000000002</v>
      </c>
      <c r="U2620">
        <v>-3.05722</v>
      </c>
      <c r="V2620">
        <v>-0.192354</v>
      </c>
      <c r="W2620">
        <v>2.6188059999999999E-2</v>
      </c>
      <c r="X2620">
        <v>0.98097610000000002</v>
      </c>
      <c r="Y2620">
        <v>-0.36110809999999999</v>
      </c>
      <c r="Z2620">
        <v>9.9787849999999997E-2</v>
      </c>
      <c r="AA2620">
        <v>0.92716949999999998</v>
      </c>
      <c r="AB2620">
        <v>38</v>
      </c>
      <c r="AC2620">
        <v>0.42199999999996801</v>
      </c>
      <c r="AD2620">
        <v>-1.1275562515149999</v>
      </c>
      <c r="AE2620">
        <v>-9.7325000000000106</v>
      </c>
      <c r="AF2620">
        <v>-3.5372219436085799</v>
      </c>
      <c r="AG2620">
        <v>-1.1275562515149999</v>
      </c>
      <c r="AH2620">
        <v>8.9384079070341205</v>
      </c>
      <c r="AI2620">
        <v>96.690033092693099</v>
      </c>
      <c r="AJ2620">
        <v>111.590334592388</v>
      </c>
      <c r="AK2620">
        <v>9.6787632521519402</v>
      </c>
      <c r="AL2620">
        <v>88.499363117027997</v>
      </c>
      <c r="AM2620">
        <v>101.094046141302</v>
      </c>
      <c r="AN2620">
        <v>0.99999999228688596</v>
      </c>
    </row>
    <row r="2621" spans="1:40" x14ac:dyDescent="0.25">
      <c r="A2621" t="str">
        <f>"20190312151036501"</f>
        <v>20190312151036501</v>
      </c>
      <c r="B2621" t="str">
        <f>"1552374636493206"</f>
        <v>1552374636493206</v>
      </c>
      <c r="C2621" t="s">
        <v>40</v>
      </c>
      <c r="D2621">
        <v>5.0319649999999996</v>
      </c>
      <c r="E2621">
        <v>0.43346000000000001</v>
      </c>
      <c r="F2621" t="s">
        <v>42</v>
      </c>
      <c r="G2621">
        <v>-493.00380000000001</v>
      </c>
      <c r="H2621" s="1">
        <v>-3.1581910000000001E-6</v>
      </c>
      <c r="I2621">
        <v>255.08789999999999</v>
      </c>
      <c r="J2621">
        <v>-493.49489999999997</v>
      </c>
      <c r="K2621">
        <v>1.1275459999999999</v>
      </c>
      <c r="L2621">
        <v>264.8202</v>
      </c>
      <c r="M2621">
        <v>-0.31712030000000002</v>
      </c>
      <c r="N2621">
        <v>0</v>
      </c>
      <c r="O2621">
        <v>-0.94823290000000005</v>
      </c>
      <c r="P2621">
        <v>-0.1312585</v>
      </c>
      <c r="Q2621">
        <v>1.832363E-2</v>
      </c>
      <c r="R2621">
        <v>-0.99117889999999997</v>
      </c>
      <c r="S2621">
        <v>0.1285095</v>
      </c>
      <c r="T2621">
        <v>-0.34615669999999998</v>
      </c>
      <c r="U2621">
        <v>-3.0552670000000002</v>
      </c>
      <c r="V2621">
        <v>-0.19124940000000001</v>
      </c>
      <c r="W2621">
        <v>2.6577509999999999E-2</v>
      </c>
      <c r="X2621">
        <v>0.98118159999999999</v>
      </c>
      <c r="Y2621">
        <v>-0.3564503</v>
      </c>
      <c r="Z2621">
        <v>0.10011440000000001</v>
      </c>
      <c r="AA2621">
        <v>0.92893499999999996</v>
      </c>
      <c r="AB2621">
        <v>38</v>
      </c>
      <c r="AC2621">
        <v>0.49109999999996001</v>
      </c>
      <c r="AD2621">
        <v>-1.127549158191</v>
      </c>
      <c r="AE2621">
        <v>-9.7323000000000093</v>
      </c>
      <c r="AF2621">
        <v>-3.5055659308927001</v>
      </c>
      <c r="AG2621">
        <v>-1.127549158191</v>
      </c>
      <c r="AH2621">
        <v>8.9541769436577798</v>
      </c>
      <c r="AI2621">
        <v>96.687868792245695</v>
      </c>
      <c r="AJ2621">
        <v>111.380374510466</v>
      </c>
      <c r="AK2621">
        <v>9.6818203008682993</v>
      </c>
      <c r="AL2621">
        <v>88.477041539539599</v>
      </c>
      <c r="AM2621">
        <v>101.029651557443</v>
      </c>
      <c r="AN2621">
        <v>1.0000000146083601</v>
      </c>
    </row>
    <row r="2622" spans="1:40" x14ac:dyDescent="0.25">
      <c r="A2622" t="str">
        <f>"20190312151036514"</f>
        <v>20190312151036514</v>
      </c>
      <c r="B2622" t="str">
        <f>"1552374636502963"</f>
        <v>1552374636502963</v>
      </c>
      <c r="C2622" t="s">
        <v>40</v>
      </c>
      <c r="D2622">
        <v>5.0555870000000001</v>
      </c>
      <c r="E2622">
        <v>0.43427389999999999</v>
      </c>
      <c r="F2622" t="s">
        <v>42</v>
      </c>
      <c r="G2622">
        <v>-493.00020000000001</v>
      </c>
      <c r="H2622" s="1">
        <v>-3.0333280000000002E-6</v>
      </c>
      <c r="I2622">
        <v>254.79900000000001</v>
      </c>
      <c r="J2622">
        <v>-493.56709999999998</v>
      </c>
      <c r="K2622">
        <v>1.1275459999999999</v>
      </c>
      <c r="L2622">
        <v>264.59129999999999</v>
      </c>
      <c r="M2622">
        <v>-0.30651499999999998</v>
      </c>
      <c r="N2622">
        <v>0</v>
      </c>
      <c r="O2622">
        <v>-0.95171399999999995</v>
      </c>
      <c r="P2622">
        <v>-0.1214143</v>
      </c>
      <c r="Q2622">
        <v>1.8661870000000001E-2</v>
      </c>
      <c r="R2622">
        <v>-0.99242649999999999</v>
      </c>
      <c r="S2622">
        <v>0.15069579999999999</v>
      </c>
      <c r="T2622">
        <v>-0.3435087</v>
      </c>
      <c r="U2622">
        <v>-3.0529480000000002</v>
      </c>
      <c r="V2622">
        <v>-0.19004860000000001</v>
      </c>
      <c r="W2622">
        <v>2.697505E-2</v>
      </c>
      <c r="X2622">
        <v>0.98140400000000005</v>
      </c>
      <c r="Y2622">
        <v>-0.35279050000000001</v>
      </c>
      <c r="Z2622">
        <v>0.1000747</v>
      </c>
      <c r="AA2622">
        <v>0.93033540000000003</v>
      </c>
      <c r="AB2622">
        <v>38</v>
      </c>
      <c r="AC2622">
        <v>0.56689999999997498</v>
      </c>
      <c r="AD2622">
        <v>-1.1275490333279901</v>
      </c>
      <c r="AE2622">
        <v>-9.7922999999999796</v>
      </c>
      <c r="AF2622">
        <v>-3.4953364503118198</v>
      </c>
      <c r="AG2622">
        <v>-1.1275490333279901</v>
      </c>
      <c r="AH2622">
        <v>9.0277312717936695</v>
      </c>
      <c r="AI2622">
        <v>96.643481628885198</v>
      </c>
      <c r="AJ2622">
        <v>111.165293389344</v>
      </c>
      <c r="AK2622">
        <v>9.74621340004202</v>
      </c>
      <c r="AL2622">
        <v>88.454255932895194</v>
      </c>
      <c r="AM2622">
        <v>100.959658290375</v>
      </c>
      <c r="AN2622">
        <v>0.99999996745023001</v>
      </c>
    </row>
    <row r="2623" spans="1:40" x14ac:dyDescent="0.25">
      <c r="A2623" t="str">
        <f>"20190312151036531"</f>
        <v>20190312151036531</v>
      </c>
      <c r="B2623" t="str">
        <f>"1552374636523459"</f>
        <v>1552374636523459</v>
      </c>
      <c r="C2623" t="s">
        <v>40</v>
      </c>
      <c r="D2623">
        <v>5.1390140000000004</v>
      </c>
      <c r="E2623">
        <v>0.4350907</v>
      </c>
      <c r="F2623" t="s">
        <v>42</v>
      </c>
      <c r="G2623">
        <v>-492.98739999999998</v>
      </c>
      <c r="H2623" s="1">
        <v>-2.8898350000000002E-6</v>
      </c>
      <c r="I2623">
        <v>254.4725</v>
      </c>
      <c r="J2623">
        <v>-493.64479999999998</v>
      </c>
      <c r="K2623">
        <v>1.1275470000000001</v>
      </c>
      <c r="L2623">
        <v>264.33390000000003</v>
      </c>
      <c r="M2623">
        <v>-0.294568</v>
      </c>
      <c r="N2623">
        <v>0</v>
      </c>
      <c r="O2623">
        <v>-0.95547939999999998</v>
      </c>
      <c r="P2623">
        <v>-0.1110968</v>
      </c>
      <c r="Q2623">
        <v>1.8986309999999999E-2</v>
      </c>
      <c r="R2623">
        <v>-0.99362839999999997</v>
      </c>
      <c r="S2623">
        <v>0.17477419999999999</v>
      </c>
      <c r="T2623">
        <v>-0.33993709999999899</v>
      </c>
      <c r="U2623">
        <v>-3.050659</v>
      </c>
      <c r="V2623">
        <v>-0.18796299999999999</v>
      </c>
      <c r="W2623">
        <v>2.7401180000000001E-2</v>
      </c>
      <c r="X2623">
        <v>0.98179380000000005</v>
      </c>
      <c r="Y2623">
        <v>-0.34843000000000002</v>
      </c>
      <c r="Z2623">
        <v>9.9812750000000006E-2</v>
      </c>
      <c r="AA2623">
        <v>0.93200530000000004</v>
      </c>
      <c r="AB2623">
        <v>38</v>
      </c>
      <c r="AC2623">
        <v>0.65739999999999499</v>
      </c>
      <c r="AD2623">
        <v>-1.12754988983499</v>
      </c>
      <c r="AE2623">
        <v>-9.8614000000000299</v>
      </c>
      <c r="AF2623">
        <v>-3.4880952086160799</v>
      </c>
      <c r="AG2623">
        <v>-1.12754988983499</v>
      </c>
      <c r="AH2623">
        <v>9.1114562331799203</v>
      </c>
      <c r="AI2623">
        <v>96.592507674295604</v>
      </c>
      <c r="AJ2623">
        <v>110.94810607928</v>
      </c>
      <c r="AK2623">
        <v>9.8212428759088599</v>
      </c>
      <c r="AL2623">
        <v>88.429831487733793</v>
      </c>
      <c r="AM2623">
        <v>100.838049842093</v>
      </c>
      <c r="AN2623">
        <v>0.99999998987641603</v>
      </c>
    </row>
    <row r="2624" spans="1:40" x14ac:dyDescent="0.25">
      <c r="A2624" t="str">
        <f>"20190312151036544"</f>
        <v>20190312151036544</v>
      </c>
      <c r="B2624" t="str">
        <f>"1552374636533219"</f>
        <v>1552374636533219</v>
      </c>
      <c r="C2624" t="s">
        <v>40</v>
      </c>
      <c r="D2624">
        <v>5.0293530000000004</v>
      </c>
      <c r="E2624">
        <v>0.44319019999999998</v>
      </c>
      <c r="F2624" t="s">
        <v>42</v>
      </c>
      <c r="G2624">
        <v>-492.97890000000001</v>
      </c>
      <c r="H2624" s="1">
        <v>-2.754392E-6</v>
      </c>
      <c r="I2624">
        <v>254.16200000000001</v>
      </c>
      <c r="J2624">
        <v>-493.71109999999999</v>
      </c>
      <c r="K2624">
        <v>1.1275440000000001</v>
      </c>
      <c r="L2624">
        <v>264.10489999999999</v>
      </c>
      <c r="M2624">
        <v>-0.2839237</v>
      </c>
      <c r="N2624">
        <v>0</v>
      </c>
      <c r="O2624">
        <v>-0.95869610000000005</v>
      </c>
      <c r="P2624">
        <v>-0.1010147</v>
      </c>
      <c r="Q2624">
        <v>1.8952119999999999E-2</v>
      </c>
      <c r="R2624">
        <v>-0.99470449999999999</v>
      </c>
      <c r="S2624">
        <v>0.1995239</v>
      </c>
      <c r="T2624">
        <v>-0.33787159999999999</v>
      </c>
      <c r="U2624">
        <v>-3.0480040000000002</v>
      </c>
      <c r="V2624">
        <v>-0.18699940000000001</v>
      </c>
      <c r="W2624">
        <v>2.7415479999999999E-2</v>
      </c>
      <c r="X2624">
        <v>0.9819774</v>
      </c>
      <c r="Y2624">
        <v>-0.34559570000000001</v>
      </c>
      <c r="Z2624">
        <v>9.9861480000000002E-2</v>
      </c>
      <c r="AA2624">
        <v>0.93305479999999996</v>
      </c>
      <c r="AB2624">
        <v>38</v>
      </c>
      <c r="AC2624">
        <v>0.73219999999997698</v>
      </c>
      <c r="AD2624">
        <v>-1.1275467543919999</v>
      </c>
      <c r="AE2624">
        <v>-9.9428999999999803</v>
      </c>
      <c r="AF2624">
        <v>-3.48096791973202</v>
      </c>
      <c r="AG2624">
        <v>-1.1275467543919999</v>
      </c>
      <c r="AH2624">
        <v>9.2079032434906392</v>
      </c>
      <c r="AI2624">
        <v>96.534326499956805</v>
      </c>
      <c r="AJ2624">
        <v>110.708663714859</v>
      </c>
      <c r="AK2624">
        <v>9.9082784318482293</v>
      </c>
      <c r="AL2624">
        <v>88.4290118646948</v>
      </c>
      <c r="AM2624">
        <v>100.781825272931</v>
      </c>
      <c r="AN2624">
        <v>0.99999999912737503</v>
      </c>
    </row>
    <row r="2625" spans="1:40" x14ac:dyDescent="0.25">
      <c r="A2625" t="str">
        <f>"20190312151036559"</f>
        <v>20190312151036559</v>
      </c>
      <c r="B2625" t="str">
        <f>"1552374636553715"</f>
        <v>1552374636553715</v>
      </c>
      <c r="C2625" t="s">
        <v>40</v>
      </c>
      <c r="D2625">
        <v>5.1063159999999996</v>
      </c>
      <c r="E2625">
        <v>0.44522469999999997</v>
      </c>
      <c r="F2625" t="s">
        <v>42</v>
      </c>
      <c r="G2625">
        <v>-493.1225</v>
      </c>
      <c r="H2625" s="1">
        <v>-2.4199820000000001E-6</v>
      </c>
      <c r="I2625">
        <v>253.29349999999999</v>
      </c>
      <c r="J2625">
        <v>-493.77569999999997</v>
      </c>
      <c r="K2625">
        <v>1.127542</v>
      </c>
      <c r="L2625">
        <v>263.87380000000002</v>
      </c>
      <c r="M2625">
        <v>-0.27316430000000003</v>
      </c>
      <c r="N2625">
        <v>0</v>
      </c>
      <c r="O2625">
        <v>-0.96181729999999999</v>
      </c>
      <c r="P2625">
        <v>-9.0816889999999997E-2</v>
      </c>
      <c r="Q2625">
        <v>1.87674E-2</v>
      </c>
      <c r="R2625">
        <v>-0.99569129999999995</v>
      </c>
      <c r="S2625">
        <v>0.16543579999999999</v>
      </c>
      <c r="T2625">
        <v>-0.31692169999999997</v>
      </c>
      <c r="U2625">
        <v>-3.0387879999999998</v>
      </c>
      <c r="V2625">
        <v>-0.1860523</v>
      </c>
      <c r="W2625">
        <v>2.727868E-2</v>
      </c>
      <c r="X2625">
        <v>0.98216110000000001</v>
      </c>
      <c r="Y2625">
        <v>-0.324797</v>
      </c>
      <c r="Z2625">
        <v>9.4922320000000004E-2</v>
      </c>
      <c r="AA2625">
        <v>0.94100830000000002</v>
      </c>
      <c r="AB2625">
        <v>38</v>
      </c>
      <c r="AC2625">
        <v>0.65319999999996903</v>
      </c>
      <c r="AD2625">
        <v>-1.1275444199819999</v>
      </c>
      <c r="AE2625">
        <v>-10.580299999999999</v>
      </c>
      <c r="AF2625">
        <v>-3.4795593716861202</v>
      </c>
      <c r="AG2625">
        <v>-1.1275444199819999</v>
      </c>
      <c r="AH2625">
        <v>9.8874608902321999</v>
      </c>
      <c r="AI2625">
        <v>96.139761021016895</v>
      </c>
      <c r="AJ2625">
        <v>109.38780514226001</v>
      </c>
      <c r="AK2625">
        <v>10.542322926945101</v>
      </c>
      <c r="AL2625">
        <v>88.436852869907099</v>
      </c>
      <c r="AM2625">
        <v>100.72652885824699</v>
      </c>
      <c r="AN2625">
        <v>1.00000000553552</v>
      </c>
    </row>
    <row r="2626" spans="1:40" x14ac:dyDescent="0.25">
      <c r="A2626" t="str">
        <f>"20190312151036575"</f>
        <v>20190312151036575</v>
      </c>
      <c r="B2626" t="str">
        <f>"1552374636563476"</f>
        <v>1552374636563476</v>
      </c>
      <c r="C2626" t="s">
        <v>40</v>
      </c>
      <c r="D2626">
        <v>5.1900250000000003</v>
      </c>
      <c r="E2626">
        <v>0.44573040000000003</v>
      </c>
      <c r="F2626" t="s">
        <v>42</v>
      </c>
      <c r="G2626">
        <v>-493.14769999999999</v>
      </c>
      <c r="H2626" s="1">
        <v>-2.4403269999999999E-6</v>
      </c>
      <c r="I2626">
        <v>253.3253</v>
      </c>
      <c r="J2626">
        <v>-493.84370000000001</v>
      </c>
      <c r="K2626">
        <v>1.127537</v>
      </c>
      <c r="L2626">
        <v>263.61630000000002</v>
      </c>
      <c r="M2626">
        <v>-0.2611638</v>
      </c>
      <c r="N2626">
        <v>0</v>
      </c>
      <c r="O2626">
        <v>-0.96514480000000002</v>
      </c>
      <c r="P2626">
        <v>-8.0705170000000007E-2</v>
      </c>
      <c r="Q2626">
        <v>1.880679E-2</v>
      </c>
      <c r="R2626">
        <v>-0.99656069999999997</v>
      </c>
      <c r="S2626">
        <v>0.1807251</v>
      </c>
      <c r="T2626">
        <v>-0.32447429999999999</v>
      </c>
      <c r="U2626">
        <v>-3.0355530000000002</v>
      </c>
      <c r="V2626">
        <v>-0.18379129999999999</v>
      </c>
      <c r="W2626">
        <v>2.7428830000000001E-2</v>
      </c>
      <c r="X2626">
        <v>0.98258250000000003</v>
      </c>
      <c r="Y2626">
        <v>-0.31777300000000003</v>
      </c>
      <c r="Z2626">
        <v>9.7904450000000004E-2</v>
      </c>
      <c r="AA2626">
        <v>0.94309860000000001</v>
      </c>
      <c r="AB2626">
        <v>38</v>
      </c>
      <c r="AC2626">
        <v>0.69600000000002604</v>
      </c>
      <c r="AD2626">
        <v>-1.127539440327</v>
      </c>
      <c r="AE2626">
        <v>-10.291</v>
      </c>
      <c r="AF2626">
        <v>-3.3201868640332699</v>
      </c>
      <c r="AG2626">
        <v>-1.127539440327</v>
      </c>
      <c r="AH2626">
        <v>9.6367851416416794</v>
      </c>
      <c r="AI2626">
        <v>96.312518268376394</v>
      </c>
      <c r="AJ2626">
        <v>109.010500505346</v>
      </c>
      <c r="AK2626">
        <v>10.254882440465</v>
      </c>
      <c r="AL2626">
        <v>88.428246641905503</v>
      </c>
      <c r="AM2626">
        <v>100.594703170652</v>
      </c>
      <c r="AN2626">
        <v>0.99999997598855395</v>
      </c>
    </row>
    <row r="2627" spans="1:40" x14ac:dyDescent="0.25">
      <c r="A2627" t="str">
        <f>"20190312151036586"</f>
        <v>20190312151036586</v>
      </c>
      <c r="B2627" t="str">
        <f>"1552374636582995"</f>
        <v>1552374636582995</v>
      </c>
      <c r="C2627" t="s">
        <v>40</v>
      </c>
      <c r="D2627">
        <v>5.1076639999999998</v>
      </c>
      <c r="E2627">
        <v>0.44705309999999998</v>
      </c>
      <c r="F2627" t="s">
        <v>42</v>
      </c>
      <c r="G2627">
        <v>-493.14429999999999</v>
      </c>
      <c r="H2627" s="1">
        <v>-2.4826320000000002E-6</v>
      </c>
      <c r="I2627">
        <v>253.42599999999999</v>
      </c>
      <c r="J2627">
        <v>-493.89030000000002</v>
      </c>
      <c r="K2627">
        <v>1.127529</v>
      </c>
      <c r="L2627">
        <v>263.43049999999999</v>
      </c>
      <c r="M2627">
        <v>-0.25248979999999999</v>
      </c>
      <c r="N2627">
        <v>0</v>
      </c>
      <c r="O2627">
        <v>-0.96745009999999998</v>
      </c>
      <c r="P2627">
        <v>-7.2870679999999993E-2</v>
      </c>
      <c r="Q2627">
        <v>1.8732559999999999E-2</v>
      </c>
      <c r="R2627">
        <v>-0.99716570000000004</v>
      </c>
      <c r="S2627">
        <v>0.20819090000000001</v>
      </c>
      <c r="T2627">
        <v>-0.33565099999999998</v>
      </c>
      <c r="U2627">
        <v>-3.0335079999999999</v>
      </c>
      <c r="V2627">
        <v>-0.18269079999999999</v>
      </c>
      <c r="W2627">
        <v>2.7409289999999999E-2</v>
      </c>
      <c r="X2627">
        <v>0.98278829999999995</v>
      </c>
      <c r="Y2627">
        <v>-0.31777739999999999</v>
      </c>
      <c r="Z2627">
        <v>0.10165399999999999</v>
      </c>
      <c r="AA2627">
        <v>0.94270039999999999</v>
      </c>
      <c r="AB2627">
        <v>38</v>
      </c>
      <c r="AC2627">
        <v>0.74600000000003697</v>
      </c>
      <c r="AD2627">
        <v>-1.127531482632</v>
      </c>
      <c r="AE2627">
        <v>-10.0045</v>
      </c>
      <c r="AF2627">
        <v>-3.20770327424747</v>
      </c>
      <c r="AG2627">
        <v>-1.127531482632</v>
      </c>
      <c r="AH2627">
        <v>9.3734678425900597</v>
      </c>
      <c r="AI2627">
        <v>96.492899966470304</v>
      </c>
      <c r="AJ2627">
        <v>108.891507822886</v>
      </c>
      <c r="AK2627">
        <v>9.97108755031336</v>
      </c>
      <c r="AL2627">
        <v>88.429366691846795</v>
      </c>
      <c r="AM2627">
        <v>100.530531980699</v>
      </c>
      <c r="AN2627">
        <v>1.00000002009991</v>
      </c>
    </row>
    <row r="2628" spans="1:40" x14ac:dyDescent="0.25">
      <c r="A2628" t="str">
        <f>"20190312151036598"</f>
        <v>20190312151036598</v>
      </c>
      <c r="B2628" t="str">
        <f>"1552374636593731"</f>
        <v>1552374636593731</v>
      </c>
      <c r="C2628" t="s">
        <v>40</v>
      </c>
      <c r="D2628">
        <v>5.1489859999999998</v>
      </c>
      <c r="E2628">
        <v>0.4479553</v>
      </c>
      <c r="F2628" t="s">
        <v>42</v>
      </c>
      <c r="G2628">
        <v>-493.13810000000001</v>
      </c>
      <c r="H2628" s="1">
        <v>-2.361945E-6</v>
      </c>
      <c r="I2628">
        <v>253.14850000000001</v>
      </c>
      <c r="J2628">
        <v>-493.93700000000001</v>
      </c>
      <c r="K2628">
        <v>1.127529</v>
      </c>
      <c r="L2628">
        <v>263.2407</v>
      </c>
      <c r="M2628">
        <v>-0.24361849999999999</v>
      </c>
      <c r="N2628">
        <v>0</v>
      </c>
      <c r="O2628">
        <v>-0.96972219999999998</v>
      </c>
      <c r="P2628">
        <v>-6.4540099999999906E-2</v>
      </c>
      <c r="Q2628">
        <v>1.8751239999999999E-2</v>
      </c>
      <c r="R2628">
        <v>-0.99773909999999999</v>
      </c>
      <c r="S2628">
        <v>0.22174070000000001</v>
      </c>
      <c r="T2628">
        <v>-0.33237660000000002</v>
      </c>
      <c r="U2628">
        <v>-3.030945</v>
      </c>
      <c r="V2628">
        <v>-0.18189839999999999</v>
      </c>
      <c r="W2628">
        <v>2.7468869999999999E-2</v>
      </c>
      <c r="X2628">
        <v>0.98293359999999996</v>
      </c>
      <c r="Y2628">
        <v>-0.31334630000000002</v>
      </c>
      <c r="Z2628">
        <v>0.1011933</v>
      </c>
      <c r="AA2628">
        <v>0.94423199999999996</v>
      </c>
      <c r="AB2628">
        <v>38</v>
      </c>
      <c r="AC2628">
        <v>0.79889999999994599</v>
      </c>
      <c r="AD2628">
        <v>-1.127531361945</v>
      </c>
      <c r="AE2628">
        <v>-10.092199999999901</v>
      </c>
      <c r="AF2628">
        <v>-3.1942029362184501</v>
      </c>
      <c r="AG2628">
        <v>-1.127531361945</v>
      </c>
      <c r="AH2628">
        <v>9.4758479834031704</v>
      </c>
      <c r="AI2628">
        <v>96.433280065943705</v>
      </c>
      <c r="AJ2628">
        <v>108.62838916272401</v>
      </c>
      <c r="AK2628">
        <v>10.063098646762899</v>
      </c>
      <c r="AL2628">
        <v>88.425951714546301</v>
      </c>
      <c r="AM2628">
        <v>100.484356552427</v>
      </c>
      <c r="AN2628">
        <v>1.0000000143752901</v>
      </c>
    </row>
    <row r="2629" spans="1:40" x14ac:dyDescent="0.25">
      <c r="A2629" t="str">
        <f>"20190312151036620"</f>
        <v>20190312151036620</v>
      </c>
      <c r="B2629" t="str">
        <f>"1552374636613251"</f>
        <v>1552374636613251</v>
      </c>
      <c r="C2629" t="s">
        <v>40</v>
      </c>
      <c r="D2629">
        <v>5.9585530000000002</v>
      </c>
      <c r="E2629">
        <v>0.4486733</v>
      </c>
      <c r="F2629" t="s">
        <v>42</v>
      </c>
      <c r="G2629">
        <v>-493.11700000000002</v>
      </c>
      <c r="H2629" s="1">
        <v>-2.2394570000000002E-6</v>
      </c>
      <c r="I2629">
        <v>252.87610000000001</v>
      </c>
      <c r="J2629">
        <v>-494.01760000000002</v>
      </c>
      <c r="K2629">
        <v>1.1275170000000001</v>
      </c>
      <c r="L2629">
        <v>262.88799999999998</v>
      </c>
      <c r="M2629">
        <v>-0.22711509999999999</v>
      </c>
      <c r="N2629">
        <v>0</v>
      </c>
      <c r="O2629">
        <v>-0.97371969999999997</v>
      </c>
      <c r="P2629">
        <v>-4.8342280000000001E-2</v>
      </c>
      <c r="Q2629">
        <v>1.8661009999999999E-2</v>
      </c>
      <c r="R2629">
        <v>-0.99865660000000001</v>
      </c>
      <c r="S2629">
        <v>0.239624</v>
      </c>
      <c r="T2629">
        <v>-0.32946059999999999</v>
      </c>
      <c r="U2629">
        <v>-3.0285030000000002</v>
      </c>
      <c r="V2629">
        <v>-0.18115010000000001</v>
      </c>
      <c r="W2629">
        <v>2.741977E-2</v>
      </c>
      <c r="X2629">
        <v>0.98307310000000003</v>
      </c>
      <c r="Y2629">
        <v>-0.30280750000000001</v>
      </c>
      <c r="Z2629">
        <v>0.1012057</v>
      </c>
      <c r="AA2629">
        <v>0.94766289999999997</v>
      </c>
      <c r="AB2629">
        <v>38</v>
      </c>
      <c r="AC2629">
        <v>0.90060000000005402</v>
      </c>
      <c r="AD2629">
        <v>-1.1275192394569999</v>
      </c>
      <c r="AE2629">
        <v>-10.011899999999899</v>
      </c>
      <c r="AF2629">
        <v>-3.1120873581927002</v>
      </c>
      <c r="AG2629">
        <v>-1.1275192394569999</v>
      </c>
      <c r="AH2629">
        <v>9.4270210135553096</v>
      </c>
      <c r="AI2629">
        <v>96.479669184473195</v>
      </c>
      <c r="AJ2629">
        <v>108.269304738057</v>
      </c>
      <c r="AK2629">
        <v>9.9912518009697795</v>
      </c>
      <c r="AL2629">
        <v>88.428765913801399</v>
      </c>
      <c r="AM2629">
        <v>100.440727095734</v>
      </c>
      <c r="AN2629">
        <v>0.99999996123023505</v>
      </c>
    </row>
    <row r="2630" spans="1:40" x14ac:dyDescent="0.25">
      <c r="A2630" t="str">
        <f>"20190312151036633"</f>
        <v>20190312151036633</v>
      </c>
      <c r="B2630" t="str">
        <f>"1552374636623011"</f>
        <v>1552374636623011</v>
      </c>
      <c r="C2630" t="s">
        <v>40</v>
      </c>
      <c r="D2630">
        <v>5.1768429999999999</v>
      </c>
      <c r="E2630">
        <v>0.45988839999999997</v>
      </c>
      <c r="F2630" t="s">
        <v>42</v>
      </c>
      <c r="G2630">
        <v>-493.05900000000003</v>
      </c>
      <c r="H2630" s="1">
        <v>-2.1170959999999999E-6</v>
      </c>
      <c r="I2630">
        <v>252.6268</v>
      </c>
      <c r="J2630">
        <v>-494.06729999999999</v>
      </c>
      <c r="K2630">
        <v>1.1275090000000001</v>
      </c>
      <c r="L2630">
        <v>262.65539999999999</v>
      </c>
      <c r="M2630">
        <v>-0.21621370000000001</v>
      </c>
      <c r="N2630">
        <v>0</v>
      </c>
      <c r="O2630">
        <v>-0.97619800000000001</v>
      </c>
      <c r="P2630">
        <v>-3.724384E-2</v>
      </c>
      <c r="Q2630">
        <v>1.870983E-2</v>
      </c>
      <c r="R2630">
        <v>-0.9991312</v>
      </c>
      <c r="S2630">
        <v>0.28250120000000001</v>
      </c>
      <c r="T2630">
        <v>-0.33227420000000002</v>
      </c>
      <c r="U2630">
        <v>-3.0239259999999999</v>
      </c>
      <c r="V2630">
        <v>-0.18108179999999999</v>
      </c>
      <c r="W2630">
        <v>2.747554E-2</v>
      </c>
      <c r="X2630">
        <v>0.98308410000000002</v>
      </c>
      <c r="Y2630">
        <v>-0.3055908</v>
      </c>
      <c r="Z2630">
        <v>0.1025061</v>
      </c>
      <c r="AA2630">
        <v>0.94662919999999995</v>
      </c>
      <c r="AB2630">
        <v>38</v>
      </c>
      <c r="AC2630">
        <v>1.00829999999996</v>
      </c>
      <c r="AD2630">
        <v>-1.1275111170959999</v>
      </c>
      <c r="AE2630">
        <v>-10.0285999999999</v>
      </c>
      <c r="AF2630">
        <v>-3.1141073193969802</v>
      </c>
      <c r="AG2630">
        <v>-1.1275111170959999</v>
      </c>
      <c r="AH2630">
        <v>9.4549564701869393</v>
      </c>
      <c r="AI2630">
        <v>96.462091836797697</v>
      </c>
      <c r="AJ2630">
        <v>108.229940423831</v>
      </c>
      <c r="AK2630">
        <v>10.0182407422175</v>
      </c>
      <c r="AL2630">
        <v>88.425569283399</v>
      </c>
      <c r="AM2630">
        <v>100.436762876609</v>
      </c>
      <c r="AN2630">
        <v>0.99999993563116796</v>
      </c>
    </row>
    <row r="2631" spans="1:40" x14ac:dyDescent="0.25">
      <c r="A2631" t="str">
        <f>"20190312151036647"</f>
        <v>20190312151036647</v>
      </c>
      <c r="B2631" t="str">
        <f>"1552374636643507"</f>
        <v>1552374636643507</v>
      </c>
      <c r="C2631" t="s">
        <v>40</v>
      </c>
      <c r="D2631">
        <v>5.2774809999999999</v>
      </c>
      <c r="E2631">
        <v>0.46121299999999998</v>
      </c>
      <c r="F2631" t="s">
        <v>42</v>
      </c>
      <c r="G2631">
        <v>-493.23</v>
      </c>
      <c r="H2631" s="1">
        <v>-1.6428580000000001E-6</v>
      </c>
      <c r="I2631">
        <v>251.4153</v>
      </c>
      <c r="J2631">
        <v>-494.10879999999997</v>
      </c>
      <c r="K2631">
        <v>1.127497</v>
      </c>
      <c r="L2631">
        <v>262.44920000000002</v>
      </c>
      <c r="M2631">
        <v>-0.20653740000000001</v>
      </c>
      <c r="N2631">
        <v>0</v>
      </c>
      <c r="O2631">
        <v>-0.97829100000000002</v>
      </c>
      <c r="P2631">
        <v>-2.728978E-2</v>
      </c>
      <c r="Q2631">
        <v>1.8634330000000001E-2</v>
      </c>
      <c r="R2631">
        <v>-0.99945379999999995</v>
      </c>
      <c r="S2631">
        <v>0.2247314</v>
      </c>
      <c r="T2631">
        <v>-0.3026066</v>
      </c>
      <c r="U2631">
        <v>-3.0166629999999999</v>
      </c>
      <c r="V2631">
        <v>-0.18113660000000001</v>
      </c>
      <c r="W2631">
        <v>2.7401180000000001E-2</v>
      </c>
      <c r="X2631">
        <v>0.98307619999999896</v>
      </c>
      <c r="Y2631">
        <v>-0.27832499999999999</v>
      </c>
      <c r="Z2631">
        <v>9.4475420000000004E-2</v>
      </c>
      <c r="AA2631">
        <v>0.95582929999999999</v>
      </c>
      <c r="AB2631">
        <v>38</v>
      </c>
      <c r="AC2631">
        <v>0.87879999999995495</v>
      </c>
      <c r="AD2631">
        <v>-1.1274986428580001</v>
      </c>
      <c r="AE2631">
        <v>-11.033899999999999</v>
      </c>
      <c r="AF2631">
        <v>-3.1068522777004501</v>
      </c>
      <c r="AG2631">
        <v>-1.1274986428580001</v>
      </c>
      <c r="AH2631">
        <v>10.5053906221296</v>
      </c>
      <c r="AI2631">
        <v>95.876153103232994</v>
      </c>
      <c r="AJ2631">
        <v>106.47499598944999</v>
      </c>
      <c r="AK2631">
        <v>11.013038472130599</v>
      </c>
      <c r="AL2631">
        <v>88.4298315880758</v>
      </c>
      <c r="AM2631">
        <v>100.43993392430301</v>
      </c>
      <c r="AN2631">
        <v>1.0000000537656899</v>
      </c>
    </row>
    <row r="2632" spans="1:40" x14ac:dyDescent="0.25">
      <c r="A2632" t="str">
        <f>"20190312151036665"</f>
        <v>20190312151036665</v>
      </c>
      <c r="B2632" t="str">
        <f>"1552374636653268"</f>
        <v>1552374636653268</v>
      </c>
      <c r="C2632" t="s">
        <v>40</v>
      </c>
      <c r="D2632">
        <v>5.1939399999999996</v>
      </c>
      <c r="E2632">
        <v>0.4624489</v>
      </c>
      <c r="F2632" t="s">
        <v>42</v>
      </c>
      <c r="G2632">
        <v>-493.18340000000001</v>
      </c>
      <c r="H2632" s="1">
        <v>-1.464473E-6</v>
      </c>
      <c r="I2632">
        <v>251.0284</v>
      </c>
      <c r="J2632">
        <v>-494.16559999999998</v>
      </c>
      <c r="K2632">
        <v>1.1274740000000001</v>
      </c>
      <c r="L2632">
        <v>262.15089999999998</v>
      </c>
      <c r="M2632">
        <v>-0.1925279</v>
      </c>
      <c r="N2632">
        <v>0</v>
      </c>
      <c r="O2632">
        <v>-0.98114429999999997</v>
      </c>
      <c r="P2632">
        <v>-1.3007579999999999E-2</v>
      </c>
      <c r="Q2632">
        <v>1.8020049999999999E-2</v>
      </c>
      <c r="R2632">
        <v>-0.99975309999999995</v>
      </c>
      <c r="S2632">
        <v>0.24420169999999999</v>
      </c>
      <c r="T2632">
        <v>-0.29753489999999999</v>
      </c>
      <c r="U2632">
        <v>-3.0138240000000001</v>
      </c>
      <c r="V2632">
        <v>-0.1810988</v>
      </c>
      <c r="W2632">
        <v>2.6793440000000002E-2</v>
      </c>
      <c r="X2632">
        <v>0.98309990000000003</v>
      </c>
      <c r="Y2632">
        <v>-0.27079989999999998</v>
      </c>
      <c r="Z2632">
        <v>9.349615E-2</v>
      </c>
      <c r="AA2632">
        <v>0.95808450000000001</v>
      </c>
      <c r="AB2632">
        <v>38</v>
      </c>
      <c r="AC2632">
        <v>0.98219999999997698</v>
      </c>
      <c r="AD2632">
        <v>-1.1274754644730001</v>
      </c>
      <c r="AE2632">
        <v>-11.122499999999899</v>
      </c>
      <c r="AF2632">
        <v>-3.0741753557523301</v>
      </c>
      <c r="AG2632">
        <v>-1.1274754644730001</v>
      </c>
      <c r="AH2632">
        <v>10.616973635969501</v>
      </c>
      <c r="AI2632">
        <v>95.824339522350797</v>
      </c>
      <c r="AJ2632">
        <v>106.148525758555</v>
      </c>
      <c r="AK2632">
        <v>11.1104403255575</v>
      </c>
      <c r="AL2632">
        <v>88.464665291394596</v>
      </c>
      <c r="AM2632">
        <v>100.437557084647</v>
      </c>
      <c r="AN2632">
        <v>1.00000003858424</v>
      </c>
    </row>
    <row r="2633" spans="1:40" x14ac:dyDescent="0.25">
      <c r="A2633" t="str">
        <f>"20190312151036679"</f>
        <v>20190312151036679</v>
      </c>
      <c r="B2633" t="str">
        <f>"1552374636673763"</f>
        <v>1552374636673763</v>
      </c>
      <c r="C2633" t="s">
        <v>40</v>
      </c>
      <c r="D2633">
        <v>5.2316050000000001</v>
      </c>
      <c r="E2633">
        <v>0.46498270000000003</v>
      </c>
      <c r="F2633" t="s">
        <v>42</v>
      </c>
      <c r="G2633">
        <v>-493.14269999999999</v>
      </c>
      <c r="H2633" s="1">
        <v>-1.4572429999999999E-6</v>
      </c>
      <c r="I2633">
        <v>251.0368</v>
      </c>
      <c r="J2633">
        <v>-494.20620000000002</v>
      </c>
      <c r="K2633">
        <v>1.1274580000000001</v>
      </c>
      <c r="L2633">
        <v>261.92320000000001</v>
      </c>
      <c r="M2633">
        <v>-0.18182329999999999</v>
      </c>
      <c r="N2633">
        <v>0</v>
      </c>
      <c r="O2633">
        <v>-0.98318430000000001</v>
      </c>
      <c r="P2633">
        <v>-2.06324E-3</v>
      </c>
      <c r="Q2633">
        <v>1.756191E-2</v>
      </c>
      <c r="R2633">
        <v>-0.9998437</v>
      </c>
      <c r="S2633">
        <v>0.27700809999999998</v>
      </c>
      <c r="T2633">
        <v>-0.30533979999999999</v>
      </c>
      <c r="U2633">
        <v>-3.0098880000000001</v>
      </c>
      <c r="V2633">
        <v>-0.1811258</v>
      </c>
      <c r="W2633">
        <v>2.6338219999999999E-2</v>
      </c>
      <c r="X2633">
        <v>0.98310719999999996</v>
      </c>
      <c r="Y2633">
        <v>-0.27075110000000002</v>
      </c>
      <c r="Z2633">
        <v>9.6312129999999996E-2</v>
      </c>
      <c r="AA2633">
        <v>0.95781930000000004</v>
      </c>
      <c r="AB2633">
        <v>38</v>
      </c>
      <c r="AC2633">
        <v>1.0635000000000301</v>
      </c>
      <c r="AD2633">
        <v>-1.1274594572429999</v>
      </c>
      <c r="AE2633">
        <v>-10.8864</v>
      </c>
      <c r="AF2633">
        <v>-2.9936487604797599</v>
      </c>
      <c r="AG2633">
        <v>-1.1274594572429999</v>
      </c>
      <c r="AH2633">
        <v>10.400981909154799</v>
      </c>
      <c r="AI2633">
        <v>95.947069522020797</v>
      </c>
      <c r="AJ2633">
        <v>106.057070808162</v>
      </c>
      <c r="AK2633">
        <v>10.8817977560426</v>
      </c>
      <c r="AL2633">
        <v>88.490756643732496</v>
      </c>
      <c r="AM2633">
        <v>100.439003200827</v>
      </c>
      <c r="AN2633">
        <v>1.00000001197512</v>
      </c>
    </row>
    <row r="2634" spans="1:40" x14ac:dyDescent="0.25">
      <c r="A2634" t="str">
        <f>"20190312151036700"</f>
        <v>20190312151036700</v>
      </c>
      <c r="B2634" t="str">
        <f>"1552374636693458"</f>
        <v>1552374636693458</v>
      </c>
      <c r="C2634" t="s">
        <v>40</v>
      </c>
      <c r="D2634">
        <v>5.3731269999999904</v>
      </c>
      <c r="E2634">
        <v>0.46563929999999998</v>
      </c>
      <c r="F2634" t="s">
        <v>42</v>
      </c>
      <c r="G2634">
        <v>-493.0951</v>
      </c>
      <c r="H2634" s="1">
        <v>-1.1545929999999999E-6</v>
      </c>
      <c r="I2634">
        <v>250.36089999999999</v>
      </c>
      <c r="J2634">
        <v>-494.26029999999997</v>
      </c>
      <c r="K2634">
        <v>1.1274280000000001</v>
      </c>
      <c r="L2634">
        <v>261.59089999999998</v>
      </c>
      <c r="M2634">
        <v>-0.16618749999999999</v>
      </c>
      <c r="N2634">
        <v>0</v>
      </c>
      <c r="O2634">
        <v>-0.98594780000000004</v>
      </c>
      <c r="P2634">
        <v>1.347216E-2</v>
      </c>
      <c r="Q2634">
        <v>1.6816899999999999E-2</v>
      </c>
      <c r="R2634">
        <v>-0.99976799999999999</v>
      </c>
      <c r="S2634">
        <v>0.2889099</v>
      </c>
      <c r="T2634">
        <v>-0.29314040000000002</v>
      </c>
      <c r="U2634">
        <v>-3.0062259999999998</v>
      </c>
      <c r="V2634">
        <v>-0.180757</v>
      </c>
      <c r="W2634">
        <v>2.5615579999999999E-2</v>
      </c>
      <c r="X2634">
        <v>0.98319420000000002</v>
      </c>
      <c r="Y2634">
        <v>-0.25934649999999998</v>
      </c>
      <c r="Z2634">
        <v>9.314894E-2</v>
      </c>
      <c r="AA2634">
        <v>0.96128179999999996</v>
      </c>
      <c r="AB2634">
        <v>38</v>
      </c>
      <c r="AC2634">
        <v>1.16519999999997</v>
      </c>
      <c r="AD2634">
        <v>-1.127429154593</v>
      </c>
      <c r="AE2634">
        <v>-11.229999999999899</v>
      </c>
      <c r="AF2634">
        <v>-2.9857740561619401</v>
      </c>
      <c r="AG2634">
        <v>-1.127429154593</v>
      </c>
      <c r="AH2634">
        <v>10.772700539386401</v>
      </c>
      <c r="AI2634">
        <v>95.759039536303902</v>
      </c>
      <c r="AJ2634">
        <v>105.491306360257</v>
      </c>
      <c r="AK2634">
        <v>11.235524915391</v>
      </c>
      <c r="AL2634">
        <v>88.532174888568605</v>
      </c>
      <c r="AM2634">
        <v>100.417311970643</v>
      </c>
      <c r="AN2634">
        <v>1.0000000429506799</v>
      </c>
    </row>
    <row r="2635" spans="1:40" x14ac:dyDescent="0.25">
      <c r="A2635" t="str">
        <f>"20190312151036721"</f>
        <v>20190312151036721</v>
      </c>
      <c r="B2635" t="str">
        <f>"1552374636712977"</f>
        <v>1552374636712977</v>
      </c>
      <c r="C2635" t="s">
        <v>40</v>
      </c>
      <c r="D2635">
        <v>5.1723019999999904</v>
      </c>
      <c r="E2635">
        <v>0.43524609999999903</v>
      </c>
      <c r="F2635" t="s">
        <v>42</v>
      </c>
      <c r="G2635">
        <v>-492.976</v>
      </c>
      <c r="H2635" s="1">
        <v>-9.3662690000000002E-7</v>
      </c>
      <c r="I2635">
        <v>249.92660000000001</v>
      </c>
      <c r="J2635">
        <v>-494.31200000000001</v>
      </c>
      <c r="K2635">
        <v>1.1273949999999999</v>
      </c>
      <c r="L2635">
        <v>261.23570000000001</v>
      </c>
      <c r="M2635">
        <v>-0.1494566</v>
      </c>
      <c r="N2635">
        <v>0</v>
      </c>
      <c r="O2635">
        <v>-0.98862249999999996</v>
      </c>
      <c r="P2635">
        <v>2.9369619999999999E-2</v>
      </c>
      <c r="Q2635">
        <v>1.6069940000000001E-2</v>
      </c>
      <c r="R2635">
        <v>-0.99943979999999999</v>
      </c>
      <c r="S2635">
        <v>0.33044430000000002</v>
      </c>
      <c r="T2635">
        <v>-0.29007889999999997</v>
      </c>
      <c r="U2635">
        <v>-3.0011290000000002</v>
      </c>
      <c r="V2635">
        <v>-0.17969959999999999</v>
      </c>
      <c r="W2635">
        <v>2.492343E-2</v>
      </c>
      <c r="X2635">
        <v>0.9834058</v>
      </c>
      <c r="Y2635">
        <v>-0.25630770000000003</v>
      </c>
      <c r="Z2635">
        <v>9.2698660000000002E-2</v>
      </c>
      <c r="AA2635">
        <v>0.96214</v>
      </c>
      <c r="AB2635">
        <v>38</v>
      </c>
      <c r="AC2635">
        <v>1.3359999999999499</v>
      </c>
      <c r="AD2635">
        <v>-1.1273959366269</v>
      </c>
      <c r="AE2635">
        <v>-11.309100000000001</v>
      </c>
      <c r="AF2635">
        <v>-2.98222411643569</v>
      </c>
      <c r="AG2635">
        <v>-1.1273959366269</v>
      </c>
      <c r="AH2635">
        <v>10.8757447993376</v>
      </c>
      <c r="AI2635">
        <v>95.708957493849994</v>
      </c>
      <c r="AJ2635">
        <v>105.334093549862</v>
      </c>
      <c r="AK2635">
        <v>11.333424337723001</v>
      </c>
      <c r="AL2635">
        <v>88.571844832745001</v>
      </c>
      <c r="AM2635">
        <v>100.35551465151801</v>
      </c>
      <c r="AN2635">
        <v>1.00000004553838</v>
      </c>
    </row>
    <row r="2636" spans="1:40" x14ac:dyDescent="0.25">
      <c r="A2636" t="str">
        <f>"20190312151036738"</f>
        <v>20190312151036738</v>
      </c>
      <c r="B2636" t="str">
        <f>"1552374636733472"</f>
        <v>1552374636733472</v>
      </c>
      <c r="C2636" t="s">
        <v>40</v>
      </c>
      <c r="D2636">
        <v>5.2353899999999998</v>
      </c>
      <c r="E2636">
        <v>0.43014819999999998</v>
      </c>
      <c r="F2636" t="s">
        <v>42</v>
      </c>
      <c r="G2636">
        <v>-492.25330000000002</v>
      </c>
      <c r="H2636" s="1">
        <v>-1.3587100000000001E-6</v>
      </c>
      <c r="I2636">
        <v>251.3588</v>
      </c>
      <c r="J2636">
        <v>-494.34780000000001</v>
      </c>
      <c r="K2636">
        <v>1.127373</v>
      </c>
      <c r="L2636">
        <v>260.9624</v>
      </c>
      <c r="M2636">
        <v>-0.13658039999999999</v>
      </c>
      <c r="N2636">
        <v>0</v>
      </c>
      <c r="O2636">
        <v>-0.99048349999999996</v>
      </c>
      <c r="P2636">
        <v>4.1475310000000001E-2</v>
      </c>
      <c r="Q2636">
        <v>1.563376E-2</v>
      </c>
      <c r="R2636">
        <v>-0.99901719999999905</v>
      </c>
      <c r="S2636">
        <v>0.62298580000000003</v>
      </c>
      <c r="T2636">
        <v>-0.34116299999999999</v>
      </c>
      <c r="U2636">
        <v>-2.988861</v>
      </c>
      <c r="V2636">
        <v>-0.1787976</v>
      </c>
      <c r="W2636">
        <v>2.45335E-2</v>
      </c>
      <c r="X2636">
        <v>0.98357989999999995</v>
      </c>
      <c r="Y2636">
        <v>-0.33464840000000001</v>
      </c>
      <c r="Z2636">
        <v>0.1073958</v>
      </c>
      <c r="AA2636">
        <v>0.93620329999999996</v>
      </c>
      <c r="AB2636">
        <v>38</v>
      </c>
      <c r="AC2636">
        <v>2.09449999999998</v>
      </c>
      <c r="AD2636">
        <v>-1.12737435871</v>
      </c>
      <c r="AE2636">
        <v>-9.6036000000000001</v>
      </c>
      <c r="AF2636">
        <v>-3.3427459042781602</v>
      </c>
      <c r="AG2636">
        <v>-1.12737435871</v>
      </c>
      <c r="AH2636">
        <v>9.1076594198653407</v>
      </c>
      <c r="AI2636">
        <v>96.628244277685994</v>
      </c>
      <c r="AJ2636">
        <v>110.154439115416</v>
      </c>
      <c r="AK2636">
        <v>9.7670048240751406</v>
      </c>
      <c r="AL2636">
        <v>88.5941928706374</v>
      </c>
      <c r="AM2636">
        <v>100.30286671737301</v>
      </c>
      <c r="AN2636">
        <v>0.99999994703600803</v>
      </c>
    </row>
    <row r="2637" spans="1:40" x14ac:dyDescent="0.25">
      <c r="A2637" t="str">
        <f>"20190312151036754"</f>
        <v>20190312151036754</v>
      </c>
      <c r="B2637" t="str">
        <f>"1552374636752993"</f>
        <v>1552374636752993</v>
      </c>
      <c r="C2637" t="s">
        <v>40</v>
      </c>
      <c r="D2637">
        <v>5.2058900000000001</v>
      </c>
      <c r="E2637">
        <v>0.42987530000000002</v>
      </c>
      <c r="F2637" t="s">
        <v>42</v>
      </c>
      <c r="G2637">
        <v>-492.13060000000002</v>
      </c>
      <c r="H2637" s="1">
        <v>-1.4000360000000001E-6</v>
      </c>
      <c r="I2637">
        <v>251.53110000000001</v>
      </c>
      <c r="J2637">
        <v>-494.38119999999998</v>
      </c>
      <c r="K2637">
        <v>1.1273439999999999</v>
      </c>
      <c r="L2637">
        <v>260.67500000000001</v>
      </c>
      <c r="M2637">
        <v>-0.12303070000000001</v>
      </c>
      <c r="N2637">
        <v>0</v>
      </c>
      <c r="O2637">
        <v>-0.99225779999999997</v>
      </c>
      <c r="P2637">
        <v>5.3761490000000002E-2</v>
      </c>
      <c r="Q2637">
        <v>1.491694E-2</v>
      </c>
      <c r="R2637">
        <v>-0.99844259999999996</v>
      </c>
      <c r="S2637">
        <v>0.70043949999999999</v>
      </c>
      <c r="T2637">
        <v>-0.3561493</v>
      </c>
      <c r="U2637">
        <v>-2.9794309999999999</v>
      </c>
      <c r="V2637">
        <v>-0.17742269999999999</v>
      </c>
      <c r="W2637">
        <v>2.3884229999999999E-2</v>
      </c>
      <c r="X2637">
        <v>0.98384490000000002</v>
      </c>
      <c r="Y2637">
        <v>-0.3454159</v>
      </c>
      <c r="Z2637">
        <v>0.1121683</v>
      </c>
      <c r="AA2637">
        <v>0.9317221</v>
      </c>
      <c r="AB2637">
        <v>38</v>
      </c>
      <c r="AC2637">
        <v>2.25059999999996</v>
      </c>
      <c r="AD2637">
        <v>-1.1273454000359999</v>
      </c>
      <c r="AE2637">
        <v>-9.1439000000000004</v>
      </c>
      <c r="AF2637">
        <v>-3.31118339897023</v>
      </c>
      <c r="AG2637">
        <v>-1.1273454000359999</v>
      </c>
      <c r="AH2637">
        <v>8.6731755985002508</v>
      </c>
      <c r="AI2637">
        <v>96.923653131602407</v>
      </c>
      <c r="AJ2637">
        <v>110.895501107434</v>
      </c>
      <c r="AK2637">
        <v>9.3519419435226698</v>
      </c>
      <c r="AL2637">
        <v>88.631404322151198</v>
      </c>
      <c r="AM2637">
        <v>100.222622441901</v>
      </c>
      <c r="AN2637">
        <v>1.0000000290869899</v>
      </c>
    </row>
    <row r="2638" spans="1:40" x14ac:dyDescent="0.25">
      <c r="A2638" t="str">
        <f>"20190312151036776"</f>
        <v>20190312151036776</v>
      </c>
      <c r="B2638" t="str">
        <f>"1552374636773489"</f>
        <v>1552374636773489</v>
      </c>
      <c r="C2638" t="s">
        <v>40</v>
      </c>
      <c r="D2638">
        <v>5.0876089999999996</v>
      </c>
      <c r="E2638">
        <v>0.4318997</v>
      </c>
      <c r="F2638" t="s">
        <v>42</v>
      </c>
      <c r="G2638">
        <v>-492.0455</v>
      </c>
      <c r="H2638" s="1">
        <v>-1.2750869999999999E-6</v>
      </c>
      <c r="I2638">
        <v>251.2927</v>
      </c>
      <c r="J2638">
        <v>-494.41449999999998</v>
      </c>
      <c r="K2638">
        <v>1.1273059999999999</v>
      </c>
      <c r="L2638">
        <v>260.34629999999999</v>
      </c>
      <c r="M2638">
        <v>-0.1075309</v>
      </c>
      <c r="N2638">
        <v>0</v>
      </c>
      <c r="O2638">
        <v>-0.99405730000000003</v>
      </c>
      <c r="P2638">
        <v>6.8031389999999997E-2</v>
      </c>
      <c r="Q2638">
        <v>1.517874E-2</v>
      </c>
      <c r="R2638">
        <v>-0.99756800000000001</v>
      </c>
      <c r="S2638">
        <v>0.73941040000000002</v>
      </c>
      <c r="T2638">
        <v>-0.3568906</v>
      </c>
      <c r="U2638">
        <v>-2.970215</v>
      </c>
      <c r="V2638">
        <v>-0.1761452</v>
      </c>
      <c r="W2638">
        <v>2.420887E-2</v>
      </c>
      <c r="X2638">
        <v>0.98406649999999996</v>
      </c>
      <c r="Y2638">
        <v>-0.3429529</v>
      </c>
      <c r="Z2638">
        <v>0.11293590000000001</v>
      </c>
      <c r="AA2638">
        <v>0.93253889999999995</v>
      </c>
      <c r="AB2638">
        <v>38</v>
      </c>
      <c r="AC2638">
        <v>2.36899999999997</v>
      </c>
      <c r="AD2638">
        <v>-1.1273072750869999</v>
      </c>
      <c r="AE2638">
        <v>-9.0535999999999799</v>
      </c>
      <c r="AF2638">
        <v>-3.28132804837723</v>
      </c>
      <c r="AG2638">
        <v>-1.1273072750869999</v>
      </c>
      <c r="AH2638">
        <v>8.6212148871335401</v>
      </c>
      <c r="AI2638">
        <v>96.9674083284701</v>
      </c>
      <c r="AJ2638">
        <v>110.837368465973</v>
      </c>
      <c r="AK2638">
        <v>9.2931846846850199</v>
      </c>
      <c r="AL2638">
        <v>88.612798453934005</v>
      </c>
      <c r="AM2638">
        <v>100.148313885503</v>
      </c>
      <c r="AN2638">
        <v>1.00000003864598</v>
      </c>
    </row>
    <row r="2639" spans="1:40" x14ac:dyDescent="0.25">
      <c r="A2639" t="str">
        <f>"20190312151036789"</f>
        <v>20190312151036789</v>
      </c>
      <c r="B2639" t="str">
        <f>"1552374636783250"</f>
        <v>1552374636783250</v>
      </c>
      <c r="C2639" t="s">
        <v>40</v>
      </c>
      <c r="D2639">
        <v>5.231395</v>
      </c>
      <c r="E2639">
        <v>0.4326236</v>
      </c>
      <c r="F2639" t="s">
        <v>42</v>
      </c>
      <c r="G2639">
        <v>-491.94319999999999</v>
      </c>
      <c r="H2639" s="1">
        <v>-1.030566E-6</v>
      </c>
      <c r="I2639">
        <v>250.78620000000001</v>
      </c>
      <c r="J2639">
        <v>-494.43290000000002</v>
      </c>
      <c r="K2639">
        <v>1.1272819999999999</v>
      </c>
      <c r="L2639">
        <v>260.13229999999999</v>
      </c>
      <c r="M2639">
        <v>-9.7434750000000001E-2</v>
      </c>
      <c r="N2639">
        <v>0</v>
      </c>
      <c r="O2639">
        <v>-0.99509760000000003</v>
      </c>
      <c r="P2639">
        <v>7.7424950000000006E-2</v>
      </c>
      <c r="Q2639">
        <v>1.5481480000000001E-2</v>
      </c>
      <c r="R2639">
        <v>-0.99687829999999999</v>
      </c>
      <c r="S2639">
        <v>0.76525880000000002</v>
      </c>
      <c r="T2639">
        <v>-0.34908070000000002</v>
      </c>
      <c r="U2639">
        <v>-2.960388</v>
      </c>
      <c r="V2639">
        <v>-0.1754366</v>
      </c>
      <c r="W2639">
        <v>2.4547320000000001E-2</v>
      </c>
      <c r="X2639">
        <v>0.98418470000000002</v>
      </c>
      <c r="Y2639">
        <v>-0.3418582</v>
      </c>
      <c r="Z2639">
        <v>0.1109369</v>
      </c>
      <c r="AA2639">
        <v>0.93318060000000003</v>
      </c>
      <c r="AB2639">
        <v>38</v>
      </c>
      <c r="AC2639">
        <v>2.48970000000002</v>
      </c>
      <c r="AD2639">
        <v>-1.127283030566</v>
      </c>
      <c r="AE2639">
        <v>-9.3460999999999803</v>
      </c>
      <c r="AF2639">
        <v>-3.3432017599416701</v>
      </c>
      <c r="AG2639">
        <v>-1.127283030566</v>
      </c>
      <c r="AH2639">
        <v>8.9375904793218997</v>
      </c>
      <c r="AI2639">
        <v>96.737356307199903</v>
      </c>
      <c r="AJ2639">
        <v>110.508850115958</v>
      </c>
      <c r="AK2639">
        <v>9.6087610343240701</v>
      </c>
      <c r="AL2639">
        <v>88.593400945901706</v>
      </c>
      <c r="AM2639">
        <v>100.107143605659</v>
      </c>
      <c r="AN2639">
        <v>1.0000000476264099</v>
      </c>
    </row>
    <row r="2640" spans="1:40" x14ac:dyDescent="0.25">
      <c r="A2640" t="str">
        <f>"20190312151036801"</f>
        <v>20190312151036801</v>
      </c>
      <c r="B2640" t="str">
        <f>"1552374636793009"</f>
        <v>1552374636793009</v>
      </c>
      <c r="C2640" t="s">
        <v>40</v>
      </c>
      <c r="D2640">
        <v>5.1928070000000002</v>
      </c>
      <c r="E2640">
        <v>0.43316080000000001</v>
      </c>
      <c r="F2640" t="s">
        <v>42</v>
      </c>
      <c r="G2640">
        <v>-491.88529999999997</v>
      </c>
      <c r="H2640" s="1">
        <v>-9.2733810000000003E-7</v>
      </c>
      <c r="I2640">
        <v>250.58150000000001</v>
      </c>
      <c r="J2640">
        <v>-494.44979999999998</v>
      </c>
      <c r="K2640">
        <v>1.1272629999999999</v>
      </c>
      <c r="L2640">
        <v>259.91789999999997</v>
      </c>
      <c r="M2640">
        <v>-8.7319880000000002E-2</v>
      </c>
      <c r="N2640">
        <v>0</v>
      </c>
      <c r="O2640">
        <v>-0.99603640000000004</v>
      </c>
      <c r="P2640">
        <v>8.7095859999999997E-2</v>
      </c>
      <c r="Q2640">
        <v>1.5779319999999999E-2</v>
      </c>
      <c r="R2640">
        <v>-0.99607520000000005</v>
      </c>
      <c r="S2640">
        <v>0.78787229999999997</v>
      </c>
      <c r="T2640">
        <v>-0.34861769999999997</v>
      </c>
      <c r="U2640">
        <v>-2.9536440000000002</v>
      </c>
      <c r="V2640">
        <v>-0.17499960000000001</v>
      </c>
      <c r="W2640">
        <v>2.486766E-2</v>
      </c>
      <c r="X2640">
        <v>0.98425439999999997</v>
      </c>
      <c r="Y2640">
        <v>-0.33951199999999998</v>
      </c>
      <c r="Z2640">
        <v>0.11114060000000001</v>
      </c>
      <c r="AA2640">
        <v>0.93401250000000002</v>
      </c>
      <c r="AB2640">
        <v>37</v>
      </c>
      <c r="AC2640">
        <v>2.5644999999999998</v>
      </c>
      <c r="AD2640">
        <v>-1.1272639273381</v>
      </c>
      <c r="AE2640">
        <v>-9.3363999999999692</v>
      </c>
      <c r="AF2640">
        <v>-3.32500110792743</v>
      </c>
      <c r="AG2640">
        <v>-1.1272639273381</v>
      </c>
      <c r="AH2640">
        <v>8.9553727424349194</v>
      </c>
      <c r="AI2640">
        <v>96.730040739897504</v>
      </c>
      <c r="AJ2640">
        <v>110.369237258521</v>
      </c>
      <c r="AK2640">
        <v>9.6189946088737805</v>
      </c>
      <c r="AL2640">
        <v>88.575041132918003</v>
      </c>
      <c r="AM2640">
        <v>100.08178524796401</v>
      </c>
      <c r="AN2640">
        <v>0.999999992216697</v>
      </c>
    </row>
    <row r="2641" spans="1:40" x14ac:dyDescent="0.25">
      <c r="A2641" t="str">
        <f>"20190312151036814"</f>
        <v>20190312151036814</v>
      </c>
      <c r="B2641" t="str">
        <f>"1552374636803745"</f>
        <v>1552374636803745</v>
      </c>
      <c r="C2641" t="s">
        <v>40</v>
      </c>
      <c r="D2641">
        <v>5.2328929999999998</v>
      </c>
      <c r="E2641">
        <v>0.43374370000000001</v>
      </c>
      <c r="F2641" t="s">
        <v>42</v>
      </c>
      <c r="G2641">
        <v>-491.79840000000002</v>
      </c>
      <c r="H2641" s="1">
        <v>-7.8187869999999895E-7</v>
      </c>
      <c r="I2641">
        <v>250.2963</v>
      </c>
      <c r="J2641">
        <v>-494.46370000000002</v>
      </c>
      <c r="K2641">
        <v>1.1272409999999999</v>
      </c>
      <c r="L2641">
        <v>259.7133</v>
      </c>
      <c r="M2641">
        <v>-7.7670130000000004E-2</v>
      </c>
      <c r="N2641">
        <v>0</v>
      </c>
      <c r="O2641">
        <v>-0.99683549999999999</v>
      </c>
      <c r="P2641">
        <v>9.612532E-2</v>
      </c>
      <c r="Q2641">
        <v>1.5921020000000001E-2</v>
      </c>
      <c r="R2641">
        <v>-0.99524190000000001</v>
      </c>
      <c r="S2641">
        <v>0.81192019999999998</v>
      </c>
      <c r="T2641">
        <v>-0.34518660000000001</v>
      </c>
      <c r="U2641">
        <v>-2.9462890000000002</v>
      </c>
      <c r="V2641">
        <v>-0.1743981</v>
      </c>
      <c r="W2641">
        <v>2.5039260000000001E-2</v>
      </c>
      <c r="X2641">
        <v>0.98435680000000003</v>
      </c>
      <c r="Y2641">
        <v>-0.3381152</v>
      </c>
      <c r="Z2641">
        <v>0.11037520000000001</v>
      </c>
      <c r="AA2641">
        <v>0.93460980000000005</v>
      </c>
      <c r="AB2641">
        <v>37</v>
      </c>
      <c r="AC2641">
        <v>2.6652999999999998</v>
      </c>
      <c r="AD2641">
        <v>-1.1272417818786999</v>
      </c>
      <c r="AE2641">
        <v>-9.4169999999999998</v>
      </c>
      <c r="AF2641">
        <v>-3.3444033622331699</v>
      </c>
      <c r="AG2641">
        <v>-1.1272417818786999</v>
      </c>
      <c r="AH2641">
        <v>9.0612925043715205</v>
      </c>
      <c r="AI2641">
        <v>96.656672135526193</v>
      </c>
      <c r="AJ2641">
        <v>110.25843744305099</v>
      </c>
      <c r="AK2641">
        <v>9.7243369817129004</v>
      </c>
      <c r="AL2641">
        <v>88.565206105319305</v>
      </c>
      <c r="AM2641">
        <v>100.046815967955</v>
      </c>
      <c r="AN2641">
        <v>0.99999998576559801</v>
      </c>
    </row>
    <row r="2642" spans="1:40" x14ac:dyDescent="0.25">
      <c r="A2642" t="str">
        <f>"20190312151036834"</f>
        <v>20190312151036834</v>
      </c>
      <c r="B2642" t="str">
        <f>"1552374636823833"</f>
        <v>1552374636823833</v>
      </c>
      <c r="C2642" t="s">
        <v>40</v>
      </c>
      <c r="D2642">
        <v>5.2638730000000002</v>
      </c>
      <c r="E2642">
        <v>0.43520130000000001</v>
      </c>
      <c r="F2642" t="s">
        <v>42</v>
      </c>
      <c r="G2642">
        <v>-491.7303</v>
      </c>
      <c r="H2642" s="1">
        <v>-6.7126059999999899E-7</v>
      </c>
      <c r="I2642">
        <v>250.08070000000001</v>
      </c>
      <c r="J2642">
        <v>-494.48140000000001</v>
      </c>
      <c r="K2642">
        <v>1.127197</v>
      </c>
      <c r="L2642">
        <v>259.39120000000003</v>
      </c>
      <c r="M2642">
        <v>-6.2471319999999997E-2</v>
      </c>
      <c r="N2642">
        <v>0</v>
      </c>
      <c r="O2642">
        <v>-0.99790350000000005</v>
      </c>
      <c r="P2642">
        <v>0.1098649</v>
      </c>
      <c r="Q2642">
        <v>1.6229690000000001E-2</v>
      </c>
      <c r="R2642">
        <v>-0.99381419999999998</v>
      </c>
      <c r="S2642">
        <v>0.83410640000000003</v>
      </c>
      <c r="T2642">
        <v>-0.34396900000000002</v>
      </c>
      <c r="U2642">
        <v>-2.9393310000000001</v>
      </c>
      <c r="V2642">
        <v>-0.17300739999999901</v>
      </c>
      <c r="W2642">
        <v>2.5414900000000001E-2</v>
      </c>
      <c r="X2642">
        <v>0.98459260000000004</v>
      </c>
      <c r="Y2642">
        <v>-0.33088410000000001</v>
      </c>
      <c r="Z2642">
        <v>0.11046010000000001</v>
      </c>
      <c r="AA2642">
        <v>0.93718429999999997</v>
      </c>
      <c r="AB2642">
        <v>37</v>
      </c>
      <c r="AC2642">
        <v>2.7511000000000001</v>
      </c>
      <c r="AD2642">
        <v>-1.1271976712606</v>
      </c>
      <c r="AE2642">
        <v>-9.31050000000001</v>
      </c>
      <c r="AF2642">
        <v>-3.2831888291166802</v>
      </c>
      <c r="AG2642">
        <v>-1.1271976712606</v>
      </c>
      <c r="AH2642">
        <v>8.9991087587890792</v>
      </c>
      <c r="AI2642">
        <v>96.7111309606845</v>
      </c>
      <c r="AJ2642">
        <v>110.043733611291</v>
      </c>
      <c r="AK2642">
        <v>9.6454062605079596</v>
      </c>
      <c r="AL2642">
        <v>88.543676734943205</v>
      </c>
      <c r="AM2642">
        <v>99.965973541771803</v>
      </c>
      <c r="AN2642">
        <v>1.0000000327857601</v>
      </c>
    </row>
    <row r="2643" spans="1:40" x14ac:dyDescent="0.25">
      <c r="A2643" t="str">
        <f>"20190312151036847"</f>
        <v>20190312151036847</v>
      </c>
      <c r="B2643" t="str">
        <f>"1552374636843355"</f>
        <v>1552374636843355</v>
      </c>
      <c r="C2643" t="s">
        <v>40</v>
      </c>
      <c r="D2643">
        <v>5.3183699999999998</v>
      </c>
      <c r="E2643">
        <v>0.43642559999999903</v>
      </c>
      <c r="F2643" t="s">
        <v>42</v>
      </c>
      <c r="G2643">
        <v>-491.6078</v>
      </c>
      <c r="H2643" s="1">
        <v>-4.4860529999999999E-7</v>
      </c>
      <c r="I2643">
        <v>249.63759999999999</v>
      </c>
      <c r="J2643">
        <v>-494.4898</v>
      </c>
      <c r="K2643">
        <v>1.1271719999999901</v>
      </c>
      <c r="L2643">
        <v>259.18450000000001</v>
      </c>
      <c r="M2643">
        <v>-5.271816E-2</v>
      </c>
      <c r="N2643">
        <v>0</v>
      </c>
      <c r="O2643">
        <v>-0.99846630000000003</v>
      </c>
      <c r="P2643">
        <v>0.1190761</v>
      </c>
      <c r="Q2643">
        <v>1.6308070000000001E-2</v>
      </c>
      <c r="R2643">
        <v>-0.99275119999999895</v>
      </c>
      <c r="S2643">
        <v>0.86285400000000001</v>
      </c>
      <c r="T2643">
        <v>-0.33846969999999998</v>
      </c>
      <c r="U2643">
        <v>-2.9287719999999999</v>
      </c>
      <c r="V2643">
        <v>-0.17251910000000001</v>
      </c>
      <c r="W2643">
        <v>2.551786E-2</v>
      </c>
      <c r="X2643">
        <v>0.98467559999999998</v>
      </c>
      <c r="Y2643">
        <v>-0.33109070000000002</v>
      </c>
      <c r="Z2643">
        <v>0.1090362</v>
      </c>
      <c r="AA2643">
        <v>0.93727800000000006</v>
      </c>
      <c r="AB2643">
        <v>37</v>
      </c>
      <c r="AC2643">
        <v>2.8820000000000001</v>
      </c>
      <c r="AD2643">
        <v>-1.1271724486053001</v>
      </c>
      <c r="AE2643">
        <v>-9.5469000000000204</v>
      </c>
      <c r="AF2643">
        <v>-3.33870442380285</v>
      </c>
      <c r="AG2643">
        <v>-1.1271724486053001</v>
      </c>
      <c r="AH2643">
        <v>9.2633211732542602</v>
      </c>
      <c r="AI2643">
        <v>96.530390976350006</v>
      </c>
      <c r="AJ2643">
        <v>109.820276484724</v>
      </c>
      <c r="AK2643">
        <v>9.9109325553792509</v>
      </c>
      <c r="AL2643">
        <v>88.537775627871795</v>
      </c>
      <c r="AM2643">
        <v>99.9375859181566</v>
      </c>
      <c r="AN2643">
        <v>1.0000000191395699</v>
      </c>
    </row>
    <row r="2644" spans="1:40" x14ac:dyDescent="0.25">
      <c r="A2644" t="str">
        <f>"20190312151036858"</f>
        <v>20190312151036858</v>
      </c>
      <c r="B2644" t="str">
        <f>"1552374636853114"</f>
        <v>1552374636853114</v>
      </c>
      <c r="C2644" t="s">
        <v>40</v>
      </c>
      <c r="D2644">
        <v>5.2454650000000003</v>
      </c>
      <c r="E2644">
        <v>0.43705889999999997</v>
      </c>
      <c r="F2644" t="s">
        <v>42</v>
      </c>
      <c r="G2644">
        <v>-491.54739999999998</v>
      </c>
      <c r="H2644" s="1">
        <v>-4.5066150000000004E-6</v>
      </c>
      <c r="I2644">
        <v>249.42310000000001</v>
      </c>
      <c r="J2644">
        <v>-494.49680000000001</v>
      </c>
      <c r="K2644">
        <v>1.127146</v>
      </c>
      <c r="L2644">
        <v>258.9846</v>
      </c>
      <c r="M2644">
        <v>-4.328394E-2</v>
      </c>
      <c r="N2644">
        <v>0</v>
      </c>
      <c r="O2644">
        <v>-0.99892009999999998</v>
      </c>
      <c r="P2644">
        <v>0.1277471</v>
      </c>
      <c r="Q2644">
        <v>1.6447839999999998E-2</v>
      </c>
      <c r="R2644">
        <v>-0.99167059999999996</v>
      </c>
      <c r="S2644">
        <v>0.88073729999999995</v>
      </c>
      <c r="T2644">
        <v>-0.3373893</v>
      </c>
      <c r="U2644">
        <v>-2.9218139999999999</v>
      </c>
      <c r="V2644">
        <v>-0.1718267</v>
      </c>
      <c r="W2644">
        <v>2.5691370000000002E-2</v>
      </c>
      <c r="X2644">
        <v>0.98479209999999995</v>
      </c>
      <c r="Y2644">
        <v>-0.32805790000000001</v>
      </c>
      <c r="Z2644">
        <v>0.1089818</v>
      </c>
      <c r="AA2644">
        <v>0.93835009999999996</v>
      </c>
      <c r="AB2644">
        <v>37</v>
      </c>
      <c r="AC2644">
        <v>2.9494000000000198</v>
      </c>
      <c r="AD2644">
        <v>-1.127150506615</v>
      </c>
      <c r="AE2644">
        <v>-9.5614999999999899</v>
      </c>
      <c r="AF2644">
        <v>-3.31844474045239</v>
      </c>
      <c r="AG2644">
        <v>-1.127150506615</v>
      </c>
      <c r="AH2644">
        <v>9.3067604001550794</v>
      </c>
      <c r="AI2644">
        <v>96.507951502949993</v>
      </c>
      <c r="AJ2644">
        <v>109.624344469265</v>
      </c>
      <c r="AK2644">
        <v>9.9447640950348095</v>
      </c>
      <c r="AL2644">
        <v>88.527830905755494</v>
      </c>
      <c r="AM2644">
        <v>99.897344319794499</v>
      </c>
      <c r="AN2644">
        <v>0.99999997077388803</v>
      </c>
    </row>
    <row r="2645" spans="1:40" x14ac:dyDescent="0.25">
      <c r="A2645" t="str">
        <f>"20190312151036876"</f>
        <v>20190312151036876</v>
      </c>
      <c r="B2645" t="str">
        <f>"1552374636873611"</f>
        <v>1552374636873611</v>
      </c>
      <c r="C2645" t="s">
        <v>40</v>
      </c>
      <c r="D2645">
        <v>5.2459410000000002</v>
      </c>
      <c r="E2645">
        <v>0.43839430000000001</v>
      </c>
      <c r="F2645" t="s">
        <v>42</v>
      </c>
      <c r="G2645">
        <v>-491.48700000000002</v>
      </c>
      <c r="H2645" s="1">
        <v>-4.4377839999999997E-6</v>
      </c>
      <c r="I2645">
        <v>249.25229999999999</v>
      </c>
      <c r="J2645">
        <v>-494.50279999999998</v>
      </c>
      <c r="K2645">
        <v>1.12711299999999</v>
      </c>
      <c r="L2645">
        <v>258.69499999999999</v>
      </c>
      <c r="M2645">
        <v>-2.9611579999999998E-2</v>
      </c>
      <c r="N2645">
        <v>0</v>
      </c>
      <c r="O2645">
        <v>-0.99941899999999995</v>
      </c>
      <c r="P2645">
        <v>0.14010449999999999</v>
      </c>
      <c r="Q2645">
        <v>1.6721349999999999E-2</v>
      </c>
      <c r="R2645">
        <v>-0.98999559999999998</v>
      </c>
      <c r="S2645">
        <v>0.90136719999999904</v>
      </c>
      <c r="T2645">
        <v>-0.33756350000000002</v>
      </c>
      <c r="U2645">
        <v>-2.9146730000000001</v>
      </c>
      <c r="V2645">
        <v>-0.17064270000000001</v>
      </c>
      <c r="W2645">
        <v>2.6022190000000001E-2</v>
      </c>
      <c r="X2645">
        <v>0.98498929999999996</v>
      </c>
      <c r="Y2645">
        <v>-0.32183220000000001</v>
      </c>
      <c r="Z2645">
        <v>0.10938589999999999</v>
      </c>
      <c r="AA2645">
        <v>0.94045670000000003</v>
      </c>
      <c r="AB2645">
        <v>37</v>
      </c>
      <c r="AC2645">
        <v>3.0158000000000098</v>
      </c>
      <c r="AD2645">
        <v>-1.1271174377840001</v>
      </c>
      <c r="AE2645">
        <v>-9.4427000000000003</v>
      </c>
      <c r="AF2645">
        <v>-3.2520842031615098</v>
      </c>
      <c r="AG2645">
        <v>-1.1271174377840001</v>
      </c>
      <c r="AH2645">
        <v>9.2299096683674495</v>
      </c>
      <c r="AI2645">
        <v>96.570127515468698</v>
      </c>
      <c r="AJ2645">
        <v>109.40949807083901</v>
      </c>
      <c r="AK2645">
        <v>9.8507704200855493</v>
      </c>
      <c r="AL2645">
        <v>88.508870024367098</v>
      </c>
      <c r="AM2645">
        <v>99.828550356379495</v>
      </c>
      <c r="AN2645">
        <v>1.00000000327508</v>
      </c>
    </row>
    <row r="2646" spans="1:40" x14ac:dyDescent="0.25">
      <c r="A2646" t="str">
        <f>"20190312151036890"</f>
        <v>20190312151036890</v>
      </c>
      <c r="B2646" t="str">
        <f>"1552374636883370"</f>
        <v>1552374636883370</v>
      </c>
      <c r="C2646" t="s">
        <v>40</v>
      </c>
      <c r="D2646">
        <v>5.2947430000000004</v>
      </c>
      <c r="E2646">
        <v>0.43900270000000002</v>
      </c>
      <c r="F2646" t="s">
        <v>42</v>
      </c>
      <c r="G2646">
        <v>-491.37950000000001</v>
      </c>
      <c r="H2646" s="1">
        <v>-4.3032959999999998E-6</v>
      </c>
      <c r="I2646">
        <v>248.91319999999999</v>
      </c>
      <c r="J2646">
        <v>-494.50409999999999</v>
      </c>
      <c r="K2646">
        <v>1.127086</v>
      </c>
      <c r="L2646">
        <v>258.4778</v>
      </c>
      <c r="M2646">
        <v>-1.936245E-2</v>
      </c>
      <c r="N2646">
        <v>0</v>
      </c>
      <c r="O2646">
        <v>-0.99967019999999995</v>
      </c>
      <c r="P2646">
        <v>0.1495592</v>
      </c>
      <c r="Q2646">
        <v>1.7035660000000001E-2</v>
      </c>
      <c r="R2646">
        <v>-0.98860599999999998</v>
      </c>
      <c r="S2646">
        <v>0.92749020000000004</v>
      </c>
      <c r="T2646">
        <v>-0.334702</v>
      </c>
      <c r="U2646">
        <v>-2.9047550000000002</v>
      </c>
      <c r="V2646">
        <v>-0.1699676</v>
      </c>
      <c r="W2646">
        <v>2.6369199999999999E-2</v>
      </c>
      <c r="X2646">
        <v>0.98509679999999999</v>
      </c>
      <c r="Y2646">
        <v>-0.32075490000000001</v>
      </c>
      <c r="Z2646">
        <v>0.108741</v>
      </c>
      <c r="AA2646">
        <v>0.94089940000000005</v>
      </c>
      <c r="AB2646">
        <v>37</v>
      </c>
      <c r="AC2646">
        <v>3.1245999999999801</v>
      </c>
      <c r="AD2646">
        <v>-1.127090303296</v>
      </c>
      <c r="AE2646">
        <v>-9.5646000000000093</v>
      </c>
      <c r="AF2646">
        <v>-3.2682275659927602</v>
      </c>
      <c r="AG2646">
        <v>-1.127090303296</v>
      </c>
      <c r="AH2646">
        <v>9.38454854316584</v>
      </c>
      <c r="AI2646">
        <v>96.470807845960906</v>
      </c>
      <c r="AJ2646">
        <v>109.200990980943</v>
      </c>
      <c r="AK2646">
        <v>10.001069709482801</v>
      </c>
      <c r="AL2646">
        <v>88.488981004680795</v>
      </c>
      <c r="AM2646">
        <v>99.789372668364805</v>
      </c>
      <c r="AN2646">
        <v>1.00000001256432</v>
      </c>
    </row>
    <row r="2647" spans="1:40" x14ac:dyDescent="0.25">
      <c r="A2647" t="str">
        <f>"20190312151036912"</f>
        <v>20190312151036912</v>
      </c>
      <c r="B2647" t="str">
        <f>"1552374636902890"</f>
        <v>1552374636902890</v>
      </c>
      <c r="C2647" t="s">
        <v>40</v>
      </c>
      <c r="D2647">
        <v>5.3417070000000004</v>
      </c>
      <c r="E2647">
        <v>0.44042870000000001</v>
      </c>
      <c r="F2647" t="s">
        <v>42</v>
      </c>
      <c r="G2647">
        <v>-491.29140000000001</v>
      </c>
      <c r="H2647" s="1">
        <v>-4.2113090000000003E-6</v>
      </c>
      <c r="I2647">
        <v>248.68879999999999</v>
      </c>
      <c r="J2647">
        <v>-494.50229999999999</v>
      </c>
      <c r="K2647">
        <v>1.1270469999999999</v>
      </c>
      <c r="L2647">
        <v>258.12720000000002</v>
      </c>
      <c r="M2647">
        <v>-2.8067779999999998E-3</v>
      </c>
      <c r="N2647">
        <v>0</v>
      </c>
      <c r="O2647">
        <v>-0.99985429999999997</v>
      </c>
      <c r="P2647">
        <v>0.16424569999999999</v>
      </c>
      <c r="Q2647">
        <v>1.7478670000000002E-2</v>
      </c>
      <c r="R2647">
        <v>-0.98626469999999999</v>
      </c>
      <c r="S2647">
        <v>0.95062259999999998</v>
      </c>
      <c r="T2647">
        <v>-0.33349669999999998</v>
      </c>
      <c r="U2647">
        <v>-2.8965000000000001</v>
      </c>
      <c r="V2647">
        <v>-0.1683229</v>
      </c>
      <c r="W2647">
        <v>2.689163E-2</v>
      </c>
      <c r="X2647">
        <v>0.98536500000000005</v>
      </c>
      <c r="Y2647">
        <v>-0.31265009999999999</v>
      </c>
      <c r="Z2647">
        <v>0.1086984</v>
      </c>
      <c r="AA2647">
        <v>0.94362840000000003</v>
      </c>
      <c r="AB2647">
        <v>37</v>
      </c>
      <c r="AC2647">
        <v>3.2108999999999801</v>
      </c>
      <c r="AD2647">
        <v>-1.1270512113090001</v>
      </c>
      <c r="AE2647">
        <v>-9.4384000000000299</v>
      </c>
      <c r="AF2647">
        <v>-3.19653098361254</v>
      </c>
      <c r="AG2647">
        <v>-1.1270512113090001</v>
      </c>
      <c r="AH2647">
        <v>9.3103629615638699</v>
      </c>
      <c r="AI2647">
        <v>96.531544746611004</v>
      </c>
      <c r="AJ2647">
        <v>108.948906229575</v>
      </c>
      <c r="AK2647">
        <v>9.9081235982484799</v>
      </c>
      <c r="AL2647">
        <v>88.459037286704799</v>
      </c>
      <c r="AM2647">
        <v>99.693863061830498</v>
      </c>
      <c r="AN2647">
        <v>0.99999997082673298</v>
      </c>
    </row>
    <row r="2648" spans="1:40" x14ac:dyDescent="0.25">
      <c r="A2648" t="str">
        <f>"20190312151036935"</f>
        <v>20190312151036935</v>
      </c>
      <c r="B2648" t="str">
        <f>"1552374636922944"</f>
        <v>1552374636922944</v>
      </c>
      <c r="C2648" t="s">
        <v>40</v>
      </c>
      <c r="D2648">
        <v>5.3442920000000003</v>
      </c>
      <c r="E2648">
        <v>0.4418665</v>
      </c>
      <c r="F2648" t="s">
        <v>42</v>
      </c>
      <c r="G2648">
        <v>-491.14699999999999</v>
      </c>
      <c r="H2648" s="1">
        <v>-4.0345169999999999E-6</v>
      </c>
      <c r="I2648">
        <v>248.28229999999999</v>
      </c>
      <c r="J2648">
        <v>-494.49380000000002</v>
      </c>
      <c r="K2648">
        <v>1.1269990000000001</v>
      </c>
      <c r="L2648">
        <v>257.74779999999998</v>
      </c>
      <c r="M2648">
        <v>1.5108389999999999E-2</v>
      </c>
      <c r="N2648">
        <v>0</v>
      </c>
      <c r="O2648">
        <v>-0.99974430000000003</v>
      </c>
      <c r="P2648">
        <v>0.1798149</v>
      </c>
      <c r="Q2648">
        <v>1.7784390000000001E-2</v>
      </c>
      <c r="R2648">
        <v>-0.98353990000000002</v>
      </c>
      <c r="S2648">
        <v>0.98287959999999996</v>
      </c>
      <c r="T2648">
        <v>-0.3301538</v>
      </c>
      <c r="U2648">
        <v>-2.8839419999999998</v>
      </c>
      <c r="V2648">
        <v>-0.16625229999999999</v>
      </c>
      <c r="W2648">
        <v>2.7296319999999999E-2</v>
      </c>
      <c r="X2648">
        <v>0.98570539999999995</v>
      </c>
      <c r="Y2648">
        <v>-0.30636729999999901</v>
      </c>
      <c r="Z2648">
        <v>0.10797329999999999</v>
      </c>
      <c r="AA2648">
        <v>0.94577</v>
      </c>
      <c r="AB2648">
        <v>37</v>
      </c>
      <c r="AC2648">
        <v>3.34680000000002</v>
      </c>
      <c r="AD2648">
        <v>-1.1270030345169999</v>
      </c>
      <c r="AE2648">
        <v>-9.4654999999999898</v>
      </c>
      <c r="AF2648">
        <v>-3.1635257255849698</v>
      </c>
      <c r="AG2648">
        <v>-1.1270030345169999</v>
      </c>
      <c r="AH2648">
        <v>9.3965852515727395</v>
      </c>
      <c r="AI2648">
        <v>96.484891542553498</v>
      </c>
      <c r="AJ2648">
        <v>108.606711529547</v>
      </c>
      <c r="AK2648">
        <v>9.9786695128319902</v>
      </c>
      <c r="AL2648">
        <v>88.435841827828099</v>
      </c>
      <c r="AM2648">
        <v>99.573591402117501</v>
      </c>
      <c r="AN2648">
        <v>1.0000000259649899</v>
      </c>
    </row>
    <row r="2649" spans="1:40" x14ac:dyDescent="0.25">
      <c r="A2649" t="str">
        <f>"20190312151036957"</f>
        <v>20190312151036957</v>
      </c>
      <c r="B2649" t="str">
        <f>"1552374636953201"</f>
        <v>1552374636953201</v>
      </c>
      <c r="C2649" t="s">
        <v>40</v>
      </c>
      <c r="D2649">
        <v>5.3010780000000004</v>
      </c>
      <c r="E2649">
        <v>0.46100150000000001</v>
      </c>
      <c r="F2649" t="s">
        <v>42</v>
      </c>
      <c r="G2649">
        <v>-490.99430000000001</v>
      </c>
      <c r="H2649" s="1">
        <v>-3.8206840000000001E-6</v>
      </c>
      <c r="I2649">
        <v>247.8785</v>
      </c>
      <c r="J2649">
        <v>-494.48</v>
      </c>
      <c r="K2649">
        <v>1.126954</v>
      </c>
      <c r="L2649">
        <v>257.40269999999998</v>
      </c>
      <c r="M2649">
        <v>3.1406160000000002E-2</v>
      </c>
      <c r="N2649">
        <v>0</v>
      </c>
      <c r="O2649">
        <v>-0.99936519999999995</v>
      </c>
      <c r="P2649">
        <v>0.19407140000000001</v>
      </c>
      <c r="Q2649">
        <v>1.794521E-2</v>
      </c>
      <c r="R2649">
        <v>-0.98082329999999995</v>
      </c>
      <c r="S2649">
        <v>1.0176700000000001</v>
      </c>
      <c r="T2649">
        <v>-0.32773980000000003</v>
      </c>
      <c r="U2649">
        <v>-2.8700559999999999</v>
      </c>
      <c r="V2649">
        <v>-0.1644912</v>
      </c>
      <c r="W2649">
        <v>2.7541320000000001E-2</v>
      </c>
      <c r="X2649">
        <v>0.98599400000000004</v>
      </c>
      <c r="Y2649">
        <v>-0.3024926</v>
      </c>
      <c r="Z2649">
        <v>0.1074789</v>
      </c>
      <c r="AA2649">
        <v>0.94707260000000004</v>
      </c>
      <c r="AB2649">
        <v>37</v>
      </c>
      <c r="AC2649">
        <v>3.4857</v>
      </c>
      <c r="AD2649">
        <v>-1.1269578206839901</v>
      </c>
      <c r="AE2649">
        <v>-9.5241999999999791</v>
      </c>
      <c r="AF2649">
        <v>-3.1459753433573501</v>
      </c>
      <c r="AG2649">
        <v>-1.1269578206839901</v>
      </c>
      <c r="AH2649">
        <v>9.5115478556512301</v>
      </c>
      <c r="AI2649">
        <v>96.418205031123094</v>
      </c>
      <c r="AJ2649">
        <v>108.3018007836</v>
      </c>
      <c r="AK2649">
        <v>10.0815047190861</v>
      </c>
      <c r="AL2649">
        <v>88.421799078857902</v>
      </c>
      <c r="AM2649">
        <v>99.471304156710005</v>
      </c>
      <c r="AN2649">
        <v>1.0000000236103901</v>
      </c>
    </row>
    <row r="2650" spans="1:40" x14ac:dyDescent="0.25">
      <c r="A2650" t="str">
        <f>"20190312151036977"</f>
        <v>20190312151036977</v>
      </c>
      <c r="B2650" t="str">
        <f>"1552374636973696"</f>
        <v>1552374636973696</v>
      </c>
      <c r="C2650" t="s">
        <v>40</v>
      </c>
      <c r="D2650">
        <v>5.4815990000000001</v>
      </c>
      <c r="E2650">
        <v>0.46169470000000001</v>
      </c>
      <c r="F2650" t="s">
        <v>42</v>
      </c>
      <c r="G2650">
        <v>-491.01100000000002</v>
      </c>
      <c r="H2650" s="1">
        <v>-3.1810839999999999E-6</v>
      </c>
      <c r="I2650">
        <v>246.37729999999999</v>
      </c>
      <c r="J2650">
        <v>-494.46039999999999</v>
      </c>
      <c r="K2650">
        <v>1.1269</v>
      </c>
      <c r="L2650">
        <v>257.05680000000001</v>
      </c>
      <c r="M2650">
        <v>4.7738589999999997E-2</v>
      </c>
      <c r="N2650">
        <v>0</v>
      </c>
      <c r="O2650">
        <v>-0.99871880000000002</v>
      </c>
      <c r="P2650">
        <v>0.20767550000000001</v>
      </c>
      <c r="Q2650">
        <v>1.806425E-2</v>
      </c>
      <c r="R2650">
        <v>-0.97803099999999998</v>
      </c>
      <c r="S2650">
        <v>0.90759279999999998</v>
      </c>
      <c r="T2650">
        <v>-0.29483710000000002</v>
      </c>
      <c r="U2650">
        <v>-2.8844910000000001</v>
      </c>
      <c r="V2650">
        <v>-0.16206980000000001</v>
      </c>
      <c r="W2650">
        <v>2.7774879999999998E-2</v>
      </c>
      <c r="X2650">
        <v>0.9863883</v>
      </c>
      <c r="Y2650">
        <v>-0.25282389999999999</v>
      </c>
      <c r="Z2650">
        <v>9.7528610000000002E-2</v>
      </c>
      <c r="AA2650">
        <v>0.96258410000000005</v>
      </c>
      <c r="AB2650">
        <v>37</v>
      </c>
      <c r="AC2650">
        <v>3.4494000000000198</v>
      </c>
      <c r="AD2650">
        <v>-1.126903181084</v>
      </c>
      <c r="AE2650">
        <v>-10.679500000000001</v>
      </c>
      <c r="AF2650">
        <v>-2.9062671079056801</v>
      </c>
      <c r="AG2650">
        <v>-1.126903181084</v>
      </c>
      <c r="AH2650">
        <v>10.723887951059</v>
      </c>
      <c r="AI2650">
        <v>95.791410190872696</v>
      </c>
      <c r="AJ2650">
        <v>105.163429633611</v>
      </c>
      <c r="AK2650">
        <v>11.1677245698889</v>
      </c>
      <c r="AL2650">
        <v>88.408411872092799</v>
      </c>
      <c r="AM2650">
        <v>99.330687441181894</v>
      </c>
      <c r="AN2650">
        <v>0.99999997120397099</v>
      </c>
    </row>
    <row r="2651" spans="1:40" x14ac:dyDescent="0.25">
      <c r="A2651" t="str">
        <f>"20190312151037013"</f>
        <v>20190312151037013</v>
      </c>
      <c r="B2651" t="str">
        <f>"1552374637002976"</f>
        <v>1552374637002976</v>
      </c>
      <c r="C2651" t="s">
        <v>40</v>
      </c>
      <c r="D2651">
        <v>5.3197349999999997</v>
      </c>
      <c r="E2651">
        <v>0.46338869999999999</v>
      </c>
      <c r="F2651" t="s">
        <v>42</v>
      </c>
      <c r="G2651">
        <v>-490.83339999999998</v>
      </c>
      <c r="H2651" s="1">
        <v>-2.9731010000000002E-6</v>
      </c>
      <c r="I2651">
        <v>246.0026</v>
      </c>
      <c r="J2651">
        <v>-494.41579999999999</v>
      </c>
      <c r="K2651">
        <v>1.1268049999999901</v>
      </c>
      <c r="L2651">
        <v>256.49759999999998</v>
      </c>
      <c r="M2651">
        <v>7.4120119999999998E-2</v>
      </c>
      <c r="N2651">
        <v>0</v>
      </c>
      <c r="O2651">
        <v>-0.99710849999999995</v>
      </c>
      <c r="P2651">
        <v>0.2305469</v>
      </c>
      <c r="Q2651">
        <v>1.9119549999999999E-2</v>
      </c>
      <c r="R2651">
        <v>-0.97287330000000005</v>
      </c>
      <c r="S2651">
        <v>0.94256589999999996</v>
      </c>
      <c r="T2651">
        <v>-0.29284860000000001</v>
      </c>
      <c r="U2651">
        <v>-2.8726500000000001</v>
      </c>
      <c r="V2651">
        <v>-0.1591602</v>
      </c>
      <c r="W2651">
        <v>2.8970300000000001E-2</v>
      </c>
      <c r="X2651">
        <v>0.98682760000000003</v>
      </c>
      <c r="Y2651">
        <v>-0.2390004</v>
      </c>
      <c r="Z2651">
        <v>9.7016350000000001E-2</v>
      </c>
      <c r="AA2651">
        <v>0.96616080000000004</v>
      </c>
      <c r="AB2651">
        <v>37</v>
      </c>
      <c r="AC2651">
        <v>3.5823999999999998</v>
      </c>
      <c r="AD2651">
        <v>-1.1268079731009999</v>
      </c>
      <c r="AE2651">
        <v>-10.4949999999999</v>
      </c>
      <c r="AF2651">
        <v>-2.7659857792567601</v>
      </c>
      <c r="AG2651">
        <v>-1.1268079731009999</v>
      </c>
      <c r="AH2651">
        <v>10.622021350953</v>
      </c>
      <c r="AI2651">
        <v>95.861380488297499</v>
      </c>
      <c r="AJ2651">
        <v>104.595738925276</v>
      </c>
      <c r="AK2651">
        <v>11.033934525788901</v>
      </c>
      <c r="AL2651">
        <v>88.339891774582696</v>
      </c>
      <c r="AM2651">
        <v>99.1620334358919</v>
      </c>
      <c r="AN2651">
        <v>0.99999997983394395</v>
      </c>
    </row>
    <row r="2652" spans="1:40" x14ac:dyDescent="0.25">
      <c r="A2652" t="str">
        <f>"20190312151037035"</f>
        <v>20190312151037035</v>
      </c>
      <c r="B2652" t="str">
        <f>"1552374637023755"</f>
        <v>1552374637023755</v>
      </c>
      <c r="C2652" t="s">
        <v>40</v>
      </c>
      <c r="D2652">
        <v>5.3450329999999999</v>
      </c>
      <c r="E2652">
        <v>0.44701000000000002</v>
      </c>
      <c r="F2652" t="s">
        <v>42</v>
      </c>
      <c r="G2652">
        <v>-490.52069999999998</v>
      </c>
      <c r="H2652" s="1">
        <v>-2.607206E-6</v>
      </c>
      <c r="I2652">
        <v>245.34360000000001</v>
      </c>
      <c r="J2652">
        <v>-494.37920000000003</v>
      </c>
      <c r="K2652">
        <v>1.126738</v>
      </c>
      <c r="L2652">
        <v>256.13490000000002</v>
      </c>
      <c r="M2652">
        <v>9.1203210000000007E-2</v>
      </c>
      <c r="N2652">
        <v>0</v>
      </c>
      <c r="O2652">
        <v>-0.99569149999999995</v>
      </c>
      <c r="P2652">
        <v>0.24620890000000001</v>
      </c>
      <c r="Q2652">
        <v>1.86453E-2</v>
      </c>
      <c r="R2652">
        <v>-0.9690375</v>
      </c>
      <c r="S2652">
        <v>0.99639889999999998</v>
      </c>
      <c r="T2652">
        <v>-0.28824139999999998</v>
      </c>
      <c r="U2652">
        <v>-2.8532099999999998</v>
      </c>
      <c r="V2652">
        <v>-0.15813339999999901</v>
      </c>
      <c r="W2652">
        <v>2.8547530000000002E-2</v>
      </c>
      <c r="X2652">
        <v>0.98700500000000002</v>
      </c>
      <c r="Y2652">
        <v>-0.2406935</v>
      </c>
      <c r="Z2652">
        <v>9.5610600000000004E-2</v>
      </c>
      <c r="AA2652">
        <v>0.96588059999999998</v>
      </c>
      <c r="AB2652">
        <v>37</v>
      </c>
      <c r="AC2652">
        <v>3.8585000000000398</v>
      </c>
      <c r="AD2652">
        <v>-1.126740607206</v>
      </c>
      <c r="AE2652">
        <v>-10.7913</v>
      </c>
      <c r="AF2652">
        <v>-2.8307133036785399</v>
      </c>
      <c r="AG2652">
        <v>-1.126740607206</v>
      </c>
      <c r="AH2652">
        <v>10.992019699906299</v>
      </c>
      <c r="AI2652">
        <v>95.668982392247202</v>
      </c>
      <c r="AJ2652">
        <v>104.441276322729</v>
      </c>
      <c r="AK2652">
        <v>11.4064446383033</v>
      </c>
      <c r="AL2652">
        <v>88.364124771287393</v>
      </c>
      <c r="AM2652">
        <v>99.102309921126604</v>
      </c>
      <c r="AN2652">
        <v>1.0000000018448301</v>
      </c>
    </row>
    <row r="2653" spans="1:40" x14ac:dyDescent="0.25">
      <c r="A2653" t="str">
        <f>"20190312151037048"</f>
        <v>20190312151037048</v>
      </c>
      <c r="B2653" t="str">
        <f>"1552374637043272"</f>
        <v>1552374637043272</v>
      </c>
      <c r="C2653" t="s">
        <v>40</v>
      </c>
      <c r="D2653">
        <v>5.3426790000000004</v>
      </c>
      <c r="E2653">
        <v>0.4394438</v>
      </c>
      <c r="F2653" t="s">
        <v>42</v>
      </c>
      <c r="G2653">
        <v>-490.67180000000002</v>
      </c>
      <c r="H2653" s="1">
        <v>-3.4713690000000001E-6</v>
      </c>
      <c r="I2653">
        <v>247.26429999999999</v>
      </c>
      <c r="J2653">
        <v>-494.35489999999999</v>
      </c>
      <c r="K2653">
        <v>1.126695</v>
      </c>
      <c r="L2653">
        <v>255.92699999999999</v>
      </c>
      <c r="M2653">
        <v>0.1009814</v>
      </c>
      <c r="N2653">
        <v>0</v>
      </c>
      <c r="O2653">
        <v>-0.99474770000000001</v>
      </c>
      <c r="P2653">
        <v>0.25478250000000002</v>
      </c>
      <c r="Q2653">
        <v>1.8136280000000001E-2</v>
      </c>
      <c r="R2653">
        <v>-0.96682849999999998</v>
      </c>
      <c r="S2653">
        <v>1.172272</v>
      </c>
      <c r="T2653">
        <v>-0.35626780000000002</v>
      </c>
      <c r="U2653">
        <v>-2.8048250000000001</v>
      </c>
      <c r="V2653">
        <v>-0.15715319999999999</v>
      </c>
      <c r="W2653">
        <v>2.8085180000000001E-2</v>
      </c>
      <c r="X2653">
        <v>0.98717480000000002</v>
      </c>
      <c r="Y2653">
        <v>-0.28779450000000001</v>
      </c>
      <c r="Z2653">
        <v>0.1175426</v>
      </c>
      <c r="AA2653">
        <v>0.95045159999999995</v>
      </c>
      <c r="AB2653">
        <v>37</v>
      </c>
      <c r="AC2653">
        <v>3.6830999999999601</v>
      </c>
      <c r="AD2653">
        <v>-1.126698471369</v>
      </c>
      <c r="AE2653">
        <v>-8.6627000000000294</v>
      </c>
      <c r="AF2653">
        <v>-2.7499759740272398</v>
      </c>
      <c r="AG2653">
        <v>-1.126698471369</v>
      </c>
      <c r="AH2653">
        <v>8.8634004263251693</v>
      </c>
      <c r="AI2653">
        <v>96.922330858611502</v>
      </c>
      <c r="AJ2653">
        <v>107.237128369236</v>
      </c>
      <c r="AK2653">
        <v>9.3483519628057206</v>
      </c>
      <c r="AL2653">
        <v>88.390626091935204</v>
      </c>
      <c r="AM2653">
        <v>99.045294233841702</v>
      </c>
      <c r="AN2653">
        <v>0.99999999568045606</v>
      </c>
    </row>
    <row r="2654" spans="1:40" x14ac:dyDescent="0.25">
      <c r="A2654" t="str">
        <f>"20190312151037061"</f>
        <v>20190312151037061</v>
      </c>
      <c r="B2654" t="str">
        <f>"1552374637053031"</f>
        <v>1552374637053031</v>
      </c>
      <c r="C2654" t="s">
        <v>40</v>
      </c>
      <c r="D2654">
        <v>5.335394</v>
      </c>
      <c r="E2654">
        <v>0.43772179999999999</v>
      </c>
      <c r="F2654" t="s">
        <v>42</v>
      </c>
      <c r="G2654">
        <v>-490.4237</v>
      </c>
      <c r="H2654" s="1">
        <v>-3.3898530000000001E-6</v>
      </c>
      <c r="I2654">
        <v>247.22810000000001</v>
      </c>
      <c r="J2654">
        <v>-494.32830000000001</v>
      </c>
      <c r="K2654">
        <v>1.1266510000000001</v>
      </c>
      <c r="L2654">
        <v>255.71260000000001</v>
      </c>
      <c r="M2654">
        <v>0.11105429999999999</v>
      </c>
      <c r="N2654">
        <v>0</v>
      </c>
      <c r="O2654">
        <v>-0.99367380000000005</v>
      </c>
      <c r="P2654">
        <v>0.26342209999999899</v>
      </c>
      <c r="Q2654">
        <v>1.7389120000000001E-2</v>
      </c>
      <c r="R2654">
        <v>-0.9645241</v>
      </c>
      <c r="S2654">
        <v>1.255768</v>
      </c>
      <c r="T2654">
        <v>-0.35990759999999899</v>
      </c>
      <c r="U2654">
        <v>-2.7787320000000002</v>
      </c>
      <c r="V2654">
        <v>-0.15594720000000001</v>
      </c>
      <c r="W2654">
        <v>2.739451E-2</v>
      </c>
      <c r="X2654">
        <v>0.98738550000000003</v>
      </c>
      <c r="Y2654">
        <v>-0.30515439999999999</v>
      </c>
      <c r="Z2654">
        <v>0.1185382</v>
      </c>
      <c r="AA2654">
        <v>0.94489650000000003</v>
      </c>
      <c r="AB2654">
        <v>37</v>
      </c>
      <c r="AC2654">
        <v>3.9046000000000101</v>
      </c>
      <c r="AD2654">
        <v>-1.1266543898529999</v>
      </c>
      <c r="AE2654">
        <v>-8.4844999999999899</v>
      </c>
      <c r="AF2654">
        <v>-2.8959292781319901</v>
      </c>
      <c r="AG2654">
        <v>-1.1266543898529999</v>
      </c>
      <c r="AH2654">
        <v>8.7385291144524793</v>
      </c>
      <c r="AI2654">
        <v>96.977398521925707</v>
      </c>
      <c r="AJ2654">
        <v>108.335082564217</v>
      </c>
      <c r="AK2654">
        <v>9.2745699405552404</v>
      </c>
      <c r="AL2654">
        <v>88.4302138994789</v>
      </c>
      <c r="AM2654">
        <v>98.975130527294596</v>
      </c>
      <c r="AN2654">
        <v>1.00000005698811</v>
      </c>
    </row>
    <row r="2655" spans="1:40" x14ac:dyDescent="0.25">
      <c r="A2655" t="str">
        <f>"20190312151037080"</f>
        <v>20190312151037080</v>
      </c>
      <c r="B2655" t="str">
        <f>"1552374637073527"</f>
        <v>1552374637073527</v>
      </c>
      <c r="C2655" t="s">
        <v>40</v>
      </c>
      <c r="D2655">
        <v>5.364058</v>
      </c>
      <c r="E2655">
        <v>0.43626120000000002</v>
      </c>
      <c r="F2655" t="s">
        <v>42</v>
      </c>
      <c r="G2655">
        <v>-490.32549999999998</v>
      </c>
      <c r="H2655" s="1">
        <v>-3.3366400000000002E-6</v>
      </c>
      <c r="I2655">
        <v>247.16499999999999</v>
      </c>
      <c r="J2655">
        <v>-494.28840000000002</v>
      </c>
      <c r="K2655">
        <v>1.126582</v>
      </c>
      <c r="L2655">
        <v>255.4221</v>
      </c>
      <c r="M2655">
        <v>0.12467010000000001</v>
      </c>
      <c r="N2655">
        <v>0</v>
      </c>
      <c r="O2655">
        <v>-0.99205770000000004</v>
      </c>
      <c r="P2655">
        <v>0.2748893</v>
      </c>
      <c r="Q2655">
        <v>1.7106550000000002E-2</v>
      </c>
      <c r="R2655">
        <v>-0.9613235</v>
      </c>
      <c r="S2655">
        <v>1.2941279999999999</v>
      </c>
      <c r="T2655">
        <v>-0.3642552</v>
      </c>
      <c r="U2655">
        <v>-2.7634889999999999</v>
      </c>
      <c r="V2655">
        <v>-0.15414829999999999</v>
      </c>
      <c r="W2655">
        <v>2.719717E-2</v>
      </c>
      <c r="X2655">
        <v>0.98767329999999998</v>
      </c>
      <c r="Y2655">
        <v>-0.3048035</v>
      </c>
      <c r="Z2655">
        <v>0.119926</v>
      </c>
      <c r="AA2655">
        <v>0.94483470000000003</v>
      </c>
      <c r="AB2655">
        <v>37</v>
      </c>
      <c r="AC2655">
        <v>3.9629000000000398</v>
      </c>
      <c r="AD2655">
        <v>-1.1265853366399901</v>
      </c>
      <c r="AE2655">
        <v>-8.2570999999999994</v>
      </c>
      <c r="AF2655">
        <v>-2.85915681776638</v>
      </c>
      <c r="AG2655">
        <v>-1.1265853366399901</v>
      </c>
      <c r="AH2655">
        <v>8.5573114553823402</v>
      </c>
      <c r="AI2655">
        <v>97.117479488968698</v>
      </c>
      <c r="AJ2655">
        <v>108.475431862991</v>
      </c>
      <c r="AK2655">
        <v>9.0923897614285192</v>
      </c>
      <c r="AL2655">
        <v>88.441524720604207</v>
      </c>
      <c r="AM2655">
        <v>98.870711936905707</v>
      </c>
      <c r="AN2655">
        <v>0.99999996599089302</v>
      </c>
    </row>
    <row r="2656" spans="1:40" x14ac:dyDescent="0.25">
      <c r="A2656" t="str">
        <f>"20190312151037100"</f>
        <v>20190312151037100</v>
      </c>
      <c r="B2656" t="str">
        <f>"1552374637093047"</f>
        <v>1552374637093047</v>
      </c>
      <c r="C2656" t="s">
        <v>40</v>
      </c>
      <c r="D2656">
        <v>5.3145470000000001</v>
      </c>
      <c r="E2656">
        <v>0.43592789999999998</v>
      </c>
      <c r="F2656" t="s">
        <v>42</v>
      </c>
      <c r="G2656">
        <v>-490.55149999999998</v>
      </c>
      <c r="H2656" s="1">
        <v>-3.6570899999999998E-6</v>
      </c>
      <c r="I2656">
        <v>247.77189999999999</v>
      </c>
      <c r="J2656">
        <v>-494.23630000000003</v>
      </c>
      <c r="K2656">
        <v>1.1264989999999999</v>
      </c>
      <c r="L2656">
        <v>255.08279999999999</v>
      </c>
      <c r="M2656">
        <v>0.1405312</v>
      </c>
      <c r="N2656">
        <v>0</v>
      </c>
      <c r="O2656">
        <v>-0.98993600000000004</v>
      </c>
      <c r="P2656">
        <v>0.28906120000000002</v>
      </c>
      <c r="Q2656">
        <v>1.6422920000000001E-2</v>
      </c>
      <c r="R2656">
        <v>-0.95716999999999997</v>
      </c>
      <c r="S2656">
        <v>1.3406370000000001</v>
      </c>
      <c r="T2656">
        <v>-0.40416289999999999</v>
      </c>
      <c r="U2656">
        <v>-2.7445369999999998</v>
      </c>
      <c r="V2656">
        <v>-0.1528957</v>
      </c>
      <c r="W2656">
        <v>2.6573690000000001E-2</v>
      </c>
      <c r="X2656">
        <v>0.98788500000000001</v>
      </c>
      <c r="Y2656">
        <v>-0.30436780000000002</v>
      </c>
      <c r="Z2656">
        <v>0.13277269999999999</v>
      </c>
      <c r="AA2656">
        <v>0.94325579999999998</v>
      </c>
      <c r="AB2656">
        <v>37</v>
      </c>
      <c r="AC2656">
        <v>3.6848000000000498</v>
      </c>
      <c r="AD2656">
        <v>-1.1265026570900001</v>
      </c>
      <c r="AE2656">
        <v>-7.3109000000000002</v>
      </c>
      <c r="AF2656">
        <v>-2.5719758489892701</v>
      </c>
      <c r="AG2656">
        <v>-1.1265026570900001</v>
      </c>
      <c r="AH2656">
        <v>7.6121109950986403</v>
      </c>
      <c r="AI2656">
        <v>97.980936430774804</v>
      </c>
      <c r="AJ2656">
        <v>108.669054020681</v>
      </c>
      <c r="AK2656">
        <v>8.1134642296565591</v>
      </c>
      <c r="AL2656">
        <v>88.477260486811105</v>
      </c>
      <c r="AM2656">
        <v>98.797905515815103</v>
      </c>
      <c r="AN2656">
        <v>1.00000001465185</v>
      </c>
    </row>
    <row r="2657" spans="1:40" x14ac:dyDescent="0.25">
      <c r="A2657" t="str">
        <f>"20190312151037126"</f>
        <v>20190312151037126</v>
      </c>
      <c r="B2657" t="str">
        <f>"1552374637123304"</f>
        <v>1552374637123304</v>
      </c>
      <c r="C2657" t="s">
        <v>40</v>
      </c>
      <c r="D2657">
        <v>5.253717</v>
      </c>
      <c r="E2657">
        <v>0.43704399999999899</v>
      </c>
      <c r="F2657" t="s">
        <v>42</v>
      </c>
      <c r="G2657">
        <v>-490.54070000000002</v>
      </c>
      <c r="H2657" s="1">
        <v>-3.6709319999999999E-6</v>
      </c>
      <c r="I2657">
        <v>247.8108</v>
      </c>
      <c r="J2657">
        <v>-494.16809999999998</v>
      </c>
      <c r="K2657">
        <v>1.1263970000000001</v>
      </c>
      <c r="L2657">
        <v>254.68620000000001</v>
      </c>
      <c r="M2657">
        <v>0.15899089999999999</v>
      </c>
      <c r="N2657">
        <v>0</v>
      </c>
      <c r="O2657">
        <v>-0.98713989999999996</v>
      </c>
      <c r="P2657">
        <v>0.3051777</v>
      </c>
      <c r="Q2657">
        <v>1.5770139999999998E-2</v>
      </c>
      <c r="R2657">
        <v>-0.95216469999999997</v>
      </c>
      <c r="S2657">
        <v>1.384064</v>
      </c>
      <c r="T2657">
        <v>-0.42189359999999998</v>
      </c>
      <c r="U2657">
        <v>-2.7234799999999999</v>
      </c>
      <c r="V2657">
        <v>-0.15108920000000001</v>
      </c>
      <c r="W2657">
        <v>2.600502E-2</v>
      </c>
      <c r="X2657">
        <v>0.988178</v>
      </c>
      <c r="Y2657">
        <v>-0.30114350000000001</v>
      </c>
      <c r="Z2657">
        <v>0.13844890000000001</v>
      </c>
      <c r="AA2657">
        <v>0.9434747</v>
      </c>
      <c r="AB2657">
        <v>37</v>
      </c>
      <c r="AC2657">
        <v>3.6273999999999602</v>
      </c>
      <c r="AD2657">
        <v>-1.12640067093199</v>
      </c>
      <c r="AE2657">
        <v>-6.8754000000000097</v>
      </c>
      <c r="AF2657">
        <v>-2.4368059904578598</v>
      </c>
      <c r="AG2657">
        <v>-1.12640067093199</v>
      </c>
      <c r="AH2657">
        <v>7.2132734477794402</v>
      </c>
      <c r="AI2657">
        <v>98.415453847588793</v>
      </c>
      <c r="AJ2657">
        <v>108.666124940532</v>
      </c>
      <c r="AK2657">
        <v>7.6966301547526204</v>
      </c>
      <c r="AL2657">
        <v>88.509854096533502</v>
      </c>
      <c r="AM2657">
        <v>98.693015329540103</v>
      </c>
      <c r="AN2657">
        <v>0.99999998355291997</v>
      </c>
    </row>
    <row r="2658" spans="1:40" x14ac:dyDescent="0.25">
      <c r="A2658" t="str">
        <f>"20190312151037150"</f>
        <v>20190312151037150</v>
      </c>
      <c r="B2658" t="str">
        <f>"1552374637142825"</f>
        <v>1552374637142825</v>
      </c>
      <c r="C2658" t="s">
        <v>40</v>
      </c>
      <c r="D2658">
        <v>5.3105039999999999</v>
      </c>
      <c r="E2658">
        <v>0.43801519999999999</v>
      </c>
      <c r="F2658" t="s">
        <v>42</v>
      </c>
      <c r="G2658">
        <v>-490.36689999999999</v>
      </c>
      <c r="H2658" s="1">
        <v>-3.473674E-6</v>
      </c>
      <c r="I2658">
        <v>247.4588</v>
      </c>
      <c r="J2658">
        <v>-494.09679999999997</v>
      </c>
      <c r="K2658">
        <v>1.126288</v>
      </c>
      <c r="L2658">
        <v>254.3116</v>
      </c>
      <c r="M2658">
        <v>0.17633570000000001</v>
      </c>
      <c r="N2658">
        <v>0</v>
      </c>
      <c r="O2658">
        <v>-0.98419029999999996</v>
      </c>
      <c r="P2658">
        <v>0.31950400000000001</v>
      </c>
      <c r="Q2658">
        <v>1.538029E-2</v>
      </c>
      <c r="R2658">
        <v>-0.94746039999999998</v>
      </c>
      <c r="S2658">
        <v>1.4212039999999999</v>
      </c>
      <c r="T2658">
        <v>-0.42113980000000001</v>
      </c>
      <c r="U2658">
        <v>-2.7022089999999999</v>
      </c>
      <c r="V2658">
        <v>-0.1485812</v>
      </c>
      <c r="W2658">
        <v>2.573046E-2</v>
      </c>
      <c r="X2658">
        <v>0.98856540000000004</v>
      </c>
      <c r="Y2658">
        <v>-0.29760189999999997</v>
      </c>
      <c r="Z2658">
        <v>0.13820959999999999</v>
      </c>
      <c r="AA2658">
        <v>0.94463280000000005</v>
      </c>
      <c r="AB2658">
        <v>37</v>
      </c>
      <c r="AC2658">
        <v>3.7298999999999798</v>
      </c>
      <c r="AD2658">
        <v>-1.126291473674</v>
      </c>
      <c r="AE2658">
        <v>-6.8528000000000002</v>
      </c>
      <c r="AF2658">
        <v>-2.41260082651036</v>
      </c>
      <c r="AG2658">
        <v>-1.126291473674</v>
      </c>
      <c r="AH2658">
        <v>7.2520667013600004</v>
      </c>
      <c r="AI2658">
        <v>98.383080758179403</v>
      </c>
      <c r="AJ2658">
        <v>108.401133342531</v>
      </c>
      <c r="AK2658">
        <v>7.7253897424481899</v>
      </c>
      <c r="AL2658">
        <v>88.525590501115701</v>
      </c>
      <c r="AM2658">
        <v>98.547565186799602</v>
      </c>
      <c r="AN2658">
        <v>0.99999998982120497</v>
      </c>
    </row>
    <row r="2659" spans="1:40" x14ac:dyDescent="0.25">
      <c r="A2659" t="str">
        <f>"20190312151037170"</f>
        <v>20190312151037170</v>
      </c>
      <c r="B2659" t="str">
        <f>"1552374637163319"</f>
        <v>1552374637163319</v>
      </c>
      <c r="C2659" t="s">
        <v>40</v>
      </c>
      <c r="D2659">
        <v>5.6259540000000001</v>
      </c>
      <c r="E2659">
        <v>0.43911250000000002</v>
      </c>
      <c r="F2659" t="s">
        <v>42</v>
      </c>
      <c r="G2659">
        <v>-490.13170000000002</v>
      </c>
      <c r="H2659" s="1">
        <v>-3.2141229999999999E-6</v>
      </c>
      <c r="I2659">
        <v>246.99959999999999</v>
      </c>
      <c r="J2659">
        <v>-494.03030000000001</v>
      </c>
      <c r="K2659">
        <v>1.12619</v>
      </c>
      <c r="L2659">
        <v>253.99090000000001</v>
      </c>
      <c r="M2659">
        <v>0.1910994</v>
      </c>
      <c r="N2659">
        <v>0</v>
      </c>
      <c r="O2659">
        <v>-0.9814311</v>
      </c>
      <c r="P2659">
        <v>0.33151540000000002</v>
      </c>
      <c r="Q2659">
        <v>1.551086E-2</v>
      </c>
      <c r="R2659">
        <v>-0.94332249999999995</v>
      </c>
      <c r="S2659">
        <v>1.45462</v>
      </c>
      <c r="T2659">
        <v>-0.41318729999999998</v>
      </c>
      <c r="U2659">
        <v>-2.6824650000000001</v>
      </c>
      <c r="V2659">
        <v>-0.14628940000000001</v>
      </c>
      <c r="W2659">
        <v>2.5965459999999999E-2</v>
      </c>
      <c r="X2659">
        <v>0.98890100000000003</v>
      </c>
      <c r="Y2659">
        <v>-0.2954447</v>
      </c>
      <c r="Z2659">
        <v>0.1356252</v>
      </c>
      <c r="AA2659">
        <v>0.94568399999999997</v>
      </c>
      <c r="AB2659">
        <v>37</v>
      </c>
      <c r="AC2659">
        <v>3.8985999999999801</v>
      </c>
      <c r="AD2659">
        <v>-1.126193214123</v>
      </c>
      <c r="AE2659">
        <v>-6.9913000000000203</v>
      </c>
      <c r="AF2659">
        <v>-2.44217623230971</v>
      </c>
      <c r="AG2659">
        <v>-1.126193214123</v>
      </c>
      <c r="AH2659">
        <v>7.4598849682423101</v>
      </c>
      <c r="AI2659">
        <v>98.164728668090206</v>
      </c>
      <c r="AJ2659">
        <v>108.127127938868</v>
      </c>
      <c r="AK2659">
        <v>7.9298436078275003</v>
      </c>
      <c r="AL2659">
        <v>88.512121493930294</v>
      </c>
      <c r="AM2659">
        <v>98.414810394928097</v>
      </c>
      <c r="AN2659">
        <v>0.99999999073318502</v>
      </c>
    </row>
    <row r="2660" spans="1:40" x14ac:dyDescent="0.25">
      <c r="A2660" t="str">
        <f>"20190312151037192"</f>
        <v>20190312151037192</v>
      </c>
      <c r="B2660" t="str">
        <f>"1552374637182839"</f>
        <v>1552374637182839</v>
      </c>
      <c r="C2660" t="s">
        <v>40</v>
      </c>
      <c r="D2660">
        <v>5.3241699999999996</v>
      </c>
      <c r="E2660">
        <v>0.44013059999999998</v>
      </c>
      <c r="F2660" t="s">
        <v>42</v>
      </c>
      <c r="G2660">
        <v>-489.9289</v>
      </c>
      <c r="H2660" s="1">
        <v>-3.0032939999999999E-6</v>
      </c>
      <c r="I2660">
        <v>246.60409999999999</v>
      </c>
      <c r="J2660">
        <v>-493.9538</v>
      </c>
      <c r="K2660">
        <v>1.1260709999999901</v>
      </c>
      <c r="L2660">
        <v>253.6491</v>
      </c>
      <c r="M2660">
        <v>0.2067116</v>
      </c>
      <c r="N2660">
        <v>0</v>
      </c>
      <c r="O2660">
        <v>-0.97826270000000004</v>
      </c>
      <c r="P2660">
        <v>0.34360839999999998</v>
      </c>
      <c r="Q2660">
        <v>1.800794E-2</v>
      </c>
      <c r="R2660">
        <v>-0.93894080000000002</v>
      </c>
      <c r="S2660">
        <v>1.480621</v>
      </c>
      <c r="T2660">
        <v>-0.40655829999999998</v>
      </c>
      <c r="U2660">
        <v>-2.6666409999999998</v>
      </c>
      <c r="V2660">
        <v>-0.143340299999999</v>
      </c>
      <c r="W2660">
        <v>2.8597580000000001E-2</v>
      </c>
      <c r="X2660">
        <v>0.98926020000000003</v>
      </c>
      <c r="Y2660">
        <v>-0.28980400000000001</v>
      </c>
      <c r="Z2660">
        <v>0.13336020000000001</v>
      </c>
      <c r="AA2660">
        <v>0.94774930000000002</v>
      </c>
      <c r="AB2660">
        <v>36</v>
      </c>
      <c r="AC2660">
        <v>4.0248999999999997</v>
      </c>
      <c r="AD2660">
        <v>-1.12607400329399</v>
      </c>
      <c r="AE2660">
        <v>-7.0450000000000097</v>
      </c>
      <c r="AF2660">
        <v>-2.4345700175461298</v>
      </c>
      <c r="AG2660">
        <v>-1.12607400329399</v>
      </c>
      <c r="AH2660">
        <v>7.5789224465057403</v>
      </c>
      <c r="AI2660">
        <v>98.051656547505104</v>
      </c>
      <c r="AJ2660">
        <v>107.808526788903</v>
      </c>
      <c r="AK2660">
        <v>8.0396044231900898</v>
      </c>
      <c r="AL2660">
        <v>88.361255948542507</v>
      </c>
      <c r="AM2660">
        <v>98.244576842207806</v>
      </c>
      <c r="AN2660">
        <v>1.0000000032449901</v>
      </c>
    </row>
    <row r="2661" spans="1:40" x14ac:dyDescent="0.25">
      <c r="A2661" t="str">
        <f>"20190312151037215"</f>
        <v>20190312151037215</v>
      </c>
      <c r="B2661" t="str">
        <f>"1552374637203335"</f>
        <v>1552374637203335</v>
      </c>
      <c r="C2661" t="s">
        <v>40</v>
      </c>
      <c r="D2661">
        <v>5.3339629999999998</v>
      </c>
      <c r="E2661">
        <v>0.4409516</v>
      </c>
      <c r="F2661" t="s">
        <v>42</v>
      </c>
      <c r="G2661">
        <v>-489.76519999999999</v>
      </c>
      <c r="H2661" s="1">
        <v>-2.8944869999999998E-6</v>
      </c>
      <c r="I2661">
        <v>246.28280000000001</v>
      </c>
      <c r="J2661">
        <v>-493.87090000000001</v>
      </c>
      <c r="K2661">
        <v>1.1259300000000001</v>
      </c>
      <c r="L2661">
        <v>253.30430000000001</v>
      </c>
      <c r="M2661">
        <v>0.2223194</v>
      </c>
      <c r="N2661">
        <v>0</v>
      </c>
      <c r="O2661">
        <v>-0.97483489999999995</v>
      </c>
      <c r="P2661">
        <v>0.35732219999999998</v>
      </c>
      <c r="Q2661">
        <v>1.8747139999999999E-2</v>
      </c>
      <c r="R2661">
        <v>-0.9337934</v>
      </c>
      <c r="S2661">
        <v>1.5075069999999999</v>
      </c>
      <c r="T2661">
        <v>-0.40528009999999998</v>
      </c>
      <c r="U2661">
        <v>-2.6511840000000002</v>
      </c>
      <c r="V2661">
        <v>-0.1420391</v>
      </c>
      <c r="W2661">
        <v>2.9399749999999999E-2</v>
      </c>
      <c r="X2661">
        <v>0.98942430000000003</v>
      </c>
      <c r="Y2661">
        <v>-0.28418909999999997</v>
      </c>
      <c r="Z2661">
        <v>0.13273099999999999</v>
      </c>
      <c r="AA2661">
        <v>0.94953620000000005</v>
      </c>
      <c r="AB2661">
        <v>36</v>
      </c>
      <c r="AC2661">
        <v>4.1057000000000103</v>
      </c>
      <c r="AD2661">
        <v>-1.125932894487</v>
      </c>
      <c r="AE2661">
        <v>-7.0214999999999996</v>
      </c>
      <c r="AF2661">
        <v>-2.3957867619983699</v>
      </c>
      <c r="AG2661">
        <v>-1.125932894487</v>
      </c>
      <c r="AH2661">
        <v>7.6127556700488004</v>
      </c>
      <c r="AI2661">
        <v>98.030260807288897</v>
      </c>
      <c r="AJ2661">
        <v>107.46914872431201</v>
      </c>
      <c r="AK2661">
        <v>8.0598739434134306</v>
      </c>
      <c r="AL2661">
        <v>88.315275562460002</v>
      </c>
      <c r="AM2661">
        <v>98.169413297550307</v>
      </c>
      <c r="AN2661">
        <v>0.99999994832967998</v>
      </c>
    </row>
    <row r="2662" spans="1:40" x14ac:dyDescent="0.25">
      <c r="A2662" t="str">
        <f>"20190312151037236"</f>
        <v>20190312151037236</v>
      </c>
      <c r="B2662" t="str">
        <f>"1552374637233591"</f>
        <v>1552374637233591</v>
      </c>
      <c r="C2662" t="s">
        <v>40</v>
      </c>
      <c r="D2662">
        <v>5.3314059999999897</v>
      </c>
      <c r="E2662">
        <v>0.44233139999999999</v>
      </c>
      <c r="F2662" t="s">
        <v>42</v>
      </c>
      <c r="G2662">
        <v>-489.59500000000003</v>
      </c>
      <c r="H2662" s="1">
        <v>-2.8030199999999998E-6</v>
      </c>
      <c r="I2662">
        <v>245.9992</v>
      </c>
      <c r="J2662">
        <v>-493.7833</v>
      </c>
      <c r="K2662">
        <v>1.125759</v>
      </c>
      <c r="L2662">
        <v>252.96369999999999</v>
      </c>
      <c r="M2662">
        <v>0.2375669</v>
      </c>
      <c r="N2662">
        <v>0</v>
      </c>
      <c r="O2662">
        <v>-0.97123219999999999</v>
      </c>
      <c r="P2662">
        <v>0.36961250000000001</v>
      </c>
      <c r="Q2662">
        <v>1.6896230000000002E-2</v>
      </c>
      <c r="R2662">
        <v>-0.92903239999999998</v>
      </c>
      <c r="S2662">
        <v>1.5402830000000001</v>
      </c>
      <c r="T2662">
        <v>-0.40558430000000001</v>
      </c>
      <c r="U2662">
        <v>-2.6314540000000002</v>
      </c>
      <c r="V2662">
        <v>-0.13949600000000001</v>
      </c>
      <c r="W2662">
        <v>2.7662860000000001E-2</v>
      </c>
      <c r="X2662">
        <v>0.98983620000000005</v>
      </c>
      <c r="Y2662">
        <v>-0.28108759999999999</v>
      </c>
      <c r="Z2662">
        <v>0.13262939999999901</v>
      </c>
      <c r="AA2662">
        <v>0.95047309999999996</v>
      </c>
      <c r="AB2662">
        <v>36</v>
      </c>
      <c r="AC2662">
        <v>4.1882999999999697</v>
      </c>
      <c r="AD2662">
        <v>-1.1257618030200001</v>
      </c>
      <c r="AE2662">
        <v>-6.9644999999999797</v>
      </c>
      <c r="AF2662">
        <v>-2.3681610346292299</v>
      </c>
      <c r="AG2662">
        <v>-1.1257618030200001</v>
      </c>
      <c r="AH2662">
        <v>7.6140911605789103</v>
      </c>
      <c r="AI2662">
        <v>98.035987310854694</v>
      </c>
      <c r="AJ2662">
        <v>107.276919798663</v>
      </c>
      <c r="AK2662">
        <v>8.0529442146758292</v>
      </c>
      <c r="AL2662">
        <v>88.414832714302705</v>
      </c>
      <c r="AM2662">
        <v>98.021772770992996</v>
      </c>
      <c r="AN2662">
        <v>1.0000000353348999</v>
      </c>
    </row>
    <row r="2663" spans="1:40" x14ac:dyDescent="0.25">
      <c r="A2663" t="str">
        <f>"20190312151037260"</f>
        <v>20190312151037260</v>
      </c>
      <c r="B2663" t="str">
        <f>"1552374637253111"</f>
        <v>1552374637253111</v>
      </c>
      <c r="C2663" t="s">
        <v>40</v>
      </c>
      <c r="D2663">
        <v>5.3929280000000004</v>
      </c>
      <c r="E2663">
        <v>0.44317879999999898</v>
      </c>
      <c r="F2663" t="s">
        <v>42</v>
      </c>
      <c r="G2663">
        <v>-489.46730000000002</v>
      </c>
      <c r="H2663" s="1">
        <v>-2.7180699999999999E-6</v>
      </c>
      <c r="I2663">
        <v>245.7484</v>
      </c>
      <c r="J2663">
        <v>-493.68239999999997</v>
      </c>
      <c r="K2663">
        <v>1.125551</v>
      </c>
      <c r="L2663">
        <v>252.5977</v>
      </c>
      <c r="M2663">
        <v>0.25370369999999998</v>
      </c>
      <c r="N2663">
        <v>0</v>
      </c>
      <c r="O2663">
        <v>-0.96714370000000005</v>
      </c>
      <c r="P2663">
        <v>0.38194929999999999</v>
      </c>
      <c r="Q2663">
        <v>1.5856220000000001E-2</v>
      </c>
      <c r="R2663">
        <v>-0.92404739999999996</v>
      </c>
      <c r="S2663">
        <v>1.5638729999999901</v>
      </c>
      <c r="T2663">
        <v>-0.40791080000000002</v>
      </c>
      <c r="U2663">
        <v>-2.6144099999999999</v>
      </c>
      <c r="V2663">
        <v>-0.13613420000000001</v>
      </c>
      <c r="W2663">
        <v>2.6772460000000001E-2</v>
      </c>
      <c r="X2663">
        <v>0.9903286</v>
      </c>
      <c r="Y2663">
        <v>-0.27410899999999999</v>
      </c>
      <c r="Z2663">
        <v>0.1331368</v>
      </c>
      <c r="AA2663">
        <v>0.95243840000000002</v>
      </c>
      <c r="AB2663">
        <v>36</v>
      </c>
      <c r="AC2663">
        <v>4.2150999999999499</v>
      </c>
      <c r="AD2663">
        <v>-1.1255537180699999</v>
      </c>
      <c r="AE2663">
        <v>-6.8493000000000004</v>
      </c>
      <c r="AF2663">
        <v>-2.2942898425972902</v>
      </c>
      <c r="AG2663">
        <v>-1.1255537180699999</v>
      </c>
      <c r="AH2663">
        <v>7.5468546020641396</v>
      </c>
      <c r="AI2663">
        <v>98.120937418514401</v>
      </c>
      <c r="AJ2663">
        <v>106.909591800865</v>
      </c>
      <c r="AK2663">
        <v>7.9677883655882198</v>
      </c>
      <c r="AL2663">
        <v>88.465867745077503</v>
      </c>
      <c r="AM2663">
        <v>97.827033349257107</v>
      </c>
      <c r="AN2663">
        <v>1.0000000105010201</v>
      </c>
    </row>
    <row r="2664" spans="1:40" x14ac:dyDescent="0.25">
      <c r="A2664" t="str">
        <f>"20190312151037281"</f>
        <v>20190312151037281</v>
      </c>
      <c r="B2664" t="str">
        <f>"1552374637273607"</f>
        <v>1552374637273607</v>
      </c>
      <c r="C2664" t="s">
        <v>40</v>
      </c>
      <c r="D2664">
        <v>5.5920870000000003</v>
      </c>
      <c r="E2664">
        <v>0.44415090000000002</v>
      </c>
      <c r="F2664" t="s">
        <v>42</v>
      </c>
      <c r="G2664">
        <v>-489.3313</v>
      </c>
      <c r="H2664" s="1">
        <v>-2.6392129999999998E-6</v>
      </c>
      <c r="I2664">
        <v>245.50829999999999</v>
      </c>
      <c r="J2664">
        <v>-493.59019999999998</v>
      </c>
      <c r="K2664">
        <v>1.125346</v>
      </c>
      <c r="L2664">
        <v>252.28210000000001</v>
      </c>
      <c r="M2664">
        <v>0.26739560000000001</v>
      </c>
      <c r="N2664">
        <v>0</v>
      </c>
      <c r="O2664">
        <v>-0.96344890000000005</v>
      </c>
      <c r="P2664">
        <v>0.39174969999999998</v>
      </c>
      <c r="Q2664">
        <v>1.6003150000000001E-2</v>
      </c>
      <c r="R2664">
        <v>-0.91993309999999995</v>
      </c>
      <c r="S2664">
        <v>1.592865</v>
      </c>
      <c r="T2664">
        <v>-0.41204760000000001</v>
      </c>
      <c r="U2664">
        <v>-2.5953059999999999</v>
      </c>
      <c r="V2664">
        <v>-0.13260569999999999</v>
      </c>
      <c r="W2664">
        <v>2.7073710000000001E-2</v>
      </c>
      <c r="X2664">
        <v>0.99079910000000004</v>
      </c>
      <c r="Y2664">
        <v>-0.27124019999999999</v>
      </c>
      <c r="Z2664">
        <v>0.13423289999999999</v>
      </c>
      <c r="AA2664">
        <v>0.9531056</v>
      </c>
      <c r="AB2664">
        <v>36</v>
      </c>
      <c r="AC2664">
        <v>4.2588999999999801</v>
      </c>
      <c r="AD2664">
        <v>-1.1253486392130001</v>
      </c>
      <c r="AE2664">
        <v>-6.77380000000002</v>
      </c>
      <c r="AF2664">
        <v>-2.2477900929420098</v>
      </c>
      <c r="AG2664">
        <v>-1.1253486392130001</v>
      </c>
      <c r="AH2664">
        <v>7.5173421709745396</v>
      </c>
      <c r="AI2664">
        <v>98.162028794135907</v>
      </c>
      <c r="AJ2664">
        <v>106.647397941842</v>
      </c>
      <c r="AK2664">
        <v>7.9265000584885499</v>
      </c>
      <c r="AL2664">
        <v>88.448601204768096</v>
      </c>
      <c r="AM2664">
        <v>97.623002266105203</v>
      </c>
      <c r="AN2664">
        <v>1.0000000570032299</v>
      </c>
    </row>
    <row r="2665" spans="1:40" x14ac:dyDescent="0.25">
      <c r="A2665" t="str">
        <f>"20190312151037303"</f>
        <v>20190312151037303</v>
      </c>
      <c r="B2665" t="str">
        <f>"1552374637293127"</f>
        <v>1552374637293127</v>
      </c>
      <c r="C2665" t="s">
        <v>40</v>
      </c>
      <c r="D2665">
        <v>5.4005879999999999</v>
      </c>
      <c r="E2665">
        <v>0.4446717</v>
      </c>
      <c r="F2665" t="s">
        <v>42</v>
      </c>
      <c r="G2665">
        <v>-489.17309999999998</v>
      </c>
      <c r="H2665" s="1">
        <v>-2.542377E-6</v>
      </c>
      <c r="I2665">
        <v>245.21719999999999</v>
      </c>
      <c r="J2665">
        <v>-493.48520000000002</v>
      </c>
      <c r="K2665">
        <v>1.1251199999999999</v>
      </c>
      <c r="L2665">
        <v>251.9417</v>
      </c>
      <c r="M2665">
        <v>0.28192399999999901</v>
      </c>
      <c r="N2665">
        <v>0</v>
      </c>
      <c r="O2665">
        <v>-0.95929929999999997</v>
      </c>
      <c r="P2665">
        <v>0.40264739999999999</v>
      </c>
      <c r="Q2665">
        <v>1.6164979999999999E-2</v>
      </c>
      <c r="R2665">
        <v>-0.91521260000000004</v>
      </c>
      <c r="S2665">
        <v>1.6137079999999999</v>
      </c>
      <c r="T2665">
        <v>-0.41112359999999998</v>
      </c>
      <c r="U2665">
        <v>-2.5810240000000002</v>
      </c>
      <c r="V2665">
        <v>-0.1293899</v>
      </c>
      <c r="W2665">
        <v>2.7373060000000001E-2</v>
      </c>
      <c r="X2665">
        <v>0.99121590000000004</v>
      </c>
      <c r="Y2665">
        <v>-0.26463940000000002</v>
      </c>
      <c r="Z2665">
        <v>0.133574</v>
      </c>
      <c r="AA2665">
        <v>0.95505180000000001</v>
      </c>
      <c r="AB2665">
        <v>36</v>
      </c>
      <c r="AC2665">
        <v>4.31210000000004</v>
      </c>
      <c r="AD2665">
        <v>-1.1251225423769999</v>
      </c>
      <c r="AE2665">
        <v>-6.7244999999999999</v>
      </c>
      <c r="AF2665">
        <v>-2.1974989251961201</v>
      </c>
      <c r="AG2665">
        <v>-1.1251225423769999</v>
      </c>
      <c r="AH2665">
        <v>7.5183573103540802</v>
      </c>
      <c r="AI2665">
        <v>98.174064461223793</v>
      </c>
      <c r="AJ2665">
        <v>106.29282054695599</v>
      </c>
      <c r="AK2665">
        <v>7.9133178192056501</v>
      </c>
      <c r="AL2665">
        <v>88.431443258499201</v>
      </c>
      <c r="AM2665">
        <v>97.437140975217105</v>
      </c>
      <c r="AN2665">
        <v>0.99999999552429097</v>
      </c>
    </row>
    <row r="2666" spans="1:40" x14ac:dyDescent="0.25">
      <c r="A2666" t="str">
        <f>"20190312151037327"</f>
        <v>20190312151037327</v>
      </c>
      <c r="B2666" t="str">
        <f>"1552374637323383"</f>
        <v>1552374637323383</v>
      </c>
      <c r="C2666" t="s">
        <v>40</v>
      </c>
      <c r="D2666">
        <v>5.6740870000000001</v>
      </c>
      <c r="E2666">
        <v>0.4602176</v>
      </c>
      <c r="F2666" t="s">
        <v>42</v>
      </c>
      <c r="G2666">
        <v>-488.9846</v>
      </c>
      <c r="H2666" s="1">
        <v>-2.4433329999999998E-6</v>
      </c>
      <c r="I2666">
        <v>244.9084</v>
      </c>
      <c r="J2666">
        <v>-493.37009999999998</v>
      </c>
      <c r="K2666">
        <v>1.124862</v>
      </c>
      <c r="L2666">
        <v>251.58770000000001</v>
      </c>
      <c r="M2666">
        <v>0.29673470000000002</v>
      </c>
      <c r="N2666">
        <v>0</v>
      </c>
      <c r="O2666">
        <v>-0.95482299999999998</v>
      </c>
      <c r="P2666">
        <v>0.41420489999999999</v>
      </c>
      <c r="Q2666">
        <v>1.7033969999999999E-2</v>
      </c>
      <c r="R2666">
        <v>-0.91002439999999996</v>
      </c>
      <c r="S2666">
        <v>1.64035</v>
      </c>
      <c r="T2666">
        <v>-0.41007569999999999</v>
      </c>
      <c r="U2666">
        <v>-2.5634610000000002</v>
      </c>
      <c r="V2666">
        <v>-0.12662089999999901</v>
      </c>
      <c r="W2666">
        <v>2.8363070000000001E-2</v>
      </c>
      <c r="X2666">
        <v>0.99154560000000003</v>
      </c>
      <c r="Y2666">
        <v>-0.25977850000000002</v>
      </c>
      <c r="Z2666">
        <v>0.1328377</v>
      </c>
      <c r="AA2666">
        <v>0.956488</v>
      </c>
      <c r="AB2666">
        <v>36</v>
      </c>
      <c r="AC2666">
        <v>4.3854999999999702</v>
      </c>
      <c r="AD2666">
        <v>-1.124864443333</v>
      </c>
      <c r="AE2666">
        <v>-6.6793000000000102</v>
      </c>
      <c r="AF2666">
        <v>-2.1628209670843601</v>
      </c>
      <c r="AG2666">
        <v>-1.124864443333</v>
      </c>
      <c r="AH2666">
        <v>7.5306383715929197</v>
      </c>
      <c r="AI2666">
        <v>98.1700074153526</v>
      </c>
      <c r="AJ2666">
        <v>106.024217601175</v>
      </c>
      <c r="AK2666">
        <v>7.9154045275805203</v>
      </c>
      <c r="AL2666">
        <v>88.374697823422807</v>
      </c>
      <c r="AM2666">
        <v>97.277313973623194</v>
      </c>
      <c r="AN2666">
        <v>0.99999999646799698</v>
      </c>
    </row>
    <row r="2667" spans="1:40" x14ac:dyDescent="0.25">
      <c r="A2667" t="str">
        <f>"20190312151037349"</f>
        <v>20190312151037349</v>
      </c>
      <c r="B2667" t="str">
        <f>"1552374637342903"</f>
        <v>1552374637342903</v>
      </c>
      <c r="C2667" t="s">
        <v>40</v>
      </c>
      <c r="D2667">
        <v>5.4577929999999997</v>
      </c>
      <c r="E2667">
        <v>0.46057120000000001</v>
      </c>
      <c r="F2667" t="s">
        <v>42</v>
      </c>
      <c r="G2667">
        <v>-488.21949999999998</v>
      </c>
      <c r="H2667" s="1">
        <v>-1.7568390000000001E-6</v>
      </c>
      <c r="I2667">
        <v>242.99180000000001</v>
      </c>
      <c r="J2667">
        <v>-493.2561</v>
      </c>
      <c r="K2667">
        <v>1.1245879999999999</v>
      </c>
      <c r="L2667">
        <v>251.25380000000001</v>
      </c>
      <c r="M2667">
        <v>0.31037999999999999</v>
      </c>
      <c r="N2667">
        <v>0</v>
      </c>
      <c r="O2667">
        <v>-0.95047619999999999</v>
      </c>
      <c r="P2667">
        <v>0.42391299999999998</v>
      </c>
      <c r="Q2667">
        <v>1.7038339999999999E-2</v>
      </c>
      <c r="R2667">
        <v>-0.90554279999999998</v>
      </c>
      <c r="S2667">
        <v>1.555023</v>
      </c>
      <c r="T2667">
        <v>-0.3396111</v>
      </c>
      <c r="U2667">
        <v>-2.595215</v>
      </c>
      <c r="V2667">
        <v>-0.1230015</v>
      </c>
      <c r="W2667">
        <v>2.8522740000000001E-2</v>
      </c>
      <c r="X2667">
        <v>0.99199649999999995</v>
      </c>
      <c r="Y2667">
        <v>-0.2190618</v>
      </c>
      <c r="Z2667">
        <v>0.1099263</v>
      </c>
      <c r="AA2667">
        <v>0.96949890000000005</v>
      </c>
      <c r="AB2667">
        <v>36</v>
      </c>
      <c r="AC2667">
        <v>5.0366000000000204</v>
      </c>
      <c r="AD2667">
        <v>-1.124589756839</v>
      </c>
      <c r="AE2667">
        <v>-8.2620000000000005</v>
      </c>
      <c r="AF2667">
        <v>-2.1934682641539802</v>
      </c>
      <c r="AG2667">
        <v>-1.124589756839</v>
      </c>
      <c r="AH2667">
        <v>9.2918038287414504</v>
      </c>
      <c r="AI2667">
        <v>96.718067065242906</v>
      </c>
      <c r="AJ2667">
        <v>103.282355779423</v>
      </c>
      <c r="AK2667">
        <v>9.6132004836501892</v>
      </c>
      <c r="AL2667">
        <v>88.365545686139797</v>
      </c>
      <c r="AM2667">
        <v>97.068250062000004</v>
      </c>
      <c r="AN2667">
        <v>0.99999998585580296</v>
      </c>
    </row>
    <row r="2668" spans="1:40" x14ac:dyDescent="0.25">
      <c r="A2668" t="str">
        <f>"20190312151037370"</f>
        <v>20190312151037370</v>
      </c>
      <c r="B2668" t="str">
        <f>"1552374637363400"</f>
        <v>1552374637363400</v>
      </c>
      <c r="C2668" t="s">
        <v>40</v>
      </c>
      <c r="D2668">
        <v>5.3870209999999998</v>
      </c>
      <c r="E2668">
        <v>0.46100439999999998</v>
      </c>
      <c r="F2668" t="s">
        <v>42</v>
      </c>
      <c r="G2668">
        <v>-488.05520000000001</v>
      </c>
      <c r="H2668" s="1">
        <v>-1.6854939999999901E-6</v>
      </c>
      <c r="I2668">
        <v>242.7576</v>
      </c>
      <c r="J2668">
        <v>-493.14280000000002</v>
      </c>
      <c r="K2668">
        <v>1.1242810000000001</v>
      </c>
      <c r="L2668">
        <v>250.93610000000001</v>
      </c>
      <c r="M2668">
        <v>0.32300810000000002</v>
      </c>
      <c r="N2668">
        <v>0</v>
      </c>
      <c r="O2668">
        <v>-0.94626060000000001</v>
      </c>
      <c r="P2668">
        <v>0.43314170000000002</v>
      </c>
      <c r="Q2668">
        <v>1.6109450000000001E-2</v>
      </c>
      <c r="R2668">
        <v>-0.90118209999999999</v>
      </c>
      <c r="S2668">
        <v>1.579315</v>
      </c>
      <c r="T2668">
        <v>-0.34149970000000002</v>
      </c>
      <c r="U2668">
        <v>-2.5800019999999999</v>
      </c>
      <c r="V2668">
        <v>-0.1198642</v>
      </c>
      <c r="W2668">
        <v>2.7730080000000001E-2</v>
      </c>
      <c r="X2668">
        <v>0.99240300000000004</v>
      </c>
      <c r="Y2668">
        <v>-0.2152345</v>
      </c>
      <c r="Z2668">
        <v>0.11016090000000001</v>
      </c>
      <c r="AA2668">
        <v>0.9703292</v>
      </c>
      <c r="AB2668">
        <v>36</v>
      </c>
      <c r="AC2668">
        <v>5.0876000000000001</v>
      </c>
      <c r="AD2668">
        <v>-1.12428268549399</v>
      </c>
      <c r="AE2668">
        <v>-8.1785000000000103</v>
      </c>
      <c r="AF2668">
        <v>-2.1435467033117401</v>
      </c>
      <c r="AG2668">
        <v>-1.12428268549399</v>
      </c>
      <c r="AH2668">
        <v>9.2574004988234897</v>
      </c>
      <c r="AI2668">
        <v>96.747668620621496</v>
      </c>
      <c r="AJ2668">
        <v>103.037056688333</v>
      </c>
      <c r="AK2668">
        <v>9.5686084684136592</v>
      </c>
      <c r="AL2668">
        <v>88.410979835955203</v>
      </c>
      <c r="AM2668">
        <v>96.886926110120498</v>
      </c>
      <c r="AN2668">
        <v>1.00000004909372</v>
      </c>
    </row>
    <row r="2669" spans="1:40" x14ac:dyDescent="0.25">
      <c r="A2669" t="str">
        <f>"20190312151037393"</f>
        <v>20190312151037393</v>
      </c>
      <c r="B2669" t="str">
        <f>"1552374637382919"</f>
        <v>1552374637382919</v>
      </c>
      <c r="C2669" t="s">
        <v>40</v>
      </c>
      <c r="D2669">
        <v>5.5630369999999996</v>
      </c>
      <c r="E2669">
        <v>0.46230300000000002</v>
      </c>
      <c r="F2669" t="s">
        <v>42</v>
      </c>
      <c r="G2669">
        <v>-488.24310000000003</v>
      </c>
      <c r="H2669" s="1">
        <v>-1.798016E-6</v>
      </c>
      <c r="I2669">
        <v>243.0975</v>
      </c>
      <c r="J2669">
        <v>-493.01659999999998</v>
      </c>
      <c r="K2669">
        <v>1.1239059999999901</v>
      </c>
      <c r="L2669">
        <v>250.5966</v>
      </c>
      <c r="M2669">
        <v>0.33605810000000003</v>
      </c>
      <c r="N2669">
        <v>0</v>
      </c>
      <c r="O2669">
        <v>-0.9417065</v>
      </c>
      <c r="P2669">
        <v>0.44238769999999999</v>
      </c>
      <c r="Q2669">
        <v>1.494668E-2</v>
      </c>
      <c r="R2669">
        <v>-0.89669979999999905</v>
      </c>
      <c r="S2669">
        <v>1.6032709999999999</v>
      </c>
      <c r="T2669">
        <v>-0.36789080000000002</v>
      </c>
      <c r="U2669">
        <v>-2.5649410000000001</v>
      </c>
      <c r="V2669">
        <v>-0.1162768</v>
      </c>
      <c r="W2669">
        <v>2.672337E-2</v>
      </c>
      <c r="X2669">
        <v>0.99285730000000005</v>
      </c>
      <c r="Y2669">
        <v>-0.21029439999999999</v>
      </c>
      <c r="Z2669">
        <v>0.1180924</v>
      </c>
      <c r="AA2669">
        <v>0.97047950000000005</v>
      </c>
      <c r="AB2669">
        <v>36</v>
      </c>
      <c r="AC2669">
        <v>4.7734999999999497</v>
      </c>
      <c r="AD2669">
        <v>-1.1239077980159999</v>
      </c>
      <c r="AE2669">
        <v>-7.4990999999999897</v>
      </c>
      <c r="AF2669">
        <v>-1.9442744275377399</v>
      </c>
      <c r="AG2669">
        <v>-1.1239077980159999</v>
      </c>
      <c r="AH2669">
        <v>8.5308599534837093</v>
      </c>
      <c r="AI2669">
        <v>97.3196890237096</v>
      </c>
      <c r="AJ2669">
        <v>102.839020119851</v>
      </c>
      <c r="AK2669">
        <v>8.8215045958141705</v>
      </c>
      <c r="AL2669">
        <v>88.468681424447297</v>
      </c>
      <c r="AM2669">
        <v>96.679670611876205</v>
      </c>
      <c r="AN2669">
        <v>1.0000000254428401</v>
      </c>
    </row>
    <row r="2670" spans="1:40" x14ac:dyDescent="0.25">
      <c r="A2670" t="str">
        <f>"20190312151037415"</f>
        <v>20190312151037415</v>
      </c>
      <c r="B2670" t="str">
        <f>"1552374637403415"</f>
        <v>1552374637403415</v>
      </c>
      <c r="C2670" t="s">
        <v>40</v>
      </c>
      <c r="D2670">
        <v>5.4050039999999999</v>
      </c>
      <c r="E2670">
        <v>0.46355279999999999</v>
      </c>
      <c r="F2670" t="s">
        <v>42</v>
      </c>
      <c r="G2670">
        <v>-488.214</v>
      </c>
      <c r="H2670" s="1">
        <v>-1.7765620000000001E-6</v>
      </c>
      <c r="I2670">
        <v>243.03550000000001</v>
      </c>
      <c r="J2670">
        <v>-492.88979999999998</v>
      </c>
      <c r="K2670">
        <v>1.1234879999999901</v>
      </c>
      <c r="L2670">
        <v>250.26859999999999</v>
      </c>
      <c r="M2670">
        <v>0.3481593</v>
      </c>
      <c r="N2670">
        <v>0</v>
      </c>
      <c r="O2670">
        <v>-0.93730179999999996</v>
      </c>
      <c r="P2670">
        <v>0.44937329999999998</v>
      </c>
      <c r="Q2670">
        <v>1.3428509999999999E-2</v>
      </c>
      <c r="R2670">
        <v>-0.89324349999999997</v>
      </c>
      <c r="S2670">
        <v>1.6210629999999999</v>
      </c>
      <c r="T2670">
        <v>-0.37935809999999998</v>
      </c>
      <c r="U2670">
        <v>-2.5521389999999999</v>
      </c>
      <c r="V2670">
        <v>-0.111147</v>
      </c>
      <c r="W2670">
        <v>2.541728E-2</v>
      </c>
      <c r="X2670">
        <v>0.99347890000000005</v>
      </c>
      <c r="Y2670">
        <v>-0.20449539999999999</v>
      </c>
      <c r="Z2670">
        <v>0.121260199999999</v>
      </c>
      <c r="AA2670">
        <v>0.97132779999999996</v>
      </c>
      <c r="AB2670">
        <v>36</v>
      </c>
      <c r="AC2670">
        <v>4.6757999999999802</v>
      </c>
      <c r="AD2670">
        <v>-1.12348977656199</v>
      </c>
      <c r="AE2670">
        <v>-7.2330999999999701</v>
      </c>
      <c r="AF2670">
        <v>-1.8334018439790301</v>
      </c>
      <c r="AG2670">
        <v>-1.12348977656199</v>
      </c>
      <c r="AH2670">
        <v>8.2678910056784307</v>
      </c>
      <c r="AI2670">
        <v>97.556921465939695</v>
      </c>
      <c r="AJ2670">
        <v>102.503002305149</v>
      </c>
      <c r="AK2670">
        <v>8.5429276762315691</v>
      </c>
      <c r="AL2670">
        <v>88.543540292623902</v>
      </c>
      <c r="AM2670">
        <v>96.383510147258505</v>
      </c>
      <c r="AN2670">
        <v>1.0000000092384</v>
      </c>
    </row>
    <row r="2671" spans="1:40" x14ac:dyDescent="0.25">
      <c r="A2671" t="str">
        <f>"20190312151037439"</f>
        <v>20190312151037439</v>
      </c>
      <c r="B2671" t="str">
        <f>"1552374637433672"</f>
        <v>1552374637433672</v>
      </c>
      <c r="C2671" t="s">
        <v>40</v>
      </c>
      <c r="D2671">
        <v>5.3986869999999998</v>
      </c>
      <c r="E2671">
        <v>0.4650569</v>
      </c>
      <c r="F2671" t="s">
        <v>42</v>
      </c>
      <c r="G2671">
        <v>-488.16840000000002</v>
      </c>
      <c r="H2671" s="1">
        <v>-1.731767E-6</v>
      </c>
      <c r="I2671">
        <v>242.91220000000001</v>
      </c>
      <c r="J2671">
        <v>-492.75360000000001</v>
      </c>
      <c r="K2671">
        <v>1.122984</v>
      </c>
      <c r="L2671">
        <v>249.92859999999999</v>
      </c>
      <c r="M2671">
        <v>0.36009079999999999</v>
      </c>
      <c r="N2671">
        <v>0</v>
      </c>
      <c r="O2671">
        <v>-0.93278470000000002</v>
      </c>
      <c r="P2671">
        <v>0.45480510000000002</v>
      </c>
      <c r="Q2671">
        <v>1.341534E-2</v>
      </c>
      <c r="R2671">
        <v>-0.89049</v>
      </c>
      <c r="S2671">
        <v>1.6322939999999999</v>
      </c>
      <c r="T2671">
        <v>-0.38841199999999998</v>
      </c>
      <c r="U2671">
        <v>-2.543228</v>
      </c>
      <c r="V2671">
        <v>-0.1044838</v>
      </c>
      <c r="W2671">
        <v>2.5668489999999999E-2</v>
      </c>
      <c r="X2671">
        <v>0.9941953</v>
      </c>
      <c r="Y2671">
        <v>-0.19640750000000001</v>
      </c>
      <c r="Z2671">
        <v>0.1235641</v>
      </c>
      <c r="AA2671">
        <v>0.9727055</v>
      </c>
      <c r="AB2671">
        <v>36</v>
      </c>
      <c r="AC2671">
        <v>4.58519999999998</v>
      </c>
      <c r="AD2671">
        <v>-1.122985731767</v>
      </c>
      <c r="AE2671">
        <v>-7.0163999999999698</v>
      </c>
      <c r="AF2671">
        <v>-1.7198083065738901</v>
      </c>
      <c r="AG2671">
        <v>-1.122985731767</v>
      </c>
      <c r="AH2671">
        <v>8.0523484733663402</v>
      </c>
      <c r="AI2671">
        <v>97.766350189670902</v>
      </c>
      <c r="AJ2671">
        <v>102.056008645532</v>
      </c>
      <c r="AK2671">
        <v>8.3101837224960295</v>
      </c>
      <c r="AL2671">
        <v>88.529142331041001</v>
      </c>
      <c r="AM2671">
        <v>95.999410800353104</v>
      </c>
      <c r="AN2671">
        <v>1.0000000151916999</v>
      </c>
    </row>
    <row r="2672" spans="1:40" x14ac:dyDescent="0.25">
      <c r="A2672" t="str">
        <f>"20190312151037460"</f>
        <v>20190312151037460</v>
      </c>
      <c r="B2672" t="str">
        <f>"1552374637453191"</f>
        <v>1552374637453191</v>
      </c>
      <c r="C2672" t="s">
        <v>40</v>
      </c>
      <c r="D2672">
        <v>5.4781879999999896</v>
      </c>
      <c r="E2672">
        <v>0.46583760000000002</v>
      </c>
      <c r="F2672" t="s">
        <v>42</v>
      </c>
      <c r="G2672">
        <v>-488.12549999999999</v>
      </c>
      <c r="H2672" s="1">
        <v>-1.670601E-6</v>
      </c>
      <c r="I2672">
        <v>242.75190000000001</v>
      </c>
      <c r="J2672">
        <v>-492.62360000000001</v>
      </c>
      <c r="K2672">
        <v>1.1224609999999999</v>
      </c>
      <c r="L2672">
        <v>249.61510000000001</v>
      </c>
      <c r="M2672">
        <v>0.37045460000000002</v>
      </c>
      <c r="N2672">
        <v>0</v>
      </c>
      <c r="O2672">
        <v>-0.92871899999999996</v>
      </c>
      <c r="P2672">
        <v>0.4592928</v>
      </c>
      <c r="Q2672">
        <v>1.6301119999999999E-2</v>
      </c>
      <c r="R2672">
        <v>-0.88813539999999902</v>
      </c>
      <c r="S2672">
        <v>1.6371770000000001</v>
      </c>
      <c r="T2672">
        <v>-0.39725050000000001</v>
      </c>
      <c r="U2672">
        <v>-2.5387420000000001</v>
      </c>
      <c r="V2672">
        <v>-9.8501249999999999E-2</v>
      </c>
      <c r="W2672">
        <v>2.8786800000000001E-2</v>
      </c>
      <c r="X2672">
        <v>0.99472050000000001</v>
      </c>
      <c r="Y2672">
        <v>-0.18741430000000001</v>
      </c>
      <c r="Z2672">
        <v>0.1257625</v>
      </c>
      <c r="AA2672">
        <v>0.97419690000000003</v>
      </c>
      <c r="AB2672">
        <v>36</v>
      </c>
      <c r="AC2672">
        <v>4.4981000000000204</v>
      </c>
      <c r="AD2672">
        <v>-1.1224626706009999</v>
      </c>
      <c r="AE2672">
        <v>-6.8632</v>
      </c>
      <c r="AF2672">
        <v>-1.60513333078075</v>
      </c>
      <c r="AG2672">
        <v>-1.1224626706009999</v>
      </c>
      <c r="AH2672">
        <v>7.8936125212447097</v>
      </c>
      <c r="AI2672">
        <v>97.932916079110896</v>
      </c>
      <c r="AJ2672">
        <v>101.49414308208701</v>
      </c>
      <c r="AK2672">
        <v>8.1329880174525897</v>
      </c>
      <c r="AL2672">
        <v>88.350410011072199</v>
      </c>
      <c r="AM2672">
        <v>95.655223485977103</v>
      </c>
      <c r="AN2672">
        <v>1.0000000246130201</v>
      </c>
    </row>
    <row r="2673" spans="1:40" x14ac:dyDescent="0.25">
      <c r="A2673" t="str">
        <f>"20190312151037484"</f>
        <v>20190312151037484</v>
      </c>
      <c r="B2673" t="str">
        <f>"1552374637473687"</f>
        <v>1552374637473687</v>
      </c>
      <c r="C2673" t="s">
        <v>40</v>
      </c>
      <c r="D2673">
        <v>5.4555410000000002</v>
      </c>
      <c r="E2673">
        <v>0.46699570000000001</v>
      </c>
      <c r="F2673" t="s">
        <v>42</v>
      </c>
      <c r="G2673">
        <v>-487.94900000000001</v>
      </c>
      <c r="H2673" s="1">
        <v>-1.555684E-6</v>
      </c>
      <c r="I2673">
        <v>242.411</v>
      </c>
      <c r="J2673">
        <v>-492.4726</v>
      </c>
      <c r="K2673">
        <v>1.1218680000000001</v>
      </c>
      <c r="L2673">
        <v>249.2619</v>
      </c>
      <c r="M2673">
        <v>0.38145970000000001</v>
      </c>
      <c r="N2673">
        <v>0</v>
      </c>
      <c r="O2673">
        <v>-0.92425539999999995</v>
      </c>
      <c r="P2673">
        <v>0.46461540000000001</v>
      </c>
      <c r="Q2673">
        <v>1.817057E-2</v>
      </c>
      <c r="R2673">
        <v>-0.88532639999999996</v>
      </c>
      <c r="S2673">
        <v>1.644684</v>
      </c>
      <c r="T2673">
        <v>-0.39491799999999999</v>
      </c>
      <c r="U2673">
        <v>-2.5346069999999998</v>
      </c>
      <c r="V2673">
        <v>-9.2677709999999996E-2</v>
      </c>
      <c r="W2673">
        <v>3.0871079999999999E-2</v>
      </c>
      <c r="X2673">
        <v>0.99521749999999998</v>
      </c>
      <c r="Y2673">
        <v>-0.17858740000000001</v>
      </c>
      <c r="Z2673">
        <v>0.12434630000000001</v>
      </c>
      <c r="AA2673">
        <v>0.97603510000000004</v>
      </c>
      <c r="AB2673">
        <v>36</v>
      </c>
      <c r="AC2673">
        <v>4.5235999999999796</v>
      </c>
      <c r="AD2673">
        <v>-1.1218695556839999</v>
      </c>
      <c r="AE2673">
        <v>-6.8509000000000198</v>
      </c>
      <c r="AF2673">
        <v>-1.5390673145232201</v>
      </c>
      <c r="AG2673">
        <v>-1.1218695556839999</v>
      </c>
      <c r="AH2673">
        <v>7.9107945584568</v>
      </c>
      <c r="AI2673">
        <v>97.924930290585493</v>
      </c>
      <c r="AJ2673">
        <v>101.009523448613</v>
      </c>
      <c r="AK2673">
        <v>8.13682923777524</v>
      </c>
      <c r="AL2673">
        <v>88.230936385464801</v>
      </c>
      <c r="AM2673">
        <v>95.320215547881304</v>
      </c>
      <c r="AN2673">
        <v>1.0000000269087299</v>
      </c>
    </row>
    <row r="2674" spans="1:40" x14ac:dyDescent="0.25">
      <c r="A2674" t="str">
        <f>"20190312151037504"</f>
        <v>20190312151037504</v>
      </c>
      <c r="B2674" t="str">
        <f>"1552374637493207"</f>
        <v>1552374637493207</v>
      </c>
      <c r="C2674" t="s">
        <v>40</v>
      </c>
      <c r="D2674">
        <v>5.4687330000000003</v>
      </c>
      <c r="E2674">
        <v>0.46742889999999998</v>
      </c>
      <c r="F2674" t="s">
        <v>42</v>
      </c>
      <c r="G2674">
        <v>-487.72269999999997</v>
      </c>
      <c r="H2674" s="1">
        <v>-1.4139309999999999E-6</v>
      </c>
      <c r="I2674">
        <v>241.98699999999999</v>
      </c>
      <c r="J2674">
        <v>-492.34359999999998</v>
      </c>
      <c r="K2674">
        <v>1.121353</v>
      </c>
      <c r="L2674">
        <v>248.96809999999999</v>
      </c>
      <c r="M2674">
        <v>0.39005800000000002</v>
      </c>
      <c r="N2674">
        <v>0</v>
      </c>
      <c r="O2674">
        <v>-0.92066130000000002</v>
      </c>
      <c r="P2674">
        <v>0.46704839999999997</v>
      </c>
      <c r="Q2674">
        <v>1.9030499999999999E-2</v>
      </c>
      <c r="R2674">
        <v>-0.88402709999999995</v>
      </c>
      <c r="S2674">
        <v>1.6517329999999999</v>
      </c>
      <c r="T2674">
        <v>-0.39012010000000003</v>
      </c>
      <c r="U2674">
        <v>-2.5297700000000001</v>
      </c>
      <c r="V2674">
        <v>-8.6125359999999998E-2</v>
      </c>
      <c r="W2674">
        <v>3.1955829999999998E-2</v>
      </c>
      <c r="X2674">
        <v>0.99577170000000004</v>
      </c>
      <c r="Y2674">
        <v>-0.1723095</v>
      </c>
      <c r="Z2674">
        <v>0.12234730000000001</v>
      </c>
      <c r="AA2674">
        <v>0.97741529999999999</v>
      </c>
      <c r="AB2674">
        <v>36</v>
      </c>
      <c r="AC2674">
        <v>4.6208999999999998</v>
      </c>
      <c r="AD2674">
        <v>-1.1213544139309899</v>
      </c>
      <c r="AE2674">
        <v>-6.9810999999999899</v>
      </c>
      <c r="AF2674">
        <v>-1.5044410727706901</v>
      </c>
      <c r="AG2674">
        <v>-1.1213544139309899</v>
      </c>
      <c r="AH2674">
        <v>8.0855645480461895</v>
      </c>
      <c r="AI2674">
        <v>97.764168122208403</v>
      </c>
      <c r="AJ2674">
        <v>100.540211051245</v>
      </c>
      <c r="AK2674">
        <v>8.3004296710292795</v>
      </c>
      <c r="AL2674">
        <v>88.168754078088199</v>
      </c>
      <c r="AM2674">
        <v>94.943271395654506</v>
      </c>
      <c r="AN2674">
        <v>1.0000000156135</v>
      </c>
    </row>
    <row r="2675" spans="1:40" x14ac:dyDescent="0.25">
      <c r="A2675" t="str">
        <f>"20190312151037528"</f>
        <v>20190312151037528</v>
      </c>
      <c r="B2675" t="str">
        <f>"1552374637523464"</f>
        <v>1552374637523464</v>
      </c>
      <c r="C2675" t="s">
        <v>40</v>
      </c>
      <c r="D2675">
        <v>6.1851379999999896</v>
      </c>
      <c r="E2675">
        <v>0.4924306</v>
      </c>
      <c r="F2675" t="s">
        <v>42</v>
      </c>
      <c r="G2675">
        <v>-487.56709999999998</v>
      </c>
      <c r="H2675" s="1">
        <v>-1.337666E-6</v>
      </c>
      <c r="I2675">
        <v>241.67660000000001</v>
      </c>
      <c r="J2675">
        <v>-492.19279999999998</v>
      </c>
      <c r="K2675">
        <v>1.1207210000000001</v>
      </c>
      <c r="L2675">
        <v>248.6328</v>
      </c>
      <c r="M2675">
        <v>0.39915099999999998</v>
      </c>
      <c r="N2675">
        <v>0</v>
      </c>
      <c r="O2675">
        <v>-0.9167573</v>
      </c>
      <c r="P2675">
        <v>0.46854040000000002</v>
      </c>
      <c r="Q2675">
        <v>1.9037780000000001E-2</v>
      </c>
      <c r="R2675">
        <v>-0.88323700000000005</v>
      </c>
      <c r="S2675">
        <v>1.6555789999999999</v>
      </c>
      <c r="T2675">
        <v>-0.3886693</v>
      </c>
      <c r="U2675">
        <v>-2.5272830000000002</v>
      </c>
      <c r="V2675">
        <v>-7.7894610000000003E-2</v>
      </c>
      <c r="W2675">
        <v>3.22251E-2</v>
      </c>
      <c r="X2675">
        <v>0.99644060000000001</v>
      </c>
      <c r="Y2675">
        <v>-0.1641003</v>
      </c>
      <c r="Z2675">
        <v>0.1212893</v>
      </c>
      <c r="AA2675">
        <v>0.97895860000000001</v>
      </c>
      <c r="AB2675">
        <v>36</v>
      </c>
      <c r="AC2675">
        <v>4.6256999999999904</v>
      </c>
      <c r="AD2675">
        <v>-1.1207223376659901</v>
      </c>
      <c r="AE2675">
        <v>-6.9561999999999902</v>
      </c>
      <c r="AF2675">
        <v>-1.4383540010523701</v>
      </c>
      <c r="AG2675">
        <v>-1.1207223376659901</v>
      </c>
      <c r="AH2675">
        <v>8.0790560177065398</v>
      </c>
      <c r="AI2675">
        <v>97.776882140225496</v>
      </c>
      <c r="AJ2675">
        <v>100.094878519687</v>
      </c>
      <c r="AK2675">
        <v>8.2822718457997393</v>
      </c>
      <c r="AL2675">
        <v>88.153317969423995</v>
      </c>
      <c r="AM2675">
        <v>94.469884504895006</v>
      </c>
      <c r="AN2675">
        <v>0.999999948332709</v>
      </c>
    </row>
    <row r="2676" spans="1:40" x14ac:dyDescent="0.25">
      <c r="A2676" t="str">
        <f>"20190312151037550"</f>
        <v>20190312151037550</v>
      </c>
      <c r="B2676" t="str">
        <f>"1552374637542983"</f>
        <v>1552374637542983</v>
      </c>
      <c r="C2676" t="s">
        <v>40</v>
      </c>
      <c r="D2676">
        <v>5.5396400000000003</v>
      </c>
      <c r="E2676">
        <v>0.49331920000000001</v>
      </c>
      <c r="F2676" t="s">
        <v>42</v>
      </c>
      <c r="G2676">
        <v>-485.57299999999998</v>
      </c>
      <c r="H2676" s="1">
        <v>-3.896688E-6</v>
      </c>
      <c r="I2676">
        <v>236.88560000000001</v>
      </c>
      <c r="J2676">
        <v>-492.0419</v>
      </c>
      <c r="K2676">
        <v>1.120044</v>
      </c>
      <c r="L2676">
        <v>248.3047</v>
      </c>
      <c r="M2676">
        <v>0.40726689999999999</v>
      </c>
      <c r="N2676">
        <v>0</v>
      </c>
      <c r="O2676">
        <v>-0.91318270000000001</v>
      </c>
      <c r="P2676">
        <v>0.46825939999999999</v>
      </c>
      <c r="Q2676">
        <v>1.955289E-2</v>
      </c>
      <c r="R2676">
        <v>-0.88337489999999996</v>
      </c>
      <c r="S2676">
        <v>1.4758910000000001</v>
      </c>
      <c r="T2676">
        <v>-0.24986829999999999</v>
      </c>
      <c r="U2676">
        <v>-2.6190639999999998</v>
      </c>
      <c r="V2676">
        <v>-6.8694770000000002E-2</v>
      </c>
      <c r="W2676">
        <v>3.3007179999999997E-2</v>
      </c>
      <c r="X2676">
        <v>0.99709150000000002</v>
      </c>
      <c r="Y2676">
        <v>-9.1912450000000007E-2</v>
      </c>
      <c r="Z2676">
        <v>7.7225600000000005E-2</v>
      </c>
      <c r="AA2676">
        <v>0.99276799999999998</v>
      </c>
      <c r="AB2676">
        <v>36</v>
      </c>
      <c r="AC2676">
        <v>6.4688999999999597</v>
      </c>
      <c r="AD2676">
        <v>-1.1200478966879901</v>
      </c>
      <c r="AE2676">
        <v>-11.419099999999901</v>
      </c>
      <c r="AF2676">
        <v>-1.24772365550215</v>
      </c>
      <c r="AG2676">
        <v>-1.1200478966879901</v>
      </c>
      <c r="AH2676">
        <v>12.969341944662601</v>
      </c>
      <c r="AI2676">
        <v>94.913311939645794</v>
      </c>
      <c r="AJ2676">
        <v>95.495264108833794</v>
      </c>
      <c r="AK2676">
        <v>13.07727617239</v>
      </c>
      <c r="AL2676">
        <v>88.1084842366526</v>
      </c>
      <c r="AM2676">
        <v>93.941173637194694</v>
      </c>
      <c r="AN2676">
        <v>0.99999995236457595</v>
      </c>
    </row>
    <row r="2677" spans="1:40" x14ac:dyDescent="0.25">
      <c r="A2677" t="str">
        <f>"20190312151037572"</f>
        <v>20190312151037572</v>
      </c>
      <c r="B2677" t="str">
        <f>"1552374637563481"</f>
        <v>1552374637563481</v>
      </c>
      <c r="C2677" t="s">
        <v>40</v>
      </c>
      <c r="D2677">
        <v>5.3330780000000004</v>
      </c>
      <c r="E2677">
        <v>0.49333969999999999</v>
      </c>
      <c r="F2677" t="s">
        <v>42</v>
      </c>
      <c r="G2677">
        <v>-484.88990000000001</v>
      </c>
      <c r="H2677" s="1">
        <v>-3.432211E-6</v>
      </c>
      <c r="I2677">
        <v>235.5204</v>
      </c>
      <c r="J2677">
        <v>-491.89690000000002</v>
      </c>
      <c r="K2677">
        <v>1.1193649999999999</v>
      </c>
      <c r="L2677">
        <v>247.995</v>
      </c>
      <c r="M2677">
        <v>0.41419230000000001</v>
      </c>
      <c r="N2677">
        <v>0</v>
      </c>
      <c r="O2677">
        <v>-0.91006419999999999</v>
      </c>
      <c r="P2677">
        <v>0.4670357</v>
      </c>
      <c r="Q2677">
        <v>2.23263E-2</v>
      </c>
      <c r="R2677">
        <v>-0.88395669999999904</v>
      </c>
      <c r="S2677">
        <v>1.46756</v>
      </c>
      <c r="T2677">
        <v>-0.22982669999999999</v>
      </c>
      <c r="U2677">
        <v>-2.6232600000000001</v>
      </c>
      <c r="V2677">
        <v>-5.9767430000000003E-2</v>
      </c>
      <c r="W2677">
        <v>3.601422E-2</v>
      </c>
      <c r="X2677">
        <v>0.99756250000000002</v>
      </c>
      <c r="Y2677">
        <v>-8.1520270000000006E-2</v>
      </c>
      <c r="Z2677">
        <v>7.0697099999999999E-2</v>
      </c>
      <c r="AA2677">
        <v>0.99416110000000002</v>
      </c>
      <c r="AB2677">
        <v>36</v>
      </c>
      <c r="AC2677">
        <v>7.0069999999999997</v>
      </c>
      <c r="AD2677">
        <v>-1.119368432211</v>
      </c>
      <c r="AE2677">
        <v>-12.474600000000001</v>
      </c>
      <c r="AF2677">
        <v>-1.20271305993616</v>
      </c>
      <c r="AG2677">
        <v>-1.119368432211</v>
      </c>
      <c r="AH2677">
        <v>14.169827983986499</v>
      </c>
      <c r="AI2677">
        <v>94.500676249641401</v>
      </c>
      <c r="AJ2677">
        <v>94.851548598194597</v>
      </c>
      <c r="AK2677">
        <v>14.2647653148356</v>
      </c>
      <c r="AL2677">
        <v>87.936090985588095</v>
      </c>
      <c r="AM2677">
        <v>93.428690264703704</v>
      </c>
      <c r="AN2677">
        <v>1.0000000555686299</v>
      </c>
    </row>
    <row r="2678" spans="1:40" x14ac:dyDescent="0.25">
      <c r="A2678" t="str">
        <f>"20190312151037594"</f>
        <v>20190312151037594</v>
      </c>
      <c r="B2678" t="str">
        <f>"1552374637582999"</f>
        <v>1552374637582999</v>
      </c>
      <c r="C2678" t="s">
        <v>40</v>
      </c>
      <c r="D2678">
        <v>5.5989069999999996</v>
      </c>
      <c r="E2678">
        <v>0.49332989999999999</v>
      </c>
      <c r="F2678" t="s">
        <v>42</v>
      </c>
      <c r="G2678">
        <v>-484.38389999999998</v>
      </c>
      <c r="H2678" s="1">
        <v>-3.1512239999999998E-6</v>
      </c>
      <c r="I2678">
        <v>234.517</v>
      </c>
      <c r="J2678">
        <v>-491.74360000000001</v>
      </c>
      <c r="K2678">
        <v>1.1186039999999999</v>
      </c>
      <c r="L2678">
        <v>247.67320000000001</v>
      </c>
      <c r="M2678">
        <v>0.42062690000000003</v>
      </c>
      <c r="N2678">
        <v>0</v>
      </c>
      <c r="O2678">
        <v>-0.90710990000000002</v>
      </c>
      <c r="P2678">
        <v>0.46611859999999999</v>
      </c>
      <c r="Q2678">
        <v>2.571329E-2</v>
      </c>
      <c r="R2678">
        <v>-0.88434869999999899</v>
      </c>
      <c r="S2678">
        <v>1.463776</v>
      </c>
      <c r="T2678">
        <v>-0.21808910000000001</v>
      </c>
      <c r="U2678">
        <v>-2.6259610000000002</v>
      </c>
      <c r="V2678">
        <v>-5.1703489999999998E-2</v>
      </c>
      <c r="W2678">
        <v>3.9591759999999997E-2</v>
      </c>
      <c r="X2678">
        <v>0.99787740000000003</v>
      </c>
      <c r="Y2678">
        <v>-7.307263E-2</v>
      </c>
      <c r="Z2678">
        <v>6.6768910000000001E-2</v>
      </c>
      <c r="AA2678">
        <v>0.99508909999999995</v>
      </c>
      <c r="AB2678">
        <v>36</v>
      </c>
      <c r="AC2678">
        <v>7.3597000000000303</v>
      </c>
      <c r="AD2678">
        <v>-1.1186071512239999</v>
      </c>
      <c r="AE2678">
        <v>-13.1562</v>
      </c>
      <c r="AF2678">
        <v>-1.1360779824367599</v>
      </c>
      <c r="AG2678">
        <v>-1.1186071512239999</v>
      </c>
      <c r="AH2678">
        <v>14.949182721634401</v>
      </c>
      <c r="AI2678">
        <v>94.267055644728003</v>
      </c>
      <c r="AJ2678">
        <v>94.345896077252505</v>
      </c>
      <c r="AK2678">
        <v>15.0339621918428</v>
      </c>
      <c r="AL2678">
        <v>87.730966269502105</v>
      </c>
      <c r="AM2678">
        <v>92.966040762404205</v>
      </c>
      <c r="AN2678">
        <v>1.00000003188441</v>
      </c>
    </row>
    <row r="2679" spans="1:40" x14ac:dyDescent="0.25">
      <c r="A2679" t="str">
        <f>"20190312151037616"</f>
        <v>20190312151037616</v>
      </c>
      <c r="B2679" t="str">
        <f>"1552374637613255"</f>
        <v>1552374637613255</v>
      </c>
      <c r="C2679" t="s">
        <v>40</v>
      </c>
      <c r="D2679">
        <v>6.0797889999999999</v>
      </c>
      <c r="E2679">
        <v>0.49387229999999999</v>
      </c>
      <c r="F2679" t="s">
        <v>42</v>
      </c>
      <c r="G2679">
        <v>-483.91239999999999</v>
      </c>
      <c r="H2679" s="1">
        <v>-2.9605540000000001E-6</v>
      </c>
      <c r="I2679">
        <v>233.58799999999999</v>
      </c>
      <c r="J2679">
        <v>-491.59399999999999</v>
      </c>
      <c r="K2679">
        <v>1.117831</v>
      </c>
      <c r="L2679">
        <v>247.36340000000001</v>
      </c>
      <c r="M2679">
        <v>0.42606939999999999</v>
      </c>
      <c r="N2679">
        <v>0</v>
      </c>
      <c r="O2679">
        <v>-0.90456780000000003</v>
      </c>
      <c r="P2679">
        <v>0.46442889999999998</v>
      </c>
      <c r="Q2679">
        <v>2.7086789999999999E-2</v>
      </c>
      <c r="R2679">
        <v>-0.88519629999999905</v>
      </c>
      <c r="S2679">
        <v>1.461273</v>
      </c>
      <c r="T2679">
        <v>-0.20872740000000001</v>
      </c>
      <c r="U2679">
        <v>-2.6282350000000001</v>
      </c>
      <c r="V2679">
        <v>-4.376435E-2</v>
      </c>
      <c r="W2679">
        <v>4.1130199999999999E-2</v>
      </c>
      <c r="X2679">
        <v>0.9981949</v>
      </c>
      <c r="Y2679">
        <v>-6.6096600000000005E-2</v>
      </c>
      <c r="Z2679">
        <v>6.3633750000000003E-2</v>
      </c>
      <c r="AA2679">
        <v>0.9957821</v>
      </c>
      <c r="AB2679">
        <v>36</v>
      </c>
      <c r="AC2679">
        <v>7.6816000000000004</v>
      </c>
      <c r="AD2679">
        <v>-1.117833960554</v>
      </c>
      <c r="AE2679">
        <v>-13.775399999999999</v>
      </c>
      <c r="AF2679">
        <v>-1.0739768620348</v>
      </c>
      <c r="AG2679">
        <v>-1.117833960554</v>
      </c>
      <c r="AH2679">
        <v>15.6567811476142</v>
      </c>
      <c r="AI2679">
        <v>94.074227257322093</v>
      </c>
      <c r="AJ2679">
        <v>93.924056962575406</v>
      </c>
      <c r="AK2679">
        <v>15.733333244034499</v>
      </c>
      <c r="AL2679">
        <v>87.642748268725001</v>
      </c>
      <c r="AM2679">
        <v>92.510439302501794</v>
      </c>
      <c r="AN2679">
        <v>1.00000003503448</v>
      </c>
    </row>
    <row r="2680" spans="1:40" x14ac:dyDescent="0.25">
      <c r="A2680" t="str">
        <f>"20190312151037640"</f>
        <v>20190312151037640</v>
      </c>
      <c r="B2680" t="str">
        <f>"1552374637633752"</f>
        <v>1552374637633752</v>
      </c>
      <c r="C2680" t="s">
        <v>40</v>
      </c>
      <c r="D2680">
        <v>5.4250949999999998</v>
      </c>
      <c r="E2680">
        <v>0.4938244</v>
      </c>
      <c r="F2680" t="s">
        <v>42</v>
      </c>
      <c r="G2680">
        <v>-483.73899999999998</v>
      </c>
      <c r="H2680" s="1">
        <v>-2.845344E-6</v>
      </c>
      <c r="I2680">
        <v>233.1139</v>
      </c>
      <c r="J2680">
        <v>-491.43209999999999</v>
      </c>
      <c r="K2680">
        <v>1.1169849999999999</v>
      </c>
      <c r="L2680">
        <v>247.0318</v>
      </c>
      <c r="M2680">
        <v>0.43107210000000001</v>
      </c>
      <c r="N2680">
        <v>0</v>
      </c>
      <c r="O2680">
        <v>-0.90219590000000005</v>
      </c>
      <c r="P2680">
        <v>0.46235900000000002</v>
      </c>
      <c r="Q2680">
        <v>2.6561709999999999E-2</v>
      </c>
      <c r="R2680">
        <v>-0.88629500000000005</v>
      </c>
      <c r="S2680">
        <v>1.451813</v>
      </c>
      <c r="T2680">
        <v>-0.20660510000000001</v>
      </c>
      <c r="U2680">
        <v>-2.6336819999999999</v>
      </c>
      <c r="V2680">
        <v>-3.579529E-2</v>
      </c>
      <c r="W2680">
        <v>4.0743340000000003E-2</v>
      </c>
      <c r="X2680">
        <v>0.99852819999999998</v>
      </c>
      <c r="Y2680">
        <v>-5.6983430000000002E-2</v>
      </c>
      <c r="Z2680">
        <v>6.2699450000000004E-2</v>
      </c>
      <c r="AA2680">
        <v>0.99640430000000002</v>
      </c>
      <c r="AB2680">
        <v>36</v>
      </c>
      <c r="AC2680">
        <v>7.6930999999999496</v>
      </c>
      <c r="AD2680">
        <v>-1.1169878453440001</v>
      </c>
      <c r="AE2680">
        <v>-13.917899999999999</v>
      </c>
      <c r="AF2680">
        <v>-0.93654761713327594</v>
      </c>
      <c r="AG2680">
        <v>-1.1169878453440001</v>
      </c>
      <c r="AH2680">
        <v>15.796760062793499</v>
      </c>
      <c r="AI2680">
        <v>94.037582464607098</v>
      </c>
      <c r="AJ2680">
        <v>93.3929417276712</v>
      </c>
      <c r="AK2680">
        <v>15.863871273030099</v>
      </c>
      <c r="AL2680">
        <v>87.664932097532898</v>
      </c>
      <c r="AM2680">
        <v>92.053062884595604</v>
      </c>
      <c r="AN2680">
        <v>0.99999994436788797</v>
      </c>
    </row>
    <row r="2681" spans="1:40" x14ac:dyDescent="0.25">
      <c r="A2681" t="str">
        <f>"20190312151037662"</f>
        <v>20190312151037662</v>
      </c>
      <c r="B2681" t="str">
        <f>"1552374637653272"</f>
        <v>1552374637653272</v>
      </c>
      <c r="C2681" t="s">
        <v>40</v>
      </c>
      <c r="D2681">
        <v>5.4813070000000002</v>
      </c>
      <c r="E2681">
        <v>0.49400309999999997</v>
      </c>
      <c r="F2681" t="s">
        <v>42</v>
      </c>
      <c r="G2681">
        <v>-483.85629999999998</v>
      </c>
      <c r="H2681" s="1">
        <v>-2.8476340000000002E-6</v>
      </c>
      <c r="I2681">
        <v>233.2124</v>
      </c>
      <c r="J2681">
        <v>-491.27460000000002</v>
      </c>
      <c r="K2681">
        <v>1.1162000000000001</v>
      </c>
      <c r="L2681">
        <v>246.7124</v>
      </c>
      <c r="M2681">
        <v>0.4351178</v>
      </c>
      <c r="N2681">
        <v>0</v>
      </c>
      <c r="O2681">
        <v>-0.90025339999999998</v>
      </c>
      <c r="P2681">
        <v>0.45909480000000003</v>
      </c>
      <c r="Q2681">
        <v>2.654517E-2</v>
      </c>
      <c r="R2681">
        <v>-0.88799099999999997</v>
      </c>
      <c r="S2681">
        <v>1.445648</v>
      </c>
      <c r="T2681">
        <v>-0.21315049999999999</v>
      </c>
      <c r="U2681">
        <v>-2.6371000000000002</v>
      </c>
      <c r="V2681">
        <v>-2.7551679999999999E-2</v>
      </c>
      <c r="W2681">
        <v>4.0840540000000002E-2</v>
      </c>
      <c r="X2681">
        <v>0.9987857</v>
      </c>
      <c r="Y2681">
        <v>-5.0104240000000001E-2</v>
      </c>
      <c r="Z2681">
        <v>6.4441239999999997E-2</v>
      </c>
      <c r="AA2681">
        <v>0.99666290000000002</v>
      </c>
      <c r="AB2681">
        <v>36</v>
      </c>
      <c r="AC2681">
        <v>7.4183000000000403</v>
      </c>
      <c r="AD2681">
        <v>-1.116202847634</v>
      </c>
      <c r="AE2681">
        <v>-13.5</v>
      </c>
      <c r="AF2681">
        <v>-0.80014512066473398</v>
      </c>
      <c r="AG2681">
        <v>-1.116202847634</v>
      </c>
      <c r="AH2681">
        <v>15.3025688861898</v>
      </c>
      <c r="AI2681">
        <v>94.166219631535597</v>
      </c>
      <c r="AJ2681">
        <v>92.993172332335206</v>
      </c>
      <c r="AK2681">
        <v>15.3640735330111</v>
      </c>
      <c r="AL2681">
        <v>87.659358343970496</v>
      </c>
      <c r="AM2681">
        <v>91.580113490625706</v>
      </c>
      <c r="AN2681">
        <v>0.99999995965140098</v>
      </c>
    </row>
    <row r="2682" spans="1:40" x14ac:dyDescent="0.25">
      <c r="A2682" t="str">
        <f>"20190312151037685"</f>
        <v>20190312151037685</v>
      </c>
      <c r="B2682" t="str">
        <f>"1552374637673767"</f>
        <v>1552374637673767</v>
      </c>
      <c r="C2682" t="s">
        <v>40</v>
      </c>
      <c r="D2682">
        <v>5.3526420000000003</v>
      </c>
      <c r="E2682">
        <v>0.4940929</v>
      </c>
      <c r="F2682" t="s">
        <v>42</v>
      </c>
      <c r="G2682">
        <v>-483.80619999999999</v>
      </c>
      <c r="H2682" s="1">
        <v>-2.771758E-6</v>
      </c>
      <c r="I2682">
        <v>232.9503</v>
      </c>
      <c r="J2682">
        <v>-491.11270000000002</v>
      </c>
      <c r="K2682">
        <v>1.115483</v>
      </c>
      <c r="L2682">
        <v>246.38669999999999</v>
      </c>
      <c r="M2682">
        <v>0.43863819999999998</v>
      </c>
      <c r="N2682">
        <v>0</v>
      </c>
      <c r="O2682">
        <v>-0.89854449999999997</v>
      </c>
      <c r="P2682">
        <v>0.45686399999999999</v>
      </c>
      <c r="Q2682">
        <v>2.7721519999999999E-2</v>
      </c>
      <c r="R2682">
        <v>-0.88910449999999996</v>
      </c>
      <c r="S2682">
        <v>1.434418</v>
      </c>
      <c r="T2682">
        <v>-0.2143843</v>
      </c>
      <c r="U2682">
        <v>-2.6432340000000001</v>
      </c>
      <c r="V2682">
        <v>-2.1086770000000001E-2</v>
      </c>
      <c r="W2682">
        <v>4.2074479999999997E-2</v>
      </c>
      <c r="X2682">
        <v>0.99889190000000005</v>
      </c>
      <c r="Y2682">
        <v>-4.1946459999999998E-2</v>
      </c>
      <c r="Z2682">
        <v>6.4569699999999994E-2</v>
      </c>
      <c r="AA2682">
        <v>0.99703120000000001</v>
      </c>
      <c r="AB2682">
        <v>36</v>
      </c>
      <c r="AC2682">
        <v>7.3065000000000202</v>
      </c>
      <c r="AD2682">
        <v>-1.115485771758</v>
      </c>
      <c r="AE2682">
        <v>-13.4363999999999</v>
      </c>
      <c r="AF2682">
        <v>-0.66801564549763703</v>
      </c>
      <c r="AG2682">
        <v>-1.115485771758</v>
      </c>
      <c r="AH2682">
        <v>15.1989026602335</v>
      </c>
      <c r="AI2682">
        <v>94.193521816295998</v>
      </c>
      <c r="AJ2682">
        <v>92.516619854943798</v>
      </c>
      <c r="AK2682">
        <v>15.254415606140901</v>
      </c>
      <c r="AL2682">
        <v>87.588597974363495</v>
      </c>
      <c r="AM2682">
        <v>91.209343575028797</v>
      </c>
      <c r="AN2682">
        <v>0.99999997081095604</v>
      </c>
    </row>
    <row r="2683" spans="1:40" x14ac:dyDescent="0.25">
      <c r="A2683" t="str">
        <f>"20190312151037707"</f>
        <v>20190312151037707</v>
      </c>
      <c r="B2683" t="str">
        <f>"1552374637703047"</f>
        <v>1552374637703047</v>
      </c>
      <c r="C2683" t="s">
        <v>40</v>
      </c>
      <c r="D2683">
        <v>5.5377020000000003</v>
      </c>
      <c r="E2683">
        <v>0.4942898</v>
      </c>
      <c r="F2683" t="s">
        <v>42</v>
      </c>
      <c r="G2683">
        <v>-483.65989999999999</v>
      </c>
      <c r="H2683" s="1">
        <v>-2.674454E-6</v>
      </c>
      <c r="I2683">
        <v>232.54990000000001</v>
      </c>
      <c r="J2683">
        <v>-490.95350000000002</v>
      </c>
      <c r="K2683">
        <v>1.1148370000000001</v>
      </c>
      <c r="L2683">
        <v>246.06829999999999</v>
      </c>
      <c r="M2683">
        <v>0.4415232</v>
      </c>
      <c r="N2683">
        <v>0</v>
      </c>
      <c r="O2683">
        <v>-0.89713159999999903</v>
      </c>
      <c r="P2683">
        <v>0.45626100000000003</v>
      </c>
      <c r="Q2683">
        <v>2.9118370000000001E-2</v>
      </c>
      <c r="R2683">
        <v>-0.88936999999999999</v>
      </c>
      <c r="S2683">
        <v>1.4262699999999999</v>
      </c>
      <c r="T2683">
        <v>-0.213472</v>
      </c>
      <c r="U2683">
        <v>-2.647964</v>
      </c>
      <c r="V2683">
        <v>-1.7163660000000001E-2</v>
      </c>
      <c r="W2683">
        <v>4.3478910000000003E-2</v>
      </c>
      <c r="X2683">
        <v>0.99890690000000004</v>
      </c>
      <c r="Y2683">
        <v>-3.5628229999999997E-2</v>
      </c>
      <c r="Z2683">
        <v>6.4095440000000004E-2</v>
      </c>
      <c r="AA2683">
        <v>0.99730759999999996</v>
      </c>
      <c r="AB2683">
        <v>36</v>
      </c>
      <c r="AC2683">
        <v>7.2936000000000201</v>
      </c>
      <c r="AD2683">
        <v>-1.1148396744539999</v>
      </c>
      <c r="AE2683">
        <v>-13.5183999999999</v>
      </c>
      <c r="AF2683">
        <v>-0.57168136281514303</v>
      </c>
      <c r="AG2683">
        <v>-1.1148396744539999</v>
      </c>
      <c r="AH2683">
        <v>15.2692727018183</v>
      </c>
      <c r="AI2683">
        <v>94.172954702981102</v>
      </c>
      <c r="AJ2683">
        <v>92.144151725182297</v>
      </c>
      <c r="AK2683">
        <v>15.3205866703211</v>
      </c>
      <c r="AL2683">
        <v>87.508056405510004</v>
      </c>
      <c r="AM2683">
        <v>90.984384547902394</v>
      </c>
      <c r="AN2683">
        <v>1.0000000008534899</v>
      </c>
    </row>
    <row r="2684" spans="1:40" x14ac:dyDescent="0.25">
      <c r="A2684" t="str">
        <f>"20190312151037730"</f>
        <v>20190312151037730</v>
      </c>
      <c r="B2684" t="str">
        <f>"1552374637723544"</f>
        <v>1552374637723544</v>
      </c>
      <c r="C2684" t="s">
        <v>40</v>
      </c>
      <c r="D2684">
        <v>5.4152490000000002</v>
      </c>
      <c r="E2684">
        <v>0.49512659999999997</v>
      </c>
      <c r="F2684" t="s">
        <v>42</v>
      </c>
      <c r="G2684">
        <v>-483.46780000000001</v>
      </c>
      <c r="H2684" s="1">
        <v>-2.5843399999999998E-6</v>
      </c>
      <c r="I2684">
        <v>232.13489999999999</v>
      </c>
      <c r="J2684">
        <v>-490.79230000000001</v>
      </c>
      <c r="K2684">
        <v>1.11422</v>
      </c>
      <c r="L2684">
        <v>245.7474</v>
      </c>
      <c r="M2684">
        <v>0.44389499999999998</v>
      </c>
      <c r="N2684">
        <v>0</v>
      </c>
      <c r="O2684">
        <v>-0.89596160000000002</v>
      </c>
      <c r="P2684">
        <v>0.45081850000000001</v>
      </c>
      <c r="Q2684">
        <v>3.1741640000000002E-2</v>
      </c>
      <c r="R2684">
        <v>-0.89205109999999999</v>
      </c>
      <c r="S2684">
        <v>1.423584</v>
      </c>
      <c r="T2684">
        <v>-0.21201249999999999</v>
      </c>
      <c r="U2684">
        <v>-2.6497649999999999</v>
      </c>
      <c r="V2684">
        <v>-8.4097939999999999E-3</v>
      </c>
      <c r="W2684">
        <v>4.614795E-2</v>
      </c>
      <c r="X2684">
        <v>0.99889919999999999</v>
      </c>
      <c r="Y2684">
        <v>-3.1935909999999998E-2</v>
      </c>
      <c r="Z2684">
        <v>6.3515630000000003E-2</v>
      </c>
      <c r="AA2684">
        <v>0.99746970000000001</v>
      </c>
      <c r="AB2684">
        <v>36</v>
      </c>
      <c r="AC2684">
        <v>7.3244999999999996</v>
      </c>
      <c r="AD2684">
        <v>-1.11422258434</v>
      </c>
      <c r="AE2684">
        <v>-13.612500000000001</v>
      </c>
      <c r="AF2684">
        <v>-0.51731686940041099</v>
      </c>
      <c r="AG2684">
        <v>-1.11422258434</v>
      </c>
      <c r="AH2684">
        <v>15.3693550188696</v>
      </c>
      <c r="AI2684">
        <v>94.144143776207699</v>
      </c>
      <c r="AJ2684">
        <v>91.927789910868796</v>
      </c>
      <c r="AK2684">
        <v>15.418371587391199</v>
      </c>
      <c r="AL2684">
        <v>87.354977803390895</v>
      </c>
      <c r="AM2684">
        <v>90.4823653064837</v>
      </c>
      <c r="AN2684">
        <v>0.99999998484248198</v>
      </c>
    </row>
    <row r="2685" spans="1:40" x14ac:dyDescent="0.25">
      <c r="A2685" t="str">
        <f>"20190312151037752"</f>
        <v>20190312151037752</v>
      </c>
      <c r="B2685" t="str">
        <f>"1552374637743064"</f>
        <v>1552374637743064</v>
      </c>
      <c r="C2685" t="s">
        <v>40</v>
      </c>
      <c r="D2685">
        <v>5.4203799999999998</v>
      </c>
      <c r="E2685">
        <v>0.49539820000000001</v>
      </c>
      <c r="F2685" t="s">
        <v>41</v>
      </c>
      <c r="G2685">
        <v>-490.39510000000001</v>
      </c>
      <c r="H2685">
        <v>1.030186</v>
      </c>
      <c r="I2685">
        <v>244.9949</v>
      </c>
      <c r="J2685">
        <v>-490.63290000000001</v>
      </c>
      <c r="K2685">
        <v>1.1136170000000001</v>
      </c>
      <c r="L2685">
        <v>245.43129999999999</v>
      </c>
      <c r="M2685">
        <v>0.44573829999999998</v>
      </c>
      <c r="N2685">
        <v>0</v>
      </c>
      <c r="O2685">
        <v>-0.89504719999999904</v>
      </c>
      <c r="P2685">
        <v>0.44574059999999999</v>
      </c>
      <c r="Q2685">
        <v>3.4533519999999998E-2</v>
      </c>
      <c r="R2685">
        <v>-0.89449599999999996</v>
      </c>
      <c r="S2685">
        <v>1.406128</v>
      </c>
      <c r="T2685">
        <v>-0.29751319999999998</v>
      </c>
      <c r="U2685">
        <v>-2.662979</v>
      </c>
      <c r="V2685">
        <v>-6.7040709999999996E-4</v>
      </c>
      <c r="W2685">
        <v>4.8953330000000003E-2</v>
      </c>
      <c r="X2685">
        <v>0.99880080000000004</v>
      </c>
      <c r="Y2685">
        <v>-2.1716389999999999E-2</v>
      </c>
      <c r="Z2685">
        <v>8.8526510000000003E-2</v>
      </c>
      <c r="AA2685">
        <v>0.99583710000000003</v>
      </c>
      <c r="AB2685">
        <v>36</v>
      </c>
      <c r="AC2685">
        <v>0.23779999999999199</v>
      </c>
      <c r="AD2685">
        <v>-8.3431000000000005E-2</v>
      </c>
      <c r="AE2685">
        <v>-0.43639999999999102</v>
      </c>
      <c r="AF2685">
        <v>-1.78216873429521E-2</v>
      </c>
      <c r="AG2685">
        <v>-8.3431000000000005E-2</v>
      </c>
      <c r="AH2685">
        <v>0.483034017624975</v>
      </c>
      <c r="AI2685">
        <v>99.793067144154705</v>
      </c>
      <c r="AJ2685">
        <v>92.112986823407994</v>
      </c>
      <c r="AK2685">
        <v>0.49051014921576802</v>
      </c>
      <c r="AL2685">
        <v>87.194059212082294</v>
      </c>
      <c r="AM2685">
        <v>90.038457609982999</v>
      </c>
      <c r="AN2685">
        <v>0.99999995802220298</v>
      </c>
    </row>
    <row r="2686" spans="1:40" x14ac:dyDescent="0.25">
      <c r="A2686" t="str">
        <f>"20190312151037778"</f>
        <v>20190312151037778</v>
      </c>
      <c r="B2686" t="str">
        <f>"1552374637773319"</f>
        <v>1552374637773319</v>
      </c>
      <c r="C2686" t="s">
        <v>40</v>
      </c>
      <c r="D2686">
        <v>5.3797309999999996</v>
      </c>
      <c r="E2686">
        <v>0.49561509999999998</v>
      </c>
      <c r="F2686" t="s">
        <v>41</v>
      </c>
      <c r="G2686">
        <v>-490.25740000000002</v>
      </c>
      <c r="H2686">
        <v>1.0343150000000001</v>
      </c>
      <c r="I2686">
        <v>244.7072</v>
      </c>
      <c r="J2686">
        <v>-490.46699999999998</v>
      </c>
      <c r="K2686">
        <v>1.112989</v>
      </c>
      <c r="L2686">
        <v>245.1028</v>
      </c>
      <c r="M2686">
        <v>0.4471678</v>
      </c>
      <c r="N2686">
        <v>0</v>
      </c>
      <c r="O2686">
        <v>-0.89433469999999904</v>
      </c>
      <c r="P2686">
        <v>0.4411446</v>
      </c>
      <c r="Q2686">
        <v>3.6279829999999999E-2</v>
      </c>
      <c r="R2686">
        <v>-0.89670229999999995</v>
      </c>
      <c r="S2686">
        <v>1.3885799999999999</v>
      </c>
      <c r="T2686">
        <v>-0.29305639999999999</v>
      </c>
      <c r="U2686">
        <v>-2.673187</v>
      </c>
      <c r="V2686">
        <v>6.0904840000000002E-3</v>
      </c>
      <c r="W2686">
        <v>5.0684960000000001E-2</v>
      </c>
      <c r="X2686">
        <v>0.99869609999999998</v>
      </c>
      <c r="Y2686">
        <v>-1.3483409999999999E-2</v>
      </c>
      <c r="Z2686">
        <v>8.6939660000000002E-2</v>
      </c>
      <c r="AA2686">
        <v>0.99612230000000002</v>
      </c>
      <c r="AB2686">
        <v>36</v>
      </c>
      <c r="AC2686">
        <v>0.20959999999996601</v>
      </c>
      <c r="AD2686">
        <v>-7.8674000000000105E-2</v>
      </c>
      <c r="AE2686">
        <v>-0.39560000000000101</v>
      </c>
      <c r="AF2686">
        <v>-1.0237900385760199E-2</v>
      </c>
      <c r="AG2686">
        <v>-7.8674000000000105E-2</v>
      </c>
      <c r="AH2686">
        <v>0.434163801218866</v>
      </c>
      <c r="AI2686">
        <v>100.26821293163199</v>
      </c>
      <c r="AJ2686">
        <v>91.350826101654803</v>
      </c>
      <c r="AK2686">
        <v>0.44135316830076499</v>
      </c>
      <c r="AL2686">
        <v>87.094720814634599</v>
      </c>
      <c r="AM2686">
        <v>89.650589701458799</v>
      </c>
      <c r="AN2686">
        <v>0.99999997966038201</v>
      </c>
    </row>
    <row r="2687" spans="1:40" x14ac:dyDescent="0.25">
      <c r="A2687" t="str">
        <f>"20190312151037796"</f>
        <v>20190312151037796</v>
      </c>
      <c r="B2687" t="str">
        <f>"1552374637793817"</f>
        <v>1552374637793817</v>
      </c>
      <c r="C2687" t="s">
        <v>40</v>
      </c>
      <c r="D2687">
        <v>5.5333059999999996</v>
      </c>
      <c r="E2687">
        <v>0.49557849999999998</v>
      </c>
      <c r="F2687" t="s">
        <v>41</v>
      </c>
      <c r="G2687">
        <v>-490.11750000000001</v>
      </c>
      <c r="H2687">
        <v>1.038869</v>
      </c>
      <c r="I2687">
        <v>244.4196</v>
      </c>
      <c r="J2687">
        <v>-490.31920000000002</v>
      </c>
      <c r="K2687">
        <v>1.1124350000000001</v>
      </c>
      <c r="L2687">
        <v>244.81010000000001</v>
      </c>
      <c r="M2687">
        <v>0.44802819999999999</v>
      </c>
      <c r="N2687">
        <v>0</v>
      </c>
      <c r="O2687">
        <v>-0.89390480000000005</v>
      </c>
      <c r="P2687">
        <v>0.43454350000000003</v>
      </c>
      <c r="Q2687">
        <v>3.6922690000000001E-2</v>
      </c>
      <c r="R2687">
        <v>-0.89989379999999997</v>
      </c>
      <c r="S2687">
        <v>1.3727720000000001</v>
      </c>
      <c r="T2687">
        <v>-0.2909563</v>
      </c>
      <c r="U2687">
        <v>-2.6820219999999999</v>
      </c>
      <c r="V2687">
        <v>1.445071E-2</v>
      </c>
      <c r="W2687">
        <v>5.1315470000000002E-2</v>
      </c>
      <c r="X2687">
        <v>0.99857799999999997</v>
      </c>
      <c r="Y2687">
        <v>-6.5723209999999999E-3</v>
      </c>
      <c r="Z2687">
        <v>8.6114670000000004E-2</v>
      </c>
      <c r="AA2687">
        <v>0.99626360000000003</v>
      </c>
      <c r="AB2687">
        <v>36</v>
      </c>
      <c r="AC2687">
        <v>0.20170000000001601</v>
      </c>
      <c r="AD2687">
        <v>-7.3566000000000006E-2</v>
      </c>
      <c r="AE2687">
        <v>-0.39050000000000201</v>
      </c>
      <c r="AF2687">
        <v>-5.2004379623386797E-3</v>
      </c>
      <c r="AG2687">
        <v>-7.3566000000000006E-2</v>
      </c>
      <c r="AH2687">
        <v>0.42750512580236599</v>
      </c>
      <c r="AI2687">
        <v>99.763244210214594</v>
      </c>
      <c r="AJ2687">
        <v>90.696947084028196</v>
      </c>
      <c r="AK2687">
        <v>0.43381981685752502</v>
      </c>
      <c r="AL2687">
        <v>87.058548418110306</v>
      </c>
      <c r="AM2687">
        <v>89.170914135625694</v>
      </c>
      <c r="AN2687">
        <v>1.00000006128241</v>
      </c>
    </row>
    <row r="2688" spans="1:40" x14ac:dyDescent="0.25">
      <c r="A2688" t="str">
        <f>"20190312151037818"</f>
        <v>20190312151037818</v>
      </c>
      <c r="B2688" t="str">
        <f>"1552374637813335"</f>
        <v>1552374637813335</v>
      </c>
      <c r="C2688" t="s">
        <v>40</v>
      </c>
      <c r="D2688">
        <v>5.458164</v>
      </c>
      <c r="E2688">
        <v>0.49563469999999998</v>
      </c>
      <c r="F2688" t="s">
        <v>41</v>
      </c>
      <c r="G2688">
        <v>-489.97890000000001</v>
      </c>
      <c r="H2688">
        <v>1.0419510000000001</v>
      </c>
      <c r="I2688">
        <v>244.1327</v>
      </c>
      <c r="J2688">
        <v>-490.16699999999997</v>
      </c>
      <c r="K2688">
        <v>1.1118790000000001</v>
      </c>
      <c r="L2688">
        <v>244.5086</v>
      </c>
      <c r="M2688">
        <v>0.44851639999999998</v>
      </c>
      <c r="N2688">
        <v>0</v>
      </c>
      <c r="O2688">
        <v>-0.89366069999999997</v>
      </c>
      <c r="P2688">
        <v>0.42676009999999998</v>
      </c>
      <c r="Q2688">
        <v>3.9292859999999999E-2</v>
      </c>
      <c r="R2688">
        <v>-0.90351110000000001</v>
      </c>
      <c r="S2688">
        <v>1.353394</v>
      </c>
      <c r="T2688">
        <v>-0.28020879999999998</v>
      </c>
      <c r="U2688">
        <v>-2.6917110000000002</v>
      </c>
      <c r="V2688">
        <v>2.3637060000000001E-2</v>
      </c>
      <c r="W2688">
        <v>5.3653999999999903E-2</v>
      </c>
      <c r="X2688">
        <v>0.99827980000000005</v>
      </c>
      <c r="Y2688">
        <v>9.9632980000000006E-4</v>
      </c>
      <c r="Z2688">
        <v>8.27822E-2</v>
      </c>
      <c r="AA2688">
        <v>0.99656719999999999</v>
      </c>
      <c r="AB2688">
        <v>35</v>
      </c>
      <c r="AC2688">
        <v>0.18809999999996299</v>
      </c>
      <c r="AD2688">
        <v>-6.9927999999999907E-2</v>
      </c>
      <c r="AE2688">
        <v>-0.37590000000000101</v>
      </c>
      <c r="AF2688">
        <v>4.8632817831609199E-4</v>
      </c>
      <c r="AG2688">
        <v>-6.9927999999999907E-2</v>
      </c>
      <c r="AH2688">
        <v>0.40901571890532001</v>
      </c>
      <c r="AI2688">
        <v>99.701852843021101</v>
      </c>
      <c r="AJ2688">
        <v>89.931874161171507</v>
      </c>
      <c r="AK2688">
        <v>0.41495062358156898</v>
      </c>
      <c r="AL2688">
        <v>86.924375413617895</v>
      </c>
      <c r="AM2688">
        <v>88.643615976284394</v>
      </c>
      <c r="AN2688">
        <v>1.00000001070474</v>
      </c>
    </row>
    <row r="2689" spans="1:40" x14ac:dyDescent="0.25">
      <c r="A2689" t="str">
        <f>"20190312151037840"</f>
        <v>20190312151037840</v>
      </c>
      <c r="B2689" t="str">
        <f>"1552374637833832"</f>
        <v>1552374637833832</v>
      </c>
      <c r="C2689" t="s">
        <v>40</v>
      </c>
      <c r="D2689">
        <v>5.5841000000000003</v>
      </c>
      <c r="E2689">
        <v>0.49547959999999902</v>
      </c>
      <c r="F2689" t="s">
        <v>42</v>
      </c>
      <c r="G2689">
        <v>-484.50670000000002</v>
      </c>
      <c r="H2689" s="1">
        <v>-2.6049339999999999E-6</v>
      </c>
      <c r="I2689">
        <v>233.0077</v>
      </c>
      <c r="J2689">
        <v>-490.00670000000002</v>
      </c>
      <c r="K2689">
        <v>1.1112930000000001</v>
      </c>
      <c r="L2689">
        <v>244.19</v>
      </c>
      <c r="M2689">
        <v>0.4485171</v>
      </c>
      <c r="N2689">
        <v>0</v>
      </c>
      <c r="O2689">
        <v>-0.89366109999999899</v>
      </c>
      <c r="P2689">
        <v>0.41918919999999998</v>
      </c>
      <c r="Q2689">
        <v>4.1360590000000003E-2</v>
      </c>
      <c r="R2689">
        <v>-0.9069566</v>
      </c>
      <c r="S2689">
        <v>1.3304750000000001</v>
      </c>
      <c r="T2689">
        <v>-0.26134980000000002</v>
      </c>
      <c r="U2689">
        <v>-2.7033079999999998</v>
      </c>
      <c r="V2689">
        <v>3.2022000000000002E-2</v>
      </c>
      <c r="W2689">
        <v>5.5662759999999999E-2</v>
      </c>
      <c r="X2689">
        <v>0.99793600000000005</v>
      </c>
      <c r="Y2689">
        <v>9.2664979999999997E-3</v>
      </c>
      <c r="Z2689">
        <v>7.7084379999999994E-2</v>
      </c>
      <c r="AA2689">
        <v>0.99698149999999996</v>
      </c>
      <c r="AB2689">
        <v>35</v>
      </c>
      <c r="AC2689">
        <v>5.5</v>
      </c>
      <c r="AD2689">
        <v>-1.1112956049339999</v>
      </c>
      <c r="AE2689">
        <v>-11.1822999999999</v>
      </c>
      <c r="AF2689">
        <v>9.9535306460678499E-2</v>
      </c>
      <c r="AG2689">
        <v>-1.1112956049339999</v>
      </c>
      <c r="AH2689">
        <v>12.3629739305392</v>
      </c>
      <c r="AI2689">
        <v>95.136291300057593</v>
      </c>
      <c r="AJ2689">
        <v>89.538716995769505</v>
      </c>
      <c r="AK2689">
        <v>12.413219147585</v>
      </c>
      <c r="AL2689">
        <v>86.809109599983003</v>
      </c>
      <c r="AM2689">
        <v>88.162110466803298</v>
      </c>
      <c r="AN2689">
        <v>1.0000000057153999</v>
      </c>
    </row>
    <row r="2690" spans="1:40" x14ac:dyDescent="0.25">
      <c r="A2690" t="str">
        <f>"20190312151037863"</f>
        <v>20190312151037863</v>
      </c>
      <c r="B2690" t="str">
        <f>"1552374637853352"</f>
        <v>1552374637853352</v>
      </c>
      <c r="C2690" t="s">
        <v>40</v>
      </c>
      <c r="D2690">
        <v>5.5126410000000003</v>
      </c>
      <c r="E2690">
        <v>0.49521670000000001</v>
      </c>
      <c r="F2690" t="s">
        <v>41</v>
      </c>
      <c r="G2690">
        <v>-489.5711</v>
      </c>
      <c r="H2690">
        <v>1.0283610000000001</v>
      </c>
      <c r="I2690">
        <v>243.2859</v>
      </c>
      <c r="J2690">
        <v>-489.84750000000003</v>
      </c>
      <c r="K2690">
        <v>1.110714</v>
      </c>
      <c r="L2690">
        <v>243.8725</v>
      </c>
      <c r="M2690">
        <v>0.44802399999999998</v>
      </c>
      <c r="N2690">
        <v>0</v>
      </c>
      <c r="O2690">
        <v>-0.89390899999999995</v>
      </c>
      <c r="P2690">
        <v>0.41168359999999898</v>
      </c>
      <c r="Q2690">
        <v>4.1514040000000002E-2</v>
      </c>
      <c r="R2690">
        <v>-0.91038079999999999</v>
      </c>
      <c r="S2690">
        <v>1.3085020000000001</v>
      </c>
      <c r="T2690">
        <v>-0.24901429999999999</v>
      </c>
      <c r="U2690">
        <v>-2.7143860000000002</v>
      </c>
      <c r="V2690">
        <v>3.9793879999999997E-2</v>
      </c>
      <c r="W2690">
        <v>5.5741319999999997E-2</v>
      </c>
      <c r="X2690">
        <v>0.99765190000000004</v>
      </c>
      <c r="Y2690">
        <v>1.671775E-2</v>
      </c>
      <c r="Z2690">
        <v>7.3343439999999996E-2</v>
      </c>
      <c r="AA2690">
        <v>0.99716660000000001</v>
      </c>
      <c r="AB2690">
        <v>35</v>
      </c>
      <c r="AC2690">
        <v>0.27640000000002302</v>
      </c>
      <c r="AD2690">
        <v>-8.2352999999999899E-2</v>
      </c>
      <c r="AE2690">
        <v>-0.58660000000000401</v>
      </c>
      <c r="AF2690">
        <v>1.5486242603181301E-2</v>
      </c>
      <c r="AG2690">
        <v>-8.2352999999999899E-2</v>
      </c>
      <c r="AH2690">
        <v>0.63797640936331901</v>
      </c>
      <c r="AI2690">
        <v>97.353193100712602</v>
      </c>
      <c r="AJ2690">
        <v>88.609475025782402</v>
      </c>
      <c r="AK2690">
        <v>0.64345608958426803</v>
      </c>
      <c r="AL2690">
        <v>86.8046013640556</v>
      </c>
      <c r="AM2690">
        <v>87.7158231803474</v>
      </c>
      <c r="AN2690">
        <v>0.99999998060720297</v>
      </c>
    </row>
    <row r="2691" spans="1:40" x14ac:dyDescent="0.25">
      <c r="A2691" t="str">
        <f>"20190312151037885"</f>
        <v>20190312151037885</v>
      </c>
      <c r="B2691" t="str">
        <f>"1552374637873848"</f>
        <v>1552374637873848</v>
      </c>
      <c r="C2691" t="s">
        <v>40</v>
      </c>
      <c r="D2691">
        <v>5.6445910000000001</v>
      </c>
      <c r="E2691">
        <v>0.49467309999999998</v>
      </c>
      <c r="F2691" t="s">
        <v>41</v>
      </c>
      <c r="G2691">
        <v>-489.43540000000002</v>
      </c>
      <c r="H2691">
        <v>1.032089</v>
      </c>
      <c r="I2691">
        <v>242.99799999999999</v>
      </c>
      <c r="J2691">
        <v>-489.68970000000002</v>
      </c>
      <c r="K2691">
        <v>1.1101799999999999</v>
      </c>
      <c r="L2691">
        <v>243.55619999999999</v>
      </c>
      <c r="M2691">
        <v>0.44711440000000002</v>
      </c>
      <c r="N2691">
        <v>0</v>
      </c>
      <c r="O2691">
        <v>-0.89436450000000001</v>
      </c>
      <c r="P2691">
        <v>0.40377069999999998</v>
      </c>
      <c r="Q2691">
        <v>3.9260950000000003E-2</v>
      </c>
      <c r="R2691">
        <v>-0.91401739999999998</v>
      </c>
      <c r="S2691">
        <v>1.2859799999999999</v>
      </c>
      <c r="T2691">
        <v>-0.24496970000000001</v>
      </c>
      <c r="U2691">
        <v>-2.725006</v>
      </c>
      <c r="V2691">
        <v>4.7555149999999997E-2</v>
      </c>
      <c r="W2691">
        <v>5.3403060000000002E-2</v>
      </c>
      <c r="X2691">
        <v>0.99743999999999999</v>
      </c>
      <c r="Y2691">
        <v>2.3895010000000001E-2</v>
      </c>
      <c r="Z2691">
        <v>7.2069079999999994E-2</v>
      </c>
      <c r="AA2691">
        <v>0.99711329999999998</v>
      </c>
      <c r="AB2691">
        <v>35</v>
      </c>
      <c r="AC2691">
        <v>0.25430000000000003</v>
      </c>
      <c r="AD2691">
        <v>-7.8090999999999897E-2</v>
      </c>
      <c r="AE2691">
        <v>-0.55819999999999903</v>
      </c>
      <c r="AF2691">
        <v>2.1791403302535602E-2</v>
      </c>
      <c r="AG2691">
        <v>-7.8090999999999897E-2</v>
      </c>
      <c r="AH2691">
        <v>0.60322026467573997</v>
      </c>
      <c r="AI2691">
        <v>97.371551911392601</v>
      </c>
      <c r="AJ2691">
        <v>87.931082880997806</v>
      </c>
      <c r="AK2691">
        <v>0.60864419594239405</v>
      </c>
      <c r="AL2691">
        <v>86.938773723273002</v>
      </c>
      <c r="AM2691">
        <v>87.2703644593294</v>
      </c>
      <c r="AN2691">
        <v>0.99999996635444199</v>
      </c>
    </row>
    <row r="2692" spans="1:40" x14ac:dyDescent="0.25">
      <c r="A2692" t="str">
        <f>"20190312151037907"</f>
        <v>20190312151037907</v>
      </c>
      <c r="B2692" t="str">
        <f>"1552374637903127"</f>
        <v>1552374637903127</v>
      </c>
      <c r="C2692" t="s">
        <v>40</v>
      </c>
      <c r="D2692">
        <v>5.6535060000000001</v>
      </c>
      <c r="E2692">
        <v>0.49335200000000001</v>
      </c>
      <c r="F2692" t="s">
        <v>41</v>
      </c>
      <c r="G2692">
        <v>-489.29930000000002</v>
      </c>
      <c r="H2692">
        <v>1.0330839999999999</v>
      </c>
      <c r="I2692">
        <v>242.71190000000001</v>
      </c>
      <c r="J2692">
        <v>-489.53570000000002</v>
      </c>
      <c r="K2692">
        <v>1.109672</v>
      </c>
      <c r="L2692">
        <v>243.2457</v>
      </c>
      <c r="M2692">
        <v>0.44579200000000002</v>
      </c>
      <c r="N2692">
        <v>0</v>
      </c>
      <c r="O2692">
        <v>-0.89502510000000002</v>
      </c>
      <c r="P2692">
        <v>0.39447359999999998</v>
      </c>
      <c r="Q2692">
        <v>3.7085720000000003E-2</v>
      </c>
      <c r="R2692">
        <v>-0.91815919999999895</v>
      </c>
      <c r="S2692">
        <v>1.2644040000000001</v>
      </c>
      <c r="T2692">
        <v>-0.24963560000000001</v>
      </c>
      <c r="U2692">
        <v>-2.734375</v>
      </c>
      <c r="V2692">
        <v>5.6311029999999998E-2</v>
      </c>
      <c r="W2692">
        <v>5.1127859999999997E-2</v>
      </c>
      <c r="X2692">
        <v>0.99710330000000003</v>
      </c>
      <c r="Y2692">
        <v>3.024234E-2</v>
      </c>
      <c r="Z2692">
        <v>7.3387560000000004E-2</v>
      </c>
      <c r="AA2692">
        <v>0.99684479999999998</v>
      </c>
      <c r="AB2692">
        <v>35</v>
      </c>
      <c r="AC2692">
        <v>0.236400000000003</v>
      </c>
      <c r="AD2692">
        <v>-7.6587999999999795E-2</v>
      </c>
      <c r="AE2692">
        <v>-0.53379999999998495</v>
      </c>
      <c r="AF2692">
        <v>2.5936102005068299E-2</v>
      </c>
      <c r="AG2692">
        <v>-7.6587999999999795E-2</v>
      </c>
      <c r="AH2692">
        <v>0.57334049528195896</v>
      </c>
      <c r="AI2692">
        <v>97.600962340876706</v>
      </c>
      <c r="AJ2692">
        <v>87.409886826961397</v>
      </c>
      <c r="AK2692">
        <v>0.57901444425970805</v>
      </c>
      <c r="AL2692">
        <v>87.069311600099994</v>
      </c>
      <c r="AM2692">
        <v>86.7676760774755</v>
      </c>
      <c r="AN2692">
        <v>0.99999999051936495</v>
      </c>
    </row>
    <row r="2693" spans="1:40" x14ac:dyDescent="0.25">
      <c r="A2693" t="str">
        <f>"20190312151037930"</f>
        <v>20190312151037930</v>
      </c>
      <c r="B2693" t="str">
        <f>"1552374637923623"</f>
        <v>1552374637923623</v>
      </c>
      <c r="C2693" t="s">
        <v>40</v>
      </c>
      <c r="D2693">
        <v>5.5011859999999997</v>
      </c>
      <c r="E2693">
        <v>0.4922686</v>
      </c>
      <c r="F2693" t="s">
        <v>41</v>
      </c>
      <c r="G2693">
        <v>-489.16359999999997</v>
      </c>
      <c r="H2693">
        <v>1.0317879999999999</v>
      </c>
      <c r="I2693">
        <v>242.42689999999999</v>
      </c>
      <c r="J2693">
        <v>-489.37369999999999</v>
      </c>
      <c r="K2693">
        <v>1.109127</v>
      </c>
      <c r="L2693">
        <v>242.91640000000001</v>
      </c>
      <c r="M2693">
        <v>0.44390020000000002</v>
      </c>
      <c r="N2693">
        <v>0</v>
      </c>
      <c r="O2693">
        <v>-0.89596489999999995</v>
      </c>
      <c r="P2693">
        <v>0.38501560000000001</v>
      </c>
      <c r="Q2693">
        <v>3.4493830000000003E-2</v>
      </c>
      <c r="R2693">
        <v>-0.92226509999999995</v>
      </c>
      <c r="S2693">
        <v>1.2465820000000001</v>
      </c>
      <c r="T2693">
        <v>-0.26087120000000003</v>
      </c>
      <c r="U2693">
        <v>-2.7423549999999999</v>
      </c>
      <c r="V2693">
        <v>6.4560740000000005E-2</v>
      </c>
      <c r="W2693">
        <v>4.8415149999999997E-2</v>
      </c>
      <c r="X2693">
        <v>0.99673860000000003</v>
      </c>
      <c r="Y2693">
        <v>3.4704510000000001E-2</v>
      </c>
      <c r="Z2693">
        <v>7.6670909999999995E-2</v>
      </c>
      <c r="AA2693">
        <v>0.99645229999999996</v>
      </c>
      <c r="AB2693">
        <v>35</v>
      </c>
      <c r="AC2693">
        <v>0.210100000000011</v>
      </c>
      <c r="AD2693">
        <v>-7.7339000000000005E-2</v>
      </c>
      <c r="AE2693">
        <v>-0.48950000000001997</v>
      </c>
      <c r="AF2693">
        <v>2.8450109828741899E-2</v>
      </c>
      <c r="AG2693">
        <v>-7.7339000000000005E-2</v>
      </c>
      <c r="AH2693">
        <v>0.52091083613851097</v>
      </c>
      <c r="AI2693">
        <v>98.432558538687999</v>
      </c>
      <c r="AJ2693">
        <v>86.873834804916896</v>
      </c>
      <c r="AK2693">
        <v>0.52738868861285804</v>
      </c>
      <c r="AL2693">
        <v>87.224931314657297</v>
      </c>
      <c r="AM2693">
        <v>86.294015416727007</v>
      </c>
      <c r="AN2693">
        <v>0.99999997631441395</v>
      </c>
    </row>
    <row r="2694" spans="1:40" x14ac:dyDescent="0.25">
      <c r="A2694" t="str">
        <f>"20190312151037953"</f>
        <v>20190312151037953</v>
      </c>
      <c r="B2694" t="str">
        <f>"1552374637943144"</f>
        <v>1552374637943144</v>
      </c>
      <c r="C2694" t="s">
        <v>40</v>
      </c>
      <c r="D2694">
        <v>5.6695489999999999</v>
      </c>
      <c r="E2694">
        <v>0.49357529999999999</v>
      </c>
      <c r="F2694" t="s">
        <v>41</v>
      </c>
      <c r="G2694">
        <v>-489.02859999999998</v>
      </c>
      <c r="H2694">
        <v>1.030689</v>
      </c>
      <c r="I2694">
        <v>242.14169999999999</v>
      </c>
      <c r="J2694">
        <v>-489.2131</v>
      </c>
      <c r="K2694">
        <v>1.108579</v>
      </c>
      <c r="L2694">
        <v>242.5874</v>
      </c>
      <c r="M2694">
        <v>0.4415114</v>
      </c>
      <c r="N2694">
        <v>0</v>
      </c>
      <c r="O2694">
        <v>-0.89714470000000002</v>
      </c>
      <c r="P2694">
        <v>0.37644820000000001</v>
      </c>
      <c r="Q2694">
        <v>3.1979069999999998E-2</v>
      </c>
      <c r="R2694">
        <v>-0.92588559999999998</v>
      </c>
      <c r="S2694">
        <v>1.226013</v>
      </c>
      <c r="T2694">
        <v>-0.27848469999999997</v>
      </c>
      <c r="U2694">
        <v>-2.7514340000000002</v>
      </c>
      <c r="V2694">
        <v>7.1242529999999998E-2</v>
      </c>
      <c r="W2694">
        <v>4.577022E-2</v>
      </c>
      <c r="X2694">
        <v>0.99640830000000002</v>
      </c>
      <c r="Y2694">
        <v>3.9662169999999997E-2</v>
      </c>
      <c r="Z2694">
        <v>8.1824549999999996E-2</v>
      </c>
      <c r="AA2694">
        <v>0.9958572</v>
      </c>
      <c r="AB2694">
        <v>35</v>
      </c>
      <c r="AC2694">
        <v>0.18450000000001399</v>
      </c>
      <c r="AD2694">
        <v>-7.7890000000000001E-2</v>
      </c>
      <c r="AE2694">
        <v>-0.44570000000001597</v>
      </c>
      <c r="AF2694">
        <v>3.0467180249808601E-2</v>
      </c>
      <c r="AG2694">
        <v>-7.7890000000000001E-2</v>
      </c>
      <c r="AH2694">
        <v>0.46913255176317897</v>
      </c>
      <c r="AI2694">
        <v>99.407354541845294</v>
      </c>
      <c r="AJ2694">
        <v>86.284221071676697</v>
      </c>
      <c r="AK2694">
        <v>0.47652959225656299</v>
      </c>
      <c r="AL2694">
        <v>87.376642955326901</v>
      </c>
      <c r="AM2694">
        <v>85.910349415285395</v>
      </c>
      <c r="AN2694">
        <v>0.99999995571426803</v>
      </c>
    </row>
    <row r="2695" spans="1:40" x14ac:dyDescent="0.25">
      <c r="A2695" t="str">
        <f>"20190312151037997"</f>
        <v>20190312151037997</v>
      </c>
      <c r="B2695" t="str">
        <f>"1552374637992920"</f>
        <v>1552374637992920</v>
      </c>
      <c r="C2695" t="s">
        <v>40</v>
      </c>
      <c r="D2695">
        <v>5.6333979999999997</v>
      </c>
      <c r="E2695">
        <v>0.51217449999999998</v>
      </c>
      <c r="F2695" t="s">
        <v>41</v>
      </c>
      <c r="G2695">
        <v>-488.89780000000002</v>
      </c>
      <c r="H2695">
        <v>1.0332190000000001</v>
      </c>
      <c r="I2695">
        <v>241.8526</v>
      </c>
      <c r="J2695">
        <v>-488.9128</v>
      </c>
      <c r="K2695">
        <v>1.1075680000000001</v>
      </c>
      <c r="L2695">
        <v>241.96199999999999</v>
      </c>
      <c r="M2695">
        <v>0.4356274</v>
      </c>
      <c r="N2695">
        <v>0</v>
      </c>
      <c r="O2695">
        <v>-0.90001679999999995</v>
      </c>
      <c r="P2695">
        <v>0.35857820000000001</v>
      </c>
      <c r="Q2695">
        <v>3.2266700000000002E-2</v>
      </c>
      <c r="R2695">
        <v>-0.93294200000000005</v>
      </c>
      <c r="S2695">
        <v>1.1889339999999999</v>
      </c>
      <c r="T2695">
        <v>-0.28344619999999998</v>
      </c>
      <c r="U2695">
        <v>-2.7664789999999999</v>
      </c>
      <c r="V2695">
        <v>8.3985779999999996E-2</v>
      </c>
      <c r="W2695">
        <v>4.5779739999999999E-2</v>
      </c>
      <c r="X2695">
        <v>0.99541480000000004</v>
      </c>
      <c r="Y2695">
        <v>4.639832E-2</v>
      </c>
      <c r="Z2695">
        <v>8.3441849999999998E-2</v>
      </c>
      <c r="AA2695">
        <v>0.99543190000000004</v>
      </c>
      <c r="AB2695">
        <v>35</v>
      </c>
      <c r="AC2695">
        <v>1.49999999999863E-2</v>
      </c>
      <c r="AD2695">
        <v>-7.4348999999999998E-2</v>
      </c>
      <c r="AE2695">
        <v>-0.10940000000002199</v>
      </c>
      <c r="AF2695">
        <v>2.3504966016024299E-2</v>
      </c>
      <c r="AG2695">
        <v>-7.4348999999999998E-2</v>
      </c>
      <c r="AH2695">
        <v>7.2251819693233396E-2</v>
      </c>
      <c r="AI2695">
        <v>134.37876760680601</v>
      </c>
      <c r="AJ2695">
        <v>71.979253998507403</v>
      </c>
      <c r="AK2695">
        <v>0.106304198775956</v>
      </c>
      <c r="AL2695">
        <v>87.376097069525201</v>
      </c>
      <c r="AM2695">
        <v>85.177225895490807</v>
      </c>
      <c r="AN2695">
        <v>1.0000000099478501</v>
      </c>
    </row>
    <row r="2696" spans="1:40" x14ac:dyDescent="0.25">
      <c r="A2696" t="str">
        <f>"20190312151038020"</f>
        <v>20190312151038020</v>
      </c>
      <c r="B2696" t="str">
        <f>"1552374638013417"</f>
        <v>1552374638013417</v>
      </c>
      <c r="C2696" t="s">
        <v>40</v>
      </c>
      <c r="D2696">
        <v>5.6768710000000002</v>
      </c>
      <c r="E2696">
        <v>0.51064529999999997</v>
      </c>
      <c r="F2696" t="s">
        <v>50</v>
      </c>
      <c r="G2696">
        <v>-479.36250000000001</v>
      </c>
      <c r="H2696" s="1">
        <v>1.8051629999999999E-6</v>
      </c>
      <c r="I2696">
        <v>214.58430000000001</v>
      </c>
      <c r="J2696">
        <v>-488.76839999999999</v>
      </c>
      <c r="K2696">
        <v>1.107111</v>
      </c>
      <c r="L2696">
        <v>241.65549999999999</v>
      </c>
      <c r="M2696">
        <v>0.43214340000000001</v>
      </c>
      <c r="N2696">
        <v>0</v>
      </c>
      <c r="O2696">
        <v>-0.90169489999999997</v>
      </c>
      <c r="P2696">
        <v>0.3495973</v>
      </c>
      <c r="Q2696">
        <v>3.1935379999999999E-2</v>
      </c>
      <c r="R2696">
        <v>-0.93635579999999996</v>
      </c>
      <c r="S2696">
        <v>0.99032589999999998</v>
      </c>
      <c r="T2696">
        <v>-0.1148494</v>
      </c>
      <c r="U2696">
        <v>-2.838943</v>
      </c>
      <c r="V2696">
        <v>8.9754520000000004E-2</v>
      </c>
      <c r="W2696">
        <v>4.5308639999999997E-2</v>
      </c>
      <c r="X2696">
        <v>0.99493279999999995</v>
      </c>
      <c r="Y2696">
        <v>0.1112527</v>
      </c>
      <c r="Z2696">
        <v>3.3502469999999999E-2</v>
      </c>
      <c r="AA2696">
        <v>0.99322730000000004</v>
      </c>
      <c r="AB2696">
        <v>35</v>
      </c>
      <c r="AC2696">
        <v>9.4058999999999706</v>
      </c>
      <c r="AD2696">
        <v>-1.107109194837</v>
      </c>
      <c r="AE2696">
        <v>-27.071199999999902</v>
      </c>
      <c r="AF2696">
        <v>3.2129127835449198</v>
      </c>
      <c r="AG2696">
        <v>-1.107109194837</v>
      </c>
      <c r="AH2696">
        <v>28.435050742070398</v>
      </c>
      <c r="AI2696">
        <v>92.215581662217502</v>
      </c>
      <c r="AJ2696">
        <v>83.553418310842105</v>
      </c>
      <c r="AK2696">
        <v>28.637398799962199</v>
      </c>
      <c r="AL2696">
        <v>87.4031171536366</v>
      </c>
      <c r="AM2696">
        <v>84.845206998708804</v>
      </c>
      <c r="AN2696">
        <v>1.0000000116174601</v>
      </c>
    </row>
    <row r="2697" spans="1:40" x14ac:dyDescent="0.25">
      <c r="A2697" t="str">
        <f>"20190312151038040"</f>
        <v>20190312151038040</v>
      </c>
      <c r="B2697" t="str">
        <f>"1552374638032937"</f>
        <v>1552374638032937</v>
      </c>
      <c r="C2697" t="s">
        <v>40</v>
      </c>
      <c r="D2697">
        <v>5.6617649999999999</v>
      </c>
      <c r="E2697">
        <v>0.50998849999999996</v>
      </c>
      <c r="F2697" t="s">
        <v>50</v>
      </c>
      <c r="G2697">
        <v>-480.10930000000002</v>
      </c>
      <c r="H2697" s="1">
        <v>1.6466909999999901E-6</v>
      </c>
      <c r="I2697">
        <v>216.38310000000001</v>
      </c>
      <c r="J2697">
        <v>-488.62549999999999</v>
      </c>
      <c r="K2697">
        <v>1.106697</v>
      </c>
      <c r="L2697">
        <v>241.34819999999999</v>
      </c>
      <c r="M2697">
        <v>0.42831449999999999</v>
      </c>
      <c r="N2697">
        <v>0</v>
      </c>
      <c r="O2697">
        <v>-0.90351990000000004</v>
      </c>
      <c r="P2697">
        <v>0.3416632</v>
      </c>
      <c r="Q2697">
        <v>2.7053109999999998E-2</v>
      </c>
      <c r="R2697">
        <v>-0.93943310000000002</v>
      </c>
      <c r="S2697">
        <v>0.97454830000000003</v>
      </c>
      <c r="T2697">
        <v>-0.12460010000000001</v>
      </c>
      <c r="U2697">
        <v>-2.8442989999999999</v>
      </c>
      <c r="V2697">
        <v>9.4021320000000005E-2</v>
      </c>
      <c r="W2697">
        <v>4.0303579999999999E-2</v>
      </c>
      <c r="X2697">
        <v>0.99475409999999997</v>
      </c>
      <c r="Y2697">
        <v>0.1125767</v>
      </c>
      <c r="Z2697">
        <v>3.641614E-2</v>
      </c>
      <c r="AA2697">
        <v>0.99297550000000001</v>
      </c>
      <c r="AB2697">
        <v>35</v>
      </c>
      <c r="AC2697">
        <v>8.5161999999999694</v>
      </c>
      <c r="AD2697">
        <v>-1.106695353309</v>
      </c>
      <c r="AE2697">
        <v>-24.9650999999999</v>
      </c>
      <c r="AF2697">
        <v>2.9933865377537301</v>
      </c>
      <c r="AG2697">
        <v>-1.106695353309</v>
      </c>
      <c r="AH2697">
        <v>26.1606273049142</v>
      </c>
      <c r="AI2697">
        <v>92.406702681725704</v>
      </c>
      <c r="AJ2697">
        <v>83.472414261404595</v>
      </c>
      <c r="AK2697">
        <v>26.354573769197302</v>
      </c>
      <c r="AL2697">
        <v>87.690149456595805</v>
      </c>
      <c r="AM2697">
        <v>84.6006067088572</v>
      </c>
      <c r="AN2697">
        <v>1.00000005332108</v>
      </c>
    </row>
    <row r="2698" spans="1:40" x14ac:dyDescent="0.25">
      <c r="A2698" t="str">
        <f>"20190312151038063"</f>
        <v>20190312151038063</v>
      </c>
      <c r="B2698" t="str">
        <f>"1552374638053433"</f>
        <v>1552374638053433</v>
      </c>
      <c r="C2698" t="s">
        <v>40</v>
      </c>
      <c r="D2698">
        <v>5.6478449999999896</v>
      </c>
      <c r="E2698">
        <v>0.50926349999999998</v>
      </c>
      <c r="F2698" t="s">
        <v>50</v>
      </c>
      <c r="G2698">
        <v>-481.65620000000001</v>
      </c>
      <c r="H2698" s="1">
        <v>2.2692140000000002E-6</v>
      </c>
      <c r="I2698">
        <v>220.55170000000001</v>
      </c>
      <c r="J2698">
        <v>-488.4776</v>
      </c>
      <c r="K2698">
        <v>1.1063459999999901</v>
      </c>
      <c r="L2698">
        <v>241.0257</v>
      </c>
      <c r="M2698">
        <v>0.42401949999999999</v>
      </c>
      <c r="N2698">
        <v>0</v>
      </c>
      <c r="O2698">
        <v>-0.90554319999999999</v>
      </c>
      <c r="P2698">
        <v>0.33325359999999998</v>
      </c>
      <c r="Q2698">
        <v>2.2908689999999999E-2</v>
      </c>
      <c r="R2698">
        <v>-0.94255919999999904</v>
      </c>
      <c r="S2698">
        <v>0.95523069999999999</v>
      </c>
      <c r="T2698">
        <v>-0.15168619999999999</v>
      </c>
      <c r="U2698">
        <v>-2.8504179999999999</v>
      </c>
      <c r="V2698">
        <v>9.8232059999999996E-2</v>
      </c>
      <c r="W2698">
        <v>3.6039960000000003E-2</v>
      </c>
      <c r="X2698">
        <v>0.99451069999999997</v>
      </c>
      <c r="Y2698">
        <v>0.11466220000000001</v>
      </c>
      <c r="Z2698">
        <v>4.4413199999999903E-2</v>
      </c>
      <c r="AA2698">
        <v>0.9924113</v>
      </c>
      <c r="AB2698">
        <v>35</v>
      </c>
      <c r="AC2698">
        <v>6.8213999999999801</v>
      </c>
      <c r="AD2698">
        <v>-1.10634373078599</v>
      </c>
      <c r="AE2698">
        <v>-20.473999999999901</v>
      </c>
      <c r="AF2698">
        <v>2.4979868290504399</v>
      </c>
      <c r="AG2698">
        <v>-1.10634373078599</v>
      </c>
      <c r="AH2698">
        <v>21.378443813441301</v>
      </c>
      <c r="AI2698">
        <v>92.942455686644394</v>
      </c>
      <c r="AJ2698">
        <v>83.335434968530905</v>
      </c>
      <c r="AK2698">
        <v>21.552303694343799</v>
      </c>
      <c r="AL2698">
        <v>87.934615066492</v>
      </c>
      <c r="AM2698">
        <v>84.358949564851798</v>
      </c>
      <c r="AN2698">
        <v>0.99999997437156696</v>
      </c>
    </row>
    <row r="2699" spans="1:40" x14ac:dyDescent="0.25">
      <c r="A2699" t="str">
        <f>"20190312151038084"</f>
        <v>20190312151038084</v>
      </c>
      <c r="B2699" t="str">
        <f>"1552374638072952"</f>
        <v>1552374638072952</v>
      </c>
      <c r="C2699" t="s">
        <v>40</v>
      </c>
      <c r="D2699">
        <v>6.3764529999999997</v>
      </c>
      <c r="E2699">
        <v>0.50859840000000001</v>
      </c>
      <c r="F2699" t="s">
        <v>50</v>
      </c>
      <c r="G2699">
        <v>-481.64690000000002</v>
      </c>
      <c r="H2699" s="1">
        <v>2.1802150000000001E-6</v>
      </c>
      <c r="I2699">
        <v>220.15649999999999</v>
      </c>
      <c r="J2699">
        <v>-488.33519999999999</v>
      </c>
      <c r="K2699">
        <v>1.1060680000000001</v>
      </c>
      <c r="L2699">
        <v>240.71080000000001</v>
      </c>
      <c r="M2699">
        <v>0.4196049</v>
      </c>
      <c r="N2699">
        <v>0</v>
      </c>
      <c r="O2699">
        <v>-0.9075974</v>
      </c>
      <c r="P2699">
        <v>0.32511410000000002</v>
      </c>
      <c r="Q2699">
        <v>2.4454239999999999E-2</v>
      </c>
      <c r="R2699">
        <v>-0.94535880000000005</v>
      </c>
      <c r="S2699">
        <v>0.9347839</v>
      </c>
      <c r="T2699">
        <v>-0.15140499999999901</v>
      </c>
      <c r="U2699">
        <v>-2.855972</v>
      </c>
      <c r="V2699">
        <v>0.1019885</v>
      </c>
      <c r="W2699">
        <v>3.7476170000000003E-2</v>
      </c>
      <c r="X2699">
        <v>0.99407939999999995</v>
      </c>
      <c r="Y2699">
        <v>0.1168092</v>
      </c>
      <c r="Z2699">
        <v>4.4441219999999997E-2</v>
      </c>
      <c r="AA2699">
        <v>0.99215949999999997</v>
      </c>
      <c r="AB2699">
        <v>35</v>
      </c>
      <c r="AC2699">
        <v>6.6882999999999697</v>
      </c>
      <c r="AD2699">
        <v>-1.106065819785</v>
      </c>
      <c r="AE2699">
        <v>-20.554300000000001</v>
      </c>
      <c r="AF2699">
        <v>2.5479832925822601</v>
      </c>
      <c r="AG2699">
        <v>-1.106065819785</v>
      </c>
      <c r="AH2699">
        <v>21.4075500709985</v>
      </c>
      <c r="AI2699">
        <v>92.936982864593205</v>
      </c>
      <c r="AJ2699">
        <v>83.212436182539804</v>
      </c>
      <c r="AK2699">
        <v>21.587005362006199</v>
      </c>
      <c r="AL2699">
        <v>87.852270660776298</v>
      </c>
      <c r="AM2699">
        <v>84.142181856513801</v>
      </c>
      <c r="AN2699">
        <v>0.99999998547723901</v>
      </c>
    </row>
    <row r="2700" spans="1:40" x14ac:dyDescent="0.25">
      <c r="A2700" t="str">
        <f>"20190312151038107"</f>
        <v>20190312151038107</v>
      </c>
      <c r="B2700" t="str">
        <f>"1552374638103208"</f>
        <v>1552374638103208</v>
      </c>
      <c r="C2700" t="s">
        <v>40</v>
      </c>
      <c r="D2700">
        <v>5.6530940000000003</v>
      </c>
      <c r="E2700">
        <v>0.50816300000000003</v>
      </c>
      <c r="F2700" t="s">
        <v>50</v>
      </c>
      <c r="G2700">
        <v>-480.75069999999999</v>
      </c>
      <c r="H2700" s="1">
        <v>1.787114E-6</v>
      </c>
      <c r="I2700">
        <v>216.99250000000001</v>
      </c>
      <c r="J2700">
        <v>-488.19200000000001</v>
      </c>
      <c r="K2700">
        <v>1.105829</v>
      </c>
      <c r="L2700">
        <v>240.3897</v>
      </c>
      <c r="M2700">
        <v>0.41491289999999997</v>
      </c>
      <c r="N2700">
        <v>0</v>
      </c>
      <c r="O2700">
        <v>-0.90975209999999995</v>
      </c>
      <c r="P2700">
        <v>0.31666650000000002</v>
      </c>
      <c r="Q2700">
        <v>2.866432E-2</v>
      </c>
      <c r="R2700">
        <v>-0.94810399999999995</v>
      </c>
      <c r="S2700">
        <v>0.91522219999999999</v>
      </c>
      <c r="T2700">
        <v>-0.13347029999999999</v>
      </c>
      <c r="U2700">
        <v>-2.8621219999999998</v>
      </c>
      <c r="V2700">
        <v>0.1057433</v>
      </c>
      <c r="W2700">
        <v>4.1580440000000003E-2</v>
      </c>
      <c r="X2700">
        <v>0.99352370000000001</v>
      </c>
      <c r="Y2700">
        <v>0.118378</v>
      </c>
      <c r="Z2700">
        <v>3.928251E-2</v>
      </c>
      <c r="AA2700">
        <v>0.9921913</v>
      </c>
      <c r="AB2700">
        <v>35</v>
      </c>
      <c r="AC2700">
        <v>7.4412999999999503</v>
      </c>
      <c r="AD2700">
        <v>-1.1058272128860001</v>
      </c>
      <c r="AE2700">
        <v>-23.397200000000002</v>
      </c>
      <c r="AF2700">
        <v>2.9324045802244498</v>
      </c>
      <c r="AG2700">
        <v>-1.1058272128860001</v>
      </c>
      <c r="AH2700">
        <v>24.326212843012499</v>
      </c>
      <c r="AI2700">
        <v>92.584092846476594</v>
      </c>
      <c r="AJ2700">
        <v>83.126442740041398</v>
      </c>
      <c r="AK2700">
        <v>24.527259971925599</v>
      </c>
      <c r="AL2700">
        <v>87.616929151826895</v>
      </c>
      <c r="AM2700">
        <v>83.924732935624903</v>
      </c>
      <c r="AN2700">
        <v>0.99999996047358597</v>
      </c>
    </row>
    <row r="2701" spans="1:40" x14ac:dyDescent="0.25">
      <c r="A2701" t="str">
        <f>"20190312151038128"</f>
        <v>20190312151038128</v>
      </c>
      <c r="B2701" t="str">
        <f>"1552374638123704"</f>
        <v>1552374638123704</v>
      </c>
      <c r="C2701" t="s">
        <v>40</v>
      </c>
      <c r="D2701">
        <v>5.634239</v>
      </c>
      <c r="E2701">
        <v>0.50762779999999996</v>
      </c>
      <c r="F2701" t="s">
        <v>50</v>
      </c>
      <c r="G2701">
        <v>-478.44189999999998</v>
      </c>
      <c r="H2701">
        <v>4.1251530000000003E-3</v>
      </c>
      <c r="I2701">
        <v>209.07919999999999</v>
      </c>
      <c r="J2701">
        <v>-488.0573</v>
      </c>
      <c r="K2701">
        <v>1.1056189999999999</v>
      </c>
      <c r="L2701">
        <v>240.08320000000001</v>
      </c>
      <c r="M2701">
        <v>0.41029569999999999</v>
      </c>
      <c r="N2701">
        <v>0</v>
      </c>
      <c r="O2701">
        <v>-0.91184370000000003</v>
      </c>
      <c r="P2701">
        <v>0.30882189999999998</v>
      </c>
      <c r="Q2701">
        <v>2.9943629999999999E-2</v>
      </c>
      <c r="R2701">
        <v>-0.95064870000000001</v>
      </c>
      <c r="S2701">
        <v>0.89337160000000004</v>
      </c>
      <c r="T2701">
        <v>-0.1009458</v>
      </c>
      <c r="U2701">
        <v>-2.868881</v>
      </c>
      <c r="V2701">
        <v>0.108935199999999</v>
      </c>
      <c r="W2701">
        <v>4.2769080000000001E-2</v>
      </c>
      <c r="X2701">
        <v>0.99312840000000002</v>
      </c>
      <c r="Y2701">
        <v>0.12078899999999999</v>
      </c>
      <c r="Z2701">
        <v>2.9785510000000001E-2</v>
      </c>
      <c r="AA2701">
        <v>0.99223119999999998</v>
      </c>
      <c r="AB2701">
        <v>35</v>
      </c>
      <c r="AC2701">
        <v>9.6154000000000206</v>
      </c>
      <c r="AD2701">
        <v>-1.101493847</v>
      </c>
      <c r="AE2701">
        <v>-31.004000000000001</v>
      </c>
      <c r="AF2701">
        <v>3.9489114016690201</v>
      </c>
      <c r="AG2701">
        <v>-1.101493847</v>
      </c>
      <c r="AH2701">
        <v>32.182101224358398</v>
      </c>
      <c r="AI2701">
        <v>91.945710391458803</v>
      </c>
      <c r="AJ2701">
        <v>83.004479143129501</v>
      </c>
      <c r="AK2701">
        <v>32.442176702065801</v>
      </c>
      <c r="AL2701">
        <v>87.548764648521896</v>
      </c>
      <c r="AM2701">
        <v>83.740311541576105</v>
      </c>
      <c r="AN2701">
        <v>1.0000000454448199</v>
      </c>
    </row>
    <row r="2702" spans="1:40" x14ac:dyDescent="0.25">
      <c r="A2702" t="str">
        <f>"20190312151038142"</f>
        <v>20190312151038142</v>
      </c>
      <c r="B2702" t="str">
        <f>"1552374638133464"</f>
        <v>1552374638133464</v>
      </c>
      <c r="C2702" t="s">
        <v>40</v>
      </c>
      <c r="D2702">
        <v>5.8778110000000003</v>
      </c>
      <c r="E2702">
        <v>0.50697399999999904</v>
      </c>
      <c r="F2702" t="s">
        <v>50</v>
      </c>
      <c r="G2702">
        <v>-478.53680000000003</v>
      </c>
      <c r="H2702">
        <v>7.999974E-2</v>
      </c>
      <c r="I2702">
        <v>208.73570000000001</v>
      </c>
      <c r="J2702">
        <v>-487.97089999999997</v>
      </c>
      <c r="K2702">
        <v>1.1054949999999999</v>
      </c>
      <c r="L2702">
        <v>239.88419999999999</v>
      </c>
      <c r="M2702">
        <v>0.40724559999999999</v>
      </c>
      <c r="N2702">
        <v>0</v>
      </c>
      <c r="O2702">
        <v>-0.91320970000000001</v>
      </c>
      <c r="P2702">
        <v>0.30431960000000002</v>
      </c>
      <c r="Q2702">
        <v>2.9253620000000001E-2</v>
      </c>
      <c r="R2702">
        <v>-0.95212070000000004</v>
      </c>
      <c r="S2702">
        <v>0.87316890000000003</v>
      </c>
      <c r="T2702">
        <v>-9.4064469999999997E-2</v>
      </c>
      <c r="U2702">
        <v>-2.8750309999999999</v>
      </c>
      <c r="V2702">
        <v>0.1103295</v>
      </c>
      <c r="W2702">
        <v>4.2032090000000001E-2</v>
      </c>
      <c r="X2702">
        <v>0.9930059</v>
      </c>
      <c r="Y2702">
        <v>0.1244253</v>
      </c>
      <c r="Z2702">
        <v>2.7782629999999999E-2</v>
      </c>
      <c r="AA2702">
        <v>0.9918399</v>
      </c>
      <c r="AB2702">
        <v>35</v>
      </c>
      <c r="AC2702">
        <v>9.4340999999999404</v>
      </c>
      <c r="AD2702">
        <v>-1.02549526</v>
      </c>
      <c r="AE2702">
        <v>-31.148499999999899</v>
      </c>
      <c r="AF2702">
        <v>4.0661460698503902</v>
      </c>
      <c r="AG2702">
        <v>-1.02549526</v>
      </c>
      <c r="AH2702">
        <v>32.2582950310955</v>
      </c>
      <c r="AI2702">
        <v>91.806541344874304</v>
      </c>
      <c r="AJ2702">
        <v>82.815777318341603</v>
      </c>
      <c r="AK2702">
        <v>32.529721528209301</v>
      </c>
      <c r="AL2702">
        <v>87.591028978529707</v>
      </c>
      <c r="AM2702">
        <v>83.660064101509604</v>
      </c>
      <c r="AN2702">
        <v>1.0000000062974099</v>
      </c>
    </row>
    <row r="2703" spans="1:40" x14ac:dyDescent="0.25">
      <c r="A2703" t="str">
        <f>"20190312151038163"</f>
        <v>20190312151038163</v>
      </c>
      <c r="B2703" t="str">
        <f>"1552374638152984"</f>
        <v>1552374638152984</v>
      </c>
      <c r="C2703" t="s">
        <v>40</v>
      </c>
      <c r="D2703">
        <v>5.760605</v>
      </c>
      <c r="E2703">
        <v>0.50575289999999995</v>
      </c>
      <c r="F2703" t="s">
        <v>50</v>
      </c>
      <c r="G2703">
        <v>-478.66809999999998</v>
      </c>
      <c r="H2703">
        <v>6.9092139999999996E-2</v>
      </c>
      <c r="I2703">
        <v>208.93190000000001</v>
      </c>
      <c r="J2703">
        <v>-487.83659999999998</v>
      </c>
      <c r="K2703">
        <v>1.105335</v>
      </c>
      <c r="L2703">
        <v>239.5712</v>
      </c>
      <c r="M2703">
        <v>0.40237309999999998</v>
      </c>
      <c r="N2703">
        <v>0</v>
      </c>
      <c r="O2703">
        <v>-0.91536709999999999</v>
      </c>
      <c r="P2703">
        <v>0.29748970000000002</v>
      </c>
      <c r="Q2703">
        <v>2.4988929999999999E-2</v>
      </c>
      <c r="R2703">
        <v>-0.95439819999999997</v>
      </c>
      <c r="S2703">
        <v>0.86480709999999905</v>
      </c>
      <c r="T2703">
        <v>-9.6346619999999994E-2</v>
      </c>
      <c r="U2703">
        <v>-2.8774109999999999</v>
      </c>
      <c r="V2703">
        <v>0.1121689</v>
      </c>
      <c r="W2703">
        <v>3.7705370000000002E-2</v>
      </c>
      <c r="X2703">
        <v>0.99297360000000001</v>
      </c>
      <c r="Y2703">
        <v>0.1220131</v>
      </c>
      <c r="Z2703">
        <v>2.8551980000000001E-2</v>
      </c>
      <c r="AA2703">
        <v>0.99211769999999999</v>
      </c>
      <c r="AB2703">
        <v>35</v>
      </c>
      <c r="AC2703">
        <v>9.1684999999999892</v>
      </c>
      <c r="AD2703">
        <v>-1.03624286</v>
      </c>
      <c r="AE2703">
        <v>-30.639299999999899</v>
      </c>
      <c r="AF2703">
        <v>3.9321503647622902</v>
      </c>
      <c r="AG2703">
        <v>-1.03624286</v>
      </c>
      <c r="AH2703">
        <v>31.705237247541099</v>
      </c>
      <c r="AI2703">
        <v>91.857745969500598</v>
      </c>
      <c r="AJ2703">
        <v>82.930157361143998</v>
      </c>
      <c r="AK2703">
        <v>31.9649444654432</v>
      </c>
      <c r="AL2703">
        <v>87.839129348776197</v>
      </c>
      <c r="AM2703">
        <v>83.555039687764506</v>
      </c>
      <c r="AN2703">
        <v>1.0000000636755</v>
      </c>
    </row>
    <row r="2704" spans="1:40" x14ac:dyDescent="0.25">
      <c r="A2704" t="str">
        <f>"20190312151038186"</f>
        <v>20190312151038186</v>
      </c>
      <c r="B2704" t="str">
        <f>"1552374638183240"</f>
        <v>1552374638183240</v>
      </c>
      <c r="C2704" t="s">
        <v>40</v>
      </c>
      <c r="D2704">
        <v>6.15686</v>
      </c>
      <c r="E2704">
        <v>0.4663388</v>
      </c>
      <c r="F2704" t="s">
        <v>50</v>
      </c>
      <c r="G2704">
        <v>-479.41030000000001</v>
      </c>
      <c r="H2704" s="1">
        <v>1.633342E-6</v>
      </c>
      <c r="I2704">
        <v>211.1386</v>
      </c>
      <c r="J2704">
        <v>-487.70190000000002</v>
      </c>
      <c r="K2704">
        <v>1.1052109999999999</v>
      </c>
      <c r="L2704">
        <v>239.25200000000001</v>
      </c>
      <c r="M2704">
        <v>0.3973486</v>
      </c>
      <c r="N2704">
        <v>0</v>
      </c>
      <c r="O2704">
        <v>-0.91755929999999997</v>
      </c>
      <c r="P2704">
        <v>0.290935099999999</v>
      </c>
      <c r="Q2704">
        <v>2.474092E-2</v>
      </c>
      <c r="R2704">
        <v>-0.95642269999999896</v>
      </c>
      <c r="S2704">
        <v>0.85357669999999997</v>
      </c>
      <c r="T2704">
        <v>-0.111969</v>
      </c>
      <c r="U2704">
        <v>-2.880188</v>
      </c>
      <c r="V2704">
        <v>0.1135491</v>
      </c>
      <c r="W2704">
        <v>3.7405639999999997E-2</v>
      </c>
      <c r="X2704">
        <v>0.99282800000000004</v>
      </c>
      <c r="Y2704">
        <v>0.1204322</v>
      </c>
      <c r="Z2704">
        <v>3.3287049999999999E-2</v>
      </c>
      <c r="AA2704">
        <v>0.99216329999999997</v>
      </c>
      <c r="AB2704">
        <v>35</v>
      </c>
      <c r="AC2704">
        <v>8.2916000000000096</v>
      </c>
      <c r="AD2704">
        <v>-1.1052093666580001</v>
      </c>
      <c r="AE2704">
        <v>-28.113399999999999</v>
      </c>
      <c r="AF2704">
        <v>3.5580811487752202</v>
      </c>
      <c r="AG2704">
        <v>-1.1052093666580001</v>
      </c>
      <c r="AH2704">
        <v>29.0519564477699</v>
      </c>
      <c r="AI2704">
        <v>92.1624823687728</v>
      </c>
      <c r="AJ2704">
        <v>83.017584936695599</v>
      </c>
      <c r="AK2704">
        <v>29.289889085630499</v>
      </c>
      <c r="AL2704">
        <v>87.856314617595004</v>
      </c>
      <c r="AM2704">
        <v>83.475467704119197</v>
      </c>
      <c r="AN2704">
        <v>1.0000000087993</v>
      </c>
    </row>
    <row r="2705" spans="1:40" x14ac:dyDescent="0.25">
      <c r="A2705" t="str">
        <f>"20190312151038206"</f>
        <v>20190312151038206</v>
      </c>
      <c r="B2705" t="str">
        <f>"1552374638203738"</f>
        <v>1552374638203738</v>
      </c>
      <c r="C2705" t="s">
        <v>40</v>
      </c>
      <c r="D2705">
        <v>5.7598159999999998</v>
      </c>
      <c r="E2705">
        <v>0.46593400000000001</v>
      </c>
      <c r="F2705" t="s">
        <v>41</v>
      </c>
      <c r="G2705">
        <v>-487.35390000000001</v>
      </c>
      <c r="H2705">
        <v>1.0422689999999999</v>
      </c>
      <c r="I2705">
        <v>238.3948</v>
      </c>
      <c r="J2705">
        <v>-487.57569999999998</v>
      </c>
      <c r="K2705">
        <v>1.105135</v>
      </c>
      <c r="L2705">
        <v>238.94829999999999</v>
      </c>
      <c r="M2705">
        <v>0.39253159999999998</v>
      </c>
      <c r="N2705">
        <v>0</v>
      </c>
      <c r="O2705">
        <v>-0.91963039999999996</v>
      </c>
      <c r="P2705">
        <v>0.28725869999999998</v>
      </c>
      <c r="Q2705">
        <v>3.0480529999999999E-2</v>
      </c>
      <c r="R2705">
        <v>-0.95736840000000001</v>
      </c>
      <c r="S2705">
        <v>1.136841</v>
      </c>
      <c r="T2705">
        <v>-0.20505950000000001</v>
      </c>
      <c r="U2705">
        <v>-2.796173</v>
      </c>
      <c r="V2705">
        <v>0.11217000000000001</v>
      </c>
      <c r="W2705">
        <v>4.3137809999999999E-2</v>
      </c>
      <c r="X2705">
        <v>0.99275230000000003</v>
      </c>
      <c r="Y2705">
        <v>1.805725E-2</v>
      </c>
      <c r="Z2705">
        <v>6.2108669999999998E-2</v>
      </c>
      <c r="AA2705">
        <v>0.99790599999999996</v>
      </c>
      <c r="AB2705">
        <v>35</v>
      </c>
      <c r="AC2705">
        <v>0.22179999999997299</v>
      </c>
      <c r="AD2705">
        <v>-6.2865999999999797E-2</v>
      </c>
      <c r="AE2705">
        <v>-0.553499999999985</v>
      </c>
      <c r="AF2705">
        <v>1.31474022572045E-2</v>
      </c>
      <c r="AG2705">
        <v>-6.2865999999999797E-2</v>
      </c>
      <c r="AH2705">
        <v>0.58958479389302398</v>
      </c>
      <c r="AI2705">
        <v>96.084812519494307</v>
      </c>
      <c r="AJ2705">
        <v>88.722548742094901</v>
      </c>
      <c r="AK2705">
        <v>0.59307269144009001</v>
      </c>
      <c r="AL2705">
        <v>87.527618482274207</v>
      </c>
      <c r="AM2705">
        <v>83.553552412498803</v>
      </c>
      <c r="AN2705">
        <v>1.00000005435344</v>
      </c>
    </row>
    <row r="2706" spans="1:40" x14ac:dyDescent="0.25">
      <c r="A2706" t="str">
        <f>"20190312151038230"</f>
        <v>20190312151038230</v>
      </c>
      <c r="B2706" t="str">
        <f>"1552374638223256"</f>
        <v>1552374638223256</v>
      </c>
      <c r="C2706" t="s">
        <v>40</v>
      </c>
      <c r="D2706">
        <v>5.6616339999999896</v>
      </c>
      <c r="E2706">
        <v>0.46500750000000002</v>
      </c>
      <c r="F2706" t="s">
        <v>41</v>
      </c>
      <c r="G2706">
        <v>-487.23820000000001</v>
      </c>
      <c r="H2706">
        <v>1.0340279999999999</v>
      </c>
      <c r="I2706">
        <v>238.11080000000001</v>
      </c>
      <c r="J2706">
        <v>-487.44110000000001</v>
      </c>
      <c r="K2706">
        <v>1.1050690000000001</v>
      </c>
      <c r="L2706">
        <v>238.61920000000001</v>
      </c>
      <c r="M2706">
        <v>0.3872853</v>
      </c>
      <c r="N2706">
        <v>0</v>
      </c>
      <c r="O2706">
        <v>-0.92185209999999995</v>
      </c>
      <c r="P2706">
        <v>0.28420000000000001</v>
      </c>
      <c r="Q2706">
        <v>3.4725409999999998E-2</v>
      </c>
      <c r="R2706">
        <v>-0.95813619999999999</v>
      </c>
      <c r="S2706">
        <v>1.1295470000000001</v>
      </c>
      <c r="T2706">
        <v>-0.2378064</v>
      </c>
      <c r="U2706">
        <v>-2.802292</v>
      </c>
      <c r="V2706">
        <v>0.10968650000000001</v>
      </c>
      <c r="W2706">
        <v>4.739637E-2</v>
      </c>
      <c r="X2706">
        <v>0.99283560000000004</v>
      </c>
      <c r="Y2706">
        <v>1.562405E-2</v>
      </c>
      <c r="Z2706">
        <v>7.2119559999999999E-2</v>
      </c>
      <c r="AA2706">
        <v>0.99727359999999998</v>
      </c>
      <c r="AB2706">
        <v>35</v>
      </c>
      <c r="AC2706">
        <v>0.202899999999999</v>
      </c>
      <c r="AD2706">
        <v>-7.1040999999999896E-2</v>
      </c>
      <c r="AE2706">
        <v>-0.50839999999999397</v>
      </c>
      <c r="AF2706">
        <v>9.6898289460763103E-3</v>
      </c>
      <c r="AG2706">
        <v>-7.1040999999999896E-2</v>
      </c>
      <c r="AH2706">
        <v>0.53823863884037404</v>
      </c>
      <c r="AI2706">
        <v>97.517685995401806</v>
      </c>
      <c r="AJ2706">
        <v>88.968624146776506</v>
      </c>
      <c r="AK2706">
        <v>0.54299313882105704</v>
      </c>
      <c r="AL2706">
        <v>87.283370372228006</v>
      </c>
      <c r="AM2706">
        <v>83.695642471660193</v>
      </c>
      <c r="AN2706">
        <v>1.0000000363993899</v>
      </c>
    </row>
    <row r="2707" spans="1:40" x14ac:dyDescent="0.25">
      <c r="A2707" t="str">
        <f>"20190312151038263"</f>
        <v>20190312151038263</v>
      </c>
      <c r="B2707" t="str">
        <f>"1552374638253512"</f>
        <v>1552374638253512</v>
      </c>
      <c r="C2707" t="s">
        <v>40</v>
      </c>
      <c r="D2707">
        <v>5.7012130000000001</v>
      </c>
      <c r="E2707">
        <v>0.4636246</v>
      </c>
      <c r="F2707" t="s">
        <v>41</v>
      </c>
      <c r="G2707">
        <v>-487.11939999999998</v>
      </c>
      <c r="H2707">
        <v>1.0363089999999999</v>
      </c>
      <c r="I2707">
        <v>237.81819999999999</v>
      </c>
      <c r="J2707">
        <v>-487.24540000000002</v>
      </c>
      <c r="K2707">
        <v>1.104975</v>
      </c>
      <c r="L2707">
        <v>238.13130000000001</v>
      </c>
      <c r="M2707">
        <v>0.37948029999999999</v>
      </c>
      <c r="N2707">
        <v>0</v>
      </c>
      <c r="O2707">
        <v>-0.92509229999999998</v>
      </c>
      <c r="P2707">
        <v>0.2817192</v>
      </c>
      <c r="Q2707">
        <v>2.9323510000000001E-2</v>
      </c>
      <c r="R2707">
        <v>-0.95904900000000004</v>
      </c>
      <c r="S2707">
        <v>1.128082</v>
      </c>
      <c r="T2707">
        <v>-0.24057580000000001</v>
      </c>
      <c r="U2707">
        <v>-2.8051910000000002</v>
      </c>
      <c r="V2707">
        <v>0.1038695</v>
      </c>
      <c r="W2707">
        <v>4.2061139999999997E-2</v>
      </c>
      <c r="X2707">
        <v>0.99370119999999895</v>
      </c>
      <c r="Y2707">
        <v>8.0090460000000006E-3</v>
      </c>
      <c r="Z2707">
        <v>7.3279199999999906E-2</v>
      </c>
      <c r="AA2707">
        <v>0.99727929999999998</v>
      </c>
      <c r="AB2707">
        <v>35</v>
      </c>
      <c r="AC2707">
        <v>0.126000000000033</v>
      </c>
      <c r="AD2707">
        <v>-6.8666000000000102E-2</v>
      </c>
      <c r="AE2707">
        <v>-0.31310000000001897</v>
      </c>
      <c r="AF2707">
        <v>2.1642891176807499E-3</v>
      </c>
      <c r="AG2707">
        <v>-6.8666000000000102E-2</v>
      </c>
      <c r="AH2707">
        <v>0.32407973725817901</v>
      </c>
      <c r="AI2707">
        <v>101.962644874595</v>
      </c>
      <c r="AJ2707">
        <v>89.617369510089304</v>
      </c>
      <c r="AK2707">
        <v>0.33128142085652101</v>
      </c>
      <c r="AL2707">
        <v>87.589363153121894</v>
      </c>
      <c r="AM2707">
        <v>84.032662712155201</v>
      </c>
      <c r="AN2707">
        <v>1.0000000437048899</v>
      </c>
    </row>
    <row r="2708" spans="1:40" x14ac:dyDescent="0.25">
      <c r="A2708" t="str">
        <f>"20190312151038284"</f>
        <v>20190312151038284</v>
      </c>
      <c r="B2708" t="str">
        <f>"1552374638273032"</f>
        <v>1552374638273032</v>
      </c>
      <c r="C2708" t="s">
        <v>40</v>
      </c>
      <c r="D2708">
        <v>4.9860089999999904</v>
      </c>
      <c r="E2708">
        <v>0.46315109999999898</v>
      </c>
      <c r="F2708" t="s">
        <v>41</v>
      </c>
      <c r="G2708">
        <v>-486.88839999999999</v>
      </c>
      <c r="H2708">
        <v>1.0250319999999999</v>
      </c>
      <c r="I2708">
        <v>237.24440000000001</v>
      </c>
      <c r="J2708">
        <v>-487.1225</v>
      </c>
      <c r="K2708">
        <v>1.1049310000000001</v>
      </c>
      <c r="L2708">
        <v>237.81800000000001</v>
      </c>
      <c r="M2708">
        <v>0.37446449999999998</v>
      </c>
      <c r="N2708">
        <v>0</v>
      </c>
      <c r="O2708">
        <v>-0.92713380000000001</v>
      </c>
      <c r="P2708">
        <v>0.27900409999999998</v>
      </c>
      <c r="Q2708">
        <v>2.571362E-2</v>
      </c>
      <c r="R2708">
        <v>-0.95994590000000002</v>
      </c>
      <c r="S2708">
        <v>1.129669</v>
      </c>
      <c r="T2708">
        <v>-0.25247999999999998</v>
      </c>
      <c r="U2708">
        <v>-2.804001</v>
      </c>
      <c r="V2708">
        <v>0.10129489999999999</v>
      </c>
      <c r="W2708">
        <v>3.8482059999999998E-2</v>
      </c>
      <c r="X2708">
        <v>0.99411190000000005</v>
      </c>
      <c r="Y2708">
        <v>2.0765929999999998E-3</v>
      </c>
      <c r="Z2708">
        <v>7.7159149999999996E-2</v>
      </c>
      <c r="AA2708">
        <v>0.99701660000000003</v>
      </c>
      <c r="AB2708">
        <v>35</v>
      </c>
      <c r="AC2708">
        <v>0.23410000000001199</v>
      </c>
      <c r="AD2708">
        <v>-7.9898999999999901E-2</v>
      </c>
      <c r="AE2708">
        <v>-0.57359999999997002</v>
      </c>
      <c r="AF2708">
        <v>-2.2126084692043698E-3</v>
      </c>
      <c r="AG2708">
        <v>-7.9898999999999901E-2</v>
      </c>
      <c r="AH2708">
        <v>0.60939214834975897</v>
      </c>
      <c r="AI2708">
        <v>97.469543386076793</v>
      </c>
      <c r="AJ2708">
        <v>90.208031183636194</v>
      </c>
      <c r="AK2708">
        <v>0.61461169555059103</v>
      </c>
      <c r="AL2708">
        <v>87.794595822338593</v>
      </c>
      <c r="AM2708">
        <v>84.1819341897735</v>
      </c>
      <c r="AN2708">
        <v>0.99999999771473103</v>
      </c>
    </row>
    <row r="2709" spans="1:40" x14ac:dyDescent="0.25">
      <c r="A2709" t="str">
        <f>"20190312151038307"</f>
        <v>20190312151038307</v>
      </c>
      <c r="B2709" t="str">
        <f>"1552374638303288"</f>
        <v>1552374638303288</v>
      </c>
      <c r="C2709" t="s">
        <v>40</v>
      </c>
      <c r="D2709">
        <v>5.7774349999999997</v>
      </c>
      <c r="E2709">
        <v>0.46232450000000003</v>
      </c>
      <c r="F2709" t="s">
        <v>41</v>
      </c>
      <c r="G2709">
        <v>-486.77499999999998</v>
      </c>
      <c r="H2709">
        <v>1.027156</v>
      </c>
      <c r="I2709">
        <v>236.95169999999999</v>
      </c>
      <c r="J2709">
        <v>-486.99740000000003</v>
      </c>
      <c r="K2709">
        <v>1.1049009999999999</v>
      </c>
      <c r="L2709">
        <v>237.49430000000001</v>
      </c>
      <c r="M2709">
        <v>0.36928369999999999</v>
      </c>
      <c r="N2709">
        <v>0</v>
      </c>
      <c r="O2709">
        <v>-0.92920959999999997</v>
      </c>
      <c r="P2709">
        <v>0.27607680000000001</v>
      </c>
      <c r="Q2709">
        <v>2.6590869999999999E-2</v>
      </c>
      <c r="R2709">
        <v>-0.96076799999999996</v>
      </c>
      <c r="S2709">
        <v>1.126007</v>
      </c>
      <c r="T2709">
        <v>-0.25162410000000002</v>
      </c>
      <c r="U2709">
        <v>-2.8046720000000001</v>
      </c>
      <c r="V2709">
        <v>9.8779400000000003E-2</v>
      </c>
      <c r="W2709">
        <v>3.9390210000000002E-2</v>
      </c>
      <c r="X2709">
        <v>0.99432949999999998</v>
      </c>
      <c r="Y2709">
        <v>-2.304544E-3</v>
      </c>
      <c r="Z2709">
        <v>7.7157519999999993E-2</v>
      </c>
      <c r="AA2709">
        <v>0.99701629999999997</v>
      </c>
      <c r="AB2709">
        <v>35</v>
      </c>
      <c r="AC2709">
        <v>0.22240000000005</v>
      </c>
      <c r="AD2709">
        <v>-7.7744999999999898E-2</v>
      </c>
      <c r="AE2709">
        <v>-0.54260000000002095</v>
      </c>
      <c r="AF2709">
        <v>-6.1749680455805899E-3</v>
      </c>
      <c r="AG2709">
        <v>-7.7744999999999898E-2</v>
      </c>
      <c r="AH2709">
        <v>0.57624754268232403</v>
      </c>
      <c r="AI2709">
        <v>97.683283851516705</v>
      </c>
      <c r="AJ2709">
        <v>90.613948069582193</v>
      </c>
      <c r="AK2709">
        <v>0.58150120008713801</v>
      </c>
      <c r="AL2709">
        <v>87.742523304490206</v>
      </c>
      <c r="AM2709">
        <v>84.326695623688906</v>
      </c>
      <c r="AN2709">
        <v>1.00000005653922</v>
      </c>
    </row>
    <row r="2710" spans="1:40" x14ac:dyDescent="0.25">
      <c r="A2710" t="str">
        <f>"20190312151038328"</f>
        <v>20190312151038328</v>
      </c>
      <c r="B2710" t="str">
        <f>"1552374638323786"</f>
        <v>1552374638323786</v>
      </c>
      <c r="C2710" t="s">
        <v>40</v>
      </c>
      <c r="D2710">
        <v>5.7549489999999999</v>
      </c>
      <c r="E2710">
        <v>0.46150669999999999</v>
      </c>
      <c r="F2710" t="s">
        <v>41</v>
      </c>
      <c r="G2710">
        <v>-486.65910000000002</v>
      </c>
      <c r="H2710">
        <v>1.0354270000000001</v>
      </c>
      <c r="I2710">
        <v>236.6482</v>
      </c>
      <c r="J2710">
        <v>-486.87689999999998</v>
      </c>
      <c r="K2710">
        <v>1.1048880000000001</v>
      </c>
      <c r="L2710">
        <v>237.17699999999999</v>
      </c>
      <c r="M2710">
        <v>0.36420629999999998</v>
      </c>
      <c r="N2710">
        <v>0</v>
      </c>
      <c r="O2710">
        <v>-0.93121140000000002</v>
      </c>
      <c r="P2710">
        <v>0.27445000000000003</v>
      </c>
      <c r="Q2710">
        <v>2.7858870000000001E-2</v>
      </c>
      <c r="R2710">
        <v>-0.961198</v>
      </c>
      <c r="S2710">
        <v>1.1233519999999999</v>
      </c>
      <c r="T2710">
        <v>-0.2301049</v>
      </c>
      <c r="U2710">
        <v>-2.8060459999999998</v>
      </c>
      <c r="V2710">
        <v>9.5037869999999997E-2</v>
      </c>
      <c r="W2710">
        <v>4.0708090000000002E-2</v>
      </c>
      <c r="X2710">
        <v>0.99464090000000005</v>
      </c>
      <c r="Y2710">
        <v>-6.9719530000000004E-3</v>
      </c>
      <c r="Z2710">
        <v>7.0805119999999999E-2</v>
      </c>
      <c r="AA2710">
        <v>0.99746579999999996</v>
      </c>
      <c r="AB2710">
        <v>35</v>
      </c>
      <c r="AC2710">
        <v>0.217799999999954</v>
      </c>
      <c r="AD2710">
        <v>-6.9460999999999704E-2</v>
      </c>
      <c r="AE2710">
        <v>-0.52880000000001803</v>
      </c>
      <c r="AF2710">
        <v>-1.00779019526344E-2</v>
      </c>
      <c r="AG2710">
        <v>-6.9460999999999704E-2</v>
      </c>
      <c r="AH2710">
        <v>0.563493084714076</v>
      </c>
      <c r="AI2710">
        <v>97.026207142770104</v>
      </c>
      <c r="AJ2710">
        <v>91.024608305954899</v>
      </c>
      <c r="AK2710">
        <v>0.56784755978110202</v>
      </c>
      <c r="AL2710">
        <v>87.666953423482298</v>
      </c>
      <c r="AM2710">
        <v>84.541962182455407</v>
      </c>
      <c r="AN2710">
        <v>0.99999993263919496</v>
      </c>
    </row>
    <row r="2711" spans="1:40" x14ac:dyDescent="0.25">
      <c r="A2711" t="str">
        <f>"20190312151038353"</f>
        <v>20190312151038353</v>
      </c>
      <c r="B2711" t="str">
        <f>"1552374638343304"</f>
        <v>1552374638343304</v>
      </c>
      <c r="C2711" t="s">
        <v>40</v>
      </c>
      <c r="D2711">
        <v>5.5286460000000002</v>
      </c>
      <c r="E2711">
        <v>0.46062619999999999</v>
      </c>
      <c r="F2711" t="s">
        <v>50</v>
      </c>
      <c r="G2711">
        <v>-481.54050000000001</v>
      </c>
      <c r="H2711" s="1">
        <v>2.9851890000000001E-6</v>
      </c>
      <c r="I2711">
        <v>223.86619999999999</v>
      </c>
      <c r="J2711">
        <v>-486.7457</v>
      </c>
      <c r="K2711">
        <v>1.1048709999999999</v>
      </c>
      <c r="L2711">
        <v>236.82579999999999</v>
      </c>
      <c r="M2711">
        <v>0.35858759999999901</v>
      </c>
      <c r="N2711">
        <v>0</v>
      </c>
      <c r="O2711">
        <v>-0.93338940000000004</v>
      </c>
      <c r="P2711">
        <v>0.27198909999999998</v>
      </c>
      <c r="Q2711">
        <v>2.7299179999999999E-2</v>
      </c>
      <c r="R2711">
        <v>-0.96191349999999998</v>
      </c>
      <c r="S2711">
        <v>1.125183</v>
      </c>
      <c r="T2711">
        <v>-0.23296700000000001</v>
      </c>
      <c r="U2711">
        <v>-2.80661</v>
      </c>
      <c r="V2711">
        <v>9.1586870000000001E-2</v>
      </c>
      <c r="W2711">
        <v>4.0195420000000003E-2</v>
      </c>
      <c r="X2711">
        <v>0.99498549999999997</v>
      </c>
      <c r="Y2711">
        <v>-1.346077E-2</v>
      </c>
      <c r="Z2711">
        <v>7.1907529999999997E-2</v>
      </c>
      <c r="AA2711">
        <v>0.99732050000000005</v>
      </c>
      <c r="AB2711">
        <v>35</v>
      </c>
      <c r="AC2711">
        <v>5.2051999999999898</v>
      </c>
      <c r="AD2711">
        <v>-1.1048680148109999</v>
      </c>
      <c r="AE2711">
        <v>-12.959599999999901</v>
      </c>
      <c r="AF2711">
        <v>-0.21003315328889599</v>
      </c>
      <c r="AG2711">
        <v>-1.1048680148109999</v>
      </c>
      <c r="AH2711">
        <v>13.877409322209999</v>
      </c>
      <c r="AI2711">
        <v>94.551557055642505</v>
      </c>
      <c r="AJ2711">
        <v>90.8670994874266</v>
      </c>
      <c r="AK2711">
        <v>13.9229069073881</v>
      </c>
      <c r="AL2711">
        <v>87.6963514381669</v>
      </c>
      <c r="AM2711">
        <v>84.7408325629182</v>
      </c>
      <c r="AN2711">
        <v>0.99999998587781103</v>
      </c>
    </row>
    <row r="2712" spans="1:40" x14ac:dyDescent="0.25">
      <c r="A2712" t="str">
        <f>"20190312151038375"</f>
        <v>20190312151038375</v>
      </c>
      <c r="B2712" t="str">
        <f>"1552374638363800"</f>
        <v>1552374638363800</v>
      </c>
      <c r="C2712" t="s">
        <v>40</v>
      </c>
      <c r="D2712">
        <v>5.629219</v>
      </c>
      <c r="E2712">
        <v>0.4598641</v>
      </c>
      <c r="F2712" t="s">
        <v>50</v>
      </c>
      <c r="G2712">
        <v>-481.63189999999997</v>
      </c>
      <c r="H2712" s="1">
        <v>3.0674320000000001E-6</v>
      </c>
      <c r="I2712">
        <v>224.06630000000001</v>
      </c>
      <c r="J2712">
        <v>-486.62450000000001</v>
      </c>
      <c r="K2712">
        <v>1.1048559999999901</v>
      </c>
      <c r="L2712">
        <v>236.49529999999999</v>
      </c>
      <c r="M2712">
        <v>0.35329939999999999</v>
      </c>
      <c r="N2712">
        <v>0</v>
      </c>
      <c r="O2712">
        <v>-0.93540369999999995</v>
      </c>
      <c r="P2712">
        <v>0.26980290000000001</v>
      </c>
      <c r="Q2712">
        <v>2.5876E-2</v>
      </c>
      <c r="R2712">
        <v>-0.96256799999999998</v>
      </c>
      <c r="S2712">
        <v>1.1252139999999999</v>
      </c>
      <c r="T2712">
        <v>-0.2431101</v>
      </c>
      <c r="U2712">
        <v>-2.8075410000000001</v>
      </c>
      <c r="V2712">
        <v>8.8211010000000006E-2</v>
      </c>
      <c r="W2712">
        <v>3.8819869999999999E-2</v>
      </c>
      <c r="X2712">
        <v>0.99534509999999998</v>
      </c>
      <c r="Y2712">
        <v>-1.8919149999999999E-2</v>
      </c>
      <c r="Z2712">
        <v>7.5233839999999996E-2</v>
      </c>
      <c r="AA2712">
        <v>0.99698640000000005</v>
      </c>
      <c r="AB2712">
        <v>35</v>
      </c>
      <c r="AC2712">
        <v>4.9926000000000403</v>
      </c>
      <c r="AD2712">
        <v>-1.1048529325680001</v>
      </c>
      <c r="AE2712">
        <v>-12.428999999999901</v>
      </c>
      <c r="AF2712">
        <v>-0.277080801484126</v>
      </c>
      <c r="AG2712">
        <v>-1.1048529325680001</v>
      </c>
      <c r="AH2712">
        <v>13.3008501680451</v>
      </c>
      <c r="AI2712">
        <v>94.747423937674199</v>
      </c>
      <c r="AJ2712">
        <v>91.193402258541695</v>
      </c>
      <c r="AK2712">
        <v>13.3495351591709</v>
      </c>
      <c r="AL2712">
        <v>87.775226302916096</v>
      </c>
      <c r="AM2712">
        <v>84.935476468106899</v>
      </c>
      <c r="AN2712">
        <v>1.00000001634302</v>
      </c>
    </row>
    <row r="2713" spans="1:40" x14ac:dyDescent="0.25">
      <c r="A2713" t="str">
        <f>"20190312151038397"</f>
        <v>20190312151038397</v>
      </c>
      <c r="B2713" t="str">
        <f>"1552374638393080"</f>
        <v>1552374638393080</v>
      </c>
      <c r="C2713" t="s">
        <v>40</v>
      </c>
      <c r="D2713">
        <v>5.6865839999999999</v>
      </c>
      <c r="E2713">
        <v>0.45897120000000002</v>
      </c>
      <c r="F2713" t="s">
        <v>50</v>
      </c>
      <c r="G2713">
        <v>-481.60329999999999</v>
      </c>
      <c r="H2713" s="1">
        <v>3.0275260000000001E-6</v>
      </c>
      <c r="I2713">
        <v>223.958</v>
      </c>
      <c r="J2713">
        <v>-486.5093</v>
      </c>
      <c r="K2713">
        <v>1.1048480000000001</v>
      </c>
      <c r="L2713">
        <v>236.17590000000001</v>
      </c>
      <c r="M2713">
        <v>0.34818070000000001</v>
      </c>
      <c r="N2713">
        <v>0</v>
      </c>
      <c r="O2713">
        <v>-0.93732119999999997</v>
      </c>
      <c r="P2713">
        <v>0.26805089999999998</v>
      </c>
      <c r="Q2713">
        <v>2.4728130000000001E-2</v>
      </c>
      <c r="R2713">
        <v>-0.96308760000000004</v>
      </c>
      <c r="S2713">
        <v>1.1246339999999999</v>
      </c>
      <c r="T2713">
        <v>-0.24746219999999999</v>
      </c>
      <c r="U2713">
        <v>-2.80809</v>
      </c>
      <c r="V2713">
        <v>8.457547E-2</v>
      </c>
      <c r="W2713">
        <v>3.7723470000000002E-2</v>
      </c>
      <c r="X2713">
        <v>0.99570270000000005</v>
      </c>
      <c r="Y2713">
        <v>-2.4094910000000001E-2</v>
      </c>
      <c r="Z2713">
        <v>7.6790529999999996E-2</v>
      </c>
      <c r="AA2713">
        <v>0.99675610000000003</v>
      </c>
      <c r="AB2713">
        <v>35</v>
      </c>
      <c r="AC2713">
        <v>4.9059999999999997</v>
      </c>
      <c r="AD2713">
        <v>-1.1048449724739999</v>
      </c>
      <c r="AE2713">
        <v>-12.2179</v>
      </c>
      <c r="AF2713">
        <v>-0.34208620807724099</v>
      </c>
      <c r="AG2713">
        <v>-1.1048449724739999</v>
      </c>
      <c r="AH2713">
        <v>13.0695476708899</v>
      </c>
      <c r="AI2713">
        <v>94.830410766700297</v>
      </c>
      <c r="AJ2713">
        <v>91.499334354717504</v>
      </c>
      <c r="AK2713">
        <v>13.120624288067299</v>
      </c>
      <c r="AL2713">
        <v>87.838091351156294</v>
      </c>
      <c r="AM2713">
        <v>85.144922610559803</v>
      </c>
      <c r="AN2713">
        <v>0.99999996855092499</v>
      </c>
    </row>
    <row r="2714" spans="1:40" x14ac:dyDescent="0.25">
      <c r="A2714" t="str">
        <f>"20190312151038418"</f>
        <v>20190312151038418</v>
      </c>
      <c r="B2714" t="str">
        <f>"1552374638413576"</f>
        <v>1552374638413576</v>
      </c>
      <c r="C2714" t="s">
        <v>40</v>
      </c>
      <c r="D2714">
        <v>5.393275</v>
      </c>
      <c r="E2714">
        <v>0.458341</v>
      </c>
      <c r="F2714" t="s">
        <v>50</v>
      </c>
      <c r="G2714">
        <v>-481.40260000000001</v>
      </c>
      <c r="H2714" s="1">
        <v>2.86277E-6</v>
      </c>
      <c r="I2714">
        <v>223.43969999999999</v>
      </c>
      <c r="J2714">
        <v>-486.39850000000001</v>
      </c>
      <c r="K2714">
        <v>1.104841</v>
      </c>
      <c r="L2714">
        <v>235.8631</v>
      </c>
      <c r="M2714">
        <v>0.34315679999999998</v>
      </c>
      <c r="N2714">
        <v>0</v>
      </c>
      <c r="O2714">
        <v>-0.93917189999999995</v>
      </c>
      <c r="P2714">
        <v>0.2668509</v>
      </c>
      <c r="Q2714">
        <v>2.481831E-2</v>
      </c>
      <c r="R2714">
        <v>-0.96341840000000001</v>
      </c>
      <c r="S2714">
        <v>1.1258539999999999</v>
      </c>
      <c r="T2714">
        <v>-0.24357960000000001</v>
      </c>
      <c r="U2714">
        <v>-2.807877</v>
      </c>
      <c r="V2714">
        <v>8.0483209999999999E-2</v>
      </c>
      <c r="W2714">
        <v>3.7870239999999999E-2</v>
      </c>
      <c r="X2714">
        <v>0.99603629999999999</v>
      </c>
      <c r="Y2714">
        <v>-2.9878890000000002E-2</v>
      </c>
      <c r="Z2714">
        <v>7.5809840000000003E-2</v>
      </c>
      <c r="AA2714">
        <v>0.99667450000000002</v>
      </c>
      <c r="AB2714">
        <v>35</v>
      </c>
      <c r="AC2714">
        <v>4.9958999999999998</v>
      </c>
      <c r="AD2714">
        <v>-1.10483813722999</v>
      </c>
      <c r="AE2714">
        <v>-12.423400000000001</v>
      </c>
      <c r="AF2714">
        <v>-0.42597746051588498</v>
      </c>
      <c r="AG2714">
        <v>-1.10483813722999</v>
      </c>
      <c r="AH2714">
        <v>13.2929229043487</v>
      </c>
      <c r="AI2714">
        <v>94.748778175988804</v>
      </c>
      <c r="AJ2714">
        <v>91.835439916294504</v>
      </c>
      <c r="AK2714">
        <v>13.345558191672</v>
      </c>
      <c r="AL2714">
        <v>87.829676118603302</v>
      </c>
      <c r="AM2714">
        <v>85.380337800570899</v>
      </c>
      <c r="AN2714">
        <v>1.0000000065436201</v>
      </c>
    </row>
    <row r="2715" spans="1:40" x14ac:dyDescent="0.25">
      <c r="A2715" t="str">
        <f>"20190312151038452"</f>
        <v>20190312151038452</v>
      </c>
      <c r="B2715" t="str">
        <f>"1552374638443758"</f>
        <v>1552374638443758</v>
      </c>
      <c r="C2715" t="s">
        <v>40</v>
      </c>
      <c r="D2715">
        <v>5.6969190000000003</v>
      </c>
      <c r="E2715">
        <v>0.4574589</v>
      </c>
      <c r="F2715" t="s">
        <v>50</v>
      </c>
      <c r="G2715">
        <v>-481.27940000000001</v>
      </c>
      <c r="H2715" s="1">
        <v>2.7660310000000001E-6</v>
      </c>
      <c r="I2715">
        <v>223.101</v>
      </c>
      <c r="J2715">
        <v>-486.22660000000002</v>
      </c>
      <c r="K2715">
        <v>1.1048359999999999</v>
      </c>
      <c r="L2715">
        <v>235.3663</v>
      </c>
      <c r="M2715">
        <v>0.33513979999999999</v>
      </c>
      <c r="N2715">
        <v>0</v>
      </c>
      <c r="O2715">
        <v>-0.94206259999999997</v>
      </c>
      <c r="P2715">
        <v>0.26513619999999999</v>
      </c>
      <c r="Q2715">
        <v>2.6170570000000001E-2</v>
      </c>
      <c r="R2715">
        <v>-0.96385580000000004</v>
      </c>
      <c r="S2715">
        <v>1.126404</v>
      </c>
      <c r="T2715">
        <v>-0.24311050000000001</v>
      </c>
      <c r="U2715">
        <v>-2.8081969999999998</v>
      </c>
      <c r="V2715">
        <v>7.3768730000000005E-2</v>
      </c>
      <c r="W2715">
        <v>3.9313979999999998E-2</v>
      </c>
      <c r="X2715">
        <v>0.99650019999999995</v>
      </c>
      <c r="Y2715">
        <v>-3.852357E-2</v>
      </c>
      <c r="Z2715">
        <v>7.5989890000000004E-2</v>
      </c>
      <c r="AA2715">
        <v>0.99636409999999997</v>
      </c>
      <c r="AB2715">
        <v>35</v>
      </c>
      <c r="AC2715">
        <v>4.9471999999999996</v>
      </c>
      <c r="AD2715">
        <v>-1.1048332339689999</v>
      </c>
      <c r="AE2715">
        <v>-12.2652999999999</v>
      </c>
      <c r="AF2715">
        <v>-0.546224814438385</v>
      </c>
      <c r="AG2715">
        <v>-1.1048332339689999</v>
      </c>
      <c r="AH2715">
        <v>13.122424219183999</v>
      </c>
      <c r="AI2715">
        <v>94.808482966529795</v>
      </c>
      <c r="AJ2715">
        <v>92.383577866035097</v>
      </c>
      <c r="AK2715">
        <v>13.1801758490172</v>
      </c>
      <c r="AL2715">
        <v>87.746894291021604</v>
      </c>
      <c r="AM2715">
        <v>85.766241336333394</v>
      </c>
      <c r="AN2715">
        <v>1.00000003157464</v>
      </c>
    </row>
    <row r="2716" spans="1:40" x14ac:dyDescent="0.25">
      <c r="A2716" t="str">
        <f>"20190312151038474"</f>
        <v>20190312151038474</v>
      </c>
      <c r="B2716" t="str">
        <f>"1552374638463274"</f>
        <v>1552374638463274</v>
      </c>
      <c r="C2716" t="s">
        <v>40</v>
      </c>
      <c r="D2716">
        <v>5.9219629999999999</v>
      </c>
      <c r="E2716">
        <v>0.45697579999999999</v>
      </c>
      <c r="F2716" t="s">
        <v>50</v>
      </c>
      <c r="G2716">
        <v>-481.0249</v>
      </c>
      <c r="H2716" s="1">
        <v>2.5678190000000001E-6</v>
      </c>
      <c r="I2716">
        <v>222.40870000000001</v>
      </c>
      <c r="J2716">
        <v>-486.1155</v>
      </c>
      <c r="K2716">
        <v>1.104832</v>
      </c>
      <c r="L2716">
        <v>235.03829999999999</v>
      </c>
      <c r="M2716">
        <v>0.3298278</v>
      </c>
      <c r="N2716">
        <v>0</v>
      </c>
      <c r="O2716">
        <v>-0.94393530000000003</v>
      </c>
      <c r="P2716">
        <v>0.26364559999999998</v>
      </c>
      <c r="Q2716">
        <v>2.6381809999999999E-2</v>
      </c>
      <c r="R2716">
        <v>-0.96425870000000002</v>
      </c>
      <c r="S2716">
        <v>1.1275630000000001</v>
      </c>
      <c r="T2716">
        <v>-0.2394956</v>
      </c>
      <c r="U2716">
        <v>-2.8088229999999998</v>
      </c>
      <c r="V2716">
        <v>6.9695740000000006E-2</v>
      </c>
      <c r="W2716">
        <v>3.9581280000000003E-2</v>
      </c>
      <c r="X2716">
        <v>0.99678270000000002</v>
      </c>
      <c r="Y2716">
        <v>-4.4459310000000002E-2</v>
      </c>
      <c r="Z2716">
        <v>7.5058470000000002E-2</v>
      </c>
      <c r="AA2716">
        <v>0.9961875</v>
      </c>
      <c r="AB2716">
        <v>35</v>
      </c>
      <c r="AC2716">
        <v>5.0905999999999896</v>
      </c>
      <c r="AD2716">
        <v>-1.1048294321809999</v>
      </c>
      <c r="AE2716">
        <v>-12.6295999999999</v>
      </c>
      <c r="AF2716">
        <v>-0.63548428518505895</v>
      </c>
      <c r="AG2716">
        <v>-1.1048294321809999</v>
      </c>
      <c r="AH2716">
        <v>13.5129480583955</v>
      </c>
      <c r="AI2716">
        <v>94.669014595083198</v>
      </c>
      <c r="AJ2716">
        <v>92.692510978920893</v>
      </c>
      <c r="AK2716">
        <v>13.572923545788701</v>
      </c>
      <c r="AL2716">
        <v>87.731567042726795</v>
      </c>
      <c r="AM2716">
        <v>86.000348721058899</v>
      </c>
      <c r="AN2716">
        <v>0.99999996245993705</v>
      </c>
    </row>
    <row r="2717" spans="1:40" x14ac:dyDescent="0.25">
      <c r="A2717" t="str">
        <f>"20190312151038496"</f>
        <v>20190312151038496</v>
      </c>
      <c r="B2717" t="str">
        <f>"1552374638493530"</f>
        <v>1552374638493530</v>
      </c>
      <c r="C2717" t="s">
        <v>40</v>
      </c>
      <c r="D2717">
        <v>5.6974049999999998</v>
      </c>
      <c r="E2717">
        <v>0.45638129999999999</v>
      </c>
      <c r="F2717" t="s">
        <v>50</v>
      </c>
      <c r="G2717">
        <v>-480.8383</v>
      </c>
      <c r="H2717" s="1">
        <v>2.4162179999999999E-6</v>
      </c>
      <c r="I2717">
        <v>221.87270000000001</v>
      </c>
      <c r="J2717">
        <v>-486.00749999999999</v>
      </c>
      <c r="K2717">
        <v>1.1048249999999999</v>
      </c>
      <c r="L2717">
        <v>234.7133</v>
      </c>
      <c r="M2717">
        <v>0.32454899999999998</v>
      </c>
      <c r="N2717">
        <v>0</v>
      </c>
      <c r="O2717">
        <v>-0.94576329999999997</v>
      </c>
      <c r="P2717">
        <v>0.26271729999999999</v>
      </c>
      <c r="Q2717">
        <v>2.652119E-2</v>
      </c>
      <c r="R2717">
        <v>-0.96450849999999999</v>
      </c>
      <c r="S2717">
        <v>1.1262209999999999</v>
      </c>
      <c r="T2717">
        <v>-0.23578460000000001</v>
      </c>
      <c r="U2717">
        <v>-2.8097080000000001</v>
      </c>
      <c r="V2717">
        <v>6.5085030000000002E-2</v>
      </c>
      <c r="W2717">
        <v>3.9784239999999998E-2</v>
      </c>
      <c r="X2717">
        <v>0.99708629999999998</v>
      </c>
      <c r="Y2717">
        <v>-4.9551919999999999E-2</v>
      </c>
      <c r="Z2717">
        <v>7.4091180000000006E-2</v>
      </c>
      <c r="AA2717">
        <v>0.9960196</v>
      </c>
      <c r="AB2717">
        <v>34</v>
      </c>
      <c r="AC2717">
        <v>5.1691999999999796</v>
      </c>
      <c r="AD2717">
        <v>-1.104822583782</v>
      </c>
      <c r="AE2717">
        <v>-12.840599999999901</v>
      </c>
      <c r="AF2717">
        <v>-0.71694041802029695</v>
      </c>
      <c r="AG2717">
        <v>-1.104822583782</v>
      </c>
      <c r="AH2717">
        <v>13.735701647506399</v>
      </c>
      <c r="AI2717">
        <v>94.592425357420396</v>
      </c>
      <c r="AJ2717">
        <v>92.987864660084796</v>
      </c>
      <c r="AK2717">
        <v>13.798700527728499</v>
      </c>
      <c r="AL2717">
        <v>87.719929137252393</v>
      </c>
      <c r="AM2717">
        <v>86.265303568194398</v>
      </c>
      <c r="AN2717">
        <v>0.99999996826508297</v>
      </c>
    </row>
    <row r="2718" spans="1:40" x14ac:dyDescent="0.25">
      <c r="A2718" t="str">
        <f>"20190312151038518"</f>
        <v>20190312151038518</v>
      </c>
      <c r="B2718" t="str">
        <f>"1552374638513051"</f>
        <v>1552374638513051</v>
      </c>
      <c r="C2718" t="s">
        <v>40</v>
      </c>
      <c r="D2718">
        <v>5.6856429999999998</v>
      </c>
      <c r="E2718">
        <v>0.45600590000000002</v>
      </c>
      <c r="F2718" t="s">
        <v>50</v>
      </c>
      <c r="G2718">
        <v>-480.6377</v>
      </c>
      <c r="H2718" s="1">
        <v>2.262334E-6</v>
      </c>
      <c r="I2718">
        <v>221.33760000000001</v>
      </c>
      <c r="J2718">
        <v>-485.89960000000002</v>
      </c>
      <c r="K2718">
        <v>1.104814</v>
      </c>
      <c r="L2718">
        <v>234.38200000000001</v>
      </c>
      <c r="M2718">
        <v>0.31915480000000002</v>
      </c>
      <c r="N2718">
        <v>0</v>
      </c>
      <c r="O2718">
        <v>-0.94759729999999998</v>
      </c>
      <c r="P2718">
        <v>0.26248449999999901</v>
      </c>
      <c r="Q2718">
        <v>2.5876349999999999E-2</v>
      </c>
      <c r="R2718">
        <v>-0.96458940000000004</v>
      </c>
      <c r="S2718">
        <v>1.1279300000000001</v>
      </c>
      <c r="T2718">
        <v>-0.232069</v>
      </c>
      <c r="U2718">
        <v>-2.8095699999999999</v>
      </c>
      <c r="V2718">
        <v>5.9638709999999998E-2</v>
      </c>
      <c r="W2718">
        <v>3.9213909999999998E-2</v>
      </c>
      <c r="X2718">
        <v>0.99744949999999999</v>
      </c>
      <c r="Y2718">
        <v>-5.581063E-2</v>
      </c>
      <c r="Z2718">
        <v>7.3124110000000006E-2</v>
      </c>
      <c r="AA2718">
        <v>0.99575999999999998</v>
      </c>
      <c r="AB2718">
        <v>34</v>
      </c>
      <c r="AC2718">
        <v>5.2619000000000202</v>
      </c>
      <c r="AD2718">
        <v>-1.104811737666</v>
      </c>
      <c r="AE2718">
        <v>-13.0443999999999</v>
      </c>
      <c r="AF2718">
        <v>-0.81801470755848704</v>
      </c>
      <c r="AG2718">
        <v>-1.104811737666</v>
      </c>
      <c r="AH2718">
        <v>13.9555008643798</v>
      </c>
      <c r="AI2718">
        <v>94.518756416848802</v>
      </c>
      <c r="AJ2718">
        <v>93.354607152278405</v>
      </c>
      <c r="AK2718">
        <v>14.023043942496001</v>
      </c>
      <c r="AL2718">
        <v>87.752632246182898</v>
      </c>
      <c r="AM2718">
        <v>86.578289804601596</v>
      </c>
      <c r="AN2718">
        <v>1.0000000057591001</v>
      </c>
    </row>
    <row r="2719" spans="1:40" x14ac:dyDescent="0.25">
      <c r="A2719" t="str">
        <f>"20190312151038542"</f>
        <v>20190312151038542</v>
      </c>
      <c r="B2719" t="str">
        <f>"1552374638533552"</f>
        <v>1552374638533552</v>
      </c>
      <c r="C2719" t="s">
        <v>40</v>
      </c>
      <c r="D2719">
        <v>5.6668599999999998</v>
      </c>
      <c r="E2719">
        <v>0.45563589999999998</v>
      </c>
      <c r="F2719" t="s">
        <v>50</v>
      </c>
      <c r="G2719">
        <v>-480.63990000000001</v>
      </c>
      <c r="H2719" s="1">
        <v>2.2554379999999998E-6</v>
      </c>
      <c r="I2719">
        <v>221.3047</v>
      </c>
      <c r="J2719">
        <v>-485.79309999999998</v>
      </c>
      <c r="K2719">
        <v>1.1048070000000001</v>
      </c>
      <c r="L2719">
        <v>234.04849999999999</v>
      </c>
      <c r="M2719">
        <v>0.31371909999999997</v>
      </c>
      <c r="N2719">
        <v>0</v>
      </c>
      <c r="O2719">
        <v>-0.94941089999999995</v>
      </c>
      <c r="P2719">
        <v>0.26362940000000001</v>
      </c>
      <c r="Q2719">
        <v>2.563665E-2</v>
      </c>
      <c r="R2719">
        <v>-0.96428360000000002</v>
      </c>
      <c r="S2719">
        <v>1.129791</v>
      </c>
      <c r="T2719">
        <v>-0.23731650000000001</v>
      </c>
      <c r="U2719">
        <v>-2.8090359999999999</v>
      </c>
      <c r="V2719">
        <v>5.2733130000000003E-2</v>
      </c>
      <c r="W2719">
        <v>3.9068600000000002E-2</v>
      </c>
      <c r="X2719">
        <v>0.99784410000000001</v>
      </c>
      <c r="Y2719">
        <v>-6.211295E-2</v>
      </c>
      <c r="Z2719">
        <v>7.4970300000000004E-2</v>
      </c>
      <c r="AA2719">
        <v>0.99524950000000001</v>
      </c>
      <c r="AB2719">
        <v>34</v>
      </c>
      <c r="AC2719">
        <v>5.1531999999999698</v>
      </c>
      <c r="AD2719">
        <v>-1.104804744562</v>
      </c>
      <c r="AE2719">
        <v>-12.743799999999901</v>
      </c>
      <c r="AF2719">
        <v>-0.88887818135404995</v>
      </c>
      <c r="AG2719">
        <v>-1.104804744562</v>
      </c>
      <c r="AH2719">
        <v>13.629089057263</v>
      </c>
      <c r="AI2719">
        <v>94.624609732911097</v>
      </c>
      <c r="AJ2719">
        <v>93.731499756812397</v>
      </c>
      <c r="AK2719">
        <v>13.7026554534404</v>
      </c>
      <c r="AL2719">
        <v>87.760964252682996</v>
      </c>
      <c r="AM2719">
        <v>86.974900415328307</v>
      </c>
      <c r="AN2719">
        <v>0.99999999320518296</v>
      </c>
    </row>
    <row r="2720" spans="1:40" x14ac:dyDescent="0.25">
      <c r="A2720" t="str">
        <f>"20190312151038564"</f>
        <v>20190312151038564</v>
      </c>
      <c r="B2720" t="str">
        <f>"1552374638553066"</f>
        <v>1552374638553066</v>
      </c>
      <c r="C2720" t="s">
        <v>40</v>
      </c>
      <c r="D2720">
        <v>5.6904240000000001</v>
      </c>
      <c r="E2720">
        <v>0.45528469999999999</v>
      </c>
      <c r="F2720" t="s">
        <v>50</v>
      </c>
      <c r="G2720">
        <v>-480.57549999999998</v>
      </c>
      <c r="H2720" s="1">
        <v>2.2093129999999999E-6</v>
      </c>
      <c r="I2720">
        <v>221.14779999999999</v>
      </c>
      <c r="J2720">
        <v>-485.68680000000001</v>
      </c>
      <c r="K2720">
        <v>1.1048100000000001</v>
      </c>
      <c r="L2720">
        <v>233.70869999999999</v>
      </c>
      <c r="M2720">
        <v>0.3081779</v>
      </c>
      <c r="N2720">
        <v>0</v>
      </c>
      <c r="O2720">
        <v>-0.95122390000000001</v>
      </c>
      <c r="P2720">
        <v>0.26572780000000001</v>
      </c>
      <c r="Q2720">
        <v>2.5375200000000001E-2</v>
      </c>
      <c r="R2720">
        <v>-0.96371439999999997</v>
      </c>
      <c r="S2720">
        <v>1.1353150000000001</v>
      </c>
      <c r="T2720">
        <v>-0.24039779999999999</v>
      </c>
      <c r="U2720">
        <v>-2.8071139999999999</v>
      </c>
      <c r="V2720">
        <v>4.4736369999999998E-2</v>
      </c>
      <c r="W2720">
        <v>3.8916119999999998E-2</v>
      </c>
      <c r="X2720">
        <v>0.99824049999999998</v>
      </c>
      <c r="Y2720">
        <v>-6.981735E-2</v>
      </c>
      <c r="Z2720">
        <v>7.6154840000000001E-2</v>
      </c>
      <c r="AA2720">
        <v>0.99464870000000005</v>
      </c>
      <c r="AB2720">
        <v>34</v>
      </c>
      <c r="AC2720">
        <v>5.1113000000000204</v>
      </c>
      <c r="AD2720">
        <v>-1.104807790687</v>
      </c>
      <c r="AE2720">
        <v>-12.5609</v>
      </c>
      <c r="AF2720">
        <v>-0.98456300253508</v>
      </c>
      <c r="AG2720">
        <v>-1.104807790687</v>
      </c>
      <c r="AH2720">
        <v>13.4355916373593</v>
      </c>
      <c r="AI2720">
        <v>94.688336720652302</v>
      </c>
      <c r="AJ2720">
        <v>94.191155424640201</v>
      </c>
      <c r="AK2720">
        <v>13.5168445728359</v>
      </c>
      <c r="AL2720">
        <v>87.769707269248698</v>
      </c>
      <c r="AM2720">
        <v>87.433993839540904</v>
      </c>
      <c r="AN2720">
        <v>0.99999995151843901</v>
      </c>
    </row>
    <row r="2721" spans="1:40" x14ac:dyDescent="0.25">
      <c r="A2721" t="str">
        <f>"20190312151038608"</f>
        <v>20190312151038608</v>
      </c>
      <c r="B2721" t="str">
        <f>"1552374638603818"</f>
        <v>1552374638603818</v>
      </c>
      <c r="C2721" t="s">
        <v>40</v>
      </c>
      <c r="D2721">
        <v>5.8734229999999998</v>
      </c>
      <c r="E2721">
        <v>0.45483170000000001</v>
      </c>
      <c r="F2721" t="s">
        <v>50</v>
      </c>
      <c r="G2721">
        <v>-480.50259999999997</v>
      </c>
      <c r="H2721" s="1">
        <v>2.163579E-6</v>
      </c>
      <c r="I2721">
        <v>220.99940000000001</v>
      </c>
      <c r="J2721">
        <v>-485.49079999999998</v>
      </c>
      <c r="K2721">
        <v>1.1048469999999999</v>
      </c>
      <c r="L2721">
        <v>233.0634</v>
      </c>
      <c r="M2721">
        <v>0.297745599999999</v>
      </c>
      <c r="N2721">
        <v>0</v>
      </c>
      <c r="O2721">
        <v>-0.95454079999999997</v>
      </c>
      <c r="P2721">
        <v>0.27054669999999997</v>
      </c>
      <c r="Q2721">
        <v>2.0871899999999999E-2</v>
      </c>
      <c r="R2721">
        <v>-0.96248080000000003</v>
      </c>
      <c r="S2721">
        <v>1.1437679999999999</v>
      </c>
      <c r="T2721">
        <v>-0.24374709999999999</v>
      </c>
      <c r="U2721">
        <v>-2.8039700000000001</v>
      </c>
      <c r="V2721">
        <v>2.877155E-2</v>
      </c>
      <c r="W2721">
        <v>3.462701E-2</v>
      </c>
      <c r="X2721">
        <v>0.99898609999999999</v>
      </c>
      <c r="Y2721">
        <v>-8.3651859999999995E-2</v>
      </c>
      <c r="Z2721">
        <v>7.7604989999999999E-2</v>
      </c>
      <c r="AA2721">
        <v>0.99346860000000003</v>
      </c>
      <c r="AB2721">
        <v>34</v>
      </c>
      <c r="AC2721">
        <v>4.9882</v>
      </c>
      <c r="AD2721">
        <v>-1.104844836421</v>
      </c>
      <c r="AE2721">
        <v>-12.063999999999901</v>
      </c>
      <c r="AF2721">
        <v>-1.1612365409449199</v>
      </c>
      <c r="AG2721">
        <v>-1.104844836421</v>
      </c>
      <c r="AH2721">
        <v>12.909623640644799</v>
      </c>
      <c r="AI2721">
        <v>94.872051923380297</v>
      </c>
      <c r="AJ2721">
        <v>95.139992751562403</v>
      </c>
      <c r="AK2721">
        <v>13.0087484009679</v>
      </c>
      <c r="AL2721">
        <v>88.015621839722897</v>
      </c>
      <c r="AM2721">
        <v>88.350294549724097</v>
      </c>
      <c r="AN2721">
        <v>1.0000000299520699</v>
      </c>
    </row>
    <row r="2722" spans="1:40" x14ac:dyDescent="0.25">
      <c r="A2722" t="str">
        <f>"20190312151038631"</f>
        <v>20190312151038631</v>
      </c>
      <c r="B2722" t="str">
        <f>"1552374638623772"</f>
        <v>1552374638623772</v>
      </c>
      <c r="C2722" t="s">
        <v>40</v>
      </c>
      <c r="D2722">
        <v>5.6291760000000002</v>
      </c>
      <c r="E2722">
        <v>0.45472030000000002</v>
      </c>
      <c r="F2722" t="s">
        <v>50</v>
      </c>
      <c r="G2722">
        <v>-480.5179</v>
      </c>
      <c r="H2722" s="1">
        <v>2.1822820000000002E-6</v>
      </c>
      <c r="I2722">
        <v>221.07169999999999</v>
      </c>
      <c r="J2722">
        <v>-485.39010000000002</v>
      </c>
      <c r="K2722">
        <v>1.1049199999999999</v>
      </c>
      <c r="L2722">
        <v>232.72239999999999</v>
      </c>
      <c r="M2722">
        <v>0.29238350000000002</v>
      </c>
      <c r="N2722">
        <v>0</v>
      </c>
      <c r="O2722">
        <v>-0.95619690000000002</v>
      </c>
      <c r="P2722">
        <v>0.27184350000000002</v>
      </c>
      <c r="Q2722">
        <v>1.9150650000000002E-2</v>
      </c>
      <c r="R2722">
        <v>-0.96215110000000004</v>
      </c>
      <c r="S2722">
        <v>1.1596979999999999</v>
      </c>
      <c r="T2722">
        <v>-0.2576561</v>
      </c>
      <c r="U2722">
        <v>-2.7965390000000001</v>
      </c>
      <c r="V2722">
        <v>2.1797210000000001E-2</v>
      </c>
      <c r="W2722">
        <v>3.2995730000000001E-2</v>
      </c>
      <c r="X2722">
        <v>0.99921769999999999</v>
      </c>
      <c r="Y2722">
        <v>-9.4852300000000001E-2</v>
      </c>
      <c r="Z2722">
        <v>8.228676E-2</v>
      </c>
      <c r="AA2722">
        <v>0.99208459999999998</v>
      </c>
      <c r="AB2722">
        <v>34</v>
      </c>
      <c r="AC2722">
        <v>4.8722000000000198</v>
      </c>
      <c r="AD2722">
        <v>-1.1049178177179999</v>
      </c>
      <c r="AE2722">
        <v>-11.650700000000001</v>
      </c>
      <c r="AF2722">
        <v>-1.2429200422609901</v>
      </c>
      <c r="AG2722">
        <v>-1.1049178177179999</v>
      </c>
      <c r="AH2722">
        <v>12.4707000839252</v>
      </c>
      <c r="AI2722">
        <v>95.038414546259403</v>
      </c>
      <c r="AJ2722">
        <v>95.691714559872096</v>
      </c>
      <c r="AK2722">
        <v>12.581099085476501</v>
      </c>
      <c r="AL2722">
        <v>88.109140577767207</v>
      </c>
      <c r="AM2722">
        <v>88.750332289970203</v>
      </c>
      <c r="AN2722">
        <v>0.99999992427765005</v>
      </c>
    </row>
    <row r="2723" spans="1:40" x14ac:dyDescent="0.25">
      <c r="A2723" t="str">
        <f>"20190312151038654"</f>
        <v>20190312151038654</v>
      </c>
      <c r="B2723" t="str">
        <f>"1552374638643293"</f>
        <v>1552374638643293</v>
      </c>
      <c r="C2723" t="s">
        <v>40</v>
      </c>
      <c r="D2723">
        <v>5.632663</v>
      </c>
      <c r="E2723">
        <v>0.45445750000000001</v>
      </c>
      <c r="F2723" t="s">
        <v>50</v>
      </c>
      <c r="G2723">
        <v>-480.49990000000003</v>
      </c>
      <c r="H2723" s="1">
        <v>2.157574E-6</v>
      </c>
      <c r="I2723">
        <v>220.9744</v>
      </c>
      <c r="J2723">
        <v>-485.29320000000001</v>
      </c>
      <c r="K2723">
        <v>1.105054</v>
      </c>
      <c r="L2723">
        <v>232.3879</v>
      </c>
      <c r="M2723">
        <v>0.2873269</v>
      </c>
      <c r="N2723">
        <v>0</v>
      </c>
      <c r="O2723">
        <v>-0.95772860000000004</v>
      </c>
      <c r="P2723">
        <v>0.27241209999999999</v>
      </c>
      <c r="Q2723">
        <v>1.727391E-2</v>
      </c>
      <c r="R2723">
        <v>-0.96202580000000004</v>
      </c>
      <c r="S2723">
        <v>1.1632690000000001</v>
      </c>
      <c r="T2723">
        <v>-0.26283709999999999</v>
      </c>
      <c r="U2723">
        <v>-2.7946010000000001</v>
      </c>
      <c r="V2723">
        <v>1.5900299999999999E-2</v>
      </c>
      <c r="W2723">
        <v>3.1190409999999998E-2</v>
      </c>
      <c r="X2723">
        <v>0.99938700000000003</v>
      </c>
      <c r="Y2723">
        <v>-0.1013746</v>
      </c>
      <c r="Z2723">
        <v>8.4134349999999997E-2</v>
      </c>
      <c r="AA2723">
        <v>0.99128430000000001</v>
      </c>
      <c r="AB2723">
        <v>34</v>
      </c>
      <c r="AC2723">
        <v>4.7932999999999799</v>
      </c>
      <c r="AD2723">
        <v>-1.1050518424259901</v>
      </c>
      <c r="AE2723">
        <v>-11.413500000000001</v>
      </c>
      <c r="AF2723">
        <v>-1.3010380684721801</v>
      </c>
      <c r="AG2723">
        <v>-1.1050518424259901</v>
      </c>
      <c r="AH2723">
        <v>12.212191170833499</v>
      </c>
      <c r="AI2723">
        <v>95.141537737754803</v>
      </c>
      <c r="AJ2723">
        <v>96.081125951101299</v>
      </c>
      <c r="AK2723">
        <v>12.330914516898</v>
      </c>
      <c r="AL2723">
        <v>88.212631294393205</v>
      </c>
      <c r="AM2723">
        <v>89.088498023395601</v>
      </c>
      <c r="AN2723">
        <v>1.00000001849252</v>
      </c>
    </row>
    <row r="2724" spans="1:40" x14ac:dyDescent="0.25">
      <c r="A2724" t="str">
        <f>"20190312151038677"</f>
        <v>20190312151038677</v>
      </c>
      <c r="B2724" t="str">
        <f>"1552374638673549"</f>
        <v>1552374638673549</v>
      </c>
      <c r="C2724" t="s">
        <v>40</v>
      </c>
      <c r="D2724">
        <v>5.5699360000000002</v>
      </c>
      <c r="E2724">
        <v>0.45419660000000001</v>
      </c>
      <c r="F2724" t="s">
        <v>50</v>
      </c>
      <c r="G2724">
        <v>-480.57369999999997</v>
      </c>
      <c r="H2724" s="1">
        <v>2.1974950000000002E-6</v>
      </c>
      <c r="I2724">
        <v>221.0958</v>
      </c>
      <c r="J2724">
        <v>-485.19819999999999</v>
      </c>
      <c r="K2724">
        <v>1.105262</v>
      </c>
      <c r="L2724">
        <v>232.05439999999999</v>
      </c>
      <c r="M2724">
        <v>0.28257929999999998</v>
      </c>
      <c r="N2724">
        <v>0</v>
      </c>
      <c r="O2724">
        <v>-0.95914049999999995</v>
      </c>
      <c r="P2724">
        <v>0.27273229999999998</v>
      </c>
      <c r="Q2724">
        <v>1.4401250000000001E-2</v>
      </c>
      <c r="R2724">
        <v>-0.96198240000000002</v>
      </c>
      <c r="S2724">
        <v>1.1672359999999999</v>
      </c>
      <c r="T2724">
        <v>-0.27330339999999997</v>
      </c>
      <c r="U2724">
        <v>-2.7928009999999999</v>
      </c>
      <c r="V2724">
        <v>1.057831E-2</v>
      </c>
      <c r="W2724">
        <v>2.8375460000000002E-2</v>
      </c>
      <c r="X2724">
        <v>0.99954129999999997</v>
      </c>
      <c r="Y2724">
        <v>-0.1076067</v>
      </c>
      <c r="Z2724">
        <v>8.7647959999999997E-2</v>
      </c>
      <c r="AA2724">
        <v>0.99032249999999999</v>
      </c>
      <c r="AB2724">
        <v>34</v>
      </c>
      <c r="AC2724">
        <v>4.62450000000001</v>
      </c>
      <c r="AD2724">
        <v>-1.105259802505</v>
      </c>
      <c r="AE2724">
        <v>-10.958599999999899</v>
      </c>
      <c r="AF2724">
        <v>-1.3275417710052599</v>
      </c>
      <c r="AG2724">
        <v>-1.105259802505</v>
      </c>
      <c r="AH2724">
        <v>11.7176205905413</v>
      </c>
      <c r="AI2724">
        <v>95.354405210867</v>
      </c>
      <c r="AJ2724">
        <v>96.463734378217396</v>
      </c>
      <c r="AK2724">
        <v>11.844264379381</v>
      </c>
      <c r="AL2724">
        <v>88.3739875492235</v>
      </c>
      <c r="AM2724">
        <v>89.393651977395393</v>
      </c>
      <c r="AN2724">
        <v>0.99999993888917604</v>
      </c>
    </row>
    <row r="2725" spans="1:40" x14ac:dyDescent="0.25">
      <c r="A2725" t="str">
        <f>"20190312151038696"</f>
        <v>20190312151038696</v>
      </c>
      <c r="B2725" t="str">
        <f>"1552374638693069"</f>
        <v>1552374638693069</v>
      </c>
      <c r="C2725" t="s">
        <v>40</v>
      </c>
      <c r="D2725">
        <v>5.4023079999999997</v>
      </c>
      <c r="E2725">
        <v>0.45405010000000001</v>
      </c>
      <c r="F2725" t="s">
        <v>50</v>
      </c>
      <c r="G2725">
        <v>-480.66770000000002</v>
      </c>
      <c r="H2725" s="1">
        <v>2.247036E-6</v>
      </c>
      <c r="I2725">
        <v>221.24440000000001</v>
      </c>
      <c r="J2725">
        <v>-485.11340000000001</v>
      </c>
      <c r="K2725">
        <v>1.105531</v>
      </c>
      <c r="L2725">
        <v>231.7527</v>
      </c>
      <c r="M2725">
        <v>0.278665</v>
      </c>
      <c r="N2725">
        <v>0</v>
      </c>
      <c r="O2725">
        <v>-0.96028539999999996</v>
      </c>
      <c r="P2725">
        <v>0.27437679999999998</v>
      </c>
      <c r="Q2725">
        <v>1.124255E-2</v>
      </c>
      <c r="R2725">
        <v>-0.961557</v>
      </c>
      <c r="S2725">
        <v>1.1697690000000001</v>
      </c>
      <c r="T2725">
        <v>-0.28538019999999997</v>
      </c>
      <c r="U2725">
        <v>-2.7911830000000002</v>
      </c>
      <c r="V2725">
        <v>4.7479269999999999E-3</v>
      </c>
      <c r="W2725">
        <v>2.5272369999999999E-2</v>
      </c>
      <c r="X2725">
        <v>0.99966929999999998</v>
      </c>
      <c r="Y2725">
        <v>-0.11248569999999999</v>
      </c>
      <c r="Z2725">
        <v>9.1656329999999994E-2</v>
      </c>
      <c r="AA2725">
        <v>0.98941710000000005</v>
      </c>
      <c r="AB2725">
        <v>34</v>
      </c>
      <c r="AC2725">
        <v>4.44569999999998</v>
      </c>
      <c r="AD2725">
        <v>-1.1055287529639899</v>
      </c>
      <c r="AE2725">
        <v>-10.508299999999901</v>
      </c>
      <c r="AF2725">
        <v>-1.3285061482229501</v>
      </c>
      <c r="AG2725">
        <v>-1.1055287529639899</v>
      </c>
      <c r="AH2725">
        <v>11.2255644258518</v>
      </c>
      <c r="AI2725">
        <v>95.585798751018402</v>
      </c>
      <c r="AJ2725">
        <v>96.749360957322693</v>
      </c>
      <c r="AK2725">
        <v>11.357835140925699</v>
      </c>
      <c r="AL2725">
        <v>88.551845638604405</v>
      </c>
      <c r="AM2725">
        <v>89.727875875494107</v>
      </c>
      <c r="AN2725">
        <v>0.99999997242935101</v>
      </c>
    </row>
    <row r="2726" spans="1:40" x14ac:dyDescent="0.25">
      <c r="A2726" t="str">
        <f>"20190312151038721"</f>
        <v>20190312151038721</v>
      </c>
      <c r="B2726" t="str">
        <f>"1552374638713565"</f>
        <v>1552374638713565</v>
      </c>
      <c r="C2726" t="s">
        <v>40</v>
      </c>
      <c r="D2726">
        <v>5.6143739999999998</v>
      </c>
      <c r="E2726">
        <v>0.45391870000000001</v>
      </c>
      <c r="F2726" t="s">
        <v>50</v>
      </c>
      <c r="G2726">
        <v>-480.66329999999999</v>
      </c>
      <c r="H2726" s="1">
        <v>2.2357960000000002E-6</v>
      </c>
      <c r="I2726">
        <v>221.19710000000001</v>
      </c>
      <c r="J2726">
        <v>-485.017</v>
      </c>
      <c r="K2726">
        <v>1.1059859999999999</v>
      </c>
      <c r="L2726">
        <v>231.4051</v>
      </c>
      <c r="M2726">
        <v>0.27476149999999999</v>
      </c>
      <c r="N2726">
        <v>0</v>
      </c>
      <c r="O2726">
        <v>-0.96140979999999998</v>
      </c>
      <c r="P2726">
        <v>0.27592109999999997</v>
      </c>
      <c r="Q2726">
        <v>8.0328499999999994E-3</v>
      </c>
      <c r="R2726">
        <v>-0.96114699999999997</v>
      </c>
      <c r="S2726">
        <v>1.1753849999999999</v>
      </c>
      <c r="T2726">
        <v>-0.2919948</v>
      </c>
      <c r="U2726">
        <v>-2.787979</v>
      </c>
      <c r="V2726">
        <v>-9.7138179999999995E-4</v>
      </c>
      <c r="W2726">
        <v>2.210181E-2</v>
      </c>
      <c r="X2726">
        <v>0.99975530000000001</v>
      </c>
      <c r="Y2726">
        <v>-0.1185341</v>
      </c>
      <c r="Z2726">
        <v>9.3953389999999998E-2</v>
      </c>
      <c r="AA2726">
        <v>0.98849509999999996</v>
      </c>
      <c r="AB2726">
        <v>34</v>
      </c>
      <c r="AC2726">
        <v>4.3536999999999999</v>
      </c>
      <c r="AD2726">
        <v>-1.105983764204</v>
      </c>
      <c r="AE2726">
        <v>-10.207999999999901</v>
      </c>
      <c r="AF2726">
        <v>-1.3674789654396</v>
      </c>
      <c r="AG2726">
        <v>-1.105983764204</v>
      </c>
      <c r="AH2726">
        <v>10.903097651485201</v>
      </c>
      <c r="AI2726">
        <v>95.747409487818203</v>
      </c>
      <c r="AJ2726">
        <v>97.1487735842055</v>
      </c>
      <c r="AK2726">
        <v>11.0440362732755</v>
      </c>
      <c r="AL2726">
        <v>88.733556504816903</v>
      </c>
      <c r="AM2726">
        <v>90.0556696822931</v>
      </c>
      <c r="AN2726">
        <v>1.0000000467329799</v>
      </c>
    </row>
    <row r="2727" spans="1:40" x14ac:dyDescent="0.25">
      <c r="A2727" t="str">
        <f>"20190312151038742"</f>
        <v>20190312151038742</v>
      </c>
      <c r="B2727" t="str">
        <f>"1552374638733088"</f>
        <v>1552374638733088</v>
      </c>
      <c r="C2727" t="s">
        <v>40</v>
      </c>
      <c r="D2727">
        <v>5.6382940000000001</v>
      </c>
      <c r="E2727">
        <v>0.45370830000000001</v>
      </c>
      <c r="F2727" t="s">
        <v>50</v>
      </c>
      <c r="G2727">
        <v>-480.72919999999999</v>
      </c>
      <c r="H2727" s="1">
        <v>2.2692190000000001E-6</v>
      </c>
      <c r="I2727">
        <v>221.2954</v>
      </c>
      <c r="J2727">
        <v>-484.92899999999997</v>
      </c>
      <c r="K2727">
        <v>1.1064969999999901</v>
      </c>
      <c r="L2727">
        <v>231.08590000000001</v>
      </c>
      <c r="M2727">
        <v>0.27178069999999999</v>
      </c>
      <c r="N2727">
        <v>0</v>
      </c>
      <c r="O2727">
        <v>-0.96225680000000002</v>
      </c>
      <c r="P2727">
        <v>0.2764974</v>
      </c>
      <c r="Q2727">
        <v>7.213321E-3</v>
      </c>
      <c r="R2727">
        <v>-0.96098779999999995</v>
      </c>
      <c r="S2727">
        <v>1.1810909999999999</v>
      </c>
      <c r="T2727">
        <v>-0.30464629999999998</v>
      </c>
      <c r="U2727">
        <v>-2.7847439999999999</v>
      </c>
      <c r="V2727">
        <v>-4.7017869999999998E-3</v>
      </c>
      <c r="W2727">
        <v>2.1292330000000002E-2</v>
      </c>
      <c r="X2727">
        <v>0.99976220000000005</v>
      </c>
      <c r="Y2727">
        <v>-0.1235764</v>
      </c>
      <c r="Z2727">
        <v>9.8146590000000006E-2</v>
      </c>
      <c r="AA2727">
        <v>0.98746959999999995</v>
      </c>
      <c r="AB2727">
        <v>34</v>
      </c>
      <c r="AC2727">
        <v>4.19980000000003</v>
      </c>
      <c r="AD2727">
        <v>-1.10649473078099</v>
      </c>
      <c r="AE2727">
        <v>-9.7904999999999998</v>
      </c>
      <c r="AF2727">
        <v>-1.3658190522437701</v>
      </c>
      <c r="AG2727">
        <v>-1.10649473078099</v>
      </c>
      <c r="AH2727">
        <v>10.4507008645657</v>
      </c>
      <c r="AI2727">
        <v>95.993229997027001</v>
      </c>
      <c r="AJ2727">
        <v>97.445877160188303</v>
      </c>
      <c r="AK2727">
        <v>10.5974969135807</v>
      </c>
      <c r="AL2727">
        <v>88.779947110546203</v>
      </c>
      <c r="AM2727">
        <v>90.269454641529194</v>
      </c>
      <c r="AN2727">
        <v>0.99999996333332997</v>
      </c>
    </row>
    <row r="2728" spans="1:40" x14ac:dyDescent="0.25">
      <c r="A2728" t="str">
        <f>"20190312151038766"</f>
        <v>20190312151038766</v>
      </c>
      <c r="B2728" t="str">
        <f>"1552374638763341"</f>
        <v>1552374638763341</v>
      </c>
      <c r="C2728" t="s">
        <v>40</v>
      </c>
      <c r="D2728">
        <v>5.5751010000000001</v>
      </c>
      <c r="E2728">
        <v>0.45349840000000002</v>
      </c>
      <c r="F2728" t="s">
        <v>50</v>
      </c>
      <c r="G2728">
        <v>-480.70589999999999</v>
      </c>
      <c r="H2728" s="1">
        <v>2.2361500000000002E-6</v>
      </c>
      <c r="I2728">
        <v>221.1645</v>
      </c>
      <c r="J2728">
        <v>-484.83429999999998</v>
      </c>
      <c r="K2728">
        <v>1.1070629999999999</v>
      </c>
      <c r="L2728">
        <v>230.74</v>
      </c>
      <c r="M2728">
        <v>0.26916190000000001</v>
      </c>
      <c r="N2728">
        <v>0</v>
      </c>
      <c r="O2728">
        <v>-0.96299299999999999</v>
      </c>
      <c r="P2728">
        <v>0.27658349999999998</v>
      </c>
      <c r="Q2728">
        <v>8.3526659999999999E-3</v>
      </c>
      <c r="R2728">
        <v>-0.96095379999999997</v>
      </c>
      <c r="S2728">
        <v>1.184723</v>
      </c>
      <c r="T2728">
        <v>-0.3104073</v>
      </c>
      <c r="U2728">
        <v>-2.783264</v>
      </c>
      <c r="V2728">
        <v>-7.5337919999999897E-3</v>
      </c>
      <c r="W2728">
        <v>2.2426930000000001E-2</v>
      </c>
      <c r="X2728">
        <v>0.9997201</v>
      </c>
      <c r="Y2728">
        <v>-0.12747749999999999</v>
      </c>
      <c r="Z2728">
        <v>0.100095</v>
      </c>
      <c r="AA2728">
        <v>0.98677780000000004</v>
      </c>
      <c r="AB2728">
        <v>34</v>
      </c>
      <c r="AC2728">
        <v>4.1283999999999903</v>
      </c>
      <c r="AD2728">
        <v>-1.1070607638500001</v>
      </c>
      <c r="AE2728">
        <v>-9.5754999999999999</v>
      </c>
      <c r="AF2728">
        <v>-1.3828115969118</v>
      </c>
      <c r="AG2728">
        <v>-1.1070607638500001</v>
      </c>
      <c r="AH2728">
        <v>10.21818867565</v>
      </c>
      <c r="AI2728">
        <v>96.1280026586616</v>
      </c>
      <c r="AJ2728">
        <v>97.706928718142095</v>
      </c>
      <c r="AK2728">
        <v>10.3705897256903</v>
      </c>
      <c r="AL2728">
        <v>88.714923825301597</v>
      </c>
      <c r="AM2728">
        <v>90.431767166045702</v>
      </c>
      <c r="AN2728">
        <v>1.0000000017775601</v>
      </c>
    </row>
    <row r="2729" spans="1:40" x14ac:dyDescent="0.25">
      <c r="A2729" t="str">
        <f>"20190312151038788"</f>
        <v>20190312151038788</v>
      </c>
      <c r="B2729" t="str">
        <f>"1552374638783837"</f>
        <v>1552374638783837</v>
      </c>
      <c r="C2729" t="s">
        <v>40</v>
      </c>
      <c r="D2729">
        <v>5.5878030000000001</v>
      </c>
      <c r="E2729">
        <v>0.45335370000000003</v>
      </c>
      <c r="F2729" t="s">
        <v>50</v>
      </c>
      <c r="G2729">
        <v>-480.54079999999999</v>
      </c>
      <c r="H2729" s="1">
        <v>2.0997640000000001E-6</v>
      </c>
      <c r="I2729">
        <v>220.68010000000001</v>
      </c>
      <c r="J2729">
        <v>-484.745</v>
      </c>
      <c r="K2729">
        <v>1.10761</v>
      </c>
      <c r="L2729">
        <v>230.4128</v>
      </c>
      <c r="M2729">
        <v>0.26733780000000001</v>
      </c>
      <c r="N2729">
        <v>0</v>
      </c>
      <c r="O2729">
        <v>-0.96350119999999895</v>
      </c>
      <c r="P2729">
        <v>0.27596730000000003</v>
      </c>
      <c r="Q2729">
        <v>1.1806789999999999E-2</v>
      </c>
      <c r="R2729">
        <v>-0.96109489999999997</v>
      </c>
      <c r="S2729">
        <v>1.1876530000000001</v>
      </c>
      <c r="T2729">
        <v>-0.30623030000000001</v>
      </c>
      <c r="U2729">
        <v>-2.782715</v>
      </c>
      <c r="V2729">
        <v>-8.8034719999999997E-3</v>
      </c>
      <c r="W2729">
        <v>2.5860589999999999E-2</v>
      </c>
      <c r="X2729">
        <v>0.99962680000000004</v>
      </c>
      <c r="Y2729">
        <v>-0.13035730000000001</v>
      </c>
      <c r="Z2729">
        <v>9.8818879999999998E-2</v>
      </c>
      <c r="AA2729">
        <v>0.98653020000000002</v>
      </c>
      <c r="AB2729">
        <v>34</v>
      </c>
      <c r="AC2729">
        <v>4.2042000000000099</v>
      </c>
      <c r="AD2729">
        <v>-1.107607900236</v>
      </c>
      <c r="AE2729">
        <v>-9.7326999999999906</v>
      </c>
      <c r="AF2729">
        <v>-1.4333310434367501</v>
      </c>
      <c r="AG2729">
        <v>-1.107607900236</v>
      </c>
      <c r="AH2729">
        <v>10.389047661431301</v>
      </c>
      <c r="AI2729">
        <v>96.028809135432297</v>
      </c>
      <c r="AJ2729">
        <v>97.855255961368499</v>
      </c>
      <c r="AK2729">
        <v>10.5457832545637</v>
      </c>
      <c r="AL2729">
        <v>88.518132142273899</v>
      </c>
      <c r="AM2729">
        <v>90.504577059127598</v>
      </c>
      <c r="AN2729">
        <v>1.00000000525632</v>
      </c>
    </row>
    <row r="2730" spans="1:40" x14ac:dyDescent="0.25">
      <c r="A2730" t="str">
        <f>"20190312151038810"</f>
        <v>20190312151038810</v>
      </c>
      <c r="B2730" t="str">
        <f>"1552374638803357"</f>
        <v>1552374638803357</v>
      </c>
      <c r="C2730" t="s">
        <v>40</v>
      </c>
      <c r="D2730">
        <v>5.6282719999999999</v>
      </c>
      <c r="E2730">
        <v>0.45319789999999999</v>
      </c>
      <c r="F2730" t="s">
        <v>50</v>
      </c>
      <c r="G2730">
        <v>-480.35169999999999</v>
      </c>
      <c r="H2730" s="1">
        <v>1.9410289999999999E-6</v>
      </c>
      <c r="I2730">
        <v>220.1139</v>
      </c>
      <c r="J2730">
        <v>-484.65859999999998</v>
      </c>
      <c r="K2730">
        <v>1.1081589999999999</v>
      </c>
      <c r="L2730">
        <v>230.096</v>
      </c>
      <c r="M2730">
        <v>0.26623049999999998</v>
      </c>
      <c r="N2730">
        <v>0</v>
      </c>
      <c r="O2730">
        <v>-0.96380790000000005</v>
      </c>
      <c r="P2730">
        <v>0.27928629999999999</v>
      </c>
      <c r="Q2730">
        <v>1.414549E-2</v>
      </c>
      <c r="R2730">
        <v>-0.96010390000000001</v>
      </c>
      <c r="S2730">
        <v>1.1876530000000001</v>
      </c>
      <c r="T2730">
        <v>-0.29942170000000001</v>
      </c>
      <c r="U2730">
        <v>-2.784119</v>
      </c>
      <c r="V2730">
        <v>-1.343802E-2</v>
      </c>
      <c r="W2730">
        <v>2.81929E-2</v>
      </c>
      <c r="X2730">
        <v>0.99951219999999996</v>
      </c>
      <c r="Y2730">
        <v>-0.1314043</v>
      </c>
      <c r="Z2730">
        <v>9.6638340000000003E-2</v>
      </c>
      <c r="AA2730">
        <v>0.98660729999999996</v>
      </c>
      <c r="AB2730">
        <v>34</v>
      </c>
      <c r="AC2730">
        <v>4.3068999999999802</v>
      </c>
      <c r="AD2730">
        <v>-1.1081570589709999</v>
      </c>
      <c r="AE2730">
        <v>-9.9820999999999707</v>
      </c>
      <c r="AF2730">
        <v>-1.4782716489199601</v>
      </c>
      <c r="AG2730">
        <v>-1.1081570589709999</v>
      </c>
      <c r="AH2730">
        <v>10.657774181141701</v>
      </c>
      <c r="AI2730">
        <v>95.880184772974303</v>
      </c>
      <c r="AJ2730">
        <v>97.896747092911994</v>
      </c>
      <c r="AK2730">
        <v>10.816720835426899</v>
      </c>
      <c r="AL2730">
        <v>88.384451799407103</v>
      </c>
      <c r="AM2730">
        <v>90.770271183615407</v>
      </c>
      <c r="AN2730">
        <v>1.0000000289703801</v>
      </c>
    </row>
    <row r="2731" spans="1:40" x14ac:dyDescent="0.25">
      <c r="A2731" t="str">
        <f>"20190312151038832"</f>
        <v>20190312151038832</v>
      </c>
      <c r="B2731" t="str">
        <f>"1552374638823853"</f>
        <v>1552374638823853</v>
      </c>
      <c r="C2731" t="s">
        <v>40</v>
      </c>
      <c r="D2731">
        <v>5.5864960000000004</v>
      </c>
      <c r="E2731">
        <v>0.4530304</v>
      </c>
      <c r="F2731" t="s">
        <v>50</v>
      </c>
      <c r="G2731">
        <v>-480.15600000000001</v>
      </c>
      <c r="H2731" s="1">
        <v>1.803323E-6</v>
      </c>
      <c r="I2731">
        <v>219.6481</v>
      </c>
      <c r="J2731">
        <v>-484.56819999999999</v>
      </c>
      <c r="K2731">
        <v>1.108746</v>
      </c>
      <c r="L2731">
        <v>229.76580000000001</v>
      </c>
      <c r="M2731">
        <v>0.2657562</v>
      </c>
      <c r="N2731">
        <v>0</v>
      </c>
      <c r="O2731">
        <v>-0.96393899999999999</v>
      </c>
      <c r="P2731">
        <v>0.28377190000000002</v>
      </c>
      <c r="Q2731">
        <v>1.4875360000000001E-2</v>
      </c>
      <c r="R2731">
        <v>-0.95877650000000003</v>
      </c>
      <c r="S2731">
        <v>1.198242</v>
      </c>
      <c r="T2731">
        <v>-0.294906</v>
      </c>
      <c r="U2731">
        <v>-2.7804410000000002</v>
      </c>
      <c r="V2731">
        <v>-1.8644350000000001E-2</v>
      </c>
      <c r="W2731">
        <v>2.8905009999999998E-2</v>
      </c>
      <c r="X2731">
        <v>0.99940819999999997</v>
      </c>
      <c r="Y2731">
        <v>-0.13559109999999999</v>
      </c>
      <c r="Z2731">
        <v>9.5233810000000002E-2</v>
      </c>
      <c r="AA2731">
        <v>0.98617730000000003</v>
      </c>
      <c r="AB2731">
        <v>34</v>
      </c>
      <c r="AC2731">
        <v>4.4121999999999799</v>
      </c>
      <c r="AD2731">
        <v>-1.108744196677</v>
      </c>
      <c r="AE2731">
        <v>-10.117699999999999</v>
      </c>
      <c r="AF2731">
        <v>-1.5487757977246901</v>
      </c>
      <c r="AG2731">
        <v>-1.108744196677</v>
      </c>
      <c r="AH2731">
        <v>10.8173353959307</v>
      </c>
      <c r="AI2731">
        <v>95.793535560319995</v>
      </c>
      <c r="AJ2731">
        <v>98.1479689302477</v>
      </c>
      <c r="AK2731">
        <v>10.9837500532986</v>
      </c>
      <c r="AL2731">
        <v>88.343634102128803</v>
      </c>
      <c r="AM2731">
        <v>91.0687511550328</v>
      </c>
      <c r="AN2731">
        <v>0.99999993080862803</v>
      </c>
    </row>
    <row r="2732" spans="1:40" x14ac:dyDescent="0.25">
      <c r="A2732" t="str">
        <f>"20190312151038844"</f>
        <v>20190312151038844</v>
      </c>
      <c r="B2732" t="str">
        <f>"1552374638833613"</f>
        <v>1552374638833613</v>
      </c>
      <c r="C2732" t="s">
        <v>40</v>
      </c>
      <c r="D2732">
        <v>5.5270359999999998</v>
      </c>
      <c r="E2732">
        <v>0.45293870000000003</v>
      </c>
      <c r="F2732" t="s">
        <v>50</v>
      </c>
      <c r="G2732">
        <v>-479.97919999999999</v>
      </c>
      <c r="H2732" s="1">
        <v>1.749694E-6</v>
      </c>
      <c r="I2732">
        <v>219.26730000000001</v>
      </c>
      <c r="J2732">
        <v>-484.51870000000002</v>
      </c>
      <c r="K2732">
        <v>1.1090789999999999</v>
      </c>
      <c r="L2732">
        <v>229.58580000000001</v>
      </c>
      <c r="M2732">
        <v>0.26579370000000002</v>
      </c>
      <c r="N2732">
        <v>0</v>
      </c>
      <c r="O2732">
        <v>-0.96392889999999998</v>
      </c>
      <c r="P2732">
        <v>0.28639609999999999</v>
      </c>
      <c r="Q2732">
        <v>1.531413E-2</v>
      </c>
      <c r="R2732">
        <v>-0.95798930000000004</v>
      </c>
      <c r="S2732">
        <v>1.212799</v>
      </c>
      <c r="T2732">
        <v>-0.29302220000000001</v>
      </c>
      <c r="U2732">
        <v>-2.7745820000000001</v>
      </c>
      <c r="V2732">
        <v>-2.1366570000000001E-2</v>
      </c>
      <c r="W2732">
        <v>2.9328739999999999E-2</v>
      </c>
      <c r="X2732">
        <v>0.99934140000000005</v>
      </c>
      <c r="Y2732">
        <v>-0.1406821</v>
      </c>
      <c r="Z2732">
        <v>9.4683390000000006E-2</v>
      </c>
      <c r="AA2732">
        <v>0.98551690000000003</v>
      </c>
      <c r="AB2732">
        <v>34</v>
      </c>
      <c r="AC2732">
        <v>4.5395000000000296</v>
      </c>
      <c r="AD2732">
        <v>-1.109077250306</v>
      </c>
      <c r="AE2732">
        <v>-10.3185</v>
      </c>
      <c r="AF2732">
        <v>-1.6176639023892601</v>
      </c>
      <c r="AG2732">
        <v>-1.109077250306</v>
      </c>
      <c r="AH2732">
        <v>11.0470278623611</v>
      </c>
      <c r="AI2732">
        <v>95.672956813328696</v>
      </c>
      <c r="AJ2732">
        <v>98.330858440203201</v>
      </c>
      <c r="AK2732">
        <v>11.2197911495723</v>
      </c>
      <c r="AL2732">
        <v>88.319345926830096</v>
      </c>
      <c r="AM2732">
        <v>91.224834468189698</v>
      </c>
      <c r="AN2732">
        <v>0.99999996952875503</v>
      </c>
    </row>
    <row r="2733" spans="1:40" x14ac:dyDescent="0.25">
      <c r="A2733" t="str">
        <f>"20190312151038857"</f>
        <v>20190312151038857</v>
      </c>
      <c r="B2733" t="str">
        <f>"1552374638853134"</f>
        <v>1552374638853134</v>
      </c>
      <c r="C2733" t="s">
        <v>40</v>
      </c>
      <c r="D2733">
        <v>5.5159960000000003</v>
      </c>
      <c r="E2733">
        <v>0.45277329999999999</v>
      </c>
      <c r="F2733" t="s">
        <v>50</v>
      </c>
      <c r="G2733">
        <v>-479.87709999999998</v>
      </c>
      <c r="H2733" s="1">
        <v>1.7723339999999901E-6</v>
      </c>
      <c r="I2733">
        <v>219.0538</v>
      </c>
      <c r="J2733">
        <v>-484.46820000000002</v>
      </c>
      <c r="K2733">
        <v>1.109421</v>
      </c>
      <c r="L2733">
        <v>229.4023</v>
      </c>
      <c r="M2733">
        <v>0.26598480000000002</v>
      </c>
      <c r="N2733">
        <v>0</v>
      </c>
      <c r="O2733">
        <v>-0.96387619999999896</v>
      </c>
      <c r="P2733">
        <v>0.28892430000000002</v>
      </c>
      <c r="Q2733">
        <v>1.5249230000000001E-2</v>
      </c>
      <c r="R2733">
        <v>-0.95723069999999999</v>
      </c>
      <c r="S2733">
        <v>1.2212829999999999</v>
      </c>
      <c r="T2733">
        <v>-0.2918133</v>
      </c>
      <c r="U2733">
        <v>-2.771118</v>
      </c>
      <c r="V2733">
        <v>-2.383161E-2</v>
      </c>
      <c r="W2733">
        <v>2.9244369999999999E-2</v>
      </c>
      <c r="X2733">
        <v>0.99928810000000001</v>
      </c>
      <c r="Y2733">
        <v>-0.1434811</v>
      </c>
      <c r="Z2733">
        <v>9.4321470000000004E-2</v>
      </c>
      <c r="AA2733">
        <v>0.98514800000000002</v>
      </c>
      <c r="AB2733">
        <v>34</v>
      </c>
      <c r="AC2733">
        <v>4.5911000000000399</v>
      </c>
      <c r="AD2733">
        <v>-1.109419227666</v>
      </c>
      <c r="AE2733">
        <v>-10.3485</v>
      </c>
      <c r="AF2733">
        <v>-1.65695947467977</v>
      </c>
      <c r="AG2733">
        <v>-1.109419227666</v>
      </c>
      <c r="AH2733">
        <v>11.090424900174</v>
      </c>
      <c r="AI2733">
        <v>95.650219464846998</v>
      </c>
      <c r="AJ2733">
        <v>98.497394303630699</v>
      </c>
      <c r="AK2733">
        <v>11.2682673996425</v>
      </c>
      <c r="AL2733">
        <v>88.3241820015228</v>
      </c>
      <c r="AM2733">
        <v>91.366164463757897</v>
      </c>
      <c r="AN2733">
        <v>0.99999994280674698</v>
      </c>
    </row>
    <row r="2734" spans="1:40" x14ac:dyDescent="0.25">
      <c r="A2734" t="str">
        <f>"20190312151038869"</f>
        <v>20190312151038869</v>
      </c>
      <c r="B2734" t="str">
        <f>"1552374638863869"</f>
        <v>1552374638863869</v>
      </c>
      <c r="C2734" t="s">
        <v>40</v>
      </c>
      <c r="D2734">
        <v>5.5190659999999996</v>
      </c>
      <c r="E2734">
        <v>0.4526946</v>
      </c>
      <c r="F2734" t="s">
        <v>50</v>
      </c>
      <c r="G2734">
        <v>-479.79739999999998</v>
      </c>
      <c r="H2734" s="1">
        <v>1.8005829999999999E-6</v>
      </c>
      <c r="I2734">
        <v>218.89189999999999</v>
      </c>
      <c r="J2734">
        <v>-484.41719999999998</v>
      </c>
      <c r="K2734">
        <v>1.109769</v>
      </c>
      <c r="L2734">
        <v>229.21850000000001</v>
      </c>
      <c r="M2734">
        <v>0.26646950000000003</v>
      </c>
      <c r="N2734">
        <v>0</v>
      </c>
      <c r="O2734">
        <v>-0.96374249999999995</v>
      </c>
      <c r="P2734">
        <v>0.29179670000000002</v>
      </c>
      <c r="Q2734">
        <v>1.550925E-2</v>
      </c>
      <c r="R2734">
        <v>-0.95635479999999995</v>
      </c>
      <c r="S2734">
        <v>1.2298579999999999</v>
      </c>
      <c r="T2734">
        <v>-0.2921203</v>
      </c>
      <c r="U2734">
        <v>-2.7675019999999999</v>
      </c>
      <c r="V2734">
        <v>-2.63544E-2</v>
      </c>
      <c r="W2734">
        <v>2.9482209999999998E-2</v>
      </c>
      <c r="X2734">
        <v>0.99921780000000004</v>
      </c>
      <c r="Y2734">
        <v>-0.14600550000000001</v>
      </c>
      <c r="Z2734">
        <v>9.4438259999999996E-2</v>
      </c>
      <c r="AA2734">
        <v>0.98476589999999997</v>
      </c>
      <c r="AB2734">
        <v>34</v>
      </c>
      <c r="AC2734">
        <v>4.6197999999999899</v>
      </c>
      <c r="AD2734">
        <v>-1.109767199417</v>
      </c>
      <c r="AE2734">
        <v>-10.326599999999999</v>
      </c>
      <c r="AF2734">
        <v>-1.6845285015385101</v>
      </c>
      <c r="AG2734">
        <v>-1.109767199417</v>
      </c>
      <c r="AH2734">
        <v>11.077703788588</v>
      </c>
      <c r="AI2734">
        <v>95.656224804553403</v>
      </c>
      <c r="AJ2734">
        <v>98.646429904148306</v>
      </c>
      <c r="AK2734">
        <v>11.259873033790999</v>
      </c>
      <c r="AL2734">
        <v>88.310548962712701</v>
      </c>
      <c r="AM2734">
        <v>91.510827668098798</v>
      </c>
      <c r="AN2734">
        <v>0.999999983471342</v>
      </c>
    </row>
    <row r="2735" spans="1:40" x14ac:dyDescent="0.25">
      <c r="A2735" t="str">
        <f>"20190312151038888"</f>
        <v>20190312151038888</v>
      </c>
      <c r="B2735" t="str">
        <f>"1552374638883389"</f>
        <v>1552374638883389</v>
      </c>
      <c r="C2735" t="s">
        <v>40</v>
      </c>
      <c r="D2735">
        <v>5.3937030000000004</v>
      </c>
      <c r="E2735">
        <v>0.45256180000000001</v>
      </c>
      <c r="F2735" t="s">
        <v>50</v>
      </c>
      <c r="G2735">
        <v>-479.69560000000001</v>
      </c>
      <c r="H2735" s="1">
        <v>1.8368219999999999E-6</v>
      </c>
      <c r="I2735">
        <v>218.68819999999999</v>
      </c>
      <c r="J2735">
        <v>-484.34280000000001</v>
      </c>
      <c r="K2735">
        <v>1.110257</v>
      </c>
      <c r="L2735">
        <v>228.95160000000001</v>
      </c>
      <c r="M2735">
        <v>0.26744179999999901</v>
      </c>
      <c r="N2735">
        <v>0</v>
      </c>
      <c r="O2735">
        <v>-0.96347309999999997</v>
      </c>
      <c r="P2735">
        <v>0.29774260000000002</v>
      </c>
      <c r="Q2735">
        <v>1.5639159999999999E-2</v>
      </c>
      <c r="R2735">
        <v>-0.95451859999999999</v>
      </c>
      <c r="S2735">
        <v>1.239136</v>
      </c>
      <c r="T2735">
        <v>-0.29124689999999998</v>
      </c>
      <c r="U2735">
        <v>-2.7635649999999998</v>
      </c>
      <c r="V2735">
        <v>-3.1601709999999998E-2</v>
      </c>
      <c r="W2735">
        <v>2.9572290000000001E-2</v>
      </c>
      <c r="X2735">
        <v>0.99906300000000003</v>
      </c>
      <c r="Y2735">
        <v>-0.14829429999999999</v>
      </c>
      <c r="Z2735">
        <v>9.4163659999999996E-2</v>
      </c>
      <c r="AA2735">
        <v>0.98445009999999999</v>
      </c>
      <c r="AB2735">
        <v>34</v>
      </c>
      <c r="AC2735">
        <v>4.64719999999999</v>
      </c>
      <c r="AD2735">
        <v>-1.110255163178</v>
      </c>
      <c r="AE2735">
        <v>-10.263400000000001</v>
      </c>
      <c r="AF2735">
        <v>-1.7160933684030899</v>
      </c>
      <c r="AG2735">
        <v>-1.110255163178</v>
      </c>
      <c r="AH2735">
        <v>11.025379363498599</v>
      </c>
      <c r="AI2735">
        <v>95.682333123875097</v>
      </c>
      <c r="AJ2735">
        <v>98.847062747688099</v>
      </c>
      <c r="AK2735">
        <v>11.2132347289041</v>
      </c>
      <c r="AL2735">
        <v>88.305385591693394</v>
      </c>
      <c r="AM2735">
        <v>91.811738694361594</v>
      </c>
      <c r="AN2735">
        <v>1.00000003318988</v>
      </c>
    </row>
    <row r="2736" spans="1:40" x14ac:dyDescent="0.25">
      <c r="A2736" t="str">
        <f>"20190312151038900"</f>
        <v>20190312151038900</v>
      </c>
      <c r="B2736" t="str">
        <f>"1552374638893149"</f>
        <v>1552374638893149</v>
      </c>
      <c r="C2736" t="s">
        <v>40</v>
      </c>
      <c r="D2736">
        <v>5.5145949999999999</v>
      </c>
      <c r="E2736">
        <v>0.45248329999999998</v>
      </c>
      <c r="F2736" t="s">
        <v>50</v>
      </c>
      <c r="G2736">
        <v>-479.5487</v>
      </c>
      <c r="H2736" s="1">
        <v>1.8916020000000001E-6</v>
      </c>
      <c r="I2736">
        <v>218.45079999999999</v>
      </c>
      <c r="J2736">
        <v>-484.2885</v>
      </c>
      <c r="K2736">
        <v>1.1105989999999999</v>
      </c>
      <c r="L2736">
        <v>228.75839999999999</v>
      </c>
      <c r="M2736">
        <v>0.26835550000000002</v>
      </c>
      <c r="N2736">
        <v>0</v>
      </c>
      <c r="O2736">
        <v>-0.96321920000000005</v>
      </c>
      <c r="P2736">
        <v>0.30110779999999998</v>
      </c>
      <c r="Q2736">
        <v>1.5823489999999999E-2</v>
      </c>
      <c r="R2736">
        <v>-0.9534591</v>
      </c>
      <c r="S2736">
        <v>1.257935</v>
      </c>
      <c r="T2736">
        <v>-0.29132350000000001</v>
      </c>
      <c r="U2736">
        <v>-2.7553559999999999</v>
      </c>
      <c r="V2736">
        <v>-3.4204449999999997E-2</v>
      </c>
      <c r="W2736">
        <v>2.9723860000000001E-2</v>
      </c>
      <c r="X2736">
        <v>0.99897279999999999</v>
      </c>
      <c r="Y2736">
        <v>-0.15401809999999999</v>
      </c>
      <c r="Z2736">
        <v>9.4237249999999995E-2</v>
      </c>
      <c r="AA2736">
        <v>0.98356379999999999</v>
      </c>
      <c r="AB2736">
        <v>34</v>
      </c>
      <c r="AC2736">
        <v>4.7397999999999998</v>
      </c>
      <c r="AD2736">
        <v>-1.110597108398</v>
      </c>
      <c r="AE2736">
        <v>-10.307600000000001</v>
      </c>
      <c r="AF2736">
        <v>-1.7824588968267401</v>
      </c>
      <c r="AG2736">
        <v>-1.110597108398</v>
      </c>
      <c r="AH2736">
        <v>11.0951936248993</v>
      </c>
      <c r="AI2736">
        <v>95.644208345904303</v>
      </c>
      <c r="AJ2736">
        <v>99.126666638704705</v>
      </c>
      <c r="AK2736">
        <v>11.292205596342299</v>
      </c>
      <c r="AL2736">
        <v>88.296697486298498</v>
      </c>
      <c r="AM2736">
        <v>91.961019676461902</v>
      </c>
      <c r="AN2736">
        <v>1.0000000536964599</v>
      </c>
    </row>
    <row r="2737" spans="1:40" x14ac:dyDescent="0.25">
      <c r="A2737" t="str">
        <f>"20190312151038913"</f>
        <v>20190312151038913</v>
      </c>
      <c r="B2737" t="str">
        <f>"1552374638903885"</f>
        <v>1552374638903885</v>
      </c>
      <c r="C2737" t="s">
        <v>40</v>
      </c>
      <c r="D2737">
        <v>5.5114470000000004</v>
      </c>
      <c r="E2737">
        <v>0.4524146</v>
      </c>
      <c r="F2737" t="s">
        <v>50</v>
      </c>
      <c r="G2737">
        <v>-479.45780000000002</v>
      </c>
      <c r="H2737" s="1">
        <v>1.924465E-6</v>
      </c>
      <c r="I2737">
        <v>218.2799</v>
      </c>
      <c r="J2737">
        <v>-484.23320000000001</v>
      </c>
      <c r="K2737">
        <v>1.1109209999999901</v>
      </c>
      <c r="L2737">
        <v>228.56319999999999</v>
      </c>
      <c r="M2737">
        <v>0.26948450000000002</v>
      </c>
      <c r="N2737">
        <v>0</v>
      </c>
      <c r="O2737">
        <v>-0.96290390000000003</v>
      </c>
      <c r="P2737">
        <v>0.3049732</v>
      </c>
      <c r="Q2737">
        <v>1.5983600000000001E-2</v>
      </c>
      <c r="R2737">
        <v>-0.95222700000000005</v>
      </c>
      <c r="S2737">
        <v>1.2681579999999999</v>
      </c>
      <c r="T2737">
        <v>-0.2915508</v>
      </c>
      <c r="U2737">
        <v>-2.7507779999999999</v>
      </c>
      <c r="V2737">
        <v>-3.7110829999999997E-2</v>
      </c>
      <c r="W2737">
        <v>2.9848260000000001E-2</v>
      </c>
      <c r="X2737">
        <v>0.99886529999999996</v>
      </c>
      <c r="Y2737">
        <v>-0.1564931</v>
      </c>
      <c r="Z2737">
        <v>9.4317890000000001E-2</v>
      </c>
      <c r="AA2737">
        <v>0.98316530000000002</v>
      </c>
      <c r="AB2737">
        <v>34</v>
      </c>
      <c r="AC2737">
        <v>4.7753999999999897</v>
      </c>
      <c r="AD2737">
        <v>-1.11091907553499</v>
      </c>
      <c r="AE2737">
        <v>-10.283299999999899</v>
      </c>
      <c r="AF2737">
        <v>-1.80986328979393</v>
      </c>
      <c r="AG2737">
        <v>-1.11091907553499</v>
      </c>
      <c r="AH2737">
        <v>11.083407047275299</v>
      </c>
      <c r="AI2737">
        <v>95.649456967570501</v>
      </c>
      <c r="AJ2737">
        <v>99.274250552073198</v>
      </c>
      <c r="AK2737">
        <v>11.2850191889834</v>
      </c>
      <c r="AL2737">
        <v>88.289566652894493</v>
      </c>
      <c r="AM2737">
        <v>92.127730739402196</v>
      </c>
      <c r="AN2737">
        <v>1.0000000099362001</v>
      </c>
    </row>
    <row r="2738" spans="1:40" x14ac:dyDescent="0.25">
      <c r="A2738" t="str">
        <f>"20190312151038933"</f>
        <v>20190312151038933</v>
      </c>
      <c r="B2738" t="str">
        <f>"1552374638923405"</f>
        <v>1552374638923405</v>
      </c>
      <c r="C2738" t="s">
        <v>40</v>
      </c>
      <c r="D2738">
        <v>5.5079739999999999</v>
      </c>
      <c r="E2738">
        <v>0.452316</v>
      </c>
      <c r="F2738" t="s">
        <v>50</v>
      </c>
      <c r="G2738">
        <v>-479.35820000000001</v>
      </c>
      <c r="H2738" s="1">
        <v>1.961057E-6</v>
      </c>
      <c r="I2738">
        <v>218.10679999999999</v>
      </c>
      <c r="J2738">
        <v>-484.15699999999998</v>
      </c>
      <c r="K2738">
        <v>1.1113219999999999</v>
      </c>
      <c r="L2738">
        <v>228.29660000000001</v>
      </c>
      <c r="M2738">
        <v>0.27130690000000002</v>
      </c>
      <c r="N2738">
        <v>0</v>
      </c>
      <c r="O2738">
        <v>-0.96239200000000003</v>
      </c>
      <c r="P2738">
        <v>0.3121429</v>
      </c>
      <c r="Q2738">
        <v>1.5826070000000001E-2</v>
      </c>
      <c r="R2738">
        <v>-0.94990370000000002</v>
      </c>
      <c r="S2738">
        <v>1.2799990000000001</v>
      </c>
      <c r="T2738">
        <v>-0.29168460000000002</v>
      </c>
      <c r="U2738">
        <v>-2.7454529999999999</v>
      </c>
      <c r="V2738">
        <v>-4.2779350000000001E-2</v>
      </c>
      <c r="W2738">
        <v>2.9631870000000001E-2</v>
      </c>
      <c r="X2738">
        <v>0.998645</v>
      </c>
      <c r="Y2738">
        <v>-0.158835</v>
      </c>
      <c r="Z2738">
        <v>9.4352270000000002E-2</v>
      </c>
      <c r="AA2738">
        <v>0.98278639999999995</v>
      </c>
      <c r="AB2738">
        <v>34</v>
      </c>
      <c r="AC2738">
        <v>4.7987999999999698</v>
      </c>
      <c r="AD2738">
        <v>-1.111320038943</v>
      </c>
      <c r="AE2738">
        <v>-10.1898</v>
      </c>
      <c r="AF2738">
        <v>-1.8360689253945499</v>
      </c>
      <c r="AG2738">
        <v>-1.111320038943</v>
      </c>
      <c r="AH2738">
        <v>11.002495161572201</v>
      </c>
      <c r="AI2738">
        <v>95.689516407817294</v>
      </c>
      <c r="AJ2738">
        <v>99.474075381451101</v>
      </c>
      <c r="AK2738">
        <v>11.2098653474596</v>
      </c>
      <c r="AL2738">
        <v>88.301970319312602</v>
      </c>
      <c r="AM2738">
        <v>92.452902260216703</v>
      </c>
      <c r="AN2738">
        <v>0.99999997826555898</v>
      </c>
    </row>
    <row r="2739" spans="1:40" x14ac:dyDescent="0.25">
      <c r="A2739" t="str">
        <f>"20190312151038955"</f>
        <v>20190312151038955</v>
      </c>
      <c r="B2739" t="str">
        <f>"1552374638943901"</f>
        <v>1552374638943901</v>
      </c>
      <c r="C2739" t="s">
        <v>40</v>
      </c>
      <c r="D2739">
        <v>5.3725199999999997</v>
      </c>
      <c r="E2739">
        <v>0.45226050000000001</v>
      </c>
      <c r="F2739" t="s">
        <v>50</v>
      </c>
      <c r="G2739">
        <v>-479.24400000000003</v>
      </c>
      <c r="H2739" s="1">
        <v>2.0053480000000002E-6</v>
      </c>
      <c r="I2739">
        <v>217.96129999999999</v>
      </c>
      <c r="J2739">
        <v>-484.06540000000001</v>
      </c>
      <c r="K2739">
        <v>1.1117699999999999</v>
      </c>
      <c r="L2739">
        <v>227.97980000000001</v>
      </c>
      <c r="M2739">
        <v>0.2738486</v>
      </c>
      <c r="N2739">
        <v>0</v>
      </c>
      <c r="O2739">
        <v>-0.96167179999999997</v>
      </c>
      <c r="P2739">
        <v>0.31965320000000003</v>
      </c>
      <c r="Q2739">
        <v>1.435996E-2</v>
      </c>
      <c r="R2739">
        <v>-0.94742599999999999</v>
      </c>
      <c r="S2739">
        <v>1.3005070000000001</v>
      </c>
      <c r="T2739">
        <v>-0.29417090000000001</v>
      </c>
      <c r="U2739">
        <v>-2.735779</v>
      </c>
      <c r="V2739">
        <v>-4.8068489999999998E-2</v>
      </c>
      <c r="W2739">
        <v>2.8091850000000002E-2</v>
      </c>
      <c r="X2739">
        <v>0.99844889999999997</v>
      </c>
      <c r="Y2739">
        <v>-0.1635471</v>
      </c>
      <c r="Z2739">
        <v>9.5164079999999998E-2</v>
      </c>
      <c r="AA2739">
        <v>0.98193490000000005</v>
      </c>
      <c r="AB2739">
        <v>34</v>
      </c>
      <c r="AC2739">
        <v>4.8213999999999801</v>
      </c>
      <c r="AD2739">
        <v>-1.111767994652</v>
      </c>
      <c r="AE2739">
        <v>-10.0185</v>
      </c>
      <c r="AF2739">
        <v>-1.87449325236663</v>
      </c>
      <c r="AG2739">
        <v>-1.111767994652</v>
      </c>
      <c r="AH2739">
        <v>10.847444294525999</v>
      </c>
      <c r="AI2739">
        <v>95.766998584210498</v>
      </c>
      <c r="AJ2739">
        <v>99.804176326972893</v>
      </c>
      <c r="AK2739">
        <v>11.064212613193201</v>
      </c>
      <c r="AL2739">
        <v>88.390243735019297</v>
      </c>
      <c r="AM2739">
        <v>92.756272010639293</v>
      </c>
      <c r="AN2739">
        <v>0.99999996883925502</v>
      </c>
    </row>
    <row r="2740" spans="1:40" x14ac:dyDescent="0.25">
      <c r="A2740" t="str">
        <f>"20190312151038980"</f>
        <v>20190312151038980</v>
      </c>
      <c r="B2740" t="str">
        <f>"1552374638973181"</f>
        <v>1552374638973181</v>
      </c>
      <c r="C2740" t="s">
        <v>40</v>
      </c>
      <c r="D2740">
        <v>5.4476319999999996</v>
      </c>
      <c r="E2740">
        <v>0.45211430000000002</v>
      </c>
      <c r="F2740" t="s">
        <v>50</v>
      </c>
      <c r="G2740">
        <v>-479.17059999999998</v>
      </c>
      <c r="H2740" s="1">
        <v>2.0350509999999999E-6</v>
      </c>
      <c r="I2740">
        <v>217.8963</v>
      </c>
      <c r="J2740">
        <v>-483.96359999999999</v>
      </c>
      <c r="K2740">
        <v>1.1122379999999901</v>
      </c>
      <c r="L2740">
        <v>227.63310000000001</v>
      </c>
      <c r="M2740">
        <v>0.27709040000000001</v>
      </c>
      <c r="N2740">
        <v>0</v>
      </c>
      <c r="O2740">
        <v>-0.96074269999999995</v>
      </c>
      <c r="P2740">
        <v>0.32703379999999999</v>
      </c>
      <c r="Q2740">
        <v>1.292251E-2</v>
      </c>
      <c r="R2740">
        <v>-0.9449244</v>
      </c>
      <c r="S2740">
        <v>1.3226929999999999</v>
      </c>
      <c r="T2740">
        <v>-0.30042659999999999</v>
      </c>
      <c r="U2740">
        <v>-2.724777</v>
      </c>
      <c r="V2740">
        <v>-5.2508359999999997E-2</v>
      </c>
      <c r="W2740">
        <v>2.657321E-2</v>
      </c>
      <c r="X2740">
        <v>0.99826689999999996</v>
      </c>
      <c r="Y2740">
        <v>-0.168157</v>
      </c>
      <c r="Z2740">
        <v>9.7178769999999998E-2</v>
      </c>
      <c r="AA2740">
        <v>0.98095849999999996</v>
      </c>
      <c r="AB2740">
        <v>34</v>
      </c>
      <c r="AC2740">
        <v>4.7930000000000001</v>
      </c>
      <c r="AD2740">
        <v>-1.1122359649489999</v>
      </c>
      <c r="AE2740">
        <v>-9.7368000000000094</v>
      </c>
      <c r="AF2740">
        <v>-1.8872290137661401</v>
      </c>
      <c r="AG2740">
        <v>-1.1122359649489999</v>
      </c>
      <c r="AH2740">
        <v>10.572643643474599</v>
      </c>
      <c r="AI2740">
        <v>95.912614489186893</v>
      </c>
      <c r="AJ2740">
        <v>100.120769191311</v>
      </c>
      <c r="AK2740">
        <v>10.7971985164685</v>
      </c>
      <c r="AL2740">
        <v>88.477288027203699</v>
      </c>
      <c r="AM2740">
        <v>93.010955745928499</v>
      </c>
      <c r="AN2740">
        <v>1.0000000334976</v>
      </c>
    </row>
    <row r="2741" spans="1:40" x14ac:dyDescent="0.25">
      <c r="A2741" t="str">
        <f>"20190312151039002"</f>
        <v>20190312151039002</v>
      </c>
      <c r="B2741" t="str">
        <f>"1552374638993679"</f>
        <v>1552374638993679</v>
      </c>
      <c r="C2741" t="s">
        <v>40</v>
      </c>
      <c r="D2741">
        <v>5.3571109999999997</v>
      </c>
      <c r="E2741">
        <v>0.4520518</v>
      </c>
      <c r="F2741" t="s">
        <v>50</v>
      </c>
      <c r="G2741">
        <v>-479.07600000000002</v>
      </c>
      <c r="H2741" s="1">
        <v>2.071709E-6</v>
      </c>
      <c r="I2741">
        <v>217.77590000000001</v>
      </c>
      <c r="J2741">
        <v>-483.863</v>
      </c>
      <c r="K2741">
        <v>1.112671</v>
      </c>
      <c r="L2741">
        <v>227.297</v>
      </c>
      <c r="M2741">
        <v>0.28069529999999998</v>
      </c>
      <c r="N2741">
        <v>0</v>
      </c>
      <c r="O2741">
        <v>-0.95969579999999999</v>
      </c>
      <c r="P2741">
        <v>0.33446700000000001</v>
      </c>
      <c r="Q2741">
        <v>1.3342110000000001E-2</v>
      </c>
      <c r="R2741">
        <v>-0.94231330000000002</v>
      </c>
      <c r="S2741">
        <v>1.3453980000000001</v>
      </c>
      <c r="T2741">
        <v>-0.30616710000000003</v>
      </c>
      <c r="U2741">
        <v>-2.713409</v>
      </c>
      <c r="V2741">
        <v>-5.6656770000000002E-2</v>
      </c>
      <c r="W2741">
        <v>2.6912129999999999E-2</v>
      </c>
      <c r="X2741">
        <v>0.998031</v>
      </c>
      <c r="Y2741">
        <v>-0.17259449999999901</v>
      </c>
      <c r="Z2741">
        <v>9.9014829999999998E-2</v>
      </c>
      <c r="AA2741">
        <v>0.98000370000000003</v>
      </c>
      <c r="AB2741">
        <v>34</v>
      </c>
      <c r="AC2741">
        <v>4.7870000000000896</v>
      </c>
      <c r="AD2741">
        <v>-1.1126689282910001</v>
      </c>
      <c r="AE2741">
        <v>-9.5210999999999899</v>
      </c>
      <c r="AF2741">
        <v>-1.90099882415806</v>
      </c>
      <c r="AG2741">
        <v>-1.1126689282910001</v>
      </c>
      <c r="AH2741">
        <v>10.369028957314899</v>
      </c>
      <c r="AI2741">
        <v>96.025135920193804</v>
      </c>
      <c r="AJ2741">
        <v>100.388912248146</v>
      </c>
      <c r="AK2741">
        <v>10.600405189947701</v>
      </c>
      <c r="AL2741">
        <v>88.4578624426521</v>
      </c>
      <c r="AM2741">
        <v>93.249110893519102</v>
      </c>
      <c r="AN2741">
        <v>1.00000006464448</v>
      </c>
    </row>
    <row r="2742" spans="1:40" x14ac:dyDescent="0.25">
      <c r="A2742" t="str">
        <f>"20190312151039023"</f>
        <v>20190312151039023</v>
      </c>
      <c r="B2742" t="str">
        <f>"1552374639013197"</f>
        <v>1552374639013197</v>
      </c>
      <c r="C2742" t="s">
        <v>40</v>
      </c>
      <c r="D2742">
        <v>5.388922</v>
      </c>
      <c r="E2742">
        <v>0.45198349999999998</v>
      </c>
      <c r="F2742" t="s">
        <v>50</v>
      </c>
      <c r="G2742">
        <v>-478.88010000000003</v>
      </c>
      <c r="H2742" s="1">
        <v>2.144424E-6</v>
      </c>
      <c r="I2742">
        <v>217.4521</v>
      </c>
      <c r="J2742">
        <v>-483.76900000000001</v>
      </c>
      <c r="K2742">
        <v>1.1130439999999999</v>
      </c>
      <c r="L2742">
        <v>226.98769999999999</v>
      </c>
      <c r="M2742">
        <v>0.28431469999999998</v>
      </c>
      <c r="N2742">
        <v>0</v>
      </c>
      <c r="O2742">
        <v>-0.95862959999999997</v>
      </c>
      <c r="P2742">
        <v>0.34232879999999999</v>
      </c>
      <c r="Q2742">
        <v>1.451649E-2</v>
      </c>
      <c r="R2742">
        <v>-0.93946819999999998</v>
      </c>
      <c r="S2742">
        <v>1.367828</v>
      </c>
      <c r="T2742">
        <v>-0.3054347</v>
      </c>
      <c r="U2742">
        <v>-2.7024840000000001</v>
      </c>
      <c r="V2742">
        <v>-6.1267670000000003E-2</v>
      </c>
      <c r="W2742">
        <v>2.8004149999999998E-2</v>
      </c>
      <c r="X2742">
        <v>0.99772850000000002</v>
      </c>
      <c r="Y2742">
        <v>-0.1769598</v>
      </c>
      <c r="Z2742">
        <v>9.8760360000000005E-2</v>
      </c>
      <c r="AA2742">
        <v>0.97925059999999997</v>
      </c>
      <c r="AB2742">
        <v>34</v>
      </c>
      <c r="AC2742">
        <v>4.8888999999999703</v>
      </c>
      <c r="AD2742">
        <v>-1.113041855576</v>
      </c>
      <c r="AE2742">
        <v>-9.5355999999999792</v>
      </c>
      <c r="AF2742">
        <v>-1.9546369873537199</v>
      </c>
      <c r="AG2742">
        <v>-1.113041855576</v>
      </c>
      <c r="AH2742">
        <v>10.4197029082742</v>
      </c>
      <c r="AI2742">
        <v>95.993500910399803</v>
      </c>
      <c r="AJ2742">
        <v>100.62466281255701</v>
      </c>
      <c r="AK2742">
        <v>10.659722164357399</v>
      </c>
      <c r="AL2742">
        <v>88.395270698643003</v>
      </c>
      <c r="AM2742">
        <v>93.513958466693197</v>
      </c>
      <c r="AN2742">
        <v>1.0000000597583401</v>
      </c>
    </row>
    <row r="2743" spans="1:40" x14ac:dyDescent="0.25">
      <c r="A2743" t="str">
        <f>"20190312151039044"</f>
        <v>20190312151039044</v>
      </c>
      <c r="B2743" t="str">
        <f>"1552374639033697"</f>
        <v>1552374639033697</v>
      </c>
      <c r="C2743" t="s">
        <v>40</v>
      </c>
      <c r="D2743">
        <v>5.3915670000000002</v>
      </c>
      <c r="E2743">
        <v>0.45188149999999999</v>
      </c>
      <c r="F2743" t="s">
        <v>50</v>
      </c>
      <c r="G2743">
        <v>-478.67529999999999</v>
      </c>
      <c r="H2743" s="1">
        <v>2.2211959999999999E-6</v>
      </c>
      <c r="I2743">
        <v>217.1302</v>
      </c>
      <c r="J2743">
        <v>-483.67649999999998</v>
      </c>
      <c r="K2743">
        <v>1.1133850000000001</v>
      </c>
      <c r="L2743">
        <v>226.68879999999999</v>
      </c>
      <c r="M2743">
        <v>0.28811779999999998</v>
      </c>
      <c r="N2743">
        <v>0</v>
      </c>
      <c r="O2743">
        <v>-0.95749329999999999</v>
      </c>
      <c r="P2743">
        <v>0.3498501</v>
      </c>
      <c r="Q2743">
        <v>1.5163380000000001E-2</v>
      </c>
      <c r="R2743">
        <v>-0.93668320000000005</v>
      </c>
      <c r="S2743">
        <v>1.3906860000000001</v>
      </c>
      <c r="T2743">
        <v>-0.3038864</v>
      </c>
      <c r="U2743">
        <v>-2.6912989999999999</v>
      </c>
      <c r="V2743">
        <v>-6.5338069999999998E-2</v>
      </c>
      <c r="W2743">
        <v>2.857088E-2</v>
      </c>
      <c r="X2743">
        <v>0.99745410000000001</v>
      </c>
      <c r="Y2743">
        <v>-0.18130089999999999</v>
      </c>
      <c r="Z2743">
        <v>9.8235230000000007E-2</v>
      </c>
      <c r="AA2743">
        <v>0.97850890000000001</v>
      </c>
      <c r="AB2743">
        <v>34</v>
      </c>
      <c r="AC2743">
        <v>5.0011999999999803</v>
      </c>
      <c r="AD2743">
        <v>-1.1133827788040001</v>
      </c>
      <c r="AE2743">
        <v>-9.5585999999999807</v>
      </c>
      <c r="AF2743">
        <v>-2.0133652331805401</v>
      </c>
      <c r="AG2743">
        <v>-1.1133827788040001</v>
      </c>
      <c r="AH2743">
        <v>10.482605119779199</v>
      </c>
      <c r="AI2743">
        <v>95.954756027137705</v>
      </c>
      <c r="AJ2743">
        <v>100.872241943657</v>
      </c>
      <c r="AK2743">
        <v>10.732113998254899</v>
      </c>
      <c r="AL2743">
        <v>88.3627863987886</v>
      </c>
      <c r="AM2743">
        <v>93.747796465849405</v>
      </c>
      <c r="AN2743">
        <v>1.0000000200910499</v>
      </c>
    </row>
    <row r="2744" spans="1:40" x14ac:dyDescent="0.25">
      <c r="A2744" t="str">
        <f>"20190312151039067"</f>
        <v>20190312151039067</v>
      </c>
      <c r="B2744" t="str">
        <f>"1552374639063949"</f>
        <v>1552374639063949</v>
      </c>
      <c r="C2744" t="s">
        <v>40</v>
      </c>
      <c r="D2744">
        <v>5.0843020000000001</v>
      </c>
      <c r="E2744">
        <v>0.45130160000000002</v>
      </c>
      <c r="F2744" t="s">
        <v>50</v>
      </c>
      <c r="G2744">
        <v>-478.48149999999998</v>
      </c>
      <c r="H2744" s="1">
        <v>2.2941939999999998E-6</v>
      </c>
      <c r="I2744">
        <v>216.83449999999999</v>
      </c>
      <c r="J2744">
        <v>-483.57319999999999</v>
      </c>
      <c r="K2744">
        <v>1.113767</v>
      </c>
      <c r="L2744">
        <v>226.36150000000001</v>
      </c>
      <c r="M2744">
        <v>0.29267500000000002</v>
      </c>
      <c r="N2744">
        <v>0</v>
      </c>
      <c r="O2744">
        <v>-0.95611009999999996</v>
      </c>
      <c r="P2744">
        <v>0.35843429999999998</v>
      </c>
      <c r="Q2744">
        <v>1.643493E-2</v>
      </c>
      <c r="R2744">
        <v>-0.93341070000000004</v>
      </c>
      <c r="S2744">
        <v>1.412811</v>
      </c>
      <c r="T2744">
        <v>-0.3027958</v>
      </c>
      <c r="U2744">
        <v>-2.6799930000000001</v>
      </c>
      <c r="V2744">
        <v>-6.9788279999999994E-2</v>
      </c>
      <c r="W2744">
        <v>2.9749129999999999E-2</v>
      </c>
      <c r="X2744">
        <v>0.99711810000000001</v>
      </c>
      <c r="Y2744">
        <v>-0.18465960000000001</v>
      </c>
      <c r="Z2744">
        <v>9.7834009999999999E-2</v>
      </c>
      <c r="AA2744">
        <v>0.97792089999999998</v>
      </c>
      <c r="AB2744">
        <v>34</v>
      </c>
      <c r="AC2744">
        <v>5.0917000000000003</v>
      </c>
      <c r="AD2744">
        <v>-1.1137647058059901</v>
      </c>
      <c r="AE2744">
        <v>-9.5270000000000099</v>
      </c>
      <c r="AF2744">
        <v>-2.05823351459152</v>
      </c>
      <c r="AG2744">
        <v>-1.1137647058059901</v>
      </c>
      <c r="AH2744">
        <v>10.4886069823105</v>
      </c>
      <c r="AI2744">
        <v>95.948792480132099</v>
      </c>
      <c r="AJ2744">
        <v>101.102370417104</v>
      </c>
      <c r="AK2744">
        <v>10.746519131786799</v>
      </c>
      <c r="AL2744">
        <v>88.2952488217759</v>
      </c>
      <c r="AM2744">
        <v>94.003601871770101</v>
      </c>
      <c r="AN2744">
        <v>0.99999996005436098</v>
      </c>
    </row>
    <row r="2745" spans="1:40" x14ac:dyDescent="0.25">
      <c r="A2745" t="str">
        <f>"20190312151039089"</f>
        <v>20190312151039089</v>
      </c>
      <c r="B2745" t="str">
        <f>"1552374639083469"</f>
        <v>1552374639083469</v>
      </c>
      <c r="C2745" t="s">
        <v>40</v>
      </c>
      <c r="D2745">
        <v>5.2332789999999996</v>
      </c>
      <c r="E2745">
        <v>0.45099650000000002</v>
      </c>
      <c r="F2745" t="s">
        <v>50</v>
      </c>
      <c r="G2745">
        <v>-478.2484</v>
      </c>
      <c r="H2745" s="1">
        <v>2.383779E-6</v>
      </c>
      <c r="I2745">
        <v>216.5189</v>
      </c>
      <c r="J2745">
        <v>-483.47390000000001</v>
      </c>
      <c r="K2745">
        <v>1.114128</v>
      </c>
      <c r="L2745">
        <v>226.05279999999999</v>
      </c>
      <c r="M2745">
        <v>0.29735489999999998</v>
      </c>
      <c r="N2745">
        <v>0</v>
      </c>
      <c r="O2745">
        <v>-0.95466479999999998</v>
      </c>
      <c r="P2745">
        <v>0.36800830000000001</v>
      </c>
      <c r="Q2745">
        <v>1.7767359999999999E-2</v>
      </c>
      <c r="R2745">
        <v>-0.92965299999999995</v>
      </c>
      <c r="S2745">
        <v>1.4420470000000001</v>
      </c>
      <c r="T2745">
        <v>-0.30162450000000002</v>
      </c>
      <c r="U2745">
        <v>-2.665527</v>
      </c>
      <c r="V2745">
        <v>-7.5198500000000001E-2</v>
      </c>
      <c r="W2745">
        <v>3.0976409999999999E-2</v>
      </c>
      <c r="X2745">
        <v>0.9966874</v>
      </c>
      <c r="Y2745">
        <v>-0.19038440000000001</v>
      </c>
      <c r="Z2745">
        <v>9.7414459999999994E-2</v>
      </c>
      <c r="AA2745">
        <v>0.97686450000000002</v>
      </c>
      <c r="AB2745">
        <v>34</v>
      </c>
      <c r="AC2745">
        <v>5.22550000000001</v>
      </c>
      <c r="AD2745">
        <v>-1.114125616221</v>
      </c>
      <c r="AE2745">
        <v>-9.5338999999999796</v>
      </c>
      <c r="AF2745">
        <v>-2.1314757807374201</v>
      </c>
      <c r="AG2745">
        <v>-1.114125616221</v>
      </c>
      <c r="AH2745">
        <v>10.5458012306845</v>
      </c>
      <c r="AI2745">
        <v>95.912045759611502</v>
      </c>
      <c r="AJ2745">
        <v>101.426463002202</v>
      </c>
      <c r="AK2745">
        <v>10.816579334045301</v>
      </c>
      <c r="AL2745">
        <v>88.224898597363094</v>
      </c>
      <c r="AM2745">
        <v>94.314701930355199</v>
      </c>
      <c r="AN2745">
        <v>1.00000006284874</v>
      </c>
    </row>
    <row r="2746" spans="1:40" x14ac:dyDescent="0.25">
      <c r="A2746" t="str">
        <f>"20190312151039112"</f>
        <v>20190312151039112</v>
      </c>
      <c r="B2746" t="str">
        <f>"1552374639102989"</f>
        <v>1552374639102989</v>
      </c>
      <c r="C2746" t="s">
        <v>40</v>
      </c>
      <c r="D2746">
        <v>5.1747670000000001</v>
      </c>
      <c r="E2746">
        <v>0.45076480000000002</v>
      </c>
      <c r="F2746" t="s">
        <v>50</v>
      </c>
      <c r="G2746">
        <v>-477.97379999999998</v>
      </c>
      <c r="H2746" s="1">
        <v>2.4895180000000001E-6</v>
      </c>
      <c r="I2746">
        <v>216.15219999999999</v>
      </c>
      <c r="J2746">
        <v>-483.36669999999998</v>
      </c>
      <c r="K2746">
        <v>1.114525</v>
      </c>
      <c r="L2746">
        <v>225.72630000000001</v>
      </c>
      <c r="M2746">
        <v>0.3027165</v>
      </c>
      <c r="N2746">
        <v>0</v>
      </c>
      <c r="O2746">
        <v>-0.95297790000000004</v>
      </c>
      <c r="P2746">
        <v>0.37832080000000001</v>
      </c>
      <c r="Q2746">
        <v>1.7926029999999999E-2</v>
      </c>
      <c r="R2746">
        <v>-0.92550089999999996</v>
      </c>
      <c r="S2746">
        <v>1.472137</v>
      </c>
      <c r="T2746">
        <v>-0.29820239999999998</v>
      </c>
      <c r="U2746">
        <v>-2.6499480000000002</v>
      </c>
      <c r="V2746">
        <v>-8.0709740000000002E-2</v>
      </c>
      <c r="W2746">
        <v>3.101835E-2</v>
      </c>
      <c r="X2746">
        <v>0.99625490000000005</v>
      </c>
      <c r="Y2746">
        <v>-0.19583690000000001</v>
      </c>
      <c r="Z2746">
        <v>9.626345E-2</v>
      </c>
      <c r="AA2746">
        <v>0.9759002</v>
      </c>
      <c r="AB2746">
        <v>34</v>
      </c>
      <c r="AC2746">
        <v>5.3928999999999903</v>
      </c>
      <c r="AD2746">
        <v>-1.114522510482</v>
      </c>
      <c r="AE2746">
        <v>-9.5741000000000103</v>
      </c>
      <c r="AF2746">
        <v>-2.2184738084658999</v>
      </c>
      <c r="AG2746">
        <v>-1.114522510482</v>
      </c>
      <c r="AH2746">
        <v>10.647940208438699</v>
      </c>
      <c r="AI2746">
        <v>95.850668145647802</v>
      </c>
      <c r="AJ2746">
        <v>101.76907761293801</v>
      </c>
      <c r="AK2746">
        <v>10.9335454975825</v>
      </c>
      <c r="AL2746">
        <v>88.222494368562806</v>
      </c>
      <c r="AM2746">
        <v>94.631596224824904</v>
      </c>
      <c r="AN2746">
        <v>1.0000000129708</v>
      </c>
    </row>
    <row r="2747" spans="1:40" x14ac:dyDescent="0.25">
      <c r="A2747" t="str">
        <f>"20190312151039134"</f>
        <v>20190312151039134</v>
      </c>
      <c r="B2747" t="str">
        <f>"1552374639123485"</f>
        <v>1552374639123485</v>
      </c>
      <c r="C2747" t="s">
        <v>40</v>
      </c>
      <c r="D2747">
        <v>5.1668310000000002</v>
      </c>
      <c r="E2747">
        <v>0.45054640000000001</v>
      </c>
      <c r="F2747" t="s">
        <v>50</v>
      </c>
      <c r="G2747">
        <v>-477.72460000000001</v>
      </c>
      <c r="H2747" s="1">
        <v>2.5865359999999999E-6</v>
      </c>
      <c r="I2747">
        <v>215.84350000000001</v>
      </c>
      <c r="J2747">
        <v>-483.2627</v>
      </c>
      <c r="K2747">
        <v>1.114897</v>
      </c>
      <c r="L2747">
        <v>225.4169</v>
      </c>
      <c r="M2747">
        <v>0.30819839999999998</v>
      </c>
      <c r="N2747">
        <v>0</v>
      </c>
      <c r="O2747">
        <v>-0.95121880000000003</v>
      </c>
      <c r="P2747">
        <v>0.3888587</v>
      </c>
      <c r="Q2747">
        <v>1.7736330000000002E-2</v>
      </c>
      <c r="R2747">
        <v>-0.92112640000000001</v>
      </c>
      <c r="S2747">
        <v>1.503082</v>
      </c>
      <c r="T2747">
        <v>-0.2969136</v>
      </c>
      <c r="U2747">
        <v>-2.6328279999999999</v>
      </c>
      <c r="V2747">
        <v>-8.6368990000000007E-2</v>
      </c>
      <c r="W2747">
        <v>3.0706170000000001E-2</v>
      </c>
      <c r="X2747">
        <v>0.99578990000000001</v>
      </c>
      <c r="Y2747">
        <v>-0.20159350000000001</v>
      </c>
      <c r="Z2747">
        <v>9.5814410000000003E-2</v>
      </c>
      <c r="AA2747">
        <v>0.97477159999999996</v>
      </c>
      <c r="AB2747">
        <v>34</v>
      </c>
      <c r="AC2747">
        <v>5.5380999999999796</v>
      </c>
      <c r="AD2747">
        <v>-1.114894413464</v>
      </c>
      <c r="AE2747">
        <v>-9.5733999999999906</v>
      </c>
      <c r="AF2747">
        <v>-2.2943514393414</v>
      </c>
      <c r="AG2747">
        <v>-1.114894413464</v>
      </c>
      <c r="AH2747">
        <v>10.705507805853401</v>
      </c>
      <c r="AI2747">
        <v>95.814376962720601</v>
      </c>
      <c r="AJ2747">
        <v>102.096364081312</v>
      </c>
      <c r="AK2747">
        <v>11.0052230991275</v>
      </c>
      <c r="AL2747">
        <v>88.240389463116799</v>
      </c>
      <c r="AM2747">
        <v>94.957095108768499</v>
      </c>
      <c r="AN2747">
        <v>0.99999999812584905</v>
      </c>
    </row>
    <row r="2748" spans="1:40" x14ac:dyDescent="0.25">
      <c r="A2748" t="str">
        <f>"20190312151039157"</f>
        <v>20190312151039157</v>
      </c>
      <c r="B2748" t="str">
        <f>"1552374639153741"</f>
        <v>1552374639153741</v>
      </c>
      <c r="C2748" t="s">
        <v>40</v>
      </c>
      <c r="D2748">
        <v>5.2834399999999997</v>
      </c>
      <c r="E2748">
        <v>0.45032290000000003</v>
      </c>
      <c r="F2748" t="s">
        <v>50</v>
      </c>
      <c r="G2748">
        <v>-477.52730000000003</v>
      </c>
      <c r="H2748" s="1">
        <v>2.6653309999999999E-6</v>
      </c>
      <c r="I2748">
        <v>215.6447</v>
      </c>
      <c r="J2748">
        <v>-483.15129999999999</v>
      </c>
      <c r="K2748">
        <v>1.1152770000000001</v>
      </c>
      <c r="L2748">
        <v>225.09270000000001</v>
      </c>
      <c r="M2748">
        <v>0.31435279999999999</v>
      </c>
      <c r="N2748">
        <v>0</v>
      </c>
      <c r="O2748">
        <v>-0.94920249999999995</v>
      </c>
      <c r="P2748">
        <v>0.39998800000000001</v>
      </c>
      <c r="Q2748">
        <v>1.6868689999999999E-2</v>
      </c>
      <c r="R2748">
        <v>-0.91636530000000005</v>
      </c>
      <c r="S2748">
        <v>1.534637</v>
      </c>
      <c r="T2748">
        <v>-0.29831619999999998</v>
      </c>
      <c r="U2748">
        <v>-2.6147770000000001</v>
      </c>
      <c r="V2748">
        <v>-9.1995199999999999E-2</v>
      </c>
      <c r="W2748">
        <v>2.970766E-2</v>
      </c>
      <c r="X2748">
        <v>0.99531619999999998</v>
      </c>
      <c r="Y2748">
        <v>-0.20691409999999999</v>
      </c>
      <c r="Z2748">
        <v>9.6206890000000003E-2</v>
      </c>
      <c r="AA2748">
        <v>0.97361739999999997</v>
      </c>
      <c r="AB2748">
        <v>34</v>
      </c>
      <c r="AC2748">
        <v>5.6239999999999597</v>
      </c>
      <c r="AD2748">
        <v>-1.1152743346689999</v>
      </c>
      <c r="AE2748">
        <v>-9.4480000000000004</v>
      </c>
      <c r="AF2748">
        <v>-2.34442190126392</v>
      </c>
      <c r="AG2748">
        <v>-1.1152743346689999</v>
      </c>
      <c r="AH2748">
        <v>10.6276979863603</v>
      </c>
      <c r="AI2748">
        <v>95.851051625952707</v>
      </c>
      <c r="AJ2748">
        <v>102.439956628415</v>
      </c>
      <c r="AK2748">
        <v>10.9402063683454</v>
      </c>
      <c r="AL2748">
        <v>88.297625996406495</v>
      </c>
      <c r="AM2748">
        <v>95.280737289070899</v>
      </c>
      <c r="AN2748">
        <v>0.99999999993407696</v>
      </c>
    </row>
    <row r="2749" spans="1:40" x14ac:dyDescent="0.25">
      <c r="A2749" t="str">
        <f>"20190312151039183"</f>
        <v>20190312151039183</v>
      </c>
      <c r="B2749" t="str">
        <f>"1552374639173261"</f>
        <v>1552374639173261</v>
      </c>
      <c r="C2749" t="s">
        <v>40</v>
      </c>
      <c r="D2749">
        <v>5.2856540000000001</v>
      </c>
      <c r="E2749">
        <v>0.45028629999999997</v>
      </c>
      <c r="F2749" t="s">
        <v>50</v>
      </c>
      <c r="G2749">
        <v>-477.35270000000003</v>
      </c>
      <c r="H2749" s="1">
        <v>2.7363369999999999E-6</v>
      </c>
      <c r="I2749">
        <v>215.49700000000001</v>
      </c>
      <c r="J2749">
        <v>-483.03089999999997</v>
      </c>
      <c r="K2749">
        <v>1.1156710000000001</v>
      </c>
      <c r="L2749">
        <v>224.75210000000001</v>
      </c>
      <c r="M2749">
        <v>0.32133420000000001</v>
      </c>
      <c r="N2749">
        <v>0</v>
      </c>
      <c r="O2749">
        <v>-0.94686130000000002</v>
      </c>
      <c r="P2749">
        <v>0.41198170000000001</v>
      </c>
      <c r="Q2749">
        <v>1.516177E-2</v>
      </c>
      <c r="R2749">
        <v>-0.91106640000000005</v>
      </c>
      <c r="S2749">
        <v>1.568085</v>
      </c>
      <c r="T2749">
        <v>-0.30159720000000001</v>
      </c>
      <c r="U2749">
        <v>-2.594894</v>
      </c>
      <c r="V2749">
        <v>-9.7726359999999998E-2</v>
      </c>
      <c r="W2749">
        <v>2.7858770000000001E-2</v>
      </c>
      <c r="X2749">
        <v>0.99482329999999997</v>
      </c>
      <c r="Y2749">
        <v>-0.21214910000000001</v>
      </c>
      <c r="Z2749">
        <v>9.7182519999999994E-2</v>
      </c>
      <c r="AA2749">
        <v>0.97239310000000001</v>
      </c>
      <c r="AB2749">
        <v>34</v>
      </c>
      <c r="AC2749">
        <v>5.67819999999994</v>
      </c>
      <c r="AD2749">
        <v>-1.11566826366299</v>
      </c>
      <c r="AE2749">
        <v>-9.2551000000000005</v>
      </c>
      <c r="AF2749">
        <v>-2.3776238347285901</v>
      </c>
      <c r="AG2749">
        <v>-1.11566826366299</v>
      </c>
      <c r="AH2749">
        <v>10.4783195362825</v>
      </c>
      <c r="AI2749">
        <v>95.928030595747202</v>
      </c>
      <c r="AJ2749">
        <v>102.78444194858</v>
      </c>
      <c r="AK2749">
        <v>10.802453012091901</v>
      </c>
      <c r="AL2749">
        <v>88.403603474978894</v>
      </c>
      <c r="AM2749">
        <v>95.610443849728497</v>
      </c>
      <c r="AN2749">
        <v>0.99999997536382501</v>
      </c>
    </row>
    <row r="2750" spans="1:40" x14ac:dyDescent="0.25">
      <c r="A2750" t="str">
        <f>"20190312151039204"</f>
        <v>20190312151039204</v>
      </c>
      <c r="B2750" t="str">
        <f>"1552374639193757"</f>
        <v>1552374639193757</v>
      </c>
      <c r="C2750" t="s">
        <v>40</v>
      </c>
      <c r="D2750">
        <v>5.3381809999999996</v>
      </c>
      <c r="E2750">
        <v>0.45026929999999998</v>
      </c>
      <c r="F2750" t="s">
        <v>50</v>
      </c>
      <c r="G2750">
        <v>-477.18520000000001</v>
      </c>
      <c r="H2750" s="1">
        <v>2.804767E-6</v>
      </c>
      <c r="I2750">
        <v>215.36340000000001</v>
      </c>
      <c r="J2750">
        <v>-482.91699999999997</v>
      </c>
      <c r="K2750">
        <v>1.1160219999999901</v>
      </c>
      <c r="L2750">
        <v>224.43819999999999</v>
      </c>
      <c r="M2750">
        <v>0.32816990000000001</v>
      </c>
      <c r="N2750">
        <v>0</v>
      </c>
      <c r="O2750">
        <v>-0.94451339999999995</v>
      </c>
      <c r="P2750">
        <v>0.42313580000000001</v>
      </c>
      <c r="Q2750">
        <v>1.4220790000000001E-2</v>
      </c>
      <c r="R2750">
        <v>-0.90595499999999995</v>
      </c>
      <c r="S2750">
        <v>1.602295</v>
      </c>
      <c r="T2750">
        <v>-0.30580259999999998</v>
      </c>
      <c r="U2750">
        <v>-2.5734249999999999</v>
      </c>
      <c r="V2750">
        <v>-0.1027545</v>
      </c>
      <c r="W2750">
        <v>2.6787720000000001E-2</v>
      </c>
      <c r="X2750">
        <v>0.99434599999999995</v>
      </c>
      <c r="Y2750">
        <v>-0.21796370000000001</v>
      </c>
      <c r="Z2750">
        <v>9.847707E-2</v>
      </c>
      <c r="AA2750">
        <v>0.97097579999999994</v>
      </c>
      <c r="AB2750">
        <v>33</v>
      </c>
      <c r="AC2750">
        <v>5.7317999999999598</v>
      </c>
      <c r="AD2750">
        <v>-1.1160191952330001</v>
      </c>
      <c r="AE2750">
        <v>-9.0747999999999802</v>
      </c>
      <c r="AF2750">
        <v>-2.4098746249260201</v>
      </c>
      <c r="AG2750">
        <v>-1.1160191952330001</v>
      </c>
      <c r="AH2750">
        <v>10.341511205171701</v>
      </c>
      <c r="AI2750">
        <v>95.999791477391895</v>
      </c>
      <c r="AJ2750">
        <v>103.11749822530901</v>
      </c>
      <c r="AK2750">
        <v>10.6770711601395</v>
      </c>
      <c r="AL2750">
        <v>88.464993110025205</v>
      </c>
      <c r="AM2750">
        <v>95.899933675656598</v>
      </c>
      <c r="AN2750">
        <v>1.0000000184645199</v>
      </c>
    </row>
    <row r="2751" spans="1:40" x14ac:dyDescent="0.25">
      <c r="A2751" t="str">
        <f>"20190312151039224"</f>
        <v>20190312151039224</v>
      </c>
      <c r="B2751" t="str">
        <f>"1552374639213277"</f>
        <v>1552374639213277</v>
      </c>
      <c r="C2751" t="s">
        <v>40</v>
      </c>
      <c r="D2751">
        <v>5.2614720000000004</v>
      </c>
      <c r="E2751">
        <v>0.45030900000000001</v>
      </c>
      <c r="F2751" t="s">
        <v>50</v>
      </c>
      <c r="G2751">
        <v>-477.0215</v>
      </c>
      <c r="H2751" s="1">
        <v>2.8713189999999998E-6</v>
      </c>
      <c r="I2751">
        <v>215.22499999999999</v>
      </c>
      <c r="J2751">
        <v>-482.80939999999998</v>
      </c>
      <c r="K2751">
        <v>1.116325</v>
      </c>
      <c r="L2751">
        <v>224.14869999999999</v>
      </c>
      <c r="M2751">
        <v>0.33477380000000001</v>
      </c>
      <c r="N2751">
        <v>0</v>
      </c>
      <c r="O2751">
        <v>-0.94219240000000004</v>
      </c>
      <c r="P2751">
        <v>0.43379410000000002</v>
      </c>
      <c r="Q2751">
        <v>1.391327E-2</v>
      </c>
      <c r="R2751">
        <v>-0.90090479999999995</v>
      </c>
      <c r="S2751">
        <v>1.6337889999999999</v>
      </c>
      <c r="T2751">
        <v>-0.30927519999999997</v>
      </c>
      <c r="U2751">
        <v>-2.5531920000000001</v>
      </c>
      <c r="V2751">
        <v>-0.1075382</v>
      </c>
      <c r="W2751">
        <v>2.6355380000000001E-2</v>
      </c>
      <c r="X2751">
        <v>0.9938515</v>
      </c>
      <c r="Y2751">
        <v>-0.22305849999999999</v>
      </c>
      <c r="Z2751">
        <v>9.9524269999999998E-2</v>
      </c>
      <c r="AA2751">
        <v>0.9697112</v>
      </c>
      <c r="AB2751">
        <v>33</v>
      </c>
      <c r="AC2751">
        <v>5.7878999999999703</v>
      </c>
      <c r="AD2751">
        <v>-1.1163221286809999</v>
      </c>
      <c r="AE2751">
        <v>-8.9236999999999895</v>
      </c>
      <c r="AF2751">
        <v>-2.4392719457400598</v>
      </c>
      <c r="AG2751">
        <v>-1.1163221286809999</v>
      </c>
      <c r="AH2751">
        <v>10.2337869007095</v>
      </c>
      <c r="AI2751">
        <v>96.056959688939301</v>
      </c>
      <c r="AJ2751">
        <v>103.406569382908</v>
      </c>
      <c r="AK2751">
        <v>10.579537657638401</v>
      </c>
      <c r="AL2751">
        <v>88.489772993917597</v>
      </c>
      <c r="AM2751">
        <v>96.175576838497705</v>
      </c>
      <c r="AN2751">
        <v>0.99999993728321501</v>
      </c>
    </row>
    <row r="2752" spans="1:40" x14ac:dyDescent="0.25">
      <c r="A2752" t="str">
        <f>"20190312151039247"</f>
        <v>20190312151039247</v>
      </c>
      <c r="B2752" t="str">
        <f>"1552374639243534"</f>
        <v>1552374639243534</v>
      </c>
      <c r="C2752" t="s">
        <v>40</v>
      </c>
      <c r="D2752">
        <v>5.31236</v>
      </c>
      <c r="E2752">
        <v>0.45045020000000002</v>
      </c>
      <c r="F2752" t="s">
        <v>50</v>
      </c>
      <c r="G2752">
        <v>-476.79739999999998</v>
      </c>
      <c r="H2752" s="1">
        <v>2.9605840000000001E-6</v>
      </c>
      <c r="I2752">
        <v>214.9939</v>
      </c>
      <c r="J2752">
        <v>-482.69380000000001</v>
      </c>
      <c r="K2752">
        <v>1.1166339999999999</v>
      </c>
      <c r="L2752">
        <v>223.84520000000001</v>
      </c>
      <c r="M2752">
        <v>0.3420262</v>
      </c>
      <c r="N2752">
        <v>0</v>
      </c>
      <c r="O2752">
        <v>-0.93958359999999996</v>
      </c>
      <c r="P2752">
        <v>0.44764340000000002</v>
      </c>
      <c r="Q2752">
        <v>1.3337750000000001E-2</v>
      </c>
      <c r="R2752">
        <v>-0.89411289999999999</v>
      </c>
      <c r="S2752">
        <v>1.663818</v>
      </c>
      <c r="T2752">
        <v>-0.30894179999999999</v>
      </c>
      <c r="U2752">
        <v>-2.5335999999999999</v>
      </c>
      <c r="V2752">
        <v>-0.11521869999999999</v>
      </c>
      <c r="W2752">
        <v>2.559699E-2</v>
      </c>
      <c r="X2752">
        <v>0.99301030000000001</v>
      </c>
      <c r="Y2752">
        <v>-0.22702420000000001</v>
      </c>
      <c r="Z2752">
        <v>9.9313200000000004E-2</v>
      </c>
      <c r="AA2752">
        <v>0.96881209999999995</v>
      </c>
      <c r="AB2752">
        <v>33</v>
      </c>
      <c r="AC2752">
        <v>5.8964000000000203</v>
      </c>
      <c r="AD2752">
        <v>-1.1166310394159999</v>
      </c>
      <c r="AE2752">
        <v>-8.8513000000000002</v>
      </c>
      <c r="AF2752">
        <v>-2.4856368674914999</v>
      </c>
      <c r="AG2752">
        <v>-1.1166310394159999</v>
      </c>
      <c r="AH2752">
        <v>10.2216221657257</v>
      </c>
      <c r="AI2752">
        <v>96.059180076103999</v>
      </c>
      <c r="AJ2752">
        <v>103.66758315033999</v>
      </c>
      <c r="AK2752">
        <v>10.5786017608224</v>
      </c>
      <c r="AL2752">
        <v>88.533240311216005</v>
      </c>
      <c r="AM2752">
        <v>96.618417711408796</v>
      </c>
      <c r="AN2752">
        <v>1.00000000531642</v>
      </c>
    </row>
    <row r="2753" spans="1:40" x14ac:dyDescent="0.25">
      <c r="A2753" t="str">
        <f>"20190312151039280"</f>
        <v>20190312151039280</v>
      </c>
      <c r="B2753" t="str">
        <f>"1552374639273789"</f>
        <v>1552374639273789</v>
      </c>
      <c r="C2753" t="s">
        <v>40</v>
      </c>
      <c r="D2753">
        <v>5.2478899999999999</v>
      </c>
      <c r="E2753">
        <v>0.45071499999999998</v>
      </c>
      <c r="F2753" t="s">
        <v>50</v>
      </c>
      <c r="G2753">
        <v>-476.54910000000001</v>
      </c>
      <c r="H2753" s="1">
        <v>3.0616180000000001E-6</v>
      </c>
      <c r="I2753">
        <v>214.78630000000001</v>
      </c>
      <c r="J2753">
        <v>-482.51859999999999</v>
      </c>
      <c r="K2753">
        <v>1.117094</v>
      </c>
      <c r="L2753">
        <v>223.39930000000001</v>
      </c>
      <c r="M2753">
        <v>0.35328169999999998</v>
      </c>
      <c r="N2753">
        <v>0</v>
      </c>
      <c r="O2753">
        <v>-0.93540889999999999</v>
      </c>
      <c r="P2753">
        <v>0.4654104</v>
      </c>
      <c r="Q2753">
        <v>1.4083389999999999E-2</v>
      </c>
      <c r="R2753">
        <v>-0.88498279999999996</v>
      </c>
      <c r="S2753">
        <v>1.701263</v>
      </c>
      <c r="T2753">
        <v>-0.3091604</v>
      </c>
      <c r="U2753">
        <v>-2.5081329999999999</v>
      </c>
      <c r="V2753">
        <v>-0.1231728</v>
      </c>
      <c r="W2753">
        <v>2.6117520000000002E-2</v>
      </c>
      <c r="X2753">
        <v>0.99204150000000002</v>
      </c>
      <c r="Y2753">
        <v>-0.2298116</v>
      </c>
      <c r="Z2753">
        <v>9.9157800000000004E-2</v>
      </c>
      <c r="AA2753">
        <v>0.96817059999999999</v>
      </c>
      <c r="AB2753">
        <v>33</v>
      </c>
      <c r="AC2753">
        <v>5.9694999999999796</v>
      </c>
      <c r="AD2753">
        <v>-1.117090938382</v>
      </c>
      <c r="AE2753">
        <v>-8.6129999999999995</v>
      </c>
      <c r="AF2753">
        <v>-2.5128115424200801</v>
      </c>
      <c r="AG2753">
        <v>-1.117090938382</v>
      </c>
      <c r="AH2753">
        <v>10.052392637433099</v>
      </c>
      <c r="AI2753">
        <v>96.153270218295006</v>
      </c>
      <c r="AJ2753">
        <v>104.034705918746</v>
      </c>
      <c r="AK2753">
        <v>10.4217422607476</v>
      </c>
      <c r="AL2753">
        <v>88.503406156703804</v>
      </c>
      <c r="AM2753">
        <v>97.077676189921604</v>
      </c>
      <c r="AN2753">
        <v>1.0000000006165199</v>
      </c>
    </row>
    <row r="2754" spans="1:40" x14ac:dyDescent="0.25">
      <c r="A2754" t="str">
        <f>"20190312151039305"</f>
        <v>20190312151039305</v>
      </c>
      <c r="B2754" t="str">
        <f>"1552374639293313"</f>
        <v>1552374639293313</v>
      </c>
      <c r="C2754" t="s">
        <v>40</v>
      </c>
      <c r="D2754">
        <v>5.3335660000000003</v>
      </c>
      <c r="E2754">
        <v>0.45095970000000002</v>
      </c>
      <c r="F2754" t="s">
        <v>50</v>
      </c>
      <c r="G2754">
        <v>-476.1</v>
      </c>
      <c r="H2754" s="1">
        <v>3.2404279999999999E-6</v>
      </c>
      <c r="I2754">
        <v>214.32130000000001</v>
      </c>
      <c r="J2754">
        <v>-482.38049999999998</v>
      </c>
      <c r="K2754">
        <v>1.117445</v>
      </c>
      <c r="L2754">
        <v>223.06049999999999</v>
      </c>
      <c r="M2754">
        <v>0.36237239999999998</v>
      </c>
      <c r="N2754">
        <v>0</v>
      </c>
      <c r="O2754">
        <v>-0.93192430000000004</v>
      </c>
      <c r="P2754">
        <v>0.47878959999999998</v>
      </c>
      <c r="Q2754">
        <v>1.5875460000000001E-2</v>
      </c>
      <c r="R2754">
        <v>-0.87778630000000002</v>
      </c>
      <c r="S2754">
        <v>1.7496640000000001</v>
      </c>
      <c r="T2754">
        <v>-0.3045139</v>
      </c>
      <c r="U2754">
        <v>-2.4746250000000001</v>
      </c>
      <c r="V2754">
        <v>-0.12863649999999999</v>
      </c>
      <c r="W2754">
        <v>2.774151E-2</v>
      </c>
      <c r="X2754">
        <v>0.99130370000000001</v>
      </c>
      <c r="Y2754">
        <v>-0.23922299999999999</v>
      </c>
      <c r="Z2754">
        <v>9.7618739999999996E-2</v>
      </c>
      <c r="AA2754">
        <v>0.96604500000000004</v>
      </c>
      <c r="AB2754">
        <v>33</v>
      </c>
      <c r="AC2754">
        <v>6.28049999999996</v>
      </c>
      <c r="AD2754">
        <v>-1.1174417595720001</v>
      </c>
      <c r="AE2754">
        <v>-8.7391999999999808</v>
      </c>
      <c r="AF2754">
        <v>-2.6577250010270901</v>
      </c>
      <c r="AG2754">
        <v>-1.1174417595720001</v>
      </c>
      <c r="AH2754">
        <v>10.3100561047649</v>
      </c>
      <c r="AI2754">
        <v>95.991411150863399</v>
      </c>
      <c r="AJ2754">
        <v>104.45500275467801</v>
      </c>
      <c r="AK2754">
        <v>10.705579627022599</v>
      </c>
      <c r="AL2754">
        <v>88.410324588205995</v>
      </c>
      <c r="AM2754">
        <v>97.393669591223201</v>
      </c>
      <c r="AN2754">
        <v>0.99999998307150895</v>
      </c>
    </row>
    <row r="2755" spans="1:40" x14ac:dyDescent="0.25">
      <c r="A2755" t="str">
        <f>"20190312151039324"</f>
        <v>20190312151039324</v>
      </c>
      <c r="B2755" t="str">
        <f>"1552374639313808"</f>
        <v>1552374639313808</v>
      </c>
      <c r="C2755" t="s">
        <v>40</v>
      </c>
      <c r="D2755">
        <v>5.2903209999999996</v>
      </c>
      <c r="E2755">
        <v>0.45118730000000001</v>
      </c>
      <c r="F2755" t="s">
        <v>50</v>
      </c>
      <c r="G2755">
        <v>-475.71660000000003</v>
      </c>
      <c r="H2755" s="1">
        <v>3.3928820000000001E-6</v>
      </c>
      <c r="I2755">
        <v>213.91900000000001</v>
      </c>
      <c r="J2755">
        <v>-482.26639999999998</v>
      </c>
      <c r="K2755">
        <v>1.1177280000000001</v>
      </c>
      <c r="L2755">
        <v>222.78829999999999</v>
      </c>
      <c r="M2755">
        <v>0.36995240000000001</v>
      </c>
      <c r="N2755">
        <v>0</v>
      </c>
      <c r="O2755">
        <v>-0.92894069999999995</v>
      </c>
      <c r="P2755">
        <v>0.49077340000000003</v>
      </c>
      <c r="Q2755">
        <v>1.7162449999999999E-2</v>
      </c>
      <c r="R2755">
        <v>-0.87111830000000001</v>
      </c>
      <c r="S2755">
        <v>1.785461</v>
      </c>
      <c r="T2755">
        <v>-0.29939870000000002</v>
      </c>
      <c r="U2755">
        <v>-2.4493100000000001</v>
      </c>
      <c r="V2755">
        <v>-0.13419610000000001</v>
      </c>
      <c r="W2755">
        <v>2.88664E-2</v>
      </c>
      <c r="X2755">
        <v>0.99053420000000003</v>
      </c>
      <c r="Y2755">
        <v>-0.24538579999999999</v>
      </c>
      <c r="Z2755">
        <v>9.589992E-2</v>
      </c>
      <c r="AA2755">
        <v>0.96467040000000004</v>
      </c>
      <c r="AB2755">
        <v>33</v>
      </c>
      <c r="AC2755">
        <v>6.5497999999999399</v>
      </c>
      <c r="AD2755">
        <v>-1.117724607118</v>
      </c>
      <c r="AE2755">
        <v>-8.8692999999999795</v>
      </c>
      <c r="AF2755">
        <v>-2.7749257840822898</v>
      </c>
      <c r="AG2755">
        <v>-1.117724607118</v>
      </c>
      <c r="AH2755">
        <v>10.5547870134181</v>
      </c>
      <c r="AI2755">
        <v>95.847673627703102</v>
      </c>
      <c r="AJ2755">
        <v>104.73010968325001</v>
      </c>
      <c r="AK2755">
        <v>10.9705537828836</v>
      </c>
      <c r="AL2755">
        <v>88.345847217516507</v>
      </c>
      <c r="AM2755">
        <v>97.715372079949404</v>
      </c>
      <c r="AN2755">
        <v>0.99999993183690195</v>
      </c>
    </row>
    <row r="2756" spans="1:40" x14ac:dyDescent="0.25">
      <c r="A2756" t="str">
        <f>"20190312151039347"</f>
        <v>20190312151039347</v>
      </c>
      <c r="B2756" t="str">
        <f>"1552374639343086"</f>
        <v>1552374639343086</v>
      </c>
      <c r="C2756" t="s">
        <v>40</v>
      </c>
      <c r="D2756">
        <v>5.1093849999999996</v>
      </c>
      <c r="E2756">
        <v>0.42483779999999999</v>
      </c>
      <c r="F2756" t="s">
        <v>50</v>
      </c>
      <c r="G2756">
        <v>-475.40870000000001</v>
      </c>
      <c r="H2756" s="1">
        <v>3.5169939999999998E-6</v>
      </c>
      <c r="I2756">
        <v>213.6345</v>
      </c>
      <c r="J2756">
        <v>-482.13220000000001</v>
      </c>
      <c r="K2756">
        <v>1.118058</v>
      </c>
      <c r="L2756">
        <v>222.47630000000001</v>
      </c>
      <c r="M2756">
        <v>0.37900089999999997</v>
      </c>
      <c r="N2756">
        <v>0</v>
      </c>
      <c r="O2756">
        <v>-0.92528489999999997</v>
      </c>
      <c r="P2756">
        <v>0.50396289999999999</v>
      </c>
      <c r="Q2756">
        <v>1.834817E-2</v>
      </c>
      <c r="R2756">
        <v>-0.86353029999999997</v>
      </c>
      <c r="S2756">
        <v>1.8173520000000001</v>
      </c>
      <c r="T2756">
        <v>-0.29620479999999999</v>
      </c>
      <c r="U2756">
        <v>-2.4258120000000001</v>
      </c>
      <c r="V2756">
        <v>-0.13964570000000001</v>
      </c>
      <c r="W2756">
        <v>2.9873520000000001E-2</v>
      </c>
      <c r="X2756">
        <v>0.98975080000000004</v>
      </c>
      <c r="Y2756">
        <v>-0.2486014</v>
      </c>
      <c r="Z2756">
        <v>9.4702179999999997E-2</v>
      </c>
      <c r="AA2756">
        <v>0.96396519999999997</v>
      </c>
      <c r="AB2756">
        <v>33</v>
      </c>
      <c r="AC2756">
        <v>6.7234999999999996</v>
      </c>
      <c r="AD2756">
        <v>-1.118054483006</v>
      </c>
      <c r="AE2756">
        <v>-8.8417999999999992</v>
      </c>
      <c r="AF2756">
        <v>-2.84160919662899</v>
      </c>
      <c r="AG2756">
        <v>-1.118054483006</v>
      </c>
      <c r="AH2756">
        <v>10.6228777863146</v>
      </c>
      <c r="AI2756">
        <v>95.8055872022953</v>
      </c>
      <c r="AJ2756">
        <v>104.975931103782</v>
      </c>
      <c r="AK2756">
        <v>11.05306840277</v>
      </c>
      <c r="AL2756">
        <v>88.288118694386995</v>
      </c>
      <c r="AM2756">
        <v>98.030952943264296</v>
      </c>
      <c r="AN2756">
        <v>0.99999999741316004</v>
      </c>
    </row>
    <row r="2757" spans="1:40" x14ac:dyDescent="0.25">
      <c r="A2757" t="str">
        <f>"20190312151039370"</f>
        <v>20190312151039370</v>
      </c>
      <c r="B2757" t="str">
        <f>"1552374639363581"</f>
        <v>1552374639363581</v>
      </c>
      <c r="C2757" t="s">
        <v>40</v>
      </c>
      <c r="D2757">
        <v>5.2417049999999996</v>
      </c>
      <c r="E2757">
        <v>0.40499879999999999</v>
      </c>
      <c r="F2757" t="s">
        <v>50</v>
      </c>
      <c r="G2757">
        <v>-477.88420000000002</v>
      </c>
      <c r="H2757" s="1">
        <v>2.5968720000000001E-6</v>
      </c>
      <c r="I2757">
        <v>217.69839999999999</v>
      </c>
      <c r="J2757">
        <v>-482.00099999999998</v>
      </c>
      <c r="K2757">
        <v>1.118376</v>
      </c>
      <c r="L2757">
        <v>222.18020000000001</v>
      </c>
      <c r="M2757">
        <v>0.38796170000000002</v>
      </c>
      <c r="N2757">
        <v>0</v>
      </c>
      <c r="O2757">
        <v>-0.92156309999999997</v>
      </c>
      <c r="P2757">
        <v>0.51706549999999996</v>
      </c>
      <c r="Q2757">
        <v>1.9516269999999999E-2</v>
      </c>
      <c r="R2757">
        <v>-0.85572329999999996</v>
      </c>
      <c r="S2757">
        <v>2.040314</v>
      </c>
      <c r="T2757">
        <v>-0.53699580000000002</v>
      </c>
      <c r="U2757">
        <v>-2.2948</v>
      </c>
      <c r="V2757">
        <v>-0.14518220000000001</v>
      </c>
      <c r="W2757">
        <v>3.0858210000000001E-2</v>
      </c>
      <c r="X2757">
        <v>0.98892360000000001</v>
      </c>
      <c r="Y2757">
        <v>-0.31212200000000001</v>
      </c>
      <c r="Z2757">
        <v>0.16975509999999999</v>
      </c>
      <c r="AA2757">
        <v>0.9347529</v>
      </c>
      <c r="AB2757">
        <v>33</v>
      </c>
      <c r="AC2757">
        <v>4.1167999999999498</v>
      </c>
      <c r="AD2757">
        <v>-1.1183734031279999</v>
      </c>
      <c r="AE2757">
        <v>-4.4818000000000202</v>
      </c>
      <c r="AF2757">
        <v>-1.9881904950351501</v>
      </c>
      <c r="AG2757">
        <v>-1.1183734031279999</v>
      </c>
      <c r="AH2757">
        <v>5.5408847346014998</v>
      </c>
      <c r="AI2757">
        <v>100.75686955357899</v>
      </c>
      <c r="AJ2757">
        <v>109.739095441365</v>
      </c>
      <c r="AK2757">
        <v>5.99208345698825</v>
      </c>
      <c r="AL2757">
        <v>88.231674074476899</v>
      </c>
      <c r="AM2757">
        <v>98.351835950898106</v>
      </c>
      <c r="AN2757">
        <v>0.99999999347910196</v>
      </c>
    </row>
    <row r="2758" spans="1:40" x14ac:dyDescent="0.25">
      <c r="A2758" t="str">
        <f>"20190312151039393"</f>
        <v>20190312151039393</v>
      </c>
      <c r="B2758" t="str">
        <f>"1552374639383101"</f>
        <v>1552374639383101</v>
      </c>
      <c r="C2758" t="s">
        <v>40</v>
      </c>
      <c r="D2758">
        <v>5.2655699999999896</v>
      </c>
      <c r="E2758">
        <v>0.39756209999999997</v>
      </c>
      <c r="F2758" t="s">
        <v>50</v>
      </c>
      <c r="G2758">
        <v>-476.86070000000001</v>
      </c>
      <c r="H2758" s="1">
        <v>3.0249769999999998E-6</v>
      </c>
      <c r="I2758">
        <v>217.1095</v>
      </c>
      <c r="J2758">
        <v>-481.86169999999998</v>
      </c>
      <c r="K2758">
        <v>1.118709</v>
      </c>
      <c r="L2758">
        <v>221.87450000000001</v>
      </c>
      <c r="M2758">
        <v>0.39759149999999999</v>
      </c>
      <c r="N2758">
        <v>0</v>
      </c>
      <c r="O2758">
        <v>-0.91744879999999995</v>
      </c>
      <c r="P2758">
        <v>0.53106039999999999</v>
      </c>
      <c r="Q2758">
        <v>2.0056319999999999E-2</v>
      </c>
      <c r="R2758">
        <v>-0.84709679999999998</v>
      </c>
      <c r="S2758">
        <v>2.2108150000000002</v>
      </c>
      <c r="T2758">
        <v>-0.4810045</v>
      </c>
      <c r="U2758">
        <v>-2.1808779999999999</v>
      </c>
      <c r="V2758">
        <v>-0.15112100000000001</v>
      </c>
      <c r="W2758">
        <v>3.1196129999999999E-2</v>
      </c>
      <c r="X2758">
        <v>0.98802290000000004</v>
      </c>
      <c r="Y2758">
        <v>-0.365097</v>
      </c>
      <c r="Z2758">
        <v>0.1521795</v>
      </c>
      <c r="AA2758">
        <v>0.91844740000000002</v>
      </c>
      <c r="AB2758">
        <v>33</v>
      </c>
      <c r="AC2758">
        <v>5.0009999999999701</v>
      </c>
      <c r="AD2758">
        <v>-1.118705975023</v>
      </c>
      <c r="AE2758">
        <v>-4.7650000000000103</v>
      </c>
      <c r="AF2758">
        <v>-2.6250672636835</v>
      </c>
      <c r="AG2758">
        <v>-1.118705975023</v>
      </c>
      <c r="AH2758">
        <v>6.19809509869902</v>
      </c>
      <c r="AI2758">
        <v>99.436316699611197</v>
      </c>
      <c r="AJ2758">
        <v>112.95402142221199</v>
      </c>
      <c r="AK2758">
        <v>6.8234056049696896</v>
      </c>
      <c r="AL2758">
        <v>88.212303375356896</v>
      </c>
      <c r="AM2758">
        <v>98.696161055596903</v>
      </c>
      <c r="AN2758">
        <v>1.00000000304619</v>
      </c>
    </row>
    <row r="2759" spans="1:40" x14ac:dyDescent="0.25">
      <c r="A2759" t="str">
        <f>"20190312151039416"</f>
        <v>20190312151039416</v>
      </c>
      <c r="B2759" t="str">
        <f>"1552374639413358"</f>
        <v>1552374639413358</v>
      </c>
      <c r="C2759" t="s">
        <v>40</v>
      </c>
      <c r="D2759">
        <v>5.1416279999999999</v>
      </c>
      <c r="E2759">
        <v>0.39316990000000002</v>
      </c>
      <c r="F2759" t="s">
        <v>50</v>
      </c>
      <c r="G2759">
        <v>-476.2106</v>
      </c>
      <c r="H2759" s="1">
        <v>3.2943279999999999E-6</v>
      </c>
      <c r="I2759">
        <v>216.6763</v>
      </c>
      <c r="J2759">
        <v>-481.71809999999999</v>
      </c>
      <c r="K2759">
        <v>1.1190329999999999</v>
      </c>
      <c r="L2759">
        <v>221.56870000000001</v>
      </c>
      <c r="M2759">
        <v>0.40761969999999997</v>
      </c>
      <c r="N2759">
        <v>0</v>
      </c>
      <c r="O2759">
        <v>-0.91303650000000003</v>
      </c>
      <c r="P2759">
        <v>0.54534139999999998</v>
      </c>
      <c r="Q2759">
        <v>1.9034530000000001E-2</v>
      </c>
      <c r="R2759">
        <v>-0.83799799999999902</v>
      </c>
      <c r="S2759">
        <v>2.2965390000000001</v>
      </c>
      <c r="T2759">
        <v>-0.45463229999999999</v>
      </c>
      <c r="U2759">
        <v>-2.1125029999999998</v>
      </c>
      <c r="V2759">
        <v>-0.15703539999999999</v>
      </c>
      <c r="W2759">
        <v>2.9964560000000001E-2</v>
      </c>
      <c r="X2759">
        <v>0.98713830000000002</v>
      </c>
      <c r="Y2759">
        <v>-0.38786769999999998</v>
      </c>
      <c r="Z2759">
        <v>0.1437204</v>
      </c>
      <c r="AA2759">
        <v>0.91044119999999995</v>
      </c>
      <c r="AB2759">
        <v>33</v>
      </c>
      <c r="AC2759">
        <v>5.5074999999999896</v>
      </c>
      <c r="AD2759">
        <v>-1.119029705672</v>
      </c>
      <c r="AE2759">
        <v>-4.8924000000000003</v>
      </c>
      <c r="AF2759">
        <v>-2.9661851682774301</v>
      </c>
      <c r="AG2759">
        <v>-1.119029705672</v>
      </c>
      <c r="AH2759">
        <v>6.5612130919877298</v>
      </c>
      <c r="AI2759">
        <v>98.833623786748305</v>
      </c>
      <c r="AJ2759">
        <v>114.326716009227</v>
      </c>
      <c r="AK2759">
        <v>7.2869746241603304</v>
      </c>
      <c r="AL2759">
        <v>88.282900167750995</v>
      </c>
      <c r="AM2759">
        <v>99.038954661491303</v>
      </c>
      <c r="AN2759">
        <v>1.00000000751802</v>
      </c>
    </row>
    <row r="2760" spans="1:40" x14ac:dyDescent="0.25">
      <c r="A2760" t="str">
        <f>"20190312151039437"</f>
        <v>20190312151039437</v>
      </c>
      <c r="B2760" t="str">
        <f>"1552374639433856"</f>
        <v>1552374639433856</v>
      </c>
      <c r="C2760" t="s">
        <v>40</v>
      </c>
      <c r="D2760">
        <v>5.1110069999999999</v>
      </c>
      <c r="E2760">
        <v>0.39307779999999998</v>
      </c>
      <c r="F2760" t="s">
        <v>50</v>
      </c>
      <c r="G2760">
        <v>-476.36500000000001</v>
      </c>
      <c r="H2760" s="1">
        <v>3.2361989999999998E-6</v>
      </c>
      <c r="I2760">
        <v>216.91290000000001</v>
      </c>
      <c r="J2760">
        <v>-481.58589999999998</v>
      </c>
      <c r="K2760">
        <v>1.1193200000000001</v>
      </c>
      <c r="L2760">
        <v>221.29560000000001</v>
      </c>
      <c r="M2760">
        <v>0.41692370000000001</v>
      </c>
      <c r="N2760">
        <v>0</v>
      </c>
      <c r="O2760">
        <v>-0.90882490000000005</v>
      </c>
      <c r="P2760">
        <v>0.55785699999999905</v>
      </c>
      <c r="Q2760">
        <v>1.745886E-2</v>
      </c>
      <c r="R2760">
        <v>-0.82975370000000004</v>
      </c>
      <c r="S2760">
        <v>2.3617859999999999</v>
      </c>
      <c r="T2760">
        <v>-0.49372080000000002</v>
      </c>
      <c r="U2760">
        <v>-2.0541990000000001</v>
      </c>
      <c r="V2760">
        <v>-0.16174040000000001</v>
      </c>
      <c r="W2760">
        <v>2.8211010000000002E-2</v>
      </c>
      <c r="X2760">
        <v>0.98643000000000003</v>
      </c>
      <c r="Y2760">
        <v>-0.40229219999999999</v>
      </c>
      <c r="Z2760">
        <v>0.1555356</v>
      </c>
      <c r="AA2760">
        <v>0.90220270000000002</v>
      </c>
      <c r="AB2760">
        <v>33</v>
      </c>
      <c r="AC2760">
        <v>5.2208999999999701</v>
      </c>
      <c r="AD2760">
        <v>-1.119316763801</v>
      </c>
      <c r="AE2760">
        <v>-4.3826999999999998</v>
      </c>
      <c r="AF2760">
        <v>-2.84133016925376</v>
      </c>
      <c r="AG2760">
        <v>-1.119316763801</v>
      </c>
      <c r="AH2760">
        <v>5.99873142892495</v>
      </c>
      <c r="AI2760">
        <v>99.5718695079009</v>
      </c>
      <c r="AJ2760">
        <v>115.344817062993</v>
      </c>
      <c r="AK2760">
        <v>6.7313301735102504</v>
      </c>
      <c r="AL2760">
        <v>88.383413683206996</v>
      </c>
      <c r="AM2760">
        <v>99.311668980359599</v>
      </c>
      <c r="AN2760">
        <v>0.99999998148868896</v>
      </c>
    </row>
    <row r="2761" spans="1:40" x14ac:dyDescent="0.25">
      <c r="A2761" t="str">
        <f>"20190312151039459"</f>
        <v>20190312151039459</v>
      </c>
      <c r="B2761" t="str">
        <f>"1552374639453374"</f>
        <v>1552374639453374</v>
      </c>
      <c r="C2761" t="s">
        <v>40</v>
      </c>
      <c r="D2761">
        <v>5.1328100000000001</v>
      </c>
      <c r="E2761">
        <v>0.39332440000000002</v>
      </c>
      <c r="F2761" t="s">
        <v>50</v>
      </c>
      <c r="G2761">
        <v>-476.0917</v>
      </c>
      <c r="H2761" s="1">
        <v>3.3464260000000001E-6</v>
      </c>
      <c r="I2761">
        <v>216.66159999999999</v>
      </c>
      <c r="J2761">
        <v>-481.44299999999998</v>
      </c>
      <c r="K2761">
        <v>1.1196200000000001</v>
      </c>
      <c r="L2761">
        <v>221.00919999999999</v>
      </c>
      <c r="M2761">
        <v>0.42703350000000001</v>
      </c>
      <c r="N2761">
        <v>0</v>
      </c>
      <c r="O2761">
        <v>-0.90411779999999997</v>
      </c>
      <c r="P2761">
        <v>0.57025369999999997</v>
      </c>
      <c r="Q2761">
        <v>1.707241E-2</v>
      </c>
      <c r="R2761">
        <v>-0.8212912</v>
      </c>
      <c r="S2761">
        <v>2.392029</v>
      </c>
      <c r="T2761">
        <v>-0.48732399999999998</v>
      </c>
      <c r="U2761">
        <v>-2.0175320000000001</v>
      </c>
      <c r="V2761">
        <v>-0.1655606</v>
      </c>
      <c r="W2761">
        <v>2.7661910000000001E-2</v>
      </c>
      <c r="X2761">
        <v>0.98581160000000001</v>
      </c>
      <c r="Y2761">
        <v>-0.4060686</v>
      </c>
      <c r="Z2761">
        <v>0.15335989999999999</v>
      </c>
      <c r="AA2761">
        <v>0.90088239999999997</v>
      </c>
      <c r="AB2761">
        <v>33</v>
      </c>
      <c r="AC2761">
        <v>5.3513000000000304</v>
      </c>
      <c r="AD2761">
        <v>-1.119616653574</v>
      </c>
      <c r="AE2761">
        <v>-4.3475999999999999</v>
      </c>
      <c r="AF2761">
        <v>-2.9053413067351901</v>
      </c>
      <c r="AG2761">
        <v>-1.119616653574</v>
      </c>
      <c r="AH2761">
        <v>6.0568751077306304</v>
      </c>
      <c r="AI2761">
        <v>99.462399216757007</v>
      </c>
      <c r="AJ2761">
        <v>115.62594459671701</v>
      </c>
      <c r="AK2761">
        <v>6.8103073080609899</v>
      </c>
      <c r="AL2761">
        <v>88.4148871134594</v>
      </c>
      <c r="AM2761">
        <v>99.533484525519</v>
      </c>
      <c r="AN2761">
        <v>1.0000000021158799</v>
      </c>
    </row>
    <row r="2762" spans="1:40" x14ac:dyDescent="0.25">
      <c r="A2762" t="str">
        <f>"20190312151039481"</f>
        <v>20190312151039481</v>
      </c>
      <c r="B2762" t="str">
        <f>"1552374639473869"</f>
        <v>1552374639473869</v>
      </c>
      <c r="C2762" t="s">
        <v>40</v>
      </c>
      <c r="D2762">
        <v>5.1530199999999997</v>
      </c>
      <c r="E2762">
        <v>0.39395400000000003</v>
      </c>
      <c r="F2762" t="s">
        <v>50</v>
      </c>
      <c r="G2762">
        <v>-476.05959999999999</v>
      </c>
      <c r="H2762" s="1">
        <v>3.3579559999999999E-6</v>
      </c>
      <c r="I2762">
        <v>216.6</v>
      </c>
      <c r="J2762">
        <v>-481.29270000000002</v>
      </c>
      <c r="K2762">
        <v>1.1199239999999999</v>
      </c>
      <c r="L2762">
        <v>220.71709999999999</v>
      </c>
      <c r="M2762">
        <v>0.43769780000000003</v>
      </c>
      <c r="N2762">
        <v>0</v>
      </c>
      <c r="O2762">
        <v>-0.89900239999999998</v>
      </c>
      <c r="P2762">
        <v>0.58256869999999905</v>
      </c>
      <c r="Q2762">
        <v>1.7552979999999999E-2</v>
      </c>
      <c r="R2762">
        <v>-0.81259219999999999</v>
      </c>
      <c r="S2762">
        <v>2.420563</v>
      </c>
      <c r="T2762">
        <v>-0.50342209999999998</v>
      </c>
      <c r="U2762">
        <v>-1.9825440000000001</v>
      </c>
      <c r="V2762">
        <v>-0.168797</v>
      </c>
      <c r="W2762">
        <v>2.7995570000000001E-2</v>
      </c>
      <c r="X2762">
        <v>0.98525320000000005</v>
      </c>
      <c r="Y2762">
        <v>-0.4076534</v>
      </c>
      <c r="Z2762">
        <v>0.15796270000000001</v>
      </c>
      <c r="AA2762">
        <v>0.89937009999999995</v>
      </c>
      <c r="AB2762">
        <v>33</v>
      </c>
      <c r="AC2762">
        <v>5.2331000000000296</v>
      </c>
      <c r="AD2762">
        <v>-1.119920642044</v>
      </c>
      <c r="AE2762">
        <v>-4.11709999999999</v>
      </c>
      <c r="AF2762">
        <v>-2.8229768458605902</v>
      </c>
      <c r="AG2762">
        <v>-1.119920642044</v>
      </c>
      <c r="AH2762">
        <v>5.8275869979071597</v>
      </c>
      <c r="AI2762">
        <v>99.8123376526501</v>
      </c>
      <c r="AJ2762">
        <v>115.846293922247</v>
      </c>
      <c r="AK2762">
        <v>6.5714679284706197</v>
      </c>
      <c r="AL2762">
        <v>88.395762431245103</v>
      </c>
      <c r="AM2762">
        <v>99.721728664201294</v>
      </c>
      <c r="AN2762">
        <v>1.00000002362943</v>
      </c>
    </row>
    <row r="2763" spans="1:40" x14ac:dyDescent="0.25">
      <c r="A2763" t="str">
        <f>"20190312151039504"</f>
        <v>20190312151039504</v>
      </c>
      <c r="B2763" t="str">
        <f>"1552374639493389"</f>
        <v>1552374639493389</v>
      </c>
      <c r="C2763" t="s">
        <v>40</v>
      </c>
      <c r="D2763">
        <v>5.1478679999999999</v>
      </c>
      <c r="E2763">
        <v>0.39493440000000002</v>
      </c>
      <c r="F2763" t="s">
        <v>50</v>
      </c>
      <c r="G2763">
        <v>-476.05</v>
      </c>
      <c r="H2763" s="1">
        <v>3.3595210000000001E-6</v>
      </c>
      <c r="I2763">
        <v>216.53870000000001</v>
      </c>
      <c r="J2763">
        <v>-481.13740000000001</v>
      </c>
      <c r="K2763">
        <v>1.1202049999999999</v>
      </c>
      <c r="L2763">
        <v>220.42449999999999</v>
      </c>
      <c r="M2763">
        <v>0.448681</v>
      </c>
      <c r="N2763">
        <v>0</v>
      </c>
      <c r="O2763">
        <v>-0.89357070000000005</v>
      </c>
      <c r="P2763">
        <v>0.5946013</v>
      </c>
      <c r="Q2763">
        <v>1.9318439999999999E-2</v>
      </c>
      <c r="R2763">
        <v>-0.80378939999999999</v>
      </c>
      <c r="S2763">
        <v>2.446075</v>
      </c>
      <c r="T2763">
        <v>-0.5225223</v>
      </c>
      <c r="U2763">
        <v>-1.949554</v>
      </c>
      <c r="V2763">
        <v>-0.17147219999999999</v>
      </c>
      <c r="W2763">
        <v>2.9634730000000001E-2</v>
      </c>
      <c r="X2763">
        <v>0.98474309999999998</v>
      </c>
      <c r="Y2763">
        <v>-0.40770210000000001</v>
      </c>
      <c r="Z2763">
        <v>0.1633733</v>
      </c>
      <c r="AA2763">
        <v>0.89838090000000004</v>
      </c>
      <c r="AB2763">
        <v>33</v>
      </c>
      <c r="AC2763">
        <v>5.0873999999999997</v>
      </c>
      <c r="AD2763">
        <v>-1.1202016404789901</v>
      </c>
      <c r="AE2763">
        <v>-3.8857999999999802</v>
      </c>
      <c r="AF2763">
        <v>-2.7194989463022798</v>
      </c>
      <c r="AG2763">
        <v>-1.1202016404789901</v>
      </c>
      <c r="AH2763">
        <v>5.5844822215874403</v>
      </c>
      <c r="AI2763">
        <v>100.223097964445</v>
      </c>
      <c r="AJ2763">
        <v>115.964888802492</v>
      </c>
      <c r="AK2763">
        <v>6.3116533426272099</v>
      </c>
      <c r="AL2763">
        <v>88.301806338119803</v>
      </c>
      <c r="AM2763">
        <v>99.877809234241994</v>
      </c>
      <c r="AN2763">
        <v>0.99999995279631004</v>
      </c>
    </row>
    <row r="2764" spans="1:40" x14ac:dyDescent="0.25">
      <c r="A2764" t="str">
        <f>"20190312151039526"</f>
        <v>20190312151039526</v>
      </c>
      <c r="B2764" t="str">
        <f>"1552374639523645"</f>
        <v>1552374639523645</v>
      </c>
      <c r="C2764" t="s">
        <v>40</v>
      </c>
      <c r="D2764">
        <v>5.171252</v>
      </c>
      <c r="E2764">
        <v>0.39606580000000002</v>
      </c>
      <c r="F2764" t="s">
        <v>50</v>
      </c>
      <c r="G2764">
        <v>-475.8331</v>
      </c>
      <c r="H2764" s="1">
        <v>3.445389E-6</v>
      </c>
      <c r="I2764">
        <v>216.30170000000001</v>
      </c>
      <c r="J2764">
        <v>-480.98579999999998</v>
      </c>
      <c r="K2764">
        <v>1.1204499999999999</v>
      </c>
      <c r="L2764">
        <v>220.1473</v>
      </c>
      <c r="M2764">
        <v>0.45934619999999998</v>
      </c>
      <c r="N2764">
        <v>0</v>
      </c>
      <c r="O2764">
        <v>-0.88813410000000004</v>
      </c>
      <c r="P2764">
        <v>0.60667780000000004</v>
      </c>
      <c r="Q2764">
        <v>2.1037699999999999E-2</v>
      </c>
      <c r="R2764">
        <v>-0.79466959999999998</v>
      </c>
      <c r="S2764">
        <v>2.4685670000000002</v>
      </c>
      <c r="T2764">
        <v>-0.52132809999999996</v>
      </c>
      <c r="U2764">
        <v>-1.9187160000000001</v>
      </c>
      <c r="V2764">
        <v>-0.17464279999999999</v>
      </c>
      <c r="W2764">
        <v>3.1219009999999998E-2</v>
      </c>
      <c r="X2764">
        <v>0.98413680000000003</v>
      </c>
      <c r="Y2764">
        <v>-0.40784399999999998</v>
      </c>
      <c r="Z2764">
        <v>0.1625789</v>
      </c>
      <c r="AA2764">
        <v>0.89846059999999905</v>
      </c>
      <c r="AB2764">
        <v>33</v>
      </c>
      <c r="AC2764">
        <v>5.1526999999999799</v>
      </c>
      <c r="AD2764">
        <v>-1.1204465546109901</v>
      </c>
      <c r="AE2764">
        <v>-3.8455999999999899</v>
      </c>
      <c r="AF2764">
        <v>-2.7273101885191098</v>
      </c>
      <c r="AG2764">
        <v>-1.1204465546109901</v>
      </c>
      <c r="AH2764">
        <v>5.6124724531236296</v>
      </c>
      <c r="AI2764">
        <v>100.17942321248699</v>
      </c>
      <c r="AJ2764">
        <v>115.916849733989</v>
      </c>
      <c r="AK2764">
        <v>6.3398318891916503</v>
      </c>
      <c r="AL2764">
        <v>88.210991781534105</v>
      </c>
      <c r="AM2764">
        <v>100.06282804699801</v>
      </c>
      <c r="AN2764">
        <v>0.99999998764572995</v>
      </c>
    </row>
    <row r="2765" spans="1:40" x14ac:dyDescent="0.25">
      <c r="A2765" t="str">
        <f>"20190312151039548"</f>
        <v>20190312151039548</v>
      </c>
      <c r="B2765" t="str">
        <f>"1552374639543166"</f>
        <v>1552374639543166</v>
      </c>
      <c r="C2765" t="s">
        <v>40</v>
      </c>
      <c r="D2765">
        <v>5.0853910000000004</v>
      </c>
      <c r="E2765">
        <v>0.39727129999999999</v>
      </c>
      <c r="F2765" t="s">
        <v>50</v>
      </c>
      <c r="G2765">
        <v>-475.7022</v>
      </c>
      <c r="H2765" s="1">
        <v>3.4965139999999999E-6</v>
      </c>
      <c r="I2765">
        <v>216.14330000000001</v>
      </c>
      <c r="J2765">
        <v>-480.83199999999999</v>
      </c>
      <c r="K2765">
        <v>1.120684</v>
      </c>
      <c r="L2765">
        <v>219.8741</v>
      </c>
      <c r="M2765">
        <v>0.47009590000000001</v>
      </c>
      <c r="N2765">
        <v>0</v>
      </c>
      <c r="O2765">
        <v>-0.88249049999999996</v>
      </c>
      <c r="P2765">
        <v>0.61842050000000004</v>
      </c>
      <c r="Q2765">
        <v>2.3241230000000002E-2</v>
      </c>
      <c r="R2765">
        <v>-0.78550339999999996</v>
      </c>
      <c r="S2765">
        <v>2.4907840000000001</v>
      </c>
      <c r="T2765">
        <v>-0.52819139999999998</v>
      </c>
      <c r="U2765">
        <v>-1.887543</v>
      </c>
      <c r="V2765">
        <v>-0.17742279999999999</v>
      </c>
      <c r="W2765">
        <v>3.3299309999999999E-2</v>
      </c>
      <c r="X2765">
        <v>0.98357119999999998</v>
      </c>
      <c r="Y2765">
        <v>-0.40751949999999998</v>
      </c>
      <c r="Z2765">
        <v>0.16418070000000001</v>
      </c>
      <c r="AA2765">
        <v>0.89831649999999996</v>
      </c>
      <c r="AB2765">
        <v>33</v>
      </c>
      <c r="AC2765">
        <v>5.1297999999999799</v>
      </c>
      <c r="AD2765">
        <v>-1.1206805034859999</v>
      </c>
      <c r="AE2765">
        <v>-3.7307999999999799</v>
      </c>
      <c r="AF2765">
        <v>-2.6895163704028202</v>
      </c>
      <c r="AG2765">
        <v>-1.1206805034859999</v>
      </c>
      <c r="AH2765">
        <v>5.5318416028355601</v>
      </c>
      <c r="AI2765">
        <v>100.32573996461799</v>
      </c>
      <c r="AJ2765">
        <v>115.92847620662801</v>
      </c>
      <c r="AK2765">
        <v>6.2522551624530402</v>
      </c>
      <c r="AL2765">
        <v>88.091737303987401</v>
      </c>
      <c r="AM2765">
        <v>100.225412738842</v>
      </c>
      <c r="AN2765">
        <v>0.99999999973787801</v>
      </c>
    </row>
    <row r="2766" spans="1:40" x14ac:dyDescent="0.25">
      <c r="A2766" t="str">
        <f>"20190312151039571"</f>
        <v>20190312151039571</v>
      </c>
      <c r="B2766" t="str">
        <f>"1552374639563661"</f>
        <v>1552374639563661</v>
      </c>
      <c r="C2766" t="s">
        <v>40</v>
      </c>
      <c r="D2766">
        <v>5.0484650000000002</v>
      </c>
      <c r="E2766">
        <v>0.39786769999999999</v>
      </c>
      <c r="F2766" t="s">
        <v>50</v>
      </c>
      <c r="G2766">
        <v>-475.45890000000003</v>
      </c>
      <c r="H2766" s="1">
        <v>3.5938959999999999E-6</v>
      </c>
      <c r="I2766">
        <v>215.90350000000001</v>
      </c>
      <c r="J2766">
        <v>-480.66559999999998</v>
      </c>
      <c r="K2766">
        <v>1.1209100000000001</v>
      </c>
      <c r="L2766">
        <v>219.58750000000001</v>
      </c>
      <c r="M2766">
        <v>0.48162260000000001</v>
      </c>
      <c r="N2766">
        <v>0</v>
      </c>
      <c r="O2766">
        <v>-0.87625219999999904</v>
      </c>
      <c r="P2766">
        <v>0.63018609999999997</v>
      </c>
      <c r="Q2766">
        <v>2.5011459999999999E-2</v>
      </c>
      <c r="R2766">
        <v>-0.77604139999999999</v>
      </c>
      <c r="S2766">
        <v>2.512451</v>
      </c>
      <c r="T2766">
        <v>-0.52403449999999996</v>
      </c>
      <c r="U2766">
        <v>-1.856689</v>
      </c>
      <c r="V2766">
        <v>-0.17944299999999999</v>
      </c>
      <c r="W2766">
        <v>3.4967749999999999E-2</v>
      </c>
      <c r="X2766">
        <v>0.98314669999999904</v>
      </c>
      <c r="Y2766">
        <v>-0.40665430000000002</v>
      </c>
      <c r="Z2766">
        <v>0.16232449999999901</v>
      </c>
      <c r="AA2766">
        <v>0.8990456</v>
      </c>
      <c r="AB2766">
        <v>33</v>
      </c>
      <c r="AC2766">
        <v>5.2066999999999499</v>
      </c>
      <c r="AD2766">
        <v>-1.1209064061039999</v>
      </c>
      <c r="AE2766">
        <v>-3.6839999999999899</v>
      </c>
      <c r="AF2766">
        <v>-2.7048556818314</v>
      </c>
      <c r="AG2766">
        <v>-1.1209064061039999</v>
      </c>
      <c r="AH2766">
        <v>5.5645549469324296</v>
      </c>
      <c r="AI2766">
        <v>100.268757911759</v>
      </c>
      <c r="AJ2766">
        <v>115.92376626959199</v>
      </c>
      <c r="AK2766">
        <v>6.2878412184318702</v>
      </c>
      <c r="AL2766">
        <v>87.996086953179699</v>
      </c>
      <c r="AM2766">
        <v>100.343713344449</v>
      </c>
      <c r="AN2766">
        <v>0.99999998375497601</v>
      </c>
    </row>
    <row r="2767" spans="1:40" x14ac:dyDescent="0.25">
      <c r="A2767" t="str">
        <f>"20190312151039596"</f>
        <v>20190312151039596</v>
      </c>
      <c r="B2767" t="str">
        <f>"1552374639593917"</f>
        <v>1552374639593917</v>
      </c>
      <c r="C2767" t="s">
        <v>40</v>
      </c>
      <c r="D2767">
        <v>5.1047279999999997</v>
      </c>
      <c r="E2767">
        <v>0.39957409999999999</v>
      </c>
      <c r="F2767" t="s">
        <v>50</v>
      </c>
      <c r="G2767">
        <v>-475.16419999999999</v>
      </c>
      <c r="H2767" s="1">
        <v>3.7129909999999998E-6</v>
      </c>
      <c r="I2767">
        <v>215.63800000000001</v>
      </c>
      <c r="J2767">
        <v>-480.4794</v>
      </c>
      <c r="K2767">
        <v>1.121157</v>
      </c>
      <c r="L2767">
        <v>219.2766</v>
      </c>
      <c r="M2767">
        <v>0.49438779999999999</v>
      </c>
      <c r="N2767">
        <v>0</v>
      </c>
      <c r="O2767">
        <v>-0.86911280000000002</v>
      </c>
      <c r="P2767">
        <v>0.64280809999999999</v>
      </c>
      <c r="Q2767">
        <v>2.6332999999999999E-2</v>
      </c>
      <c r="R2767">
        <v>-0.76557459999999999</v>
      </c>
      <c r="S2767">
        <v>2.5376280000000002</v>
      </c>
      <c r="T2767">
        <v>-0.51703920000000003</v>
      </c>
      <c r="U2767">
        <v>-1.821777</v>
      </c>
      <c r="V2767">
        <v>-0.18123919999999999</v>
      </c>
      <c r="W2767">
        <v>3.6191500000000001E-2</v>
      </c>
      <c r="X2767">
        <v>0.98277289999999995</v>
      </c>
      <c r="Y2767">
        <v>-0.40609329999999999</v>
      </c>
      <c r="Z2767">
        <v>0.15948190000000001</v>
      </c>
      <c r="AA2767">
        <v>0.89980759999999904</v>
      </c>
      <c r="AB2767">
        <v>33</v>
      </c>
      <c r="AC2767">
        <v>5.3151999999999999</v>
      </c>
      <c r="AD2767">
        <v>-1.121153287009</v>
      </c>
      <c r="AE2767">
        <v>-3.6385999999999901</v>
      </c>
      <c r="AF2767">
        <v>-2.7379953404158202</v>
      </c>
      <c r="AG2767">
        <v>-1.121153287009</v>
      </c>
      <c r="AH2767">
        <v>5.62049553628498</v>
      </c>
      <c r="AI2767">
        <v>100.166743833574</v>
      </c>
      <c r="AJ2767">
        <v>115.972789106308</v>
      </c>
      <c r="AK2767">
        <v>6.3516590943240301</v>
      </c>
      <c r="AL2767">
        <v>87.925926895867804</v>
      </c>
      <c r="AM2767">
        <v>100.44886994804099</v>
      </c>
      <c r="AN2767">
        <v>1.0000000226316399</v>
      </c>
    </row>
    <row r="2768" spans="1:40" x14ac:dyDescent="0.25">
      <c r="A2768" t="str">
        <f>"20190312151039619"</f>
        <v>20190312151039619</v>
      </c>
      <c r="B2768" t="str">
        <f>"1552374639613437"</f>
        <v>1552374639613437</v>
      </c>
      <c r="C2768" t="s">
        <v>40</v>
      </c>
      <c r="D2768">
        <v>5.2640840000000004</v>
      </c>
      <c r="E2768">
        <v>0.42416480000000001</v>
      </c>
      <c r="F2768" t="s">
        <v>50</v>
      </c>
      <c r="G2768">
        <v>-474.91480000000001</v>
      </c>
      <c r="H2768" s="1">
        <v>3.8126079999999999E-6</v>
      </c>
      <c r="I2768">
        <v>215.38640000000001</v>
      </c>
      <c r="J2768">
        <v>-480.30840000000001</v>
      </c>
      <c r="K2768">
        <v>1.121383</v>
      </c>
      <c r="L2768">
        <v>219.00069999999999</v>
      </c>
      <c r="M2768">
        <v>0.50596200000000002</v>
      </c>
      <c r="N2768">
        <v>0</v>
      </c>
      <c r="O2768">
        <v>-0.8624252</v>
      </c>
      <c r="P2768">
        <v>0.65445580000000003</v>
      </c>
      <c r="Q2768">
        <v>2.940827E-2</v>
      </c>
      <c r="R2768">
        <v>-0.75552830000000004</v>
      </c>
      <c r="S2768">
        <v>2.5581969999999998</v>
      </c>
      <c r="T2768">
        <v>-0.51542429999999995</v>
      </c>
      <c r="U2768">
        <v>-1.7884519999999999</v>
      </c>
      <c r="V2768">
        <v>-0.18330959999999999</v>
      </c>
      <c r="W2768">
        <v>3.9167229999999997E-2</v>
      </c>
      <c r="X2768">
        <v>0.98227469999999995</v>
      </c>
      <c r="Y2768">
        <v>-0.40528950000000002</v>
      </c>
      <c r="Z2768">
        <v>0.1584043</v>
      </c>
      <c r="AA2768">
        <v>0.90036019999999894</v>
      </c>
      <c r="AB2768">
        <v>33</v>
      </c>
      <c r="AC2768">
        <v>5.3935999999999904</v>
      </c>
      <c r="AD2768">
        <v>-1.121379187392</v>
      </c>
      <c r="AE2768">
        <v>-3.6142999999999801</v>
      </c>
      <c r="AF2768">
        <v>-2.74141730409726</v>
      </c>
      <c r="AG2768">
        <v>-1.121379187392</v>
      </c>
      <c r="AH2768">
        <v>5.6773193626316596</v>
      </c>
      <c r="AI2768">
        <v>100.085625319268</v>
      </c>
      <c r="AJ2768">
        <v>115.77458548967201</v>
      </c>
      <c r="AK2768">
        <v>6.4035002352176296</v>
      </c>
      <c r="AL2768">
        <v>87.755308932454895</v>
      </c>
      <c r="AM2768">
        <v>100.57079845287301</v>
      </c>
      <c r="AN2768">
        <v>1.00000003380906</v>
      </c>
    </row>
    <row r="2769" spans="1:40" x14ac:dyDescent="0.25">
      <c r="A2769" t="str">
        <f>"20190312151039639"</f>
        <v>20190312151039639</v>
      </c>
      <c r="B2769" t="str">
        <f>"1552374639633934"</f>
        <v>1552374639633934</v>
      </c>
      <c r="C2769" t="s">
        <v>40</v>
      </c>
      <c r="D2769">
        <v>5.0765779999999996</v>
      </c>
      <c r="E2769">
        <v>0.42450739999999998</v>
      </c>
      <c r="F2769" t="s">
        <v>43</v>
      </c>
      <c r="G2769">
        <v>-453.64760000000001</v>
      </c>
      <c r="H2769">
        <v>-0.05</v>
      </c>
      <c r="I2769">
        <v>198.4228</v>
      </c>
      <c r="J2769">
        <v>-480.14510000000001</v>
      </c>
      <c r="K2769">
        <v>1.1216010000000001</v>
      </c>
      <c r="L2769">
        <v>218.74520000000001</v>
      </c>
      <c r="M2769">
        <v>0.51687780000000005</v>
      </c>
      <c r="N2769">
        <v>0</v>
      </c>
      <c r="O2769">
        <v>-0.85592649999999904</v>
      </c>
      <c r="P2769">
        <v>0.66545129999999997</v>
      </c>
      <c r="Q2769">
        <v>3.5225190000000003E-2</v>
      </c>
      <c r="R2769">
        <v>-0.74560979999999999</v>
      </c>
      <c r="S2769">
        <v>2.4265750000000001</v>
      </c>
      <c r="T2769">
        <v>-0.1066154</v>
      </c>
      <c r="U2769">
        <v>-1.872925</v>
      </c>
      <c r="V2769">
        <v>-0.18552679999999999</v>
      </c>
      <c r="W2769">
        <v>4.4882779999999997E-2</v>
      </c>
      <c r="X2769">
        <v>0.98161359999999998</v>
      </c>
      <c r="Y2769">
        <v>-0.36130259999999997</v>
      </c>
      <c r="Z2769">
        <v>3.3119089999999997E-2</v>
      </c>
      <c r="AA2769">
        <v>0.93186029999999997</v>
      </c>
      <c r="AB2769">
        <v>33</v>
      </c>
      <c r="AC2769">
        <v>26.497499999999999</v>
      </c>
      <c r="AD2769">
        <v>-1.1716009999999999</v>
      </c>
      <c r="AE2769">
        <v>-20.322399999999998</v>
      </c>
      <c r="AF2769">
        <v>-12.1621273068122</v>
      </c>
      <c r="AG2769">
        <v>-1.1716009999999999</v>
      </c>
      <c r="AH2769">
        <v>31.055754221047501</v>
      </c>
      <c r="AI2769">
        <v>92.011860127145198</v>
      </c>
      <c r="AJ2769">
        <v>111.38642111764101</v>
      </c>
      <c r="AK2769">
        <v>33.372891090950098</v>
      </c>
      <c r="AL2769">
        <v>87.427541845765106</v>
      </c>
      <c r="AM2769">
        <v>100.70276060289601</v>
      </c>
      <c r="AN2769">
        <v>0.99999995858186297</v>
      </c>
    </row>
    <row r="2770" spans="1:40" x14ac:dyDescent="0.25">
      <c r="A2770" t="str">
        <f>"20190312151039662"</f>
        <v>20190312151039662</v>
      </c>
      <c r="B2770" t="str">
        <f>"1552374639653454"</f>
        <v>1552374639653454</v>
      </c>
      <c r="C2770" t="s">
        <v>40</v>
      </c>
      <c r="D2770">
        <v>5.1233500000000003</v>
      </c>
      <c r="E2770">
        <v>0.41843010000000003</v>
      </c>
      <c r="F2770" t="s">
        <v>65</v>
      </c>
      <c r="G2770">
        <v>-455.24810000000002</v>
      </c>
      <c r="H2770">
        <v>0.19781969999999999</v>
      </c>
      <c r="I2770">
        <v>200.07679999999999</v>
      </c>
      <c r="J2770">
        <v>-479.9735</v>
      </c>
      <c r="K2770">
        <v>1.1217980000000001</v>
      </c>
      <c r="L2770">
        <v>218.4845</v>
      </c>
      <c r="M2770">
        <v>0.52818240000000005</v>
      </c>
      <c r="N2770">
        <v>0</v>
      </c>
      <c r="O2770">
        <v>-0.84899650000000004</v>
      </c>
      <c r="P2770">
        <v>0.67626370000000002</v>
      </c>
      <c r="Q2770">
        <v>4.079928E-2</v>
      </c>
      <c r="R2770">
        <v>-0.73552919999999999</v>
      </c>
      <c r="S2770">
        <v>2.4526059999999998</v>
      </c>
      <c r="T2770">
        <v>-9.1000079999999997E-2</v>
      </c>
      <c r="U2770">
        <v>-1.8390200000000001</v>
      </c>
      <c r="V2770">
        <v>-0.18716720000000001</v>
      </c>
      <c r="W2770">
        <v>5.0375410000000002E-2</v>
      </c>
      <c r="X2770">
        <v>0.98103549999999995</v>
      </c>
      <c r="Y2770">
        <v>-0.36207089999999997</v>
      </c>
      <c r="Z2770">
        <v>2.8134180000000002E-2</v>
      </c>
      <c r="AA2770">
        <v>0.9317259</v>
      </c>
      <c r="AB2770">
        <v>33</v>
      </c>
      <c r="AC2770">
        <v>24.725399999999901</v>
      </c>
      <c r="AD2770">
        <v>-0.92397829999999903</v>
      </c>
      <c r="AE2770">
        <v>-18.407699999999998</v>
      </c>
      <c r="AF2770">
        <v>-11.2603241671085</v>
      </c>
      <c r="AG2770">
        <v>-0.92397829999999903</v>
      </c>
      <c r="AH2770">
        <v>28.6651138279904</v>
      </c>
      <c r="AI2770">
        <v>91.718459204222896</v>
      </c>
      <c r="AJ2770">
        <v>111.44605574465299</v>
      </c>
      <c r="AK2770">
        <v>30.811319137922101</v>
      </c>
      <c r="AL2770">
        <v>87.112479316596506</v>
      </c>
      <c r="AM2770">
        <v>100.80139019480799</v>
      </c>
      <c r="AN2770">
        <v>0.99999994747437704</v>
      </c>
    </row>
    <row r="2771" spans="1:40" x14ac:dyDescent="0.25">
      <c r="A2771" t="str">
        <f>"20190312151039684"</f>
        <v>20190312151039684</v>
      </c>
      <c r="B2771" t="str">
        <f>"1552374639673950"</f>
        <v>1552374639673950</v>
      </c>
      <c r="C2771" t="s">
        <v>40</v>
      </c>
      <c r="D2771">
        <v>5.0994900000000003</v>
      </c>
      <c r="E2771">
        <v>0.41963869999999998</v>
      </c>
      <c r="F2771" t="s">
        <v>50</v>
      </c>
      <c r="G2771">
        <v>-475.21260000000001</v>
      </c>
      <c r="H2771" s="1">
        <v>3.669823E-6</v>
      </c>
      <c r="I2771">
        <v>215.14189999999999</v>
      </c>
      <c r="J2771">
        <v>-479.7903</v>
      </c>
      <c r="K2771">
        <v>1.121966</v>
      </c>
      <c r="L2771">
        <v>218.21459999999999</v>
      </c>
      <c r="M2771">
        <v>0.54006209999999999</v>
      </c>
      <c r="N2771">
        <v>0</v>
      </c>
      <c r="O2771">
        <v>-0.84148880000000004</v>
      </c>
      <c r="P2771">
        <v>0.68734849999999903</v>
      </c>
      <c r="Q2771">
        <v>4.5124339999999999E-2</v>
      </c>
      <c r="R2771">
        <v>-0.72492489999999998</v>
      </c>
      <c r="S2771">
        <v>2.5357669999999999</v>
      </c>
      <c r="T2771">
        <v>-0.59750179999999997</v>
      </c>
      <c r="U2771">
        <v>-1.7803960000000001</v>
      </c>
      <c r="V2771">
        <v>-0.18855150000000001</v>
      </c>
      <c r="W2771">
        <v>5.4629120000000003E-2</v>
      </c>
      <c r="X2771">
        <v>0.98054269999999999</v>
      </c>
      <c r="Y2771">
        <v>-0.3630178</v>
      </c>
      <c r="Z2771">
        <v>0.1792656</v>
      </c>
      <c r="AA2771">
        <v>0.91437520000000005</v>
      </c>
      <c r="AB2771">
        <v>33</v>
      </c>
      <c r="AC2771">
        <v>4.5776999999999903</v>
      </c>
      <c r="AD2771">
        <v>-1.1219623301770001</v>
      </c>
      <c r="AE2771">
        <v>-3.07269999999999</v>
      </c>
      <c r="AF2771">
        <v>-2.1056850797654998</v>
      </c>
      <c r="AG2771">
        <v>-1.1219623301770001</v>
      </c>
      <c r="AH2771">
        <v>4.8573134107326998</v>
      </c>
      <c r="AI2771">
        <v>101.965498456855</v>
      </c>
      <c r="AJ2771">
        <v>113.43712632322099</v>
      </c>
      <c r="AK2771">
        <v>5.4116728185993397</v>
      </c>
      <c r="AL2771">
        <v>86.868423043781902</v>
      </c>
      <c r="AM2771">
        <v>100.88471541276201</v>
      </c>
      <c r="AN2771">
        <v>0.99999999771375703</v>
      </c>
    </row>
    <row r="2772" spans="1:40" x14ac:dyDescent="0.25">
      <c r="A2772" t="str">
        <f>"20190312151039706"</f>
        <v>20190312151039706</v>
      </c>
      <c r="B2772" t="str">
        <f>"1552374639703230"</f>
        <v>1552374639703230</v>
      </c>
      <c r="C2772" t="s">
        <v>40</v>
      </c>
      <c r="D2772">
        <v>5.0472989999999998</v>
      </c>
      <c r="E2772">
        <v>0.42162739999999999</v>
      </c>
      <c r="F2772" t="s">
        <v>50</v>
      </c>
      <c r="G2772">
        <v>-474.8057</v>
      </c>
      <c r="H2772" s="1">
        <v>3.8354459999999997E-6</v>
      </c>
      <c r="I2772">
        <v>214.80260000000001</v>
      </c>
      <c r="J2772">
        <v>-479.61329999999998</v>
      </c>
      <c r="K2772">
        <v>1.1221099999999999</v>
      </c>
      <c r="L2772">
        <v>217.9615</v>
      </c>
      <c r="M2772">
        <v>0.55135619999999996</v>
      </c>
      <c r="N2772">
        <v>0</v>
      </c>
      <c r="O2772">
        <v>-0.83413169999999903</v>
      </c>
      <c r="P2772">
        <v>0.6972315</v>
      </c>
      <c r="Q2772">
        <v>4.7616119999999998E-2</v>
      </c>
      <c r="R2772">
        <v>-0.71526339999999999</v>
      </c>
      <c r="S2772">
        <v>2.55661</v>
      </c>
      <c r="T2772">
        <v>-0.57546160000000002</v>
      </c>
      <c r="U2772">
        <v>-1.7500309999999999</v>
      </c>
      <c r="V2772">
        <v>-0.18896969999999999</v>
      </c>
      <c r="W2772">
        <v>5.7083389999999998E-2</v>
      </c>
      <c r="X2772">
        <v>0.98032240000000004</v>
      </c>
      <c r="Y2772">
        <v>-0.36255890000000002</v>
      </c>
      <c r="Z2772">
        <v>0.17187549999999999</v>
      </c>
      <c r="AA2772">
        <v>0.91597490000000004</v>
      </c>
      <c r="AB2772">
        <v>33</v>
      </c>
      <c r="AC2772">
        <v>4.8075999999999697</v>
      </c>
      <c r="AD2772">
        <v>-1.122106164554</v>
      </c>
      <c r="AE2772">
        <v>-3.1588999999999801</v>
      </c>
      <c r="AF2772">
        <v>-2.18559332713183</v>
      </c>
      <c r="AG2772">
        <v>-1.122106164554</v>
      </c>
      <c r="AH2772">
        <v>5.09248183968581</v>
      </c>
      <c r="AI2772">
        <v>101.44676667215499</v>
      </c>
      <c r="AJ2772">
        <v>113.22806068327</v>
      </c>
      <c r="AK2772">
        <v>5.6541411128183796</v>
      </c>
      <c r="AL2772">
        <v>86.727583939968397</v>
      </c>
      <c r="AM2772">
        <v>100.910671255205</v>
      </c>
      <c r="AN2772">
        <v>1.00000003443687</v>
      </c>
    </row>
    <row r="2773" spans="1:40" x14ac:dyDescent="0.25">
      <c r="A2773" t="str">
        <f>"20190312151039728"</f>
        <v>20190312151039728</v>
      </c>
      <c r="B2773" t="str">
        <f>"1552374639723726"</f>
        <v>1552374639723726</v>
      </c>
      <c r="C2773" t="s">
        <v>40</v>
      </c>
      <c r="D2773">
        <v>5.1150510000000002</v>
      </c>
      <c r="E2773">
        <v>0.43585699999999999</v>
      </c>
      <c r="F2773" t="s">
        <v>50</v>
      </c>
      <c r="G2773">
        <v>-474.47809999999998</v>
      </c>
      <c r="H2773" s="1">
        <v>3.9679849999999998E-6</v>
      </c>
      <c r="I2773">
        <v>214.51150000000001</v>
      </c>
      <c r="J2773">
        <v>-479.43099999999998</v>
      </c>
      <c r="K2773">
        <v>1.122234</v>
      </c>
      <c r="L2773">
        <v>217.70830000000001</v>
      </c>
      <c r="M2773">
        <v>0.56279979999999996</v>
      </c>
      <c r="N2773">
        <v>0</v>
      </c>
      <c r="O2773">
        <v>-0.82645290000000005</v>
      </c>
      <c r="P2773">
        <v>0.70742989999999994</v>
      </c>
      <c r="Q2773">
        <v>4.9470119999999999E-2</v>
      </c>
      <c r="R2773">
        <v>-0.70505010000000001</v>
      </c>
      <c r="S2773">
        <v>2.5699160000000001</v>
      </c>
      <c r="T2773">
        <v>-0.56156689999999998</v>
      </c>
      <c r="U2773">
        <v>-1.7265779999999999</v>
      </c>
      <c r="V2773">
        <v>-0.18968119999999999</v>
      </c>
      <c r="W2773">
        <v>5.8892800000000002E-2</v>
      </c>
      <c r="X2773">
        <v>0.98007789999999995</v>
      </c>
      <c r="Y2773">
        <v>-0.35847289999999998</v>
      </c>
      <c r="Z2773">
        <v>0.1667419</v>
      </c>
      <c r="AA2773">
        <v>0.91852829999999996</v>
      </c>
      <c r="AB2773">
        <v>33</v>
      </c>
      <c r="AC2773">
        <v>4.9528999999999996</v>
      </c>
      <c r="AD2773">
        <v>-1.122230032015</v>
      </c>
      <c r="AE2773">
        <v>-3.1967999999999899</v>
      </c>
      <c r="AF2773">
        <v>-2.2142015524395902</v>
      </c>
      <c r="AG2773">
        <v>-1.122230032015</v>
      </c>
      <c r="AH2773">
        <v>5.2402152672916902</v>
      </c>
      <c r="AI2773">
        <v>101.15944015629501</v>
      </c>
      <c r="AJ2773">
        <v>112.906011683541</v>
      </c>
      <c r="AK2773">
        <v>5.7984433089527796</v>
      </c>
      <c r="AL2773">
        <v>86.623737527796607</v>
      </c>
      <c r="AM2773">
        <v>100.95342607416001</v>
      </c>
      <c r="AN2773">
        <v>1.00000000479684</v>
      </c>
    </row>
    <row r="2774" spans="1:40" x14ac:dyDescent="0.25">
      <c r="A2774" t="str">
        <f>"20190312151039750"</f>
        <v>20190312151039750</v>
      </c>
      <c r="B2774" t="str">
        <f>"1552374639743246"</f>
        <v>1552374639743246</v>
      </c>
      <c r="C2774" t="s">
        <v>40</v>
      </c>
      <c r="D2774">
        <v>5.1075160000000004</v>
      </c>
      <c r="E2774">
        <v>0.43702039999999998</v>
      </c>
      <c r="F2774" t="s">
        <v>65</v>
      </c>
      <c r="G2774">
        <v>-454.42939999999999</v>
      </c>
      <c r="H2774">
        <v>1.0109760000000001</v>
      </c>
      <c r="I2774">
        <v>200.07650000000001</v>
      </c>
      <c r="J2774">
        <v>-479.24239999999998</v>
      </c>
      <c r="K2774">
        <v>1.1223529999999999</v>
      </c>
      <c r="L2774">
        <v>217.45410000000001</v>
      </c>
      <c r="M2774">
        <v>0.57444410000000001</v>
      </c>
      <c r="N2774">
        <v>0</v>
      </c>
      <c r="O2774">
        <v>-0.81840119999999905</v>
      </c>
      <c r="P2774">
        <v>0.71906789999999998</v>
      </c>
      <c r="Q2774">
        <v>4.8337850000000002E-2</v>
      </c>
      <c r="R2774">
        <v>-0.6932566</v>
      </c>
      <c r="S2774">
        <v>2.4907840000000001</v>
      </c>
      <c r="T2774">
        <v>-1.108229E-2</v>
      </c>
      <c r="U2774">
        <v>-1.756561</v>
      </c>
      <c r="V2774">
        <v>-0.1920615</v>
      </c>
      <c r="W2774">
        <v>5.7663209999999999E-2</v>
      </c>
      <c r="X2774">
        <v>0.97968730000000004</v>
      </c>
      <c r="Y2774">
        <v>-0.33778269999999999</v>
      </c>
      <c r="Z2774">
        <v>3.3395920000000002E-3</v>
      </c>
      <c r="AA2774">
        <v>0.9412182</v>
      </c>
      <c r="AB2774">
        <v>32</v>
      </c>
      <c r="AC2774">
        <v>24.812999999999899</v>
      </c>
      <c r="AD2774">
        <v>-0.111377</v>
      </c>
      <c r="AE2774">
        <v>-17.377600000000001</v>
      </c>
      <c r="AF2774">
        <v>-10.325594955064499</v>
      </c>
      <c r="AG2774">
        <v>-0.111377</v>
      </c>
      <c r="AH2774">
        <v>28.478469593971099</v>
      </c>
      <c r="AI2774">
        <v>90.210658871314806</v>
      </c>
      <c r="AJ2774">
        <v>109.929403270629</v>
      </c>
      <c r="AK2774">
        <v>30.292796939650799</v>
      </c>
      <c r="AL2774">
        <v>86.694307562472403</v>
      </c>
      <c r="AM2774">
        <v>101.091805409956</v>
      </c>
      <c r="AN2774">
        <v>0.99999993567551904</v>
      </c>
    </row>
    <row r="2775" spans="1:40" x14ac:dyDescent="0.25">
      <c r="A2775" t="str">
        <f>"20190312151039771"</f>
        <v>20190312151039771</v>
      </c>
      <c r="B2775" t="str">
        <f>"1552374639763741"</f>
        <v>1552374639763741</v>
      </c>
      <c r="C2775" t="s">
        <v>40</v>
      </c>
      <c r="D2775">
        <v>5.195443</v>
      </c>
      <c r="E2775">
        <v>0.43748550000000003</v>
      </c>
      <c r="F2775" t="s">
        <v>65</v>
      </c>
      <c r="G2775">
        <v>-453.87700000000001</v>
      </c>
      <c r="H2775">
        <v>1.097969</v>
      </c>
      <c r="I2775">
        <v>200.07650000000001</v>
      </c>
      <c r="J2775">
        <v>-479.05549999999999</v>
      </c>
      <c r="K2775">
        <v>1.122465</v>
      </c>
      <c r="L2775">
        <v>217.20959999999999</v>
      </c>
      <c r="M2775">
        <v>0.58579749999999997</v>
      </c>
      <c r="N2775">
        <v>0</v>
      </c>
      <c r="O2775">
        <v>-0.81031249999999999</v>
      </c>
      <c r="P2775">
        <v>0.73055040000000004</v>
      </c>
      <c r="Q2775">
        <v>4.6291779999999998E-2</v>
      </c>
      <c r="R2775">
        <v>-0.6812878</v>
      </c>
      <c r="S2775">
        <v>2.5126650000000001</v>
      </c>
      <c r="T2775">
        <v>-2.4137500000000001E-3</v>
      </c>
      <c r="U2775">
        <v>-1.7214050000000001</v>
      </c>
      <c r="V2775">
        <v>-0.19464699999999999</v>
      </c>
      <c r="W2775">
        <v>5.5512319999999997E-2</v>
      </c>
      <c r="X2775">
        <v>0.97930130000000004</v>
      </c>
      <c r="Y2775">
        <v>-0.3374414</v>
      </c>
      <c r="Z2775">
        <v>7.2294459999999998E-4</v>
      </c>
      <c r="AA2775">
        <v>0.94134629999999997</v>
      </c>
      <c r="AB2775">
        <v>32</v>
      </c>
      <c r="AC2775">
        <v>25.1785</v>
      </c>
      <c r="AD2775">
        <v>-2.4496E-2</v>
      </c>
      <c r="AE2775">
        <v>-17.133099999999899</v>
      </c>
      <c r="AF2775">
        <v>-10.367137333774</v>
      </c>
      <c r="AG2775">
        <v>-2.4496E-2</v>
      </c>
      <c r="AH2775">
        <v>28.636013012565101</v>
      </c>
      <c r="AI2775">
        <v>90.046085153579</v>
      </c>
      <c r="AJ2775">
        <v>109.90184919526</v>
      </c>
      <c r="AK2775">
        <v>30.454874450687601</v>
      </c>
      <c r="AL2775">
        <v>86.817742679639494</v>
      </c>
      <c r="AM2775">
        <v>101.241662439975</v>
      </c>
      <c r="AN2775">
        <v>1.00000005423123</v>
      </c>
    </row>
    <row r="2776" spans="1:40" x14ac:dyDescent="0.25">
      <c r="A2776" t="str">
        <f>"20190312151039796"</f>
        <v>20190312151039796</v>
      </c>
      <c r="B2776" t="str">
        <f>"1552374639793023"</f>
        <v>1552374639793023</v>
      </c>
      <c r="C2776" t="s">
        <v>40</v>
      </c>
      <c r="D2776">
        <v>5.1383939999999999</v>
      </c>
      <c r="E2776">
        <v>0.43846230000000003</v>
      </c>
      <c r="F2776" t="s">
        <v>65</v>
      </c>
      <c r="G2776">
        <v>-453.202</v>
      </c>
      <c r="H2776">
        <v>1.1121080000000001</v>
      </c>
      <c r="I2776">
        <v>200.07650000000001</v>
      </c>
      <c r="J2776">
        <v>-478.84289999999999</v>
      </c>
      <c r="K2776">
        <v>1.1225989999999999</v>
      </c>
      <c r="L2776">
        <v>216.93979999999999</v>
      </c>
      <c r="M2776">
        <v>0.59849330000000001</v>
      </c>
      <c r="N2776">
        <v>0</v>
      </c>
      <c r="O2776">
        <v>-0.80098049999999998</v>
      </c>
      <c r="P2776">
        <v>0.74340790000000001</v>
      </c>
      <c r="Q2776">
        <v>4.4156340000000002E-2</v>
      </c>
      <c r="R2776">
        <v>-0.66737959999999996</v>
      </c>
      <c r="S2776">
        <v>2.5380250000000002</v>
      </c>
      <c r="T2776">
        <v>-1.0150669999999999E-3</v>
      </c>
      <c r="U2776">
        <v>-1.6819459999999999</v>
      </c>
      <c r="V2776">
        <v>-0.1977585</v>
      </c>
      <c r="W2776">
        <v>5.3250220000000001E-2</v>
      </c>
      <c r="X2776">
        <v>0.97880330000000004</v>
      </c>
      <c r="Y2776">
        <v>-0.3371034</v>
      </c>
      <c r="Z2776">
        <v>3.0171309999999998E-4</v>
      </c>
      <c r="AA2776">
        <v>0.94146759999999996</v>
      </c>
      <c r="AB2776">
        <v>32</v>
      </c>
      <c r="AC2776">
        <v>25.640899999999899</v>
      </c>
      <c r="AD2776">
        <v>-1.0490999999999801E-2</v>
      </c>
      <c r="AE2776">
        <v>-16.863299999999899</v>
      </c>
      <c r="AF2776">
        <v>-10.446520422351</v>
      </c>
      <c r="AG2776">
        <v>-1.0490999999999801E-2</v>
      </c>
      <c r="AH2776">
        <v>28.8564833381214</v>
      </c>
      <c r="AI2776">
        <v>90.019586375128796</v>
      </c>
      <c r="AJ2776">
        <v>109.90108714066101</v>
      </c>
      <c r="AK2776">
        <v>30.689192391442202</v>
      </c>
      <c r="AL2776">
        <v>86.947543254367901</v>
      </c>
      <c r="AM2776">
        <v>101.42233694327599</v>
      </c>
      <c r="AN2776">
        <v>0.99999995517159301</v>
      </c>
    </row>
    <row r="2777" spans="1:40" x14ac:dyDescent="0.25">
      <c r="A2777" t="str">
        <f>"20190312151039819"</f>
        <v>20190312151039819</v>
      </c>
      <c r="B2777" t="str">
        <f>"1552374639813518"</f>
        <v>1552374639813518</v>
      </c>
      <c r="C2777" t="s">
        <v>40</v>
      </c>
      <c r="D2777">
        <v>5.1445319999999999</v>
      </c>
      <c r="E2777">
        <v>0.4393647</v>
      </c>
      <c r="F2777" t="s">
        <v>65</v>
      </c>
      <c r="G2777">
        <v>-452.4674</v>
      </c>
      <c r="H2777">
        <v>1.065339</v>
      </c>
      <c r="I2777">
        <v>200.07650000000001</v>
      </c>
      <c r="J2777">
        <v>-478.6395</v>
      </c>
      <c r="K2777">
        <v>1.1227259999999999</v>
      </c>
      <c r="L2777">
        <v>216.6902</v>
      </c>
      <c r="M2777">
        <v>0.61043239999999999</v>
      </c>
      <c r="N2777">
        <v>0</v>
      </c>
      <c r="O2777">
        <v>-0.79191849999999997</v>
      </c>
      <c r="P2777">
        <v>0.75497819999999904</v>
      </c>
      <c r="Q2777">
        <v>4.1545390000000001E-2</v>
      </c>
      <c r="R2777">
        <v>-0.65443280000000004</v>
      </c>
      <c r="S2777">
        <v>2.5640869999999998</v>
      </c>
      <c r="T2777">
        <v>-5.5648090000000004E-3</v>
      </c>
      <c r="U2777">
        <v>-1.639359</v>
      </c>
      <c r="V2777">
        <v>-0.20005870000000001</v>
      </c>
      <c r="W2777">
        <v>5.0538760000000002E-2</v>
      </c>
      <c r="X2777">
        <v>0.9784796</v>
      </c>
      <c r="Y2777">
        <v>-0.33842470000000002</v>
      </c>
      <c r="Z2777">
        <v>1.6428359999999999E-3</v>
      </c>
      <c r="AA2777">
        <v>0.9409921</v>
      </c>
      <c r="AB2777">
        <v>32</v>
      </c>
      <c r="AC2777">
        <v>26.1721</v>
      </c>
      <c r="AD2777">
        <v>-5.7387000000000001E-2</v>
      </c>
      <c r="AE2777">
        <v>-16.613699999999898</v>
      </c>
      <c r="AF2777">
        <v>-10.585849616565101</v>
      </c>
      <c r="AG2777">
        <v>-5.7387000000000001E-2</v>
      </c>
      <c r="AH2777">
        <v>29.136352680007601</v>
      </c>
      <c r="AI2777">
        <v>90.106066159308995</v>
      </c>
      <c r="AJ2777">
        <v>109.967147581509</v>
      </c>
      <c r="AK2777">
        <v>30.9998476264979</v>
      </c>
      <c r="AL2777">
        <v>87.103108233171199</v>
      </c>
      <c r="AM2777">
        <v>101.55536151426</v>
      </c>
      <c r="AN2777">
        <v>0.99999998866209305</v>
      </c>
    </row>
    <row r="2778" spans="1:40" x14ac:dyDescent="0.25">
      <c r="A2778" t="str">
        <f>"20190312151039841"</f>
        <v>20190312151039841</v>
      </c>
      <c r="B2778" t="str">
        <f>"1552374639833038"</f>
        <v>1552374639833038</v>
      </c>
      <c r="C2778" t="s">
        <v>40</v>
      </c>
      <c r="D2778">
        <v>5.1804410000000001</v>
      </c>
      <c r="E2778">
        <v>0.44031110000000001</v>
      </c>
      <c r="F2778" t="s">
        <v>65</v>
      </c>
      <c r="G2778">
        <v>-451.77339999999998</v>
      </c>
      <c r="H2778">
        <v>1.043231</v>
      </c>
      <c r="I2778">
        <v>200.07650000000001</v>
      </c>
      <c r="J2778">
        <v>-478.43270000000001</v>
      </c>
      <c r="K2778">
        <v>1.1228579999999999</v>
      </c>
      <c r="L2778">
        <v>216.44470000000001</v>
      </c>
      <c r="M2778">
        <v>0.6223727</v>
      </c>
      <c r="N2778">
        <v>0</v>
      </c>
      <c r="O2778">
        <v>-0.78256829999999999</v>
      </c>
      <c r="P2778">
        <v>0.76595559999999996</v>
      </c>
      <c r="Q2778">
        <v>4.1183320000000002E-2</v>
      </c>
      <c r="R2778">
        <v>-0.64157319999999995</v>
      </c>
      <c r="S2778">
        <v>2.5872190000000002</v>
      </c>
      <c r="T2778">
        <v>-7.6537130000000004E-3</v>
      </c>
      <c r="U2778">
        <v>-1.599899</v>
      </c>
      <c r="V2778">
        <v>-0.20178740000000001</v>
      </c>
      <c r="W2778">
        <v>5.0093480000000003E-2</v>
      </c>
      <c r="X2778">
        <v>0.97814749999999995</v>
      </c>
      <c r="Y2778">
        <v>-0.33829009999999998</v>
      </c>
      <c r="Z2778">
        <v>2.2421709999999998E-3</v>
      </c>
      <c r="AA2778">
        <v>0.94103919999999996</v>
      </c>
      <c r="AB2778">
        <v>32</v>
      </c>
      <c r="AC2778">
        <v>26.659300000000002</v>
      </c>
      <c r="AD2778">
        <v>-7.9626999999999795E-2</v>
      </c>
      <c r="AE2778">
        <v>-16.368200000000002</v>
      </c>
      <c r="AF2778">
        <v>-10.6768094587476</v>
      </c>
      <c r="AG2778">
        <v>-7.9626999999999795E-2</v>
      </c>
      <c r="AH2778">
        <v>29.404579689507099</v>
      </c>
      <c r="AI2778">
        <v>90.145839179785</v>
      </c>
      <c r="AJ2778">
        <v>109.955970856935</v>
      </c>
      <c r="AK2778">
        <v>31.283061029798599</v>
      </c>
      <c r="AL2778">
        <v>87.128653349976503</v>
      </c>
      <c r="AM2778">
        <v>101.65633959880699</v>
      </c>
      <c r="AN2778">
        <v>1.0000000216467599</v>
      </c>
    </row>
    <row r="2779" spans="1:40" x14ac:dyDescent="0.25">
      <c r="A2779" t="str">
        <f>"20190312151039862"</f>
        <v>20190312151039862</v>
      </c>
      <c r="B2779" t="str">
        <f>"1552374639853535"</f>
        <v>1552374639853535</v>
      </c>
      <c r="C2779" t="s">
        <v>40</v>
      </c>
      <c r="D2779">
        <v>5.2995349999999997</v>
      </c>
      <c r="E2779">
        <v>0.4410326</v>
      </c>
      <c r="F2779" t="s">
        <v>65</v>
      </c>
      <c r="G2779">
        <v>-451.0917</v>
      </c>
      <c r="H2779">
        <v>1.078729</v>
      </c>
      <c r="I2779">
        <v>200.07650000000001</v>
      </c>
      <c r="J2779">
        <v>-478.23860000000002</v>
      </c>
      <c r="K2779">
        <v>1.122995</v>
      </c>
      <c r="L2779">
        <v>216.221</v>
      </c>
      <c r="M2779">
        <v>0.63339569999999901</v>
      </c>
      <c r="N2779">
        <v>0</v>
      </c>
      <c r="O2779">
        <v>-0.77367259999999904</v>
      </c>
      <c r="P2779">
        <v>0.77521479999999998</v>
      </c>
      <c r="Q2779">
        <v>4.3701450000000003E-2</v>
      </c>
      <c r="R2779">
        <v>-0.63018450000000004</v>
      </c>
      <c r="S2779">
        <v>2.608765</v>
      </c>
      <c r="T2779">
        <v>-4.2089220000000004E-3</v>
      </c>
      <c r="U2779">
        <v>-1.5617829999999999</v>
      </c>
      <c r="V2779">
        <v>-0.2023749</v>
      </c>
      <c r="W2779">
        <v>5.2570730000000003E-2</v>
      </c>
      <c r="X2779">
        <v>0.97789610000000005</v>
      </c>
      <c r="Y2779">
        <v>-0.33850180000000002</v>
      </c>
      <c r="Z2779">
        <v>1.2240319999999999E-3</v>
      </c>
      <c r="AA2779">
        <v>0.94096489999999999</v>
      </c>
      <c r="AB2779">
        <v>32</v>
      </c>
      <c r="AC2779">
        <v>27.146899999999999</v>
      </c>
      <c r="AD2779">
        <v>-4.4265999999999903E-2</v>
      </c>
      <c r="AE2779">
        <v>-16.144499999999901</v>
      </c>
      <c r="AF2779">
        <v>-10.778231331817601</v>
      </c>
      <c r="AG2779">
        <v>-4.4265999999999903E-2</v>
      </c>
      <c r="AH2779">
        <v>29.688800418202401</v>
      </c>
      <c r="AI2779">
        <v>90.080299985191502</v>
      </c>
      <c r="AJ2779">
        <v>109.952937913128</v>
      </c>
      <c r="AK2779">
        <v>31.584760572035201</v>
      </c>
      <c r="AL2779">
        <v>86.986530008118194</v>
      </c>
      <c r="AM2779">
        <v>101.692266587048</v>
      </c>
      <c r="AN2779">
        <v>1.0000000320989699</v>
      </c>
    </row>
    <row r="2780" spans="1:40" x14ac:dyDescent="0.25">
      <c r="A2780" t="str">
        <f>"20190312151039884"</f>
        <v>20190312151039884</v>
      </c>
      <c r="B2780" t="str">
        <f>"1552374639873056"</f>
        <v>1552374639873056</v>
      </c>
      <c r="C2780" t="s">
        <v>40</v>
      </c>
      <c r="D2780">
        <v>5.3392520000000001</v>
      </c>
      <c r="E2780">
        <v>0.4491926</v>
      </c>
      <c r="F2780" t="s">
        <v>65</v>
      </c>
      <c r="G2780">
        <v>-450.47129999999999</v>
      </c>
      <c r="H2780">
        <v>1.1741520000000001</v>
      </c>
      <c r="I2780">
        <v>200.07650000000001</v>
      </c>
      <c r="J2780">
        <v>-478.02749999999997</v>
      </c>
      <c r="K2780">
        <v>1.123162</v>
      </c>
      <c r="L2780">
        <v>215.98509999999999</v>
      </c>
      <c r="M2780">
        <v>0.64518679999999995</v>
      </c>
      <c r="N2780">
        <v>0</v>
      </c>
      <c r="O2780">
        <v>-0.7638665</v>
      </c>
      <c r="P2780">
        <v>0.78495159999999997</v>
      </c>
      <c r="Q2780">
        <v>4.8101199999999997E-2</v>
      </c>
      <c r="R2780">
        <v>-0.61768710000000004</v>
      </c>
      <c r="S2780">
        <v>2.6276549999999999</v>
      </c>
      <c r="T2780">
        <v>4.8426390000000001E-3</v>
      </c>
      <c r="U2780">
        <v>-1.527771</v>
      </c>
      <c r="V2780">
        <v>-0.2030014</v>
      </c>
      <c r="W2780">
        <v>5.6926280000000003E-2</v>
      </c>
      <c r="X2780">
        <v>0.97752229999999996</v>
      </c>
      <c r="Y2780">
        <v>-0.33610630000000002</v>
      </c>
      <c r="Z2780">
        <v>-1.395103E-3</v>
      </c>
      <c r="AA2780">
        <v>0.94182299999999997</v>
      </c>
      <c r="AB2780">
        <v>32</v>
      </c>
      <c r="AC2780">
        <v>27.556199999999901</v>
      </c>
      <c r="AD2780">
        <v>5.0990000000000001E-2</v>
      </c>
      <c r="AE2780">
        <v>-15.9085999999999</v>
      </c>
      <c r="AF2780">
        <v>-10.7865166731405</v>
      </c>
      <c r="AG2780">
        <v>5.0990000000000001E-2</v>
      </c>
      <c r="AH2780">
        <v>29.9344879782482</v>
      </c>
      <c r="AI2780">
        <v>89.9081823071608</v>
      </c>
      <c r="AJ2780">
        <v>109.815990050522</v>
      </c>
      <c r="AK2780">
        <v>31.818628387156</v>
      </c>
      <c r="AL2780">
        <v>86.736600255999306</v>
      </c>
      <c r="AM2780">
        <v>101.731822005328</v>
      </c>
      <c r="AN2780">
        <v>1.00000000837694</v>
      </c>
    </row>
    <row r="2781" spans="1:40" x14ac:dyDescent="0.25">
      <c r="A2781" t="str">
        <f>"20190312151039906"</f>
        <v>20190312151039906</v>
      </c>
      <c r="B2781" t="str">
        <f>"1552374639903310"</f>
        <v>1552374639903310</v>
      </c>
      <c r="C2781" t="s">
        <v>40</v>
      </c>
      <c r="D2781">
        <v>5.3248519999999999</v>
      </c>
      <c r="E2781">
        <v>0.4500014</v>
      </c>
      <c r="F2781" t="s">
        <v>65</v>
      </c>
      <c r="G2781">
        <v>-451.00569999999999</v>
      </c>
      <c r="H2781">
        <v>2.1318169999999999</v>
      </c>
      <c r="I2781">
        <v>200.0761</v>
      </c>
      <c r="J2781">
        <v>-477.82159999999999</v>
      </c>
      <c r="K2781">
        <v>1.123327</v>
      </c>
      <c r="L2781">
        <v>215.762</v>
      </c>
      <c r="M2781">
        <v>0.65650189999999997</v>
      </c>
      <c r="N2781">
        <v>0</v>
      </c>
      <c r="O2781">
        <v>-0.75416280000000002</v>
      </c>
      <c r="P2781">
        <v>0.7944213</v>
      </c>
      <c r="Q2781">
        <v>5.2696029999999998E-2</v>
      </c>
      <c r="R2781">
        <v>-0.60507650000000002</v>
      </c>
      <c r="S2781">
        <v>2.6078190000000001</v>
      </c>
      <c r="T2781">
        <v>9.7345109999999999E-2</v>
      </c>
      <c r="U2781">
        <v>-1.535339</v>
      </c>
      <c r="V2781">
        <v>-0.20398160000000001</v>
      </c>
      <c r="W2781">
        <v>6.146447E-2</v>
      </c>
      <c r="X2781">
        <v>0.97704329999999995</v>
      </c>
      <c r="Y2781">
        <v>-0.3164323</v>
      </c>
      <c r="Z2781">
        <v>-2.7681669999999998E-2</v>
      </c>
      <c r="AA2781">
        <v>0.94821109999999997</v>
      </c>
      <c r="AB2781">
        <v>32</v>
      </c>
      <c r="AC2781">
        <v>26.815899999999999</v>
      </c>
      <c r="AD2781">
        <v>1.0084900000000001</v>
      </c>
      <c r="AE2781">
        <v>-15.6859</v>
      </c>
      <c r="AF2781">
        <v>-9.9164910069664298</v>
      </c>
      <c r="AG2781">
        <v>1.0084900000000001</v>
      </c>
      <c r="AH2781">
        <v>29.4070104622371</v>
      </c>
      <c r="AI2781">
        <v>88.138754367115496</v>
      </c>
      <c r="AJ2781">
        <v>108.634888449757</v>
      </c>
      <c r="AK2781">
        <v>31.050380195699201</v>
      </c>
      <c r="AL2781">
        <v>86.476124074303598</v>
      </c>
      <c r="AM2781">
        <v>101.792505224696</v>
      </c>
      <c r="AN2781">
        <v>0.99999999214291502</v>
      </c>
    </row>
    <row r="2782" spans="1:40" x14ac:dyDescent="0.25">
      <c r="A2782" t="str">
        <f>"20190312151039929"</f>
        <v>20190312151039929</v>
      </c>
      <c r="B2782" t="str">
        <f>"1552374639923806"</f>
        <v>1552374639923806</v>
      </c>
      <c r="C2782" t="s">
        <v>40</v>
      </c>
      <c r="D2782">
        <v>5.2781029999999998</v>
      </c>
      <c r="E2782">
        <v>0.42137959999999902</v>
      </c>
      <c r="F2782" t="s">
        <v>65</v>
      </c>
      <c r="G2782">
        <v>-450.3306</v>
      </c>
      <c r="H2782">
        <v>2.2186650000000001</v>
      </c>
      <c r="I2782">
        <v>200.0761</v>
      </c>
      <c r="J2782">
        <v>-477.59780000000001</v>
      </c>
      <c r="K2782">
        <v>1.1234980000000001</v>
      </c>
      <c r="L2782">
        <v>215.52719999999999</v>
      </c>
      <c r="M2782">
        <v>0.66859840000000004</v>
      </c>
      <c r="N2782">
        <v>0</v>
      </c>
      <c r="O2782">
        <v>-0.74345890000000003</v>
      </c>
      <c r="P2782">
        <v>0.80486239999999998</v>
      </c>
      <c r="Q2782">
        <v>5.8217360000000003E-2</v>
      </c>
      <c r="R2782">
        <v>-0.59059890000000004</v>
      </c>
      <c r="S2782">
        <v>2.6275019999999998</v>
      </c>
      <c r="T2782">
        <v>0.10469059999999999</v>
      </c>
      <c r="U2782">
        <v>-1.499207</v>
      </c>
      <c r="V2782">
        <v>-0.2058025</v>
      </c>
      <c r="W2782">
        <v>6.6896819999999996E-2</v>
      </c>
      <c r="X2782">
        <v>0.97630439999999996</v>
      </c>
      <c r="Y2782">
        <v>-0.3139364</v>
      </c>
      <c r="Z2782">
        <v>-2.944604E-2</v>
      </c>
      <c r="AA2782">
        <v>0.94898729999999998</v>
      </c>
      <c r="AB2782">
        <v>32</v>
      </c>
      <c r="AC2782">
        <v>27.267199999999999</v>
      </c>
      <c r="AD2782">
        <v>1.095167</v>
      </c>
      <c r="AE2782">
        <v>-15.451099999999901</v>
      </c>
      <c r="AF2782">
        <v>-9.9305540362827802</v>
      </c>
      <c r="AG2782">
        <v>1.095167</v>
      </c>
      <c r="AH2782">
        <v>29.685457526957101</v>
      </c>
      <c r="AI2782">
        <v>87.996230400026704</v>
      </c>
      <c r="AJ2782">
        <v>108.496422314223</v>
      </c>
      <c r="AK2782">
        <v>31.321584934517499</v>
      </c>
      <c r="AL2782">
        <v>86.164230211331699</v>
      </c>
      <c r="AM2782">
        <v>101.903534007733</v>
      </c>
      <c r="AN2782">
        <v>1.00000006749585</v>
      </c>
    </row>
    <row r="2783" spans="1:40" x14ac:dyDescent="0.25">
      <c r="A2783" t="str">
        <f>"20190312151039951"</f>
        <v>20190312151039951</v>
      </c>
      <c r="B2783" t="str">
        <f>"1552374639943326"</f>
        <v>1552374639943326</v>
      </c>
      <c r="C2783" t="s">
        <v>40</v>
      </c>
      <c r="D2783">
        <v>5.5168299999999997</v>
      </c>
      <c r="E2783">
        <v>0.41199570000000002</v>
      </c>
      <c r="F2783" t="s">
        <v>65</v>
      </c>
      <c r="G2783">
        <v>-443.60879999999997</v>
      </c>
      <c r="H2783">
        <v>3.647532</v>
      </c>
      <c r="I2783">
        <v>200.07560000000001</v>
      </c>
      <c r="J2783">
        <v>-477.38350000000003</v>
      </c>
      <c r="K2783">
        <v>1.1236539999999999</v>
      </c>
      <c r="L2783">
        <v>215.30940000000001</v>
      </c>
      <c r="M2783">
        <v>0.68000760000000005</v>
      </c>
      <c r="N2783">
        <v>0</v>
      </c>
      <c r="O2783">
        <v>-0.73303689999999999</v>
      </c>
      <c r="P2783">
        <v>0.8148666</v>
      </c>
      <c r="Q2783">
        <v>6.2853510000000001E-2</v>
      </c>
      <c r="R2783">
        <v>-0.57623089999999999</v>
      </c>
      <c r="S2783">
        <v>2.7837519999999998</v>
      </c>
      <c r="T2783">
        <v>0.20672309999999999</v>
      </c>
      <c r="U2783">
        <v>-1.265503</v>
      </c>
      <c r="V2783">
        <v>-0.20795520000000001</v>
      </c>
      <c r="W2783">
        <v>7.1430660000000007E-2</v>
      </c>
      <c r="X2783">
        <v>0.97552669999999997</v>
      </c>
      <c r="Y2783">
        <v>-0.38388640000000002</v>
      </c>
      <c r="Z2783">
        <v>-5.8646429999999999E-2</v>
      </c>
      <c r="AA2783">
        <v>0.92151609999999995</v>
      </c>
      <c r="AB2783">
        <v>32</v>
      </c>
      <c r="AC2783">
        <v>33.774700000000003</v>
      </c>
      <c r="AD2783">
        <v>2.5238779999999998</v>
      </c>
      <c r="AE2783">
        <v>-15.2338</v>
      </c>
      <c r="AF2783">
        <v>-14.3342643089007</v>
      </c>
      <c r="AG2783">
        <v>2.5238779999999998</v>
      </c>
      <c r="AH2783">
        <v>33.980525242379798</v>
      </c>
      <c r="AI2783">
        <v>86.085093208399499</v>
      </c>
      <c r="AJ2783">
        <v>112.871847630894</v>
      </c>
      <c r="AK2783">
        <v>36.966433276478298</v>
      </c>
      <c r="AL2783">
        <v>85.903836365096396</v>
      </c>
      <c r="AM2783">
        <v>102.03374600128799</v>
      </c>
      <c r="AN2783">
        <v>1.0000000234039801</v>
      </c>
    </row>
    <row r="2784" spans="1:40" x14ac:dyDescent="0.25">
      <c r="A2784" t="str">
        <f>"20190312151039973"</f>
        <v>20190312151039973</v>
      </c>
      <c r="B2784" t="str">
        <f>"1552374639963822"</f>
        <v>1552374639963822</v>
      </c>
      <c r="C2784" t="s">
        <v>40</v>
      </c>
      <c r="D2784">
        <v>5.3272529999999998</v>
      </c>
      <c r="E2784">
        <v>0.410692</v>
      </c>
      <c r="F2784" t="s">
        <v>65</v>
      </c>
      <c r="G2784">
        <v>-440.42320000000001</v>
      </c>
      <c r="H2784">
        <v>4.1828580000000004</v>
      </c>
      <c r="I2784">
        <v>200.32079999999999</v>
      </c>
      <c r="J2784">
        <v>-477.16019999999997</v>
      </c>
      <c r="K2784">
        <v>1.1238109999999999</v>
      </c>
      <c r="L2784">
        <v>215.0898</v>
      </c>
      <c r="M2784">
        <v>0.69170390000000004</v>
      </c>
      <c r="N2784">
        <v>0</v>
      </c>
      <c r="O2784">
        <v>-0.72200920000000002</v>
      </c>
      <c r="P2784">
        <v>0.82479760000000002</v>
      </c>
      <c r="Q2784">
        <v>6.3875509999999996E-2</v>
      </c>
      <c r="R2784">
        <v>-0.5618088</v>
      </c>
      <c r="S2784">
        <v>2.8469850000000001</v>
      </c>
      <c r="T2784">
        <v>0.23564570000000001</v>
      </c>
      <c r="U2784">
        <v>-1.154541</v>
      </c>
      <c r="V2784">
        <v>-0.2094375</v>
      </c>
      <c r="W2784">
        <v>7.2374259999999996E-2</v>
      </c>
      <c r="X2784">
        <v>0.97513989999999995</v>
      </c>
      <c r="Y2784">
        <v>-0.40646159999999998</v>
      </c>
      <c r="Z2784">
        <v>-6.652769E-2</v>
      </c>
      <c r="AA2784">
        <v>0.91124260000000001</v>
      </c>
      <c r="AB2784">
        <v>32</v>
      </c>
      <c r="AC2784">
        <v>36.736999999999902</v>
      </c>
      <c r="AD2784">
        <v>3.0590470000000001</v>
      </c>
      <c r="AE2784">
        <v>-14.769</v>
      </c>
      <c r="AF2784">
        <v>-16.213922491477899</v>
      </c>
      <c r="AG2784">
        <v>3.0590470000000001</v>
      </c>
      <c r="AH2784">
        <v>35.864884718770298</v>
      </c>
      <c r="AI2784">
        <v>85.555882817860606</v>
      </c>
      <c r="AJ2784">
        <v>114.326940697438</v>
      </c>
      <c r="AK2784">
        <v>39.478335919825</v>
      </c>
      <c r="AL2784">
        <v>85.849631513018707</v>
      </c>
      <c r="AM2784">
        <v>102.121660303109</v>
      </c>
      <c r="AN2784">
        <v>0.99999996224440302</v>
      </c>
    </row>
    <row r="2785" spans="1:40" x14ac:dyDescent="0.25">
      <c r="A2785" t="str">
        <f>"20190312151039998"</f>
        <v>20190312151039998</v>
      </c>
      <c r="B2785" t="str">
        <f>"1552374639994077"</f>
        <v>1552374639994077</v>
      </c>
      <c r="C2785" t="s">
        <v>40</v>
      </c>
      <c r="D2785">
        <v>5.2409019999999904</v>
      </c>
      <c r="E2785">
        <v>0.41073330000000002</v>
      </c>
      <c r="F2785" t="s">
        <v>66</v>
      </c>
      <c r="G2785">
        <v>-168.8672</v>
      </c>
      <c r="H2785">
        <v>27.158449999999998</v>
      </c>
      <c r="I2785">
        <v>97.47063</v>
      </c>
      <c r="J2785">
        <v>-476.90789999999998</v>
      </c>
      <c r="K2785">
        <v>1.1239950000000001</v>
      </c>
      <c r="L2785">
        <v>214.84979999999999</v>
      </c>
      <c r="M2785">
        <v>0.70470959999999905</v>
      </c>
      <c r="N2785">
        <v>0</v>
      </c>
      <c r="O2785">
        <v>-0.70931929999999999</v>
      </c>
      <c r="P2785">
        <v>0.83609920000000004</v>
      </c>
      <c r="Q2785">
        <v>6.1726820000000002E-2</v>
      </c>
      <c r="R2785">
        <v>-0.54509410000000003</v>
      </c>
      <c r="S2785">
        <v>2.8721619999999999</v>
      </c>
      <c r="T2785">
        <v>0.2425475</v>
      </c>
      <c r="U2785">
        <v>-1.0957790000000001</v>
      </c>
      <c r="V2785">
        <v>-0.21142130000000001</v>
      </c>
      <c r="W2785">
        <v>7.0125969999999996E-2</v>
      </c>
      <c r="X2785">
        <v>0.97487610000000002</v>
      </c>
      <c r="Y2785">
        <v>-0.40868300000000002</v>
      </c>
      <c r="Z2785">
        <v>-6.771713E-2</v>
      </c>
      <c r="AA2785">
        <v>0.91016070000000004</v>
      </c>
      <c r="AB2785">
        <v>32</v>
      </c>
      <c r="AC2785">
        <v>308.04070000000002</v>
      </c>
      <c r="AD2785">
        <v>26.034455000000001</v>
      </c>
      <c r="AE2785">
        <v>-117.37917</v>
      </c>
      <c r="AF2785">
        <v>-134.956228117124</v>
      </c>
      <c r="AG2785">
        <v>26.034455000000001</v>
      </c>
      <c r="AH2785">
        <v>298.51423989627398</v>
      </c>
      <c r="AI2785">
        <v>85.456285082423904</v>
      </c>
      <c r="AJ2785">
        <v>114.32739755480701</v>
      </c>
      <c r="AK2785">
        <v>328.63616321944602</v>
      </c>
      <c r="AL2785">
        <v>85.978777508892307</v>
      </c>
      <c r="AM2785">
        <v>102.23624548313801</v>
      </c>
      <c r="AN2785">
        <v>1.0000000140566701</v>
      </c>
    </row>
    <row r="2786" spans="1:40" x14ac:dyDescent="0.25">
      <c r="A2786" t="str">
        <f>"20190312151040020"</f>
        <v>20190312151040020</v>
      </c>
      <c r="B2786" t="str">
        <f>"1552374640013598"</f>
        <v>1552374640013598</v>
      </c>
      <c r="C2786" t="s">
        <v>40</v>
      </c>
      <c r="D2786">
        <v>5.1834680000000004</v>
      </c>
      <c r="E2786">
        <v>0.41192889999999999</v>
      </c>
      <c r="F2786" t="s">
        <v>66</v>
      </c>
      <c r="G2786">
        <v>-169.68039999999999</v>
      </c>
      <c r="H2786">
        <v>27.530239999999999</v>
      </c>
      <c r="I2786">
        <v>104.6644</v>
      </c>
      <c r="J2786">
        <v>-476.68150000000003</v>
      </c>
      <c r="K2786">
        <v>1.124169</v>
      </c>
      <c r="L2786">
        <v>214.64259999999999</v>
      </c>
      <c r="M2786">
        <v>0.71618590000000004</v>
      </c>
      <c r="N2786">
        <v>0</v>
      </c>
      <c r="O2786">
        <v>-0.69772869999999998</v>
      </c>
      <c r="P2786">
        <v>0.84583220000000003</v>
      </c>
      <c r="Q2786">
        <v>6.1709930000000003E-2</v>
      </c>
      <c r="R2786">
        <v>-0.52986739999999999</v>
      </c>
      <c r="S2786">
        <v>2.8932799999999999</v>
      </c>
      <c r="T2786">
        <v>0.24867800000000001</v>
      </c>
      <c r="U2786">
        <v>-1.0376590000000001</v>
      </c>
      <c r="V2786">
        <v>-0.21319969999999999</v>
      </c>
      <c r="W2786">
        <v>7.0018490000000003E-2</v>
      </c>
      <c r="X2786">
        <v>0.97449640000000004</v>
      </c>
      <c r="Y2786">
        <v>-0.41198659999999998</v>
      </c>
      <c r="Z2786">
        <v>-6.8803900000000001E-2</v>
      </c>
      <c r="AA2786">
        <v>0.90858850000000002</v>
      </c>
      <c r="AB2786">
        <v>32</v>
      </c>
      <c r="AC2786">
        <v>307.00110000000001</v>
      </c>
      <c r="AD2786">
        <v>26.406071000000001</v>
      </c>
      <c r="AE2786">
        <v>-109.9782</v>
      </c>
      <c r="AF2786">
        <v>-134.573370307983</v>
      </c>
      <c r="AG2786">
        <v>26.406071000000001</v>
      </c>
      <c r="AH2786">
        <v>294.70989724452301</v>
      </c>
      <c r="AI2786">
        <v>85.340412359689097</v>
      </c>
      <c r="AJ2786">
        <v>114.542859738898</v>
      </c>
      <c r="AK2786">
        <v>325.05568156176599</v>
      </c>
      <c r="AL2786">
        <v>85.984950645747404</v>
      </c>
      <c r="AM2786">
        <v>102.340692724581</v>
      </c>
      <c r="AN2786">
        <v>0.99999996731746399</v>
      </c>
    </row>
    <row r="2787" spans="1:40" x14ac:dyDescent="0.25">
      <c r="A2787" t="str">
        <f>"20190312151040043"</f>
        <v>20190312151040043</v>
      </c>
      <c r="B2787" t="str">
        <f>"1552374640033118"</f>
        <v>1552374640033118</v>
      </c>
      <c r="C2787" t="s">
        <v>40</v>
      </c>
      <c r="D2787">
        <v>3.5840960000000002</v>
      </c>
      <c r="E2787">
        <v>0.41327380000000002</v>
      </c>
      <c r="F2787" t="s">
        <v>66</v>
      </c>
      <c r="G2787">
        <v>-166.1046</v>
      </c>
      <c r="H2787">
        <v>28.045449999999999</v>
      </c>
      <c r="I2787">
        <v>108.5271</v>
      </c>
      <c r="J2787">
        <v>-476.45179999999999</v>
      </c>
      <c r="K2787">
        <v>1.1243350000000001</v>
      </c>
      <c r="L2787">
        <v>214.43950000000001</v>
      </c>
      <c r="M2787">
        <v>0.72762190000000004</v>
      </c>
      <c r="N2787">
        <v>0</v>
      </c>
      <c r="O2787">
        <v>-0.68579299999999999</v>
      </c>
      <c r="P2787">
        <v>0.85596070000000002</v>
      </c>
      <c r="Q2787">
        <v>6.3166130000000001E-2</v>
      </c>
      <c r="R2787">
        <v>-0.51316819999999996</v>
      </c>
      <c r="S2787">
        <v>2.9063720000000002</v>
      </c>
      <c r="T2787">
        <v>0.25192870000000001</v>
      </c>
      <c r="U2787">
        <v>-0.99302670000000004</v>
      </c>
      <c r="V2787">
        <v>-0.2162192</v>
      </c>
      <c r="W2787">
        <v>7.1339819999999998E-2</v>
      </c>
      <c r="X2787">
        <v>0.97373500000000002</v>
      </c>
      <c r="Y2787">
        <v>-0.41062209999999899</v>
      </c>
      <c r="Z2787">
        <v>-6.8933750000000002E-2</v>
      </c>
      <c r="AA2787">
        <v>0.90919609999999995</v>
      </c>
      <c r="AB2787">
        <v>32</v>
      </c>
      <c r="AC2787">
        <v>310.34719999999999</v>
      </c>
      <c r="AD2787">
        <v>26.921115</v>
      </c>
      <c r="AE2787">
        <v>-105.91240000000001</v>
      </c>
      <c r="AF2787">
        <v>-134.877977697479</v>
      </c>
      <c r="AG2787">
        <v>26.921115</v>
      </c>
      <c r="AH2787">
        <v>296.48909351866303</v>
      </c>
      <c r="AI2787">
        <v>85.275276276835598</v>
      </c>
      <c r="AJ2787">
        <v>114.461602898179</v>
      </c>
      <c r="AK2787">
        <v>326.83726512765298</v>
      </c>
      <c r="AL2787">
        <v>85.909054253245202</v>
      </c>
      <c r="AM2787">
        <v>102.519479442274</v>
      </c>
      <c r="AN2787">
        <v>0.99999998129563605</v>
      </c>
    </row>
    <row r="2788" spans="1:40" x14ac:dyDescent="0.25">
      <c r="A2788" t="str">
        <f>"20190312151040063"</f>
        <v>20190312151040063</v>
      </c>
      <c r="B2788" t="str">
        <f>"1552374640053614"</f>
        <v>1552374640053614</v>
      </c>
      <c r="C2788" t="s">
        <v>40</v>
      </c>
      <c r="D2788">
        <v>5.2835179999999999</v>
      </c>
      <c r="E2788">
        <v>0.41486089999999998</v>
      </c>
      <c r="F2788" t="s">
        <v>67</v>
      </c>
      <c r="G2788">
        <v>-367.1875</v>
      </c>
      <c r="H2788">
        <v>10.805809999999999</v>
      </c>
      <c r="I2788">
        <v>179.07069999999999</v>
      </c>
      <c r="J2788">
        <v>-476.22949999999997</v>
      </c>
      <c r="K2788">
        <v>1.124482</v>
      </c>
      <c r="L2788">
        <v>214.24940000000001</v>
      </c>
      <c r="M2788">
        <v>0.73850369999999999</v>
      </c>
      <c r="N2788">
        <v>0</v>
      </c>
      <c r="O2788">
        <v>-0.67405919999999997</v>
      </c>
      <c r="P2788">
        <v>0.86644349999999903</v>
      </c>
      <c r="Q2788">
        <v>6.2702720000000003E-2</v>
      </c>
      <c r="R2788">
        <v>-0.49532229999999999</v>
      </c>
      <c r="S2788">
        <v>2.9192499999999999</v>
      </c>
      <c r="T2788">
        <v>0.25866460000000002</v>
      </c>
      <c r="U2788">
        <v>-0.94496150000000001</v>
      </c>
      <c r="V2788">
        <v>-0.22084619999999999</v>
      </c>
      <c r="W2788">
        <v>7.0679640000000002E-2</v>
      </c>
      <c r="X2788">
        <v>0.97274419999999995</v>
      </c>
      <c r="Y2788">
        <v>-0.4106107</v>
      </c>
      <c r="Z2788">
        <v>-7.0047970000000001E-2</v>
      </c>
      <c r="AA2788">
        <v>0.90911609999999998</v>
      </c>
      <c r="AB2788">
        <v>32</v>
      </c>
      <c r="AC2788">
        <v>109.04199999999901</v>
      </c>
      <c r="AD2788">
        <v>9.6813280000000006</v>
      </c>
      <c r="AE2788">
        <v>-35.178699999999999</v>
      </c>
      <c r="AF2788">
        <v>-47.190332631625601</v>
      </c>
      <c r="AG2788">
        <v>9.6813280000000006</v>
      </c>
      <c r="AH2788">
        <v>103.51475071537401</v>
      </c>
      <c r="AI2788">
        <v>85.135839748172799</v>
      </c>
      <c r="AJ2788">
        <v>114.507306479535</v>
      </c>
      <c r="AK2788">
        <v>114.175125230468</v>
      </c>
      <c r="AL2788">
        <v>85.946975452294495</v>
      </c>
      <c r="AM2788">
        <v>102.791269967293</v>
      </c>
      <c r="AN2788">
        <v>0.99999996709930405</v>
      </c>
    </row>
    <row r="2789" spans="1:40" x14ac:dyDescent="0.25">
      <c r="A2789" t="str">
        <f>"20190312151040085"</f>
        <v>20190312151040085</v>
      </c>
      <c r="B2789" t="str">
        <f>"1552374640083871"</f>
        <v>1552374640083871</v>
      </c>
      <c r="C2789" t="s">
        <v>40</v>
      </c>
      <c r="D2789">
        <v>5.2867860000000002</v>
      </c>
      <c r="E2789">
        <v>0.41734110000000002</v>
      </c>
      <c r="F2789" t="s">
        <v>66</v>
      </c>
      <c r="G2789">
        <v>-157.65260000000001</v>
      </c>
      <c r="H2789">
        <v>29.268170000000001</v>
      </c>
      <c r="I2789">
        <v>116.9945</v>
      </c>
      <c r="J2789">
        <v>-475.99110000000002</v>
      </c>
      <c r="K2789">
        <v>1.1246339999999999</v>
      </c>
      <c r="L2789">
        <v>214.05250000000001</v>
      </c>
      <c r="M2789">
        <v>0.74996759999999996</v>
      </c>
      <c r="N2789">
        <v>0</v>
      </c>
      <c r="O2789">
        <v>-0.66127919999999996</v>
      </c>
      <c r="P2789">
        <v>0.87659959999999904</v>
      </c>
      <c r="Q2789">
        <v>6.1866619999999997E-2</v>
      </c>
      <c r="R2789">
        <v>-0.47722710000000002</v>
      </c>
      <c r="S2789">
        <v>2.932007</v>
      </c>
      <c r="T2789">
        <v>0.2590191</v>
      </c>
      <c r="U2789">
        <v>-0.8950806</v>
      </c>
      <c r="V2789">
        <v>-0.2243801</v>
      </c>
      <c r="W2789">
        <v>6.9684079999999995E-2</v>
      </c>
      <c r="X2789">
        <v>0.97200699999999995</v>
      </c>
      <c r="Y2789">
        <v>-0.4102326</v>
      </c>
      <c r="Z2789">
        <v>-6.9325919999999999E-2</v>
      </c>
      <c r="AA2789">
        <v>0.90934210000000004</v>
      </c>
      <c r="AB2789">
        <v>32</v>
      </c>
      <c r="AC2789">
        <v>318.33850000000001</v>
      </c>
      <c r="AD2789">
        <v>28.143535999999902</v>
      </c>
      <c r="AE2789">
        <v>-97.057999999999893</v>
      </c>
      <c r="AF2789">
        <v>-136.760079996184</v>
      </c>
      <c r="AG2789">
        <v>28.143535999999902</v>
      </c>
      <c r="AH2789">
        <v>300.81398077228801</v>
      </c>
      <c r="AI2789">
        <v>85.131912904978407</v>
      </c>
      <c r="AJ2789">
        <v>114.448130269679</v>
      </c>
      <c r="AK2789">
        <v>331.63900423082998</v>
      </c>
      <c r="AL2789">
        <v>86.004157790650694</v>
      </c>
      <c r="AM2789">
        <v>102.99857865151699</v>
      </c>
      <c r="AN2789">
        <v>0.99999995416522702</v>
      </c>
    </row>
    <row r="2790" spans="1:40" x14ac:dyDescent="0.25">
      <c r="A2790" t="str">
        <f>"20190312151040108"</f>
        <v>20190312151040108</v>
      </c>
      <c r="B2790" t="str">
        <f>"1552374640103389"</f>
        <v>1552374640103389</v>
      </c>
      <c r="C2790" t="s">
        <v>40</v>
      </c>
      <c r="D2790">
        <v>5.2931419999999996</v>
      </c>
      <c r="E2790">
        <v>0.41753509999999999</v>
      </c>
      <c r="F2790" t="s">
        <v>67</v>
      </c>
      <c r="G2790">
        <v>-355.19810000000001</v>
      </c>
      <c r="H2790">
        <v>11.887090000000001</v>
      </c>
      <c r="I2790">
        <v>179.09870000000001</v>
      </c>
      <c r="J2790">
        <v>-475.7534</v>
      </c>
      <c r="K2790">
        <v>1.12477</v>
      </c>
      <c r="L2790">
        <v>213.8629</v>
      </c>
      <c r="M2790">
        <v>0.76119740000000002</v>
      </c>
      <c r="N2790">
        <v>0</v>
      </c>
      <c r="O2790">
        <v>-0.64831939999999999</v>
      </c>
      <c r="P2790">
        <v>0.8853548</v>
      </c>
      <c r="Q2790">
        <v>5.8928059999999997E-2</v>
      </c>
      <c r="R2790">
        <v>-0.46116620000000003</v>
      </c>
      <c r="S2790">
        <v>2.9406129999999999</v>
      </c>
      <c r="T2790">
        <v>0.26200459999999998</v>
      </c>
      <c r="U2790">
        <v>-0.85092159999999994</v>
      </c>
      <c r="V2790">
        <v>-0.2254864</v>
      </c>
      <c r="W2790">
        <v>6.6681299999999999E-2</v>
      </c>
      <c r="X2790">
        <v>0.97196170000000004</v>
      </c>
      <c r="Y2790">
        <v>-0.407858</v>
      </c>
      <c r="Z2790">
        <v>-6.9232959999999996E-2</v>
      </c>
      <c r="AA2790">
        <v>0.91041680000000003</v>
      </c>
      <c r="AB2790">
        <v>32</v>
      </c>
      <c r="AC2790">
        <v>120.5553</v>
      </c>
      <c r="AD2790">
        <v>10.762320000000001</v>
      </c>
      <c r="AE2790">
        <v>-34.764199999999903</v>
      </c>
      <c r="AF2790">
        <v>-51.325015655257303</v>
      </c>
      <c r="AG2790">
        <v>10.762320000000001</v>
      </c>
      <c r="AH2790">
        <v>113.484578334869</v>
      </c>
      <c r="AI2790">
        <v>85.061408093181598</v>
      </c>
      <c r="AJ2790">
        <v>114.335538207007</v>
      </c>
      <c r="AK2790">
        <v>125.015336193756</v>
      </c>
      <c r="AL2790">
        <v>86.176606084899404</v>
      </c>
      <c r="AM2790">
        <v>103.06106361798599</v>
      </c>
      <c r="AN2790">
        <v>1.00000002931076</v>
      </c>
    </row>
    <row r="2791" spans="1:40" x14ac:dyDescent="0.25">
      <c r="A2791" t="str">
        <f>"20190312151040130"</f>
        <v>20190312151040130</v>
      </c>
      <c r="B2791" t="str">
        <f>"1552374640123885"</f>
        <v>1552374640123885</v>
      </c>
      <c r="C2791" t="s">
        <v>40</v>
      </c>
      <c r="D2791">
        <v>5.1922329999999999</v>
      </c>
      <c r="E2791">
        <v>0.4395752</v>
      </c>
      <c r="F2791" t="s">
        <v>66</v>
      </c>
      <c r="G2791">
        <v>-121.4823</v>
      </c>
      <c r="H2791">
        <v>31.920819999999999</v>
      </c>
      <c r="I2791">
        <v>118.111</v>
      </c>
      <c r="J2791">
        <v>-475.50119999999998</v>
      </c>
      <c r="K2791">
        <v>1.1249290000000001</v>
      </c>
      <c r="L2791">
        <v>213.66909999999999</v>
      </c>
      <c r="M2791">
        <v>0.77287569999999906</v>
      </c>
      <c r="N2791">
        <v>0</v>
      </c>
      <c r="O2791">
        <v>-0.63435019999999998</v>
      </c>
      <c r="P2791">
        <v>0.89420429999999995</v>
      </c>
      <c r="Q2791">
        <v>5.3494060000000003E-2</v>
      </c>
      <c r="R2791">
        <v>-0.4444515</v>
      </c>
      <c r="S2791">
        <v>2.955292</v>
      </c>
      <c r="T2791">
        <v>0.2568974</v>
      </c>
      <c r="U2791">
        <v>-0.79875180000000001</v>
      </c>
      <c r="V2791">
        <v>-0.22610069999999999</v>
      </c>
      <c r="W2791">
        <v>6.120271E-2</v>
      </c>
      <c r="X2791">
        <v>0.97217940000000003</v>
      </c>
      <c r="Y2791">
        <v>-0.4075397</v>
      </c>
      <c r="Z2791">
        <v>-6.6916660000000003E-2</v>
      </c>
      <c r="AA2791">
        <v>0.9107324</v>
      </c>
      <c r="AB2791">
        <v>32</v>
      </c>
      <c r="AC2791">
        <v>354.01889999999997</v>
      </c>
      <c r="AD2791">
        <v>30.795890999999902</v>
      </c>
      <c r="AE2791">
        <v>-95.558099999999897</v>
      </c>
      <c r="AF2791">
        <v>-149.681505024323</v>
      </c>
      <c r="AG2791">
        <v>30.795890999999902</v>
      </c>
      <c r="AH2791">
        <v>331.932652619061</v>
      </c>
      <c r="AI2791">
        <v>85.1656533514318</v>
      </c>
      <c r="AJ2791">
        <v>114.272488488249</v>
      </c>
      <c r="AK2791">
        <v>365.42061480375799</v>
      </c>
      <c r="AL2791">
        <v>86.491150282098303</v>
      </c>
      <c r="AM2791">
        <v>103.09259013598501</v>
      </c>
      <c r="AN2791">
        <v>1.0000000420180899</v>
      </c>
    </row>
    <row r="2792" spans="1:40" x14ac:dyDescent="0.25">
      <c r="A2792" t="str">
        <f>"20190312151040153"</f>
        <v>20190312151040153</v>
      </c>
      <c r="B2792" t="str">
        <f>"1552374640143406"</f>
        <v>1552374640143406</v>
      </c>
      <c r="C2792" t="s">
        <v>40</v>
      </c>
      <c r="D2792">
        <v>5.3157610000000002</v>
      </c>
      <c r="E2792">
        <v>0.44113249999999998</v>
      </c>
      <c r="F2792" t="s">
        <v>66</v>
      </c>
      <c r="G2792">
        <v>-159.423</v>
      </c>
      <c r="H2792">
        <v>30.26465</v>
      </c>
      <c r="I2792">
        <v>115.2216</v>
      </c>
      <c r="J2792">
        <v>-475.24650000000003</v>
      </c>
      <c r="K2792">
        <v>1.1250929999999999</v>
      </c>
      <c r="L2792">
        <v>213.48079999999999</v>
      </c>
      <c r="M2792">
        <v>0.78443369999999901</v>
      </c>
      <c r="N2792">
        <v>0</v>
      </c>
      <c r="O2792">
        <v>-0.61999899999999997</v>
      </c>
      <c r="P2792">
        <v>0.90260949999999995</v>
      </c>
      <c r="Q2792">
        <v>5.3195899999999997E-2</v>
      </c>
      <c r="R2792">
        <v>-0.42716090000000001</v>
      </c>
      <c r="S2792">
        <v>2.8913570000000002</v>
      </c>
      <c r="T2792">
        <v>0.26655859999999998</v>
      </c>
      <c r="U2792">
        <v>-0.90055849999999904</v>
      </c>
      <c r="V2792">
        <v>-0.22692229999999999</v>
      </c>
      <c r="W2792">
        <v>6.0851460000000003E-2</v>
      </c>
      <c r="X2792">
        <v>0.97201000000000004</v>
      </c>
      <c r="Y2792">
        <v>-0.35540749999999999</v>
      </c>
      <c r="Z2792">
        <v>-6.71075E-2</v>
      </c>
      <c r="AA2792">
        <v>0.9322994</v>
      </c>
      <c r="AB2792">
        <v>32</v>
      </c>
      <c r="AC2792">
        <v>315.82350000000002</v>
      </c>
      <c r="AD2792">
        <v>29.139557</v>
      </c>
      <c r="AE2792">
        <v>-98.259200000000007</v>
      </c>
      <c r="AF2792">
        <v>-117.833585250795</v>
      </c>
      <c r="AG2792">
        <v>29.139557</v>
      </c>
      <c r="AH2792">
        <v>306.32652669124099</v>
      </c>
      <c r="AI2792">
        <v>84.926370292787098</v>
      </c>
      <c r="AJ2792">
        <v>111.040067542624</v>
      </c>
      <c r="AK2792">
        <v>329.499330120612</v>
      </c>
      <c r="AL2792">
        <v>86.511312981394298</v>
      </c>
      <c r="AM2792">
        <v>103.140728512945</v>
      </c>
      <c r="AN2792">
        <v>1.0000000352607099</v>
      </c>
    </row>
    <row r="2793" spans="1:40" x14ac:dyDescent="0.25">
      <c r="A2793" t="str">
        <f>"20190312151040175"</f>
        <v>20190312151040175</v>
      </c>
      <c r="B2793" t="str">
        <f>"1552374640163902"</f>
        <v>1552374640163902</v>
      </c>
      <c r="C2793" t="s">
        <v>40</v>
      </c>
      <c r="D2793">
        <v>5.3154370000000002</v>
      </c>
      <c r="E2793">
        <v>0.44272220000000001</v>
      </c>
      <c r="F2793" t="s">
        <v>66</v>
      </c>
      <c r="G2793">
        <v>-151.11369999999999</v>
      </c>
      <c r="H2793">
        <v>30.613230000000001</v>
      </c>
      <c r="I2793">
        <v>117.9102</v>
      </c>
      <c r="J2793">
        <v>-475.00020000000001</v>
      </c>
      <c r="K2793">
        <v>1.125259</v>
      </c>
      <c r="L2793">
        <v>213.3057</v>
      </c>
      <c r="M2793">
        <v>0.79537419999999903</v>
      </c>
      <c r="N2793">
        <v>0</v>
      </c>
      <c r="O2793">
        <v>-0.60589799999999905</v>
      </c>
      <c r="P2793">
        <v>0.91012499999999996</v>
      </c>
      <c r="Q2793">
        <v>5.6657199999999998E-2</v>
      </c>
      <c r="R2793">
        <v>-0.41044190000000003</v>
      </c>
      <c r="S2793">
        <v>2.903076</v>
      </c>
      <c r="T2793">
        <v>0.26410850000000002</v>
      </c>
      <c r="U2793">
        <v>-0.85597230000000002</v>
      </c>
      <c r="V2793">
        <v>-0.22752600000000001</v>
      </c>
      <c r="W2793">
        <v>6.4268919999999993E-2</v>
      </c>
      <c r="X2793">
        <v>0.97164879999999998</v>
      </c>
      <c r="Y2793">
        <v>-0.35303259999999997</v>
      </c>
      <c r="Z2793">
        <v>-6.5389559999999999E-2</v>
      </c>
      <c r="AA2793">
        <v>0.93332320000000002</v>
      </c>
      <c r="AB2793">
        <v>32</v>
      </c>
      <c r="AC2793">
        <v>323.88650000000001</v>
      </c>
      <c r="AD2793">
        <v>29.487971000000002</v>
      </c>
      <c r="AE2793">
        <v>-95.395499999999998</v>
      </c>
      <c r="AF2793">
        <v>-119.47190956711199</v>
      </c>
      <c r="AG2793">
        <v>29.487971000000002</v>
      </c>
      <c r="AH2793">
        <v>313.06524036354102</v>
      </c>
      <c r="AI2793">
        <v>84.9708748498457</v>
      </c>
      <c r="AJ2793">
        <v>110.88784704336599</v>
      </c>
      <c r="AK2793">
        <v>336.38210762939002</v>
      </c>
      <c r="AL2793">
        <v>86.315122363539601</v>
      </c>
      <c r="AM2793">
        <v>103.179196697747</v>
      </c>
      <c r="AN2793">
        <v>0.99999998264770296</v>
      </c>
    </row>
    <row r="2794" spans="1:40" x14ac:dyDescent="0.25">
      <c r="A2794" t="str">
        <f>"20190312151040199"</f>
        <v>20190312151040199</v>
      </c>
      <c r="B2794" t="str">
        <f>"1552374640193183"</f>
        <v>1552374640193183</v>
      </c>
      <c r="C2794" t="s">
        <v>40</v>
      </c>
      <c r="D2794">
        <v>5.3736730000000001</v>
      </c>
      <c r="E2794">
        <v>0.4445345</v>
      </c>
      <c r="F2794" t="s">
        <v>66</v>
      </c>
      <c r="G2794">
        <v>-133.6045</v>
      </c>
      <c r="H2794">
        <v>33.691299999999998</v>
      </c>
      <c r="I2794">
        <v>117.91119999999999</v>
      </c>
      <c r="J2794">
        <v>-474.74619999999999</v>
      </c>
      <c r="K2794">
        <v>1.1254169999999999</v>
      </c>
      <c r="L2794">
        <v>213.13200000000001</v>
      </c>
      <c r="M2794">
        <v>0.80642139999999995</v>
      </c>
      <c r="N2794">
        <v>0</v>
      </c>
      <c r="O2794">
        <v>-0.59111269999999905</v>
      </c>
      <c r="P2794">
        <v>0.91746700000000003</v>
      </c>
      <c r="Q2794">
        <v>5.867555E-2</v>
      </c>
      <c r="R2794">
        <v>-0.39346039999999999</v>
      </c>
      <c r="S2794">
        <v>2.9120180000000002</v>
      </c>
      <c r="T2794">
        <v>0.27777990000000002</v>
      </c>
      <c r="U2794">
        <v>-0.81369019999999903</v>
      </c>
      <c r="V2794">
        <v>-0.22767370000000001</v>
      </c>
      <c r="W2794">
        <v>6.6263089999999997E-2</v>
      </c>
      <c r="X2794">
        <v>0.97148029999999996</v>
      </c>
      <c r="Y2794">
        <v>-0.3487885</v>
      </c>
      <c r="Z2794">
        <v>-6.7486199999999996E-2</v>
      </c>
      <c r="AA2794">
        <v>0.93476859999999995</v>
      </c>
      <c r="AB2794">
        <v>32</v>
      </c>
      <c r="AC2794">
        <v>341.14170000000001</v>
      </c>
      <c r="AD2794">
        <v>32.565882999999999</v>
      </c>
      <c r="AE2794">
        <v>-95.220799999999997</v>
      </c>
      <c r="AF2794">
        <v>-123.835050815937</v>
      </c>
      <c r="AG2794">
        <v>32.565882999999999</v>
      </c>
      <c r="AH2794">
        <v>328.656454297533</v>
      </c>
      <c r="AI2794">
        <v>84.702444119956795</v>
      </c>
      <c r="AJ2794">
        <v>110.64599676007499</v>
      </c>
      <c r="AK2794">
        <v>352.719040452287</v>
      </c>
      <c r="AL2794">
        <v>86.200620914736106</v>
      </c>
      <c r="AM2794">
        <v>103.189660555674</v>
      </c>
      <c r="AN2794">
        <v>1.0000000420280599</v>
      </c>
    </row>
    <row r="2795" spans="1:40" x14ac:dyDescent="0.25">
      <c r="A2795" t="str">
        <f>"20190312151040222"</f>
        <v>20190312151040222</v>
      </c>
      <c r="B2795" t="str">
        <f>"1552374640213679"</f>
        <v>1552374640213679</v>
      </c>
      <c r="C2795" t="s">
        <v>40</v>
      </c>
      <c r="D2795">
        <v>5.3756700000000004</v>
      </c>
      <c r="E2795">
        <v>0.45421440000000002</v>
      </c>
      <c r="F2795" t="s">
        <v>68</v>
      </c>
      <c r="G2795">
        <v>-101.58759999999999</v>
      </c>
      <c r="H2795">
        <v>37.503419999999998</v>
      </c>
      <c r="I2795">
        <v>114.41330000000001</v>
      </c>
      <c r="J2795">
        <v>-474.47309999999999</v>
      </c>
      <c r="K2795">
        <v>1.125591</v>
      </c>
      <c r="L2795">
        <v>212.9539</v>
      </c>
      <c r="M2795">
        <v>0.81801689999999905</v>
      </c>
      <c r="N2795">
        <v>0</v>
      </c>
      <c r="O2795">
        <v>-0.57495699999999905</v>
      </c>
      <c r="P2795">
        <v>0.92521719999999996</v>
      </c>
      <c r="Q2795">
        <v>5.5523549999999998E-2</v>
      </c>
      <c r="R2795">
        <v>-0.37535390000000002</v>
      </c>
      <c r="S2795">
        <v>2.9203190000000001</v>
      </c>
      <c r="T2795">
        <v>0.28469229999999901</v>
      </c>
      <c r="U2795">
        <v>-0.77256769999999997</v>
      </c>
      <c r="V2795">
        <v>-0.22747110000000001</v>
      </c>
      <c r="W2795">
        <v>6.3106369999999995E-2</v>
      </c>
      <c r="X2795">
        <v>0.97173790000000004</v>
      </c>
      <c r="Y2795">
        <v>-0.343003</v>
      </c>
      <c r="Z2795">
        <v>-6.7655399999999893E-2</v>
      </c>
      <c r="AA2795">
        <v>0.93689469999999997</v>
      </c>
      <c r="AB2795">
        <v>31</v>
      </c>
      <c r="AC2795">
        <v>372.88549999999998</v>
      </c>
      <c r="AD2795">
        <v>36.377828999999998</v>
      </c>
      <c r="AE2795">
        <v>-98.540599999999998</v>
      </c>
      <c r="AF2795">
        <v>-132.62365552060899</v>
      </c>
      <c r="AG2795">
        <v>36.377828999999998</v>
      </c>
      <c r="AH2795">
        <v>358.54291664486198</v>
      </c>
      <c r="AI2795">
        <v>84.564167804669395</v>
      </c>
      <c r="AJ2795">
        <v>110.299241409107</v>
      </c>
      <c r="AK2795">
        <v>384.01224397485902</v>
      </c>
      <c r="AL2795">
        <v>86.381867251071398</v>
      </c>
      <c r="AM2795">
        <v>103.174961627404</v>
      </c>
      <c r="AN2795">
        <v>1.0000000307830901</v>
      </c>
    </row>
    <row r="2796" spans="1:40" x14ac:dyDescent="0.25">
      <c r="A2796" t="str">
        <f>"20190312151040243"</f>
        <v>20190312151040243</v>
      </c>
      <c r="B2796" t="str">
        <f>"1552374640233198"</f>
        <v>1552374640233198</v>
      </c>
      <c r="C2796" t="s">
        <v>40</v>
      </c>
      <c r="D2796">
        <v>5.3622500000000004</v>
      </c>
      <c r="E2796">
        <v>0.45579049999999999</v>
      </c>
      <c r="F2796" t="s">
        <v>66</v>
      </c>
      <c r="G2796">
        <v>-123.4478</v>
      </c>
      <c r="H2796">
        <v>36.891100000000002</v>
      </c>
      <c r="I2796">
        <v>117.9123</v>
      </c>
      <c r="J2796">
        <v>-474.2165</v>
      </c>
      <c r="K2796">
        <v>1.125756</v>
      </c>
      <c r="L2796">
        <v>212.79329999999999</v>
      </c>
      <c r="M2796">
        <v>0.82863449999999905</v>
      </c>
      <c r="N2796">
        <v>0</v>
      </c>
      <c r="O2796">
        <v>-0.55954369999999998</v>
      </c>
      <c r="P2796">
        <v>0.9319828</v>
      </c>
      <c r="Q2796">
        <v>5.4738259999999997E-2</v>
      </c>
      <c r="R2796">
        <v>-0.358346</v>
      </c>
      <c r="S2796">
        <v>2.9055789999999999</v>
      </c>
      <c r="T2796">
        <v>0.29604550000000002</v>
      </c>
      <c r="U2796">
        <v>-0.78669739999999999</v>
      </c>
      <c r="V2796">
        <v>-0.22710179999999999</v>
      </c>
      <c r="W2796">
        <v>6.2329700000000002E-2</v>
      </c>
      <c r="X2796">
        <v>0.97187440000000003</v>
      </c>
      <c r="Y2796">
        <v>-0.319741</v>
      </c>
      <c r="Z2796">
        <v>-6.8226110000000006E-2</v>
      </c>
      <c r="AA2796">
        <v>0.94504540000000004</v>
      </c>
      <c r="AB2796">
        <v>31</v>
      </c>
      <c r="AC2796">
        <v>350.76870000000002</v>
      </c>
      <c r="AD2796">
        <v>35.765343999999999</v>
      </c>
      <c r="AE2796">
        <v>-94.881</v>
      </c>
      <c r="AF2796">
        <v>-116.536015179392</v>
      </c>
      <c r="AG2796">
        <v>35.765343999999999</v>
      </c>
      <c r="AH2796">
        <v>340.49790607963001</v>
      </c>
      <c r="AI2796">
        <v>84.324634042014196</v>
      </c>
      <c r="AJ2796">
        <v>108.893602386178</v>
      </c>
      <c r="AK2796">
        <v>361.660927817676</v>
      </c>
      <c r="AL2796">
        <v>86.426454956616098</v>
      </c>
      <c r="AM2796">
        <v>103.1525330539</v>
      </c>
      <c r="AN2796">
        <v>1.0000000342203399</v>
      </c>
    </row>
    <row r="2797" spans="1:40" x14ac:dyDescent="0.25">
      <c r="A2797" t="str">
        <f>"20190312151040265"</f>
        <v>20190312151040265</v>
      </c>
      <c r="B2797" t="str">
        <f>"1552374640253694"</f>
        <v>1552374640253694</v>
      </c>
      <c r="C2797" t="s">
        <v>40</v>
      </c>
      <c r="D2797">
        <v>3.8969469999999999</v>
      </c>
      <c r="E2797">
        <v>0.46343869999999998</v>
      </c>
      <c r="F2797" t="s">
        <v>67</v>
      </c>
      <c r="G2797">
        <v>-342.93020000000001</v>
      </c>
      <c r="H2797">
        <v>14.224170000000001</v>
      </c>
      <c r="I2797">
        <v>179.24549999999999</v>
      </c>
      <c r="J2797">
        <v>-473.96730000000002</v>
      </c>
      <c r="K2797">
        <v>1.125915</v>
      </c>
      <c r="L2797">
        <v>212.6438</v>
      </c>
      <c r="M2797">
        <v>0.83868529999999997</v>
      </c>
      <c r="N2797">
        <v>0</v>
      </c>
      <c r="O2797">
        <v>-0.54436079999999998</v>
      </c>
      <c r="P2797">
        <v>0.93800640000000002</v>
      </c>
      <c r="Q2797">
        <v>5.7156470000000001E-2</v>
      </c>
      <c r="R2797">
        <v>-0.34187309999999999</v>
      </c>
      <c r="S2797">
        <v>2.9154659999999999</v>
      </c>
      <c r="T2797">
        <v>0.29087649999999998</v>
      </c>
      <c r="U2797">
        <v>-0.74499510000000002</v>
      </c>
      <c r="V2797">
        <v>-0.22656229999999999</v>
      </c>
      <c r="W2797">
        <v>6.4764749999999996E-2</v>
      </c>
      <c r="X2797">
        <v>0.97184099999999995</v>
      </c>
      <c r="Y2797">
        <v>-0.31615979999999999</v>
      </c>
      <c r="Z2797">
        <v>-6.560539E-2</v>
      </c>
      <c r="AA2797">
        <v>0.94643489999999997</v>
      </c>
      <c r="AB2797">
        <v>31</v>
      </c>
      <c r="AC2797">
        <v>131.03710000000001</v>
      </c>
      <c r="AD2797">
        <v>13.098255</v>
      </c>
      <c r="AE2797">
        <v>-33.398299999999999</v>
      </c>
      <c r="AF2797">
        <v>-42.924104337547803</v>
      </c>
      <c r="AG2797">
        <v>13.098255</v>
      </c>
      <c r="AH2797">
        <v>126.906776635794</v>
      </c>
      <c r="AI2797">
        <v>84.415912176879203</v>
      </c>
      <c r="AJ2797">
        <v>108.687251606573</v>
      </c>
      <c r="AK2797">
        <v>134.608220303639</v>
      </c>
      <c r="AL2797">
        <v>86.286653923634404</v>
      </c>
      <c r="AM2797">
        <v>103.122805880982</v>
      </c>
      <c r="AN2797">
        <v>0.99999993895242401</v>
      </c>
    </row>
    <row r="2798" spans="1:40" x14ac:dyDescent="0.25">
      <c r="A2798" t="str">
        <f>"20190312151040286"</f>
        <v>20190312151040286</v>
      </c>
      <c r="B2798" t="str">
        <f>"1552374640283950"</f>
        <v>1552374640283950</v>
      </c>
      <c r="C2798" t="s">
        <v>40</v>
      </c>
      <c r="D2798">
        <v>5.4405469999999996</v>
      </c>
      <c r="E2798">
        <v>0.46542679999999997</v>
      </c>
      <c r="F2798" t="s">
        <v>68</v>
      </c>
      <c r="G2798">
        <v>-101.58750000000001</v>
      </c>
      <c r="H2798">
        <v>37.98809</v>
      </c>
      <c r="I2798">
        <v>116.4684</v>
      </c>
      <c r="J2798">
        <v>-473.71120000000002</v>
      </c>
      <c r="K2798">
        <v>1.126066</v>
      </c>
      <c r="L2798">
        <v>212.4965</v>
      </c>
      <c r="M2798">
        <v>0.84874590000000005</v>
      </c>
      <c r="N2798">
        <v>0</v>
      </c>
      <c r="O2798">
        <v>-0.52853559999999999</v>
      </c>
      <c r="P2798">
        <v>0.9437198</v>
      </c>
      <c r="Q2798">
        <v>5.9975000000000001E-2</v>
      </c>
      <c r="R2798">
        <v>-0.32526339999999998</v>
      </c>
      <c r="S2798">
        <v>2.9071039999999999</v>
      </c>
      <c r="T2798">
        <v>0.28777659999999899</v>
      </c>
      <c r="U2798">
        <v>-0.75082399999999905</v>
      </c>
      <c r="V2798">
        <v>-0.2255318</v>
      </c>
      <c r="W2798">
        <v>6.7622340000000003E-2</v>
      </c>
      <c r="X2798">
        <v>0.97188609999999998</v>
      </c>
      <c r="Y2798">
        <v>-0.29608089999999998</v>
      </c>
      <c r="Z2798">
        <v>-6.2819639999999996E-2</v>
      </c>
      <c r="AA2798">
        <v>0.95309480000000002</v>
      </c>
      <c r="AB2798">
        <v>31</v>
      </c>
      <c r="AC2798">
        <v>372.12369999999999</v>
      </c>
      <c r="AD2798">
        <v>36.862023999999998</v>
      </c>
      <c r="AE2798">
        <v>-96.028099999999995</v>
      </c>
      <c r="AF2798">
        <v>-114.14321322422001</v>
      </c>
      <c r="AG2798">
        <v>36.862023999999998</v>
      </c>
      <c r="AH2798">
        <v>363.301804909282</v>
      </c>
      <c r="AI2798">
        <v>84.471063926609602</v>
      </c>
      <c r="AJ2798">
        <v>107.44182679903</v>
      </c>
      <c r="AK2798">
        <v>382.59075183395203</v>
      </c>
      <c r="AL2798">
        <v>86.122566302562703</v>
      </c>
      <c r="AM2798">
        <v>103.064584498122</v>
      </c>
      <c r="AN2798">
        <v>0.99999998252576205</v>
      </c>
    </row>
    <row r="2799" spans="1:40" x14ac:dyDescent="0.25">
      <c r="A2799" t="str">
        <f>"20190312151040310"</f>
        <v>20190312151040310</v>
      </c>
      <c r="B2799" t="str">
        <f>"1552374640303470"</f>
        <v>1552374640303470</v>
      </c>
      <c r="C2799" t="s">
        <v>40</v>
      </c>
      <c r="D2799">
        <v>5.4462729999999997</v>
      </c>
      <c r="E2799">
        <v>0.46589439999999999</v>
      </c>
      <c r="F2799" t="s">
        <v>68</v>
      </c>
      <c r="G2799">
        <v>-92.198840000000004</v>
      </c>
      <c r="H2799">
        <v>38.831740000000003</v>
      </c>
      <c r="I2799">
        <v>118.9841</v>
      </c>
      <c r="J2799">
        <v>-473.43270000000001</v>
      </c>
      <c r="K2799">
        <v>1.1262209999999999</v>
      </c>
      <c r="L2799">
        <v>212.34370000000001</v>
      </c>
      <c r="M2799">
        <v>0.85936420000000002</v>
      </c>
      <c r="N2799">
        <v>0</v>
      </c>
      <c r="O2799">
        <v>-0.51108690000000001</v>
      </c>
      <c r="P2799">
        <v>0.94983079999999998</v>
      </c>
      <c r="Q2799">
        <v>5.8478620000000002E-2</v>
      </c>
      <c r="R2799">
        <v>-0.30724950000000001</v>
      </c>
      <c r="S2799">
        <v>2.9143680000000001</v>
      </c>
      <c r="T2799">
        <v>0.28803309999999999</v>
      </c>
      <c r="U2799">
        <v>-0.71434019999999898</v>
      </c>
      <c r="V2799">
        <v>-0.2241862</v>
      </c>
      <c r="W2799">
        <v>6.6183619999999999E-2</v>
      </c>
      <c r="X2799">
        <v>0.97229639999999995</v>
      </c>
      <c r="Y2799">
        <v>-0.28846159999999998</v>
      </c>
      <c r="Z2799">
        <v>-6.1064170000000001E-2</v>
      </c>
      <c r="AA2799">
        <v>0.95554229999999996</v>
      </c>
      <c r="AB2799">
        <v>31</v>
      </c>
      <c r="AC2799">
        <v>381.23385999999999</v>
      </c>
      <c r="AD2799">
        <v>37.705519000000002</v>
      </c>
      <c r="AE2799">
        <v>-93.3596</v>
      </c>
      <c r="AF2799">
        <v>-113.581780513666</v>
      </c>
      <c r="AG2799">
        <v>37.705519000000002</v>
      </c>
      <c r="AH2799">
        <v>371.95419042624098</v>
      </c>
      <c r="AI2799">
        <v>84.462374643871698</v>
      </c>
      <c r="AJ2799">
        <v>106.980835511763</v>
      </c>
      <c r="AK2799">
        <v>390.73321691834002</v>
      </c>
      <c r="AL2799">
        <v>86.205184092927993</v>
      </c>
      <c r="AM2799">
        <v>102.983992093566</v>
      </c>
      <c r="AN2799">
        <v>1.00000000663985</v>
      </c>
    </row>
    <row r="2800" spans="1:40" x14ac:dyDescent="0.25">
      <c r="A2800" t="str">
        <f>"20190312151040344"</f>
        <v>20190312151040344</v>
      </c>
      <c r="B2800" t="str">
        <f>"1552374640333317"</f>
        <v>1552374640333317</v>
      </c>
      <c r="C2800" t="s">
        <v>40</v>
      </c>
      <c r="D2800">
        <v>5.4965590000000004</v>
      </c>
      <c r="E2800">
        <v>0.47445140000000002</v>
      </c>
      <c r="F2800" t="s">
        <v>44</v>
      </c>
      <c r="G2800">
        <v>0</v>
      </c>
      <c r="H2800">
        <v>0</v>
      </c>
      <c r="I2800">
        <v>0</v>
      </c>
      <c r="J2800">
        <v>-473.0403</v>
      </c>
      <c r="K2800">
        <v>1.1264299999999901</v>
      </c>
      <c r="L2800">
        <v>212.14089999999999</v>
      </c>
      <c r="M2800">
        <v>0.87375100000000006</v>
      </c>
      <c r="N2800">
        <v>0</v>
      </c>
      <c r="O2800">
        <v>-0.48607810000000001</v>
      </c>
      <c r="P2800">
        <v>0.95818590000000003</v>
      </c>
      <c r="Q2800">
        <v>5.8524369999999999E-2</v>
      </c>
      <c r="R2800">
        <v>-0.28009859999999998</v>
      </c>
      <c r="S2800">
        <v>2.9266359999999998</v>
      </c>
      <c r="T2800">
        <v>0.28515550000000001</v>
      </c>
      <c r="U2800">
        <v>-0.66223140000000003</v>
      </c>
      <c r="V2800">
        <v>-0.22383600000000001</v>
      </c>
      <c r="W2800">
        <v>6.6249749999999996E-2</v>
      </c>
      <c r="X2800">
        <v>0.97237260000000003</v>
      </c>
      <c r="Y2800">
        <v>-0.27809159999999999</v>
      </c>
      <c r="Z2800">
        <v>-5.7832790000000002E-2</v>
      </c>
      <c r="AA2800">
        <v>0.958812</v>
      </c>
      <c r="AB2800">
        <v>31</v>
      </c>
      <c r="AC2800">
        <v>2.9266359999999998</v>
      </c>
      <c r="AD2800">
        <v>0.28515550000000001</v>
      </c>
      <c r="AE2800">
        <v>-0.66223140000000003</v>
      </c>
      <c r="AF2800">
        <v>-0.83651492418852302</v>
      </c>
      <c r="AG2800">
        <v>0.28515550000000001</v>
      </c>
      <c r="AH2800">
        <v>2.8536890138841899</v>
      </c>
      <c r="AI2800">
        <v>84.522638321461798</v>
      </c>
      <c r="AJ2800">
        <v>106.337685359708</v>
      </c>
      <c r="AK2800">
        <v>2.9874088882397198</v>
      </c>
      <c r="AL2800">
        <v>86.201386873099295</v>
      </c>
      <c r="AM2800">
        <v>102.96341397309899</v>
      </c>
      <c r="AN2800">
        <v>1.0000000287509101</v>
      </c>
    </row>
    <row r="2801" spans="1:40" x14ac:dyDescent="0.25">
      <c r="A2801" t="str">
        <f>"20190312151040365"</f>
        <v>20190312151040365</v>
      </c>
      <c r="B2801" t="str">
        <f>"1552374640363573"</f>
        <v>1552374640363573</v>
      </c>
      <c r="C2801" t="s">
        <v>40</v>
      </c>
      <c r="D2801">
        <v>5.0525760000000002</v>
      </c>
      <c r="E2801">
        <v>0.47740500000000002</v>
      </c>
      <c r="F2801" t="s">
        <v>44</v>
      </c>
      <c r="G2801">
        <v>0</v>
      </c>
      <c r="H2801">
        <v>0</v>
      </c>
      <c r="I2801">
        <v>0</v>
      </c>
      <c r="J2801">
        <v>-472.76330000000002</v>
      </c>
      <c r="K2801">
        <v>1.126571</v>
      </c>
      <c r="L2801">
        <v>212.0067</v>
      </c>
      <c r="M2801">
        <v>0.88349369999999905</v>
      </c>
      <c r="N2801">
        <v>0</v>
      </c>
      <c r="O2801">
        <v>-0.46813320000000003</v>
      </c>
      <c r="P2801">
        <v>0.96318040000000005</v>
      </c>
      <c r="Q2801">
        <v>6.0897069999999998E-2</v>
      </c>
      <c r="R2801">
        <v>-0.26186910000000002</v>
      </c>
      <c r="S2801">
        <v>2.9270939999999999</v>
      </c>
      <c r="T2801">
        <v>0.2532914</v>
      </c>
      <c r="U2801">
        <v>-0.64433289999999999</v>
      </c>
      <c r="V2801">
        <v>-0.22247710000000001</v>
      </c>
      <c r="W2801">
        <v>6.8689879999999995E-2</v>
      </c>
      <c r="X2801">
        <v>0.97251509999999997</v>
      </c>
      <c r="Y2801">
        <v>-0.26484649999999998</v>
      </c>
      <c r="Z2801">
        <v>-4.9537680000000001E-2</v>
      </c>
      <c r="AA2801">
        <v>0.96301729999999997</v>
      </c>
      <c r="AB2801">
        <v>31</v>
      </c>
      <c r="AC2801">
        <v>2.9270939999999999</v>
      </c>
      <c r="AD2801">
        <v>0.2532914</v>
      </c>
      <c r="AE2801">
        <v>-0.64433289999999999</v>
      </c>
      <c r="AF2801">
        <v>-0.79544106248702495</v>
      </c>
      <c r="AG2801">
        <v>0.2532914</v>
      </c>
      <c r="AH2801">
        <v>2.8676412356365302</v>
      </c>
      <c r="AI2801">
        <v>85.135070498884502</v>
      </c>
      <c r="AJ2801">
        <v>105.50322383342299</v>
      </c>
      <c r="AK2801">
        <v>2.9866786357972099</v>
      </c>
      <c r="AL2801">
        <v>86.061258228659597</v>
      </c>
      <c r="AM2801">
        <v>102.885523533827</v>
      </c>
      <c r="AN2801">
        <v>0.99999998968341697</v>
      </c>
    </row>
    <row r="2802" spans="1:40" x14ac:dyDescent="0.25">
      <c r="A2802" t="str">
        <f>"20190312151040387"</f>
        <v>20190312151040387</v>
      </c>
      <c r="B2802" t="str">
        <f>"1552374640383093"</f>
        <v>1552374640383093</v>
      </c>
      <c r="C2802" t="s">
        <v>40</v>
      </c>
      <c r="D2802">
        <v>5.4833420000000004</v>
      </c>
      <c r="E2802">
        <v>0.48568410000000001</v>
      </c>
      <c r="F2802" t="s">
        <v>44</v>
      </c>
      <c r="G2802">
        <v>0</v>
      </c>
      <c r="H2802">
        <v>0</v>
      </c>
      <c r="I2802">
        <v>0</v>
      </c>
      <c r="J2802">
        <v>-472.49149999999997</v>
      </c>
      <c r="K2802">
        <v>1.1266910000000001</v>
      </c>
      <c r="L2802">
        <v>211.8817</v>
      </c>
      <c r="M2802">
        <v>0.89270689999999997</v>
      </c>
      <c r="N2802">
        <v>0</v>
      </c>
      <c r="O2802">
        <v>-0.4503124</v>
      </c>
      <c r="P2802">
        <v>0.96802869999999996</v>
      </c>
      <c r="Q2802">
        <v>6.1749419999999999E-2</v>
      </c>
      <c r="R2802">
        <v>-0.24312030000000001</v>
      </c>
      <c r="S2802">
        <v>2.931702</v>
      </c>
      <c r="T2802">
        <v>0.2643566</v>
      </c>
      <c r="U2802">
        <v>-0.61155700000000002</v>
      </c>
      <c r="V2802">
        <v>-0.2218791</v>
      </c>
      <c r="W2802">
        <v>6.9581329999999997E-2</v>
      </c>
      <c r="X2802">
        <v>0.97258840000000002</v>
      </c>
      <c r="Y2802">
        <v>-0.25597959999999997</v>
      </c>
      <c r="Z2802">
        <v>-4.9906430000000002E-2</v>
      </c>
      <c r="AA2802">
        <v>0.9653931</v>
      </c>
      <c r="AB2802">
        <v>31</v>
      </c>
      <c r="AC2802">
        <v>2.931702</v>
      </c>
      <c r="AD2802">
        <v>0.2643566</v>
      </c>
      <c r="AE2802">
        <v>-0.61155700000000002</v>
      </c>
      <c r="AF2802">
        <v>-0.76836708980203905</v>
      </c>
      <c r="AG2802">
        <v>0.2643566</v>
      </c>
      <c r="AH2802">
        <v>2.87059898924739</v>
      </c>
      <c r="AI2802">
        <v>84.916382747882096</v>
      </c>
      <c r="AJ2802">
        <v>104.984959587272</v>
      </c>
      <c r="AK2802">
        <v>2.9833891723545798</v>
      </c>
      <c r="AL2802">
        <v>86.010059624554501</v>
      </c>
      <c r="AM2802">
        <v>102.85110348806499</v>
      </c>
      <c r="AN2802">
        <v>1.0000000461579599</v>
      </c>
    </row>
    <row r="2803" spans="1:40" x14ac:dyDescent="0.25">
      <c r="A2803" t="str">
        <f>"20190312151040412"</f>
        <v>20190312151040412</v>
      </c>
      <c r="B2803" t="str">
        <f>"1552374640403589"</f>
        <v>1552374640403589</v>
      </c>
      <c r="C2803" t="s">
        <v>40</v>
      </c>
      <c r="D2803">
        <v>5.4780470000000001</v>
      </c>
      <c r="E2803">
        <v>0.48709390000000002</v>
      </c>
      <c r="F2803" t="s">
        <v>44</v>
      </c>
      <c r="G2803">
        <v>0</v>
      </c>
      <c r="H2803">
        <v>0</v>
      </c>
      <c r="I2803">
        <v>0</v>
      </c>
      <c r="J2803">
        <v>-472.1979</v>
      </c>
      <c r="K2803">
        <v>1.1268129999999901</v>
      </c>
      <c r="L2803">
        <v>211.75399999999999</v>
      </c>
      <c r="M2803">
        <v>0.9022696</v>
      </c>
      <c r="N2803">
        <v>0</v>
      </c>
      <c r="O2803">
        <v>-0.43082880000000001</v>
      </c>
      <c r="P2803">
        <v>0.97320289999999998</v>
      </c>
      <c r="Q2803">
        <v>5.9465369999999997E-2</v>
      </c>
      <c r="R2803">
        <v>-0.2221254</v>
      </c>
      <c r="S2803">
        <v>2.9256899999999999</v>
      </c>
      <c r="T2803">
        <v>0.28266019999999997</v>
      </c>
      <c r="U2803">
        <v>-0.61857600000000001</v>
      </c>
      <c r="V2803">
        <v>-0.22179860000000001</v>
      </c>
      <c r="W2803">
        <v>6.7315970000000003E-2</v>
      </c>
      <c r="X2803">
        <v>0.97276620000000003</v>
      </c>
      <c r="Y2803">
        <v>-0.23211290000000001</v>
      </c>
      <c r="Z2803">
        <v>-5.064155E-2</v>
      </c>
      <c r="AA2803">
        <v>0.9713697</v>
      </c>
      <c r="AB2803">
        <v>31</v>
      </c>
      <c r="AC2803">
        <v>2.9256899999999999</v>
      </c>
      <c r="AD2803">
        <v>0.28266019999999997</v>
      </c>
      <c r="AE2803">
        <v>-0.61857600000000001</v>
      </c>
      <c r="AF2803">
        <v>-0.69623257060492305</v>
      </c>
      <c r="AG2803">
        <v>0.28266019999999997</v>
      </c>
      <c r="AH2803">
        <v>2.8809514411517099</v>
      </c>
      <c r="AI2803">
        <v>84.552286078529903</v>
      </c>
      <c r="AJ2803">
        <v>103.58604079558199</v>
      </c>
      <c r="AK2803">
        <v>2.9773340066759899</v>
      </c>
      <c r="AL2803">
        <v>86.140160436356894</v>
      </c>
      <c r="AM2803">
        <v>102.844325519891</v>
      </c>
      <c r="AN2803">
        <v>1.0000000693207101</v>
      </c>
    </row>
    <row r="2804" spans="1:40" x14ac:dyDescent="0.25">
      <c r="A2804" t="str">
        <f>"20190312151040433"</f>
        <v>20190312151040433</v>
      </c>
      <c r="B2804" t="str">
        <f>"1552374640423109"</f>
        <v>1552374640423109</v>
      </c>
      <c r="C2804" t="s">
        <v>40</v>
      </c>
      <c r="D2804">
        <v>5.4992729999999996</v>
      </c>
      <c r="E2804">
        <v>0.48855730000000003</v>
      </c>
      <c r="F2804" t="s">
        <v>44</v>
      </c>
      <c r="G2804">
        <v>0</v>
      </c>
      <c r="H2804">
        <v>0</v>
      </c>
      <c r="I2804">
        <v>0</v>
      </c>
      <c r="J2804">
        <v>-471.92700000000002</v>
      </c>
      <c r="K2804">
        <v>1.1269260000000001</v>
      </c>
      <c r="L2804">
        <v>211.643</v>
      </c>
      <c r="M2804">
        <v>0.91072819999999999</v>
      </c>
      <c r="N2804">
        <v>0</v>
      </c>
      <c r="O2804">
        <v>-0.41264469999999998</v>
      </c>
      <c r="P2804">
        <v>0.97753800000000002</v>
      </c>
      <c r="Q2804">
        <v>5.8070839999999999E-2</v>
      </c>
      <c r="R2804">
        <v>-0.20260130000000001</v>
      </c>
      <c r="S2804">
        <v>2.936401</v>
      </c>
      <c r="T2804">
        <v>0.27823979999999998</v>
      </c>
      <c r="U2804">
        <v>-0.5658569</v>
      </c>
      <c r="V2804">
        <v>-0.22175729999999999</v>
      </c>
      <c r="W2804">
        <v>6.5938579999999997E-2</v>
      </c>
      <c r="X2804">
        <v>0.97286989999999995</v>
      </c>
      <c r="Y2804">
        <v>-0.23025329999999999</v>
      </c>
      <c r="Z2804">
        <v>-4.8176179999999999E-2</v>
      </c>
      <c r="AA2804">
        <v>0.97193750000000001</v>
      </c>
      <c r="AB2804">
        <v>31</v>
      </c>
      <c r="AC2804">
        <v>2.936401</v>
      </c>
      <c r="AD2804">
        <v>0.27823979999999998</v>
      </c>
      <c r="AE2804">
        <v>-0.5658569</v>
      </c>
      <c r="AF2804">
        <v>-0.69047491449254395</v>
      </c>
      <c r="AG2804">
        <v>0.27823979999999998</v>
      </c>
      <c r="AH2804">
        <v>2.8832346686915802</v>
      </c>
      <c r="AI2804">
        <v>84.638550162177097</v>
      </c>
      <c r="AJ2804">
        <v>103.467518892909</v>
      </c>
      <c r="AK2804">
        <v>2.97778695486977</v>
      </c>
      <c r="AL2804">
        <v>86.219254634794694</v>
      </c>
      <c r="AM2804">
        <v>102.840689673895</v>
      </c>
      <c r="AN2804">
        <v>1.00000001938085</v>
      </c>
    </row>
    <row r="2805" spans="1:40" x14ac:dyDescent="0.25">
      <c r="A2805" t="str">
        <f>"20190312151040456"</f>
        <v>20190312151040456</v>
      </c>
      <c r="B2805" t="str">
        <f>"1552374640453365"</f>
        <v>1552374640453365</v>
      </c>
      <c r="C2805" t="s">
        <v>40</v>
      </c>
      <c r="D2805">
        <v>5.429691</v>
      </c>
      <c r="E2805">
        <v>0.49052079999999998</v>
      </c>
      <c r="F2805" t="s">
        <v>67</v>
      </c>
      <c r="G2805">
        <v>-257.03440000000001</v>
      </c>
      <c r="H2805">
        <v>22.492380000000001</v>
      </c>
      <c r="I2805">
        <v>173.80019999999999</v>
      </c>
      <c r="J2805">
        <v>-471.642</v>
      </c>
      <c r="K2805">
        <v>1.1270420000000001</v>
      </c>
      <c r="L2805">
        <v>211.53290000000001</v>
      </c>
      <c r="M2805">
        <v>0.91924139999999999</v>
      </c>
      <c r="N2805">
        <v>0</v>
      </c>
      <c r="O2805">
        <v>-0.39331149999999998</v>
      </c>
      <c r="P2805">
        <v>0.98116840000000005</v>
      </c>
      <c r="Q2805">
        <v>6.0273019999999997E-2</v>
      </c>
      <c r="R2805">
        <v>-0.1835098</v>
      </c>
      <c r="S2805">
        <v>2.9441220000000001</v>
      </c>
      <c r="T2805">
        <v>0.29271659999999999</v>
      </c>
      <c r="U2805">
        <v>-0.51846309999999995</v>
      </c>
      <c r="V2805">
        <v>-0.22022330000000001</v>
      </c>
      <c r="W2805">
        <v>6.8226529999999994E-2</v>
      </c>
      <c r="X2805">
        <v>0.97306049999999999</v>
      </c>
      <c r="Y2805">
        <v>-0.22513</v>
      </c>
      <c r="Z2805">
        <v>-4.865771E-2</v>
      </c>
      <c r="AA2805">
        <v>0.97311300000000001</v>
      </c>
      <c r="AB2805">
        <v>31</v>
      </c>
      <c r="AC2805">
        <v>214.60759999999999</v>
      </c>
      <c r="AD2805">
        <v>21.365338000000001</v>
      </c>
      <c r="AE2805">
        <v>-37.732700000000001</v>
      </c>
      <c r="AF2805">
        <v>-49.256118072951203</v>
      </c>
      <c r="AG2805">
        <v>21.365338000000001</v>
      </c>
      <c r="AH2805">
        <v>210.12866815686999</v>
      </c>
      <c r="AI2805">
        <v>84.346479891344302</v>
      </c>
      <c r="AJ2805">
        <v>103.192474659886</v>
      </c>
      <c r="AK2805">
        <v>216.879459647175</v>
      </c>
      <c r="AL2805">
        <v>86.087868497507898</v>
      </c>
      <c r="AM2805">
        <v>102.752363112178</v>
      </c>
      <c r="AN2805">
        <v>0.99999994895948896</v>
      </c>
    </row>
    <row r="2806" spans="1:40" x14ac:dyDescent="0.25">
      <c r="A2806" t="str">
        <f>"20190312151040477"</f>
        <v>20190312151040477</v>
      </c>
      <c r="B2806" t="str">
        <f>"1552374640473861"</f>
        <v>1552374640473861</v>
      </c>
      <c r="C2806" t="s">
        <v>40</v>
      </c>
      <c r="D2806">
        <v>5.5621199999999904</v>
      </c>
      <c r="E2806">
        <v>0.49166530000000003</v>
      </c>
      <c r="F2806" t="s">
        <v>67</v>
      </c>
      <c r="G2806">
        <v>-262.7371</v>
      </c>
      <c r="H2806">
        <v>22.671700000000001</v>
      </c>
      <c r="I2806">
        <v>177.74100000000001</v>
      </c>
      <c r="J2806">
        <v>-471.3759</v>
      </c>
      <c r="K2806">
        <v>1.127149</v>
      </c>
      <c r="L2806">
        <v>211.4365</v>
      </c>
      <c r="M2806">
        <v>0.92683130000000002</v>
      </c>
      <c r="N2806">
        <v>0</v>
      </c>
      <c r="O2806">
        <v>-0.3750732</v>
      </c>
      <c r="P2806">
        <v>0.98406329999999997</v>
      </c>
      <c r="Q2806">
        <v>6.6308980000000003E-2</v>
      </c>
      <c r="R2806">
        <v>-0.1649928</v>
      </c>
      <c r="S2806">
        <v>2.949646</v>
      </c>
      <c r="T2806">
        <v>0.30420170000000002</v>
      </c>
      <c r="U2806">
        <v>-0.47712710000000003</v>
      </c>
      <c r="V2806">
        <v>-0.21945100000000001</v>
      </c>
      <c r="W2806">
        <v>7.4314989999999997E-2</v>
      </c>
      <c r="X2806">
        <v>0.97278900000000001</v>
      </c>
      <c r="Y2806">
        <v>-0.21934219999999999</v>
      </c>
      <c r="Z2806">
        <v>-4.8535059999999998E-2</v>
      </c>
      <c r="AA2806">
        <v>0.97443999999999997</v>
      </c>
      <c r="AB2806">
        <v>31</v>
      </c>
      <c r="AC2806">
        <v>208.6388</v>
      </c>
      <c r="AD2806">
        <v>21.544550999999998</v>
      </c>
      <c r="AE2806">
        <v>-33.695500000000003</v>
      </c>
      <c r="AF2806">
        <v>-46.548191447040502</v>
      </c>
      <c r="AG2806">
        <v>21.544550999999998</v>
      </c>
      <c r="AH2806">
        <v>203.923365906339</v>
      </c>
      <c r="AI2806">
        <v>84.119220218443502</v>
      </c>
      <c r="AJ2806">
        <v>102.85821478534</v>
      </c>
      <c r="AK2806">
        <v>210.275155373507</v>
      </c>
      <c r="AL2806">
        <v>85.738135498545304</v>
      </c>
      <c r="AM2806">
        <v>102.71252867233299</v>
      </c>
      <c r="AN2806">
        <v>0.99999994883034804</v>
      </c>
    </row>
    <row r="2807" spans="1:40" x14ac:dyDescent="0.25">
      <c r="A2807" t="str">
        <f>"20190312151040500"</f>
        <v>20190312151040500</v>
      </c>
      <c r="B2807" t="str">
        <f>"1552374640493381"</f>
        <v>1552374640493381</v>
      </c>
      <c r="C2807" t="s">
        <v>40</v>
      </c>
      <c r="D2807">
        <v>5.5732249999999999</v>
      </c>
      <c r="E2807">
        <v>0.47963889999999998</v>
      </c>
      <c r="F2807" t="s">
        <v>67</v>
      </c>
      <c r="G2807">
        <v>-260.85629999999998</v>
      </c>
      <c r="H2807">
        <v>23.9832</v>
      </c>
      <c r="I2807">
        <v>180.80160000000001</v>
      </c>
      <c r="J2807">
        <v>-471.10019999999997</v>
      </c>
      <c r="K2807">
        <v>1.127238</v>
      </c>
      <c r="L2807">
        <v>211.3433</v>
      </c>
      <c r="M2807">
        <v>0.93431869999999995</v>
      </c>
      <c r="N2807">
        <v>0</v>
      </c>
      <c r="O2807">
        <v>-0.35600920000000003</v>
      </c>
      <c r="P2807">
        <v>0.98710439999999999</v>
      </c>
      <c r="Q2807">
        <v>6.6486899999999904E-2</v>
      </c>
      <c r="R2807">
        <v>-0.14561660000000001</v>
      </c>
      <c r="S2807">
        <v>2.9548649999999999</v>
      </c>
      <c r="T2807">
        <v>0.32080920000000002</v>
      </c>
      <c r="U2807">
        <v>-0.42999270000000001</v>
      </c>
      <c r="V2807">
        <v>-0.2186678</v>
      </c>
      <c r="W2807">
        <v>7.4550379999999999E-2</v>
      </c>
      <c r="X2807">
        <v>0.97294740000000002</v>
      </c>
      <c r="Y2807">
        <v>-0.21461350000000001</v>
      </c>
      <c r="Z2807">
        <v>-4.9006059999999997E-2</v>
      </c>
      <c r="AA2807">
        <v>0.97546880000000002</v>
      </c>
      <c r="AB2807">
        <v>31</v>
      </c>
      <c r="AC2807">
        <v>210.2439</v>
      </c>
      <c r="AD2807">
        <v>22.855961999999899</v>
      </c>
      <c r="AE2807">
        <v>-30.541699999999899</v>
      </c>
      <c r="AF2807">
        <v>-45.790194296211801</v>
      </c>
      <c r="AG2807">
        <v>22.855961999999899</v>
      </c>
      <c r="AH2807">
        <v>204.96737224082599</v>
      </c>
      <c r="AI2807">
        <v>83.789080840288705</v>
      </c>
      <c r="AJ2807">
        <v>102.593226421878</v>
      </c>
      <c r="AK2807">
        <v>211.259936040745</v>
      </c>
      <c r="AL2807">
        <v>85.724611366848606</v>
      </c>
      <c r="AM2807">
        <v>102.666629726792</v>
      </c>
      <c r="AN2807">
        <v>1.0000000045408699</v>
      </c>
    </row>
    <row r="2808" spans="1:40" x14ac:dyDescent="0.25">
      <c r="A2808" t="str">
        <f>"20190312151040521"</f>
        <v>20190312151040521</v>
      </c>
      <c r="B2808" t="str">
        <f>"1552374640513877"</f>
        <v>1552374640513877</v>
      </c>
      <c r="C2808" t="s">
        <v>40</v>
      </c>
      <c r="D2808">
        <v>5.5148159999999997</v>
      </c>
      <c r="E2808">
        <v>0.47466589999999997</v>
      </c>
      <c r="F2808" t="s">
        <v>46</v>
      </c>
      <c r="G2808">
        <v>-410.73669999999998</v>
      </c>
      <c r="H2808">
        <v>8.7505710000000008</v>
      </c>
      <c r="I2808">
        <v>205.73</v>
      </c>
      <c r="J2808">
        <v>-470.822</v>
      </c>
      <c r="K2808">
        <v>1.1272949999999999</v>
      </c>
      <c r="L2808">
        <v>211.25569999999999</v>
      </c>
      <c r="M2808">
        <v>0.94147809999999998</v>
      </c>
      <c r="N2808">
        <v>0</v>
      </c>
      <c r="O2808">
        <v>-0.33661619999999998</v>
      </c>
      <c r="P2808">
        <v>0.99008479999999999</v>
      </c>
      <c r="Q2808">
        <v>6.1811949999999997E-2</v>
      </c>
      <c r="R2808">
        <v>-0.12614159999999999</v>
      </c>
      <c r="S2808">
        <v>2.9731139999999998</v>
      </c>
      <c r="T2808">
        <v>0.37547580000000003</v>
      </c>
      <c r="U2808">
        <v>-0.276474</v>
      </c>
      <c r="V2808">
        <v>-0.21764549999999999</v>
      </c>
      <c r="W2808">
        <v>6.9946170000000002E-2</v>
      </c>
      <c r="X2808">
        <v>0.97351829999999995</v>
      </c>
      <c r="Y2808">
        <v>-0.24358089999999999</v>
      </c>
      <c r="Z2808">
        <v>-5.6746629999999999E-2</v>
      </c>
      <c r="AA2808">
        <v>0.9682191</v>
      </c>
      <c r="AB2808">
        <v>31</v>
      </c>
      <c r="AC2808">
        <v>60.085299999999897</v>
      </c>
      <c r="AD2808">
        <v>7.6232759999999997</v>
      </c>
      <c r="AE2808">
        <v>-5.5256999999999996</v>
      </c>
      <c r="AF2808">
        <v>-14.7896051383547</v>
      </c>
      <c r="AG2808">
        <v>7.6232759999999997</v>
      </c>
      <c r="AH2808">
        <v>57.519912641875599</v>
      </c>
      <c r="AI2808">
        <v>82.685637036385401</v>
      </c>
      <c r="AJ2808">
        <v>104.419624332409</v>
      </c>
      <c r="AK2808">
        <v>59.878102069534798</v>
      </c>
      <c r="AL2808">
        <v>85.989104412980893</v>
      </c>
      <c r="AM2808">
        <v>102.602151230224</v>
      </c>
      <c r="AN2808">
        <v>0.99999995540140296</v>
      </c>
    </row>
    <row r="2809" spans="1:40" x14ac:dyDescent="0.25">
      <c r="A2809" t="str">
        <f>"20190312151040544"</f>
        <v>20190312151040544</v>
      </c>
      <c r="B2809" t="str">
        <f>"1552374640533401"</f>
        <v>1552374640533401</v>
      </c>
      <c r="C2809" t="s">
        <v>40</v>
      </c>
      <c r="D2809">
        <v>5.5188600000000001</v>
      </c>
      <c r="E2809">
        <v>0.47473799999999999</v>
      </c>
      <c r="F2809" t="s">
        <v>69</v>
      </c>
      <c r="G2809">
        <v>-168.428</v>
      </c>
      <c r="H2809">
        <v>39.633069999999996</v>
      </c>
      <c r="I2809">
        <v>193.1773</v>
      </c>
      <c r="J2809">
        <v>-470.53829999999999</v>
      </c>
      <c r="K2809">
        <v>1.1272150000000001</v>
      </c>
      <c r="L2809">
        <v>211.1728</v>
      </c>
      <c r="M2809">
        <v>0.94814940000000003</v>
      </c>
      <c r="N2809">
        <v>0</v>
      </c>
      <c r="O2809">
        <v>-0.31732919999999998</v>
      </c>
      <c r="P2809">
        <v>0.99256239999999996</v>
      </c>
      <c r="Q2809">
        <v>5.5662669999999997E-2</v>
      </c>
      <c r="R2809">
        <v>-0.1082669</v>
      </c>
      <c r="S2809">
        <v>2.9836429999999998</v>
      </c>
      <c r="T2809">
        <v>0.37992670000000001</v>
      </c>
      <c r="U2809">
        <v>-0.17837520000000001</v>
      </c>
      <c r="V2809">
        <v>-0.21518280000000001</v>
      </c>
      <c r="W2809">
        <v>6.4133289999999996E-2</v>
      </c>
      <c r="X2809">
        <v>0.97446560000000004</v>
      </c>
      <c r="Y2809">
        <v>-0.25569979999999998</v>
      </c>
      <c r="Z2809">
        <v>-5.5786139999999998E-2</v>
      </c>
      <c r="AA2809">
        <v>0.96514529999999998</v>
      </c>
      <c r="AB2809">
        <v>31</v>
      </c>
      <c r="AC2809">
        <v>302.1103</v>
      </c>
      <c r="AD2809">
        <v>38.505854999999997</v>
      </c>
      <c r="AE2809">
        <v>-17.9954999999999</v>
      </c>
      <c r="AF2809">
        <v>-77.562846400047206</v>
      </c>
      <c r="AG2809">
        <v>38.505854999999997</v>
      </c>
      <c r="AH2809">
        <v>287.54748416428799</v>
      </c>
      <c r="AI2809">
        <v>82.633076552278695</v>
      </c>
      <c r="AJ2809">
        <v>105.095650133227</v>
      </c>
      <c r="AK2809">
        <v>300.30359914621403</v>
      </c>
      <c r="AL2809">
        <v>86.322909375253204</v>
      </c>
      <c r="AM2809">
        <v>102.45229760164401</v>
      </c>
      <c r="AN2809">
        <v>0.99999996094271104</v>
      </c>
    </row>
    <row r="2810" spans="1:40" x14ac:dyDescent="0.25">
      <c r="A2810" t="str">
        <f>"20190312151040566"</f>
        <v>20190312151040566</v>
      </c>
      <c r="B2810" t="str">
        <f>"1552374640563654"</f>
        <v>1552374640563654</v>
      </c>
      <c r="C2810" t="s">
        <v>40</v>
      </c>
      <c r="D2810">
        <v>5.5183689999999999</v>
      </c>
      <c r="E2810">
        <v>0.47616000000000003</v>
      </c>
      <c r="F2810" t="s">
        <v>69</v>
      </c>
      <c r="G2810">
        <v>-168.4254</v>
      </c>
      <c r="H2810">
        <v>37.14913</v>
      </c>
      <c r="I2810">
        <v>198.49270000000001</v>
      </c>
      <c r="J2810">
        <v>-470.24770000000001</v>
      </c>
      <c r="K2810">
        <v>1.1267720000000001</v>
      </c>
      <c r="L2810">
        <v>211.09389999999999</v>
      </c>
      <c r="M2810">
        <v>0.95379579999999997</v>
      </c>
      <c r="N2810">
        <v>0</v>
      </c>
      <c r="O2810">
        <v>-0.29990070000000002</v>
      </c>
      <c r="P2810">
        <v>0.99438490000000002</v>
      </c>
      <c r="Q2810">
        <v>5.1045849999999997E-2</v>
      </c>
      <c r="R2810">
        <v>-9.2700519999999995E-2</v>
      </c>
      <c r="S2810">
        <v>2.9887700000000001</v>
      </c>
      <c r="T2810">
        <v>0.35636119999999999</v>
      </c>
      <c r="U2810">
        <v>-0.12544249999999901</v>
      </c>
      <c r="V2810">
        <v>-0.21240059999999999</v>
      </c>
      <c r="W2810">
        <v>6.0485909999999997E-2</v>
      </c>
      <c r="X2810">
        <v>0.97530890000000003</v>
      </c>
      <c r="Y2810">
        <v>-0.25581609999999999</v>
      </c>
      <c r="Z2810">
        <v>-5.0336100000000002E-2</v>
      </c>
      <c r="AA2810">
        <v>0.96541410000000005</v>
      </c>
      <c r="AB2810">
        <v>30</v>
      </c>
      <c r="AC2810">
        <v>301.82229999999998</v>
      </c>
      <c r="AD2810">
        <v>36.022357999999997</v>
      </c>
      <c r="AE2810">
        <v>-12.601199999999899</v>
      </c>
      <c r="AF2810">
        <v>-77.410090946968594</v>
      </c>
      <c r="AG2810">
        <v>36.022357999999997</v>
      </c>
      <c r="AH2810">
        <v>287.61479686227398</v>
      </c>
      <c r="AI2810">
        <v>83.104066049977803</v>
      </c>
      <c r="AJ2810">
        <v>105.063907176328</v>
      </c>
      <c r="AK2810">
        <v>300.02033902791499</v>
      </c>
      <c r="AL2810">
        <v>86.532296000742804</v>
      </c>
      <c r="AM2810">
        <v>102.28591580679699</v>
      </c>
      <c r="AN2810">
        <v>1.0000000053040401</v>
      </c>
    </row>
    <row r="2811" spans="1:40" x14ac:dyDescent="0.25">
      <c r="A2811" t="str">
        <f>"20190312151040589"</f>
        <v>20190312151040589</v>
      </c>
      <c r="B2811" t="str">
        <f>"1552374640583173"</f>
        <v>1552374640583173</v>
      </c>
      <c r="C2811" t="s">
        <v>40</v>
      </c>
      <c r="D2811">
        <v>5.52041</v>
      </c>
      <c r="E2811">
        <v>0.47782959999999902</v>
      </c>
      <c r="F2811" t="s">
        <v>69</v>
      </c>
      <c r="G2811">
        <v>-169.72200000000001</v>
      </c>
      <c r="H2811">
        <v>34.820659999999997</v>
      </c>
      <c r="I2811">
        <v>202.08619999999999</v>
      </c>
      <c r="J2811">
        <v>-469.96089999999998</v>
      </c>
      <c r="K2811">
        <v>1.1262810000000001</v>
      </c>
      <c r="L2811">
        <v>211.0224</v>
      </c>
      <c r="M2811">
        <v>0.95871879999999998</v>
      </c>
      <c r="N2811">
        <v>0</v>
      </c>
      <c r="O2811">
        <v>-0.283755599999999</v>
      </c>
      <c r="P2811">
        <v>0.99550470000000002</v>
      </c>
      <c r="Q2811">
        <v>5.0668690000000002E-2</v>
      </c>
      <c r="R2811">
        <v>-8.0021040000000002E-2</v>
      </c>
      <c r="S2811">
        <v>2.9913639999999999</v>
      </c>
      <c r="T2811">
        <v>0.3353814</v>
      </c>
      <c r="U2811">
        <v>-8.966064E-2</v>
      </c>
      <c r="V2811">
        <v>-0.2082155</v>
      </c>
      <c r="W2811">
        <v>6.0991860000000002E-2</v>
      </c>
      <c r="X2811">
        <v>0.97617940000000003</v>
      </c>
      <c r="Y2811">
        <v>-0.25164150000000002</v>
      </c>
      <c r="Z2811">
        <v>-4.5404750000000001E-2</v>
      </c>
      <c r="AA2811">
        <v>0.96675489999999997</v>
      </c>
      <c r="AB2811">
        <v>30</v>
      </c>
      <c r="AC2811">
        <v>300.23889999999898</v>
      </c>
      <c r="AD2811">
        <v>33.694378999999998</v>
      </c>
      <c r="AE2811">
        <v>-8.9362000000000101</v>
      </c>
      <c r="AF2811">
        <v>-75.687828608533707</v>
      </c>
      <c r="AG2811">
        <v>33.694378999999998</v>
      </c>
      <c r="AH2811">
        <v>286.82073345296999</v>
      </c>
      <c r="AI2811">
        <v>83.519713104737505</v>
      </c>
      <c r="AJ2811">
        <v>104.782543758363</v>
      </c>
      <c r="AK2811">
        <v>298.54663239462297</v>
      </c>
      <c r="AL2811">
        <v>86.503253425218006</v>
      </c>
      <c r="AM2811">
        <v>102.04054821182601</v>
      </c>
      <c r="AN2811">
        <v>0.999999961205434</v>
      </c>
    </row>
    <row r="2812" spans="1:40" x14ac:dyDescent="0.25">
      <c r="A2812" t="str">
        <f>"20190312151040612"</f>
        <v>20190312151040612</v>
      </c>
      <c r="B2812" t="str">
        <f>"1552374640603669"</f>
        <v>1552374640603669</v>
      </c>
      <c r="C2812" t="s">
        <v>40</v>
      </c>
      <c r="D2812">
        <v>5.3166799999999999</v>
      </c>
      <c r="E2812">
        <v>0.47971829999999999</v>
      </c>
      <c r="F2812" t="s">
        <v>69</v>
      </c>
      <c r="G2812">
        <v>-169.72110000000001</v>
      </c>
      <c r="H2812">
        <v>34.582940000000001</v>
      </c>
      <c r="I2812">
        <v>204.60720000000001</v>
      </c>
      <c r="J2812">
        <v>-469.66919999999999</v>
      </c>
      <c r="K2812">
        <v>1.1257159999999999</v>
      </c>
      <c r="L2812">
        <v>210.95699999999999</v>
      </c>
      <c r="M2812">
        <v>0.96366669999999999</v>
      </c>
      <c r="N2812">
        <v>0</v>
      </c>
      <c r="O2812">
        <v>-0.26650879999999999</v>
      </c>
      <c r="P2812">
        <v>0.99653599999999998</v>
      </c>
      <c r="Q2812">
        <v>4.9152300000000003E-2</v>
      </c>
      <c r="R2812">
        <v>-6.7080970000000004E-2</v>
      </c>
      <c r="S2812">
        <v>2.9914550000000002</v>
      </c>
      <c r="T2812">
        <v>0.33334740000000002</v>
      </c>
      <c r="U2812">
        <v>-6.3919069999999995E-2</v>
      </c>
      <c r="V2812">
        <v>-0.2031395</v>
      </c>
      <c r="W2812">
        <v>5.970437E-2</v>
      </c>
      <c r="X2812">
        <v>0.97732779999999997</v>
      </c>
      <c r="Y2812">
        <v>-0.2427849</v>
      </c>
      <c r="Z2812">
        <v>-4.2797040000000001E-2</v>
      </c>
      <c r="AA2812">
        <v>0.96913559999999999</v>
      </c>
      <c r="AB2812">
        <v>30</v>
      </c>
      <c r="AC2812">
        <v>299.94809999999899</v>
      </c>
      <c r="AD2812">
        <v>33.457223999999997</v>
      </c>
      <c r="AE2812">
        <v>-6.3497999999999797</v>
      </c>
      <c r="AF2812">
        <v>-72.924598837766496</v>
      </c>
      <c r="AG2812">
        <v>33.457223999999997</v>
      </c>
      <c r="AH2812">
        <v>287.21680867812103</v>
      </c>
      <c r="AI2812">
        <v>83.558284082741693</v>
      </c>
      <c r="AJ2812">
        <v>104.246405987627</v>
      </c>
      <c r="AK2812">
        <v>298.21280680192098</v>
      </c>
      <c r="AL2812">
        <v>86.577155827953604</v>
      </c>
      <c r="AM2812">
        <v>101.741853082555</v>
      </c>
      <c r="AN2812">
        <v>0.99999994845509199</v>
      </c>
    </row>
    <row r="2813" spans="1:40" x14ac:dyDescent="0.25">
      <c r="A2813" t="str">
        <f>"20190312151040635"</f>
        <v>20190312151040635</v>
      </c>
      <c r="B2813" t="str">
        <f>"1552374640623190"</f>
        <v>1552374640623190</v>
      </c>
      <c r="C2813" t="s">
        <v>40</v>
      </c>
      <c r="D2813">
        <v>5.4295210000000003</v>
      </c>
      <c r="E2813">
        <v>0.48134729999999998</v>
      </c>
      <c r="F2813" t="s">
        <v>69</v>
      </c>
      <c r="G2813">
        <v>-169.7201</v>
      </c>
      <c r="H2813">
        <v>34.09187</v>
      </c>
      <c r="I2813">
        <v>207.0359</v>
      </c>
      <c r="J2813">
        <v>-469.37020000000001</v>
      </c>
      <c r="K2813">
        <v>1.1251869999999999</v>
      </c>
      <c r="L2813">
        <v>210.8974</v>
      </c>
      <c r="M2813">
        <v>0.96876309999999999</v>
      </c>
      <c r="N2813">
        <v>0</v>
      </c>
      <c r="O2813">
        <v>-0.24743319999999999</v>
      </c>
      <c r="P2813">
        <v>0.99740390000000001</v>
      </c>
      <c r="Q2813">
        <v>5.0654780000000003E-2</v>
      </c>
      <c r="R2813">
        <v>-5.1182270000000002E-2</v>
      </c>
      <c r="S2813">
        <v>2.9916079999999998</v>
      </c>
      <c r="T2813">
        <v>0.32879540000000002</v>
      </c>
      <c r="U2813">
        <v>-3.9108280000000002E-2</v>
      </c>
      <c r="V2813">
        <v>-0.19920399999999999</v>
      </c>
      <c r="W2813">
        <v>6.0760550000000003E-2</v>
      </c>
      <c r="X2813">
        <v>0.97807259999999996</v>
      </c>
      <c r="Y2813">
        <v>-0.23192099999999999</v>
      </c>
      <c r="Z2813">
        <v>-3.959555E-2</v>
      </c>
      <c r="AA2813">
        <v>0.97192840000000003</v>
      </c>
      <c r="AB2813">
        <v>30</v>
      </c>
      <c r="AC2813">
        <v>299.65010000000001</v>
      </c>
      <c r="AD2813">
        <v>32.966683000000003</v>
      </c>
      <c r="AE2813">
        <v>-3.8614999999999999</v>
      </c>
      <c r="AF2813">
        <v>-69.570257596067194</v>
      </c>
      <c r="AG2813">
        <v>32.966683000000003</v>
      </c>
      <c r="AH2813">
        <v>287.80253312433001</v>
      </c>
      <c r="AI2813">
        <v>83.646886903066303</v>
      </c>
      <c r="AJ2813">
        <v>103.589372872505</v>
      </c>
      <c r="AK2813">
        <v>297.92133358117599</v>
      </c>
      <c r="AL2813">
        <v>86.5165314287581</v>
      </c>
      <c r="AM2813">
        <v>101.51197441805201</v>
      </c>
      <c r="AN2813">
        <v>1.00000004446153</v>
      </c>
    </row>
    <row r="2814" spans="1:40" x14ac:dyDescent="0.25">
      <c r="A2814" t="str">
        <f>"20190312151040658"</f>
        <v>20190312151040658</v>
      </c>
      <c r="B2814" t="str">
        <f>"1552374640653954"</f>
        <v>1552374640653954</v>
      </c>
      <c r="C2814" t="s">
        <v>40</v>
      </c>
      <c r="D2814">
        <v>5.5430869999999999</v>
      </c>
      <c r="E2814">
        <v>0.49567499999999998</v>
      </c>
      <c r="F2814" t="s">
        <v>70</v>
      </c>
      <c r="G2814">
        <v>-107.39749999999999</v>
      </c>
      <c r="H2814">
        <v>41.422649999999997</v>
      </c>
      <c r="I2814">
        <v>210.50399999999999</v>
      </c>
      <c r="J2814">
        <v>-469.08199999999999</v>
      </c>
      <c r="K2814">
        <v>1.124825</v>
      </c>
      <c r="L2814">
        <v>210.8466</v>
      </c>
      <c r="M2814">
        <v>0.97352850000000002</v>
      </c>
      <c r="N2814">
        <v>0</v>
      </c>
      <c r="O2814">
        <v>-0.22806199999999999</v>
      </c>
      <c r="P2814">
        <v>0.99787669999999995</v>
      </c>
      <c r="Q2814">
        <v>5.4388140000000001E-2</v>
      </c>
      <c r="R2814">
        <v>-3.5839990000000002E-2</v>
      </c>
      <c r="S2814">
        <v>2.9906920000000001</v>
      </c>
      <c r="T2814">
        <v>0.33294620000000003</v>
      </c>
      <c r="U2814">
        <v>-3.2501219999999998E-3</v>
      </c>
      <c r="V2814">
        <v>-0.19452829999999999</v>
      </c>
      <c r="W2814">
        <v>6.3964370000000006E-2</v>
      </c>
      <c r="X2814">
        <v>0.97880909999999999</v>
      </c>
      <c r="Y2814">
        <v>-0.2242546</v>
      </c>
      <c r="Z2814">
        <v>-3.758835E-2</v>
      </c>
      <c r="AA2814">
        <v>0.97380540000000004</v>
      </c>
      <c r="AB2814">
        <v>30</v>
      </c>
      <c r="AC2814">
        <v>361.68450000000001</v>
      </c>
      <c r="AD2814">
        <v>40.297825000000003</v>
      </c>
      <c r="AE2814">
        <v>-0.34259999999997598</v>
      </c>
      <c r="AF2814">
        <v>-81.154970537964303</v>
      </c>
      <c r="AG2814">
        <v>40.297825000000003</v>
      </c>
      <c r="AH2814">
        <v>347.90994122915998</v>
      </c>
      <c r="AI2814">
        <v>83.564233317553203</v>
      </c>
      <c r="AJ2814">
        <v>103.130271411826</v>
      </c>
      <c r="AK2814">
        <v>359.51546718997503</v>
      </c>
      <c r="AL2814">
        <v>86.332607751288805</v>
      </c>
      <c r="AM2814">
        <v>101.24048722461001</v>
      </c>
      <c r="AN2814">
        <v>0.99999997718659805</v>
      </c>
    </row>
    <row r="2815" spans="1:40" x14ac:dyDescent="0.25">
      <c r="A2815" t="str">
        <f>"20190312151040680"</f>
        <v>20190312151040680</v>
      </c>
      <c r="B2815" t="str">
        <f>"1552374640673474"</f>
        <v>1552374640673474</v>
      </c>
      <c r="C2815" t="s">
        <v>40</v>
      </c>
      <c r="D2815">
        <v>5.573359</v>
      </c>
      <c r="E2815">
        <v>0.49746269999999998</v>
      </c>
      <c r="F2815" t="s">
        <v>69</v>
      </c>
      <c r="G2815">
        <v>-169.72130000000001</v>
      </c>
      <c r="H2815">
        <v>34.288249999999998</v>
      </c>
      <c r="I2815">
        <v>203.7312</v>
      </c>
      <c r="J2815">
        <v>-468.81110000000001</v>
      </c>
      <c r="K2815">
        <v>1.1247119999999999</v>
      </c>
      <c r="L2815">
        <v>210.8049</v>
      </c>
      <c r="M2815">
        <v>0.97776839999999998</v>
      </c>
      <c r="N2815">
        <v>0</v>
      </c>
      <c r="O2815">
        <v>-0.20922560000000001</v>
      </c>
      <c r="P2815">
        <v>0.99828839999999996</v>
      </c>
      <c r="Q2815">
        <v>5.4450449999999997E-2</v>
      </c>
      <c r="R2815">
        <v>-2.133987E-2</v>
      </c>
      <c r="S2815">
        <v>2.98584</v>
      </c>
      <c r="T2815">
        <v>0.33077390000000001</v>
      </c>
      <c r="U2815">
        <v>-7.0968630000000005E-2</v>
      </c>
      <c r="V2815">
        <v>-0.18960650000000001</v>
      </c>
      <c r="W2815">
        <v>6.3542269999999998E-2</v>
      </c>
      <c r="X2815">
        <v>0.9798019</v>
      </c>
      <c r="Y2815">
        <v>-0.1835668</v>
      </c>
      <c r="Z2815">
        <v>-3.3097939999999999E-2</v>
      </c>
      <c r="AA2815">
        <v>0.98244989999999999</v>
      </c>
      <c r="AB2815">
        <v>30</v>
      </c>
      <c r="AC2815">
        <v>299.08980000000003</v>
      </c>
      <c r="AD2815">
        <v>33.163538000000003</v>
      </c>
      <c r="AE2815">
        <v>-7.0736999999999997</v>
      </c>
      <c r="AF2815">
        <v>-54.990477052447602</v>
      </c>
      <c r="AG2815">
        <v>33.163538000000003</v>
      </c>
      <c r="AH2815">
        <v>290.38085625878603</v>
      </c>
      <c r="AI2815">
        <v>83.597471563081001</v>
      </c>
      <c r="AJ2815">
        <v>100.72332522725399</v>
      </c>
      <c r="AK2815">
        <v>297.39672913587799</v>
      </c>
      <c r="AL2815">
        <v>86.356841697883397</v>
      </c>
      <c r="AM2815">
        <v>100.952226392773</v>
      </c>
      <c r="AN2815">
        <v>1.0000000040813</v>
      </c>
    </row>
    <row r="2816" spans="1:40" x14ac:dyDescent="0.25">
      <c r="A2816" t="str">
        <f>"20190312151040702"</f>
        <v>20190312151040702</v>
      </c>
      <c r="B2816" t="str">
        <f>"1552374640693969"</f>
        <v>1552374640693969</v>
      </c>
      <c r="C2816" t="s">
        <v>40</v>
      </c>
      <c r="D2816">
        <v>5.6373360000000003</v>
      </c>
      <c r="E2816">
        <v>0.49945319999999999</v>
      </c>
      <c r="F2816" t="s">
        <v>69</v>
      </c>
      <c r="G2816">
        <v>-169.72049999999999</v>
      </c>
      <c r="H2816">
        <v>34.958190000000002</v>
      </c>
      <c r="I2816">
        <v>206.6857</v>
      </c>
      <c r="J2816">
        <v>-468.51060000000001</v>
      </c>
      <c r="K2816">
        <v>1.124854</v>
      </c>
      <c r="L2816">
        <v>210.76490000000001</v>
      </c>
      <c r="M2816">
        <v>0.98211380000000004</v>
      </c>
      <c r="N2816">
        <v>0</v>
      </c>
      <c r="O2816">
        <v>-0.18786949999999999</v>
      </c>
      <c r="P2816">
        <v>0.99857620000000002</v>
      </c>
      <c r="Q2816">
        <v>5.3207530000000003E-2</v>
      </c>
      <c r="R2816">
        <v>-3.8292119999999998E-3</v>
      </c>
      <c r="S2816">
        <v>2.98584</v>
      </c>
      <c r="T2816">
        <v>0.33776209999999901</v>
      </c>
      <c r="U2816">
        <v>-4.1122440000000003E-2</v>
      </c>
      <c r="V2816">
        <v>-0.1851913</v>
      </c>
      <c r="W2816">
        <v>6.1659600000000002E-2</v>
      </c>
      <c r="X2816">
        <v>0.98076620000000003</v>
      </c>
      <c r="Y2816">
        <v>-0.1720576</v>
      </c>
      <c r="Z2816">
        <v>-3.0783169999999999E-2</v>
      </c>
      <c r="AA2816">
        <v>0.98460579999999998</v>
      </c>
      <c r="AB2816">
        <v>30</v>
      </c>
      <c r="AC2816">
        <v>298.7901</v>
      </c>
      <c r="AD2816">
        <v>33.833335999999903</v>
      </c>
      <c r="AE2816">
        <v>-4.0792000000000099</v>
      </c>
      <c r="AF2816">
        <v>-51.471566830578801</v>
      </c>
      <c r="AG2816">
        <v>33.833335999999903</v>
      </c>
      <c r="AH2816">
        <v>290.51116232984202</v>
      </c>
      <c r="AI2816">
        <v>83.458159661419202</v>
      </c>
      <c r="AJ2816">
        <v>100.047164097587</v>
      </c>
      <c r="AK2816">
        <v>296.96927830184597</v>
      </c>
      <c r="AL2816">
        <v>86.4649228418251</v>
      </c>
      <c r="AM2816">
        <v>100.692870318345</v>
      </c>
      <c r="AN2816">
        <v>1.00000003146514</v>
      </c>
    </row>
    <row r="2817" spans="1:40" x14ac:dyDescent="0.25">
      <c r="A2817" t="str">
        <f>"20190312151040723"</f>
        <v>20190312151040723</v>
      </c>
      <c r="B2817" t="str">
        <f>"1552374640713490"</f>
        <v>1552374640713490</v>
      </c>
      <c r="C2817" t="s">
        <v>40</v>
      </c>
      <c r="D2817">
        <v>5.5730069999999996</v>
      </c>
      <c r="E2817">
        <v>0.50060389999999999</v>
      </c>
      <c r="F2817" t="s">
        <v>70</v>
      </c>
      <c r="G2817">
        <v>-107.39749999999999</v>
      </c>
      <c r="H2817">
        <v>41.834200000000003</v>
      </c>
      <c r="I2817">
        <v>210.28890000000001</v>
      </c>
      <c r="J2817">
        <v>-468.24790000000002</v>
      </c>
      <c r="K2817">
        <v>1.125176</v>
      </c>
      <c r="L2817">
        <v>210.73480000000001</v>
      </c>
      <c r="M2817">
        <v>0.98555539999999997</v>
      </c>
      <c r="N2817">
        <v>0</v>
      </c>
      <c r="O2817">
        <v>-0.16896910000000001</v>
      </c>
      <c r="P2817">
        <v>0.99859059999999999</v>
      </c>
      <c r="Q2817">
        <v>5.2211019999999997E-2</v>
      </c>
      <c r="R2817">
        <v>9.5317749999999993E-3</v>
      </c>
      <c r="S2817">
        <v>2.9863279999999999</v>
      </c>
      <c r="T2817">
        <v>0.33665790000000001</v>
      </c>
      <c r="U2817">
        <v>-3.9367680000000002E-3</v>
      </c>
      <c r="V2817">
        <v>-0.1792955</v>
      </c>
      <c r="W2817">
        <v>6.0068959999999998E-2</v>
      </c>
      <c r="X2817">
        <v>0.98195969999999999</v>
      </c>
      <c r="Y2817">
        <v>-0.1655693</v>
      </c>
      <c r="Z2817">
        <v>-2.8223080000000001E-2</v>
      </c>
      <c r="AA2817">
        <v>0.98579419999999995</v>
      </c>
      <c r="AB2817">
        <v>30</v>
      </c>
      <c r="AC2817">
        <v>360.85039999999998</v>
      </c>
      <c r="AD2817">
        <v>40.709023999999999</v>
      </c>
      <c r="AE2817">
        <v>-0.44589999999999402</v>
      </c>
      <c r="AF2817">
        <v>-59.776270009328499</v>
      </c>
      <c r="AG2817">
        <v>40.709023999999999</v>
      </c>
      <c r="AH2817">
        <v>351.265961792616</v>
      </c>
      <c r="AI2817">
        <v>83.482227803639603</v>
      </c>
      <c r="AJ2817">
        <v>99.657724368886093</v>
      </c>
      <c r="AK2817">
        <v>358.63380070114999</v>
      </c>
      <c r="AL2817">
        <v>86.556228991035397</v>
      </c>
      <c r="AM2817">
        <v>100.34761801560001</v>
      </c>
      <c r="AN2817">
        <v>1.00000000434991</v>
      </c>
    </row>
    <row r="2818" spans="1:40" x14ac:dyDescent="0.25">
      <c r="A2818" t="str">
        <f>"20190312151040745"</f>
        <v>20190312151040745</v>
      </c>
      <c r="B2818" t="str">
        <f>"1552374640743745"</f>
        <v>1552374640743745</v>
      </c>
      <c r="C2818" t="s">
        <v>40</v>
      </c>
      <c r="D2818">
        <v>5.5221669999999996</v>
      </c>
      <c r="E2818">
        <v>0.50280429999999998</v>
      </c>
      <c r="F2818" t="s">
        <v>70</v>
      </c>
      <c r="G2818">
        <v>-107.39749999999999</v>
      </c>
      <c r="H2818">
        <v>41.870170000000002</v>
      </c>
      <c r="I2818">
        <v>214.09610000000001</v>
      </c>
      <c r="J2818">
        <v>-467.95499999999998</v>
      </c>
      <c r="K2818">
        <v>1.1257090000000001</v>
      </c>
      <c r="L2818">
        <v>210.70689999999999</v>
      </c>
      <c r="M2818">
        <v>0.98896879999999998</v>
      </c>
      <c r="N2818">
        <v>0</v>
      </c>
      <c r="O2818">
        <v>-0.1477734</v>
      </c>
      <c r="P2818">
        <v>0.99822290000000002</v>
      </c>
      <c r="Q2818">
        <v>5.4126870000000001E-2</v>
      </c>
      <c r="R2818">
        <v>2.492333E-2</v>
      </c>
      <c r="S2818">
        <v>2.9862980000000001</v>
      </c>
      <c r="T2818">
        <v>0.33719470000000001</v>
      </c>
      <c r="U2818">
        <v>2.7816770000000001E-2</v>
      </c>
      <c r="V2818">
        <v>-0.17322319999999999</v>
      </c>
      <c r="W2818">
        <v>6.1236020000000002E-2</v>
      </c>
      <c r="X2818">
        <v>0.98297699999999999</v>
      </c>
      <c r="Y2818">
        <v>-0.15506700000000001</v>
      </c>
      <c r="Z2818">
        <v>-2.531684E-2</v>
      </c>
      <c r="AA2818">
        <v>0.98757950000000005</v>
      </c>
      <c r="AB2818">
        <v>30</v>
      </c>
      <c r="AC2818">
        <v>360.5575</v>
      </c>
      <c r="AD2818">
        <v>40.744461000000001</v>
      </c>
      <c r="AE2818">
        <v>3.38920000000001</v>
      </c>
      <c r="AF2818">
        <v>-55.921508396747903</v>
      </c>
      <c r="AG2818">
        <v>40.744461000000001</v>
      </c>
      <c r="AH2818">
        <v>351.60814460327401</v>
      </c>
      <c r="AI2818">
        <v>83.471363403212095</v>
      </c>
      <c r="AJ2818">
        <v>99.036915895340698</v>
      </c>
      <c r="AK2818">
        <v>358.35124327244199</v>
      </c>
      <c r="AL2818">
        <v>86.489237866865807</v>
      </c>
      <c r="AM2818">
        <v>99.994224381550396</v>
      </c>
      <c r="AN2818">
        <v>0.99999995484633897</v>
      </c>
    </row>
    <row r="2819" spans="1:40" x14ac:dyDescent="0.25">
      <c r="A2819" t="str">
        <f>"20190312151040768"</f>
        <v>20190312151040768</v>
      </c>
      <c r="B2819" t="str">
        <f>"1552374640763265"</f>
        <v>1552374640763265</v>
      </c>
      <c r="C2819" t="s">
        <v>40</v>
      </c>
      <c r="D2819">
        <v>5.4723030000000001</v>
      </c>
      <c r="E2819">
        <v>0.48583349999999997</v>
      </c>
      <c r="F2819" t="s">
        <v>70</v>
      </c>
      <c r="G2819">
        <v>-107.39749999999999</v>
      </c>
      <c r="H2819">
        <v>42.551609999999997</v>
      </c>
      <c r="I2819">
        <v>217.59569999999999</v>
      </c>
      <c r="J2819">
        <v>-467.67329999999998</v>
      </c>
      <c r="K2819">
        <v>1.1261909999999999</v>
      </c>
      <c r="L2819">
        <v>210.68510000000001</v>
      </c>
      <c r="M2819">
        <v>0.99186859999999999</v>
      </c>
      <c r="N2819">
        <v>0</v>
      </c>
      <c r="O2819">
        <v>-0.12695979999999901</v>
      </c>
      <c r="P2819">
        <v>0.99754350000000003</v>
      </c>
      <c r="Q2819">
        <v>5.754186E-2</v>
      </c>
      <c r="R2819">
        <v>3.9953700000000002E-2</v>
      </c>
      <c r="S2819">
        <v>2.9852910000000001</v>
      </c>
      <c r="T2819">
        <v>0.34299239999999998</v>
      </c>
      <c r="U2819">
        <v>5.7037350000000001E-2</v>
      </c>
      <c r="V2819">
        <v>-0.16729079999999999</v>
      </c>
      <c r="W2819">
        <v>6.3650769999999995E-2</v>
      </c>
      <c r="X2819">
        <v>0.98385080000000003</v>
      </c>
      <c r="Y2819">
        <v>-0.1441093</v>
      </c>
      <c r="Z2819">
        <v>-2.2763909999999998E-2</v>
      </c>
      <c r="AA2819">
        <v>0.98929990000000001</v>
      </c>
      <c r="AB2819">
        <v>30</v>
      </c>
      <c r="AC2819">
        <v>360.2758</v>
      </c>
      <c r="AD2819">
        <v>41.425418999999998</v>
      </c>
      <c r="AE2819">
        <v>6.9105999999999801</v>
      </c>
      <c r="AF2819">
        <v>-51.910938041363899</v>
      </c>
      <c r="AG2819">
        <v>41.425418999999998</v>
      </c>
      <c r="AH2819">
        <v>351.83290351895698</v>
      </c>
      <c r="AI2819">
        <v>83.356086346146895</v>
      </c>
      <c r="AJ2819">
        <v>98.393110927289001</v>
      </c>
      <c r="AK2819">
        <v>358.04636965934998</v>
      </c>
      <c r="AL2819">
        <v>86.350612533984204</v>
      </c>
      <c r="AM2819">
        <v>99.650092203932999</v>
      </c>
      <c r="AN2819">
        <v>1.00000001447343</v>
      </c>
    </row>
    <row r="2820" spans="1:40" x14ac:dyDescent="0.25">
      <c r="A2820" t="str">
        <f>"20190312151040790"</f>
        <v>20190312151040790</v>
      </c>
      <c r="B2820" t="str">
        <f>"1552374640783761"</f>
        <v>1552374640783761</v>
      </c>
      <c r="C2820" t="s">
        <v>40</v>
      </c>
      <c r="D2820">
        <v>5.5888650000000002</v>
      </c>
      <c r="E2820">
        <v>0.48189769999999998</v>
      </c>
      <c r="F2820" t="s">
        <v>71</v>
      </c>
      <c r="G2820">
        <v>-157.8382</v>
      </c>
      <c r="H2820">
        <v>42.696910000000003</v>
      </c>
      <c r="I2820">
        <v>235.56960000000001</v>
      </c>
      <c r="J2820">
        <v>-467.38490000000002</v>
      </c>
      <c r="K2820">
        <v>1.126609</v>
      </c>
      <c r="L2820">
        <v>210.6679</v>
      </c>
      <c r="M2820">
        <v>0.99438340000000003</v>
      </c>
      <c r="N2820">
        <v>0</v>
      </c>
      <c r="O2820">
        <v>-0.10555580000000001</v>
      </c>
      <c r="P2820">
        <v>0.9965967</v>
      </c>
      <c r="Q2820">
        <v>6.215267E-2</v>
      </c>
      <c r="R2820">
        <v>5.4150829999999997E-2</v>
      </c>
      <c r="S2820">
        <v>2.9747919999999999</v>
      </c>
      <c r="T2820">
        <v>0.39912969999999998</v>
      </c>
      <c r="U2820">
        <v>0.2389221</v>
      </c>
      <c r="V2820">
        <v>-0.16001750000000001</v>
      </c>
      <c r="W2820">
        <v>6.7526719999999998E-2</v>
      </c>
      <c r="X2820">
        <v>0.98480179999999995</v>
      </c>
      <c r="Y2820">
        <v>-0.18226519999999999</v>
      </c>
      <c r="Z2820">
        <v>-2.62259E-2</v>
      </c>
      <c r="AA2820">
        <v>0.98289959999999998</v>
      </c>
      <c r="AB2820">
        <v>30</v>
      </c>
      <c r="AC2820">
        <v>309.54669999999999</v>
      </c>
      <c r="AD2820">
        <v>41.570300999999901</v>
      </c>
      <c r="AE2820">
        <v>24.901700000000002</v>
      </c>
      <c r="AF2820">
        <v>-56.426888666147498</v>
      </c>
      <c r="AG2820">
        <v>41.570300999999901</v>
      </c>
      <c r="AH2820">
        <v>299.81628770346401</v>
      </c>
      <c r="AI2820">
        <v>82.240644855395004</v>
      </c>
      <c r="AJ2820">
        <v>100.658665356512</v>
      </c>
      <c r="AK2820">
        <v>307.89915566961002</v>
      </c>
      <c r="AL2820">
        <v>86.128057628776403</v>
      </c>
      <c r="AM2820">
        <v>99.229161122148696</v>
      </c>
      <c r="AN2820">
        <v>1.00000002175172</v>
      </c>
    </row>
    <row r="2821" spans="1:40" x14ac:dyDescent="0.25">
      <c r="A2821" t="str">
        <f>"20190312151040812"</f>
        <v>20190312151040812</v>
      </c>
      <c r="B2821" t="str">
        <f>"1552374640803281"</f>
        <v>1552374640803281</v>
      </c>
      <c r="C2821" t="s">
        <v>40</v>
      </c>
      <c r="D2821">
        <v>5.533925</v>
      </c>
      <c r="E2821">
        <v>0.48176259999999999</v>
      </c>
      <c r="F2821" t="s">
        <v>72</v>
      </c>
      <c r="G2821">
        <v>-251.16040000000001</v>
      </c>
      <c r="H2821">
        <v>31.55424</v>
      </c>
      <c r="I2821">
        <v>233.4341</v>
      </c>
      <c r="J2821">
        <v>-467.11079999999998</v>
      </c>
      <c r="K2821">
        <v>1.1270899999999999</v>
      </c>
      <c r="L2821">
        <v>210.65729999999999</v>
      </c>
      <c r="M2821">
        <v>0.99628550000000005</v>
      </c>
      <c r="N2821">
        <v>0</v>
      </c>
      <c r="O2821">
        <v>-8.5769700000000004E-2</v>
      </c>
      <c r="P2821">
        <v>0.99543599999999999</v>
      </c>
      <c r="Q2821">
        <v>6.6574079999999994E-2</v>
      </c>
      <c r="R2821">
        <v>6.8376489999999998E-2</v>
      </c>
      <c r="S2821">
        <v>2.967285</v>
      </c>
      <c r="T2821">
        <v>0.41756330000000003</v>
      </c>
      <c r="U2821">
        <v>0.31242370000000003</v>
      </c>
      <c r="V2821">
        <v>-0.154362</v>
      </c>
      <c r="W2821">
        <v>7.2333839999999996E-2</v>
      </c>
      <c r="X2821">
        <v>0.98536299999999999</v>
      </c>
      <c r="Y2821">
        <v>-0.18696299999999999</v>
      </c>
      <c r="Z2821">
        <v>-2.503551E-2</v>
      </c>
      <c r="AA2821">
        <v>0.98204789999999997</v>
      </c>
      <c r="AB2821">
        <v>30</v>
      </c>
      <c r="AC2821">
        <v>215.9504</v>
      </c>
      <c r="AD2821">
        <v>30.427150000000001</v>
      </c>
      <c r="AE2821">
        <v>22.776800000000001</v>
      </c>
      <c r="AF2821">
        <v>-40.421764540584597</v>
      </c>
      <c r="AG2821">
        <v>30.427150000000001</v>
      </c>
      <c r="AH2821">
        <v>209.09556391356301</v>
      </c>
      <c r="AI2821">
        <v>81.869023349458303</v>
      </c>
      <c r="AJ2821">
        <v>100.941293176231</v>
      </c>
      <c r="AK2821">
        <v>215.129461845718</v>
      </c>
      <c r="AL2821">
        <v>85.8519537618659</v>
      </c>
      <c r="AM2821">
        <v>98.903307205574706</v>
      </c>
      <c r="AN2821">
        <v>1.00000002661107</v>
      </c>
    </row>
    <row r="2822" spans="1:40" x14ac:dyDescent="0.25">
      <c r="A2822" t="str">
        <f>"20190312151040837"</f>
        <v>20190312151040837</v>
      </c>
      <c r="B2822" t="str">
        <f>"1552374640833538"</f>
        <v>1552374640833538</v>
      </c>
      <c r="C2822" t="s">
        <v>40</v>
      </c>
      <c r="D2822">
        <v>5.5374689999999998</v>
      </c>
      <c r="E2822">
        <v>0.48245969999999999</v>
      </c>
      <c r="F2822" t="s">
        <v>72</v>
      </c>
      <c r="G2822">
        <v>-251.16079999999999</v>
      </c>
      <c r="H2822">
        <v>32.773600000000002</v>
      </c>
      <c r="I2822">
        <v>236.65979999999999</v>
      </c>
      <c r="J2822">
        <v>-466.7928</v>
      </c>
      <c r="K2822">
        <v>1.127705</v>
      </c>
      <c r="L2822">
        <v>210.65190000000001</v>
      </c>
      <c r="M2822">
        <v>0.99797530000000001</v>
      </c>
      <c r="N2822">
        <v>0</v>
      </c>
      <c r="O2822">
        <v>-6.3072569999999994E-2</v>
      </c>
      <c r="P2822">
        <v>0.99425889999999995</v>
      </c>
      <c r="Q2822">
        <v>6.4506579999999994E-2</v>
      </c>
      <c r="R2822">
        <v>8.5370879999999996E-2</v>
      </c>
      <c r="S2822">
        <v>2.9602659999999998</v>
      </c>
      <c r="T2822">
        <v>0.43381370000000002</v>
      </c>
      <c r="U2822">
        <v>0.35644530000000002</v>
      </c>
      <c r="V2822">
        <v>-0.14848169999999999</v>
      </c>
      <c r="W2822">
        <v>7.1426379999999998E-2</v>
      </c>
      <c r="X2822">
        <v>0.9863324</v>
      </c>
      <c r="Y2822">
        <v>-0.179373799999999</v>
      </c>
      <c r="Z2822">
        <v>-2.2192779999999999E-2</v>
      </c>
      <c r="AA2822">
        <v>0.98353060000000003</v>
      </c>
      <c r="AB2822">
        <v>29</v>
      </c>
      <c r="AC2822">
        <v>215.63200000000001</v>
      </c>
      <c r="AD2822">
        <v>31.645894999999999</v>
      </c>
      <c r="AE2822">
        <v>26.0078999999999</v>
      </c>
      <c r="AF2822">
        <v>-38.7347226975008</v>
      </c>
      <c r="AG2822">
        <v>31.645894999999999</v>
      </c>
      <c r="AH2822">
        <v>209.122664131481</v>
      </c>
      <c r="AI2822">
        <v>81.536711893916703</v>
      </c>
      <c r="AJ2822">
        <v>100.493676549527</v>
      </c>
      <c r="AK2822">
        <v>215.02123166387901</v>
      </c>
      <c r="AL2822">
        <v>85.904082423078094</v>
      </c>
      <c r="AM2822">
        <v>98.560977828780295</v>
      </c>
      <c r="AN2822">
        <v>1.00000007314227</v>
      </c>
    </row>
    <row r="2823" spans="1:40" x14ac:dyDescent="0.25">
      <c r="A2823" t="str">
        <f>"20190312151040858"</f>
        <v>20190312151040858</v>
      </c>
      <c r="B2823" t="str">
        <f>"1552374640853057"</f>
        <v>1552374640853057</v>
      </c>
      <c r="C2823" t="s">
        <v>40</v>
      </c>
      <c r="D2823">
        <v>5.5623589999999998</v>
      </c>
      <c r="E2823">
        <v>0.4834292</v>
      </c>
      <c r="F2823" t="s">
        <v>72</v>
      </c>
      <c r="G2823">
        <v>-251.54859999999999</v>
      </c>
      <c r="H2823">
        <v>32.20919</v>
      </c>
      <c r="I2823">
        <v>239.9751</v>
      </c>
      <c r="J2823">
        <v>-466.5163</v>
      </c>
      <c r="K2823">
        <v>1.128217</v>
      </c>
      <c r="L2823">
        <v>210.65360000000001</v>
      </c>
      <c r="M2823">
        <v>0.99905120000000003</v>
      </c>
      <c r="N2823">
        <v>0</v>
      </c>
      <c r="O2823">
        <v>-4.2697560000000002E-2</v>
      </c>
      <c r="P2823">
        <v>0.99332739999999997</v>
      </c>
      <c r="Q2823">
        <v>6.025755E-2</v>
      </c>
      <c r="R2823">
        <v>9.8335359999999997E-2</v>
      </c>
      <c r="S2823">
        <v>2.9550480000000001</v>
      </c>
      <c r="T2823">
        <v>0.42671189999999998</v>
      </c>
      <c r="U2823">
        <v>0.4025726</v>
      </c>
      <c r="V2823">
        <v>-0.14094119999999999</v>
      </c>
      <c r="W2823">
        <v>6.8167080000000005E-2</v>
      </c>
      <c r="X2823">
        <v>0.9876684</v>
      </c>
      <c r="Y2823">
        <v>-0.174951</v>
      </c>
      <c r="Z2823">
        <v>-1.861871E-2</v>
      </c>
      <c r="AA2823">
        <v>0.98440110000000003</v>
      </c>
      <c r="AB2823">
        <v>29</v>
      </c>
      <c r="AC2823">
        <v>214.96770000000001</v>
      </c>
      <c r="AD2823">
        <v>31.080972999999901</v>
      </c>
      <c r="AE2823">
        <v>29.321499999999901</v>
      </c>
      <c r="AF2823">
        <v>-37.699982249925903</v>
      </c>
      <c r="AG2823">
        <v>31.080972999999901</v>
      </c>
      <c r="AH2823">
        <v>209.22573935212</v>
      </c>
      <c r="AI2823">
        <v>81.6824007792884</v>
      </c>
      <c r="AJ2823">
        <v>100.214410845128</v>
      </c>
      <c r="AK2823">
        <v>214.85512689185001</v>
      </c>
      <c r="AL2823">
        <v>86.091282960464895</v>
      </c>
      <c r="AM2823">
        <v>98.121330876543993</v>
      </c>
      <c r="AN2823">
        <v>1.0000000205058599</v>
      </c>
    </row>
    <row r="2824" spans="1:40" x14ac:dyDescent="0.25">
      <c r="A2824" t="str">
        <f>"20190312151040878"</f>
        <v>20190312151040878</v>
      </c>
      <c r="B2824" t="str">
        <f>"1552374640873554"</f>
        <v>1552374640873554</v>
      </c>
      <c r="C2824" t="s">
        <v>40</v>
      </c>
      <c r="D2824">
        <v>5.505884</v>
      </c>
      <c r="E2824">
        <v>0.48438789999999998</v>
      </c>
      <c r="F2824" t="s">
        <v>72</v>
      </c>
      <c r="G2824">
        <v>-251.1602</v>
      </c>
      <c r="H2824">
        <v>30.903009999999998</v>
      </c>
      <c r="I2824">
        <v>242.29239999999999</v>
      </c>
      <c r="J2824">
        <v>-466.25850000000003</v>
      </c>
      <c r="K2824">
        <v>1.128776</v>
      </c>
      <c r="L2824">
        <v>210.6601</v>
      </c>
      <c r="M2824">
        <v>0.99969090000000005</v>
      </c>
      <c r="N2824">
        <v>0</v>
      </c>
      <c r="O2824">
        <v>-2.3201739999999998E-2</v>
      </c>
      <c r="P2824">
        <v>0.99185330000000005</v>
      </c>
      <c r="Q2824">
        <v>5.8898730000000003E-2</v>
      </c>
      <c r="R2824">
        <v>0.1129517</v>
      </c>
      <c r="S2824">
        <v>2.9524840000000001</v>
      </c>
      <c r="T2824">
        <v>0.4082057</v>
      </c>
      <c r="U2824">
        <v>0.43376160000000002</v>
      </c>
      <c r="V2824">
        <v>-0.1359747</v>
      </c>
      <c r="W2824">
        <v>6.7650890000000005E-2</v>
      </c>
      <c r="X2824">
        <v>0.9883999</v>
      </c>
      <c r="Y2824">
        <v>-0.16650290000000001</v>
      </c>
      <c r="Z2824">
        <v>-1.457252E-2</v>
      </c>
      <c r="AA2824">
        <v>0.98593330000000001</v>
      </c>
      <c r="AB2824">
        <v>29</v>
      </c>
      <c r="AC2824">
        <v>215.09829999999999</v>
      </c>
      <c r="AD2824">
        <v>29.774234</v>
      </c>
      <c r="AE2824">
        <v>31.632299999999901</v>
      </c>
      <c r="AF2824">
        <v>-35.940575564311303</v>
      </c>
      <c r="AG2824">
        <v>29.774234</v>
      </c>
      <c r="AH2824">
        <v>210.36113315832301</v>
      </c>
      <c r="AI2824">
        <v>82.057531166658805</v>
      </c>
      <c r="AJ2824">
        <v>99.695471630410296</v>
      </c>
      <c r="AK2824">
        <v>215.47630107702</v>
      </c>
      <c r="AL2824">
        <v>86.120927062795801</v>
      </c>
      <c r="AM2824">
        <v>97.833042668173505</v>
      </c>
      <c r="AN2824">
        <v>1.00000006213894</v>
      </c>
    </row>
    <row r="2825" spans="1:40" x14ac:dyDescent="0.25">
      <c r="A2825" t="str">
        <f>"20190312151040900"</f>
        <v>20190312151040900</v>
      </c>
      <c r="B2825" t="str">
        <f>"1552374640893074"</f>
        <v>1552374640893074</v>
      </c>
      <c r="C2825" t="s">
        <v>40</v>
      </c>
      <c r="D2825">
        <v>5.4981859999999996</v>
      </c>
      <c r="E2825">
        <v>0.48534070000000001</v>
      </c>
      <c r="F2825" t="s">
        <v>72</v>
      </c>
      <c r="G2825">
        <v>-251.5479</v>
      </c>
      <c r="H2825">
        <v>30.157820000000001</v>
      </c>
      <c r="I2825">
        <v>244.9349</v>
      </c>
      <c r="J2825">
        <v>-465.9796</v>
      </c>
      <c r="K2825">
        <v>1.1296139999999999</v>
      </c>
      <c r="L2825">
        <v>210.6722</v>
      </c>
      <c r="M2825">
        <v>0.99995389999999995</v>
      </c>
      <c r="N2825">
        <v>0</v>
      </c>
      <c r="O2825">
        <v>-2.0331659999999999E-3</v>
      </c>
      <c r="P2825">
        <v>0.98932889999999996</v>
      </c>
      <c r="Q2825">
        <v>6.0407170000000003E-2</v>
      </c>
      <c r="R2825">
        <v>0.13258710000000001</v>
      </c>
      <c r="S2825">
        <v>2.947327</v>
      </c>
      <c r="T2825">
        <v>0.39848090000000003</v>
      </c>
      <c r="U2825">
        <v>0.4704895</v>
      </c>
      <c r="V2825">
        <v>-0.13440629999999901</v>
      </c>
      <c r="W2825">
        <v>7.0056519999999997E-2</v>
      </c>
      <c r="X2825">
        <v>0.98844679999999996</v>
      </c>
      <c r="Y2825">
        <v>-0.15822220000000001</v>
      </c>
      <c r="Z2825">
        <v>-1.085332E-2</v>
      </c>
      <c r="AA2825">
        <v>0.98734390000000005</v>
      </c>
      <c r="AB2825">
        <v>29</v>
      </c>
      <c r="AC2825">
        <v>214.43170000000001</v>
      </c>
      <c r="AD2825">
        <v>29.028206000000001</v>
      </c>
      <c r="AE2825">
        <v>34.262699999999903</v>
      </c>
      <c r="AF2825">
        <v>-34.089460201773797</v>
      </c>
      <c r="AG2825">
        <v>29.028206000000001</v>
      </c>
      <c r="AH2825">
        <v>210.59829455086299</v>
      </c>
      <c r="AI2825">
        <v>82.251588092852799</v>
      </c>
      <c r="AJ2825">
        <v>99.194692315710597</v>
      </c>
      <c r="AK2825">
        <v>215.30529419445</v>
      </c>
      <c r="AL2825">
        <v>85.982766547133394</v>
      </c>
      <c r="AM2825">
        <v>97.743432007719406</v>
      </c>
      <c r="AN2825">
        <v>1.0000000229522199</v>
      </c>
    </row>
    <row r="2826" spans="1:40" x14ac:dyDescent="0.25">
      <c r="A2826" t="str">
        <f>"20190312151040923"</f>
        <v>20190312151040923</v>
      </c>
      <c r="B2826" t="str">
        <f>"1552374640913569"</f>
        <v>1552374640913569</v>
      </c>
      <c r="C2826" t="s">
        <v>40</v>
      </c>
      <c r="D2826">
        <v>5.551571</v>
      </c>
      <c r="E2826">
        <v>0.48620550000000001</v>
      </c>
      <c r="F2826" t="s">
        <v>72</v>
      </c>
      <c r="G2826">
        <v>-251.548</v>
      </c>
      <c r="H2826">
        <v>30.512920000000001</v>
      </c>
      <c r="I2826">
        <v>248.84780000000001</v>
      </c>
      <c r="J2826">
        <v>-465.69580000000002</v>
      </c>
      <c r="K2826">
        <v>1.1307149999999999</v>
      </c>
      <c r="L2826">
        <v>210.69</v>
      </c>
      <c r="M2826">
        <v>0.99976560000000003</v>
      </c>
      <c r="N2826">
        <v>0</v>
      </c>
      <c r="O2826">
        <v>1.9247719999999999E-2</v>
      </c>
      <c r="P2826">
        <v>0.98666620000000005</v>
      </c>
      <c r="Q2826">
        <v>5.9835739999999998E-2</v>
      </c>
      <c r="R2826">
        <v>0.1513582</v>
      </c>
      <c r="S2826">
        <v>2.9376530000000001</v>
      </c>
      <c r="T2826">
        <v>0.40254309999999899</v>
      </c>
      <c r="U2826">
        <v>0.52299499999999999</v>
      </c>
      <c r="V2826">
        <v>-0.13195399999999999</v>
      </c>
      <c r="W2826">
        <v>7.0365239999999996E-2</v>
      </c>
      <c r="X2826">
        <v>0.98875519999999995</v>
      </c>
      <c r="Y2826">
        <v>-0.15506310000000001</v>
      </c>
      <c r="Z2826">
        <v>-7.8893509999999993E-3</v>
      </c>
      <c r="AA2826">
        <v>0.98787309999999995</v>
      </c>
      <c r="AB2826">
        <v>29</v>
      </c>
      <c r="AC2826">
        <v>214.14779999999999</v>
      </c>
      <c r="AD2826">
        <v>29.382204999999999</v>
      </c>
      <c r="AE2826">
        <v>38.157800000000002</v>
      </c>
      <c r="AF2826">
        <v>-33.418910203537799</v>
      </c>
      <c r="AG2826">
        <v>29.382204999999999</v>
      </c>
      <c r="AH2826">
        <v>210.99283989732601</v>
      </c>
      <c r="AI2826">
        <v>82.168544567708906</v>
      </c>
      <c r="AJ2826">
        <v>99.000245660482506</v>
      </c>
      <c r="AK2826">
        <v>215.63421810508899</v>
      </c>
      <c r="AL2826">
        <v>85.965034282508697</v>
      </c>
      <c r="AM2826">
        <v>97.601473966292801</v>
      </c>
      <c r="AN2826">
        <v>0.99999998532164802</v>
      </c>
    </row>
    <row r="2827" spans="1:40" x14ac:dyDescent="0.25">
      <c r="A2827" t="str">
        <f>"20190312151040945"</f>
        <v>20190312151040945</v>
      </c>
      <c r="B2827" t="str">
        <f>"1552374640933093"</f>
        <v>1552374640933093</v>
      </c>
      <c r="C2827" t="s">
        <v>40</v>
      </c>
      <c r="D2827">
        <v>5.6326179999999999</v>
      </c>
      <c r="E2827">
        <v>0.4873516</v>
      </c>
      <c r="F2827" t="s">
        <v>73</v>
      </c>
      <c r="G2827">
        <v>-355.01190000000003</v>
      </c>
      <c r="H2827">
        <v>16.437390000000001</v>
      </c>
      <c r="I2827">
        <v>232.3528</v>
      </c>
      <c r="J2827">
        <v>-465.40809999999999</v>
      </c>
      <c r="K2827">
        <v>1.1319619999999999</v>
      </c>
      <c r="L2827">
        <v>210.71340000000001</v>
      </c>
      <c r="M2827">
        <v>0.9991314</v>
      </c>
      <c r="N2827">
        <v>0</v>
      </c>
      <c r="O2827">
        <v>4.0337949999999997E-2</v>
      </c>
      <c r="P2827">
        <v>0.98430439999999997</v>
      </c>
      <c r="Q2827">
        <v>5.6816730000000003E-2</v>
      </c>
      <c r="R2827">
        <v>0.16708249999999999</v>
      </c>
      <c r="S2827">
        <v>2.92807</v>
      </c>
      <c r="T2827">
        <v>0.40492939999999999</v>
      </c>
      <c r="U2827">
        <v>0.57307430000000004</v>
      </c>
      <c r="V2827">
        <v>-0.12671949999999901</v>
      </c>
      <c r="W2827">
        <v>6.8146600000000002E-2</v>
      </c>
      <c r="X2827">
        <v>0.989595</v>
      </c>
      <c r="Y2827">
        <v>-0.15131240000000001</v>
      </c>
      <c r="Z2827">
        <v>-4.8222279999999996E-3</v>
      </c>
      <c r="AA2827">
        <v>0.98847419999999997</v>
      </c>
      <c r="AB2827">
        <v>29</v>
      </c>
      <c r="AC2827">
        <v>110.396199999999</v>
      </c>
      <c r="AD2827">
        <v>15.305427999999999</v>
      </c>
      <c r="AE2827">
        <v>21.639399999999899</v>
      </c>
      <c r="AF2827">
        <v>-16.856372728126399</v>
      </c>
      <c r="AG2827">
        <v>15.305427999999999</v>
      </c>
      <c r="AH2827">
        <v>109.158735724632</v>
      </c>
      <c r="AI2827">
        <v>82.110754393875496</v>
      </c>
      <c r="AJ2827">
        <v>98.778319646069903</v>
      </c>
      <c r="AK2827">
        <v>111.50795044665099</v>
      </c>
      <c r="AL2827">
        <v>86.092459139982907</v>
      </c>
      <c r="AM2827">
        <v>97.297120867268703</v>
      </c>
      <c r="AN2827">
        <v>1.0000000273984</v>
      </c>
    </row>
    <row r="2828" spans="1:40" x14ac:dyDescent="0.25">
      <c r="A2828" t="str">
        <f>"20190312151040967"</f>
        <v>20190312151040967</v>
      </c>
      <c r="B2828" t="str">
        <f>"1552374640963346"</f>
        <v>1552374640963346</v>
      </c>
      <c r="C2828" t="s">
        <v>40</v>
      </c>
      <c r="D2828">
        <v>5.6954549999999999</v>
      </c>
      <c r="E2828">
        <v>0.48902050000000002</v>
      </c>
      <c r="F2828" t="s">
        <v>73</v>
      </c>
      <c r="G2828">
        <v>-359.97930000000002</v>
      </c>
      <c r="H2828">
        <v>15.46069</v>
      </c>
      <c r="I2828">
        <v>232.75</v>
      </c>
      <c r="J2828">
        <v>-465.13679999999999</v>
      </c>
      <c r="K2828">
        <v>1.13314</v>
      </c>
      <c r="L2828">
        <v>210.7405</v>
      </c>
      <c r="M2828">
        <v>0.99815810000000005</v>
      </c>
      <c r="N2828">
        <v>0</v>
      </c>
      <c r="O2828">
        <v>5.9669390000000003E-2</v>
      </c>
      <c r="P2828">
        <v>0.98203960000000001</v>
      </c>
      <c r="Q2828">
        <v>5.5846069999999998E-2</v>
      </c>
      <c r="R2828">
        <v>0.1802211</v>
      </c>
      <c r="S2828">
        <v>2.9213260000000001</v>
      </c>
      <c r="T2828">
        <v>0.397036</v>
      </c>
      <c r="U2828">
        <v>0.61061100000000001</v>
      </c>
      <c r="V2828">
        <v>-0.120666</v>
      </c>
      <c r="W2828">
        <v>6.7834050000000007E-2</v>
      </c>
      <c r="X2828">
        <v>0.99037280000000005</v>
      </c>
      <c r="Y2828">
        <v>-0.14507120000000001</v>
      </c>
      <c r="Z2828">
        <v>-1.737604E-3</v>
      </c>
      <c r="AA2828">
        <v>0.98941970000000001</v>
      </c>
      <c r="AB2828">
        <v>29</v>
      </c>
      <c r="AC2828">
        <v>105.157499999999</v>
      </c>
      <c r="AD2828">
        <v>14.32755</v>
      </c>
      <c r="AE2828">
        <v>22.009499999999999</v>
      </c>
      <c r="AF2828">
        <v>-15.420963178122699</v>
      </c>
      <c r="AG2828">
        <v>14.32755</v>
      </c>
      <c r="AH2828">
        <v>104.426302879343</v>
      </c>
      <c r="AI2828">
        <v>82.270449619990899</v>
      </c>
      <c r="AJ2828">
        <v>98.400337413669803</v>
      </c>
      <c r="AK2828">
        <v>106.526698659969</v>
      </c>
      <c r="AL2828">
        <v>86.1104084122709</v>
      </c>
      <c r="AM2828">
        <v>96.946620100047795</v>
      </c>
      <c r="AN2828">
        <v>1.00000001243762</v>
      </c>
    </row>
    <row r="2829" spans="1:40" x14ac:dyDescent="0.25">
      <c r="A2829" t="str">
        <f>"20190312151040992"</f>
        <v>20190312151040992</v>
      </c>
      <c r="B2829" t="str">
        <f>"1552374640983842"</f>
        <v>1552374640983842</v>
      </c>
      <c r="C2829" t="s">
        <v>40</v>
      </c>
      <c r="D2829">
        <v>5.6523599999999998</v>
      </c>
      <c r="E2829">
        <v>0.48964659999999899</v>
      </c>
      <c r="F2829" t="s">
        <v>73</v>
      </c>
      <c r="G2829">
        <v>-368.8075</v>
      </c>
      <c r="H2829">
        <v>14.22705</v>
      </c>
      <c r="I2829">
        <v>231.73939999999999</v>
      </c>
      <c r="J2829">
        <v>-464.81349999999998</v>
      </c>
      <c r="K2829">
        <v>1.134444</v>
      </c>
      <c r="L2829">
        <v>210.77889999999999</v>
      </c>
      <c r="M2829">
        <v>0.99657450000000003</v>
      </c>
      <c r="N2829">
        <v>0</v>
      </c>
      <c r="O2829">
        <v>8.1898739999999998E-2</v>
      </c>
      <c r="P2829">
        <v>0.97963549999999999</v>
      </c>
      <c r="Q2829">
        <v>5.7451170000000003E-2</v>
      </c>
      <c r="R2829">
        <v>0.19238930000000001</v>
      </c>
      <c r="S2829">
        <v>2.91568</v>
      </c>
      <c r="T2829">
        <v>0.3963256</v>
      </c>
      <c r="U2829">
        <v>0.63558959999999998</v>
      </c>
      <c r="V2829">
        <v>-0.11072659999999999</v>
      </c>
      <c r="W2829">
        <v>7.0090769999999997E-2</v>
      </c>
      <c r="X2829">
        <v>0.99137629999999999</v>
      </c>
      <c r="Y2829">
        <v>-0.13181039999999999</v>
      </c>
      <c r="Z2829">
        <v>2.1067630000000002E-3</v>
      </c>
      <c r="AA2829">
        <v>0.99127270000000001</v>
      </c>
      <c r="AB2829">
        <v>29</v>
      </c>
      <c r="AC2829">
        <v>96.005999999999901</v>
      </c>
      <c r="AD2829">
        <v>13.092606</v>
      </c>
      <c r="AE2829">
        <v>20.9605</v>
      </c>
      <c r="AF2829">
        <v>-12.7995778043926</v>
      </c>
      <c r="AG2829">
        <v>13.092606</v>
      </c>
      <c r="AH2829">
        <v>95.701358478075093</v>
      </c>
      <c r="AI2829">
        <v>82.277821431545107</v>
      </c>
      <c r="AJ2829">
        <v>97.6178166576927</v>
      </c>
      <c r="AK2829">
        <v>97.437136341289104</v>
      </c>
      <c r="AL2829">
        <v>85.980799367764305</v>
      </c>
      <c r="AM2829">
        <v>96.3729405665174</v>
      </c>
      <c r="AN2829">
        <v>1.0000000320942199</v>
      </c>
    </row>
    <row r="2830" spans="1:40" x14ac:dyDescent="0.25">
      <c r="A2830" t="str">
        <f>"20190312151041012"</f>
        <v>20190312151041012</v>
      </c>
      <c r="B2830" t="str">
        <f>"1552374641003361"</f>
        <v>1552374641003361</v>
      </c>
      <c r="C2830" t="s">
        <v>40</v>
      </c>
      <c r="D2830">
        <v>5.7233769999999904</v>
      </c>
      <c r="E2830">
        <v>0.50682759999999905</v>
      </c>
      <c r="F2830" t="s">
        <v>73</v>
      </c>
      <c r="G2830">
        <v>-373.28019999999998</v>
      </c>
      <c r="H2830">
        <v>13.78445</v>
      </c>
      <c r="I2830">
        <v>231.73939999999999</v>
      </c>
      <c r="J2830">
        <v>-464.56270000000001</v>
      </c>
      <c r="K2830">
        <v>1.135157</v>
      </c>
      <c r="L2830">
        <v>210.81309999999999</v>
      </c>
      <c r="M2830">
        <v>0.9949905</v>
      </c>
      <c r="N2830">
        <v>0</v>
      </c>
      <c r="O2830">
        <v>9.9305039999999997E-2</v>
      </c>
      <c r="P2830">
        <v>0.97782429999999998</v>
      </c>
      <c r="Q2830">
        <v>6.2913979999999994E-2</v>
      </c>
      <c r="R2830">
        <v>0.1997544</v>
      </c>
      <c r="S2830">
        <v>2.9079899999999999</v>
      </c>
      <c r="T2830">
        <v>0.40188940000000001</v>
      </c>
      <c r="U2830">
        <v>0.66590879999999997</v>
      </c>
      <c r="V2830">
        <v>-0.1007039</v>
      </c>
      <c r="W2830">
        <v>7.5631630000000005E-2</v>
      </c>
      <c r="X2830">
        <v>0.99203759999999996</v>
      </c>
      <c r="Y2830">
        <v>-0.12507219999999999</v>
      </c>
      <c r="Z2830">
        <v>4.9404039999999998E-3</v>
      </c>
      <c r="AA2830">
        <v>0.99213530000000005</v>
      </c>
      <c r="AB2830">
        <v>29</v>
      </c>
      <c r="AC2830">
        <v>91.282499999999999</v>
      </c>
      <c r="AD2830">
        <v>12.649293</v>
      </c>
      <c r="AE2830">
        <v>20.926300000000001</v>
      </c>
      <c r="AF2830">
        <v>-11.5467798763912</v>
      </c>
      <c r="AG2830">
        <v>12.649293</v>
      </c>
      <c r="AH2830">
        <v>91.244816004508706</v>
      </c>
      <c r="AI2830">
        <v>82.169045625290494</v>
      </c>
      <c r="AJ2830">
        <v>97.212286285921806</v>
      </c>
      <c r="AK2830">
        <v>92.838295905355494</v>
      </c>
      <c r="AL2830">
        <v>85.662484920854197</v>
      </c>
      <c r="AM2830">
        <v>95.796363959937594</v>
      </c>
      <c r="AN2830">
        <v>1.0000000093727099</v>
      </c>
    </row>
    <row r="2831" spans="1:40" x14ac:dyDescent="0.25">
      <c r="A2831" t="str">
        <f>"20190312151041036"</f>
        <v>20190312151041036</v>
      </c>
      <c r="B2831" t="str">
        <f>"1552374641033618"</f>
        <v>1552374641033618</v>
      </c>
      <c r="C2831" t="s">
        <v>40</v>
      </c>
      <c r="D2831">
        <v>5.7105050000000004</v>
      </c>
      <c r="E2831">
        <v>0.50895559999999995</v>
      </c>
      <c r="F2831" t="s">
        <v>74</v>
      </c>
      <c r="G2831">
        <v>-251.69810000000001</v>
      </c>
      <c r="H2831">
        <v>30.83276</v>
      </c>
      <c r="I2831">
        <v>250.9837</v>
      </c>
      <c r="J2831">
        <v>-464.25729999999999</v>
      </c>
      <c r="K2831">
        <v>1.13591</v>
      </c>
      <c r="L2831">
        <v>210.85910000000001</v>
      </c>
      <c r="M2831">
        <v>0.99266549999999998</v>
      </c>
      <c r="N2831">
        <v>0</v>
      </c>
      <c r="O2831">
        <v>0.1203299</v>
      </c>
      <c r="P2831">
        <v>0.97542119999999999</v>
      </c>
      <c r="Q2831">
        <v>6.4057840000000005E-2</v>
      </c>
      <c r="R2831">
        <v>0.21083189999999999</v>
      </c>
      <c r="S2831">
        <v>2.9288639999999999</v>
      </c>
      <c r="T2831">
        <v>0.40861750000000002</v>
      </c>
      <c r="U2831">
        <v>0.55271910000000002</v>
      </c>
      <c r="V2831">
        <v>-9.0825989999999995E-2</v>
      </c>
      <c r="W2831">
        <v>7.6954339999999996E-2</v>
      </c>
      <c r="X2831">
        <v>0.99288900000000002</v>
      </c>
      <c r="Y2831">
        <v>-6.6340949999999996E-2</v>
      </c>
      <c r="Z2831">
        <v>1.1921650000000001E-2</v>
      </c>
      <c r="AA2831">
        <v>0.9977258</v>
      </c>
      <c r="AB2831">
        <v>29</v>
      </c>
      <c r="AC2831">
        <v>212.5592</v>
      </c>
      <c r="AD2831">
        <v>29.696850000000001</v>
      </c>
      <c r="AE2831">
        <v>40.124600000000001</v>
      </c>
      <c r="AF2831">
        <v>-13.9903635921104</v>
      </c>
      <c r="AG2831">
        <v>29.696850000000001</v>
      </c>
      <c r="AH2831">
        <v>211.85018721490701</v>
      </c>
      <c r="AI2831">
        <v>82.037477684844006</v>
      </c>
      <c r="AJ2831">
        <v>93.778266882266294</v>
      </c>
      <c r="AK2831">
        <v>214.378485385901</v>
      </c>
      <c r="AL2831">
        <v>85.586477419276406</v>
      </c>
      <c r="AM2831">
        <v>95.226669745025703</v>
      </c>
      <c r="AN2831">
        <v>0.99999994861265595</v>
      </c>
    </row>
    <row r="2832" spans="1:40" x14ac:dyDescent="0.25">
      <c r="A2832" t="str">
        <f>"20190312151041059"</f>
        <v>20190312151041059</v>
      </c>
      <c r="B2832" t="str">
        <f>"1552374641053138"</f>
        <v>1552374641053138</v>
      </c>
      <c r="C2832" t="s">
        <v>40</v>
      </c>
      <c r="D2832">
        <v>5.7043860000000004</v>
      </c>
      <c r="E2832">
        <v>0.5103548</v>
      </c>
      <c r="F2832" t="s">
        <v>73</v>
      </c>
      <c r="G2832">
        <v>-354.1986</v>
      </c>
      <c r="H2832">
        <v>16.706789999999899</v>
      </c>
      <c r="I2832">
        <v>232.2921</v>
      </c>
      <c r="J2832">
        <v>-463.9776</v>
      </c>
      <c r="K2832">
        <v>1.1366229999999999</v>
      </c>
      <c r="L2832">
        <v>210.90559999999999</v>
      </c>
      <c r="M2832">
        <v>0.99028210000000005</v>
      </c>
      <c r="N2832">
        <v>0</v>
      </c>
      <c r="O2832">
        <v>0.1385284</v>
      </c>
      <c r="P2832">
        <v>0.97367000000000004</v>
      </c>
      <c r="Q2832">
        <v>6.0050050000000001E-2</v>
      </c>
      <c r="R2832">
        <v>0.21991140000000001</v>
      </c>
      <c r="S2832">
        <v>2.925354</v>
      </c>
      <c r="T2832">
        <v>0.41387459999999998</v>
      </c>
      <c r="U2832">
        <v>0.5696869</v>
      </c>
      <c r="V2832">
        <v>-8.1783540000000002E-2</v>
      </c>
      <c r="W2832">
        <v>7.3546050000000002E-2</v>
      </c>
      <c r="X2832">
        <v>0.99393279999999995</v>
      </c>
      <c r="Y2832">
        <v>-5.4120929999999998E-2</v>
      </c>
      <c r="Z2832">
        <v>1.543888E-2</v>
      </c>
      <c r="AA2832">
        <v>0.9984151</v>
      </c>
      <c r="AB2832">
        <v>29</v>
      </c>
      <c r="AC2832">
        <v>109.779</v>
      </c>
      <c r="AD2832">
        <v>15.5701669999999</v>
      </c>
      <c r="AE2832">
        <v>21.386500000000002</v>
      </c>
      <c r="AF2832">
        <v>-5.8580766143411402</v>
      </c>
      <c r="AG2832">
        <v>15.5701669999999</v>
      </c>
      <c r="AH2832">
        <v>109.55990951662601</v>
      </c>
      <c r="AI2832">
        <v>81.922927361191995</v>
      </c>
      <c r="AJ2832">
        <v>93.060642827394403</v>
      </c>
      <c r="AK2832">
        <v>110.815707078548</v>
      </c>
      <c r="AL2832">
        <v>85.782313589683397</v>
      </c>
      <c r="AM2832">
        <v>94.703858564899704</v>
      </c>
      <c r="AN2832">
        <v>0.99999998990068695</v>
      </c>
    </row>
    <row r="2833" spans="1:40" x14ac:dyDescent="0.25">
      <c r="A2833" t="str">
        <f>"20190312151041080"</f>
        <v>20190312151041080</v>
      </c>
      <c r="B2833" t="str">
        <f>"1552374641073635"</f>
        <v>1552374641073635</v>
      </c>
      <c r="C2833" t="s">
        <v>40</v>
      </c>
      <c r="D2833">
        <v>5.6917220000000004</v>
      </c>
      <c r="E2833">
        <v>0.51123719999999995</v>
      </c>
      <c r="F2833" t="s">
        <v>73</v>
      </c>
      <c r="G2833">
        <v>-355.01190000000003</v>
      </c>
      <c r="H2833">
        <v>16.129020000000001</v>
      </c>
      <c r="I2833">
        <v>232.74279999999999</v>
      </c>
      <c r="J2833">
        <v>-463.70510000000002</v>
      </c>
      <c r="K2833">
        <v>1.137308</v>
      </c>
      <c r="L2833">
        <v>210.9546</v>
      </c>
      <c r="M2833">
        <v>0.98778719999999998</v>
      </c>
      <c r="N2833">
        <v>0</v>
      </c>
      <c r="O2833">
        <v>0.15526409999999999</v>
      </c>
      <c r="P2833">
        <v>0.97191950000000005</v>
      </c>
      <c r="Q2833">
        <v>5.7863159999999997E-2</v>
      </c>
      <c r="R2833">
        <v>0.22808829999999999</v>
      </c>
      <c r="S2833">
        <v>2.9239199999999999</v>
      </c>
      <c r="T2833">
        <v>0.40229860000000001</v>
      </c>
      <c r="U2833">
        <v>0.58596800000000004</v>
      </c>
      <c r="V2833">
        <v>-7.3297979999999999E-2</v>
      </c>
      <c r="W2833">
        <v>7.1963819999999998E-2</v>
      </c>
      <c r="X2833">
        <v>0.99471030000000005</v>
      </c>
      <c r="Y2833">
        <v>-4.2866439999999999E-2</v>
      </c>
      <c r="Z2833">
        <v>1.8006499999999901E-2</v>
      </c>
      <c r="AA2833">
        <v>0.99891850000000004</v>
      </c>
      <c r="AB2833">
        <v>29</v>
      </c>
      <c r="AC2833">
        <v>108.6932</v>
      </c>
      <c r="AD2833">
        <v>14.991712</v>
      </c>
      <c r="AE2833">
        <v>21.7881999999999</v>
      </c>
      <c r="AF2833">
        <v>-4.5628965440246496</v>
      </c>
      <c r="AG2833">
        <v>14.991712</v>
      </c>
      <c r="AH2833">
        <v>108.768800264384</v>
      </c>
      <c r="AI2833">
        <v>82.159121996264005</v>
      </c>
      <c r="AJ2833">
        <v>92.402173367288299</v>
      </c>
      <c r="AK2833">
        <v>109.891871239487</v>
      </c>
      <c r="AL2833">
        <v>85.873209561551405</v>
      </c>
      <c r="AM2833">
        <v>94.2143811463269</v>
      </c>
      <c r="AN2833">
        <v>0.99999998309358096</v>
      </c>
    </row>
    <row r="2834" spans="1:40" x14ac:dyDescent="0.25">
      <c r="A2834" t="str">
        <f>"20190312151041101"</f>
        <v>20190312151041101</v>
      </c>
      <c r="B2834" t="str">
        <f>"1552374641093154"</f>
        <v>1552374641093154</v>
      </c>
      <c r="C2834" t="s">
        <v>40</v>
      </c>
      <c r="D2834">
        <v>5.6857189999999997</v>
      </c>
      <c r="E2834">
        <v>0.51222000000000001</v>
      </c>
      <c r="F2834" t="s">
        <v>73</v>
      </c>
      <c r="G2834">
        <v>-358.0736</v>
      </c>
      <c r="H2834">
        <v>15.62805</v>
      </c>
      <c r="I2834">
        <v>232.75</v>
      </c>
      <c r="J2834">
        <v>-463.43169999999998</v>
      </c>
      <c r="K2834">
        <v>1.1380629999999901</v>
      </c>
      <c r="L2834">
        <v>211.00749999999999</v>
      </c>
      <c r="M2834">
        <v>0.98516939999999997</v>
      </c>
      <c r="N2834">
        <v>0</v>
      </c>
      <c r="O2834">
        <v>0.17103180000000001</v>
      </c>
      <c r="P2834">
        <v>0.97042969999999895</v>
      </c>
      <c r="Q2834">
        <v>5.9080960000000002E-2</v>
      </c>
      <c r="R2834">
        <v>0.23404230000000001</v>
      </c>
      <c r="S2834">
        <v>2.9213260000000001</v>
      </c>
      <c r="T2834">
        <v>0.40075480000000002</v>
      </c>
      <c r="U2834">
        <v>0.60276790000000002</v>
      </c>
      <c r="V2834">
        <v>-6.3518790000000006E-2</v>
      </c>
      <c r="W2834">
        <v>7.3733419999999994E-2</v>
      </c>
      <c r="X2834">
        <v>0.9952531</v>
      </c>
      <c r="Y2834">
        <v>-3.2799500000000002E-2</v>
      </c>
      <c r="Z2834">
        <v>2.0713309999999999E-2</v>
      </c>
      <c r="AA2834">
        <v>0.99924729999999995</v>
      </c>
      <c r="AB2834">
        <v>29</v>
      </c>
      <c r="AC2834">
        <v>105.358099999999</v>
      </c>
      <c r="AD2834">
        <v>14.489986999999999</v>
      </c>
      <c r="AE2834">
        <v>21.7425</v>
      </c>
      <c r="AF2834">
        <v>-3.3401842615754198</v>
      </c>
      <c r="AG2834">
        <v>14.489986999999999</v>
      </c>
      <c r="AH2834">
        <v>105.608457567481</v>
      </c>
      <c r="AI2834">
        <v>82.191380600288596</v>
      </c>
      <c r="AJ2834">
        <v>91.811547008349606</v>
      </c>
      <c r="AK2834">
        <v>106.650189235387</v>
      </c>
      <c r="AL2834">
        <v>85.771548867285802</v>
      </c>
      <c r="AM2834">
        <v>93.651763889043707</v>
      </c>
      <c r="AN2834">
        <v>0.99999999348378499</v>
      </c>
    </row>
    <row r="2835" spans="1:40" x14ac:dyDescent="0.25">
      <c r="A2835" t="str">
        <f>"20190312151041122"</f>
        <v>20190312151041122</v>
      </c>
      <c r="B2835" t="str">
        <f>"1552374641113649"</f>
        <v>1552374641113649</v>
      </c>
      <c r="C2835" t="s">
        <v>40</v>
      </c>
      <c r="D2835">
        <v>5.6841650000000001</v>
      </c>
      <c r="E2835">
        <v>0.51913260000000006</v>
      </c>
      <c r="F2835" t="s">
        <v>73</v>
      </c>
      <c r="G2835">
        <v>-359.63010000000003</v>
      </c>
      <c r="H2835">
        <v>15.55945</v>
      </c>
      <c r="I2835">
        <v>232.75</v>
      </c>
      <c r="J2835">
        <v>-463.17439999999999</v>
      </c>
      <c r="K2835">
        <v>1.1387499999999999</v>
      </c>
      <c r="L2835">
        <v>211.06059999999999</v>
      </c>
      <c r="M2835">
        <v>0.98264720000000005</v>
      </c>
      <c r="N2835">
        <v>0</v>
      </c>
      <c r="O2835">
        <v>0.18491099999999999</v>
      </c>
      <c r="P2835">
        <v>0.97002710000000003</v>
      </c>
      <c r="Q2835">
        <v>6.235562E-2</v>
      </c>
      <c r="R2835">
        <v>0.23486000000000001</v>
      </c>
      <c r="S2835">
        <v>2.9192200000000001</v>
      </c>
      <c r="T2835">
        <v>0.40557539999999997</v>
      </c>
      <c r="U2835">
        <v>0.6114655</v>
      </c>
      <c r="V2835">
        <v>-5.0373699999999903E-2</v>
      </c>
      <c r="W2835">
        <v>7.756238E-2</v>
      </c>
      <c r="X2835">
        <v>0.99571410000000005</v>
      </c>
      <c r="Y2835">
        <v>-2.194494E-2</v>
      </c>
      <c r="Z2835">
        <v>2.3568370000000002E-2</v>
      </c>
      <c r="AA2835">
        <v>0.99948130000000002</v>
      </c>
      <c r="AB2835">
        <v>29</v>
      </c>
      <c r="AC2835">
        <v>103.544299999999</v>
      </c>
      <c r="AD2835">
        <v>14.4207</v>
      </c>
      <c r="AE2835">
        <v>21.689399999999999</v>
      </c>
      <c r="AF2835">
        <v>-2.1272516373779098</v>
      </c>
      <c r="AG2835">
        <v>14.4207</v>
      </c>
      <c r="AH2835">
        <v>103.839902050456</v>
      </c>
      <c r="AI2835">
        <v>82.095291499546605</v>
      </c>
      <c r="AJ2835">
        <v>91.173590233341997</v>
      </c>
      <c r="AK2835">
        <v>104.858032815169</v>
      </c>
      <c r="AL2835">
        <v>85.551535083659999</v>
      </c>
      <c r="AM2835">
        <v>92.896154496306707</v>
      </c>
      <c r="AN2835">
        <v>1.00000000069088</v>
      </c>
    </row>
    <row r="2836" spans="1:40" x14ac:dyDescent="0.25">
      <c r="A2836" t="str">
        <f>"20190312151041146"</f>
        <v>20190312151041146</v>
      </c>
      <c r="B2836" t="str">
        <f>"1552374641143906"</f>
        <v>1552374641143906</v>
      </c>
      <c r="C2836" t="s">
        <v>40</v>
      </c>
      <c r="D2836">
        <v>5.7357490000000002</v>
      </c>
      <c r="E2836">
        <v>0.52029110000000001</v>
      </c>
      <c r="F2836" t="s">
        <v>74</v>
      </c>
      <c r="G2836">
        <v>-251.6987</v>
      </c>
      <c r="H2836">
        <v>32.424700000000001</v>
      </c>
      <c r="I2836">
        <v>251.4246</v>
      </c>
      <c r="J2836">
        <v>-462.88159999999999</v>
      </c>
      <c r="K2836">
        <v>1.1392639999999901</v>
      </c>
      <c r="L2836">
        <v>211.125</v>
      </c>
      <c r="M2836">
        <v>0.97967150000000003</v>
      </c>
      <c r="N2836">
        <v>0</v>
      </c>
      <c r="O2836">
        <v>0.20000589999999999</v>
      </c>
      <c r="P2836">
        <v>0.96984239999999999</v>
      </c>
      <c r="Q2836">
        <v>6.2762899999999996E-2</v>
      </c>
      <c r="R2836">
        <v>0.2355129</v>
      </c>
      <c r="S2836">
        <v>2.9294739999999999</v>
      </c>
      <c r="T2836">
        <v>0.43338939999999998</v>
      </c>
      <c r="U2836">
        <v>0.5591431</v>
      </c>
      <c r="V2836">
        <v>-3.5813240000000003E-2</v>
      </c>
      <c r="W2836">
        <v>7.8691410000000003E-2</v>
      </c>
      <c r="X2836">
        <v>0.99625549999999996</v>
      </c>
      <c r="Y2836">
        <v>1.061843E-2</v>
      </c>
      <c r="Z2836">
        <v>2.9662069999999999E-2</v>
      </c>
      <c r="AA2836">
        <v>0.99950360000000005</v>
      </c>
      <c r="AB2836">
        <v>29</v>
      </c>
      <c r="AC2836">
        <v>211.18289999999999</v>
      </c>
      <c r="AD2836">
        <v>31.285435999999901</v>
      </c>
      <c r="AE2836">
        <v>40.299599999999998</v>
      </c>
      <c r="AF2836">
        <v>2.7006027335392302</v>
      </c>
      <c r="AG2836">
        <v>31.285435999999901</v>
      </c>
      <c r="AH2836">
        <v>210.518153168841</v>
      </c>
      <c r="AI2836">
        <v>81.547735531005799</v>
      </c>
      <c r="AJ2836">
        <v>89.265029408145594</v>
      </c>
      <c r="AK2836">
        <v>212.84727993200599</v>
      </c>
      <c r="AL2836">
        <v>85.486647972183604</v>
      </c>
      <c r="AM2836">
        <v>92.058773389523097</v>
      </c>
      <c r="AN2836">
        <v>0.999999973723667</v>
      </c>
    </row>
    <row r="2837" spans="1:40" x14ac:dyDescent="0.25">
      <c r="A2837" t="str">
        <f>"20190312151041169"</f>
        <v>20190312151041169</v>
      </c>
      <c r="B2837" t="str">
        <f>"1552374641163426"</f>
        <v>1552374641163426</v>
      </c>
      <c r="C2837" t="s">
        <v>40</v>
      </c>
      <c r="D2837">
        <v>5.6875109999999998</v>
      </c>
      <c r="E2837">
        <v>0.52097349999999998</v>
      </c>
      <c r="F2837" t="s">
        <v>74</v>
      </c>
      <c r="G2837">
        <v>-251.6985</v>
      </c>
      <c r="H2837">
        <v>32.039720000000003</v>
      </c>
      <c r="I2837">
        <v>250.82210000000001</v>
      </c>
      <c r="J2837">
        <v>-462.60059999999999</v>
      </c>
      <c r="K2837">
        <v>1.13934</v>
      </c>
      <c r="L2837">
        <v>211.1902</v>
      </c>
      <c r="M2837">
        <v>0.97663359999999999</v>
      </c>
      <c r="N2837">
        <v>0</v>
      </c>
      <c r="O2837">
        <v>0.2142831</v>
      </c>
      <c r="P2837">
        <v>0.96987610000000002</v>
      </c>
      <c r="Q2837">
        <v>6.2741039999999998E-2</v>
      </c>
      <c r="R2837">
        <v>0.2353808</v>
      </c>
      <c r="S2837">
        <v>2.931702</v>
      </c>
      <c r="T2837">
        <v>0.42896849999999997</v>
      </c>
      <c r="U2837">
        <v>0.55108639999999998</v>
      </c>
      <c r="V2837">
        <v>-2.1210469999999999E-2</v>
      </c>
      <c r="W2837">
        <v>7.9349749999999997E-2</v>
      </c>
      <c r="X2837">
        <v>0.99662110000000004</v>
      </c>
      <c r="Y2837">
        <v>2.773693E-2</v>
      </c>
      <c r="Z2837">
        <v>3.2592169999999997E-2</v>
      </c>
      <c r="AA2837">
        <v>0.99908379999999997</v>
      </c>
      <c r="AB2837">
        <v>29</v>
      </c>
      <c r="AC2837">
        <v>210.90209999999999</v>
      </c>
      <c r="AD2837">
        <v>30.900379999999998</v>
      </c>
      <c r="AE2837">
        <v>39.631900000000002</v>
      </c>
      <c r="AF2837">
        <v>6.3559964510656899</v>
      </c>
      <c r="AG2837">
        <v>30.900379999999998</v>
      </c>
      <c r="AH2837">
        <v>210.138314526258</v>
      </c>
      <c r="AI2837">
        <v>81.638501113521599</v>
      </c>
      <c r="AJ2837">
        <v>88.267518338866196</v>
      </c>
      <c r="AK2837">
        <v>212.493160847513</v>
      </c>
      <c r="AL2837">
        <v>85.448809400593106</v>
      </c>
      <c r="AM2837">
        <v>91.219206557952404</v>
      </c>
      <c r="AN2837">
        <v>0.99999994191394503</v>
      </c>
    </row>
    <row r="2838" spans="1:40" x14ac:dyDescent="0.25">
      <c r="A2838" t="str">
        <f>"20190312151041190"</f>
        <v>20190312151041190</v>
      </c>
      <c r="B2838" t="str">
        <f>"1552374641183922"</f>
        <v>1552374641183922</v>
      </c>
      <c r="C2838" t="s">
        <v>40</v>
      </c>
      <c r="D2838">
        <v>5.7486290000000002</v>
      </c>
      <c r="E2838">
        <v>0.52227749999999995</v>
      </c>
      <c r="F2838" t="s">
        <v>74</v>
      </c>
      <c r="G2838">
        <v>-250.96260000000001</v>
      </c>
      <c r="H2838">
        <v>31.696919999999999</v>
      </c>
      <c r="I2838">
        <v>250.3931</v>
      </c>
      <c r="J2838">
        <v>-462.32350000000002</v>
      </c>
      <c r="K2838">
        <v>1.139305</v>
      </c>
      <c r="L2838">
        <v>211.2576</v>
      </c>
      <c r="M2838">
        <v>0.97367809999999999</v>
      </c>
      <c r="N2838">
        <v>0</v>
      </c>
      <c r="O2838">
        <v>0.22726740000000001</v>
      </c>
      <c r="P2838">
        <v>0.97041840000000001</v>
      </c>
      <c r="Q2838">
        <v>6.2720789999999998E-2</v>
      </c>
      <c r="R2838">
        <v>0.23314029999999999</v>
      </c>
      <c r="S2838">
        <v>2.9338679999999999</v>
      </c>
      <c r="T2838">
        <v>0.42360950000000003</v>
      </c>
      <c r="U2838">
        <v>0.54345699999999997</v>
      </c>
      <c r="V2838">
        <v>-5.7528989999999997E-3</v>
      </c>
      <c r="W2838">
        <v>8.0072729999999995E-2</v>
      </c>
      <c r="X2838">
        <v>0.9967724</v>
      </c>
      <c r="Y2838">
        <v>4.347314E-2</v>
      </c>
      <c r="Z2838">
        <v>3.509292E-2</v>
      </c>
      <c r="AA2838">
        <v>0.9984381</v>
      </c>
      <c r="AB2838">
        <v>29</v>
      </c>
      <c r="AC2838">
        <v>211.36089999999999</v>
      </c>
      <c r="AD2838">
        <v>30.557614999999998</v>
      </c>
      <c r="AE2838">
        <v>39.1355</v>
      </c>
      <c r="AF2838">
        <v>9.7348219257155808</v>
      </c>
      <c r="AG2838">
        <v>30.557614999999998</v>
      </c>
      <c r="AH2838">
        <v>210.47051893371199</v>
      </c>
      <c r="AI2838">
        <v>81.747811480401097</v>
      </c>
      <c r="AJ2838">
        <v>87.351804994158599</v>
      </c>
      <c r="AK2838">
        <v>212.89991529505099</v>
      </c>
      <c r="AL2838">
        <v>85.407253628005094</v>
      </c>
      <c r="AM2838">
        <v>90.330680477142806</v>
      </c>
      <c r="AN2838">
        <v>0.99999997766915805</v>
      </c>
    </row>
    <row r="2839" spans="1:40" x14ac:dyDescent="0.25">
      <c r="A2839" t="str">
        <f>"20190312151041213"</f>
        <v>20190312151041213</v>
      </c>
      <c r="B2839" t="str">
        <f>"1552374641203445"</f>
        <v>1552374641203445</v>
      </c>
      <c r="C2839" t="s">
        <v>40</v>
      </c>
      <c r="D2839">
        <v>5.7513610000000002</v>
      </c>
      <c r="E2839">
        <v>0.52320920000000004</v>
      </c>
      <c r="F2839" t="s">
        <v>72</v>
      </c>
      <c r="G2839">
        <v>-251.54820000000001</v>
      </c>
      <c r="H2839">
        <v>31.160820000000001</v>
      </c>
      <c r="I2839">
        <v>248.90440000000001</v>
      </c>
      <c r="J2839">
        <v>-462.04250000000002</v>
      </c>
      <c r="K2839">
        <v>1.139208</v>
      </c>
      <c r="L2839">
        <v>211.32939999999999</v>
      </c>
      <c r="M2839">
        <v>0.97088099999999999</v>
      </c>
      <c r="N2839">
        <v>0</v>
      </c>
      <c r="O2839">
        <v>0.238869</v>
      </c>
      <c r="P2839">
        <v>0.9716148</v>
      </c>
      <c r="Q2839">
        <v>6.1812039999999999E-2</v>
      </c>
      <c r="R2839">
        <v>0.2283512</v>
      </c>
      <c r="S2839">
        <v>2.9382929999999998</v>
      </c>
      <c r="T2839">
        <v>0.418512</v>
      </c>
      <c r="U2839">
        <v>0.52481080000000002</v>
      </c>
      <c r="V2839">
        <v>1.089089E-2</v>
      </c>
      <c r="W2839">
        <v>7.9913499999999998E-2</v>
      </c>
      <c r="X2839">
        <v>0.99674229999999997</v>
      </c>
      <c r="Y2839">
        <v>6.1576060000000002E-2</v>
      </c>
      <c r="Z2839">
        <v>3.750241E-2</v>
      </c>
      <c r="AA2839">
        <v>0.9973976</v>
      </c>
      <c r="AB2839">
        <v>29</v>
      </c>
      <c r="AC2839">
        <v>210.49430000000001</v>
      </c>
      <c r="AD2839">
        <v>30.021612000000001</v>
      </c>
      <c r="AE2839">
        <v>37.575000000000003</v>
      </c>
      <c r="AF2839">
        <v>13.535172517595401</v>
      </c>
      <c r="AG2839">
        <v>30.021612000000001</v>
      </c>
      <c r="AH2839">
        <v>209.25073857988801</v>
      </c>
      <c r="AI2839">
        <v>81.852177338296201</v>
      </c>
      <c r="AJ2839">
        <v>86.299036302926098</v>
      </c>
      <c r="AK2839">
        <v>211.82627239884201</v>
      </c>
      <c r="AL2839">
        <v>85.416406248493701</v>
      </c>
      <c r="AM2839">
        <v>89.3739834246839</v>
      </c>
      <c r="AN2839">
        <v>0.99999999578826504</v>
      </c>
    </row>
    <row r="2840" spans="1:40" x14ac:dyDescent="0.25">
      <c r="A2840" t="str">
        <f>"20190312151041236"</f>
        <v>20190312151041236</v>
      </c>
      <c r="B2840" t="str">
        <f>"1552374641233697"</f>
        <v>1552374641233697</v>
      </c>
      <c r="C2840" t="s">
        <v>40</v>
      </c>
      <c r="D2840">
        <v>5.7515179999999999</v>
      </c>
      <c r="E2840">
        <v>0.52410270000000003</v>
      </c>
      <c r="F2840" t="s">
        <v>72</v>
      </c>
      <c r="G2840">
        <v>-251.1601</v>
      </c>
      <c r="H2840">
        <v>30.739660000000001</v>
      </c>
      <c r="I2840">
        <v>247.2603</v>
      </c>
      <c r="J2840">
        <v>-461.74990000000003</v>
      </c>
      <c r="K2840">
        <v>1.1389039999999999</v>
      </c>
      <c r="L2840">
        <v>211.40770000000001</v>
      </c>
      <c r="M2840">
        <v>0.96822509999999995</v>
      </c>
      <c r="N2840">
        <v>0</v>
      </c>
      <c r="O2840">
        <v>0.249362</v>
      </c>
      <c r="P2840">
        <v>0.97313400000000005</v>
      </c>
      <c r="Q2840">
        <v>5.9855789999999999E-2</v>
      </c>
      <c r="R2840">
        <v>0.22232389999999999</v>
      </c>
      <c r="S2840">
        <v>2.9435120000000001</v>
      </c>
      <c r="T2840">
        <v>0.41316530000000001</v>
      </c>
      <c r="U2840">
        <v>0.50152589999999997</v>
      </c>
      <c r="V2840">
        <v>2.7669470000000002E-2</v>
      </c>
      <c r="W2840">
        <v>7.8656240000000002E-2</v>
      </c>
      <c r="X2840">
        <v>0.99651769999999995</v>
      </c>
      <c r="Y2840">
        <v>8.0139650000000007E-2</v>
      </c>
      <c r="Z2840">
        <v>3.969044E-2</v>
      </c>
      <c r="AA2840">
        <v>0.99599309999999996</v>
      </c>
      <c r="AB2840">
        <v>29</v>
      </c>
      <c r="AC2840">
        <v>210.5898</v>
      </c>
      <c r="AD2840">
        <v>29.600756000000001</v>
      </c>
      <c r="AE2840">
        <v>35.852599999999903</v>
      </c>
      <c r="AF2840">
        <v>17.4675078990328</v>
      </c>
      <c r="AG2840">
        <v>29.600756000000001</v>
      </c>
      <c r="AH2840">
        <v>208.86636741748401</v>
      </c>
      <c r="AI2840">
        <v>81.961393824236794</v>
      </c>
      <c r="AJ2840">
        <v>85.219474499515798</v>
      </c>
      <c r="AK2840">
        <v>211.67540723038601</v>
      </c>
      <c r="AL2840">
        <v>85.488669290912696</v>
      </c>
      <c r="AM2840">
        <v>88.409524859745403</v>
      </c>
      <c r="AN2840">
        <v>0.99999996503715305</v>
      </c>
    </row>
    <row r="2841" spans="1:40" x14ac:dyDescent="0.25">
      <c r="A2841" t="str">
        <f>"20190312151041260"</f>
        <v>20190312151041260</v>
      </c>
      <c r="B2841" t="str">
        <f>"1552374641253218"</f>
        <v>1552374641253218</v>
      </c>
      <c r="C2841" t="s">
        <v>40</v>
      </c>
      <c r="D2841">
        <v>5.688339</v>
      </c>
      <c r="E2841">
        <v>0.52389629999999998</v>
      </c>
      <c r="F2841" t="s">
        <v>72</v>
      </c>
      <c r="G2841">
        <v>-251.15979999999999</v>
      </c>
      <c r="H2841">
        <v>29.694970000000001</v>
      </c>
      <c r="I2841">
        <v>245.38570000000001</v>
      </c>
      <c r="J2841">
        <v>-461.4699</v>
      </c>
      <c r="K2841">
        <v>1.138228</v>
      </c>
      <c r="L2841">
        <v>211.48609999999999</v>
      </c>
      <c r="M2841">
        <v>0.96594080000000004</v>
      </c>
      <c r="N2841">
        <v>0</v>
      </c>
      <c r="O2841">
        <v>0.25803350000000003</v>
      </c>
      <c r="P2841">
        <v>0.97491640000000002</v>
      </c>
      <c r="Q2841">
        <v>5.6507080000000001E-2</v>
      </c>
      <c r="R2841">
        <v>0.2152792</v>
      </c>
      <c r="S2841">
        <v>2.9494929999999999</v>
      </c>
      <c r="T2841">
        <v>0.39995180000000002</v>
      </c>
      <c r="U2841">
        <v>0.47589110000000001</v>
      </c>
      <c r="V2841">
        <v>4.3676029999999998E-2</v>
      </c>
      <c r="W2841">
        <v>7.5838459999999996E-2</v>
      </c>
      <c r="X2841">
        <v>0.99616309999999997</v>
      </c>
      <c r="Y2841">
        <v>9.7794259999999994E-2</v>
      </c>
      <c r="Z2841">
        <v>4.0698360000000003E-2</v>
      </c>
      <c r="AA2841">
        <v>0.99437419999999999</v>
      </c>
      <c r="AB2841">
        <v>29</v>
      </c>
      <c r="AC2841">
        <v>210.31010000000001</v>
      </c>
      <c r="AD2841">
        <v>28.556742</v>
      </c>
      <c r="AE2841">
        <v>33.8996</v>
      </c>
      <c r="AF2841">
        <v>21.1460998214284</v>
      </c>
      <c r="AG2841">
        <v>28.556742</v>
      </c>
      <c r="AH2841">
        <v>208.192992483323</v>
      </c>
      <c r="AI2841">
        <v>82.229263720498594</v>
      </c>
      <c r="AJ2841">
        <v>84.200374044425999</v>
      </c>
      <c r="AK2841">
        <v>211.203615429455</v>
      </c>
      <c r="AL2841">
        <v>85.650600238060207</v>
      </c>
      <c r="AM2841">
        <v>87.489516999573198</v>
      </c>
      <c r="AN2841">
        <v>0.999999994706671</v>
      </c>
    </row>
    <row r="2842" spans="1:40" x14ac:dyDescent="0.25">
      <c r="A2842" t="str">
        <f>"20190312151041280"</f>
        <v>20190312151041280</v>
      </c>
      <c r="B2842" t="str">
        <f>"1552374641273714"</f>
        <v>1552374641273714</v>
      </c>
      <c r="C2842" t="s">
        <v>40</v>
      </c>
      <c r="D2842">
        <v>5.7877330000000002</v>
      </c>
      <c r="E2842">
        <v>0.50335559999999901</v>
      </c>
      <c r="F2842" t="s">
        <v>72</v>
      </c>
      <c r="G2842">
        <v>-251.54750000000001</v>
      </c>
      <c r="H2842">
        <v>28.885940000000002</v>
      </c>
      <c r="I2842">
        <v>243.8451</v>
      </c>
      <c r="J2842">
        <v>-461.20330000000001</v>
      </c>
      <c r="K2842">
        <v>1.137157</v>
      </c>
      <c r="L2842">
        <v>211.5635</v>
      </c>
      <c r="M2842">
        <v>0.96397900000000003</v>
      </c>
      <c r="N2842">
        <v>0</v>
      </c>
      <c r="O2842">
        <v>0.26524940000000002</v>
      </c>
      <c r="P2842">
        <v>0.97688209999999998</v>
      </c>
      <c r="Q2842">
        <v>5.4303219999999999E-2</v>
      </c>
      <c r="R2842">
        <v>0.20676629999999999</v>
      </c>
      <c r="S2842">
        <v>2.9540099999999998</v>
      </c>
      <c r="T2842">
        <v>0.39046320000000001</v>
      </c>
      <c r="U2842">
        <v>0.4553528</v>
      </c>
      <c r="V2842">
        <v>5.9718399999999998E-2</v>
      </c>
      <c r="W2842">
        <v>7.3981169999999999E-2</v>
      </c>
      <c r="X2842">
        <v>0.99546999999999997</v>
      </c>
      <c r="Y2842">
        <v>0.1121813</v>
      </c>
      <c r="Z2842">
        <v>4.1560890000000003E-2</v>
      </c>
      <c r="AA2842">
        <v>0.99281819999999998</v>
      </c>
      <c r="AB2842">
        <v>29</v>
      </c>
      <c r="AC2842">
        <v>209.6558</v>
      </c>
      <c r="AD2842">
        <v>27.748783</v>
      </c>
      <c r="AE2842">
        <v>32.281599999999997</v>
      </c>
      <c r="AF2842">
        <v>24.0848961839616</v>
      </c>
      <c r="AG2842">
        <v>27.748783</v>
      </c>
      <c r="AH2842">
        <v>207.162325900703</v>
      </c>
      <c r="AI2842">
        <v>82.421258367938407</v>
      </c>
      <c r="AJ2842">
        <v>83.368507712006803</v>
      </c>
      <c r="AK2842">
        <v>210.39559514106401</v>
      </c>
      <c r="AL2842">
        <v>85.757315036271805</v>
      </c>
      <c r="AM2842">
        <v>86.5669316683734</v>
      </c>
      <c r="AN2842">
        <v>1.0000000108565601</v>
      </c>
    </row>
    <row r="2843" spans="1:40" x14ac:dyDescent="0.25">
      <c r="A2843" t="str">
        <f>"20190312151041302"</f>
        <v>20190312151041302</v>
      </c>
      <c r="B2843" t="str">
        <f>"1552374641293233"</f>
        <v>1552374641293233</v>
      </c>
      <c r="C2843" t="s">
        <v>40</v>
      </c>
      <c r="D2843">
        <v>5.8317920000000001</v>
      </c>
      <c r="E2843">
        <v>0.50133969999999906</v>
      </c>
      <c r="F2843" t="s">
        <v>73</v>
      </c>
      <c r="G2843">
        <v>-360.8956</v>
      </c>
      <c r="H2843">
        <v>14.18496</v>
      </c>
      <c r="I2843">
        <v>231.73939999999999</v>
      </c>
      <c r="J2843">
        <v>-460.93</v>
      </c>
      <c r="K2843">
        <v>1.13574</v>
      </c>
      <c r="L2843">
        <v>211.64510000000001</v>
      </c>
      <c r="M2843">
        <v>0.96214029999999995</v>
      </c>
      <c r="N2843">
        <v>0</v>
      </c>
      <c r="O2843">
        <v>0.27183669999999999</v>
      </c>
      <c r="P2843">
        <v>0.97855499999999995</v>
      </c>
      <c r="Q2843">
        <v>5.3887110000000002E-2</v>
      </c>
      <c r="R2843">
        <v>0.1988124</v>
      </c>
      <c r="S2843">
        <v>2.9252929999999999</v>
      </c>
      <c r="T2843">
        <v>0.38051740000000001</v>
      </c>
      <c r="U2843">
        <v>0.58839419999999898</v>
      </c>
      <c r="V2843">
        <v>7.4528479999999994E-2</v>
      </c>
      <c r="W2843">
        <v>7.3772420000000005E-2</v>
      </c>
      <c r="X2843">
        <v>0.99448639999999999</v>
      </c>
      <c r="Y2843">
        <v>7.4067049999999995E-2</v>
      </c>
      <c r="Z2843">
        <v>3.9055960000000001E-2</v>
      </c>
      <c r="AA2843">
        <v>0.99648820000000005</v>
      </c>
      <c r="AB2843">
        <v>29</v>
      </c>
      <c r="AC2843">
        <v>100.03440000000001</v>
      </c>
      <c r="AD2843">
        <v>13.04922</v>
      </c>
      <c r="AE2843">
        <v>20.094299999999901</v>
      </c>
      <c r="AF2843">
        <v>7.7345120917325403</v>
      </c>
      <c r="AG2843">
        <v>13.04922</v>
      </c>
      <c r="AH2843">
        <v>100.09221851908499</v>
      </c>
      <c r="AI2843">
        <v>82.593963132512698</v>
      </c>
      <c r="AJ2843">
        <v>85.581315011604602</v>
      </c>
      <c r="AK2843">
        <v>101.23515707489101</v>
      </c>
      <c r="AL2843">
        <v>85.769308392986304</v>
      </c>
      <c r="AM2843">
        <v>85.714169573728796</v>
      </c>
      <c r="AN2843">
        <v>1.0000000320343601</v>
      </c>
    </row>
    <row r="2844" spans="1:40" x14ac:dyDescent="0.25">
      <c r="A2844" t="str">
        <f>"20190312151041325"</f>
        <v>20190312151041325</v>
      </c>
      <c r="B2844" t="str">
        <f>"1552374641313729"</f>
        <v>1552374641313729</v>
      </c>
      <c r="C2844" t="s">
        <v>40</v>
      </c>
      <c r="D2844">
        <v>5.788875</v>
      </c>
      <c r="E2844">
        <v>0.50049220000000005</v>
      </c>
      <c r="F2844" t="s">
        <v>73</v>
      </c>
      <c r="G2844">
        <v>-359.3802</v>
      </c>
      <c r="H2844">
        <v>14.158250000000001</v>
      </c>
      <c r="I2844">
        <v>231.73939999999999</v>
      </c>
      <c r="J2844">
        <v>-460.65109999999999</v>
      </c>
      <c r="K2844">
        <v>1.133996</v>
      </c>
      <c r="L2844">
        <v>211.7303</v>
      </c>
      <c r="M2844">
        <v>0.9605011</v>
      </c>
      <c r="N2844">
        <v>0</v>
      </c>
      <c r="O2844">
        <v>0.27757169999999998</v>
      </c>
      <c r="P2844">
        <v>0.98000880000000001</v>
      </c>
      <c r="Q2844">
        <v>5.376935E-2</v>
      </c>
      <c r="R2844">
        <v>0.19155059999999999</v>
      </c>
      <c r="S2844">
        <v>2.9274290000000001</v>
      </c>
      <c r="T2844">
        <v>0.37540829999999997</v>
      </c>
      <c r="U2844">
        <v>0.57926940000000005</v>
      </c>
      <c r="V2844">
        <v>8.7765620000000003E-2</v>
      </c>
      <c r="W2844">
        <v>7.3781449999999998E-2</v>
      </c>
      <c r="X2844">
        <v>0.99340499999999998</v>
      </c>
      <c r="Y2844">
        <v>8.3102430000000005E-2</v>
      </c>
      <c r="Z2844">
        <v>3.9789100000000001E-2</v>
      </c>
      <c r="AA2844">
        <v>0.99574640000000003</v>
      </c>
      <c r="AB2844">
        <v>29</v>
      </c>
      <c r="AC2844">
        <v>101.270899999999</v>
      </c>
      <c r="AD2844">
        <v>13.0242539999999</v>
      </c>
      <c r="AE2844">
        <v>20.009099999999901</v>
      </c>
      <c r="AF2844">
        <v>8.7535700390346207</v>
      </c>
      <c r="AG2844">
        <v>13.0242539999999</v>
      </c>
      <c r="AH2844">
        <v>101.23341439572999</v>
      </c>
      <c r="AI2844">
        <v>82.695804126552105</v>
      </c>
      <c r="AJ2844">
        <v>85.057973673796397</v>
      </c>
      <c r="AK2844">
        <v>102.44247347122401</v>
      </c>
      <c r="AL2844">
        <v>85.768789463426302</v>
      </c>
      <c r="AM2844">
        <v>84.951125567983397</v>
      </c>
      <c r="AN2844">
        <v>1.0000000002215399</v>
      </c>
    </row>
    <row r="2845" spans="1:40" x14ac:dyDescent="0.25">
      <c r="A2845" t="str">
        <f>"20190312151041346"</f>
        <v>20190312151041346</v>
      </c>
      <c r="B2845" t="str">
        <f>"1552374641343986"</f>
        <v>1552374641343986</v>
      </c>
      <c r="C2845" t="s">
        <v>40</v>
      </c>
      <c r="D2845">
        <v>5.771909</v>
      </c>
      <c r="E2845">
        <v>0.49880740000000001</v>
      </c>
      <c r="F2845" t="s">
        <v>73</v>
      </c>
      <c r="G2845">
        <v>-356.77350000000001</v>
      </c>
      <c r="H2845">
        <v>14.216049999999999</v>
      </c>
      <c r="I2845">
        <v>231.73939999999999</v>
      </c>
      <c r="J2845">
        <v>-460.39080000000001</v>
      </c>
      <c r="K2845">
        <v>1.132085</v>
      </c>
      <c r="L2845">
        <v>211.81100000000001</v>
      </c>
      <c r="M2845">
        <v>0.95920680000000003</v>
      </c>
      <c r="N2845">
        <v>0</v>
      </c>
      <c r="O2845">
        <v>0.28201690000000001</v>
      </c>
      <c r="P2845">
        <v>0.98152010000000001</v>
      </c>
      <c r="Q2845">
        <v>5.3108120000000002E-2</v>
      </c>
      <c r="R2845">
        <v>0.1838418</v>
      </c>
      <c r="S2845">
        <v>2.9306030000000001</v>
      </c>
      <c r="T2845">
        <v>0.3690735</v>
      </c>
      <c r="U2845">
        <v>0.56449890000000003</v>
      </c>
      <c r="V2845">
        <v>0.1001629</v>
      </c>
      <c r="W2845">
        <v>7.3128040000000005E-2</v>
      </c>
      <c r="X2845">
        <v>0.9922801</v>
      </c>
      <c r="Y2845">
        <v>9.2743019999999995E-2</v>
      </c>
      <c r="Z2845">
        <v>4.0233280000000003E-2</v>
      </c>
      <c r="AA2845">
        <v>0.99487689999999995</v>
      </c>
      <c r="AB2845">
        <v>29</v>
      </c>
      <c r="AC2845">
        <v>103.6173</v>
      </c>
      <c r="AD2845">
        <v>13.083964999999999</v>
      </c>
      <c r="AE2845">
        <v>19.9284</v>
      </c>
      <c r="AF2845">
        <v>9.95526718258618</v>
      </c>
      <c r="AG2845">
        <v>13.083964999999999</v>
      </c>
      <c r="AH2845">
        <v>103.440495552512</v>
      </c>
      <c r="AI2845">
        <v>82.823873057551793</v>
      </c>
      <c r="AJ2845">
        <v>84.502699993721805</v>
      </c>
      <c r="AK2845">
        <v>104.738882965912</v>
      </c>
      <c r="AL2845">
        <v>85.806328746948296</v>
      </c>
      <c r="AM2845">
        <v>84.235964351573202</v>
      </c>
      <c r="AN2845">
        <v>1.00000005681332</v>
      </c>
    </row>
    <row r="2846" spans="1:40" x14ac:dyDescent="0.25">
      <c r="A2846" t="str">
        <f>"20190312151041369"</f>
        <v>20190312151041369</v>
      </c>
      <c r="B2846" t="str">
        <f>"1552374641363506"</f>
        <v>1552374641363506</v>
      </c>
      <c r="C2846" t="s">
        <v>40</v>
      </c>
      <c r="D2846">
        <v>5.7077660000000003</v>
      </c>
      <c r="E2846">
        <v>0.4980176</v>
      </c>
      <c r="F2846" t="s">
        <v>73</v>
      </c>
      <c r="G2846">
        <v>-355.00189999999998</v>
      </c>
      <c r="H2846">
        <v>14.0849299999999</v>
      </c>
      <c r="I2846">
        <v>231.73939999999999</v>
      </c>
      <c r="J2846">
        <v>-460.11070000000001</v>
      </c>
      <c r="K2846">
        <v>1.1297509999999999</v>
      </c>
      <c r="L2846">
        <v>211.89869999999999</v>
      </c>
      <c r="M2846">
        <v>0.9580476</v>
      </c>
      <c r="N2846">
        <v>0</v>
      </c>
      <c r="O2846">
        <v>0.2859428</v>
      </c>
      <c r="P2846">
        <v>0.9830449</v>
      </c>
      <c r="Q2846">
        <v>4.9888040000000002E-2</v>
      </c>
      <c r="R2846">
        <v>0.17644760000000001</v>
      </c>
      <c r="S2846">
        <v>2.9330750000000001</v>
      </c>
      <c r="T2846">
        <v>0.36049160000000002</v>
      </c>
      <c r="U2846">
        <v>0.55462650000000002</v>
      </c>
      <c r="V2846">
        <v>0.1117832</v>
      </c>
      <c r="W2846">
        <v>6.9728789999999999E-2</v>
      </c>
      <c r="X2846">
        <v>0.99128320000000003</v>
      </c>
      <c r="Y2846">
        <v>0.1002521</v>
      </c>
      <c r="Z2846">
        <v>4.0199070000000003E-2</v>
      </c>
      <c r="AA2846">
        <v>0.99414970000000003</v>
      </c>
      <c r="AB2846">
        <v>29</v>
      </c>
      <c r="AC2846">
        <v>105.1088</v>
      </c>
      <c r="AD2846">
        <v>12.9551789999999</v>
      </c>
      <c r="AE2846">
        <v>19.840699999999998</v>
      </c>
      <c r="AF2846">
        <v>10.889143497780999</v>
      </c>
      <c r="AG2846">
        <v>12.9551789999999</v>
      </c>
      <c r="AH2846">
        <v>104.854711957706</v>
      </c>
      <c r="AI2846">
        <v>82.993895674307296</v>
      </c>
      <c r="AJ2846">
        <v>84.0710963506681</v>
      </c>
      <c r="AK2846">
        <v>106.21167887182099</v>
      </c>
      <c r="AL2846">
        <v>86.001589974448393</v>
      </c>
      <c r="AM2846">
        <v>83.5661544607254</v>
      </c>
      <c r="AN2846">
        <v>0.99999998527967104</v>
      </c>
    </row>
    <row r="2847" spans="1:40" x14ac:dyDescent="0.25">
      <c r="A2847" t="str">
        <f>"20190312151041391"</f>
        <v>20190312151041391</v>
      </c>
      <c r="B2847" t="str">
        <f>"1552374641384002"</f>
        <v>1552374641384002</v>
      </c>
      <c r="C2847" t="s">
        <v>40</v>
      </c>
      <c r="D2847">
        <v>5.7754799999999999</v>
      </c>
      <c r="E2847">
        <v>0.49748049999999999</v>
      </c>
      <c r="F2847" t="s">
        <v>73</v>
      </c>
      <c r="G2847">
        <v>-351.94929999999999</v>
      </c>
      <c r="H2847">
        <v>14.03946</v>
      </c>
      <c r="I2847">
        <v>231.73939999999999</v>
      </c>
      <c r="J2847">
        <v>-459.83890000000002</v>
      </c>
      <c r="K2847">
        <v>1.127308</v>
      </c>
      <c r="L2847">
        <v>211.98400000000001</v>
      </c>
      <c r="M2847">
        <v>0.95713130000000002</v>
      </c>
      <c r="N2847">
        <v>0</v>
      </c>
      <c r="O2847">
        <v>0.289014099999999</v>
      </c>
      <c r="P2847">
        <v>0.98431250000000003</v>
      </c>
      <c r="Q2847">
        <v>4.557692E-2</v>
      </c>
      <c r="R2847">
        <v>0.17044589999999901</v>
      </c>
      <c r="S2847">
        <v>2.937195</v>
      </c>
      <c r="T2847">
        <v>0.35057329999999998</v>
      </c>
      <c r="U2847">
        <v>0.53878780000000004</v>
      </c>
      <c r="V2847">
        <v>0.12115090000000001</v>
      </c>
      <c r="W2847">
        <v>6.5055000000000002E-2</v>
      </c>
      <c r="X2847">
        <v>0.99050000000000005</v>
      </c>
      <c r="Y2847">
        <v>0.108946</v>
      </c>
      <c r="Z2847">
        <v>3.993087E-2</v>
      </c>
      <c r="AA2847">
        <v>0.99324539999999994</v>
      </c>
      <c r="AB2847">
        <v>29</v>
      </c>
      <c r="AC2847">
        <v>107.8896</v>
      </c>
      <c r="AD2847">
        <v>12.912152000000001</v>
      </c>
      <c r="AE2847">
        <v>19.755399999999899</v>
      </c>
      <c r="AF2847">
        <v>12.1075855672439</v>
      </c>
      <c r="AG2847">
        <v>12.912152000000001</v>
      </c>
      <c r="AH2847">
        <v>107.504448104133</v>
      </c>
      <c r="AI2847">
        <v>83.193744878309204</v>
      </c>
      <c r="AJ2847">
        <v>83.574195061535207</v>
      </c>
      <c r="AK2847">
        <v>108.95193279475799</v>
      </c>
      <c r="AL2847">
        <v>86.269988800408697</v>
      </c>
      <c r="AM2847">
        <v>83.026625893809793</v>
      </c>
      <c r="AN2847">
        <v>0.99999997179790401</v>
      </c>
    </row>
    <row r="2848" spans="1:40" x14ac:dyDescent="0.25">
      <c r="A2848" t="str">
        <f>"20190312151041414"</f>
        <v>20190312151041414</v>
      </c>
      <c r="B2848" t="str">
        <f>"1552374641403522"</f>
        <v>1552374641403522</v>
      </c>
      <c r="C2848" t="s">
        <v>40</v>
      </c>
      <c r="D2848">
        <v>5.7690149999999996</v>
      </c>
      <c r="E2848">
        <v>0.49678430000000001</v>
      </c>
      <c r="F2848" t="s">
        <v>74</v>
      </c>
      <c r="G2848">
        <v>-243.35310000000001</v>
      </c>
      <c r="H2848">
        <v>25.788609999999998</v>
      </c>
      <c r="I2848">
        <v>250.68029999999999</v>
      </c>
      <c r="J2848">
        <v>-459.55860000000001</v>
      </c>
      <c r="K2848">
        <v>1.12477</v>
      </c>
      <c r="L2848">
        <v>212.0719</v>
      </c>
      <c r="M2848">
        <v>0.95641679999999996</v>
      </c>
      <c r="N2848">
        <v>0</v>
      </c>
      <c r="O2848">
        <v>0.29139409999999999</v>
      </c>
      <c r="P2848">
        <v>0.98531400000000002</v>
      </c>
      <c r="Q2848">
        <v>4.2864619999999999E-2</v>
      </c>
      <c r="R2848">
        <v>0.16528499999999999</v>
      </c>
      <c r="S2848">
        <v>2.9412539999999998</v>
      </c>
      <c r="T2848">
        <v>0.3350573</v>
      </c>
      <c r="U2848">
        <v>0.52574160000000003</v>
      </c>
      <c r="V2848">
        <v>0.12893260000000001</v>
      </c>
      <c r="W2848">
        <v>6.1822849999999999E-2</v>
      </c>
      <c r="X2848">
        <v>0.9897243</v>
      </c>
      <c r="Y2848">
        <v>0.116097699999999</v>
      </c>
      <c r="Z2848">
        <v>3.8801830000000002E-2</v>
      </c>
      <c r="AA2848">
        <v>0.99247960000000002</v>
      </c>
      <c r="AB2848">
        <v>29</v>
      </c>
      <c r="AC2848">
        <v>216.2055</v>
      </c>
      <c r="AD2848">
        <v>24.66384</v>
      </c>
      <c r="AE2848">
        <v>38.608399999999897</v>
      </c>
      <c r="AF2848">
        <v>25.7551301081342</v>
      </c>
      <c r="AG2848">
        <v>24.66384</v>
      </c>
      <c r="AH2848">
        <v>215.35580647027501</v>
      </c>
      <c r="AI2848">
        <v>83.512439920431703</v>
      </c>
      <c r="AJ2848">
        <v>83.180194234094301</v>
      </c>
      <c r="AK2848">
        <v>218.28823859955199</v>
      </c>
      <c r="AL2848">
        <v>86.455551085120206</v>
      </c>
      <c r="AM2848">
        <v>82.577806443801194</v>
      </c>
      <c r="AN2848">
        <v>0.99999993506768403</v>
      </c>
    </row>
    <row r="2849" spans="1:40" x14ac:dyDescent="0.25">
      <c r="A2849" t="str">
        <f>"20190312151041437"</f>
        <v>20190312151041437</v>
      </c>
      <c r="B2849" t="str">
        <f>"1552374641433777"</f>
        <v>1552374641433777</v>
      </c>
      <c r="C2849" t="s">
        <v>40</v>
      </c>
      <c r="D2849">
        <v>5.7717929999999997</v>
      </c>
      <c r="E2849">
        <v>0.49595800000000001</v>
      </c>
      <c r="F2849" t="s">
        <v>72</v>
      </c>
      <c r="G2849">
        <v>-251.54589999999999</v>
      </c>
      <c r="H2849">
        <v>24.132010000000001</v>
      </c>
      <c r="I2849">
        <v>248.56950000000001</v>
      </c>
      <c r="J2849">
        <v>-459.28359999999998</v>
      </c>
      <c r="K2849">
        <v>1.122401</v>
      </c>
      <c r="L2849">
        <v>212.1575</v>
      </c>
      <c r="M2849">
        <v>0.95598099999999997</v>
      </c>
      <c r="N2849">
        <v>0</v>
      </c>
      <c r="O2849">
        <v>0.29284640000000001</v>
      </c>
      <c r="P2849">
        <v>0.98653259999999998</v>
      </c>
      <c r="Q2849">
        <v>4.3142819999999998E-2</v>
      </c>
      <c r="R2849">
        <v>0.15777269999999999</v>
      </c>
      <c r="S2849">
        <v>2.9439389999999999</v>
      </c>
      <c r="T2849">
        <v>0.32561420000000002</v>
      </c>
      <c r="U2849">
        <v>0.51654049999999996</v>
      </c>
      <c r="V2849">
        <v>0.13805770000000001</v>
      </c>
      <c r="W2849">
        <v>6.1509210000000002E-2</v>
      </c>
      <c r="X2849">
        <v>0.98851230000000001</v>
      </c>
      <c r="Y2849">
        <v>0.1208711</v>
      </c>
      <c r="Z2849">
        <v>3.8107389999999998E-2</v>
      </c>
      <c r="AA2849">
        <v>0.9919365</v>
      </c>
      <c r="AB2849">
        <v>29</v>
      </c>
      <c r="AC2849">
        <v>207.73769999999999</v>
      </c>
      <c r="AD2849">
        <v>23.009609000000001</v>
      </c>
      <c r="AE2849">
        <v>36.411999999999999</v>
      </c>
      <c r="AF2849">
        <v>25.724310942540701</v>
      </c>
      <c r="AG2849">
        <v>23.009609000000001</v>
      </c>
      <c r="AH2849">
        <v>206.83029546327199</v>
      </c>
      <c r="AI2849">
        <v>83.700163204474904</v>
      </c>
      <c r="AJ2849">
        <v>82.910301784782703</v>
      </c>
      <c r="AK2849">
        <v>209.690136633143</v>
      </c>
      <c r="AL2849">
        <v>86.473555615249396</v>
      </c>
      <c r="AM2849">
        <v>82.049378773588103</v>
      </c>
      <c r="AN2849">
        <v>0.99999993934770004</v>
      </c>
    </row>
    <row r="2850" spans="1:40" x14ac:dyDescent="0.25">
      <c r="A2850" t="str">
        <f>"20190312151041461"</f>
        <v>20190312151041461</v>
      </c>
      <c r="B2850" t="str">
        <f>"1552374641453298"</f>
        <v>1552374641453298</v>
      </c>
      <c r="C2850" t="s">
        <v>40</v>
      </c>
      <c r="D2850">
        <v>5.773657</v>
      </c>
      <c r="E2850">
        <v>0.49552049999999997</v>
      </c>
      <c r="F2850" t="s">
        <v>72</v>
      </c>
      <c r="G2850">
        <v>-251.54589999999999</v>
      </c>
      <c r="H2850">
        <v>24.069939999999999</v>
      </c>
      <c r="I2850">
        <v>247.48259999999999</v>
      </c>
      <c r="J2850">
        <v>-458.9975</v>
      </c>
      <c r="K2850">
        <v>1.1201700000000001</v>
      </c>
      <c r="L2850">
        <v>212.24590000000001</v>
      </c>
      <c r="M2850">
        <v>0.95585770000000003</v>
      </c>
      <c r="N2850">
        <v>0</v>
      </c>
      <c r="O2850">
        <v>0.29327560000000003</v>
      </c>
      <c r="P2850">
        <v>0.98780970000000001</v>
      </c>
      <c r="Q2850">
        <v>4.4918920000000001E-2</v>
      </c>
      <c r="R2850">
        <v>0.14904439999999999</v>
      </c>
      <c r="S2850">
        <v>2.946564</v>
      </c>
      <c r="T2850">
        <v>0.32548929999999998</v>
      </c>
      <c r="U2850">
        <v>0.50105290000000002</v>
      </c>
      <c r="V2850">
        <v>0.1473006</v>
      </c>
      <c r="W2850">
        <v>6.2641890000000006E-2</v>
      </c>
      <c r="X2850">
        <v>0.98710609999999999</v>
      </c>
      <c r="Y2850">
        <v>0.12649349999999901</v>
      </c>
      <c r="Z2850">
        <v>3.8434330000000003E-2</v>
      </c>
      <c r="AA2850">
        <v>0.99122259999999995</v>
      </c>
      <c r="AB2850">
        <v>29</v>
      </c>
      <c r="AC2850">
        <v>207.45160000000001</v>
      </c>
      <c r="AD2850">
        <v>22.949770000000001</v>
      </c>
      <c r="AE2850">
        <v>35.2366999999999</v>
      </c>
      <c r="AF2850">
        <v>26.844324554368502</v>
      </c>
      <c r="AG2850">
        <v>22.949770000000001</v>
      </c>
      <c r="AH2850">
        <v>206.209338461991</v>
      </c>
      <c r="AI2850">
        <v>83.702190163996704</v>
      </c>
      <c r="AJ2850">
        <v>82.582948208966798</v>
      </c>
      <c r="AK2850">
        <v>209.21185667348101</v>
      </c>
      <c r="AL2850">
        <v>86.408532508680494</v>
      </c>
      <c r="AM2850">
        <v>81.512683913820695</v>
      </c>
      <c r="AN2850">
        <v>0.99999996290017001</v>
      </c>
    </row>
    <row r="2851" spans="1:40" x14ac:dyDescent="0.25">
      <c r="A2851" t="str">
        <f>"20190312151041483"</f>
        <v>20190312151041483</v>
      </c>
      <c r="B2851" t="str">
        <f>"1552374641473794"</f>
        <v>1552374641473794</v>
      </c>
      <c r="C2851" t="s">
        <v>40</v>
      </c>
      <c r="D2851">
        <v>5.7831320000000002</v>
      </c>
      <c r="E2851">
        <v>0.49522369999999999</v>
      </c>
      <c r="F2851" t="s">
        <v>72</v>
      </c>
      <c r="G2851">
        <v>-251.15809999999999</v>
      </c>
      <c r="H2851">
        <v>24.495280000000001</v>
      </c>
      <c r="I2851">
        <v>245.96119999999999</v>
      </c>
      <c r="J2851">
        <v>-458.72120000000001</v>
      </c>
      <c r="K2851">
        <v>1.1182430000000001</v>
      </c>
      <c r="L2851">
        <v>212.33029999999999</v>
      </c>
      <c r="M2851">
        <v>0.95601959999999997</v>
      </c>
      <c r="N2851">
        <v>0</v>
      </c>
      <c r="O2851">
        <v>0.29277219999999998</v>
      </c>
      <c r="P2851">
        <v>0.98957569999999995</v>
      </c>
      <c r="Q2851">
        <v>4.7718179999999999E-2</v>
      </c>
      <c r="R2851">
        <v>0.13587829999999901</v>
      </c>
      <c r="S2851">
        <v>2.949738</v>
      </c>
      <c r="T2851">
        <v>0.3317486</v>
      </c>
      <c r="U2851">
        <v>0.47850039999999999</v>
      </c>
      <c r="V2851">
        <v>0.15996089999999999</v>
      </c>
      <c r="W2851">
        <v>6.4805180000000004E-2</v>
      </c>
      <c r="X2851">
        <v>0.98499380000000003</v>
      </c>
      <c r="Y2851">
        <v>0.13338559999999999</v>
      </c>
      <c r="Z2851">
        <v>3.9490820000000003E-2</v>
      </c>
      <c r="AA2851">
        <v>0.99027710000000002</v>
      </c>
      <c r="AB2851">
        <v>29</v>
      </c>
      <c r="AC2851">
        <v>207.56309999999999</v>
      </c>
      <c r="AD2851">
        <v>23.377037000000001</v>
      </c>
      <c r="AE2851">
        <v>33.630899999999997</v>
      </c>
      <c r="AF2851">
        <v>28.2719108343865</v>
      </c>
      <c r="AG2851">
        <v>23.377037000000001</v>
      </c>
      <c r="AH2851">
        <v>205.76962932201599</v>
      </c>
      <c r="AI2851">
        <v>83.578359766397497</v>
      </c>
      <c r="AJ2851">
        <v>82.176775361007202</v>
      </c>
      <c r="AK2851">
        <v>209.01417930955401</v>
      </c>
      <c r="AL2851">
        <v>86.284332781375497</v>
      </c>
      <c r="AM2851">
        <v>80.775814643759105</v>
      </c>
      <c r="AN2851">
        <v>0.99999999346104096</v>
      </c>
    </row>
    <row r="2852" spans="1:40" x14ac:dyDescent="0.25">
      <c r="A2852" t="str">
        <f>"20190312151041515"</f>
        <v>20190312151041515</v>
      </c>
      <c r="B2852" t="str">
        <f>"1552374641513810"</f>
        <v>1552374641513810</v>
      </c>
      <c r="C2852" t="s">
        <v>40</v>
      </c>
      <c r="D2852">
        <v>5.7803550000000001</v>
      </c>
      <c r="E2852">
        <v>0.49458609999999997</v>
      </c>
      <c r="F2852" t="s">
        <v>72</v>
      </c>
      <c r="G2852">
        <v>-251.1583</v>
      </c>
      <c r="H2852">
        <v>25.056480000000001</v>
      </c>
      <c r="I2852">
        <v>243.3331</v>
      </c>
      <c r="J2852">
        <v>-458.32240000000002</v>
      </c>
      <c r="K2852">
        <v>1.115864</v>
      </c>
      <c r="L2852">
        <v>212.45060000000001</v>
      </c>
      <c r="M2852">
        <v>0.95661280000000004</v>
      </c>
      <c r="N2852">
        <v>0</v>
      </c>
      <c r="O2852">
        <v>0.29086190000000001</v>
      </c>
      <c r="P2852">
        <v>0.99119230000000003</v>
      </c>
      <c r="Q2852">
        <v>4.9805719999999998E-2</v>
      </c>
      <c r="R2852">
        <v>0.1227099</v>
      </c>
      <c r="S2852">
        <v>2.95459</v>
      </c>
      <c r="T2852">
        <v>0.34075270000000002</v>
      </c>
      <c r="U2852">
        <v>0.4413147</v>
      </c>
      <c r="V2852">
        <v>0.17115139999999901</v>
      </c>
      <c r="W2852">
        <v>6.6049440000000001E-2</v>
      </c>
      <c r="X2852">
        <v>0.98302829999999997</v>
      </c>
      <c r="Y2852">
        <v>0.1436286</v>
      </c>
      <c r="Z2852">
        <v>4.0920720000000001E-2</v>
      </c>
      <c r="AA2852">
        <v>0.98878529999999998</v>
      </c>
      <c r="AB2852">
        <v>29</v>
      </c>
      <c r="AC2852">
        <v>207.16409999999999</v>
      </c>
      <c r="AD2852">
        <v>23.940615999999999</v>
      </c>
      <c r="AE2852">
        <v>30.8825</v>
      </c>
      <c r="AF2852">
        <v>30.321880178708199</v>
      </c>
      <c r="AG2852">
        <v>23.940615999999999</v>
      </c>
      <c r="AH2852">
        <v>204.516624159804</v>
      </c>
      <c r="AI2852">
        <v>83.394921311955599</v>
      </c>
      <c r="AJ2852">
        <v>81.566692783585296</v>
      </c>
      <c r="AK2852">
        <v>208.133656744299</v>
      </c>
      <c r="AL2852">
        <v>86.212888815142094</v>
      </c>
      <c r="AM2852">
        <v>80.123446834654402</v>
      </c>
      <c r="AN2852">
        <v>0.99999998442358096</v>
      </c>
    </row>
    <row r="2853" spans="1:40" x14ac:dyDescent="0.25">
      <c r="A2853" t="str">
        <f>"20190312151041539"</f>
        <v>20190312151041539</v>
      </c>
      <c r="B2853" t="str">
        <f>"1552374641533331"</f>
        <v>1552374641533331</v>
      </c>
      <c r="C2853" t="s">
        <v>40</v>
      </c>
      <c r="D2853">
        <v>5.6242710000000002</v>
      </c>
      <c r="E2853">
        <v>0.4955775</v>
      </c>
      <c r="F2853" t="s">
        <v>72</v>
      </c>
      <c r="G2853">
        <v>-251.1583</v>
      </c>
      <c r="H2853">
        <v>25.294029999999999</v>
      </c>
      <c r="I2853">
        <v>240.93299999999999</v>
      </c>
      <c r="J2853">
        <v>-458.04079999999999</v>
      </c>
      <c r="K2853">
        <v>1.114411</v>
      </c>
      <c r="L2853">
        <v>212.5341</v>
      </c>
      <c r="M2853">
        <v>0.95725939999999998</v>
      </c>
      <c r="N2853">
        <v>0</v>
      </c>
      <c r="O2853">
        <v>0.28874809999999901</v>
      </c>
      <c r="P2853">
        <v>0.99236550000000001</v>
      </c>
      <c r="Q2853">
        <v>4.812454E-2</v>
      </c>
      <c r="R2853">
        <v>0.11355800000000001</v>
      </c>
      <c r="S2853">
        <v>2.958923</v>
      </c>
      <c r="T2853">
        <v>0.3453367</v>
      </c>
      <c r="U2853">
        <v>0.40681460000000003</v>
      </c>
      <c r="V2853">
        <v>0.178126799999999</v>
      </c>
      <c r="W2853">
        <v>6.3809710000000006E-2</v>
      </c>
      <c r="X2853">
        <v>0.98193649999999999</v>
      </c>
      <c r="Y2853">
        <v>0.15282299999999999</v>
      </c>
      <c r="Z2853">
        <v>4.1753579999999998E-2</v>
      </c>
      <c r="AA2853">
        <v>0.98737109999999995</v>
      </c>
      <c r="AB2853">
        <v>29</v>
      </c>
      <c r="AC2853">
        <v>206.88249999999999</v>
      </c>
      <c r="AD2853">
        <v>24.179618999999999</v>
      </c>
      <c r="AE2853">
        <v>28.398900000000001</v>
      </c>
      <c r="AF2853">
        <v>32.125635645557701</v>
      </c>
      <c r="AG2853">
        <v>24.179618999999999</v>
      </c>
      <c r="AH2853">
        <v>203.54017908214999</v>
      </c>
      <c r="AI2853">
        <v>83.307364187700301</v>
      </c>
      <c r="AJ2853">
        <v>81.030748129159093</v>
      </c>
      <c r="AK2853">
        <v>207.47364878800801</v>
      </c>
      <c r="AL2853">
        <v>86.341487570756101</v>
      </c>
      <c r="AM2853">
        <v>79.718149782987894</v>
      </c>
      <c r="AN2853">
        <v>1.00000006300038</v>
      </c>
    </row>
    <row r="2854" spans="1:40" x14ac:dyDescent="0.25">
      <c r="A2854" t="str">
        <f>"20190312151041559"</f>
        <v>20190312151041559</v>
      </c>
      <c r="B2854" t="str">
        <f>"1552374641553828"</f>
        <v>1552374641553828</v>
      </c>
      <c r="C2854" t="s">
        <v>40</v>
      </c>
      <c r="D2854">
        <v>5.7963110000000002</v>
      </c>
      <c r="E2854">
        <v>0.5235514</v>
      </c>
      <c r="F2854" t="s">
        <v>72</v>
      </c>
      <c r="G2854">
        <v>-251.15819999999999</v>
      </c>
      <c r="H2854">
        <v>24.99165</v>
      </c>
      <c r="I2854">
        <v>238.52090000000001</v>
      </c>
      <c r="J2854">
        <v>-457.7808</v>
      </c>
      <c r="K2854">
        <v>1.113186</v>
      </c>
      <c r="L2854">
        <v>212.61009999999999</v>
      </c>
      <c r="M2854">
        <v>0.95801190000000003</v>
      </c>
      <c r="N2854">
        <v>0</v>
      </c>
      <c r="O2854">
        <v>0.28625889999999998</v>
      </c>
      <c r="P2854">
        <v>0.99342059999999999</v>
      </c>
      <c r="Q2854">
        <v>4.5633029999999998E-2</v>
      </c>
      <c r="R2854">
        <v>0.10503949999999999</v>
      </c>
      <c r="S2854">
        <v>2.9638979999999999</v>
      </c>
      <c r="T2854">
        <v>0.34207650000000001</v>
      </c>
      <c r="U2854">
        <v>0.3722992</v>
      </c>
      <c r="V2854">
        <v>0.18407570000000001</v>
      </c>
      <c r="W2854">
        <v>6.0818619999999997E-2</v>
      </c>
      <c r="X2854">
        <v>0.98102869999999998</v>
      </c>
      <c r="Y2854">
        <v>0.16178789999999901</v>
      </c>
      <c r="Z2854">
        <v>4.1578530000000002E-2</v>
      </c>
      <c r="AA2854">
        <v>0.98594919999999997</v>
      </c>
      <c r="AB2854">
        <v>29</v>
      </c>
      <c r="AC2854">
        <v>206.62260000000001</v>
      </c>
      <c r="AD2854">
        <v>23.878464000000001</v>
      </c>
      <c r="AE2854">
        <v>25.910799999999998</v>
      </c>
      <c r="AF2854">
        <v>33.883796022513202</v>
      </c>
      <c r="AG2854">
        <v>23.878464000000001</v>
      </c>
      <c r="AH2854">
        <v>202.726165191315</v>
      </c>
      <c r="AI2854">
        <v>83.373355681044004</v>
      </c>
      <c r="AJ2854">
        <v>80.511252985252796</v>
      </c>
      <c r="AK2854">
        <v>206.920735377271</v>
      </c>
      <c r="AL2854">
        <v>86.513198079434005</v>
      </c>
      <c r="AM2854">
        <v>79.3728512404886</v>
      </c>
      <c r="AN2854">
        <v>1.0000000390464401</v>
      </c>
    </row>
    <row r="2855" spans="1:40" x14ac:dyDescent="0.25">
      <c r="A2855" t="str">
        <f>"20190312151041582"</f>
        <v>20190312151041582</v>
      </c>
      <c r="B2855" t="str">
        <f>"1552374641573348"</f>
        <v>1552374641573348</v>
      </c>
      <c r="C2855" t="s">
        <v>40</v>
      </c>
      <c r="D2855">
        <v>5.7268650000000001</v>
      </c>
      <c r="E2855">
        <v>0.52304229999999996</v>
      </c>
      <c r="F2855" t="s">
        <v>71</v>
      </c>
      <c r="G2855">
        <v>-157.25</v>
      </c>
      <c r="H2855">
        <v>37.09543</v>
      </c>
      <c r="I2855">
        <v>225.25960000000001</v>
      </c>
      <c r="J2855">
        <v>-457.50839999999999</v>
      </c>
      <c r="K2855">
        <v>1.1120429999999999</v>
      </c>
      <c r="L2855">
        <v>212.6883</v>
      </c>
      <c r="M2855">
        <v>0.95891059999999995</v>
      </c>
      <c r="N2855">
        <v>0</v>
      </c>
      <c r="O2855">
        <v>0.28325</v>
      </c>
      <c r="P2855">
        <v>0.99434690000000003</v>
      </c>
      <c r="Q2855">
        <v>4.4171370000000001E-2</v>
      </c>
      <c r="R2855">
        <v>9.6556980000000001E-2</v>
      </c>
      <c r="S2855">
        <v>2.9900820000000001</v>
      </c>
      <c r="T2855">
        <v>0.35799989999999998</v>
      </c>
      <c r="U2855">
        <v>0.12585450000000001</v>
      </c>
      <c r="V2855">
        <v>0.18943080000000001</v>
      </c>
      <c r="W2855">
        <v>5.8867559999999999E-2</v>
      </c>
      <c r="X2855">
        <v>0.98012790000000005</v>
      </c>
      <c r="Y2855">
        <v>0.2390351</v>
      </c>
      <c r="Z2855">
        <v>4.763038E-2</v>
      </c>
      <c r="AA2855">
        <v>0.96984199999999998</v>
      </c>
      <c r="AB2855">
        <v>29</v>
      </c>
      <c r="AC2855">
        <v>300.25839999999999</v>
      </c>
      <c r="AD2855">
        <v>35.983387</v>
      </c>
      <c r="AE2855">
        <v>12.571300000000001</v>
      </c>
      <c r="AF2855">
        <v>71.971089050880096</v>
      </c>
      <c r="AG2855">
        <v>35.983387</v>
      </c>
      <c r="AH2855">
        <v>287.399274125663</v>
      </c>
      <c r="AI2855">
        <v>83.075163784521195</v>
      </c>
      <c r="AJ2855">
        <v>75.941004503454494</v>
      </c>
      <c r="AK2855">
        <v>298.45097514854803</v>
      </c>
      <c r="AL2855">
        <v>86.6251863696871</v>
      </c>
      <c r="AM2855">
        <v>79.061229173142706</v>
      </c>
      <c r="AN2855">
        <v>1.0000000589836999</v>
      </c>
    </row>
    <row r="2856" spans="1:40" x14ac:dyDescent="0.25">
      <c r="A2856" t="str">
        <f>"20190312151041605"</f>
        <v>20190312151041605</v>
      </c>
      <c r="B2856" t="str">
        <f>"1552374641593842"</f>
        <v>1552374641593842</v>
      </c>
      <c r="C2856" t="s">
        <v>40</v>
      </c>
      <c r="D2856">
        <v>5.8347410000000002</v>
      </c>
      <c r="E2856">
        <v>0.52186100000000002</v>
      </c>
      <c r="F2856" t="s">
        <v>71</v>
      </c>
      <c r="G2856">
        <v>-157.25</v>
      </c>
      <c r="H2856">
        <v>36.361469999999997</v>
      </c>
      <c r="I2856">
        <v>223.2355</v>
      </c>
      <c r="J2856">
        <v>-457.22289999999998</v>
      </c>
      <c r="K2856">
        <v>1.111008</v>
      </c>
      <c r="L2856">
        <v>212.7688</v>
      </c>
      <c r="M2856">
        <v>0.95995799999999998</v>
      </c>
      <c r="N2856">
        <v>0</v>
      </c>
      <c r="O2856">
        <v>0.2796959</v>
      </c>
      <c r="P2856">
        <v>0.99496249999999997</v>
      </c>
      <c r="Q2856">
        <v>4.4336939999999998E-2</v>
      </c>
      <c r="R2856">
        <v>8.9910649999999995E-2</v>
      </c>
      <c r="S2856">
        <v>2.9912109999999998</v>
      </c>
      <c r="T2856">
        <v>0.35115960000000002</v>
      </c>
      <c r="U2856">
        <v>0.105072</v>
      </c>
      <c r="V2856">
        <v>0.19239590000000001</v>
      </c>
      <c r="W2856">
        <v>5.8578619999999998E-2</v>
      </c>
      <c r="X2856">
        <v>0.97956739999999998</v>
      </c>
      <c r="Y2856">
        <v>0.24232200000000001</v>
      </c>
      <c r="Z2856">
        <v>4.6514010000000001E-2</v>
      </c>
      <c r="AA2856">
        <v>0.96908019999999995</v>
      </c>
      <c r="AB2856">
        <v>29</v>
      </c>
      <c r="AC2856">
        <v>299.97289999999998</v>
      </c>
      <c r="AD2856">
        <v>35.250461999999999</v>
      </c>
      <c r="AE2856">
        <v>10.466699999999999</v>
      </c>
      <c r="AF2856">
        <v>72.8579821280575</v>
      </c>
      <c r="AG2856">
        <v>35.250461999999999</v>
      </c>
      <c r="AH2856">
        <v>286.96742351556099</v>
      </c>
      <c r="AI2856">
        <v>83.210299627543293</v>
      </c>
      <c r="AJ2856">
        <v>75.754212537575</v>
      </c>
      <c r="AK2856">
        <v>298.16301378632602</v>
      </c>
      <c r="AL2856">
        <v>86.641769710542704</v>
      </c>
      <c r="AM2856">
        <v>78.888036548243605</v>
      </c>
      <c r="AN2856">
        <v>0.99999996410033598</v>
      </c>
    </row>
    <row r="2857" spans="1:40" x14ac:dyDescent="0.25">
      <c r="A2857" t="str">
        <f>"20190312151041628"</f>
        <v>20190312151041628</v>
      </c>
      <c r="B2857" t="str">
        <f>"1552374641623122"</f>
        <v>1552374641623122</v>
      </c>
      <c r="C2857" t="s">
        <v>40</v>
      </c>
      <c r="D2857">
        <v>5.7605040000000001</v>
      </c>
      <c r="E2857">
        <v>0.51923229999999998</v>
      </c>
      <c r="F2857" t="s">
        <v>71</v>
      </c>
      <c r="G2857">
        <v>-157.25</v>
      </c>
      <c r="H2857">
        <v>36.34254</v>
      </c>
      <c r="I2857">
        <v>222.30449999999999</v>
      </c>
      <c r="J2857">
        <v>-456.94810000000001</v>
      </c>
      <c r="K2857">
        <v>1.1101350000000001</v>
      </c>
      <c r="L2857">
        <v>212.84469999999999</v>
      </c>
      <c r="M2857">
        <v>0.96105929999999995</v>
      </c>
      <c r="N2857">
        <v>0</v>
      </c>
      <c r="O2857">
        <v>0.27590140000000002</v>
      </c>
      <c r="P2857">
        <v>0.99545910000000004</v>
      </c>
      <c r="Q2857">
        <v>4.4915940000000001E-2</v>
      </c>
      <c r="R2857">
        <v>8.3927849999999998E-2</v>
      </c>
      <c r="S2857">
        <v>2.990936</v>
      </c>
      <c r="T2857">
        <v>0.35128320000000002</v>
      </c>
      <c r="U2857">
        <v>9.5077510000000004E-2</v>
      </c>
      <c r="V2857">
        <v>0.19445229999999999</v>
      </c>
      <c r="W2857">
        <v>5.876522E-2</v>
      </c>
      <c r="X2857">
        <v>0.97915010000000002</v>
      </c>
      <c r="Y2857">
        <v>0.2417474</v>
      </c>
      <c r="Z2857">
        <v>4.6077809999999997E-2</v>
      </c>
      <c r="AA2857">
        <v>0.96924449999999995</v>
      </c>
      <c r="AB2857">
        <v>29</v>
      </c>
      <c r="AC2857">
        <v>299.69810000000001</v>
      </c>
      <c r="AD2857">
        <v>35.232405</v>
      </c>
      <c r="AE2857">
        <v>9.4597999999999995</v>
      </c>
      <c r="AF2857">
        <v>72.602271805168897</v>
      </c>
      <c r="AG2857">
        <v>35.232405</v>
      </c>
      <c r="AH2857">
        <v>286.71447288742098</v>
      </c>
      <c r="AI2857">
        <v>83.206743296401498</v>
      </c>
      <c r="AJ2857">
        <v>75.790167294073399</v>
      </c>
      <c r="AK2857">
        <v>297.85500028783702</v>
      </c>
      <c r="AL2857">
        <v>86.631059932441403</v>
      </c>
      <c r="AM2857">
        <v>78.767606178429006</v>
      </c>
      <c r="AN2857">
        <v>0.99999998319347405</v>
      </c>
    </row>
    <row r="2858" spans="1:40" x14ac:dyDescent="0.25">
      <c r="A2858" t="str">
        <f>"20190312151041651"</f>
        <v>20190312151041651</v>
      </c>
      <c r="B2858" t="str">
        <f>"1552374641643618"</f>
        <v>1552374641643618</v>
      </c>
      <c r="C2858" t="s">
        <v>40</v>
      </c>
      <c r="D2858">
        <v>5.6865300000000003</v>
      </c>
      <c r="E2858">
        <v>0.51832769999999995</v>
      </c>
      <c r="F2858" t="s">
        <v>71</v>
      </c>
      <c r="G2858">
        <v>-157.25</v>
      </c>
      <c r="H2858">
        <v>37.143009999999997</v>
      </c>
      <c r="I2858">
        <v>222.6447</v>
      </c>
      <c r="J2858">
        <v>-456.64760000000001</v>
      </c>
      <c r="K2858">
        <v>1.1093139999999999</v>
      </c>
      <c r="L2858">
        <v>212.92590000000001</v>
      </c>
      <c r="M2858">
        <v>0.96235740000000003</v>
      </c>
      <c r="N2858">
        <v>0</v>
      </c>
      <c r="O2858">
        <v>0.27135179999999998</v>
      </c>
      <c r="P2858">
        <v>0.99595739999999999</v>
      </c>
      <c r="Q2858">
        <v>4.5412300000000003E-2</v>
      </c>
      <c r="R2858">
        <v>7.7502379999999996E-2</v>
      </c>
      <c r="S2858">
        <v>2.989258</v>
      </c>
      <c r="T2858">
        <v>0.35940070000000002</v>
      </c>
      <c r="U2858">
        <v>9.7747799999999996E-2</v>
      </c>
      <c r="V2858">
        <v>0.1961762</v>
      </c>
      <c r="W2858">
        <v>5.8880410000000001E-2</v>
      </c>
      <c r="X2858">
        <v>0.97879930000000004</v>
      </c>
      <c r="Y2858">
        <v>0.23617730000000001</v>
      </c>
      <c r="Z2858">
        <v>4.6298550000000001E-2</v>
      </c>
      <c r="AA2858">
        <v>0.97060639999999998</v>
      </c>
      <c r="AB2858">
        <v>29</v>
      </c>
      <c r="AC2858">
        <v>299.39760000000001</v>
      </c>
      <c r="AD2858">
        <v>36.033695999999999</v>
      </c>
      <c r="AE2858">
        <v>9.7187999999999803</v>
      </c>
      <c r="AF2858">
        <v>70.872110837952206</v>
      </c>
      <c r="AG2858">
        <v>36.033695999999999</v>
      </c>
      <c r="AH2858">
        <v>286.65129225460299</v>
      </c>
      <c r="AI2858">
        <v>83.042526260885694</v>
      </c>
      <c r="AJ2858">
        <v>76.112603240502295</v>
      </c>
      <c r="AK2858">
        <v>297.47310247025899</v>
      </c>
      <c r="AL2858">
        <v>86.624448765044605</v>
      </c>
      <c r="AM2858">
        <v>78.666635586713198</v>
      </c>
      <c r="AN2858">
        <v>1.00000003690434</v>
      </c>
    </row>
    <row r="2859" spans="1:40" x14ac:dyDescent="0.25">
      <c r="A2859" t="str">
        <f>"20190312151041673"</f>
        <v>20190312151041673</v>
      </c>
      <c r="B2859" t="str">
        <f>"1552374641664115"</f>
        <v>1552374641664115</v>
      </c>
      <c r="C2859" t="s">
        <v>40</v>
      </c>
      <c r="D2859">
        <v>5.7543689999999996</v>
      </c>
      <c r="E2859">
        <v>0.51815500000000003</v>
      </c>
      <c r="F2859" t="s">
        <v>71</v>
      </c>
      <c r="G2859">
        <v>-157.8382</v>
      </c>
      <c r="H2859">
        <v>37.64828</v>
      </c>
      <c r="I2859">
        <v>221.42269999999999</v>
      </c>
      <c r="J2859">
        <v>-456.37849999999997</v>
      </c>
      <c r="K2859">
        <v>1.108679</v>
      </c>
      <c r="L2859">
        <v>212.99690000000001</v>
      </c>
      <c r="M2859">
        <v>0.96359039999999996</v>
      </c>
      <c r="N2859">
        <v>0</v>
      </c>
      <c r="O2859">
        <v>0.26695089999999999</v>
      </c>
      <c r="P2859">
        <v>0.99633530000000003</v>
      </c>
      <c r="Q2859">
        <v>4.4834409999999998E-2</v>
      </c>
      <c r="R2859">
        <v>7.2841840000000005E-2</v>
      </c>
      <c r="S2859">
        <v>2.9889220000000001</v>
      </c>
      <c r="T2859">
        <v>0.36549130000000002</v>
      </c>
      <c r="U2859">
        <v>8.4991460000000005E-2</v>
      </c>
      <c r="V2859">
        <v>0.1963164</v>
      </c>
      <c r="W2859">
        <v>5.8012149999999998E-2</v>
      </c>
      <c r="X2859">
        <v>0.978823</v>
      </c>
      <c r="Y2859">
        <v>0.23578360000000001</v>
      </c>
      <c r="Z2859">
        <v>4.6546780000000003E-2</v>
      </c>
      <c r="AA2859">
        <v>0.97069019999999995</v>
      </c>
      <c r="AB2859">
        <v>28</v>
      </c>
      <c r="AC2859">
        <v>298.5403</v>
      </c>
      <c r="AD2859">
        <v>36.539600999999998</v>
      </c>
      <c r="AE2859">
        <v>8.4257999999999793</v>
      </c>
      <c r="AF2859">
        <v>70.529132192300395</v>
      </c>
      <c r="AG2859">
        <v>36.539600999999998</v>
      </c>
      <c r="AH2859">
        <v>285.67716356970402</v>
      </c>
      <c r="AI2859">
        <v>82.921428618782599</v>
      </c>
      <c r="AJ2859">
        <v>76.131908862154006</v>
      </c>
      <c r="AK2859">
        <v>296.51465851500399</v>
      </c>
      <c r="AL2859">
        <v>86.674281468197805</v>
      </c>
      <c r="AM2859">
        <v>78.6590133720632</v>
      </c>
      <c r="AN2859">
        <v>1.0000000018927899</v>
      </c>
    </row>
    <row r="2860" spans="1:40" x14ac:dyDescent="0.25">
      <c r="A2860" t="str">
        <f>"20190312151041696"</f>
        <v>20190312151041696</v>
      </c>
      <c r="B2860" t="str">
        <f>"1552374641683634"</f>
        <v>1552374641683634</v>
      </c>
      <c r="C2860" t="s">
        <v>40</v>
      </c>
      <c r="D2860">
        <v>5.755827</v>
      </c>
      <c r="E2860">
        <v>0.51785109999999901</v>
      </c>
      <c r="F2860" t="s">
        <v>71</v>
      </c>
      <c r="G2860">
        <v>-157.8382</v>
      </c>
      <c r="H2860">
        <v>37.803559999999997</v>
      </c>
      <c r="I2860">
        <v>220.21279999999999</v>
      </c>
      <c r="J2860">
        <v>-456.101</v>
      </c>
      <c r="K2860">
        <v>1.108107</v>
      </c>
      <c r="L2860">
        <v>213.0684</v>
      </c>
      <c r="M2860">
        <v>0.96491530000000003</v>
      </c>
      <c r="N2860">
        <v>0</v>
      </c>
      <c r="O2860">
        <v>0.26213049999999999</v>
      </c>
      <c r="P2860">
        <v>0.99658970000000002</v>
      </c>
      <c r="Q2860">
        <v>4.3999389999999999E-2</v>
      </c>
      <c r="R2860">
        <v>6.9808179999999997E-2</v>
      </c>
      <c r="S2860">
        <v>2.9891969999999999</v>
      </c>
      <c r="T2860">
        <v>0.36741570000000001</v>
      </c>
      <c r="U2860">
        <v>7.2250369999999994E-2</v>
      </c>
      <c r="V2860">
        <v>0.1944332</v>
      </c>
      <c r="W2860">
        <v>5.6931990000000002E-2</v>
      </c>
      <c r="X2860">
        <v>0.97926219999999997</v>
      </c>
      <c r="Y2860">
        <v>0.23506669999999999</v>
      </c>
      <c r="Z2860">
        <v>4.6176200000000001E-2</v>
      </c>
      <c r="AA2860">
        <v>0.97088180000000002</v>
      </c>
      <c r="AB2860">
        <v>28</v>
      </c>
      <c r="AC2860">
        <v>298.26280000000003</v>
      </c>
      <c r="AD2860">
        <v>36.695453000000001</v>
      </c>
      <c r="AE2860">
        <v>7.1443999999999903</v>
      </c>
      <c r="AF2860">
        <v>70.235582113459898</v>
      </c>
      <c r="AG2860">
        <v>36.695453000000001</v>
      </c>
      <c r="AH2860">
        <v>285.38656683334602</v>
      </c>
      <c r="AI2860">
        <v>82.883108545799999</v>
      </c>
      <c r="AJ2860">
        <v>76.173889206317497</v>
      </c>
      <c r="AK2860">
        <v>296.18420922563598</v>
      </c>
      <c r="AL2860">
        <v>86.736272500874307</v>
      </c>
      <c r="AM2860">
        <v>78.769934443520299</v>
      </c>
      <c r="AN2860">
        <v>0.99999998854821903</v>
      </c>
    </row>
    <row r="2861" spans="1:40" x14ac:dyDescent="0.25">
      <c r="A2861" t="str">
        <f>"20190312151041716"</f>
        <v>20190312151041716</v>
      </c>
      <c r="B2861" t="str">
        <f>"1552374641713890"</f>
        <v>1552374641713890</v>
      </c>
      <c r="C2861" t="s">
        <v>40</v>
      </c>
      <c r="D2861">
        <v>5.6971319999999999</v>
      </c>
      <c r="E2861">
        <v>0.51719409999999999</v>
      </c>
      <c r="F2861" t="s">
        <v>71</v>
      </c>
      <c r="G2861">
        <v>-157.8382</v>
      </c>
      <c r="H2861">
        <v>37.197110000000002</v>
      </c>
      <c r="I2861">
        <v>219.62190000000001</v>
      </c>
      <c r="J2861">
        <v>-455.83980000000003</v>
      </c>
      <c r="K2861">
        <v>1.1076569999999999</v>
      </c>
      <c r="L2861">
        <v>213.13419999999999</v>
      </c>
      <c r="M2861">
        <v>0.96620430000000002</v>
      </c>
      <c r="N2861">
        <v>0</v>
      </c>
      <c r="O2861">
        <v>0.25734699999999999</v>
      </c>
      <c r="P2861">
        <v>0.99672459999999996</v>
      </c>
      <c r="Q2861">
        <v>4.5384689999999998E-2</v>
      </c>
      <c r="R2861">
        <v>6.6937289999999997E-2</v>
      </c>
      <c r="S2861">
        <v>2.989655</v>
      </c>
      <c r="T2861">
        <v>0.36174060000000002</v>
      </c>
      <c r="U2861">
        <v>6.5689090000000006E-2</v>
      </c>
      <c r="V2861">
        <v>0.1924227</v>
      </c>
      <c r="W2861">
        <v>5.8117349999999998E-2</v>
      </c>
      <c r="X2861">
        <v>0.97958959999999995</v>
      </c>
      <c r="Y2861">
        <v>0.23255229999999999</v>
      </c>
      <c r="Z2861">
        <v>4.4752720000000003E-2</v>
      </c>
      <c r="AA2861">
        <v>0.97155369999999996</v>
      </c>
      <c r="AB2861">
        <v>28</v>
      </c>
      <c r="AC2861">
        <v>298.0016</v>
      </c>
      <c r="AD2861">
        <v>36.089452999999899</v>
      </c>
      <c r="AE2861">
        <v>6.48770000000001</v>
      </c>
      <c r="AF2861">
        <v>69.411647731189504</v>
      </c>
      <c r="AG2861">
        <v>36.089452999999899</v>
      </c>
      <c r="AH2861">
        <v>285.44763073050302</v>
      </c>
      <c r="AI2861">
        <v>82.9962432441136</v>
      </c>
      <c r="AJ2861">
        <v>76.332778721050801</v>
      </c>
      <c r="AK2861">
        <v>295.974281565571</v>
      </c>
      <c r="AL2861">
        <v>86.668243602880096</v>
      </c>
      <c r="AM2861">
        <v>78.886772814724296</v>
      </c>
      <c r="AN2861">
        <v>0.999999953137235</v>
      </c>
    </row>
    <row r="2862" spans="1:40" x14ac:dyDescent="0.25">
      <c r="A2862" t="str">
        <f>"20190312151041739"</f>
        <v>20190312151041739</v>
      </c>
      <c r="B2862" t="str">
        <f>"1552374641733410"</f>
        <v>1552374641733410</v>
      </c>
      <c r="C2862" t="s">
        <v>40</v>
      </c>
      <c r="D2862">
        <v>5.52529</v>
      </c>
      <c r="E2862">
        <v>0.51684529999999995</v>
      </c>
      <c r="F2862" t="s">
        <v>71</v>
      </c>
      <c r="G2862">
        <v>-157.8382</v>
      </c>
      <c r="H2862">
        <v>37.494999999999997</v>
      </c>
      <c r="I2862">
        <v>219.38820000000001</v>
      </c>
      <c r="J2862">
        <v>-455.56979999999999</v>
      </c>
      <c r="K2862">
        <v>1.1072630000000001</v>
      </c>
      <c r="L2862">
        <v>213.2003</v>
      </c>
      <c r="M2862">
        <v>0.96756819999999999</v>
      </c>
      <c r="N2862">
        <v>0</v>
      </c>
      <c r="O2862">
        <v>0.25217830000000002</v>
      </c>
      <c r="P2862">
        <v>0.99669180000000002</v>
      </c>
      <c r="Q2862">
        <v>4.9971260000000003E-2</v>
      </c>
      <c r="R2862">
        <v>6.4100409999999997E-2</v>
      </c>
      <c r="S2862">
        <v>2.9890140000000001</v>
      </c>
      <c r="T2862">
        <v>0.36497259999999998</v>
      </c>
      <c r="U2862">
        <v>6.2728880000000001E-2</v>
      </c>
      <c r="V2862">
        <v>0.1899864</v>
      </c>
      <c r="W2862">
        <v>6.2525769999999994E-2</v>
      </c>
      <c r="X2862">
        <v>0.97979369999999999</v>
      </c>
      <c r="Y2862">
        <v>0.22831489999999999</v>
      </c>
      <c r="Z2862">
        <v>4.4291200000000003E-2</v>
      </c>
      <c r="AA2862">
        <v>0.97257939999999998</v>
      </c>
      <c r="AB2862">
        <v>28</v>
      </c>
      <c r="AC2862">
        <v>297.73160000000001</v>
      </c>
      <c r="AD2862">
        <v>36.387737000000001</v>
      </c>
      <c r="AE2862">
        <v>6.1879000000000097</v>
      </c>
      <c r="AF2862">
        <v>68.085219501652503</v>
      </c>
      <c r="AG2862">
        <v>36.387737000000001</v>
      </c>
      <c r="AH2862">
        <v>285.40639721397702</v>
      </c>
      <c r="AI2862">
        <v>82.930584240925</v>
      </c>
      <c r="AJ2862">
        <v>76.582557319996297</v>
      </c>
      <c r="AK2862">
        <v>295.662774270336</v>
      </c>
      <c r="AL2862">
        <v>86.415198893397303</v>
      </c>
      <c r="AM2862">
        <v>79.026272066114501</v>
      </c>
      <c r="AN2862">
        <v>0.999999999329371</v>
      </c>
    </row>
    <row r="2863" spans="1:40" x14ac:dyDescent="0.25">
      <c r="A2863" t="str">
        <f>"20190312151041760"</f>
        <v>20190312151041760</v>
      </c>
      <c r="B2863" t="str">
        <f>"1552374641753907"</f>
        <v>1552374641753907</v>
      </c>
      <c r="C2863" t="s">
        <v>40</v>
      </c>
      <c r="D2863">
        <v>5.6942550000000001</v>
      </c>
      <c r="E2863">
        <v>0.51632420000000001</v>
      </c>
      <c r="F2863" t="s">
        <v>71</v>
      </c>
      <c r="G2863">
        <v>-156.32849999999999</v>
      </c>
      <c r="H2863">
        <v>39.177</v>
      </c>
      <c r="I2863">
        <v>218.89709999999999</v>
      </c>
      <c r="J2863">
        <v>-455.29790000000003</v>
      </c>
      <c r="K2863">
        <v>1.1069070000000001</v>
      </c>
      <c r="L2863">
        <v>213.26499999999999</v>
      </c>
      <c r="M2863">
        <v>0.96896610000000005</v>
      </c>
      <c r="N2863">
        <v>0</v>
      </c>
      <c r="O2863">
        <v>0.24675910000000001</v>
      </c>
      <c r="P2863">
        <v>0.9967722</v>
      </c>
      <c r="Q2863">
        <v>5.1740830000000002E-2</v>
      </c>
      <c r="R2863">
        <v>6.1384250000000001E-2</v>
      </c>
      <c r="S2863">
        <v>2.987244</v>
      </c>
      <c r="T2863">
        <v>0.38004019999999999</v>
      </c>
      <c r="U2863">
        <v>5.6869509999999998E-2</v>
      </c>
      <c r="V2863">
        <v>0.1871893</v>
      </c>
      <c r="W2863">
        <v>6.4149949999999997E-2</v>
      </c>
      <c r="X2863">
        <v>0.98022699999999996</v>
      </c>
      <c r="Y2863">
        <v>0.22453390000000001</v>
      </c>
      <c r="Z2863">
        <v>4.5226809999999999E-2</v>
      </c>
      <c r="AA2863">
        <v>0.97341610000000001</v>
      </c>
      <c r="AB2863">
        <v>28</v>
      </c>
      <c r="AC2863">
        <v>298.96940000000001</v>
      </c>
      <c r="AD2863">
        <v>38.070093</v>
      </c>
      <c r="AE2863">
        <v>5.6321000000000003</v>
      </c>
      <c r="AF2863">
        <v>67.233638807821706</v>
      </c>
      <c r="AG2863">
        <v>38.070093</v>
      </c>
      <c r="AH2863">
        <v>286.46881325425801</v>
      </c>
      <c r="AI2863">
        <v>82.6280890495226</v>
      </c>
      <c r="AJ2863">
        <v>76.791851219090503</v>
      </c>
      <c r="AK2863">
        <v>296.705367554536</v>
      </c>
      <c r="AL2863">
        <v>86.321953041593403</v>
      </c>
      <c r="AM2863">
        <v>79.188664229422997</v>
      </c>
      <c r="AN2863">
        <v>1.0000000108242399</v>
      </c>
    </row>
    <row r="2864" spans="1:40" x14ac:dyDescent="0.25">
      <c r="A2864" t="str">
        <f>"20190312151041784"</f>
        <v>20190312151041784</v>
      </c>
      <c r="B2864" t="str">
        <f>"1552374641773429"</f>
        <v>1552374641773429</v>
      </c>
      <c r="C2864" t="s">
        <v>40</v>
      </c>
      <c r="D2864">
        <v>5.7009740000000004</v>
      </c>
      <c r="E2864">
        <v>0.51628050000000003</v>
      </c>
      <c r="F2864" t="s">
        <v>71</v>
      </c>
      <c r="G2864">
        <v>-124.6118</v>
      </c>
      <c r="H2864">
        <v>43.80791</v>
      </c>
      <c r="I2864">
        <v>219.11940000000001</v>
      </c>
      <c r="J2864">
        <v>-455.00639999999999</v>
      </c>
      <c r="K2864">
        <v>1.1065849999999999</v>
      </c>
      <c r="L2864">
        <v>213.33240000000001</v>
      </c>
      <c r="M2864">
        <v>0.97047229999999995</v>
      </c>
      <c r="N2864">
        <v>0</v>
      </c>
      <c r="O2864">
        <v>0.24077290000000001</v>
      </c>
      <c r="P2864">
        <v>0.99706240000000002</v>
      </c>
      <c r="Q2864">
        <v>4.9363270000000001E-2</v>
      </c>
      <c r="R2864">
        <v>5.856753E-2</v>
      </c>
      <c r="S2864">
        <v>2.98645</v>
      </c>
      <c r="T2864">
        <v>0.38563629999999999</v>
      </c>
      <c r="U2864">
        <v>5.2871700000000001E-2</v>
      </c>
      <c r="V2864">
        <v>0.18392800000000001</v>
      </c>
      <c r="W2864">
        <v>6.165342E-2</v>
      </c>
      <c r="X2864">
        <v>0.98100419999999999</v>
      </c>
      <c r="Y2864">
        <v>0.2197916</v>
      </c>
      <c r="Z2864">
        <v>4.4845459999999997E-2</v>
      </c>
      <c r="AA2864">
        <v>0.97451560000000004</v>
      </c>
      <c r="AB2864">
        <v>28</v>
      </c>
      <c r="AC2864">
        <v>330.39460000000003</v>
      </c>
      <c r="AD2864">
        <v>42.701324999999997</v>
      </c>
      <c r="AE2864">
        <v>5.7869999999999999</v>
      </c>
      <c r="AF2864">
        <v>72.727323880225697</v>
      </c>
      <c r="AG2864">
        <v>42.701324999999997</v>
      </c>
      <c r="AH2864">
        <v>316.77652141725099</v>
      </c>
      <c r="AI2864">
        <v>82.515265232745804</v>
      </c>
      <c r="AJ2864">
        <v>77.069788641492394</v>
      </c>
      <c r="AK2864">
        <v>327.81096887802403</v>
      </c>
      <c r="AL2864">
        <v>86.465277305398104</v>
      </c>
      <c r="AM2864">
        <v>79.380925162771305</v>
      </c>
      <c r="AN2864">
        <v>0.99999994689966598</v>
      </c>
    </row>
    <row r="2865" spans="1:40" x14ac:dyDescent="0.25">
      <c r="A2865" t="str">
        <f>"20190312151041806"</f>
        <v>20190312151041806</v>
      </c>
      <c r="B2865" t="str">
        <f>"1552374641803682"</f>
        <v>1552374641803682</v>
      </c>
      <c r="C2865" t="s">
        <v>40</v>
      </c>
      <c r="D2865">
        <v>5.5674580000000002</v>
      </c>
      <c r="E2865">
        <v>0.51617820000000003</v>
      </c>
      <c r="F2865" t="s">
        <v>70</v>
      </c>
      <c r="G2865">
        <v>-107.39749999999999</v>
      </c>
      <c r="H2865">
        <v>45.016089999999998</v>
      </c>
      <c r="I2865">
        <v>218.56630000000001</v>
      </c>
      <c r="J2865">
        <v>-454.72800000000001</v>
      </c>
      <c r="K2865">
        <v>1.1063350000000001</v>
      </c>
      <c r="L2865">
        <v>213.3948</v>
      </c>
      <c r="M2865">
        <v>0.97191090000000002</v>
      </c>
      <c r="N2865">
        <v>0</v>
      </c>
      <c r="O2865">
        <v>0.23490420000000001</v>
      </c>
      <c r="P2865">
        <v>0.99739840000000002</v>
      </c>
      <c r="Q2865">
        <v>4.6511839999999999E-2</v>
      </c>
      <c r="R2865">
        <v>5.5073850000000001E-2</v>
      </c>
      <c r="S2865">
        <v>2.9875180000000001</v>
      </c>
      <c r="T2865">
        <v>0.37737989999999999</v>
      </c>
      <c r="U2865">
        <v>4.4982910000000001E-2</v>
      </c>
      <c r="V2865">
        <v>0.18145069999999999</v>
      </c>
      <c r="W2865">
        <v>5.870334E-2</v>
      </c>
      <c r="X2865">
        <v>0.98164640000000003</v>
      </c>
      <c r="Y2865">
        <v>0.21670980000000001</v>
      </c>
      <c r="Z2865">
        <v>4.2965610000000001E-2</v>
      </c>
      <c r="AA2865">
        <v>0.97529010000000005</v>
      </c>
      <c r="AB2865">
        <v>28</v>
      </c>
      <c r="AC2865">
        <v>347.33049999999997</v>
      </c>
      <c r="AD2865">
        <v>43.909754999999997</v>
      </c>
      <c r="AE2865">
        <v>5.1715</v>
      </c>
      <c r="AF2865">
        <v>75.366905578720207</v>
      </c>
      <c r="AG2865">
        <v>43.909754999999997</v>
      </c>
      <c r="AH2865">
        <v>333.49574240285898</v>
      </c>
      <c r="AI2865">
        <v>82.681764077757904</v>
      </c>
      <c r="AJ2865">
        <v>77.265605228966905</v>
      </c>
      <c r="AK2865">
        <v>344.71386285077898</v>
      </c>
      <c r="AL2865">
        <v>86.634611740411302</v>
      </c>
      <c r="AM2865">
        <v>79.527466622723395</v>
      </c>
      <c r="AN2865">
        <v>1.0000000466453001</v>
      </c>
    </row>
    <row r="2866" spans="1:40" x14ac:dyDescent="0.25">
      <c r="A2866" t="str">
        <f>"20190312151041828"</f>
        <v>20190312151041828</v>
      </c>
      <c r="B2866" t="str">
        <f>"1552374641823202"</f>
        <v>1552374641823202</v>
      </c>
      <c r="C2866" t="s">
        <v>40</v>
      </c>
      <c r="D2866">
        <v>5.7008239999999999</v>
      </c>
      <c r="E2866">
        <v>0.51611010000000002</v>
      </c>
      <c r="F2866" t="s">
        <v>70</v>
      </c>
      <c r="G2866">
        <v>-107.39749999999999</v>
      </c>
      <c r="H2866">
        <v>43.741199999999999</v>
      </c>
      <c r="I2866">
        <v>217.51060000000001</v>
      </c>
      <c r="J2866">
        <v>-454.45859999999999</v>
      </c>
      <c r="K2866">
        <v>1.1061270000000001</v>
      </c>
      <c r="L2866">
        <v>213.45349999999999</v>
      </c>
      <c r="M2866">
        <v>0.97329920000000003</v>
      </c>
      <c r="N2866">
        <v>0</v>
      </c>
      <c r="O2866">
        <v>0.2290884</v>
      </c>
      <c r="P2866">
        <v>0.99764600000000003</v>
      </c>
      <c r="Q2866">
        <v>4.6685879999999999E-2</v>
      </c>
      <c r="R2866">
        <v>5.0232449999999998E-2</v>
      </c>
      <c r="S2866">
        <v>2.9887700000000001</v>
      </c>
      <c r="T2866">
        <v>0.36687229999999998</v>
      </c>
      <c r="U2866">
        <v>3.541565E-2</v>
      </c>
      <c r="V2866">
        <v>0.1803573</v>
      </c>
      <c r="W2866">
        <v>5.877665E-2</v>
      </c>
      <c r="X2866">
        <v>0.98184349999999998</v>
      </c>
      <c r="Y2866">
        <v>0.2142607</v>
      </c>
      <c r="Z2866">
        <v>4.0919150000000001E-2</v>
      </c>
      <c r="AA2866">
        <v>0.97591899999999998</v>
      </c>
      <c r="AB2866">
        <v>28</v>
      </c>
      <c r="AC2866">
        <v>347.06110000000001</v>
      </c>
      <c r="AD2866">
        <v>42.635072999999998</v>
      </c>
      <c r="AE2866">
        <v>4.0571000000000197</v>
      </c>
      <c r="AF2866">
        <v>74.443444792059395</v>
      </c>
      <c r="AG2866">
        <v>42.635072999999998</v>
      </c>
      <c r="AH2866">
        <v>333.72324092709999</v>
      </c>
      <c r="AI2866">
        <v>82.892409066898097</v>
      </c>
      <c r="AJ2866">
        <v>77.424944834767501</v>
      </c>
      <c r="AK2866">
        <v>344.573326676791</v>
      </c>
      <c r="AL2866">
        <v>86.630404147842597</v>
      </c>
      <c r="AM2866">
        <v>79.591233174759694</v>
      </c>
      <c r="AN2866">
        <v>1.00000005437037</v>
      </c>
    </row>
    <row r="2867" spans="1:40" x14ac:dyDescent="0.25">
      <c r="A2867" t="str">
        <f>"20190312151041851"</f>
        <v>20190312151041851</v>
      </c>
      <c r="B2867" t="str">
        <f>"1552374641843699"</f>
        <v>1552374641843699</v>
      </c>
      <c r="C2867" t="s">
        <v>40</v>
      </c>
      <c r="D2867">
        <v>5.8209289999999996</v>
      </c>
      <c r="E2867">
        <v>0.51596649999999999</v>
      </c>
      <c r="F2867" t="s">
        <v>70</v>
      </c>
      <c r="G2867">
        <v>-107.39749999999999</v>
      </c>
      <c r="H2867">
        <v>43.686140000000002</v>
      </c>
      <c r="I2867">
        <v>215.94110000000001</v>
      </c>
      <c r="J2867">
        <v>-454.166</v>
      </c>
      <c r="K2867">
        <v>1.105931</v>
      </c>
      <c r="L2867">
        <v>213.51499999999999</v>
      </c>
      <c r="M2867">
        <v>0.97479859999999896</v>
      </c>
      <c r="N2867">
        <v>0</v>
      </c>
      <c r="O2867">
        <v>0.2226264</v>
      </c>
      <c r="P2867">
        <v>0.99794170000000004</v>
      </c>
      <c r="Q2867">
        <v>4.7294959999999997E-2</v>
      </c>
      <c r="R2867">
        <v>4.3306610000000002E-2</v>
      </c>
      <c r="S2867">
        <v>2.9887999999999999</v>
      </c>
      <c r="T2867">
        <v>0.36668849999999997</v>
      </c>
      <c r="U2867">
        <v>2.1423339999999999E-2</v>
      </c>
      <c r="V2867">
        <v>0.18067359999999999</v>
      </c>
      <c r="W2867">
        <v>5.926741E-2</v>
      </c>
      <c r="X2867">
        <v>0.98175579999999996</v>
      </c>
      <c r="Y2867">
        <v>0.21241650000000001</v>
      </c>
      <c r="Z2867">
        <v>4.001652E-2</v>
      </c>
      <c r="AA2867">
        <v>0.97635950000000005</v>
      </c>
      <c r="AB2867">
        <v>28</v>
      </c>
      <c r="AC2867">
        <v>346.76850000000002</v>
      </c>
      <c r="AD2867">
        <v>42.580209000000004</v>
      </c>
      <c r="AE2867">
        <v>2.4261000000000101</v>
      </c>
      <c r="AF2867">
        <v>73.730901158376298</v>
      </c>
      <c r="AG2867">
        <v>42.580209000000004</v>
      </c>
      <c r="AH2867">
        <v>333.574989325243</v>
      </c>
      <c r="AI2867">
        <v>82.8953087763567</v>
      </c>
      <c r="AJ2867">
        <v>77.536168955025502</v>
      </c>
      <c r="AK2867">
        <v>344.26965228937303</v>
      </c>
      <c r="AL2867">
        <v>86.602236427290094</v>
      </c>
      <c r="AM2867">
        <v>79.572467926312001</v>
      </c>
      <c r="AN2867">
        <v>1.0000000132293501</v>
      </c>
    </row>
    <row r="2868" spans="1:40" x14ac:dyDescent="0.25">
      <c r="A2868" t="str">
        <f>"20190312151041874"</f>
        <v>20190312151041874</v>
      </c>
      <c r="B2868" t="str">
        <f>"1552374641863217"</f>
        <v>1552374641863217</v>
      </c>
      <c r="C2868" t="s">
        <v>40</v>
      </c>
      <c r="D2868">
        <v>5.7590170000000001</v>
      </c>
      <c r="E2868">
        <v>0.51575590000000004</v>
      </c>
      <c r="F2868" t="s">
        <v>70</v>
      </c>
      <c r="G2868">
        <v>-107.39749999999999</v>
      </c>
      <c r="H2868">
        <v>43.758249999999997</v>
      </c>
      <c r="I2868">
        <v>213.7045</v>
      </c>
      <c r="J2868">
        <v>-453.88929999999999</v>
      </c>
      <c r="K2868">
        <v>1.1057790000000001</v>
      </c>
      <c r="L2868">
        <v>213.57130000000001</v>
      </c>
      <c r="M2868">
        <v>0.97620459999999998</v>
      </c>
      <c r="N2868">
        <v>0</v>
      </c>
      <c r="O2868">
        <v>0.21638160000000001</v>
      </c>
      <c r="P2868">
        <v>0.99797089999999999</v>
      </c>
      <c r="Q2868">
        <v>5.2170220000000003E-2</v>
      </c>
      <c r="R2868">
        <v>3.6507360000000003E-2</v>
      </c>
      <c r="S2868">
        <v>2.9886780000000002</v>
      </c>
      <c r="T2868">
        <v>0.36760599999999999</v>
      </c>
      <c r="U2868">
        <v>1.63269E-3</v>
      </c>
      <c r="V2868">
        <v>0.1810959</v>
      </c>
      <c r="W2868">
        <v>6.4035270000000005E-2</v>
      </c>
      <c r="X2868">
        <v>0.98137850000000004</v>
      </c>
      <c r="Y2868">
        <v>0.2126565</v>
      </c>
      <c r="Z2868">
        <v>3.9386900000000002E-2</v>
      </c>
      <c r="AA2868">
        <v>0.9763328</v>
      </c>
      <c r="AB2868">
        <v>28</v>
      </c>
      <c r="AC2868">
        <v>346.49180000000001</v>
      </c>
      <c r="AD2868">
        <v>42.652470999999998</v>
      </c>
      <c r="AE2868">
        <v>0.13319999999998799</v>
      </c>
      <c r="AF2868">
        <v>73.734727220320195</v>
      </c>
      <c r="AG2868">
        <v>42.652470999999998</v>
      </c>
      <c r="AH2868">
        <v>333.26021374588601</v>
      </c>
      <c r="AI2868">
        <v>82.877049576188</v>
      </c>
      <c r="AJ2868">
        <v>77.524137741857302</v>
      </c>
      <c r="AK2868">
        <v>343.97443705399797</v>
      </c>
      <c r="AL2868">
        <v>86.328537221126197</v>
      </c>
      <c r="AM2868">
        <v>79.544701912974503</v>
      </c>
      <c r="AN2868">
        <v>1.0000000005315099</v>
      </c>
    </row>
    <row r="2869" spans="1:40" x14ac:dyDescent="0.25">
      <c r="A2869" t="str">
        <f>"20190312151041895"</f>
        <v>20190312151041895</v>
      </c>
      <c r="B2869" t="str">
        <f>"1552374641893475"</f>
        <v>1552374641893475</v>
      </c>
      <c r="C2869" t="s">
        <v>40</v>
      </c>
      <c r="D2869">
        <v>5.7109740000000002</v>
      </c>
      <c r="E2869">
        <v>0.51537259999999996</v>
      </c>
      <c r="F2869" t="s">
        <v>70</v>
      </c>
      <c r="G2869">
        <v>-107.39749999999999</v>
      </c>
      <c r="H2869">
        <v>45.399979999999999</v>
      </c>
      <c r="I2869">
        <v>211.55690000000001</v>
      </c>
      <c r="J2869">
        <v>-453.61270000000002</v>
      </c>
      <c r="K2869">
        <v>1.1056469999999901</v>
      </c>
      <c r="L2869">
        <v>213.62549999999999</v>
      </c>
      <c r="M2869">
        <v>0.97759589999999996</v>
      </c>
      <c r="N2869">
        <v>0</v>
      </c>
      <c r="O2869">
        <v>0.210009</v>
      </c>
      <c r="P2869">
        <v>0.9977182</v>
      </c>
      <c r="Q2869">
        <v>6.1433809999999998E-2</v>
      </c>
      <c r="R2869">
        <v>2.8002610000000001E-2</v>
      </c>
      <c r="S2869">
        <v>2.986755</v>
      </c>
      <c r="T2869">
        <v>0.38181589999999999</v>
      </c>
      <c r="U2869">
        <v>-1.7364500000000001E-2</v>
      </c>
      <c r="V2869">
        <v>0.18307419999999999</v>
      </c>
      <c r="W2869">
        <v>7.3170849999999996E-2</v>
      </c>
      <c r="X2869">
        <v>0.98037229999999997</v>
      </c>
      <c r="Y2869">
        <v>0.21229239999999999</v>
      </c>
      <c r="Z2869">
        <v>4.010739E-2</v>
      </c>
      <c r="AA2869">
        <v>0.9763828</v>
      </c>
      <c r="AB2869">
        <v>28</v>
      </c>
      <c r="AC2869">
        <v>346.21519999999998</v>
      </c>
      <c r="AD2869">
        <v>44.294333000000002</v>
      </c>
      <c r="AE2869">
        <v>-2.0685999999999698</v>
      </c>
      <c r="AF2869">
        <v>73.534535800330602</v>
      </c>
      <c r="AG2869">
        <v>44.294333000000002</v>
      </c>
      <c r="AH2869">
        <v>332.61422035308902</v>
      </c>
      <c r="AI2869">
        <v>82.591370741663198</v>
      </c>
      <c r="AJ2869">
        <v>77.5335419127546</v>
      </c>
      <c r="AK2869">
        <v>343.51351570553697</v>
      </c>
      <c r="AL2869">
        <v>85.803869050566405</v>
      </c>
      <c r="AM2869">
        <v>79.422445973298096</v>
      </c>
      <c r="AN2869">
        <v>0.999999991301326</v>
      </c>
    </row>
    <row r="2870" spans="1:40" x14ac:dyDescent="0.25">
      <c r="A2870" t="str">
        <f>"20190312151041916"</f>
        <v>20190312151041916</v>
      </c>
      <c r="B2870" t="str">
        <f>"1552374641913970"</f>
        <v>1552374641913970</v>
      </c>
      <c r="C2870" t="s">
        <v>40</v>
      </c>
      <c r="D2870">
        <v>5.7118669999999998</v>
      </c>
      <c r="E2870">
        <v>0.51506079999999999</v>
      </c>
      <c r="F2870" t="s">
        <v>69</v>
      </c>
      <c r="G2870">
        <v>-169.40530000000001</v>
      </c>
      <c r="H2870">
        <v>40.004620000000003</v>
      </c>
      <c r="I2870">
        <v>209.7901</v>
      </c>
      <c r="J2870">
        <v>-453.34949999999998</v>
      </c>
      <c r="K2870">
        <v>1.105515</v>
      </c>
      <c r="L2870">
        <v>213.67519999999999</v>
      </c>
      <c r="M2870">
        <v>0.97890560000000004</v>
      </c>
      <c r="N2870">
        <v>0</v>
      </c>
      <c r="O2870">
        <v>0.2038201</v>
      </c>
      <c r="P2870">
        <v>0.99767749999999999</v>
      </c>
      <c r="Q2870">
        <v>6.5357639999999995E-2</v>
      </c>
      <c r="R2870">
        <v>1.9194650000000001E-2</v>
      </c>
      <c r="S2870">
        <v>2.9827880000000002</v>
      </c>
      <c r="T2870">
        <v>0.40824929999999998</v>
      </c>
      <c r="U2870">
        <v>-4.0252690000000001E-2</v>
      </c>
      <c r="V2870">
        <v>0.1855414</v>
      </c>
      <c r="W2870">
        <v>7.6974790000000001E-2</v>
      </c>
      <c r="X2870">
        <v>0.97961690000000001</v>
      </c>
      <c r="Y2870">
        <v>0.21316299999999999</v>
      </c>
      <c r="Z2870">
        <v>4.2149449999999998E-2</v>
      </c>
      <c r="AA2870">
        <v>0.97610710000000001</v>
      </c>
      <c r="AB2870">
        <v>28</v>
      </c>
      <c r="AC2870">
        <v>283.94420000000002</v>
      </c>
      <c r="AD2870">
        <v>38.899104999999999</v>
      </c>
      <c r="AE2870">
        <v>-3.8850999999999898</v>
      </c>
      <c r="AF2870">
        <v>60.546770205557202</v>
      </c>
      <c r="AG2870">
        <v>38.899104999999999</v>
      </c>
      <c r="AH2870">
        <v>272.08511049425698</v>
      </c>
      <c r="AI2870">
        <v>82.055501173725105</v>
      </c>
      <c r="AJ2870">
        <v>77.454454970309499</v>
      </c>
      <c r="AK2870">
        <v>281.44157316359201</v>
      </c>
      <c r="AL2870">
        <v>85.585302462423101</v>
      </c>
      <c r="AM2870">
        <v>79.275105622305503</v>
      </c>
      <c r="AN2870">
        <v>1.00000000008755</v>
      </c>
    </row>
    <row r="2871" spans="1:40" x14ac:dyDescent="0.25">
      <c r="A2871" t="str">
        <f>"20190312151041939"</f>
        <v>20190312151041939</v>
      </c>
      <c r="B2871" t="str">
        <f>"1552374641933490"</f>
        <v>1552374641933490</v>
      </c>
      <c r="C2871" t="s">
        <v>40</v>
      </c>
      <c r="D2871">
        <v>5.7679519999999904</v>
      </c>
      <c r="E2871">
        <v>0.51478279999999998</v>
      </c>
      <c r="F2871" t="s">
        <v>69</v>
      </c>
      <c r="G2871">
        <v>-168.4238</v>
      </c>
      <c r="H2871">
        <v>41.161499999999997</v>
      </c>
      <c r="I2871">
        <v>207.56960000000001</v>
      </c>
      <c r="J2871">
        <v>-453.07350000000002</v>
      </c>
      <c r="K2871">
        <v>1.1053850000000001</v>
      </c>
      <c r="L2871">
        <v>213.7253</v>
      </c>
      <c r="M2871">
        <v>0.9802632</v>
      </c>
      <c r="N2871">
        <v>0</v>
      </c>
      <c r="O2871">
        <v>0.19719</v>
      </c>
      <c r="P2871">
        <v>0.99757830000000003</v>
      </c>
      <c r="Q2871">
        <v>6.8649100000000005E-2</v>
      </c>
      <c r="R2871">
        <v>1.1180560000000001E-2</v>
      </c>
      <c r="S2871">
        <v>2.9807429999999999</v>
      </c>
      <c r="T2871">
        <v>0.4190449</v>
      </c>
      <c r="U2871">
        <v>-6.3873289999999999E-2</v>
      </c>
      <c r="V2871">
        <v>0.1867964</v>
      </c>
      <c r="W2871">
        <v>8.0167299999999997E-2</v>
      </c>
      <c r="X2871">
        <v>0.97912220000000005</v>
      </c>
      <c r="Y2871">
        <v>0.2141393</v>
      </c>
      <c r="Z2871">
        <v>4.2439770000000002E-2</v>
      </c>
      <c r="AA2871">
        <v>0.97588070000000005</v>
      </c>
      <c r="AB2871">
        <v>28</v>
      </c>
      <c r="AC2871">
        <v>284.6497</v>
      </c>
      <c r="AD2871">
        <v>40.056114999999998</v>
      </c>
      <c r="AE2871">
        <v>-6.1556999999999897</v>
      </c>
      <c r="AF2871">
        <v>60.963841434640798</v>
      </c>
      <c r="AG2871">
        <v>40.056114999999998</v>
      </c>
      <c r="AH2871">
        <v>272.45291262709202</v>
      </c>
      <c r="AI2871">
        <v>81.835349210477801</v>
      </c>
      <c r="AJ2871">
        <v>77.387302293316196</v>
      </c>
      <c r="AK2871">
        <v>282.04905940340802</v>
      </c>
      <c r="AL2871">
        <v>85.401817732711294</v>
      </c>
      <c r="AM2871">
        <v>79.198935615285805</v>
      </c>
      <c r="AN2871">
        <v>0.99999998678754498</v>
      </c>
    </row>
    <row r="2872" spans="1:40" x14ac:dyDescent="0.25">
      <c r="A2872" t="str">
        <f>"20190312151041961"</f>
        <v>20190312151041961</v>
      </c>
      <c r="B2872" t="str">
        <f>"1552374641953986"</f>
        <v>1552374641953986</v>
      </c>
      <c r="C2872" t="s">
        <v>40</v>
      </c>
      <c r="D2872">
        <v>5.7772600000000001</v>
      </c>
      <c r="E2872">
        <v>0.5146077</v>
      </c>
      <c r="F2872" t="s">
        <v>69</v>
      </c>
      <c r="G2872">
        <v>-168.4247</v>
      </c>
      <c r="H2872">
        <v>41.975610000000003</v>
      </c>
      <c r="I2872">
        <v>205.48570000000001</v>
      </c>
      <c r="J2872">
        <v>-452.78370000000001</v>
      </c>
      <c r="K2872">
        <v>1.1052550000000001</v>
      </c>
      <c r="L2872">
        <v>213.7756</v>
      </c>
      <c r="M2872">
        <v>0.98166529999999996</v>
      </c>
      <c r="N2872">
        <v>0</v>
      </c>
      <c r="O2872">
        <v>0.1900888</v>
      </c>
      <c r="P2872">
        <v>0.99743090000000001</v>
      </c>
      <c r="Q2872">
        <v>7.1469400000000002E-2</v>
      </c>
      <c r="R2872">
        <v>4.895824E-3</v>
      </c>
      <c r="S2872">
        <v>2.9788209999999999</v>
      </c>
      <c r="T2872">
        <v>0.4277031</v>
      </c>
      <c r="U2872">
        <v>-8.6227419999999999E-2</v>
      </c>
      <c r="V2872">
        <v>0.18589249999999999</v>
      </c>
      <c r="W2872">
        <v>8.2927550000000003E-2</v>
      </c>
      <c r="X2872">
        <v>0.9790643</v>
      </c>
      <c r="Y2872">
        <v>0.21430360000000001</v>
      </c>
      <c r="Z2872">
        <v>4.234748E-2</v>
      </c>
      <c r="AA2872">
        <v>0.97584870000000001</v>
      </c>
      <c r="AB2872">
        <v>28</v>
      </c>
      <c r="AC2872">
        <v>284.35899999999998</v>
      </c>
      <c r="AD2872">
        <v>40.870355000000004</v>
      </c>
      <c r="AE2872">
        <v>-8.2898999999999798</v>
      </c>
      <c r="AF2872">
        <v>60.9397634114951</v>
      </c>
      <c r="AG2872">
        <v>40.870355000000004</v>
      </c>
      <c r="AH2872">
        <v>271.98344293456302</v>
      </c>
      <c r="AI2872">
        <v>81.658036376178501</v>
      </c>
      <c r="AJ2872">
        <v>77.371059528455703</v>
      </c>
      <c r="AK2872">
        <v>281.70735509214802</v>
      </c>
      <c r="AL2872">
        <v>85.243138349849602</v>
      </c>
      <c r="AM2872">
        <v>79.249359759732997</v>
      </c>
      <c r="AN2872">
        <v>0.99999995181987</v>
      </c>
    </row>
    <row r="2873" spans="1:40" x14ac:dyDescent="0.25">
      <c r="A2873" t="str">
        <f>"20190312151041985"</f>
        <v>20190312151041985</v>
      </c>
      <c r="B2873" t="str">
        <f>"1552374641973509"</f>
        <v>1552374641973509</v>
      </c>
      <c r="C2873" t="s">
        <v>40</v>
      </c>
      <c r="D2873">
        <v>5.7701260000000003</v>
      </c>
      <c r="E2873">
        <v>0.51428589999999996</v>
      </c>
      <c r="F2873" t="s">
        <v>69</v>
      </c>
      <c r="G2873">
        <v>-168.4255</v>
      </c>
      <c r="H2873">
        <v>42.551569999999998</v>
      </c>
      <c r="I2873">
        <v>203.80109999999999</v>
      </c>
      <c r="J2873">
        <v>-452.49680000000001</v>
      </c>
      <c r="K2873">
        <v>1.1051340000000001</v>
      </c>
      <c r="L2873">
        <v>213.82310000000001</v>
      </c>
      <c r="M2873">
        <v>0.98302049999999996</v>
      </c>
      <c r="N2873">
        <v>0</v>
      </c>
      <c r="O2873">
        <v>0.1829529</v>
      </c>
      <c r="P2873">
        <v>0.99742419999999998</v>
      </c>
      <c r="Q2873">
        <v>7.1710889999999999E-2</v>
      </c>
      <c r="R2873">
        <v>-1.598024E-3</v>
      </c>
      <c r="S2873">
        <v>2.9771730000000001</v>
      </c>
      <c r="T2873">
        <v>0.43393480000000001</v>
      </c>
      <c r="U2873">
        <v>-0.1044312</v>
      </c>
      <c r="V2873">
        <v>0.1851689</v>
      </c>
      <c r="W2873">
        <v>8.3121899999999999E-2</v>
      </c>
      <c r="X2873">
        <v>0.97918499999999997</v>
      </c>
      <c r="Y2873">
        <v>0.21315190000000001</v>
      </c>
      <c r="Z2873">
        <v>4.1875870000000003E-2</v>
      </c>
      <c r="AA2873">
        <v>0.97612120000000002</v>
      </c>
      <c r="AB2873">
        <v>28</v>
      </c>
      <c r="AC2873">
        <v>284.07130000000001</v>
      </c>
      <c r="AD2873">
        <v>41.446435999999999</v>
      </c>
      <c r="AE2873">
        <v>-10.022</v>
      </c>
      <c r="AF2873">
        <v>60.542469007741303</v>
      </c>
      <c r="AG2873">
        <v>41.446435999999999</v>
      </c>
      <c r="AH2873">
        <v>271.66611799222602</v>
      </c>
      <c r="AI2873">
        <v>81.530273853254201</v>
      </c>
      <c r="AJ2873">
        <v>77.436584019519103</v>
      </c>
      <c r="AK2873">
        <v>281.399497646356</v>
      </c>
      <c r="AL2873">
        <v>85.231964652429895</v>
      </c>
      <c r="AM2873">
        <v>79.291527236451302</v>
      </c>
      <c r="AN2873">
        <v>1.0000000180059001</v>
      </c>
    </row>
    <row r="2874" spans="1:40" x14ac:dyDescent="0.25">
      <c r="A2874" t="str">
        <f>"20190312151042006"</f>
        <v>20190312151042006</v>
      </c>
      <c r="B2874" t="str">
        <f>"1552374642003762"</f>
        <v>1552374642003762</v>
      </c>
      <c r="C2874" t="s">
        <v>40</v>
      </c>
      <c r="D2874">
        <v>5.8283399999999999</v>
      </c>
      <c r="E2874">
        <v>0.51388639999999997</v>
      </c>
      <c r="F2874" t="s">
        <v>69</v>
      </c>
      <c r="G2874">
        <v>-168.42590000000001</v>
      </c>
      <c r="H2874">
        <v>42.41583</v>
      </c>
      <c r="I2874">
        <v>202.2251</v>
      </c>
      <c r="J2874">
        <v>-452.23140000000001</v>
      </c>
      <c r="K2874">
        <v>1.10504</v>
      </c>
      <c r="L2874">
        <v>213.86510000000001</v>
      </c>
      <c r="M2874">
        <v>0.98424140000000004</v>
      </c>
      <c r="N2874">
        <v>0</v>
      </c>
      <c r="O2874">
        <v>0.17626910000000001</v>
      </c>
      <c r="P2874">
        <v>0.99751190000000001</v>
      </c>
      <c r="Q2874">
        <v>7.0144289999999998E-2</v>
      </c>
      <c r="R2874">
        <v>-7.0645969999999997E-3</v>
      </c>
      <c r="S2874">
        <v>2.97641</v>
      </c>
      <c r="T2874">
        <v>0.43284139999999999</v>
      </c>
      <c r="U2874">
        <v>-0.121521</v>
      </c>
      <c r="V2874">
        <v>0.18389050000000001</v>
      </c>
      <c r="W2874">
        <v>8.1532779999999999E-2</v>
      </c>
      <c r="X2874">
        <v>0.97955939999999997</v>
      </c>
      <c r="Y2874">
        <v>0.21222250000000001</v>
      </c>
      <c r="Z2874">
        <v>4.0757549999999997E-2</v>
      </c>
      <c r="AA2874">
        <v>0.97637099999999999</v>
      </c>
      <c r="AB2874">
        <v>28</v>
      </c>
      <c r="AC2874">
        <v>283.80549999999999</v>
      </c>
      <c r="AD2874">
        <v>41.310789999999997</v>
      </c>
      <c r="AE2874">
        <v>-11.64</v>
      </c>
      <c r="AF2874">
        <v>60.215117885283902</v>
      </c>
      <c r="AG2874">
        <v>41.310789999999997</v>
      </c>
      <c r="AH2874">
        <v>271.56462701574998</v>
      </c>
      <c r="AI2874">
        <v>81.552505040573195</v>
      </c>
      <c r="AJ2874">
        <v>77.497850354840097</v>
      </c>
      <c r="AK2874">
        <v>281.21128789322501</v>
      </c>
      <c r="AL2874">
        <v>85.323324413348899</v>
      </c>
      <c r="AM2874">
        <v>79.367738299382907</v>
      </c>
      <c r="AN2874">
        <v>0.999999964166568</v>
      </c>
    </row>
    <row r="2875" spans="1:40" x14ac:dyDescent="0.25">
      <c r="A2875" t="str">
        <f>"20190312151042029"</f>
        <v>20190312151042029</v>
      </c>
      <c r="B2875" t="str">
        <f>"1552374642023282"</f>
        <v>1552374642023282</v>
      </c>
      <c r="C2875" t="s">
        <v>40</v>
      </c>
      <c r="D2875">
        <v>5.8972490000000004</v>
      </c>
      <c r="E2875">
        <v>0.51403639999999995</v>
      </c>
      <c r="F2875" t="s">
        <v>69</v>
      </c>
      <c r="G2875">
        <v>-168.42609999999999</v>
      </c>
      <c r="H2875">
        <v>41.635280000000002</v>
      </c>
      <c r="I2875">
        <v>200.9956</v>
      </c>
      <c r="J2875">
        <v>-451.9529</v>
      </c>
      <c r="K2875">
        <v>1.104973</v>
      </c>
      <c r="L2875">
        <v>213.90719999999999</v>
      </c>
      <c r="M2875">
        <v>0.98548179999999996</v>
      </c>
      <c r="N2875">
        <v>0</v>
      </c>
      <c r="O2875">
        <v>0.16919779999999901</v>
      </c>
      <c r="P2875">
        <v>0.99737019999999998</v>
      </c>
      <c r="Q2875">
        <v>7.1252319999999994E-2</v>
      </c>
      <c r="R2875">
        <v>-1.326857E-2</v>
      </c>
      <c r="S2875">
        <v>2.9766240000000002</v>
      </c>
      <c r="T2875">
        <v>0.42509200000000003</v>
      </c>
      <c r="U2875">
        <v>-0.13497919999999999</v>
      </c>
      <c r="V2875">
        <v>0.1829575</v>
      </c>
      <c r="W2875">
        <v>8.261868E-2</v>
      </c>
      <c r="X2875">
        <v>0.97964320000000005</v>
      </c>
      <c r="Y2875">
        <v>0.2098544</v>
      </c>
      <c r="Z2875">
        <v>3.886817E-2</v>
      </c>
      <c r="AA2875">
        <v>0.97695980000000004</v>
      </c>
      <c r="AB2875">
        <v>28</v>
      </c>
      <c r="AC2875">
        <v>283.52679999999998</v>
      </c>
      <c r="AD2875">
        <v>40.530307000000001</v>
      </c>
      <c r="AE2875">
        <v>-12.9115999999999</v>
      </c>
      <c r="AF2875">
        <v>59.489123362170403</v>
      </c>
      <c r="AG2875">
        <v>40.530307000000001</v>
      </c>
      <c r="AH2875">
        <v>271.712386138162</v>
      </c>
      <c r="AI2875">
        <v>81.709513855812602</v>
      </c>
      <c r="AJ2875">
        <v>77.6504408545308</v>
      </c>
      <c r="AK2875">
        <v>281.085898552039</v>
      </c>
      <c r="AL2875">
        <v>85.260896684137293</v>
      </c>
      <c r="AM2875">
        <v>79.421346650508895</v>
      </c>
      <c r="AN2875">
        <v>1.00000004619871</v>
      </c>
    </row>
    <row r="2876" spans="1:40" x14ac:dyDescent="0.25">
      <c r="A2876" t="str">
        <f>"20190312151042053"</f>
        <v>20190312151042053</v>
      </c>
      <c r="B2876" t="str">
        <f>"1552374642043745"</f>
        <v>1552374642043745</v>
      </c>
      <c r="C2876" t="s">
        <v>40</v>
      </c>
      <c r="D2876">
        <v>5.792948</v>
      </c>
      <c r="E2876">
        <v>0.51420329999999903</v>
      </c>
      <c r="F2876" t="s">
        <v>69</v>
      </c>
      <c r="G2876">
        <v>-168.42679999999999</v>
      </c>
      <c r="H2876">
        <v>41.925420000000003</v>
      </c>
      <c r="I2876">
        <v>199.1962</v>
      </c>
      <c r="J2876">
        <v>-451.64929999999998</v>
      </c>
      <c r="K2876">
        <v>1.104932</v>
      </c>
      <c r="L2876">
        <v>213.95070000000001</v>
      </c>
      <c r="M2876">
        <v>0.98678169999999998</v>
      </c>
      <c r="N2876">
        <v>0</v>
      </c>
      <c r="O2876">
        <v>0.16144639999999999</v>
      </c>
      <c r="P2876">
        <v>0.99706209999999995</v>
      </c>
      <c r="Q2876">
        <v>7.4261099999999997E-2</v>
      </c>
      <c r="R2876">
        <v>-1.877968E-2</v>
      </c>
      <c r="S2876">
        <v>2.97525</v>
      </c>
      <c r="T2876">
        <v>0.42835970000000001</v>
      </c>
      <c r="U2876">
        <v>-0.15437319999999999</v>
      </c>
      <c r="V2876">
        <v>0.18067659999999999</v>
      </c>
      <c r="W2876">
        <v>8.5631579999999999E-2</v>
      </c>
      <c r="X2876">
        <v>0.97980769999999995</v>
      </c>
      <c r="Y2876">
        <v>0.20857919999999999</v>
      </c>
      <c r="Z2876">
        <v>3.7987420000000001E-2</v>
      </c>
      <c r="AA2876">
        <v>0.97726740000000001</v>
      </c>
      <c r="AB2876">
        <v>28</v>
      </c>
      <c r="AC2876">
        <v>283.22250000000003</v>
      </c>
      <c r="AD2876">
        <v>40.820487999999997</v>
      </c>
      <c r="AE2876">
        <v>-14.7545</v>
      </c>
      <c r="AF2876">
        <v>59.066978538225399</v>
      </c>
      <c r="AG2876">
        <v>40.820487999999997</v>
      </c>
      <c r="AH2876">
        <v>271.49939452854602</v>
      </c>
      <c r="AI2876">
        <v>81.6421597774563</v>
      </c>
      <c r="AJ2876">
        <v>77.726083808013499</v>
      </c>
      <c r="AK2876">
        <v>280.83294219795602</v>
      </c>
      <c r="AL2876">
        <v>85.087655668085802</v>
      </c>
      <c r="AM2876">
        <v>79.552021854421994</v>
      </c>
      <c r="AN2876">
        <v>0.99999996513007205</v>
      </c>
    </row>
    <row r="2877" spans="1:40" x14ac:dyDescent="0.25">
      <c r="A2877" t="str">
        <f>"20190312151042075"</f>
        <v>20190312151042075</v>
      </c>
      <c r="B2877" t="str">
        <f>"1552374642063265"</f>
        <v>1552374642063265</v>
      </c>
      <c r="C2877" t="s">
        <v>40</v>
      </c>
      <c r="D2877">
        <v>5.7968849999999996</v>
      </c>
      <c r="E2877">
        <v>0.51437959999999905</v>
      </c>
      <c r="F2877" t="s">
        <v>69</v>
      </c>
      <c r="G2877">
        <v>-168.42760000000001</v>
      </c>
      <c r="H2877">
        <v>42.809150000000002</v>
      </c>
      <c r="I2877">
        <v>197.57400000000001</v>
      </c>
      <c r="J2877">
        <v>-451.3673</v>
      </c>
      <c r="K2877">
        <v>1.1049089999999999</v>
      </c>
      <c r="L2877">
        <v>213.9889</v>
      </c>
      <c r="M2877">
        <v>0.98793629999999999</v>
      </c>
      <c r="N2877">
        <v>0</v>
      </c>
      <c r="O2877">
        <v>0.15422520000000001</v>
      </c>
      <c r="P2877">
        <v>0.99672959999999999</v>
      </c>
      <c r="Q2877">
        <v>7.7543379999999995E-2</v>
      </c>
      <c r="R2877">
        <v>-2.2748629999999999E-2</v>
      </c>
      <c r="S2877">
        <v>2.9729610000000002</v>
      </c>
      <c r="T2877">
        <v>0.43776709999999902</v>
      </c>
      <c r="U2877">
        <v>-0.17190549999999999</v>
      </c>
      <c r="V2877">
        <v>0.177413299999999</v>
      </c>
      <c r="W2877">
        <v>8.8943389999999997E-2</v>
      </c>
      <c r="X2877">
        <v>0.98010900000000001</v>
      </c>
      <c r="Y2877">
        <v>0.2071364</v>
      </c>
      <c r="Z2877">
        <v>3.7684370000000002E-2</v>
      </c>
      <c r="AA2877">
        <v>0.97758599999999996</v>
      </c>
      <c r="AB2877">
        <v>28</v>
      </c>
      <c r="AC2877">
        <v>282.93970000000002</v>
      </c>
      <c r="AD2877">
        <v>41.704240999999897</v>
      </c>
      <c r="AE2877">
        <v>-16.4148999999999</v>
      </c>
      <c r="AF2877">
        <v>58.590540269902903</v>
      </c>
      <c r="AG2877">
        <v>41.704240999999897</v>
      </c>
      <c r="AH2877">
        <v>271.150855730552</v>
      </c>
      <c r="AI2877">
        <v>81.450465564246599</v>
      </c>
      <c r="AJ2877">
        <v>77.806934362649699</v>
      </c>
      <c r="AK2877">
        <v>280.52608023126101</v>
      </c>
      <c r="AL2877">
        <v>84.897176131516105</v>
      </c>
      <c r="AM2877">
        <v>79.739770141200793</v>
      </c>
      <c r="AN2877">
        <v>1.00000002876129</v>
      </c>
    </row>
    <row r="2878" spans="1:40" x14ac:dyDescent="0.25">
      <c r="A2878" t="str">
        <f>"20190312151042098"</f>
        <v>20190312151042098</v>
      </c>
      <c r="B2878" t="str">
        <f>"1552374642093521"</f>
        <v>1552374642093521</v>
      </c>
      <c r="C2878" t="s">
        <v>40</v>
      </c>
      <c r="D2878">
        <v>5.8332480000000002</v>
      </c>
      <c r="E2878">
        <v>0.51474830000000005</v>
      </c>
      <c r="F2878" t="s">
        <v>69</v>
      </c>
      <c r="G2878">
        <v>-168.42830000000001</v>
      </c>
      <c r="H2878">
        <v>43.69182</v>
      </c>
      <c r="I2878">
        <v>196.37989999999999</v>
      </c>
      <c r="J2878">
        <v>-451.09160000000003</v>
      </c>
      <c r="K2878">
        <v>1.1049089999999999</v>
      </c>
      <c r="L2878">
        <v>214.02430000000001</v>
      </c>
      <c r="M2878">
        <v>0.98901289999999997</v>
      </c>
      <c r="N2878">
        <v>0</v>
      </c>
      <c r="O2878">
        <v>0.14716409999999999</v>
      </c>
      <c r="P2878">
        <v>0.9964269</v>
      </c>
      <c r="Q2878">
        <v>8.0094739999999998E-2</v>
      </c>
      <c r="R2878">
        <v>-2.6807069999999999E-2</v>
      </c>
      <c r="S2878">
        <v>2.9707949999999999</v>
      </c>
      <c r="T2878">
        <v>0.44715319999999997</v>
      </c>
      <c r="U2878">
        <v>-0.18489069999999999</v>
      </c>
      <c r="V2878">
        <v>0.17440269999999999</v>
      </c>
      <c r="W2878">
        <v>9.152681E-2</v>
      </c>
      <c r="X2878">
        <v>0.98041140000000004</v>
      </c>
      <c r="Y2878">
        <v>0.20438890000000001</v>
      </c>
      <c r="Z2878">
        <v>3.7253550000000003E-2</v>
      </c>
      <c r="AA2878">
        <v>0.97818059999999996</v>
      </c>
      <c r="AB2878">
        <v>28</v>
      </c>
      <c r="AC2878">
        <v>282.66329999999999</v>
      </c>
      <c r="AD2878">
        <v>42.586911000000001</v>
      </c>
      <c r="AE2878">
        <v>-17.644400000000001</v>
      </c>
      <c r="AF2878">
        <v>57.748458610853099</v>
      </c>
      <c r="AG2878">
        <v>42.586911000000001</v>
      </c>
      <c r="AH2878">
        <v>270.86363895890003</v>
      </c>
      <c r="AI2878">
        <v>81.258076519151999</v>
      </c>
      <c r="AJ2878">
        <v>77.964665019652898</v>
      </c>
      <c r="AK2878">
        <v>280.20642457036701</v>
      </c>
      <c r="AL2878">
        <v>84.748550486735098</v>
      </c>
      <c r="AM2878">
        <v>79.913321302861405</v>
      </c>
      <c r="AN2878">
        <v>0.99999998598301298</v>
      </c>
    </row>
    <row r="2879" spans="1:40" x14ac:dyDescent="0.25">
      <c r="A2879" t="str">
        <f>"20190312151042118"</f>
        <v>20190312151042118</v>
      </c>
      <c r="B2879" t="str">
        <f>"1552374642114016"</f>
        <v>1552374642114016</v>
      </c>
      <c r="C2879" t="s">
        <v>40</v>
      </c>
      <c r="D2879">
        <v>5.8279880000000004</v>
      </c>
      <c r="E2879">
        <v>0.51495309999999905</v>
      </c>
      <c r="F2879" t="s">
        <v>69</v>
      </c>
      <c r="G2879">
        <v>-168.429</v>
      </c>
      <c r="H2879">
        <v>44.395530000000001</v>
      </c>
      <c r="I2879">
        <v>195.0206</v>
      </c>
      <c r="J2879">
        <v>-450.83409999999998</v>
      </c>
      <c r="K2879">
        <v>1.10491299999999</v>
      </c>
      <c r="L2879">
        <v>214.05549999999999</v>
      </c>
      <c r="M2879">
        <v>0.98997040000000003</v>
      </c>
      <c r="N2879">
        <v>0</v>
      </c>
      <c r="O2879">
        <v>0.14058019999999999</v>
      </c>
      <c r="P2879">
        <v>0.99612000000000001</v>
      </c>
      <c r="Q2879">
        <v>8.2541879999999998E-2</v>
      </c>
      <c r="R2879">
        <v>-3.0530640000000001E-2</v>
      </c>
      <c r="S2879">
        <v>2.9688720000000002</v>
      </c>
      <c r="T2879">
        <v>0.45469199999999999</v>
      </c>
      <c r="U2879">
        <v>-0.19960020000000001</v>
      </c>
      <c r="V2879">
        <v>0.1715412</v>
      </c>
      <c r="W2879">
        <v>9.4007540000000001E-2</v>
      </c>
      <c r="X2879">
        <v>0.98068149999999998</v>
      </c>
      <c r="Y2879">
        <v>0.2027043</v>
      </c>
      <c r="Z2879">
        <v>3.677068E-2</v>
      </c>
      <c r="AA2879">
        <v>0.97854940000000001</v>
      </c>
      <c r="AB2879">
        <v>28</v>
      </c>
      <c r="AC2879">
        <v>282.40509999999898</v>
      </c>
      <c r="AD2879">
        <v>43.290616999999997</v>
      </c>
      <c r="AE2879">
        <v>-19.0349</v>
      </c>
      <c r="AF2879">
        <v>57.211963404370103</v>
      </c>
      <c r="AG2879">
        <v>43.290616999999997</v>
      </c>
      <c r="AH2879">
        <v>270.59404287471602</v>
      </c>
      <c r="AI2879">
        <v>81.104053409768795</v>
      </c>
      <c r="AJ2879">
        <v>78.061717462806499</v>
      </c>
      <c r="AK2879">
        <v>279.94360559960501</v>
      </c>
      <c r="AL2879">
        <v>84.605799611423905</v>
      </c>
      <c r="AM2879">
        <v>80.078179789108404</v>
      </c>
      <c r="AN2879">
        <v>1.00000000265827</v>
      </c>
    </row>
    <row r="2880" spans="1:40" x14ac:dyDescent="0.25">
      <c r="A2880" t="str">
        <f>"20190312151042140"</f>
        <v>20190312151042140</v>
      </c>
      <c r="B2880" t="str">
        <f>"1552374642133537"</f>
        <v>1552374642133537</v>
      </c>
      <c r="C2880" t="s">
        <v>40</v>
      </c>
      <c r="D2880">
        <v>5.3528650000000004</v>
      </c>
      <c r="E2880">
        <v>0.51502769999999998</v>
      </c>
      <c r="F2880" t="s">
        <v>69</v>
      </c>
      <c r="G2880">
        <v>-168.42959999999999</v>
      </c>
      <c r="H2880">
        <v>45.098669999999998</v>
      </c>
      <c r="I2880">
        <v>193.84639999999999</v>
      </c>
      <c r="J2880">
        <v>-450.55250000000001</v>
      </c>
      <c r="K2880">
        <v>1.104919</v>
      </c>
      <c r="L2880">
        <v>214.0874</v>
      </c>
      <c r="M2880">
        <v>0.99096379999999995</v>
      </c>
      <c r="N2880">
        <v>0</v>
      </c>
      <c r="O2880">
        <v>0.1333992</v>
      </c>
      <c r="P2880">
        <v>0.99584950000000005</v>
      </c>
      <c r="Q2880">
        <v>8.3854529999999997E-2</v>
      </c>
      <c r="R2880">
        <v>-3.538757E-2</v>
      </c>
      <c r="S2880">
        <v>2.9668580000000002</v>
      </c>
      <c r="T2880">
        <v>0.46218569999999998</v>
      </c>
      <c r="U2880">
        <v>-0.21231079999999999</v>
      </c>
      <c r="V2880">
        <v>0.1692089</v>
      </c>
      <c r="W2880">
        <v>9.5349970000000006E-2</v>
      </c>
      <c r="X2880">
        <v>0.98095699999999997</v>
      </c>
      <c r="Y2880">
        <v>0.19981099999999999</v>
      </c>
      <c r="Z2880">
        <v>3.6061639999999999E-2</v>
      </c>
      <c r="AA2880">
        <v>0.9791706</v>
      </c>
      <c r="AB2880">
        <v>28</v>
      </c>
      <c r="AC2880">
        <v>282.12290000000002</v>
      </c>
      <c r="AD2880">
        <v>43.993751000000003</v>
      </c>
      <c r="AE2880">
        <v>-20.241</v>
      </c>
      <c r="AF2880">
        <v>56.335816939634</v>
      </c>
      <c r="AG2880">
        <v>43.993751000000003</v>
      </c>
      <c r="AH2880">
        <v>270.35989878814502</v>
      </c>
      <c r="AI2880">
        <v>80.948762142296303</v>
      </c>
      <c r="AJ2880">
        <v>78.229509789142597</v>
      </c>
      <c r="AK2880">
        <v>279.64915388758499</v>
      </c>
      <c r="AL2880">
        <v>84.528536682283402</v>
      </c>
      <c r="AM2880">
        <v>80.213147008731497</v>
      </c>
      <c r="AN2880">
        <v>0.99999995223360405</v>
      </c>
    </row>
    <row r="2881" spans="1:40" x14ac:dyDescent="0.25">
      <c r="A2881" t="str">
        <f>"20190312151042163"</f>
        <v>20190312151042163</v>
      </c>
      <c r="B2881" t="str">
        <f>"1552374642153563"</f>
        <v>1552374642153563</v>
      </c>
      <c r="C2881" t="s">
        <v>40</v>
      </c>
      <c r="D2881">
        <v>5.6174780000000002</v>
      </c>
      <c r="E2881">
        <v>0.51514389999999999</v>
      </c>
      <c r="F2881" t="s">
        <v>69</v>
      </c>
      <c r="G2881">
        <v>-168.43020000000001</v>
      </c>
      <c r="H2881">
        <v>45.50432</v>
      </c>
      <c r="I2881">
        <v>192.48150000000001</v>
      </c>
      <c r="J2881">
        <v>-450.27080000000001</v>
      </c>
      <c r="K2881">
        <v>1.1049340000000001</v>
      </c>
      <c r="L2881">
        <v>214.1174</v>
      </c>
      <c r="M2881">
        <v>0.99190149999999999</v>
      </c>
      <c r="N2881">
        <v>0</v>
      </c>
      <c r="O2881">
        <v>0.12623899999999999</v>
      </c>
      <c r="P2881">
        <v>0.99546120000000005</v>
      </c>
      <c r="Q2881">
        <v>8.628421E-2</v>
      </c>
      <c r="R2881">
        <v>-4.0153359999999999E-2</v>
      </c>
      <c r="S2881">
        <v>2.9651489999999998</v>
      </c>
      <c r="T2881">
        <v>0.46664499999999998</v>
      </c>
      <c r="U2881">
        <v>-0.22708130000000001</v>
      </c>
      <c r="V2881">
        <v>0.16681670000000001</v>
      </c>
      <c r="W2881">
        <v>9.7811300000000004E-2</v>
      </c>
      <c r="X2881">
        <v>0.98112449999999995</v>
      </c>
      <c r="Y2881">
        <v>0.19766449999999999</v>
      </c>
      <c r="Z2881">
        <v>3.5139549999999999E-2</v>
      </c>
      <c r="AA2881">
        <v>0.9796397</v>
      </c>
      <c r="AB2881">
        <v>28</v>
      </c>
      <c r="AC2881">
        <v>281.84059999999999</v>
      </c>
      <c r="AD2881">
        <v>44.399386</v>
      </c>
      <c r="AE2881">
        <v>-21.6358999999999</v>
      </c>
      <c r="AF2881">
        <v>55.6720127669468</v>
      </c>
      <c r="AG2881">
        <v>44.399386</v>
      </c>
      <c r="AH2881">
        <v>270.18789978061</v>
      </c>
      <c r="AI2881">
        <v>80.856841577139093</v>
      </c>
      <c r="AJ2881">
        <v>78.357192927849894</v>
      </c>
      <c r="AK2881">
        <v>279.41399333347198</v>
      </c>
      <c r="AL2881">
        <v>84.386851138522204</v>
      </c>
      <c r="AM2881">
        <v>80.350505380408606</v>
      </c>
      <c r="AN2881">
        <v>1.00000007315341</v>
      </c>
    </row>
    <row r="2882" spans="1:40" x14ac:dyDescent="0.25">
      <c r="A2882" t="str">
        <f>"20190312151042185"</f>
        <v>20190312151042185</v>
      </c>
      <c r="B2882" t="str">
        <f>"1552374642174063"</f>
        <v>1552374642174063</v>
      </c>
      <c r="C2882" t="s">
        <v>40</v>
      </c>
      <c r="D2882">
        <v>5.5146629999999996</v>
      </c>
      <c r="E2882">
        <v>0.51520869999999996</v>
      </c>
      <c r="F2882" t="s">
        <v>69</v>
      </c>
      <c r="G2882">
        <v>-168.43090000000001</v>
      </c>
      <c r="H2882">
        <v>46.175139999999999</v>
      </c>
      <c r="I2882">
        <v>191.04560000000001</v>
      </c>
      <c r="J2882">
        <v>-449.99549999999999</v>
      </c>
      <c r="K2882">
        <v>1.1049549999999999</v>
      </c>
      <c r="L2882">
        <v>214.1448</v>
      </c>
      <c r="M2882">
        <v>0.99276450000000005</v>
      </c>
      <c r="N2882">
        <v>0</v>
      </c>
      <c r="O2882">
        <v>0.1192638</v>
      </c>
      <c r="P2882">
        <v>0.99514879999999994</v>
      </c>
      <c r="Q2882">
        <v>8.8483229999999996E-2</v>
      </c>
      <c r="R2882">
        <v>-4.3011670000000002E-2</v>
      </c>
      <c r="S2882">
        <v>2.962799</v>
      </c>
      <c r="T2882">
        <v>0.4737941</v>
      </c>
      <c r="U2882">
        <v>-0.24253849999999999</v>
      </c>
      <c r="V2882">
        <v>0.1627306</v>
      </c>
      <c r="W2882">
        <v>0.1000704</v>
      </c>
      <c r="X2882">
        <v>0.98158279999999998</v>
      </c>
      <c r="Y2882">
        <v>0.1959012</v>
      </c>
      <c r="Z2882">
        <v>3.4450580000000001E-2</v>
      </c>
      <c r="AA2882">
        <v>0.98001830000000001</v>
      </c>
      <c r="AB2882">
        <v>28</v>
      </c>
      <c r="AC2882">
        <v>281.56459999999998</v>
      </c>
      <c r="AD2882">
        <v>45.070184999999903</v>
      </c>
      <c r="AE2882">
        <v>-23.0992</v>
      </c>
      <c r="AF2882">
        <v>55.115281060681703</v>
      </c>
      <c r="AG2882">
        <v>45.070184999999903</v>
      </c>
      <c r="AH2882">
        <v>269.92935736927399</v>
      </c>
      <c r="AI2882">
        <v>80.7090057120637</v>
      </c>
      <c r="AJ2882">
        <v>78.459743631356105</v>
      </c>
      <c r="AK2882">
        <v>279.16101760833601</v>
      </c>
      <c r="AL2882">
        <v>84.256775928949807</v>
      </c>
      <c r="AM2882">
        <v>80.586898041624096</v>
      </c>
      <c r="AN2882">
        <v>1.0000000631941699</v>
      </c>
    </row>
    <row r="2883" spans="1:40" x14ac:dyDescent="0.25">
      <c r="A2883" t="str">
        <f>"20190312151042208"</f>
        <v>20190312151042208</v>
      </c>
      <c r="B2883" t="str">
        <f>"1552374642203339"</f>
        <v>1552374642203339</v>
      </c>
      <c r="C2883" t="s">
        <v>40</v>
      </c>
      <c r="D2883">
        <v>5.8053929999999996</v>
      </c>
      <c r="E2883">
        <v>0.51759709999999903</v>
      </c>
      <c r="F2883" t="s">
        <v>69</v>
      </c>
      <c r="G2883">
        <v>-168.4314</v>
      </c>
      <c r="H2883">
        <v>46.751150000000003</v>
      </c>
      <c r="I2883">
        <v>190.17080000000001</v>
      </c>
      <c r="J2883">
        <v>-449.70780000000002</v>
      </c>
      <c r="K2883">
        <v>1.1049819999999999</v>
      </c>
      <c r="L2883">
        <v>214.1713</v>
      </c>
      <c r="M2883">
        <v>0.99360939999999998</v>
      </c>
      <c r="N2883">
        <v>0</v>
      </c>
      <c r="O2883">
        <v>0.112008</v>
      </c>
      <c r="P2883">
        <v>0.99481319999999995</v>
      </c>
      <c r="Q2883">
        <v>9.0033260000000004E-2</v>
      </c>
      <c r="R2883">
        <v>-4.7340399999999998E-2</v>
      </c>
      <c r="S2883">
        <v>2.9610599999999998</v>
      </c>
      <c r="T2883">
        <v>0.48003699999999999</v>
      </c>
      <c r="U2883">
        <v>-0.25212099999999998</v>
      </c>
      <c r="V2883">
        <v>0.15982209999999999</v>
      </c>
      <c r="W2883">
        <v>0.1016649</v>
      </c>
      <c r="X2883">
        <v>0.98189669999999896</v>
      </c>
      <c r="Y2883">
        <v>0.19197429999999999</v>
      </c>
      <c r="Z2883">
        <v>3.3435930000000003E-2</v>
      </c>
      <c r="AA2883">
        <v>0.98083019999999999</v>
      </c>
      <c r="AB2883">
        <v>28</v>
      </c>
      <c r="AC2883">
        <v>281.27640000000002</v>
      </c>
      <c r="AD2883">
        <v>45.646167999999903</v>
      </c>
      <c r="AE2883">
        <v>-24.000499999999899</v>
      </c>
      <c r="AF2883">
        <v>53.947254729860397</v>
      </c>
      <c r="AG2883">
        <v>45.646167999999903</v>
      </c>
      <c r="AH2883">
        <v>269.764517970952</v>
      </c>
      <c r="AI2883">
        <v>80.579183067920596</v>
      </c>
      <c r="AJ2883">
        <v>78.691221158153795</v>
      </c>
      <c r="AK2883">
        <v>278.86694695154</v>
      </c>
      <c r="AL2883">
        <v>84.164949061943005</v>
      </c>
      <c r="AM2883">
        <v>80.755112217199098</v>
      </c>
      <c r="AN2883">
        <v>0.99999999250565397</v>
      </c>
    </row>
    <row r="2884" spans="1:40" x14ac:dyDescent="0.25">
      <c r="A2884" t="str">
        <f>"20190312151042229"</f>
        <v>20190312151042229</v>
      </c>
      <c r="B2884" t="str">
        <f>"1552374642223835"</f>
        <v>1552374642223835</v>
      </c>
      <c r="C2884" t="s">
        <v>40</v>
      </c>
      <c r="D2884">
        <v>5.5387899999999997</v>
      </c>
      <c r="E2884">
        <v>0.51934009999999997</v>
      </c>
      <c r="F2884" t="s">
        <v>69</v>
      </c>
      <c r="G2884">
        <v>-168.43270000000001</v>
      </c>
      <c r="H2884">
        <v>47.702120000000001</v>
      </c>
      <c r="I2884">
        <v>187.1335</v>
      </c>
      <c r="J2884">
        <v>-449.44420000000002</v>
      </c>
      <c r="K2884">
        <v>1.1050139999999999</v>
      </c>
      <c r="L2884">
        <v>214.19380000000001</v>
      </c>
      <c r="M2884">
        <v>0.99433229999999995</v>
      </c>
      <c r="N2884">
        <v>0</v>
      </c>
      <c r="O2884">
        <v>0.1053992</v>
      </c>
      <c r="P2884">
        <v>0.99438150000000003</v>
      </c>
      <c r="Q2884">
        <v>9.1875109999999996E-2</v>
      </c>
      <c r="R2884">
        <v>-5.2580200000000001E-2</v>
      </c>
      <c r="S2884">
        <v>2.9577640000000001</v>
      </c>
      <c r="T2884">
        <v>0.48999510000000002</v>
      </c>
      <c r="U2884">
        <v>-0.28431699999999999</v>
      </c>
      <c r="V2884">
        <v>0.15846099999999999</v>
      </c>
      <c r="W2884">
        <v>0.10352989999999999</v>
      </c>
      <c r="X2884">
        <v>0.98192239999999997</v>
      </c>
      <c r="Y2884">
        <v>0.19600029999999999</v>
      </c>
      <c r="Z2884">
        <v>3.3391589999999999E-2</v>
      </c>
      <c r="AA2884">
        <v>0.98003510000000005</v>
      </c>
      <c r="AB2884">
        <v>28</v>
      </c>
      <c r="AC2884">
        <v>281.01150000000001</v>
      </c>
      <c r="AD2884">
        <v>46.597105999999997</v>
      </c>
      <c r="AE2884">
        <v>-27.060300000000002</v>
      </c>
      <c r="AF2884">
        <v>55.031563359937699</v>
      </c>
      <c r="AG2884">
        <v>46.597105999999997</v>
      </c>
      <c r="AH2884">
        <v>269.25804675424598</v>
      </c>
      <c r="AI2884">
        <v>80.376882843799805</v>
      </c>
      <c r="AJ2884">
        <v>78.448845326216698</v>
      </c>
      <c r="AK2884">
        <v>278.74658562092901</v>
      </c>
      <c r="AL2884">
        <v>84.057525369303605</v>
      </c>
      <c r="AM2884">
        <v>80.832738255015997</v>
      </c>
      <c r="AN2884">
        <v>0.99999996416838399</v>
      </c>
    </row>
    <row r="2885" spans="1:40" x14ac:dyDescent="0.25">
      <c r="A2885" t="str">
        <f>"20190312151042253"</f>
        <v>20190312151042253</v>
      </c>
      <c r="B2885" t="str">
        <f>"1552374642243861"</f>
        <v>1552374642243861</v>
      </c>
      <c r="C2885" t="s">
        <v>40</v>
      </c>
      <c r="D2885">
        <v>5.8418049999999999</v>
      </c>
      <c r="E2885">
        <v>0.52026679999999903</v>
      </c>
      <c r="F2885" t="s">
        <v>69</v>
      </c>
      <c r="G2885">
        <v>-169.41669999999999</v>
      </c>
      <c r="H2885">
        <v>48.884900000000002</v>
      </c>
      <c r="I2885">
        <v>184.4306</v>
      </c>
      <c r="J2885">
        <v>-449.15120000000002</v>
      </c>
      <c r="K2885">
        <v>1.1050709999999999</v>
      </c>
      <c r="L2885">
        <v>214.21690000000001</v>
      </c>
      <c r="M2885">
        <v>0.99507849999999998</v>
      </c>
      <c r="N2885">
        <v>0</v>
      </c>
      <c r="O2885">
        <v>9.810576E-2</v>
      </c>
      <c r="P2885">
        <v>0.99399079999999995</v>
      </c>
      <c r="Q2885">
        <v>9.2660649999999997E-2</v>
      </c>
      <c r="R2885">
        <v>-5.8281550000000001E-2</v>
      </c>
      <c r="S2885">
        <v>2.9537960000000001</v>
      </c>
      <c r="T2885">
        <v>0.50399419999999995</v>
      </c>
      <c r="U2885">
        <v>-0.313949599999999</v>
      </c>
      <c r="V2885">
        <v>0.1568803</v>
      </c>
      <c r="W2885">
        <v>0.1043456</v>
      </c>
      <c r="X2885">
        <v>0.98208989999999996</v>
      </c>
      <c r="Y2885">
        <v>0.19850029999999999</v>
      </c>
      <c r="Z2885">
        <v>3.3343419999999999E-2</v>
      </c>
      <c r="AA2885">
        <v>0.97953349999999995</v>
      </c>
      <c r="AB2885">
        <v>28</v>
      </c>
      <c r="AC2885">
        <v>279.73450000000003</v>
      </c>
      <c r="AD2885">
        <v>47.779828999999999</v>
      </c>
      <c r="AE2885">
        <v>-29.786300000000001</v>
      </c>
      <c r="AF2885">
        <v>55.488144605523097</v>
      </c>
      <c r="AG2885">
        <v>47.779828999999999</v>
      </c>
      <c r="AH2885">
        <v>267.73884161939202</v>
      </c>
      <c r="AI2885">
        <v>80.088011678729302</v>
      </c>
      <c r="AJ2885">
        <v>78.291362231534507</v>
      </c>
      <c r="AK2885">
        <v>277.57149270544102</v>
      </c>
      <c r="AL2885">
        <v>84.010534916963493</v>
      </c>
      <c r="AM2885">
        <v>80.924177084600004</v>
      </c>
      <c r="AN2885">
        <v>1.00000000222473</v>
      </c>
    </row>
    <row r="2886" spans="1:40" x14ac:dyDescent="0.25">
      <c r="A2886" t="str">
        <f>"20190312151042276"</f>
        <v>20190312151042276</v>
      </c>
      <c r="B2886" t="str">
        <f>"1552374642274117"</f>
        <v>1552374642274117</v>
      </c>
      <c r="C2886" t="s">
        <v>40</v>
      </c>
      <c r="D2886">
        <v>5.3956080000000002</v>
      </c>
      <c r="E2886">
        <v>0.54560659999999905</v>
      </c>
      <c r="F2886" t="s">
        <v>69</v>
      </c>
      <c r="G2886">
        <v>-168.43459999999999</v>
      </c>
      <c r="H2886">
        <v>48.316070000000003</v>
      </c>
      <c r="I2886">
        <v>182.08770000000001</v>
      </c>
      <c r="J2886">
        <v>-448.86059999999998</v>
      </c>
      <c r="K2886">
        <v>1.1051230000000001</v>
      </c>
      <c r="L2886">
        <v>214.23769999999999</v>
      </c>
      <c r="M2886">
        <v>0.99575979999999997</v>
      </c>
      <c r="N2886">
        <v>0</v>
      </c>
      <c r="O2886">
        <v>9.0932650000000004E-2</v>
      </c>
      <c r="P2886">
        <v>0.99360610000000005</v>
      </c>
      <c r="Q2886">
        <v>9.3229889999999996E-2</v>
      </c>
      <c r="R2886">
        <v>-6.3680050000000002E-2</v>
      </c>
      <c r="S2886">
        <v>2.9520569999999999</v>
      </c>
      <c r="T2886">
        <v>0.49647829999999898</v>
      </c>
      <c r="U2886">
        <v>-0.33787539999999999</v>
      </c>
      <c r="V2886">
        <v>0.15512379999999901</v>
      </c>
      <c r="W2886">
        <v>0.10495069999999999</v>
      </c>
      <c r="X2886">
        <v>0.98230439999999997</v>
      </c>
      <c r="Y2886">
        <v>0.19955700000000001</v>
      </c>
      <c r="Z2886">
        <v>3.175393E-2</v>
      </c>
      <c r="AA2886">
        <v>0.97937160000000001</v>
      </c>
      <c r="AB2886">
        <v>28</v>
      </c>
      <c r="AC2886">
        <v>280.42599999999999</v>
      </c>
      <c r="AD2886">
        <v>47.210946999999997</v>
      </c>
      <c r="AE2886">
        <v>-32.149999999999899</v>
      </c>
      <c r="AF2886">
        <v>55.953792300872699</v>
      </c>
      <c r="AG2886">
        <v>47.210946999999997</v>
      </c>
      <c r="AH2886">
        <v>268.81984695161299</v>
      </c>
      <c r="AI2886">
        <v>80.244074541194905</v>
      </c>
      <c r="AJ2886">
        <v>78.241995022834999</v>
      </c>
      <c r="AK2886">
        <v>278.61049963089101</v>
      </c>
      <c r="AL2886">
        <v>83.975673745886297</v>
      </c>
      <c r="AM2886">
        <v>81.026058489218101</v>
      </c>
      <c r="AN2886">
        <v>0.99999998850814398</v>
      </c>
    </row>
    <row r="2887" spans="1:40" x14ac:dyDescent="0.25">
      <c r="A2887" t="str">
        <f>"20190312151042298"</f>
        <v>20190312151042298</v>
      </c>
      <c r="B2887" t="str">
        <f>"1552374642293636"</f>
        <v>1552374642293636</v>
      </c>
      <c r="C2887" t="s">
        <v>40</v>
      </c>
      <c r="D2887">
        <v>5.8833739999999999</v>
      </c>
      <c r="E2887">
        <v>0.55001999999999995</v>
      </c>
      <c r="F2887" t="s">
        <v>44</v>
      </c>
      <c r="G2887">
        <v>0</v>
      </c>
      <c r="H2887">
        <v>0</v>
      </c>
      <c r="I2887">
        <v>0</v>
      </c>
      <c r="J2887">
        <v>-448.5908</v>
      </c>
      <c r="K2887">
        <v>1.1051740000000001</v>
      </c>
      <c r="L2887">
        <v>214.2552</v>
      </c>
      <c r="M2887">
        <v>0.99634100000000003</v>
      </c>
      <c r="N2887">
        <v>0</v>
      </c>
      <c r="O2887">
        <v>8.4326860000000003E-2</v>
      </c>
      <c r="P2887">
        <v>0.99337109999999995</v>
      </c>
      <c r="Q2887">
        <v>9.2877479999999998E-2</v>
      </c>
      <c r="R2887">
        <v>-6.7732150000000005E-2</v>
      </c>
      <c r="S2887">
        <v>2.9332280000000002</v>
      </c>
      <c r="T2887">
        <v>0.53783919999999996</v>
      </c>
      <c r="U2887">
        <v>-0.55557250000000002</v>
      </c>
      <c r="V2887">
        <v>0.1525965</v>
      </c>
      <c r="W2887">
        <v>0.1046458</v>
      </c>
      <c r="X2887">
        <v>0.98273270000000001</v>
      </c>
      <c r="Y2887">
        <v>0.26268970000000003</v>
      </c>
      <c r="Z2887">
        <v>3.8899330000000003E-2</v>
      </c>
      <c r="AA2887">
        <v>0.96409590000000001</v>
      </c>
      <c r="AB2887">
        <v>28</v>
      </c>
      <c r="AC2887">
        <v>2.9332280000000002</v>
      </c>
      <c r="AD2887">
        <v>0.53783919999999996</v>
      </c>
      <c r="AE2887">
        <v>-0.55557250000000002</v>
      </c>
      <c r="AF2887">
        <v>0.77578750525882101</v>
      </c>
      <c r="AG2887">
        <v>0.53783919999999996</v>
      </c>
      <c r="AH2887">
        <v>2.7855150625347598</v>
      </c>
      <c r="AI2887">
        <v>79.463108769100003</v>
      </c>
      <c r="AJ2887">
        <v>74.437068524553794</v>
      </c>
      <c r="AK2887">
        <v>2.9411241765658902</v>
      </c>
      <c r="AL2887">
        <v>83.993240011599198</v>
      </c>
      <c r="AM2887">
        <v>81.173728407800297</v>
      </c>
      <c r="AN2887">
        <v>0.99999999745959001</v>
      </c>
    </row>
    <row r="2888" spans="1:40" x14ac:dyDescent="0.25">
      <c r="A2888" t="str">
        <f>"20190312151042319"</f>
        <v>20190312151042319</v>
      </c>
      <c r="B2888" t="str">
        <f>"1552374642313157"</f>
        <v>1552374642313157</v>
      </c>
      <c r="C2888" t="s">
        <v>40</v>
      </c>
      <c r="D2888">
        <v>5.3948229999999997</v>
      </c>
      <c r="E2888">
        <v>0.55091040000000002</v>
      </c>
      <c r="F2888" t="s">
        <v>44</v>
      </c>
      <c r="G2888">
        <v>0</v>
      </c>
      <c r="H2888">
        <v>0</v>
      </c>
      <c r="I2888">
        <v>0</v>
      </c>
      <c r="J2888">
        <v>-448.32600000000002</v>
      </c>
      <c r="K2888">
        <v>1.1052230000000001</v>
      </c>
      <c r="L2888">
        <v>214.2705</v>
      </c>
      <c r="M2888">
        <v>0.99686439999999998</v>
      </c>
      <c r="N2888">
        <v>0</v>
      </c>
      <c r="O2888">
        <v>7.7899689999999994E-2</v>
      </c>
      <c r="P2888">
        <v>0.99323530000000004</v>
      </c>
      <c r="Q2888">
        <v>9.2579010000000003E-2</v>
      </c>
      <c r="R2888">
        <v>-7.0094480000000001E-2</v>
      </c>
      <c r="S2888">
        <v>2.9314269999999998</v>
      </c>
      <c r="T2888">
        <v>0.50849679999999997</v>
      </c>
      <c r="U2888">
        <v>-0.60211179999999997</v>
      </c>
      <c r="V2888">
        <v>0.1485747</v>
      </c>
      <c r="W2888">
        <v>0.1044158</v>
      </c>
      <c r="X2888">
        <v>0.98337319999999995</v>
      </c>
      <c r="Y2888">
        <v>0.27186909999999997</v>
      </c>
      <c r="Z2888">
        <v>3.6462750000000002E-2</v>
      </c>
      <c r="AA2888">
        <v>0.96164320000000003</v>
      </c>
      <c r="AB2888">
        <v>28</v>
      </c>
      <c r="AC2888">
        <v>2.9314269999999998</v>
      </c>
      <c r="AD2888">
        <v>0.50849679999999997</v>
      </c>
      <c r="AE2888">
        <v>-0.60211179999999997</v>
      </c>
      <c r="AF2888">
        <v>0.80540758219902298</v>
      </c>
      <c r="AG2888">
        <v>0.50849679999999997</v>
      </c>
      <c r="AH2888">
        <v>2.7949145595271601</v>
      </c>
      <c r="AI2888">
        <v>80.083626072173601</v>
      </c>
      <c r="AJ2888">
        <v>73.924661379452004</v>
      </c>
      <c r="AK2888">
        <v>2.9527610408109202</v>
      </c>
      <c r="AL2888">
        <v>84.006490501142096</v>
      </c>
      <c r="AM2888">
        <v>81.408345860470405</v>
      </c>
      <c r="AN2888">
        <v>0.99999997562398402</v>
      </c>
    </row>
    <row r="2889" spans="1:40" x14ac:dyDescent="0.25">
      <c r="A2889" t="str">
        <f>"20190312151042341"</f>
        <v>20190312151042341</v>
      </c>
      <c r="B2889" t="str">
        <f>"1552374642333652"</f>
        <v>1552374642333652</v>
      </c>
      <c r="C2889" t="s">
        <v>40</v>
      </c>
      <c r="D2889">
        <v>5.8741180000000002</v>
      </c>
      <c r="E2889">
        <v>0.55226160000000002</v>
      </c>
      <c r="F2889" t="s">
        <v>44</v>
      </c>
      <c r="G2889">
        <v>0</v>
      </c>
      <c r="H2889">
        <v>0</v>
      </c>
      <c r="I2889">
        <v>0</v>
      </c>
      <c r="J2889">
        <v>-448.04770000000002</v>
      </c>
      <c r="K2889">
        <v>1.1052630000000001</v>
      </c>
      <c r="L2889">
        <v>214.28489999999999</v>
      </c>
      <c r="M2889">
        <v>0.99736619999999998</v>
      </c>
      <c r="N2889">
        <v>0</v>
      </c>
      <c r="O2889">
        <v>7.1187609999999998E-2</v>
      </c>
      <c r="P2889">
        <v>0.99298149999999996</v>
      </c>
      <c r="Q2889">
        <v>9.3391020000000005E-2</v>
      </c>
      <c r="R2889">
        <v>-7.2568079999999993E-2</v>
      </c>
      <c r="S2889">
        <v>2.9314879999999999</v>
      </c>
      <c r="T2889">
        <v>0.487788</v>
      </c>
      <c r="U2889">
        <v>-0.61564640000000004</v>
      </c>
      <c r="V2889">
        <v>0.1443902</v>
      </c>
      <c r="W2889">
        <v>0.105295</v>
      </c>
      <c r="X2889">
        <v>0.98390259999999996</v>
      </c>
      <c r="Y2889">
        <v>0.27016869999999998</v>
      </c>
      <c r="Z2889">
        <v>3.374311E-2</v>
      </c>
      <c r="AA2889">
        <v>0.96222149999999995</v>
      </c>
      <c r="AB2889">
        <v>28</v>
      </c>
      <c r="AC2889">
        <v>2.9314879999999999</v>
      </c>
      <c r="AD2889">
        <v>0.487788</v>
      </c>
      <c r="AE2889">
        <v>-0.61564640000000004</v>
      </c>
      <c r="AF2889">
        <v>0.80153477971766096</v>
      </c>
      <c r="AG2889">
        <v>0.487788</v>
      </c>
      <c r="AH2889">
        <v>2.8058138278684899</v>
      </c>
      <c r="AI2889">
        <v>80.510067151382401</v>
      </c>
      <c r="AJ2889">
        <v>74.056988836150396</v>
      </c>
      <c r="AK2889">
        <v>2.9585446376046201</v>
      </c>
      <c r="AL2889">
        <v>83.955836643175502</v>
      </c>
      <c r="AM2889">
        <v>81.651292228358599</v>
      </c>
      <c r="AN2889">
        <v>0.99999994658389801</v>
      </c>
    </row>
    <row r="2890" spans="1:40" x14ac:dyDescent="0.25">
      <c r="A2890" t="str">
        <f>"20190312151042364"</f>
        <v>20190312151042364</v>
      </c>
      <c r="B2890" t="str">
        <f>"1552374642353176"</f>
        <v>1552374642353176</v>
      </c>
      <c r="C2890" t="s">
        <v>40</v>
      </c>
      <c r="D2890">
        <v>6.7281389999999996</v>
      </c>
      <c r="E2890">
        <v>0.55301440000000002</v>
      </c>
      <c r="F2890" t="s">
        <v>46</v>
      </c>
      <c r="G2890">
        <v>-408.84050000000002</v>
      </c>
      <c r="H2890">
        <v>7.5355100000000004</v>
      </c>
      <c r="I2890">
        <v>205.8023</v>
      </c>
      <c r="J2890">
        <v>-447.75700000000001</v>
      </c>
      <c r="K2890">
        <v>1.1052930000000001</v>
      </c>
      <c r="L2890">
        <v>214.2979</v>
      </c>
      <c r="M2890">
        <v>0.99783920000000004</v>
      </c>
      <c r="N2890">
        <v>0</v>
      </c>
      <c r="O2890">
        <v>6.4222039999999994E-2</v>
      </c>
      <c r="P2890">
        <v>0.99278219999999995</v>
      </c>
      <c r="Q2890">
        <v>9.3309939999999994E-2</v>
      </c>
      <c r="R2890">
        <v>-7.5346990000000003E-2</v>
      </c>
      <c r="S2890">
        <v>2.9296570000000002</v>
      </c>
      <c r="T2890">
        <v>0.48048370000000001</v>
      </c>
      <c r="U2890">
        <v>-0.63383480000000003</v>
      </c>
      <c r="V2890">
        <v>0.1402562</v>
      </c>
      <c r="W2890">
        <v>0.10527789999999999</v>
      </c>
      <c r="X2890">
        <v>0.98450230000000005</v>
      </c>
      <c r="Y2890">
        <v>0.26952310000000002</v>
      </c>
      <c r="Z2890">
        <v>3.206784E-2</v>
      </c>
      <c r="AA2890">
        <v>0.96245979999999998</v>
      </c>
      <c r="AB2890">
        <v>28</v>
      </c>
      <c r="AC2890">
        <v>38.9164999999999</v>
      </c>
      <c r="AD2890">
        <v>6.4302169999999998</v>
      </c>
      <c r="AE2890">
        <v>-8.4955999999999907</v>
      </c>
      <c r="AF2890">
        <v>10.6987917672199</v>
      </c>
      <c r="AG2890">
        <v>6.4302169999999998</v>
      </c>
      <c r="AH2890">
        <v>37.318003539485296</v>
      </c>
      <c r="AI2890">
        <v>80.595139616668007</v>
      </c>
      <c r="AJ2890">
        <v>74.002799899769897</v>
      </c>
      <c r="AK2890">
        <v>39.350288742504297</v>
      </c>
      <c r="AL2890">
        <v>83.956822251317405</v>
      </c>
      <c r="AM2890">
        <v>81.891970108208099</v>
      </c>
      <c r="AN2890">
        <v>1.0000000082860701</v>
      </c>
    </row>
    <row r="2891" spans="1:40" x14ac:dyDescent="0.25">
      <c r="A2891" t="str">
        <f>"20190312151042386"</f>
        <v>20190312151042386</v>
      </c>
      <c r="B2891" t="str">
        <f>"1552374642383429"</f>
        <v>1552374642383429</v>
      </c>
      <c r="C2891" t="s">
        <v>40</v>
      </c>
      <c r="D2891">
        <v>5.8605780000000003</v>
      </c>
      <c r="E2891">
        <v>0.55396650000000003</v>
      </c>
      <c r="F2891" t="s">
        <v>46</v>
      </c>
      <c r="G2891">
        <v>-408.90309999999999</v>
      </c>
      <c r="H2891">
        <v>7.407203</v>
      </c>
      <c r="I2891">
        <v>205.69929999999999</v>
      </c>
      <c r="J2891">
        <v>-447.49130000000002</v>
      </c>
      <c r="K2891">
        <v>1.1053120000000001</v>
      </c>
      <c r="L2891">
        <v>214.3081</v>
      </c>
      <c r="M2891">
        <v>0.99822659999999996</v>
      </c>
      <c r="N2891">
        <v>0</v>
      </c>
      <c r="O2891">
        <v>5.7888759999999997E-2</v>
      </c>
      <c r="P2891">
        <v>0.99280119999999905</v>
      </c>
      <c r="Q2891">
        <v>9.1465350000000001E-2</v>
      </c>
      <c r="R2891">
        <v>-7.7330789999999996E-2</v>
      </c>
      <c r="S2891">
        <v>2.9280089999999999</v>
      </c>
      <c r="T2891">
        <v>0.47490840000000001</v>
      </c>
      <c r="U2891">
        <v>-0.64797969999999905</v>
      </c>
      <c r="V2891">
        <v>0.13594779999999901</v>
      </c>
      <c r="W2891">
        <v>0.1035005</v>
      </c>
      <c r="X2891">
        <v>0.98529480000000003</v>
      </c>
      <c r="Y2891">
        <v>0.26816430000000002</v>
      </c>
      <c r="Z2891">
        <v>3.0583309999999999E-2</v>
      </c>
      <c r="AA2891">
        <v>0.96288759999999995</v>
      </c>
      <c r="AB2891">
        <v>28</v>
      </c>
      <c r="AC2891">
        <v>38.588200000000001</v>
      </c>
      <c r="AD2891">
        <v>6.3018910000000004</v>
      </c>
      <c r="AE2891">
        <v>-8.6088000000000005</v>
      </c>
      <c r="AF2891">
        <v>10.5601074883705</v>
      </c>
      <c r="AG2891">
        <v>6.3018910000000004</v>
      </c>
      <c r="AH2891">
        <v>37.082942594051403</v>
      </c>
      <c r="AI2891">
        <v>80.717509863094605</v>
      </c>
      <c r="AJ2891">
        <v>74.104639827103497</v>
      </c>
      <c r="AK2891">
        <v>39.0688409320719</v>
      </c>
      <c r="AL2891">
        <v>84.059219179303895</v>
      </c>
      <c r="AM2891">
        <v>82.144114842806104</v>
      </c>
      <c r="AN2891">
        <v>1.0000000003660601</v>
      </c>
    </row>
    <row r="2892" spans="1:40" x14ac:dyDescent="0.25">
      <c r="A2892" t="str">
        <f>"20190312151042408"</f>
        <v>20190312151042408</v>
      </c>
      <c r="B2892" t="str">
        <f>"1552374642403924"</f>
        <v>1552374642403924</v>
      </c>
      <c r="C2892" t="s">
        <v>40</v>
      </c>
      <c r="D2892">
        <v>5.8310380000000004</v>
      </c>
      <c r="E2892">
        <v>0.55443999999999904</v>
      </c>
      <c r="F2892" t="s">
        <v>44</v>
      </c>
      <c r="G2892">
        <v>0</v>
      </c>
      <c r="H2892">
        <v>0</v>
      </c>
      <c r="I2892">
        <v>0</v>
      </c>
      <c r="J2892">
        <v>-447.21359999999999</v>
      </c>
      <c r="K2892">
        <v>1.105315</v>
      </c>
      <c r="L2892">
        <v>214.31700000000001</v>
      </c>
      <c r="M2892">
        <v>0.998587</v>
      </c>
      <c r="N2892">
        <v>0</v>
      </c>
      <c r="O2892">
        <v>5.1301800000000002E-2</v>
      </c>
      <c r="P2892">
        <v>0.99296510000000004</v>
      </c>
      <c r="Q2892">
        <v>8.7105279999999993E-2</v>
      </c>
      <c r="R2892">
        <v>-8.0206849999999996E-2</v>
      </c>
      <c r="S2892">
        <v>2.9271240000000001</v>
      </c>
      <c r="T2892">
        <v>0.46822619999999998</v>
      </c>
      <c r="U2892">
        <v>-0.66120909999999999</v>
      </c>
      <c r="V2892">
        <v>0.13225479999999901</v>
      </c>
      <c r="W2892">
        <v>9.9201170000000005E-2</v>
      </c>
      <c r="X2892">
        <v>0.98623919999999998</v>
      </c>
      <c r="Y2892">
        <v>0.26624130000000001</v>
      </c>
      <c r="Z2892">
        <v>2.8965640000000001E-2</v>
      </c>
      <c r="AA2892">
        <v>0.96347110000000002</v>
      </c>
      <c r="AB2892">
        <v>28</v>
      </c>
      <c r="AC2892">
        <v>2.9271240000000001</v>
      </c>
      <c r="AD2892">
        <v>0.46822619999999998</v>
      </c>
      <c r="AE2892">
        <v>-0.66120909999999999</v>
      </c>
      <c r="AF2892">
        <v>0.79125602418087404</v>
      </c>
      <c r="AG2892">
        <v>0.46822619999999998</v>
      </c>
      <c r="AH2892">
        <v>2.8206741119786201</v>
      </c>
      <c r="AI2892">
        <v>80.919305688931203</v>
      </c>
      <c r="AJ2892">
        <v>74.330119652535799</v>
      </c>
      <c r="AK2892">
        <v>2.9667363071488699</v>
      </c>
      <c r="AL2892">
        <v>84.306827735034702</v>
      </c>
      <c r="AM2892">
        <v>82.362194453900898</v>
      </c>
      <c r="AN2892">
        <v>0.999999981934524</v>
      </c>
    </row>
    <row r="2893" spans="1:40" x14ac:dyDescent="0.25">
      <c r="A2893" t="str">
        <f>"20190312151042430"</f>
        <v>20190312151042430</v>
      </c>
      <c r="B2893" t="str">
        <f>"1552374642423445"</f>
        <v>1552374642423445</v>
      </c>
      <c r="C2893" t="s">
        <v>40</v>
      </c>
      <c r="D2893">
        <v>5.8751439999999997</v>
      </c>
      <c r="E2893">
        <v>0.55477339999999997</v>
      </c>
      <c r="F2893" t="s">
        <v>44</v>
      </c>
      <c r="G2893">
        <v>0</v>
      </c>
      <c r="H2893">
        <v>0</v>
      </c>
      <c r="I2893">
        <v>0</v>
      </c>
      <c r="J2893">
        <v>-446.94189999999998</v>
      </c>
      <c r="K2893">
        <v>1.1053329999999999</v>
      </c>
      <c r="L2893">
        <v>214.32390000000001</v>
      </c>
      <c r="M2893">
        <v>0.99889550000000005</v>
      </c>
      <c r="N2893">
        <v>0</v>
      </c>
      <c r="O2893">
        <v>4.4895650000000002E-2</v>
      </c>
      <c r="P2893">
        <v>0.99318079999999997</v>
      </c>
      <c r="Q2893">
        <v>8.1535560000000007E-2</v>
      </c>
      <c r="R2893">
        <v>-8.3330989999999994E-2</v>
      </c>
      <c r="S2893">
        <v>2.926758</v>
      </c>
      <c r="T2893">
        <v>0.4569899</v>
      </c>
      <c r="U2893">
        <v>-0.67344669999999995</v>
      </c>
      <c r="V2893">
        <v>0.1289727</v>
      </c>
      <c r="W2893">
        <v>9.3687569999999998E-2</v>
      </c>
      <c r="X2893">
        <v>0.9872126</v>
      </c>
      <c r="Y2893">
        <v>0.26420339999999998</v>
      </c>
      <c r="Z2893">
        <v>2.7129830000000001E-2</v>
      </c>
      <c r="AA2893">
        <v>0.96408530000000003</v>
      </c>
      <c r="AB2893">
        <v>28</v>
      </c>
      <c r="AC2893">
        <v>2.926758</v>
      </c>
      <c r="AD2893">
        <v>0.4569899</v>
      </c>
      <c r="AE2893">
        <v>-0.67344669999999995</v>
      </c>
      <c r="AF2893">
        <v>0.78597995772040796</v>
      </c>
      <c r="AG2893">
        <v>0.4569899</v>
      </c>
      <c r="AH2893">
        <v>2.82808596900882</v>
      </c>
      <c r="AI2893">
        <v>81.150720577117497</v>
      </c>
      <c r="AJ2893">
        <v>74.468356141508806</v>
      </c>
      <c r="AK2893">
        <v>2.9706353715568499</v>
      </c>
      <c r="AL2893">
        <v>84.624213893595893</v>
      </c>
      <c r="AM2893">
        <v>82.556845713423797</v>
      </c>
      <c r="AN2893">
        <v>1.00000001785827</v>
      </c>
    </row>
    <row r="2894" spans="1:40" x14ac:dyDescent="0.25">
      <c r="A2894" t="str">
        <f>"20190312151042453"</f>
        <v>20190312151042453</v>
      </c>
      <c r="B2894" t="str">
        <f>"1552374642443940"</f>
        <v>1552374642443940</v>
      </c>
      <c r="C2894" t="s">
        <v>40</v>
      </c>
      <c r="D2894">
        <v>5.8863750000000001</v>
      </c>
      <c r="E2894">
        <v>0.5550233</v>
      </c>
      <c r="F2894" t="s">
        <v>44</v>
      </c>
      <c r="G2894">
        <v>0</v>
      </c>
      <c r="H2894">
        <v>0</v>
      </c>
      <c r="I2894">
        <v>0</v>
      </c>
      <c r="J2894">
        <v>-446.6542</v>
      </c>
      <c r="K2894">
        <v>1.105362</v>
      </c>
      <c r="L2894">
        <v>214.3295</v>
      </c>
      <c r="M2894">
        <v>0.99917590000000001</v>
      </c>
      <c r="N2894">
        <v>0</v>
      </c>
      <c r="O2894">
        <v>3.8157620000000003E-2</v>
      </c>
      <c r="P2894">
        <v>0.99321619999999999</v>
      </c>
      <c r="Q2894">
        <v>7.7390100000000003E-2</v>
      </c>
      <c r="R2894">
        <v>-8.6791579999999993E-2</v>
      </c>
      <c r="S2894">
        <v>2.927155</v>
      </c>
      <c r="T2894">
        <v>0.43833660000000002</v>
      </c>
      <c r="U2894">
        <v>-0.68467709999999904</v>
      </c>
      <c r="V2894">
        <v>0.12570290000000001</v>
      </c>
      <c r="W2894">
        <v>8.9597860000000001E-2</v>
      </c>
      <c r="X2894">
        <v>0.98801369999999999</v>
      </c>
      <c r="Y2894">
        <v>0.26157360000000002</v>
      </c>
      <c r="Z2894">
        <v>2.48349E-2</v>
      </c>
      <c r="AA2894">
        <v>0.96486400000000005</v>
      </c>
      <c r="AB2894">
        <v>27</v>
      </c>
      <c r="AC2894">
        <v>2.927155</v>
      </c>
      <c r="AD2894">
        <v>0.43833660000000002</v>
      </c>
      <c r="AE2894">
        <v>-0.68467709999999904</v>
      </c>
      <c r="AF2894">
        <v>0.77931311469254305</v>
      </c>
      <c r="AG2894">
        <v>0.43833660000000002</v>
      </c>
      <c r="AH2894">
        <v>2.8385435020726999</v>
      </c>
      <c r="AI2894">
        <v>81.530165547875598</v>
      </c>
      <c r="AJ2894">
        <v>74.647890853598696</v>
      </c>
      <c r="AK2894">
        <v>2.97603715010254</v>
      </c>
      <c r="AL2894">
        <v>84.859527471589004</v>
      </c>
      <c r="AM2894">
        <v>82.749333343337298</v>
      </c>
      <c r="AN2894">
        <v>1.0000000334863299</v>
      </c>
    </row>
    <row r="2895" spans="1:40" x14ac:dyDescent="0.25">
      <c r="A2895" t="str">
        <f>"20190312151042477"</f>
        <v>20190312151042477</v>
      </c>
      <c r="B2895" t="str">
        <f>"1552374642473220"</f>
        <v>1552374642473220</v>
      </c>
      <c r="C2895" t="s">
        <v>40</v>
      </c>
      <c r="D2895">
        <v>5.8802839999999996</v>
      </c>
      <c r="E2895">
        <v>0.55529479999999998</v>
      </c>
      <c r="F2895" t="s">
        <v>44</v>
      </c>
      <c r="G2895">
        <v>0</v>
      </c>
      <c r="H2895">
        <v>0</v>
      </c>
      <c r="I2895">
        <v>0</v>
      </c>
      <c r="J2895">
        <v>-446.36380000000003</v>
      </c>
      <c r="K2895">
        <v>1.1054189999999999</v>
      </c>
      <c r="L2895">
        <v>214.33320000000001</v>
      </c>
      <c r="M2895">
        <v>0.99941060000000004</v>
      </c>
      <c r="N2895">
        <v>0</v>
      </c>
      <c r="O2895">
        <v>3.1418710000000002E-2</v>
      </c>
      <c r="P2895">
        <v>0.99289360000000004</v>
      </c>
      <c r="Q2895">
        <v>7.7806440000000004E-2</v>
      </c>
      <c r="R2895">
        <v>-9.0048439999999993E-2</v>
      </c>
      <c r="S2895">
        <v>2.9267270000000001</v>
      </c>
      <c r="T2895">
        <v>0.42231370000000001</v>
      </c>
      <c r="U2895">
        <v>-0.69635009999999997</v>
      </c>
      <c r="V2895">
        <v>0.122267</v>
      </c>
      <c r="W2895">
        <v>9.0068490000000001E-2</v>
      </c>
      <c r="X2895">
        <v>0.98840190000000006</v>
      </c>
      <c r="Y2895">
        <v>0.25906709999999999</v>
      </c>
      <c r="Z2895">
        <v>2.2795679999999999E-2</v>
      </c>
      <c r="AA2895">
        <v>0.96559030000000001</v>
      </c>
      <c r="AB2895">
        <v>27</v>
      </c>
      <c r="AC2895">
        <v>2.9267270000000001</v>
      </c>
      <c r="AD2895">
        <v>0.42231370000000001</v>
      </c>
      <c r="AE2895">
        <v>-0.69635009999999997</v>
      </c>
      <c r="AF2895">
        <v>0.77274164199492401</v>
      </c>
      <c r="AG2895">
        <v>0.42231370000000001</v>
      </c>
      <c r="AH2895">
        <v>2.8472934737184401</v>
      </c>
      <c r="AI2895">
        <v>81.853840400215802</v>
      </c>
      <c r="AJ2895">
        <v>74.815946213588504</v>
      </c>
      <c r="AK2895">
        <v>2.9803621645632798</v>
      </c>
      <c r="AL2895">
        <v>84.832452377083499</v>
      </c>
      <c r="AM2895">
        <v>82.948237742428205</v>
      </c>
      <c r="AN2895">
        <v>0.99999993405174203</v>
      </c>
    </row>
    <row r="2896" spans="1:40" x14ac:dyDescent="0.25">
      <c r="A2896" t="str">
        <f>"20190312151042500"</f>
        <v>20190312151042500</v>
      </c>
      <c r="B2896" t="str">
        <f>"1552374642493716"</f>
        <v>1552374642493716</v>
      </c>
      <c r="C2896" t="s">
        <v>40</v>
      </c>
      <c r="D2896">
        <v>5.8211579999999996</v>
      </c>
      <c r="E2896">
        <v>0.55551189999999995</v>
      </c>
      <c r="F2896" t="s">
        <v>44</v>
      </c>
      <c r="G2896">
        <v>0</v>
      </c>
      <c r="H2896">
        <v>0</v>
      </c>
      <c r="I2896">
        <v>0</v>
      </c>
      <c r="J2896">
        <v>-446.0788</v>
      </c>
      <c r="K2896">
        <v>1.1054919999999999</v>
      </c>
      <c r="L2896">
        <v>214.3349</v>
      </c>
      <c r="M2896">
        <v>0.99959430000000005</v>
      </c>
      <c r="N2896">
        <v>0</v>
      </c>
      <c r="O2896">
        <v>2.4900129999999999E-2</v>
      </c>
      <c r="P2896">
        <v>0.99252430000000003</v>
      </c>
      <c r="Q2896">
        <v>7.9543680000000005E-2</v>
      </c>
      <c r="R2896">
        <v>-9.2567129999999997E-2</v>
      </c>
      <c r="S2896">
        <v>2.924255</v>
      </c>
      <c r="T2896">
        <v>0.4211799</v>
      </c>
      <c r="U2896">
        <v>-0.70793149999999905</v>
      </c>
      <c r="V2896">
        <v>0.1183237</v>
      </c>
      <c r="W2896">
        <v>9.1866790000000004E-2</v>
      </c>
      <c r="X2896">
        <v>0.98871640000000005</v>
      </c>
      <c r="Y2896">
        <v>0.2566735</v>
      </c>
      <c r="Z2896">
        <v>2.1652060000000001E-2</v>
      </c>
      <c r="AA2896">
        <v>0.96625559999999999</v>
      </c>
      <c r="AB2896">
        <v>27</v>
      </c>
      <c r="AC2896">
        <v>2.924255</v>
      </c>
      <c r="AD2896">
        <v>0.4211799</v>
      </c>
      <c r="AE2896">
        <v>-0.70793149999999905</v>
      </c>
      <c r="AF2896">
        <v>0.76553180549980404</v>
      </c>
      <c r="AG2896">
        <v>0.4211799</v>
      </c>
      <c r="AH2896">
        <v>2.8498724537717699</v>
      </c>
      <c r="AI2896">
        <v>81.877076492798295</v>
      </c>
      <c r="AJ2896">
        <v>74.964163690207002</v>
      </c>
      <c r="AK2896">
        <v>2.9808060078044201</v>
      </c>
      <c r="AL2896">
        <v>84.728989056433306</v>
      </c>
      <c r="AM2896">
        <v>83.175637510671905</v>
      </c>
      <c r="AN2896">
        <v>1.0000000623577701</v>
      </c>
    </row>
    <row r="2897" spans="1:40" x14ac:dyDescent="0.25">
      <c r="A2897" t="str">
        <f>"20190312151042521"</f>
        <v>20190312151042521</v>
      </c>
      <c r="B2897" t="str">
        <f>"1552374642513237"</f>
        <v>1552374642513237</v>
      </c>
      <c r="C2897" t="s">
        <v>40</v>
      </c>
      <c r="D2897">
        <v>5.79176</v>
      </c>
      <c r="E2897">
        <v>0.55486919999999995</v>
      </c>
      <c r="F2897" t="s">
        <v>44</v>
      </c>
      <c r="G2897">
        <v>0</v>
      </c>
      <c r="H2897">
        <v>0</v>
      </c>
      <c r="I2897">
        <v>0</v>
      </c>
      <c r="J2897">
        <v>-445.82600000000002</v>
      </c>
      <c r="K2897">
        <v>1.1055549999999901</v>
      </c>
      <c r="L2897">
        <v>214.33500000000001</v>
      </c>
      <c r="M2897">
        <v>0.99972000000000005</v>
      </c>
      <c r="N2897">
        <v>0</v>
      </c>
      <c r="O2897">
        <v>1.920666E-2</v>
      </c>
      <c r="P2897">
        <v>0.99272969999999905</v>
      </c>
      <c r="Q2897">
        <v>7.7375509999999995E-2</v>
      </c>
      <c r="R2897">
        <v>-9.2200710000000005E-2</v>
      </c>
      <c r="S2897">
        <v>2.921478</v>
      </c>
      <c r="T2897">
        <v>0.4281007</v>
      </c>
      <c r="U2897">
        <v>-0.71664430000000001</v>
      </c>
      <c r="V2897">
        <v>0.1122804</v>
      </c>
      <c r="W2897">
        <v>8.9791629999999997E-2</v>
      </c>
      <c r="X2897">
        <v>0.98961129999999997</v>
      </c>
      <c r="Y2897">
        <v>0.25409330000000002</v>
      </c>
      <c r="Z2897">
        <v>2.1012610000000001E-2</v>
      </c>
      <c r="AA2897">
        <v>0.96695140000000002</v>
      </c>
      <c r="AB2897">
        <v>27</v>
      </c>
      <c r="AC2897">
        <v>2.921478</v>
      </c>
      <c r="AD2897">
        <v>0.4281007</v>
      </c>
      <c r="AE2897">
        <v>-0.71664430000000001</v>
      </c>
      <c r="AF2897">
        <v>0.75729113216806898</v>
      </c>
      <c r="AG2897">
        <v>0.4281007</v>
      </c>
      <c r="AH2897">
        <v>2.84946047992069</v>
      </c>
      <c r="AI2897">
        <v>81.738453538459694</v>
      </c>
      <c r="AJ2897">
        <v>75.116745360207602</v>
      </c>
      <c r="AK2897">
        <v>2.9792927172117101</v>
      </c>
      <c r="AL2897">
        <v>84.848380036254497</v>
      </c>
      <c r="AM2897">
        <v>83.526953909762597</v>
      </c>
      <c r="AN2897">
        <v>0.99999997506495297</v>
      </c>
    </row>
    <row r="2898" spans="1:40" x14ac:dyDescent="0.25">
      <c r="A2898" t="str">
        <f>"20190312151042544"</f>
        <v>20190312151042544</v>
      </c>
      <c r="B2898" t="str">
        <f>"1552374642533733"</f>
        <v>1552374642533733</v>
      </c>
      <c r="C2898" t="s">
        <v>40</v>
      </c>
      <c r="D2898">
        <v>5.6942810000000001</v>
      </c>
      <c r="E2898">
        <v>0.55486919999999995</v>
      </c>
      <c r="F2898" t="s">
        <v>44</v>
      </c>
      <c r="G2898">
        <v>0</v>
      </c>
      <c r="H2898">
        <v>0</v>
      </c>
      <c r="I2898">
        <v>0</v>
      </c>
      <c r="J2898">
        <v>-445.54430000000002</v>
      </c>
      <c r="K2898">
        <v>1.105629</v>
      </c>
      <c r="L2898">
        <v>214.33349999999999</v>
      </c>
      <c r="M2898">
        <v>0.99982059999999995</v>
      </c>
      <c r="N2898">
        <v>0</v>
      </c>
      <c r="O2898">
        <v>1.296391E-2</v>
      </c>
      <c r="P2898">
        <v>0.99318340000000005</v>
      </c>
      <c r="Q2898">
        <v>7.3422920000000003E-2</v>
      </c>
      <c r="R2898">
        <v>-9.0531479999999998E-2</v>
      </c>
      <c r="S2898">
        <v>2.9230649999999998</v>
      </c>
      <c r="T2898">
        <v>0.42283199999999999</v>
      </c>
      <c r="U2898">
        <v>-0.71026610000000001</v>
      </c>
      <c r="V2898">
        <v>0.1043655</v>
      </c>
      <c r="W2898">
        <v>8.5955580000000004E-2</v>
      </c>
      <c r="X2898">
        <v>0.99081759999999997</v>
      </c>
      <c r="Y2898">
        <v>0.2461457</v>
      </c>
      <c r="Z2898">
        <v>1.9300640000000001E-2</v>
      </c>
      <c r="AA2898">
        <v>0.96904060000000003</v>
      </c>
      <c r="AB2898">
        <v>27</v>
      </c>
      <c r="AC2898">
        <v>2.9230649999999998</v>
      </c>
      <c r="AD2898">
        <v>0.42283199999999999</v>
      </c>
      <c r="AE2898">
        <v>-0.71026610000000001</v>
      </c>
      <c r="AF2898">
        <v>0.73360962927054896</v>
      </c>
      <c r="AG2898">
        <v>0.42283199999999999</v>
      </c>
      <c r="AH2898">
        <v>2.8571585648229201</v>
      </c>
      <c r="AI2898">
        <v>81.842742036865104</v>
      </c>
      <c r="AJ2898">
        <v>75.599699080398494</v>
      </c>
      <c r="AK2898">
        <v>2.97998742496062</v>
      </c>
      <c r="AL2898">
        <v>85.0690233962371</v>
      </c>
      <c r="AM2898">
        <v>83.987052867870005</v>
      </c>
      <c r="AN2898">
        <v>1.00000001789657</v>
      </c>
    </row>
    <row r="2899" spans="1:40" x14ac:dyDescent="0.25">
      <c r="A2899" t="str">
        <f>"20190312151042576"</f>
        <v>20190312151042576</v>
      </c>
      <c r="B2899" t="str">
        <f>"1552374642573749"</f>
        <v>1552374642573749</v>
      </c>
      <c r="C2899" t="s">
        <v>40</v>
      </c>
      <c r="D2899">
        <v>5.8179689999999997</v>
      </c>
      <c r="E2899">
        <v>0.49059029999999998</v>
      </c>
      <c r="F2899" t="s">
        <v>44</v>
      </c>
      <c r="G2899">
        <v>0</v>
      </c>
      <c r="H2899">
        <v>0</v>
      </c>
      <c r="I2899">
        <v>0</v>
      </c>
      <c r="J2899">
        <v>-445.1429</v>
      </c>
      <c r="K2899">
        <v>1.1057680000000001</v>
      </c>
      <c r="L2899">
        <v>214.32859999999999</v>
      </c>
      <c r="M2899">
        <v>0.9998958</v>
      </c>
      <c r="N2899">
        <v>0</v>
      </c>
      <c r="O2899">
        <v>4.2795940000000003E-3</v>
      </c>
      <c r="P2899">
        <v>0.99326210000000004</v>
      </c>
      <c r="Q2899">
        <v>7.1382810000000005E-2</v>
      </c>
      <c r="R2899">
        <v>-9.1297939999999994E-2</v>
      </c>
      <c r="S2899">
        <v>2.9259029999999999</v>
      </c>
      <c r="T2899">
        <v>0.41090389999999999</v>
      </c>
      <c r="U2899">
        <v>-0.70561219999999902</v>
      </c>
      <c r="V2899">
        <v>9.6462069999999997E-2</v>
      </c>
      <c r="W2899">
        <v>8.4032339999999997E-2</v>
      </c>
      <c r="X2899">
        <v>0.99178310000000003</v>
      </c>
      <c r="Y2899">
        <v>0.2363653</v>
      </c>
      <c r="Z2899">
        <v>1.6875890000000001E-2</v>
      </c>
      <c r="AA2899">
        <v>0.97151770000000004</v>
      </c>
      <c r="AB2899">
        <v>27</v>
      </c>
      <c r="AC2899">
        <v>2.9259029999999999</v>
      </c>
      <c r="AD2899">
        <v>0.41090389999999999</v>
      </c>
      <c r="AE2899">
        <v>-0.70561219999999902</v>
      </c>
      <c r="AF2899">
        <v>0.70498870126592195</v>
      </c>
      <c r="AG2899">
        <v>0.41090389999999999</v>
      </c>
      <c r="AH2899">
        <v>2.86937544372263</v>
      </c>
      <c r="AI2899">
        <v>82.082807946271899</v>
      </c>
      <c r="AJ2899">
        <v>76.1961867144514</v>
      </c>
      <c r="AK2899">
        <v>2.9831470833645302</v>
      </c>
      <c r="AL2899">
        <v>85.179617246851095</v>
      </c>
      <c r="AM2899">
        <v>84.444813445280005</v>
      </c>
      <c r="AN2899">
        <v>1.00000004128008</v>
      </c>
    </row>
    <row r="2900" spans="1:40" x14ac:dyDescent="0.25">
      <c r="A2900" t="str">
        <f>"20190312151042598"</f>
        <v>20190312151042598</v>
      </c>
      <c r="B2900" t="str">
        <f>"1552374642593270"</f>
        <v>1552374642593270</v>
      </c>
      <c r="C2900" t="s">
        <v>40</v>
      </c>
      <c r="D2900">
        <v>5.6932080000000003</v>
      </c>
      <c r="E2900">
        <v>0.48785770000000001</v>
      </c>
      <c r="F2900" t="s">
        <v>69</v>
      </c>
      <c r="G2900">
        <v>-168.42830000000001</v>
      </c>
      <c r="H2900">
        <v>43.33775</v>
      </c>
      <c r="I2900">
        <v>195.91300000000001</v>
      </c>
      <c r="J2900">
        <v>-444.8734</v>
      </c>
      <c r="K2900">
        <v>1.1058829999999999</v>
      </c>
      <c r="L2900">
        <v>214.3236</v>
      </c>
      <c r="M2900">
        <v>0.99990420000000002</v>
      </c>
      <c r="N2900">
        <v>0</v>
      </c>
      <c r="O2900">
        <v>-1.3665019999999999E-3</v>
      </c>
      <c r="P2900">
        <v>0.99319729999999995</v>
      </c>
      <c r="Q2900">
        <v>7.2244359999999994E-2</v>
      </c>
      <c r="R2900">
        <v>-9.1325879999999998E-2</v>
      </c>
      <c r="S2900">
        <v>2.9696349999999998</v>
      </c>
      <c r="T2900">
        <v>0.45322390000000001</v>
      </c>
      <c r="U2900">
        <v>-0.1976318</v>
      </c>
      <c r="V2900">
        <v>9.0868879999999999E-2</v>
      </c>
      <c r="W2900">
        <v>8.4972140000000002E-2</v>
      </c>
      <c r="X2900">
        <v>0.99223110000000003</v>
      </c>
      <c r="Y2900">
        <v>6.4314629999999998E-2</v>
      </c>
      <c r="Z2900">
        <v>4.6671339999999999E-3</v>
      </c>
      <c r="AA2900">
        <v>0.99791879999999999</v>
      </c>
      <c r="AB2900">
        <v>27</v>
      </c>
      <c r="AC2900">
        <v>276.44510000000002</v>
      </c>
      <c r="AD2900">
        <v>42.231867000000001</v>
      </c>
      <c r="AE2900">
        <v>-18.410599999999999</v>
      </c>
      <c r="AF2900">
        <v>17.623308362077001</v>
      </c>
      <c r="AG2900">
        <v>42.231867000000001</v>
      </c>
      <c r="AH2900">
        <v>270.19211533445798</v>
      </c>
      <c r="AI2900">
        <v>81.134907892444502</v>
      </c>
      <c r="AJ2900">
        <v>86.268163065005297</v>
      </c>
      <c r="AK2900">
        <v>274.03994376156197</v>
      </c>
      <c r="AL2900">
        <v>85.125577122654803</v>
      </c>
      <c r="AM2900">
        <v>84.767427850634903</v>
      </c>
      <c r="AN2900">
        <v>0.99999998686792102</v>
      </c>
    </row>
    <row r="2901" spans="1:40" x14ac:dyDescent="0.25">
      <c r="A2901" t="str">
        <f>"20190312151042620"</f>
        <v>20190312151042620</v>
      </c>
      <c r="B2901" t="str">
        <f>"1552374642613764"</f>
        <v>1552374642613764</v>
      </c>
      <c r="C2901" t="s">
        <v>40</v>
      </c>
      <c r="D2901">
        <v>5.7465590000000004</v>
      </c>
      <c r="E2901">
        <v>0.48753629999999998</v>
      </c>
      <c r="F2901" t="s">
        <v>69</v>
      </c>
      <c r="G2901">
        <v>-168.42750000000001</v>
      </c>
      <c r="H2901">
        <v>42.751530000000002</v>
      </c>
      <c r="I2901">
        <v>197.965</v>
      </c>
      <c r="J2901">
        <v>-444.60109999999997</v>
      </c>
      <c r="K2901">
        <v>1.1060319999999999</v>
      </c>
      <c r="L2901">
        <v>214.31700000000001</v>
      </c>
      <c r="M2901">
        <v>0.99988169999999998</v>
      </c>
      <c r="N2901">
        <v>0</v>
      </c>
      <c r="O2901">
        <v>-6.8566169999999997E-3</v>
      </c>
      <c r="P2901">
        <v>0.9932221</v>
      </c>
      <c r="Q2901">
        <v>7.0866529999999997E-2</v>
      </c>
      <c r="R2901">
        <v>-9.2129829999999996E-2</v>
      </c>
      <c r="S2901">
        <v>2.971832</v>
      </c>
      <c r="T2901">
        <v>0.4476967</v>
      </c>
      <c r="U2901">
        <v>-0.1758575</v>
      </c>
      <c r="V2901">
        <v>8.6173360000000004E-2</v>
      </c>
      <c r="W2901">
        <v>8.3665989999999996E-2</v>
      </c>
      <c r="X2901">
        <v>0.99276089999999995</v>
      </c>
      <c r="Y2901">
        <v>5.1720370000000002E-2</v>
      </c>
      <c r="Z2901">
        <v>2.844278E-3</v>
      </c>
      <c r="AA2901">
        <v>0.99865760000000003</v>
      </c>
      <c r="AB2901">
        <v>27</v>
      </c>
      <c r="AC2901">
        <v>276.17360000000002</v>
      </c>
      <c r="AD2901">
        <v>41.645498000000003</v>
      </c>
      <c r="AE2901">
        <v>-16.352</v>
      </c>
      <c r="AF2901">
        <v>14.137470224606499</v>
      </c>
      <c r="AG2901">
        <v>41.645498000000003</v>
      </c>
      <c r="AH2901">
        <v>270.15757831654003</v>
      </c>
      <c r="AI2901">
        <v>81.248474386533402</v>
      </c>
      <c r="AJ2901">
        <v>87.004417977878802</v>
      </c>
      <c r="AK2901">
        <v>273.71396144493099</v>
      </c>
      <c r="AL2901">
        <v>85.200681657104695</v>
      </c>
      <c r="AM2901">
        <v>85.039061950326797</v>
      </c>
      <c r="AN2901">
        <v>1.00000002521258</v>
      </c>
    </row>
    <row r="2902" spans="1:40" x14ac:dyDescent="0.25">
      <c r="A2902" t="str">
        <f>"20190312151042644"</f>
        <v>20190312151042644</v>
      </c>
      <c r="B2902" t="str">
        <f>"1552374642633284"</f>
        <v>1552374642633284</v>
      </c>
      <c r="C2902" t="s">
        <v>40</v>
      </c>
      <c r="D2902">
        <v>5.629626</v>
      </c>
      <c r="E2902">
        <v>0.48743550000000002</v>
      </c>
      <c r="F2902" t="s">
        <v>69</v>
      </c>
      <c r="G2902">
        <v>-168.42699999999999</v>
      </c>
      <c r="H2902">
        <v>41.441229999999997</v>
      </c>
      <c r="I2902">
        <v>197.976</v>
      </c>
      <c r="J2902">
        <v>-444.30360000000002</v>
      </c>
      <c r="K2902">
        <v>1.1062080000000001</v>
      </c>
      <c r="L2902">
        <v>214.30840000000001</v>
      </c>
      <c r="M2902">
        <v>0.99982559999999998</v>
      </c>
      <c r="N2902">
        <v>0</v>
      </c>
      <c r="O2902">
        <v>-1.263425E-2</v>
      </c>
      <c r="P2902">
        <v>0.99308289999999999</v>
      </c>
      <c r="Q2902">
        <v>7.1621939999999995E-2</v>
      </c>
      <c r="R2902">
        <v>-9.3040650000000003E-2</v>
      </c>
      <c r="S2902">
        <v>2.9731450000000001</v>
      </c>
      <c r="T2902">
        <v>0.4342278</v>
      </c>
      <c r="U2902">
        <v>-0.17591860000000001</v>
      </c>
      <c r="V2902">
        <v>8.1314029999999995E-2</v>
      </c>
      <c r="W2902">
        <v>8.4491330000000003E-2</v>
      </c>
      <c r="X2902">
        <v>0.99310080000000001</v>
      </c>
      <c r="Y2902">
        <v>4.6094129999999997E-2</v>
      </c>
      <c r="Z2902">
        <v>1.5115E-3</v>
      </c>
      <c r="AA2902">
        <v>0.99893589999999999</v>
      </c>
      <c r="AB2902">
        <v>27</v>
      </c>
      <c r="AC2902">
        <v>275.8766</v>
      </c>
      <c r="AD2902">
        <v>40.335022000000002</v>
      </c>
      <c r="AE2902">
        <v>-16.3324</v>
      </c>
      <c r="AF2902">
        <v>12.5773528740164</v>
      </c>
      <c r="AG2902">
        <v>40.335022000000002</v>
      </c>
      <c r="AH2902">
        <v>270.30301516225001</v>
      </c>
      <c r="AI2902">
        <v>81.521901928248894</v>
      </c>
      <c r="AJ2902">
        <v>87.335916380228397</v>
      </c>
      <c r="AK2902">
        <v>273.58513082925703</v>
      </c>
      <c r="AL2902">
        <v>85.153224889262404</v>
      </c>
      <c r="AM2902">
        <v>85.319124739589</v>
      </c>
      <c r="AN2902">
        <v>0.999999977640324</v>
      </c>
    </row>
    <row r="2903" spans="1:40" x14ac:dyDescent="0.25">
      <c r="A2903" t="str">
        <f>"20190312151042668"</f>
        <v>20190312151042668</v>
      </c>
      <c r="B2903" t="str">
        <f>"1552374642663542"</f>
        <v>1552374642663542</v>
      </c>
      <c r="C2903" t="s">
        <v>40</v>
      </c>
      <c r="D2903">
        <v>5.6888069999999997</v>
      </c>
      <c r="E2903">
        <v>0.48746610000000001</v>
      </c>
      <c r="F2903" t="s">
        <v>69</v>
      </c>
      <c r="G2903">
        <v>-168.42699999999999</v>
      </c>
      <c r="H2903">
        <v>41.257309999999997</v>
      </c>
      <c r="I2903">
        <v>197.82740000000001</v>
      </c>
      <c r="J2903">
        <v>-444.02229999999997</v>
      </c>
      <c r="K2903">
        <v>1.106403</v>
      </c>
      <c r="L2903">
        <v>214.29900000000001</v>
      </c>
      <c r="M2903">
        <v>0.99974600000000002</v>
      </c>
      <c r="N2903">
        <v>0</v>
      </c>
      <c r="O2903">
        <v>-1.7879880000000001E-2</v>
      </c>
      <c r="P2903">
        <v>0.99277740000000003</v>
      </c>
      <c r="Q2903">
        <v>7.5382069999999995E-2</v>
      </c>
      <c r="R2903">
        <v>-9.3332059999999994E-2</v>
      </c>
      <c r="S2903">
        <v>2.9730530000000002</v>
      </c>
      <c r="T2903">
        <v>0.43269869999999999</v>
      </c>
      <c r="U2903">
        <v>-0.177612299999999</v>
      </c>
      <c r="V2903">
        <v>7.6394009999999998E-2</v>
      </c>
      <c r="W2903">
        <v>8.8315019999999994E-2</v>
      </c>
      <c r="X2903">
        <v>0.99315880000000001</v>
      </c>
      <c r="Y2903">
        <v>4.1526929999999997E-2</v>
      </c>
      <c r="Z2903">
        <v>4.173154E-4</v>
      </c>
      <c r="AA2903">
        <v>0.99913730000000001</v>
      </c>
      <c r="AB2903">
        <v>27</v>
      </c>
      <c r="AC2903">
        <v>275.59529999999899</v>
      </c>
      <c r="AD2903">
        <v>40.150906999999997</v>
      </c>
      <c r="AE2903">
        <v>-16.471599999999899</v>
      </c>
      <c r="AF2903">
        <v>11.301863741029701</v>
      </c>
      <c r="AG2903">
        <v>40.150906999999997</v>
      </c>
      <c r="AH2903">
        <v>270.13262459438801</v>
      </c>
      <c r="AI2903">
        <v>81.553073400880905</v>
      </c>
      <c r="AJ2903">
        <v>87.604244732139705</v>
      </c>
      <c r="AK2903">
        <v>273.33397580102599</v>
      </c>
      <c r="AL2903">
        <v>84.933321149960193</v>
      </c>
      <c r="AM2903">
        <v>85.601456419246006</v>
      </c>
      <c r="AN2903">
        <v>0.99999999476946</v>
      </c>
    </row>
    <row r="2904" spans="1:40" x14ac:dyDescent="0.25">
      <c r="A2904" t="str">
        <f>"20190312151042690"</f>
        <v>20190312151042690</v>
      </c>
      <c r="B2904" t="str">
        <f>"1552374642684036"</f>
        <v>1552374642684036</v>
      </c>
      <c r="C2904" t="s">
        <v>40</v>
      </c>
      <c r="D2904">
        <v>5.6820360000000001</v>
      </c>
      <c r="E2904">
        <v>0.48744599999999999</v>
      </c>
      <c r="F2904" t="s">
        <v>69</v>
      </c>
      <c r="G2904">
        <v>-168.4272</v>
      </c>
      <c r="H2904">
        <v>41.579180000000001</v>
      </c>
      <c r="I2904">
        <v>197.73490000000001</v>
      </c>
      <c r="J2904">
        <v>-443.73919999999998</v>
      </c>
      <c r="K2904">
        <v>1.1065990000000001</v>
      </c>
      <c r="L2904">
        <v>214.28819999999999</v>
      </c>
      <c r="M2904">
        <v>0.99964379999999997</v>
      </c>
      <c r="N2904">
        <v>0</v>
      </c>
      <c r="O2904">
        <v>-2.2900750000000001E-2</v>
      </c>
      <c r="P2904">
        <v>0.99234940000000005</v>
      </c>
      <c r="Q2904">
        <v>7.8984230000000002E-2</v>
      </c>
      <c r="R2904">
        <v>-9.4891610000000001E-2</v>
      </c>
      <c r="S2904">
        <v>2.9718930000000001</v>
      </c>
      <c r="T2904">
        <v>0.43644050000000001</v>
      </c>
      <c r="U2904">
        <v>-0.17861939999999901</v>
      </c>
      <c r="V2904">
        <v>7.2960880000000006E-2</v>
      </c>
      <c r="W2904">
        <v>9.1963649999999994E-2</v>
      </c>
      <c r="X2904">
        <v>0.99308580000000002</v>
      </c>
      <c r="Y2904">
        <v>3.696696E-2</v>
      </c>
      <c r="Z2904">
        <v>-6.4419209999999995E-4</v>
      </c>
      <c r="AA2904">
        <v>0.99931630000000005</v>
      </c>
      <c r="AB2904">
        <v>27</v>
      </c>
      <c r="AC2904">
        <v>275.31200000000001</v>
      </c>
      <c r="AD2904">
        <v>40.472580999999998</v>
      </c>
      <c r="AE2904">
        <v>-16.553299999999901</v>
      </c>
      <c r="AF2904">
        <v>10.0275904841544</v>
      </c>
      <c r="AG2904">
        <v>40.472580999999998</v>
      </c>
      <c r="AH2904">
        <v>269.809105885588</v>
      </c>
      <c r="AI2904">
        <v>81.474781255362302</v>
      </c>
      <c r="AJ2904">
        <v>87.871553301625895</v>
      </c>
      <c r="AK2904">
        <v>273.01197043810998</v>
      </c>
      <c r="AL2904">
        <v>84.723415489138304</v>
      </c>
      <c r="AM2904">
        <v>85.798093809925604</v>
      </c>
      <c r="AN2904">
        <v>1.0000000045466599</v>
      </c>
    </row>
    <row r="2905" spans="1:40" x14ac:dyDescent="0.25">
      <c r="A2905" t="str">
        <f>"20190312151042712"</f>
        <v>20190312151042712</v>
      </c>
      <c r="B2905" t="str">
        <f>"1552374642703557"</f>
        <v>1552374642703557</v>
      </c>
      <c r="C2905" t="s">
        <v>40</v>
      </c>
      <c r="D2905">
        <v>5.6676960000000003</v>
      </c>
      <c r="E2905">
        <v>0.48750670000000002</v>
      </c>
      <c r="F2905" t="s">
        <v>69</v>
      </c>
      <c r="G2905">
        <v>-168.42760000000001</v>
      </c>
      <c r="H2905">
        <v>42.359589999999997</v>
      </c>
      <c r="I2905">
        <v>197.2646</v>
      </c>
      <c r="J2905">
        <v>-443.47190000000001</v>
      </c>
      <c r="K2905">
        <v>1.1067959999999999</v>
      </c>
      <c r="L2905">
        <v>214.27709999999999</v>
      </c>
      <c r="M2905">
        <v>0.99953159999999996</v>
      </c>
      <c r="N2905">
        <v>0</v>
      </c>
      <c r="O2905">
        <v>-2.7372919999999999E-2</v>
      </c>
      <c r="P2905">
        <v>0.99221820000000005</v>
      </c>
      <c r="Q2905">
        <v>7.9276440000000004E-2</v>
      </c>
      <c r="R2905">
        <v>-9.6014050000000004E-2</v>
      </c>
      <c r="S2905">
        <v>2.9701230000000001</v>
      </c>
      <c r="T2905">
        <v>0.44504680000000002</v>
      </c>
      <c r="U2905">
        <v>-0.18365480000000001</v>
      </c>
      <c r="V2905">
        <v>6.9597210000000007E-2</v>
      </c>
      <c r="W2905">
        <v>9.2302670000000003E-2</v>
      </c>
      <c r="X2905">
        <v>0.9932957</v>
      </c>
      <c r="Y2905">
        <v>3.429281E-2</v>
      </c>
      <c r="Z2905">
        <v>-1.521559E-3</v>
      </c>
      <c r="AA2905">
        <v>0.99941069999999999</v>
      </c>
      <c r="AB2905">
        <v>27</v>
      </c>
      <c r="AC2905">
        <v>275.04430000000002</v>
      </c>
      <c r="AD2905">
        <v>41.252794000000002</v>
      </c>
      <c r="AE2905">
        <v>-17.0124999999999</v>
      </c>
      <c r="AF2905">
        <v>9.2689358492507701</v>
      </c>
      <c r="AG2905">
        <v>41.252794000000002</v>
      </c>
      <c r="AH2905">
        <v>269.370338752647</v>
      </c>
      <c r="AI2905">
        <v>81.298142071704405</v>
      </c>
      <c r="AJ2905">
        <v>88.029250525925903</v>
      </c>
      <c r="AK2905">
        <v>272.668453592086</v>
      </c>
      <c r="AL2905">
        <v>84.703907819146295</v>
      </c>
      <c r="AM2905">
        <v>85.992009263612402</v>
      </c>
      <c r="AN2905">
        <v>0.99999995108369999</v>
      </c>
    </row>
    <row r="2906" spans="1:40" x14ac:dyDescent="0.25">
      <c r="A2906" t="str">
        <f>"20190312151042733"</f>
        <v>20190312151042733</v>
      </c>
      <c r="B2906" t="str">
        <f>"1552374642724053"</f>
        <v>1552374642724053</v>
      </c>
      <c r="C2906" t="s">
        <v>40</v>
      </c>
      <c r="D2906">
        <v>5.3363740000000002</v>
      </c>
      <c r="E2906">
        <v>0.48762450000000002</v>
      </c>
      <c r="F2906" t="s">
        <v>69</v>
      </c>
      <c r="G2906">
        <v>-168.42769999999999</v>
      </c>
      <c r="H2906">
        <v>42.236800000000002</v>
      </c>
      <c r="I2906">
        <v>196.8672</v>
      </c>
      <c r="J2906">
        <v>-443.2072</v>
      </c>
      <c r="K2906">
        <v>1.1069979999999999</v>
      </c>
      <c r="L2906">
        <v>214.26509999999999</v>
      </c>
      <c r="M2906">
        <v>0.9994094</v>
      </c>
      <c r="N2906">
        <v>0</v>
      </c>
      <c r="O2906">
        <v>-3.1523889999999999E-2</v>
      </c>
      <c r="P2906">
        <v>0.99231449999999999</v>
      </c>
      <c r="Q2906">
        <v>7.8587009999999999E-2</v>
      </c>
      <c r="R2906">
        <v>-9.5581550000000001E-2</v>
      </c>
      <c r="S2906">
        <v>2.9698790000000002</v>
      </c>
      <c r="T2906">
        <v>0.44411489999999998</v>
      </c>
      <c r="U2906">
        <v>-0.1879883</v>
      </c>
      <c r="V2906">
        <v>6.4978590000000003E-2</v>
      </c>
      <c r="W2906">
        <v>9.1671169999999996E-2</v>
      </c>
      <c r="X2906">
        <v>0.99366710000000003</v>
      </c>
      <c r="Y2906">
        <v>3.1674859999999999E-2</v>
      </c>
      <c r="Z2906">
        <v>-2.3291789999999998E-3</v>
      </c>
      <c r="AA2906">
        <v>0.99949549999999998</v>
      </c>
      <c r="AB2906">
        <v>27</v>
      </c>
      <c r="AC2906">
        <v>274.77949999999998</v>
      </c>
      <c r="AD2906">
        <v>41.129801999999998</v>
      </c>
      <c r="AE2906">
        <v>-17.3978999999999</v>
      </c>
      <c r="AF2906">
        <v>8.5358407072789095</v>
      </c>
      <c r="AG2906">
        <v>41.129801999999998</v>
      </c>
      <c r="AH2906">
        <v>269.18441908101602</v>
      </c>
      <c r="AI2906">
        <v>81.317027088855696</v>
      </c>
      <c r="AJ2906">
        <v>88.183758835634407</v>
      </c>
      <c r="AK2906">
        <v>272.442237300172</v>
      </c>
      <c r="AL2906">
        <v>84.740244755406493</v>
      </c>
      <c r="AM2906">
        <v>86.2586003217192</v>
      </c>
      <c r="AN2906">
        <v>1.0000000630949799</v>
      </c>
    </row>
    <row r="2907" spans="1:40" x14ac:dyDescent="0.25">
      <c r="A2907" t="str">
        <f>"20190312151042755"</f>
        <v>20190312151042755</v>
      </c>
      <c r="B2907" t="str">
        <f>"1552374642743573"</f>
        <v>1552374642743573</v>
      </c>
      <c r="C2907" t="s">
        <v>40</v>
      </c>
      <c r="D2907">
        <v>5.6040769999999904</v>
      </c>
      <c r="E2907">
        <v>0.48756870000000002</v>
      </c>
      <c r="F2907" t="s">
        <v>69</v>
      </c>
      <c r="G2907">
        <v>-168.42750000000001</v>
      </c>
      <c r="H2907">
        <v>41.664160000000003</v>
      </c>
      <c r="I2907">
        <v>196.9117</v>
      </c>
      <c r="J2907">
        <v>-442.95069999999998</v>
      </c>
      <c r="K2907">
        <v>1.1072139999999999</v>
      </c>
      <c r="L2907">
        <v>214.2527</v>
      </c>
      <c r="M2907">
        <v>0.99928479999999997</v>
      </c>
      <c r="N2907">
        <v>0</v>
      </c>
      <c r="O2907">
        <v>-3.526522E-2</v>
      </c>
      <c r="P2907">
        <v>0.99235260000000003</v>
      </c>
      <c r="Q2907">
        <v>7.9007369999999993E-2</v>
      </c>
      <c r="R2907">
        <v>-9.4838519999999996E-2</v>
      </c>
      <c r="S2907">
        <v>2.9703979999999999</v>
      </c>
      <c r="T2907">
        <v>0.43842740000000002</v>
      </c>
      <c r="U2907">
        <v>-0.1875916</v>
      </c>
      <c r="V2907">
        <v>6.0463450000000002E-2</v>
      </c>
      <c r="W2907">
        <v>9.2144550000000006E-2</v>
      </c>
      <c r="X2907">
        <v>0.99390820000000002</v>
      </c>
      <c r="Y2907">
        <v>2.787019E-2</v>
      </c>
      <c r="Z2907">
        <v>-3.1265160000000002E-3</v>
      </c>
      <c r="AA2907">
        <v>0.99960669999999996</v>
      </c>
      <c r="AB2907">
        <v>27</v>
      </c>
      <c r="AC2907">
        <v>274.52319999999997</v>
      </c>
      <c r="AD2907">
        <v>40.556946000000003</v>
      </c>
      <c r="AE2907">
        <v>-17.341000000000001</v>
      </c>
      <c r="AF2907">
        <v>7.4854612518125103</v>
      </c>
      <c r="AG2907">
        <v>40.556946000000003</v>
      </c>
      <c r="AH2907">
        <v>269.11369483341002</v>
      </c>
      <c r="AI2907">
        <v>81.432963394991205</v>
      </c>
      <c r="AJ2907">
        <v>88.406715119830295</v>
      </c>
      <c r="AK2907">
        <v>272.25553942186099</v>
      </c>
      <c r="AL2907">
        <v>84.713006347759404</v>
      </c>
      <c r="AM2907">
        <v>86.518756535338298</v>
      </c>
      <c r="AN2907">
        <v>0.99999997845392197</v>
      </c>
    </row>
    <row r="2908" spans="1:40" x14ac:dyDescent="0.25">
      <c r="A2908" t="str">
        <f>"20190312151042778"</f>
        <v>20190312151042778</v>
      </c>
      <c r="B2908" t="str">
        <f>"1552374642773828"</f>
        <v>1552374642773828</v>
      </c>
      <c r="C2908" t="s">
        <v>40</v>
      </c>
      <c r="D2908">
        <v>5.6139570000000001</v>
      </c>
      <c r="E2908">
        <v>0.48764649999999998</v>
      </c>
      <c r="F2908" t="s">
        <v>69</v>
      </c>
      <c r="G2908">
        <v>-168.4273</v>
      </c>
      <c r="H2908">
        <v>41.464959999999998</v>
      </c>
      <c r="I2908">
        <v>197.13570000000001</v>
      </c>
      <c r="J2908">
        <v>-442.67320000000001</v>
      </c>
      <c r="K2908">
        <v>1.107469</v>
      </c>
      <c r="L2908">
        <v>214.23859999999999</v>
      </c>
      <c r="M2908">
        <v>0.99914650000000005</v>
      </c>
      <c r="N2908">
        <v>0</v>
      </c>
      <c r="O2908">
        <v>-3.8997160000000003E-2</v>
      </c>
      <c r="P2908">
        <v>0.99227069999999995</v>
      </c>
      <c r="Q2908">
        <v>7.9786190000000007E-2</v>
      </c>
      <c r="R2908">
        <v>-9.5044039999999996E-2</v>
      </c>
      <c r="S2908">
        <v>2.9706730000000001</v>
      </c>
      <c r="T2908">
        <v>0.43671949999999998</v>
      </c>
      <c r="U2908">
        <v>-0.18522640000000001</v>
      </c>
      <c r="V2908">
        <v>5.6903500000000003E-2</v>
      </c>
      <c r="W2908">
        <v>9.2965950000000006E-2</v>
      </c>
      <c r="X2908">
        <v>0.99404190000000003</v>
      </c>
      <c r="Y2908">
        <v>2.3424819999999999E-2</v>
      </c>
      <c r="Z2908">
        <v>-3.9836109999999997E-3</v>
      </c>
      <c r="AA2908">
        <v>0.99971770000000004</v>
      </c>
      <c r="AB2908">
        <v>27</v>
      </c>
      <c r="AC2908">
        <v>274.24590000000001</v>
      </c>
      <c r="AD2908">
        <v>40.357491000000003</v>
      </c>
      <c r="AE2908">
        <v>-17.102899999999899</v>
      </c>
      <c r="AF2908">
        <v>6.2590664452124098</v>
      </c>
      <c r="AG2908">
        <v>40.357491000000003</v>
      </c>
      <c r="AH2908">
        <v>268.90359532638098</v>
      </c>
      <c r="AI2908">
        <v>81.466937265249101</v>
      </c>
      <c r="AJ2908">
        <v>88.666610064704301</v>
      </c>
      <c r="AK2908">
        <v>271.98721766295301</v>
      </c>
      <c r="AL2908">
        <v>84.665740755422405</v>
      </c>
      <c r="AM2908">
        <v>86.723703425173298</v>
      </c>
      <c r="AN2908">
        <v>0.99999998756363095</v>
      </c>
    </row>
    <row r="2909" spans="1:40" x14ac:dyDescent="0.25">
      <c r="A2909" t="str">
        <f>"20190312151042799"</f>
        <v>20190312151042799</v>
      </c>
      <c r="B2909" t="str">
        <f>"1552374642793349"</f>
        <v>1552374642793349</v>
      </c>
      <c r="C2909" t="s">
        <v>40</v>
      </c>
      <c r="D2909">
        <v>5.5910019999999996</v>
      </c>
      <c r="E2909">
        <v>0.48776760000000002</v>
      </c>
      <c r="F2909" t="s">
        <v>69</v>
      </c>
      <c r="G2909">
        <v>-168.4273</v>
      </c>
      <c r="H2909">
        <v>41.17633</v>
      </c>
      <c r="I2909">
        <v>196.9776</v>
      </c>
      <c r="J2909">
        <v>-442.41419999999999</v>
      </c>
      <c r="K2909">
        <v>1.107723</v>
      </c>
      <c r="L2909">
        <v>214.22489999999999</v>
      </c>
      <c r="M2909">
        <v>0.99901870000000004</v>
      </c>
      <c r="N2909">
        <v>0</v>
      </c>
      <c r="O2909">
        <v>-4.2145889999999998E-2</v>
      </c>
      <c r="P2909">
        <v>0.99233510000000003</v>
      </c>
      <c r="Q2909">
        <v>7.9180630000000002E-2</v>
      </c>
      <c r="R2909">
        <v>-9.4876500000000002E-2</v>
      </c>
      <c r="S2909">
        <v>2.9705509999999999</v>
      </c>
      <c r="T2909">
        <v>0.43401420000000002</v>
      </c>
      <c r="U2909">
        <v>-0.18696589999999999</v>
      </c>
      <c r="V2909">
        <v>5.3538139999999998E-2</v>
      </c>
      <c r="W2909">
        <v>9.2399049999999996E-2</v>
      </c>
      <c r="X2909">
        <v>0.99428170000000005</v>
      </c>
      <c r="Y2909">
        <v>2.0917350000000001E-2</v>
      </c>
      <c r="Z2909">
        <v>-4.5979389999999997E-3</v>
      </c>
      <c r="AA2909">
        <v>0.99977059999999995</v>
      </c>
      <c r="AB2909">
        <v>27</v>
      </c>
      <c r="AC2909">
        <v>273.98689999999999</v>
      </c>
      <c r="AD2909">
        <v>40.068607</v>
      </c>
      <c r="AE2909">
        <v>-17.2472999999999</v>
      </c>
      <c r="AF2909">
        <v>5.5649330505021801</v>
      </c>
      <c r="AG2909">
        <v>40.068607</v>
      </c>
      <c r="AH2909">
        <v>268.74541920905301</v>
      </c>
      <c r="AI2909">
        <v>81.521742008550802</v>
      </c>
      <c r="AJ2909">
        <v>88.813741206741895</v>
      </c>
      <c r="AK2909">
        <v>271.77299735740201</v>
      </c>
      <c r="AL2909">
        <v>84.698362253695507</v>
      </c>
      <c r="AM2909">
        <v>86.917825230735104</v>
      </c>
      <c r="AN2909">
        <v>1.00000000791522</v>
      </c>
    </row>
    <row r="2910" spans="1:40" x14ac:dyDescent="0.25">
      <c r="A2910" t="str">
        <f>"20190312151042821"</f>
        <v>20190312151042821</v>
      </c>
      <c r="B2910" t="str">
        <f>"1552374642813845"</f>
        <v>1552374642813845</v>
      </c>
      <c r="C2910" t="s">
        <v>40</v>
      </c>
      <c r="D2910">
        <v>4.9491620000000003</v>
      </c>
      <c r="E2910">
        <v>0.48744939999999998</v>
      </c>
      <c r="F2910" t="s">
        <v>69</v>
      </c>
      <c r="G2910">
        <v>-168.4271</v>
      </c>
      <c r="H2910">
        <v>40.660760000000003</v>
      </c>
      <c r="I2910">
        <v>196.95079999999999</v>
      </c>
      <c r="J2910">
        <v>-442.14870000000002</v>
      </c>
      <c r="K2910">
        <v>1.1079589999999999</v>
      </c>
      <c r="L2910">
        <v>214.21019999999999</v>
      </c>
      <c r="M2910">
        <v>0.99888940000000004</v>
      </c>
      <c r="N2910">
        <v>0</v>
      </c>
      <c r="O2910">
        <v>-4.511486E-2</v>
      </c>
      <c r="P2910">
        <v>0.99203039999999998</v>
      </c>
      <c r="Q2910">
        <v>8.1335350000000001E-2</v>
      </c>
      <c r="R2910">
        <v>-9.6233250000000006E-2</v>
      </c>
      <c r="S2910">
        <v>2.971069</v>
      </c>
      <c r="T2910">
        <v>0.42890689999999998</v>
      </c>
      <c r="U2910">
        <v>-0.18731690000000001</v>
      </c>
      <c r="V2910">
        <v>5.1911539999999999E-2</v>
      </c>
      <c r="W2910">
        <v>9.4571509999999998E-2</v>
      </c>
      <c r="X2910">
        <v>0.99416369999999998</v>
      </c>
      <c r="Y2910">
        <v>1.8106810000000001E-2</v>
      </c>
      <c r="Z2910">
        <v>-5.1706249999999999E-3</v>
      </c>
      <c r="AA2910">
        <v>0.99982269999999895</v>
      </c>
      <c r="AB2910">
        <v>27</v>
      </c>
      <c r="AC2910">
        <v>273.72160000000002</v>
      </c>
      <c r="AD2910">
        <v>39.552801000000002</v>
      </c>
      <c r="AE2910">
        <v>-17.259399999999999</v>
      </c>
      <c r="AF2910">
        <v>4.7921073214105103</v>
      </c>
      <c r="AG2910">
        <v>39.552801000000002</v>
      </c>
      <c r="AH2910">
        <v>268.63462077849101</v>
      </c>
      <c r="AI2910">
        <v>81.625467234576604</v>
      </c>
      <c r="AJ2910">
        <v>88.978022993267501</v>
      </c>
      <c r="AK2910">
        <v>271.57309852105999</v>
      </c>
      <c r="AL2910">
        <v>84.573342002123198</v>
      </c>
      <c r="AM2910">
        <v>87.010941589354601</v>
      </c>
      <c r="AN2910">
        <v>1.00000002044327</v>
      </c>
    </row>
    <row r="2911" spans="1:40" x14ac:dyDescent="0.25">
      <c r="A2911" t="str">
        <f>"20190312151042846"</f>
        <v>20190312151042846</v>
      </c>
      <c r="B2911" t="str">
        <f>"1552374642833365"</f>
        <v>1552374642833365</v>
      </c>
      <c r="C2911" t="s">
        <v>40</v>
      </c>
      <c r="D2911">
        <v>5.117318</v>
      </c>
      <c r="E2911">
        <v>0.48752259999999997</v>
      </c>
      <c r="F2911" t="s">
        <v>69</v>
      </c>
      <c r="G2911">
        <v>-168.4273</v>
      </c>
      <c r="H2911">
        <v>41.077710000000003</v>
      </c>
      <c r="I2911">
        <v>196.81870000000001</v>
      </c>
      <c r="J2911">
        <v>-441.85180000000003</v>
      </c>
      <c r="K2911">
        <v>1.108198</v>
      </c>
      <c r="L2911">
        <v>214.19319999999999</v>
      </c>
      <c r="M2911">
        <v>0.99874980000000002</v>
      </c>
      <c r="N2911">
        <v>0</v>
      </c>
      <c r="O2911">
        <v>-4.811008E-2</v>
      </c>
      <c r="P2911">
        <v>0.99141760000000001</v>
      </c>
      <c r="Q2911">
        <v>8.3935019999999999E-2</v>
      </c>
      <c r="R2911">
        <v>-0.1002318</v>
      </c>
      <c r="S2911">
        <v>2.9702449999999998</v>
      </c>
      <c r="T2911">
        <v>0.4337261</v>
      </c>
      <c r="U2911">
        <v>-0.18872069999999999</v>
      </c>
      <c r="V2911">
        <v>5.2911640000000003E-2</v>
      </c>
      <c r="W2911">
        <v>9.7171569999999999E-2</v>
      </c>
      <c r="X2911">
        <v>0.99386019999999997</v>
      </c>
      <c r="Y2911">
        <v>1.566033E-2</v>
      </c>
      <c r="Z2911">
        <v>-5.8409550000000001E-3</v>
      </c>
      <c r="AA2911">
        <v>0.99986030000000004</v>
      </c>
      <c r="AB2911">
        <v>27</v>
      </c>
      <c r="AC2911">
        <v>273.42450000000002</v>
      </c>
      <c r="AD2911">
        <v>39.969512000000002</v>
      </c>
      <c r="AE2911">
        <v>-17.374499999999902</v>
      </c>
      <c r="AF2911">
        <v>4.11119218334676</v>
      </c>
      <c r="AG2911">
        <v>39.969512000000002</v>
      </c>
      <c r="AH2911">
        <v>268.23494925385</v>
      </c>
      <c r="AI2911">
        <v>81.525735063838596</v>
      </c>
      <c r="AJ2911">
        <v>89.121905928642704</v>
      </c>
      <c r="AK2911">
        <v>271.22767519540099</v>
      </c>
      <c r="AL2911">
        <v>84.423680145205907</v>
      </c>
      <c r="AM2911">
        <v>86.9525348606808</v>
      </c>
      <c r="AN2911">
        <v>1.00000002640389</v>
      </c>
    </row>
    <row r="2912" spans="1:40" x14ac:dyDescent="0.25">
      <c r="A2912" t="str">
        <f>"20190312151042866"</f>
        <v>20190312151042866</v>
      </c>
      <c r="B2912" t="str">
        <f>"1552374642863621"</f>
        <v>1552374642863621</v>
      </c>
      <c r="C2912" t="s">
        <v>40</v>
      </c>
      <c r="D2912">
        <v>5.0967979999999997</v>
      </c>
      <c r="E2912">
        <v>0.48753469999999999</v>
      </c>
      <c r="F2912" t="s">
        <v>69</v>
      </c>
      <c r="G2912">
        <v>-168.42789999999999</v>
      </c>
      <c r="H2912">
        <v>41.59789</v>
      </c>
      <c r="I2912">
        <v>195.69409999999999</v>
      </c>
      <c r="J2912">
        <v>-441.60399999999998</v>
      </c>
      <c r="K2912">
        <v>1.108382</v>
      </c>
      <c r="L2912">
        <v>214.17859999999999</v>
      </c>
      <c r="M2912">
        <v>0.99863979999999997</v>
      </c>
      <c r="N2912">
        <v>0</v>
      </c>
      <c r="O2912">
        <v>-5.0345069999999999E-2</v>
      </c>
      <c r="P2912">
        <v>0.9912955</v>
      </c>
      <c r="Q2912">
        <v>8.2776730000000007E-2</v>
      </c>
      <c r="R2912">
        <v>-0.10237930000000001</v>
      </c>
      <c r="S2912">
        <v>2.968445</v>
      </c>
      <c r="T2912">
        <v>0.43957940000000001</v>
      </c>
      <c r="U2912">
        <v>-0.20083619999999999</v>
      </c>
      <c r="V2912">
        <v>5.2786060000000003E-2</v>
      </c>
      <c r="W2912">
        <v>9.6023510000000006E-2</v>
      </c>
      <c r="X2912">
        <v>0.99397840000000004</v>
      </c>
      <c r="Y2912">
        <v>1.7537779999999999E-2</v>
      </c>
      <c r="Z2912">
        <v>-6.1116919999999898E-3</v>
      </c>
      <c r="AA2912">
        <v>0.99982749999999998</v>
      </c>
      <c r="AB2912">
        <v>27</v>
      </c>
      <c r="AC2912">
        <v>273.17610000000002</v>
      </c>
      <c r="AD2912">
        <v>40.489508000000001</v>
      </c>
      <c r="AE2912">
        <v>-18.484500000000001</v>
      </c>
      <c r="AF2912">
        <v>4.6059949319235498</v>
      </c>
      <c r="AG2912">
        <v>40.489508000000001</v>
      </c>
      <c r="AH2912">
        <v>267.90174136932302</v>
      </c>
      <c r="AI2912">
        <v>81.406858987713605</v>
      </c>
      <c r="AJ2912">
        <v>89.015019198880097</v>
      </c>
      <c r="AK2912">
        <v>270.98331770814002</v>
      </c>
      <c r="AL2912">
        <v>84.489767893611798</v>
      </c>
      <c r="AM2912">
        <v>86.960114957403206</v>
      </c>
      <c r="AN2912">
        <v>0.99999997113480099</v>
      </c>
    </row>
    <row r="2913" spans="1:40" x14ac:dyDescent="0.25">
      <c r="A2913" t="str">
        <f>"20190312151042889"</f>
        <v>20190312151042889</v>
      </c>
      <c r="B2913" t="str">
        <f>"1552374642883140"</f>
        <v>1552374642883140</v>
      </c>
      <c r="C2913" t="s">
        <v>40</v>
      </c>
      <c r="D2913">
        <v>5.5539100000000001</v>
      </c>
      <c r="E2913">
        <v>0.48760809999999999</v>
      </c>
      <c r="F2913" t="s">
        <v>69</v>
      </c>
      <c r="G2913">
        <v>-168.42779999999999</v>
      </c>
      <c r="H2913">
        <v>40.78501</v>
      </c>
      <c r="I2913">
        <v>195.07169999999999</v>
      </c>
      <c r="J2913">
        <v>-441.31540000000001</v>
      </c>
      <c r="K2913">
        <v>1.108608</v>
      </c>
      <c r="L2913">
        <v>214.16120000000001</v>
      </c>
      <c r="M2913">
        <v>0.99852249999999998</v>
      </c>
      <c r="N2913">
        <v>0</v>
      </c>
      <c r="O2913">
        <v>-5.2624490000000003E-2</v>
      </c>
      <c r="P2913">
        <v>0.99150439999999995</v>
      </c>
      <c r="Q2913">
        <v>7.872179E-2</v>
      </c>
      <c r="R2913">
        <v>-0.1035466</v>
      </c>
      <c r="S2913">
        <v>2.9689329999999998</v>
      </c>
      <c r="T2913">
        <v>0.43121369999999998</v>
      </c>
      <c r="U2913">
        <v>-0.20765690000000001</v>
      </c>
      <c r="V2913">
        <v>5.1597089999999998E-2</v>
      </c>
      <c r="W2913">
        <v>9.1991660000000003E-2</v>
      </c>
      <c r="X2913">
        <v>0.99442209999999998</v>
      </c>
      <c r="Y2913">
        <v>1.7540710000000001E-2</v>
      </c>
      <c r="Z2913">
        <v>-6.3231900000000002E-3</v>
      </c>
      <c r="AA2913">
        <v>0.99982610000000005</v>
      </c>
      <c r="AB2913">
        <v>27</v>
      </c>
      <c r="AC2913">
        <v>272.88760000000002</v>
      </c>
      <c r="AD2913">
        <v>39.676402000000003</v>
      </c>
      <c r="AE2913">
        <v>-19.089500000000001</v>
      </c>
      <c r="AF2913">
        <v>4.6042967372599399</v>
      </c>
      <c r="AG2913">
        <v>39.676402000000003</v>
      </c>
      <c r="AH2913">
        <v>267.878800235597</v>
      </c>
      <c r="AI2913">
        <v>81.576213440985995</v>
      </c>
      <c r="AJ2913">
        <v>89.015297976133496</v>
      </c>
      <c r="AK2913">
        <v>270.840299881264</v>
      </c>
      <c r="AL2913">
        <v>84.721803879502502</v>
      </c>
      <c r="AM2913">
        <v>87.029785661184903</v>
      </c>
      <c r="AN2913">
        <v>1.00000001908721</v>
      </c>
    </row>
    <row r="2914" spans="1:40" x14ac:dyDescent="0.25">
      <c r="A2914" t="str">
        <f>"20190312151042912"</f>
        <v>20190312151042912</v>
      </c>
      <c r="B2914" t="str">
        <f>"1552374642903638"</f>
        <v>1552374642903638</v>
      </c>
      <c r="C2914" t="s">
        <v>40</v>
      </c>
      <c r="D2914">
        <v>5.5659650000000003</v>
      </c>
      <c r="E2914">
        <v>0.50315929999999998</v>
      </c>
      <c r="F2914" t="s">
        <v>69</v>
      </c>
      <c r="G2914">
        <v>-168.42740000000001</v>
      </c>
      <c r="H2914">
        <v>39.352620000000002</v>
      </c>
      <c r="I2914">
        <v>194.74850000000001</v>
      </c>
      <c r="J2914">
        <v>-441.05259999999998</v>
      </c>
      <c r="K2914">
        <v>1.1088119999999999</v>
      </c>
      <c r="L2914">
        <v>214.14510000000001</v>
      </c>
      <c r="M2914">
        <v>0.99842779999999998</v>
      </c>
      <c r="N2914">
        <v>0</v>
      </c>
      <c r="O2914">
        <v>-5.4396050000000001E-2</v>
      </c>
      <c r="P2914">
        <v>0.99190730000000005</v>
      </c>
      <c r="Q2914">
        <v>7.4320899999999995E-2</v>
      </c>
      <c r="R2914">
        <v>-0.10293869999999999</v>
      </c>
      <c r="S2914">
        <v>2.9705509999999999</v>
      </c>
      <c r="T2914">
        <v>0.4163095</v>
      </c>
      <c r="U2914">
        <v>-0.21131900000000001</v>
      </c>
      <c r="V2914">
        <v>4.913327E-2</v>
      </c>
      <c r="W2914">
        <v>8.7620589999999998E-2</v>
      </c>
      <c r="X2914">
        <v>0.99494150000000003</v>
      </c>
      <c r="Y2914">
        <v>1.6953070000000001E-2</v>
      </c>
      <c r="Z2914">
        <v>-6.3903919999999999E-3</v>
      </c>
      <c r="AA2914">
        <v>0.99983580000000005</v>
      </c>
      <c r="AB2914">
        <v>27</v>
      </c>
      <c r="AC2914">
        <v>272.62519999999898</v>
      </c>
      <c r="AD2914">
        <v>38.243808000000001</v>
      </c>
      <c r="AE2914">
        <v>-19.396599999999999</v>
      </c>
      <c r="AF2914">
        <v>4.4496644176040396</v>
      </c>
      <c r="AG2914">
        <v>38.243808000000001</v>
      </c>
      <c r="AH2914">
        <v>268.02886206526199</v>
      </c>
      <c r="AI2914">
        <v>81.880644550281502</v>
      </c>
      <c r="AJ2914">
        <v>89.048895064885002</v>
      </c>
      <c r="AK2914">
        <v>270.78009392082203</v>
      </c>
      <c r="AL2914">
        <v>84.973264017637902</v>
      </c>
      <c r="AM2914">
        <v>87.1728549465969</v>
      </c>
      <c r="AN2914">
        <v>1.0000000172175401</v>
      </c>
    </row>
    <row r="2915" spans="1:40" x14ac:dyDescent="0.25">
      <c r="A2915" t="str">
        <f>"20190312151042933"</f>
        <v>20190312151042933</v>
      </c>
      <c r="B2915" t="str">
        <f>"1552374642923160"</f>
        <v>1552374642923160</v>
      </c>
      <c r="C2915" t="s">
        <v>40</v>
      </c>
      <c r="D2915">
        <v>5.6412829999999996</v>
      </c>
      <c r="E2915">
        <v>0.51171309999999903</v>
      </c>
      <c r="F2915" t="s">
        <v>69</v>
      </c>
      <c r="G2915">
        <v>-168.42740000000001</v>
      </c>
      <c r="H2915">
        <v>28.21163</v>
      </c>
      <c r="I2915">
        <v>183.52950000000001</v>
      </c>
      <c r="J2915">
        <v>-440.78579999999999</v>
      </c>
      <c r="K2915">
        <v>1.109019</v>
      </c>
      <c r="L2915">
        <v>214.12870000000001</v>
      </c>
      <c r="M2915">
        <v>0.99834540000000005</v>
      </c>
      <c r="N2915">
        <v>0</v>
      </c>
      <c r="O2915">
        <v>-5.5892369999999997E-2</v>
      </c>
      <c r="P2915">
        <v>0.99261889999999997</v>
      </c>
      <c r="Q2915">
        <v>6.5838339999999995E-2</v>
      </c>
      <c r="R2915">
        <v>-0.101849</v>
      </c>
      <c r="S2915">
        <v>2.9678040000000001</v>
      </c>
      <c r="T2915">
        <v>0.29504229999999998</v>
      </c>
      <c r="U2915">
        <v>-0.33328249999999998</v>
      </c>
      <c r="V2915">
        <v>4.6434360000000001E-2</v>
      </c>
      <c r="W2915">
        <v>7.9172469999999995E-2</v>
      </c>
      <c r="X2915">
        <v>0.99577890000000002</v>
      </c>
      <c r="Y2915">
        <v>5.5874989999999999E-2</v>
      </c>
      <c r="Z2915">
        <v>-2.7576929999999999E-3</v>
      </c>
      <c r="AA2915">
        <v>0.99843389999999999</v>
      </c>
      <c r="AB2915">
        <v>27</v>
      </c>
      <c r="AC2915">
        <v>272.35840000000002</v>
      </c>
      <c r="AD2915">
        <v>27.102611</v>
      </c>
      <c r="AE2915">
        <v>-30.5992</v>
      </c>
      <c r="AF2915">
        <v>15.178779938438799</v>
      </c>
      <c r="AG2915">
        <v>27.102611</v>
      </c>
      <c r="AH2915">
        <v>270.99295670057802</v>
      </c>
      <c r="AI2915">
        <v>84.297591914201902</v>
      </c>
      <c r="AJ2915">
        <v>86.794115015026904</v>
      </c>
      <c r="AK2915">
        <v>272.76753741007798</v>
      </c>
      <c r="AL2915">
        <v>85.458999226493802</v>
      </c>
      <c r="AM2915">
        <v>87.330163374026299</v>
      </c>
      <c r="AN2915">
        <v>1.0000000237398501</v>
      </c>
    </row>
    <row r="2916" spans="1:40" x14ac:dyDescent="0.25">
      <c r="A2916" t="str">
        <f>"20190312151042956"</f>
        <v>20190312151042956</v>
      </c>
      <c r="B2916" t="str">
        <f>"1552374642953413"</f>
        <v>1552374642953413</v>
      </c>
      <c r="C2916" t="s">
        <v>40</v>
      </c>
      <c r="D2916">
        <v>5.6575340000000001</v>
      </c>
      <c r="E2916">
        <v>0.51811700000000005</v>
      </c>
      <c r="F2916" t="s">
        <v>69</v>
      </c>
      <c r="G2916">
        <v>-168.42689999999999</v>
      </c>
      <c r="H2916">
        <v>20.538699999999999</v>
      </c>
      <c r="I2916">
        <v>177.55269999999999</v>
      </c>
      <c r="J2916">
        <v>-440.52120000000002</v>
      </c>
      <c r="K2916">
        <v>1.1092489999999999</v>
      </c>
      <c r="L2916">
        <v>214.11240000000001</v>
      </c>
      <c r="M2916">
        <v>0.99827949999999999</v>
      </c>
      <c r="N2916">
        <v>0</v>
      </c>
      <c r="O2916">
        <v>-5.7061109999999998E-2</v>
      </c>
      <c r="P2916">
        <v>0.99309910000000001</v>
      </c>
      <c r="Q2916">
        <v>6.0837429999999998E-2</v>
      </c>
      <c r="R2916">
        <v>-0.1002667</v>
      </c>
      <c r="S2916">
        <v>2.9673769999999999</v>
      </c>
      <c r="T2916">
        <v>0.2116885</v>
      </c>
      <c r="U2916">
        <v>-0.39849849999999998</v>
      </c>
      <c r="V2916">
        <v>4.3600369999999999E-2</v>
      </c>
      <c r="W2916">
        <v>7.4198970000000003E-2</v>
      </c>
      <c r="X2916">
        <v>0.9962898</v>
      </c>
      <c r="Y2916">
        <v>7.6274949999999994E-2</v>
      </c>
      <c r="Z2916">
        <v>-1.337139E-3</v>
      </c>
      <c r="AA2916">
        <v>0.99708589999999997</v>
      </c>
      <c r="AB2916">
        <v>27</v>
      </c>
      <c r="AC2916">
        <v>272.09429999999998</v>
      </c>
      <c r="AD2916">
        <v>19.429451</v>
      </c>
      <c r="AE2916">
        <v>-36.559699999999999</v>
      </c>
      <c r="AF2916">
        <v>20.8681863597728</v>
      </c>
      <c r="AG2916">
        <v>19.429451</v>
      </c>
      <c r="AH2916">
        <v>272.37302731378099</v>
      </c>
      <c r="AI2916">
        <v>85.931658645489506</v>
      </c>
      <c r="AJ2916">
        <v>85.618774374103793</v>
      </c>
      <c r="AK2916">
        <v>273.86137145676702</v>
      </c>
      <c r="AL2916">
        <v>85.744801246488606</v>
      </c>
      <c r="AM2916">
        <v>87.494178664498904</v>
      </c>
      <c r="AN2916">
        <v>0.99999992249861502</v>
      </c>
    </row>
    <row r="2917" spans="1:40" x14ac:dyDescent="0.25">
      <c r="A2917" t="str">
        <f>"20190312151042978"</f>
        <v>20190312151042978</v>
      </c>
      <c r="B2917" t="str">
        <f>"1552374642973910"</f>
        <v>1552374642973910</v>
      </c>
      <c r="C2917" t="s">
        <v>40</v>
      </c>
      <c r="D2917">
        <v>5.2826719999999998</v>
      </c>
      <c r="E2917">
        <v>0.52028980000000002</v>
      </c>
      <c r="F2917" t="s">
        <v>75</v>
      </c>
      <c r="G2917">
        <v>-345.0487</v>
      </c>
      <c r="H2917">
        <v>6.3896759999999997</v>
      </c>
      <c r="I2917">
        <v>199.79769999999999</v>
      </c>
      <c r="J2917">
        <v>-440.25700000000001</v>
      </c>
      <c r="K2917">
        <v>1.1094820000000001</v>
      </c>
      <c r="L2917">
        <v>214.09620000000001</v>
      </c>
      <c r="M2917">
        <v>0.99823130000000004</v>
      </c>
      <c r="N2917">
        <v>0</v>
      </c>
      <c r="O2917">
        <v>-5.7899880000000001E-2</v>
      </c>
      <c r="P2917">
        <v>0.99286490000000005</v>
      </c>
      <c r="Q2917">
        <v>6.5196660000000003E-2</v>
      </c>
      <c r="R2917">
        <v>-9.9843890000000005E-2</v>
      </c>
      <c r="S2917">
        <v>2.965973</v>
      </c>
      <c r="T2917">
        <v>0.16404579999999999</v>
      </c>
      <c r="U2917">
        <v>-0.44470209999999999</v>
      </c>
      <c r="V2917">
        <v>4.231712E-2</v>
      </c>
      <c r="W2917">
        <v>7.8570669999999995E-2</v>
      </c>
      <c r="X2917">
        <v>0.99600999999999995</v>
      </c>
      <c r="Y2917">
        <v>9.0714400000000001E-2</v>
      </c>
      <c r="Z2917">
        <v>-6.8488070000000004E-4</v>
      </c>
      <c r="AA2917">
        <v>0.99587669999999995</v>
      </c>
      <c r="AB2917">
        <v>27</v>
      </c>
      <c r="AC2917">
        <v>95.208299999999895</v>
      </c>
      <c r="AD2917">
        <v>5.2801939999999998</v>
      </c>
      <c r="AE2917">
        <v>-14.298500000000001</v>
      </c>
      <c r="AF2917">
        <v>8.73518330471647</v>
      </c>
      <c r="AG2917">
        <v>5.2801939999999998</v>
      </c>
      <c r="AH2917">
        <v>95.588983393471594</v>
      </c>
      <c r="AI2917">
        <v>86.851371982891493</v>
      </c>
      <c r="AJ2917">
        <v>84.778656540618599</v>
      </c>
      <c r="AK2917">
        <v>96.132396320085704</v>
      </c>
      <c r="AL2917">
        <v>85.493587489404305</v>
      </c>
      <c r="AM2917">
        <v>87.567157893937605</v>
      </c>
      <c r="AN2917">
        <v>1.00000000446467</v>
      </c>
    </row>
    <row r="2918" spans="1:40" x14ac:dyDescent="0.25">
      <c r="A2918" t="str">
        <f>"20190312151043001"</f>
        <v>20190312151043001</v>
      </c>
      <c r="B2918" t="str">
        <f>"1552374642993429"</f>
        <v>1552374642993429</v>
      </c>
      <c r="C2918" t="s">
        <v>40</v>
      </c>
      <c r="D2918">
        <v>5.4586709999999998</v>
      </c>
      <c r="E2918">
        <v>0.52120599999999995</v>
      </c>
      <c r="F2918" t="s">
        <v>75</v>
      </c>
      <c r="G2918">
        <v>-346.60300000000001</v>
      </c>
      <c r="H2918">
        <v>6.2596569999999998</v>
      </c>
      <c r="I2918">
        <v>199.54390000000001</v>
      </c>
      <c r="J2918">
        <v>-439.98379999999997</v>
      </c>
      <c r="K2918">
        <v>1.1097239999999999</v>
      </c>
      <c r="L2918">
        <v>214.0795</v>
      </c>
      <c r="M2918">
        <v>0.99820189999999998</v>
      </c>
      <c r="N2918">
        <v>0</v>
      </c>
      <c r="O2918">
        <v>-5.8408719999999997E-2</v>
      </c>
      <c r="P2918">
        <v>0.99282689999999996</v>
      </c>
      <c r="Q2918">
        <v>6.5345440000000005E-2</v>
      </c>
      <c r="R2918">
        <v>-0.1001263</v>
      </c>
      <c r="S2918">
        <v>2.9645079999999999</v>
      </c>
      <c r="T2918">
        <v>0.16302549999999999</v>
      </c>
      <c r="U2918">
        <v>-0.46063229999999999</v>
      </c>
      <c r="V2918">
        <v>4.2047290000000001E-2</v>
      </c>
      <c r="W2918">
        <v>7.8733239999999996E-2</v>
      </c>
      <c r="X2918">
        <v>0.99600860000000002</v>
      </c>
      <c r="Y2918">
        <v>9.5501730000000007E-2</v>
      </c>
      <c r="Z2918">
        <v>-5.7751169999999998E-4</v>
      </c>
      <c r="AA2918">
        <v>0.99542909999999996</v>
      </c>
      <c r="AB2918">
        <v>27</v>
      </c>
      <c r="AC2918">
        <v>93.380799999999894</v>
      </c>
      <c r="AD2918">
        <v>5.1499329999999999</v>
      </c>
      <c r="AE2918">
        <v>-14.535599999999899</v>
      </c>
      <c r="AF2918">
        <v>9.0292191912136293</v>
      </c>
      <c r="AG2918">
        <v>5.1499329999999999</v>
      </c>
      <c r="AH2918">
        <v>93.791910090465507</v>
      </c>
      <c r="AI2918">
        <v>86.871589247610004</v>
      </c>
      <c r="AJ2918">
        <v>84.5011588281603</v>
      </c>
      <c r="AK2918">
        <v>94.366153929920401</v>
      </c>
      <c r="AL2918">
        <v>85.484244014913003</v>
      </c>
      <c r="AM2918">
        <v>87.582648762338707</v>
      </c>
      <c r="AN2918">
        <v>1.0000000144756001</v>
      </c>
    </row>
    <row r="2919" spans="1:40" x14ac:dyDescent="0.25">
      <c r="A2919" t="str">
        <f>"20190312151043022"</f>
        <v>20190312151043022</v>
      </c>
      <c r="B2919" t="str">
        <f>"1552374643013925"</f>
        <v>1552374643013925</v>
      </c>
      <c r="C2919" t="s">
        <v>40</v>
      </c>
      <c r="D2919">
        <v>5.2158449999999998</v>
      </c>
      <c r="E2919">
        <v>0.52171520000000005</v>
      </c>
      <c r="F2919" t="s">
        <v>75</v>
      </c>
      <c r="G2919">
        <v>-346.66680000000002</v>
      </c>
      <c r="H2919">
        <v>5.9652279999999998</v>
      </c>
      <c r="I2919">
        <v>199.32050000000001</v>
      </c>
      <c r="J2919">
        <v>-439.72250000000003</v>
      </c>
      <c r="K2919">
        <v>1.109915</v>
      </c>
      <c r="L2919">
        <v>214.06379999999999</v>
      </c>
      <c r="M2919">
        <v>0.99818750000000001</v>
      </c>
      <c r="N2919">
        <v>0</v>
      </c>
      <c r="O2919">
        <v>-5.8652929999999999E-2</v>
      </c>
      <c r="P2919">
        <v>0.99294210000000005</v>
      </c>
      <c r="Q2919">
        <v>6.4695970000000005E-2</v>
      </c>
      <c r="R2919">
        <v>-9.9401290000000003E-2</v>
      </c>
      <c r="S2919">
        <v>2.964264</v>
      </c>
      <c r="T2919">
        <v>0.1542405</v>
      </c>
      <c r="U2919">
        <v>-0.46882629999999997</v>
      </c>
      <c r="V2919">
        <v>4.1034830000000001E-2</v>
      </c>
      <c r="W2919">
        <v>7.809576E-2</v>
      </c>
      <c r="X2919">
        <v>0.99610100000000001</v>
      </c>
      <c r="Y2919">
        <v>9.7958779999999995E-2</v>
      </c>
      <c r="Z2919">
        <v>-4.9539069999999998E-4</v>
      </c>
      <c r="AA2919">
        <v>0.99519029999999997</v>
      </c>
      <c r="AB2919">
        <v>27</v>
      </c>
      <c r="AC2919">
        <v>93.055700000000002</v>
      </c>
      <c r="AD2919">
        <v>4.8553129999999998</v>
      </c>
      <c r="AE2919">
        <v>-14.7432999999999</v>
      </c>
      <c r="AF2919">
        <v>9.2349035908301609</v>
      </c>
      <c r="AG2919">
        <v>4.8553129999999998</v>
      </c>
      <c r="AH2919">
        <v>93.511944582279497</v>
      </c>
      <c r="AI2919">
        <v>87.042129304067103</v>
      </c>
      <c r="AJ2919">
        <v>84.359962714061496</v>
      </c>
      <c r="AK2919">
        <v>94.092195681784503</v>
      </c>
      <c r="AL2919">
        <v>85.520881693067594</v>
      </c>
      <c r="AM2919">
        <v>87.641008369732205</v>
      </c>
      <c r="AN2919">
        <v>1.00000000360205</v>
      </c>
    </row>
    <row r="2920" spans="1:40" x14ac:dyDescent="0.25">
      <c r="A2920" t="str">
        <f>"20190312151043045"</f>
        <v>20190312151043045</v>
      </c>
      <c r="B2920" t="str">
        <f>"1552374643033445"</f>
        <v>1552374643033445</v>
      </c>
      <c r="C2920" t="s">
        <v>40</v>
      </c>
      <c r="D2920">
        <v>5.636126</v>
      </c>
      <c r="E2920">
        <v>0.52228079999999999</v>
      </c>
      <c r="F2920" t="s">
        <v>75</v>
      </c>
      <c r="G2920">
        <v>-346.24189999999999</v>
      </c>
      <c r="H2920">
        <v>5.7433160000000001</v>
      </c>
      <c r="I2920">
        <v>199.2122</v>
      </c>
      <c r="J2920">
        <v>-439.45769999999999</v>
      </c>
      <c r="K2920">
        <v>1.110074</v>
      </c>
      <c r="L2920">
        <v>214.0479</v>
      </c>
      <c r="M2920">
        <v>0.99818560000000001</v>
      </c>
      <c r="N2920">
        <v>0</v>
      </c>
      <c r="O2920">
        <v>-5.86886E-2</v>
      </c>
      <c r="P2920">
        <v>0.99328689999999997</v>
      </c>
      <c r="Q2920">
        <v>6.1183759999999997E-2</v>
      </c>
      <c r="R2920">
        <v>-9.8171049999999996E-2</v>
      </c>
      <c r="S2920">
        <v>2.9645999999999999</v>
      </c>
      <c r="T2920">
        <v>0.1469442</v>
      </c>
      <c r="U2920">
        <v>-0.47099299999999999</v>
      </c>
      <c r="V2920">
        <v>3.9718870000000003E-2</v>
      </c>
      <c r="W2920">
        <v>7.4595069999999999E-2</v>
      </c>
      <c r="X2920">
        <v>0.99642260000000005</v>
      </c>
      <c r="Y2920">
        <v>9.8619399999999996E-2</v>
      </c>
      <c r="Z2920">
        <v>-4.5737970000000002E-4</v>
      </c>
      <c r="AA2920">
        <v>0.99512509999999998</v>
      </c>
      <c r="AB2920">
        <v>27</v>
      </c>
      <c r="AC2920">
        <v>93.215800000000002</v>
      </c>
      <c r="AD2920">
        <v>4.6332420000000001</v>
      </c>
      <c r="AE2920">
        <v>-14.835699999999999</v>
      </c>
      <c r="AF2920">
        <v>9.3164751854705994</v>
      </c>
      <c r="AG2920">
        <v>4.6332420000000001</v>
      </c>
      <c r="AH2920">
        <v>93.700093213248806</v>
      </c>
      <c r="AI2920">
        <v>87.183036118535497</v>
      </c>
      <c r="AJ2920">
        <v>84.321819662829299</v>
      </c>
      <c r="AK2920">
        <v>94.276036772254898</v>
      </c>
      <c r="AL2920">
        <v>85.722043672800297</v>
      </c>
      <c r="AM2920">
        <v>87.717314482008206</v>
      </c>
      <c r="AN2920">
        <v>1.0000000054465701</v>
      </c>
    </row>
    <row r="2921" spans="1:40" x14ac:dyDescent="0.25">
      <c r="A2921" t="str">
        <f>"20190312151043067"</f>
        <v>20190312151043067</v>
      </c>
      <c r="B2921" t="str">
        <f>"1552374643063701"</f>
        <v>1552374643063701</v>
      </c>
      <c r="C2921" t="s">
        <v>40</v>
      </c>
      <c r="D2921">
        <v>5.4275960000000003</v>
      </c>
      <c r="E2921">
        <v>0.52338180000000001</v>
      </c>
      <c r="F2921" t="s">
        <v>75</v>
      </c>
      <c r="G2921">
        <v>-345.827</v>
      </c>
      <c r="H2921">
        <v>5.2114060000000002</v>
      </c>
      <c r="I2921">
        <v>199.14660000000001</v>
      </c>
      <c r="J2921">
        <v>-439.19349999999997</v>
      </c>
      <c r="K2921">
        <v>1.11022</v>
      </c>
      <c r="L2921">
        <v>214.0324</v>
      </c>
      <c r="M2921">
        <v>0.99819619999999998</v>
      </c>
      <c r="N2921">
        <v>0</v>
      </c>
      <c r="O2921">
        <v>-5.851087E-2</v>
      </c>
      <c r="P2921">
        <v>0.99349529999999997</v>
      </c>
      <c r="Q2921">
        <v>5.8908589999999997E-2</v>
      </c>
      <c r="R2921">
        <v>-9.7454639999999995E-2</v>
      </c>
      <c r="S2921">
        <v>2.965668</v>
      </c>
      <c r="T2921">
        <v>0.12990869999999999</v>
      </c>
      <c r="U2921">
        <v>-0.47198489999999999</v>
      </c>
      <c r="V2921">
        <v>3.914219E-2</v>
      </c>
      <c r="W2921">
        <v>7.2328130000000004E-2</v>
      </c>
      <c r="X2921">
        <v>0.99661250000000001</v>
      </c>
      <c r="Y2921">
        <v>9.9075499999999997E-2</v>
      </c>
      <c r="Z2921">
        <v>-3.866195E-4</v>
      </c>
      <c r="AA2921">
        <v>0.99507979999999996</v>
      </c>
      <c r="AB2921">
        <v>27</v>
      </c>
      <c r="AC2921">
        <v>93.366499999999903</v>
      </c>
      <c r="AD2921">
        <v>4.1011860000000002</v>
      </c>
      <c r="AE2921">
        <v>-14.8857999999999</v>
      </c>
      <c r="AF2921">
        <v>9.3791952582047493</v>
      </c>
      <c r="AG2921">
        <v>4.1011860000000002</v>
      </c>
      <c r="AH2921">
        <v>93.900885592658099</v>
      </c>
      <c r="AI2921">
        <v>87.511523682840902</v>
      </c>
      <c r="AJ2921">
        <v>84.295987925728994</v>
      </c>
      <c r="AK2921">
        <v>94.457214363877895</v>
      </c>
      <c r="AL2921">
        <v>85.852281554245593</v>
      </c>
      <c r="AM2921">
        <v>87.750850798512403</v>
      </c>
      <c r="AN2921">
        <v>0.99999997229177096</v>
      </c>
    </row>
    <row r="2922" spans="1:40" x14ac:dyDescent="0.25">
      <c r="A2922" t="str">
        <f>"20190312151043092"</f>
        <v>20190312151043092</v>
      </c>
      <c r="B2922" t="str">
        <f>"1552374643083221"</f>
        <v>1552374643083221</v>
      </c>
      <c r="C2922" t="s">
        <v>40</v>
      </c>
      <c r="D2922">
        <v>5.3473300000000004</v>
      </c>
      <c r="E2922">
        <v>0.53604189999999996</v>
      </c>
      <c r="F2922" t="s">
        <v>75</v>
      </c>
      <c r="G2922">
        <v>-346.07479999999998</v>
      </c>
      <c r="H2922">
        <v>4.7798850000000002</v>
      </c>
      <c r="I2922">
        <v>199.00569999999999</v>
      </c>
      <c r="J2922">
        <v>-438.90359999999998</v>
      </c>
      <c r="K2922">
        <v>1.1103860000000001</v>
      </c>
      <c r="L2922">
        <v>214.01560000000001</v>
      </c>
      <c r="M2922">
        <v>0.9982219</v>
      </c>
      <c r="N2922">
        <v>0</v>
      </c>
      <c r="O2922">
        <v>-5.8071449999999997E-2</v>
      </c>
      <c r="P2922">
        <v>0.99385259999999997</v>
      </c>
      <c r="Q2922">
        <v>5.648069E-2</v>
      </c>
      <c r="R2922">
        <v>-9.5220879999999994E-2</v>
      </c>
      <c r="S2922">
        <v>2.9657900000000001</v>
      </c>
      <c r="T2922">
        <v>0.1168801</v>
      </c>
      <c r="U2922">
        <v>-0.47859190000000001</v>
      </c>
      <c r="V2922">
        <v>3.7301710000000002E-2</v>
      </c>
      <c r="W2922">
        <v>6.99105E-2</v>
      </c>
      <c r="X2922">
        <v>0.99685559999999995</v>
      </c>
      <c r="Y2922">
        <v>0.1016731</v>
      </c>
      <c r="Z2922">
        <v>-2.7979030000000002E-4</v>
      </c>
      <c r="AA2922">
        <v>0.99481790000000003</v>
      </c>
      <c r="AB2922">
        <v>27</v>
      </c>
      <c r="AC2922">
        <v>92.828800000000001</v>
      </c>
      <c r="AD2922">
        <v>3.6694989999999899</v>
      </c>
      <c r="AE2922">
        <v>-15.0099</v>
      </c>
      <c r="AF2922">
        <v>9.5787884364559304</v>
      </c>
      <c r="AG2922">
        <v>3.6694989999999899</v>
      </c>
      <c r="AH2922">
        <v>93.401611137481694</v>
      </c>
      <c r="AI2922">
        <v>87.761886289661405</v>
      </c>
      <c r="AJ2922">
        <v>84.144510897889703</v>
      </c>
      <c r="AK2922">
        <v>93.963180948171001</v>
      </c>
      <c r="AL2922">
        <v>85.991153313456095</v>
      </c>
      <c r="AM2922">
        <v>87.857027772708406</v>
      </c>
      <c r="AN2922">
        <v>0.99999999141526696</v>
      </c>
    </row>
    <row r="2923" spans="1:40" x14ac:dyDescent="0.25">
      <c r="A2923" t="str">
        <f>"20190312151043113"</f>
        <v>20190312151043113</v>
      </c>
      <c r="B2923" t="str">
        <f>"1552374643103717"</f>
        <v>1552374643103717</v>
      </c>
      <c r="C2923" t="s">
        <v>40</v>
      </c>
      <c r="D2923">
        <v>5.547339</v>
      </c>
      <c r="E2923">
        <v>0.53621169999999996</v>
      </c>
      <c r="F2923" t="s">
        <v>75</v>
      </c>
      <c r="G2923">
        <v>-363.12090000000001</v>
      </c>
      <c r="H2923">
        <v>4.4383239999999997</v>
      </c>
      <c r="I2923">
        <v>199.34970000000001</v>
      </c>
      <c r="J2923">
        <v>-438.65010000000001</v>
      </c>
      <c r="K2923">
        <v>1.1105529999999999</v>
      </c>
      <c r="L2923">
        <v>214.00139999999999</v>
      </c>
      <c r="M2923">
        <v>0.99825629999999999</v>
      </c>
      <c r="N2923">
        <v>0</v>
      </c>
      <c r="O2923">
        <v>-5.74806E-2</v>
      </c>
      <c r="P2923">
        <v>0.99412599999999995</v>
      </c>
      <c r="Q2923">
        <v>5.5233640000000001E-2</v>
      </c>
      <c r="R2923">
        <v>-9.3073690000000001E-2</v>
      </c>
      <c r="S2923">
        <v>2.9563600000000001</v>
      </c>
      <c r="T2923">
        <v>0.1298299</v>
      </c>
      <c r="U2923">
        <v>-0.57212830000000003</v>
      </c>
      <c r="V2923">
        <v>3.5705960000000002E-2</v>
      </c>
      <c r="W2923">
        <v>6.8673709999999999E-2</v>
      </c>
      <c r="X2923">
        <v>0.997</v>
      </c>
      <c r="Y2923">
        <v>0.1331764</v>
      </c>
      <c r="Z2923">
        <v>4.0034480000000002E-4</v>
      </c>
      <c r="AA2923">
        <v>0.99109230000000004</v>
      </c>
      <c r="AB2923">
        <v>27</v>
      </c>
      <c r="AC2923">
        <v>75.529200000000003</v>
      </c>
      <c r="AD2923">
        <v>3.3277709999999998</v>
      </c>
      <c r="AE2923">
        <v>-14.6516999999999</v>
      </c>
      <c r="AF2923">
        <v>10.266408896122501</v>
      </c>
      <c r="AG2923">
        <v>3.3277709999999998</v>
      </c>
      <c r="AH2923">
        <v>76.104185775809896</v>
      </c>
      <c r="AI2923">
        <v>87.518696944696003</v>
      </c>
      <c r="AJ2923">
        <v>82.317213168954197</v>
      </c>
      <c r="AK2923">
        <v>76.865598963709502</v>
      </c>
      <c r="AL2923">
        <v>86.062186923264406</v>
      </c>
      <c r="AM2923">
        <v>87.948919923620807</v>
      </c>
      <c r="AN2923">
        <v>0.99999999701234199</v>
      </c>
    </row>
    <row r="2924" spans="1:40" x14ac:dyDescent="0.25">
      <c r="A2924" t="str">
        <f>"20190312151043135"</f>
        <v>20190312151043135</v>
      </c>
      <c r="B2924" t="str">
        <f>"1552374643133973"</f>
        <v>1552374643133973</v>
      </c>
      <c r="C2924" t="s">
        <v>40</v>
      </c>
      <c r="D2924">
        <v>5.3440019999999997</v>
      </c>
      <c r="E2924">
        <v>0.53682489999999905</v>
      </c>
      <c r="F2924" t="s">
        <v>75</v>
      </c>
      <c r="G2924">
        <v>-347.31819999999999</v>
      </c>
      <c r="H2924">
        <v>4.7474720000000001</v>
      </c>
      <c r="I2924">
        <v>196.48920000000001</v>
      </c>
      <c r="J2924">
        <v>-438.3784</v>
      </c>
      <c r="K2924">
        <v>1.1107370000000001</v>
      </c>
      <c r="L2924">
        <v>213.98650000000001</v>
      </c>
      <c r="M2924">
        <v>0.99830450000000004</v>
      </c>
      <c r="N2924">
        <v>0</v>
      </c>
      <c r="O2924">
        <v>-5.6633349999999999E-2</v>
      </c>
      <c r="P2924">
        <v>0.99429339999999999</v>
      </c>
      <c r="Q2924">
        <v>5.4939229999999999E-2</v>
      </c>
      <c r="R2924">
        <v>-9.1445479999999996E-2</v>
      </c>
      <c r="S2924">
        <v>2.9580690000000001</v>
      </c>
      <c r="T2924">
        <v>0.1177957</v>
      </c>
      <c r="U2924">
        <v>-0.56718440000000003</v>
      </c>
      <c r="V2924">
        <v>3.4886830000000001E-2</v>
      </c>
      <c r="W2924">
        <v>6.8390190000000003E-2</v>
      </c>
      <c r="X2924">
        <v>0.9970485</v>
      </c>
      <c r="Y2924">
        <v>0.1323259</v>
      </c>
      <c r="Z2924">
        <v>3.7960819999999999E-4</v>
      </c>
      <c r="AA2924">
        <v>0.99120620000000004</v>
      </c>
      <c r="AB2924">
        <v>27</v>
      </c>
      <c r="AC2924">
        <v>91.060199999999995</v>
      </c>
      <c r="AD2924">
        <v>3.6367349999999998</v>
      </c>
      <c r="AE2924">
        <v>-17.4972999999999</v>
      </c>
      <c r="AF2924">
        <v>12.292793021342799</v>
      </c>
      <c r="AG2924">
        <v>3.6367349999999998</v>
      </c>
      <c r="AH2924">
        <v>91.763892660411202</v>
      </c>
      <c r="AI2924">
        <v>87.750546796629607</v>
      </c>
      <c r="AJ2924">
        <v>82.370018804353606</v>
      </c>
      <c r="AK2924">
        <v>92.655008488031996</v>
      </c>
      <c r="AL2924">
        <v>86.078469756558107</v>
      </c>
      <c r="AM2924">
        <v>87.996032314038303</v>
      </c>
      <c r="AN2924">
        <v>1.0000000101739599</v>
      </c>
    </row>
    <row r="2925" spans="1:40" x14ac:dyDescent="0.25">
      <c r="A2925" t="str">
        <f>"20190312151043157"</f>
        <v>20190312151043157</v>
      </c>
      <c r="B2925" t="str">
        <f>"1552374643153493"</f>
        <v>1552374643153493</v>
      </c>
      <c r="C2925" t="s">
        <v>40</v>
      </c>
      <c r="D2925">
        <v>5.2952659999999998</v>
      </c>
      <c r="E2925">
        <v>0.53798199999999996</v>
      </c>
      <c r="F2925" t="s">
        <v>75</v>
      </c>
      <c r="G2925">
        <v>-347.15199999999999</v>
      </c>
      <c r="H2925">
        <v>4.3575530000000002</v>
      </c>
      <c r="I2925">
        <v>196.5051</v>
      </c>
      <c r="J2925">
        <v>-438.12209999999999</v>
      </c>
      <c r="K2925">
        <v>1.1109230000000001</v>
      </c>
      <c r="L2925">
        <v>213.97290000000001</v>
      </c>
      <c r="M2925">
        <v>0.99836219999999998</v>
      </c>
      <c r="N2925">
        <v>0</v>
      </c>
      <c r="O2925">
        <v>-5.5611639999999997E-2</v>
      </c>
      <c r="P2925">
        <v>0.99432489999999996</v>
      </c>
      <c r="Q2925">
        <v>5.567714E-2</v>
      </c>
      <c r="R2925">
        <v>-9.0656180000000003E-2</v>
      </c>
      <c r="S2925">
        <v>2.9592290000000001</v>
      </c>
      <c r="T2925">
        <v>0.105324</v>
      </c>
      <c r="U2925">
        <v>-0.56706239999999997</v>
      </c>
      <c r="V2925">
        <v>3.5087489999999999E-2</v>
      </c>
      <c r="W2925">
        <v>6.9140370000000007E-2</v>
      </c>
      <c r="X2925">
        <v>0.99698969999999998</v>
      </c>
      <c r="Y2925">
        <v>0.13323940000000001</v>
      </c>
      <c r="Z2925">
        <v>3.9130829999999998E-4</v>
      </c>
      <c r="AA2925">
        <v>0.99108379999999996</v>
      </c>
      <c r="AB2925">
        <v>27</v>
      </c>
      <c r="AC2925">
        <v>90.970100000000002</v>
      </c>
      <c r="AD2925">
        <v>3.2466300000000001</v>
      </c>
      <c r="AE2925">
        <v>-17.4678</v>
      </c>
      <c r="AF2925">
        <v>12.3661201031394</v>
      </c>
      <c r="AG2925">
        <v>3.2466300000000001</v>
      </c>
      <c r="AH2925">
        <v>91.688165936499104</v>
      </c>
      <c r="AI2925">
        <v>87.990215514270204</v>
      </c>
      <c r="AJ2925">
        <v>82.3187833073532</v>
      </c>
      <c r="AK2925">
        <v>92.575273726633796</v>
      </c>
      <c r="AL2925">
        <v>86.035385551267893</v>
      </c>
      <c r="AM2925">
        <v>87.9843967202725</v>
      </c>
      <c r="AN2925">
        <v>0.99999999231216297</v>
      </c>
    </row>
    <row r="2926" spans="1:40" x14ac:dyDescent="0.25">
      <c r="A2926" t="str">
        <f>"20190312151043180"</f>
        <v>20190312151043180</v>
      </c>
      <c r="B2926" t="str">
        <f>"1552374643173989"</f>
        <v>1552374643173989</v>
      </c>
      <c r="C2926" t="s">
        <v>40</v>
      </c>
      <c r="D2926">
        <v>5.3378670000000001</v>
      </c>
      <c r="E2926">
        <v>0.53831619999999902</v>
      </c>
      <c r="F2926" t="s">
        <v>75</v>
      </c>
      <c r="G2926">
        <v>-345.90410000000003</v>
      </c>
      <c r="H2926">
        <v>4.3652240000000004</v>
      </c>
      <c r="I2926">
        <v>196.0789</v>
      </c>
      <c r="J2926">
        <v>-437.85129999999998</v>
      </c>
      <c r="K2926">
        <v>1.1111059999999999</v>
      </c>
      <c r="L2926">
        <v>213.95920000000001</v>
      </c>
      <c r="M2926">
        <v>0.99843559999999998</v>
      </c>
      <c r="N2926">
        <v>0</v>
      </c>
      <c r="O2926">
        <v>-5.4278819999999998E-2</v>
      </c>
      <c r="P2926">
        <v>0.99414539999999996</v>
      </c>
      <c r="Q2926">
        <v>5.94207E-2</v>
      </c>
      <c r="R2926">
        <v>-9.0246519999999997E-2</v>
      </c>
      <c r="S2926">
        <v>2.9588930000000002</v>
      </c>
      <c r="T2926">
        <v>0.1044196</v>
      </c>
      <c r="U2926">
        <v>-0.5741425</v>
      </c>
      <c r="V2926">
        <v>3.5982559999999997E-2</v>
      </c>
      <c r="W2926">
        <v>7.2894539999999994E-2</v>
      </c>
      <c r="X2926">
        <v>0.99669030000000003</v>
      </c>
      <c r="Y2926">
        <v>0.1368666</v>
      </c>
      <c r="Z2926">
        <v>4.9774559999999995E-4</v>
      </c>
      <c r="AA2926">
        <v>0.99058939999999995</v>
      </c>
      <c r="AB2926">
        <v>27</v>
      </c>
      <c r="AC2926">
        <v>91.947199999999896</v>
      </c>
      <c r="AD2926">
        <v>3.2541180000000001</v>
      </c>
      <c r="AE2926">
        <v>-17.880299999999998</v>
      </c>
      <c r="AF2926">
        <v>12.847196068956199</v>
      </c>
      <c r="AG2926">
        <v>3.2541180000000001</v>
      </c>
      <c r="AH2926">
        <v>92.670394301647804</v>
      </c>
      <c r="AI2926">
        <v>88.007923187853393</v>
      </c>
      <c r="AJ2926">
        <v>82.1072087663605</v>
      </c>
      <c r="AK2926">
        <v>93.613256063524503</v>
      </c>
      <c r="AL2926">
        <v>85.819742691429894</v>
      </c>
      <c r="AM2926">
        <v>87.932403039159695</v>
      </c>
      <c r="AN2926">
        <v>0.99999995635002603</v>
      </c>
    </row>
    <row r="2927" spans="1:40" x14ac:dyDescent="0.25">
      <c r="A2927" t="str">
        <f>"20190312151043201"</f>
        <v>20190312151043201</v>
      </c>
      <c r="B2927" t="str">
        <f>"1552374643193509"</f>
        <v>1552374643193509</v>
      </c>
      <c r="C2927" t="s">
        <v>40</v>
      </c>
      <c r="D2927">
        <v>5.600212</v>
      </c>
      <c r="E2927">
        <v>0.53829399999999905</v>
      </c>
      <c r="F2927" t="s">
        <v>75</v>
      </c>
      <c r="G2927">
        <v>-347.33749999999998</v>
      </c>
      <c r="H2927">
        <v>4.4226539999999996</v>
      </c>
      <c r="I2927">
        <v>196.35470000000001</v>
      </c>
      <c r="J2927">
        <v>-437.59870000000001</v>
      </c>
      <c r="K2927">
        <v>1.1112610000000001</v>
      </c>
      <c r="L2927">
        <v>213.947</v>
      </c>
      <c r="M2927">
        <v>0.99851350000000005</v>
      </c>
      <c r="N2927">
        <v>0</v>
      </c>
      <c r="O2927">
        <v>-5.2826430000000001E-2</v>
      </c>
      <c r="P2927">
        <v>0.9940774</v>
      </c>
      <c r="Q2927">
        <v>6.1628450000000001E-2</v>
      </c>
      <c r="R2927">
        <v>-8.9511030000000005E-2</v>
      </c>
      <c r="S2927">
        <v>2.9589539999999999</v>
      </c>
      <c r="T2927">
        <v>0.1082593</v>
      </c>
      <c r="U2927">
        <v>-0.57550049999999997</v>
      </c>
      <c r="V2927">
        <v>3.6671429999999998E-2</v>
      </c>
      <c r="W2927">
        <v>7.5113360000000004E-2</v>
      </c>
      <c r="X2927">
        <v>0.99650050000000001</v>
      </c>
      <c r="Y2927">
        <v>0.13873579999999999</v>
      </c>
      <c r="Z2927">
        <v>6.0231650000000005E-4</v>
      </c>
      <c r="AA2927">
        <v>0.99032929999999997</v>
      </c>
      <c r="AB2927">
        <v>27</v>
      </c>
      <c r="AC2927">
        <v>90.261200000000002</v>
      </c>
      <c r="AD2927">
        <v>3.3113929999999998</v>
      </c>
      <c r="AE2927">
        <v>-17.592299999999899</v>
      </c>
      <c r="AF2927">
        <v>12.782550413670799</v>
      </c>
      <c r="AG2927">
        <v>3.3113929999999998</v>
      </c>
      <c r="AH2927">
        <v>90.946641410253207</v>
      </c>
      <c r="AI2927">
        <v>87.935043878197902</v>
      </c>
      <c r="AJ2927">
        <v>81.999485061732102</v>
      </c>
      <c r="AK2927">
        <v>91.900220361453293</v>
      </c>
      <c r="AL2927">
        <v>85.692264396430105</v>
      </c>
      <c r="AM2927">
        <v>87.892454189479295</v>
      </c>
      <c r="AN2927">
        <v>1.0000000285644901</v>
      </c>
    </row>
    <row r="2928" spans="1:40" x14ac:dyDescent="0.25">
      <c r="A2928" t="str">
        <f>"20190312151043224"</f>
        <v>20190312151043224</v>
      </c>
      <c r="B2928" t="str">
        <f>"1552374643214005"</f>
        <v>1552374643214005</v>
      </c>
      <c r="C2928" t="s">
        <v>40</v>
      </c>
      <c r="D2928">
        <v>5.5942410000000002</v>
      </c>
      <c r="E2928">
        <v>0.5385065</v>
      </c>
      <c r="F2928" t="s">
        <v>75</v>
      </c>
      <c r="G2928">
        <v>-347.25830000000002</v>
      </c>
      <c r="H2928">
        <v>4.4694560000000001</v>
      </c>
      <c r="I2928">
        <v>196.44569999999999</v>
      </c>
      <c r="J2928">
        <v>-437.32389999999998</v>
      </c>
      <c r="K2928">
        <v>1.1113959999999901</v>
      </c>
      <c r="L2928">
        <v>213.93430000000001</v>
      </c>
      <c r="M2928">
        <v>0.99860499999999996</v>
      </c>
      <c r="N2928">
        <v>0</v>
      </c>
      <c r="O2928">
        <v>-5.1066540000000001E-2</v>
      </c>
      <c r="P2928">
        <v>0.99433570000000004</v>
      </c>
      <c r="Q2928">
        <v>6.0865870000000002E-2</v>
      </c>
      <c r="R2928">
        <v>-8.7133340000000004E-2</v>
      </c>
      <c r="S2928">
        <v>2.9594420000000001</v>
      </c>
      <c r="T2928">
        <v>0.1100131</v>
      </c>
      <c r="U2928">
        <v>-0.57331849999999995</v>
      </c>
      <c r="V2928">
        <v>3.6020379999999998E-2</v>
      </c>
      <c r="W2928">
        <v>7.4360170000000003E-2</v>
      </c>
      <c r="X2928">
        <v>0.99658069999999999</v>
      </c>
      <c r="Y2928">
        <v>0.13974310000000001</v>
      </c>
      <c r="Z2928">
        <v>6.9512139999999996E-4</v>
      </c>
      <c r="AA2928">
        <v>0.9901875</v>
      </c>
      <c r="AB2928">
        <v>27</v>
      </c>
      <c r="AC2928">
        <v>90.065599999999904</v>
      </c>
      <c r="AD2928">
        <v>3.35806</v>
      </c>
      <c r="AE2928">
        <v>-17.488600000000002</v>
      </c>
      <c r="AF2928">
        <v>12.8488118480095</v>
      </c>
      <c r="AG2928">
        <v>3.35806</v>
      </c>
      <c r="AH2928">
        <v>90.719697816994099</v>
      </c>
      <c r="AI2928">
        <v>87.901048651223903</v>
      </c>
      <c r="AJ2928">
        <v>81.938701262100395</v>
      </c>
      <c r="AK2928">
        <v>91.686597193242307</v>
      </c>
      <c r="AL2928">
        <v>85.7355398992228</v>
      </c>
      <c r="AM2928">
        <v>87.930004323119704</v>
      </c>
      <c r="AN2928">
        <v>0.99999999713513099</v>
      </c>
    </row>
    <row r="2929" spans="1:40" x14ac:dyDescent="0.25">
      <c r="A2929" t="str">
        <f>"20190312151043247"</f>
        <v>20190312151043247</v>
      </c>
      <c r="B2929" t="str">
        <f>"1552374643243285"</f>
        <v>1552374643243285</v>
      </c>
      <c r="C2929" t="s">
        <v>40</v>
      </c>
      <c r="D2929">
        <v>5.402482</v>
      </c>
      <c r="E2929">
        <v>0.53864650000000003</v>
      </c>
      <c r="F2929" t="s">
        <v>75</v>
      </c>
      <c r="G2929">
        <v>-347.024</v>
      </c>
      <c r="H2929">
        <v>4.3351839999999999</v>
      </c>
      <c r="I2929">
        <v>196.61709999999999</v>
      </c>
      <c r="J2929">
        <v>-437.0598</v>
      </c>
      <c r="K2929">
        <v>1.1115029999999999</v>
      </c>
      <c r="L2929">
        <v>213.92269999999999</v>
      </c>
      <c r="M2929">
        <v>0.99869719999999995</v>
      </c>
      <c r="N2929">
        <v>0</v>
      </c>
      <c r="O2929">
        <v>-4.9231360000000002E-2</v>
      </c>
      <c r="P2929">
        <v>0.99463190000000001</v>
      </c>
      <c r="Q2929">
        <v>6.1006339999999999E-2</v>
      </c>
      <c r="R2929">
        <v>-8.3580539999999995E-2</v>
      </c>
      <c r="S2929">
        <v>2.9608460000000001</v>
      </c>
      <c r="T2929">
        <v>0.1057076</v>
      </c>
      <c r="U2929">
        <v>-0.56781009999999998</v>
      </c>
      <c r="V2929">
        <v>3.4272259999999999E-2</v>
      </c>
      <c r="W2929">
        <v>7.4503769999999997E-2</v>
      </c>
      <c r="X2929">
        <v>0.99663159999999895</v>
      </c>
      <c r="Y2929">
        <v>0.13970239999999901</v>
      </c>
      <c r="Z2929">
        <v>7.3169520000000005E-4</v>
      </c>
      <c r="AA2929">
        <v>0.9901932</v>
      </c>
      <c r="AB2929">
        <v>27</v>
      </c>
      <c r="AC2929">
        <v>90.035799999999995</v>
      </c>
      <c r="AD2929">
        <v>3.223681</v>
      </c>
      <c r="AE2929">
        <v>-17.305599999999998</v>
      </c>
      <c r="AF2929">
        <v>12.835758562175201</v>
      </c>
      <c r="AG2929">
        <v>3.223681</v>
      </c>
      <c r="AH2929">
        <v>90.666568348890905</v>
      </c>
      <c r="AI2929">
        <v>87.983774541307099</v>
      </c>
      <c r="AJ2929">
        <v>81.942126235588105</v>
      </c>
      <c r="AK2929">
        <v>91.627372729006694</v>
      </c>
      <c r="AL2929">
        <v>85.727289234948302</v>
      </c>
      <c r="AM2929">
        <v>88.030483514033193</v>
      </c>
      <c r="AN2929">
        <v>0.99999997283413899</v>
      </c>
    </row>
    <row r="2930" spans="1:40" x14ac:dyDescent="0.25">
      <c r="A2930" t="str">
        <f>"20190312151043268"</f>
        <v>20190312151043268</v>
      </c>
      <c r="B2930" t="str">
        <f>"1552374643263781"</f>
        <v>1552374643263781</v>
      </c>
      <c r="C2930" t="s">
        <v>40</v>
      </c>
      <c r="D2930">
        <v>5.371982</v>
      </c>
      <c r="E2930">
        <v>0.53906569999999898</v>
      </c>
      <c r="F2930" t="s">
        <v>75</v>
      </c>
      <c r="G2930">
        <v>-346.71910000000003</v>
      </c>
      <c r="H2930">
        <v>4.3128599999999997</v>
      </c>
      <c r="I2930">
        <v>196.89490000000001</v>
      </c>
      <c r="J2930">
        <v>-436.80270000000002</v>
      </c>
      <c r="K2930">
        <v>1.111577</v>
      </c>
      <c r="L2930">
        <v>213.91210000000001</v>
      </c>
      <c r="M2930">
        <v>0.99878900000000004</v>
      </c>
      <c r="N2930">
        <v>0</v>
      </c>
      <c r="O2930">
        <v>-4.7333880000000002E-2</v>
      </c>
      <c r="P2930">
        <v>0.99503920000000001</v>
      </c>
      <c r="Q2930">
        <v>5.9923659999999997E-2</v>
      </c>
      <c r="R2930">
        <v>-7.9412590000000005E-2</v>
      </c>
      <c r="S2930">
        <v>2.962799</v>
      </c>
      <c r="T2930">
        <v>0.1049939</v>
      </c>
      <c r="U2930">
        <v>-0.55844119999999997</v>
      </c>
      <c r="V2930">
        <v>3.1974420000000003E-2</v>
      </c>
      <c r="W2930">
        <v>7.3420990000000005E-2</v>
      </c>
      <c r="X2930">
        <v>0.99678829999999996</v>
      </c>
      <c r="Y2930">
        <v>0.13844110000000001</v>
      </c>
      <c r="Z2930">
        <v>7.7075229999999998E-4</v>
      </c>
      <c r="AA2930">
        <v>0.99037039999999998</v>
      </c>
      <c r="AB2930">
        <v>27</v>
      </c>
      <c r="AC2930">
        <v>90.083600000000004</v>
      </c>
      <c r="AD2930">
        <v>3.2012830000000001</v>
      </c>
      <c r="AE2930">
        <v>-17.017199999999999</v>
      </c>
      <c r="AF2930">
        <v>12.7182241939959</v>
      </c>
      <c r="AG2930">
        <v>3.2012830000000001</v>
      </c>
      <c r="AH2930">
        <v>90.677603961136001</v>
      </c>
      <c r="AI2930">
        <v>87.997652179084497</v>
      </c>
      <c r="AJ2930">
        <v>82.015913773696496</v>
      </c>
      <c r="AK2930">
        <v>91.6211181967752</v>
      </c>
      <c r="AL2930">
        <v>85.789498299199195</v>
      </c>
      <c r="AM2930">
        <v>88.162727879886305</v>
      </c>
      <c r="AN2930">
        <v>0.99999996016190196</v>
      </c>
    </row>
    <row r="2931" spans="1:40" x14ac:dyDescent="0.25">
      <c r="A2931" t="str">
        <f>"20190312151043292"</f>
        <v>20190312151043292</v>
      </c>
      <c r="B2931" t="str">
        <f>"1552374643283301"</f>
        <v>1552374643283301</v>
      </c>
      <c r="C2931" t="s">
        <v>40</v>
      </c>
      <c r="D2931">
        <v>5.4569150000000004</v>
      </c>
      <c r="E2931">
        <v>0.53924719999999904</v>
      </c>
      <c r="F2931" t="s">
        <v>75</v>
      </c>
      <c r="G2931">
        <v>-346.40839999999997</v>
      </c>
      <c r="H2931">
        <v>4.2630710000000001</v>
      </c>
      <c r="I2931">
        <v>197.16810000000001</v>
      </c>
      <c r="J2931">
        <v>-436.53160000000003</v>
      </c>
      <c r="K2931">
        <v>1.111637</v>
      </c>
      <c r="L2931">
        <v>213.9015</v>
      </c>
      <c r="M2931">
        <v>0.99888569999999999</v>
      </c>
      <c r="N2931">
        <v>0</v>
      </c>
      <c r="O2931">
        <v>-4.5246910000000001E-2</v>
      </c>
      <c r="P2931">
        <v>0.99551339999999999</v>
      </c>
      <c r="Q2931">
        <v>5.8241609999999999E-2</v>
      </c>
      <c r="R2931">
        <v>-7.4573230000000004E-2</v>
      </c>
      <c r="S2931">
        <v>2.9649049999999999</v>
      </c>
      <c r="T2931">
        <v>0.1033708</v>
      </c>
      <c r="U2931">
        <v>-0.54919430000000002</v>
      </c>
      <c r="V2931">
        <v>2.9197359999999999E-2</v>
      </c>
      <c r="W2931">
        <v>7.1735989999999999E-2</v>
      </c>
      <c r="X2931">
        <v>0.9969962</v>
      </c>
      <c r="Y2931">
        <v>0.13739879999999999</v>
      </c>
      <c r="Z2931">
        <v>8.1241009999999999E-4</v>
      </c>
      <c r="AA2931">
        <v>0.99051549999999999</v>
      </c>
      <c r="AB2931">
        <v>27</v>
      </c>
      <c r="AC2931">
        <v>90.123199999999997</v>
      </c>
      <c r="AD2931">
        <v>3.1514340000000001</v>
      </c>
      <c r="AE2931">
        <v>-16.7333999999999</v>
      </c>
      <c r="AF2931">
        <v>12.623174809267599</v>
      </c>
      <c r="AG2931">
        <v>3.1514340000000001</v>
      </c>
      <c r="AH2931">
        <v>90.680898767702303</v>
      </c>
      <c r="AI2931">
        <v>88.028594310968302</v>
      </c>
      <c r="AJ2931">
        <v>82.075106003940306</v>
      </c>
      <c r="AK2931">
        <v>91.6095054011315</v>
      </c>
      <c r="AL2931">
        <v>85.886297073652401</v>
      </c>
      <c r="AM2931">
        <v>88.322553779327293</v>
      </c>
      <c r="AN2931">
        <v>0.99999998045334404</v>
      </c>
    </row>
    <row r="2932" spans="1:40" x14ac:dyDescent="0.25">
      <c r="A2932" t="str">
        <f>"20190312151043316"</f>
        <v>20190312151043316</v>
      </c>
      <c r="B2932" t="str">
        <f>"1552374643303797"</f>
        <v>1552374643303797</v>
      </c>
      <c r="C2932" t="s">
        <v>40</v>
      </c>
      <c r="D2932">
        <v>4.8284079999999996</v>
      </c>
      <c r="E2932">
        <v>0.53920610000000002</v>
      </c>
      <c r="F2932" t="s">
        <v>75</v>
      </c>
      <c r="G2932">
        <v>-346.57990000000001</v>
      </c>
      <c r="H2932">
        <v>4.1856460000000002</v>
      </c>
      <c r="I2932">
        <v>197.6447</v>
      </c>
      <c r="J2932">
        <v>-436.24829999999997</v>
      </c>
      <c r="K2932">
        <v>1.111677</v>
      </c>
      <c r="L2932">
        <v>213.89109999999999</v>
      </c>
      <c r="M2932">
        <v>0.9989846</v>
      </c>
      <c r="N2932">
        <v>0</v>
      </c>
      <c r="O2932">
        <v>-4.3007080000000003E-2</v>
      </c>
      <c r="P2932">
        <v>0.99602999999999997</v>
      </c>
      <c r="Q2932">
        <v>5.6536450000000002E-2</v>
      </c>
      <c r="R2932">
        <v>-6.8761039999999995E-2</v>
      </c>
      <c r="S2932">
        <v>2.9673769999999999</v>
      </c>
      <c r="T2932">
        <v>0.1014099</v>
      </c>
      <c r="U2932">
        <v>-0.53628540000000002</v>
      </c>
      <c r="V2932">
        <v>2.560364E-2</v>
      </c>
      <c r="W2932">
        <v>7.0023710000000003E-2</v>
      </c>
      <c r="X2932">
        <v>0.99721669999999996</v>
      </c>
      <c r="Y2932">
        <v>0.13530410000000001</v>
      </c>
      <c r="Z2932">
        <v>8.3684220000000004E-4</v>
      </c>
      <c r="AA2932">
        <v>0.99080380000000001</v>
      </c>
      <c r="AB2932">
        <v>27</v>
      </c>
      <c r="AC2932">
        <v>89.668399999999906</v>
      </c>
      <c r="AD2932">
        <v>3.073969</v>
      </c>
      <c r="AE2932">
        <v>-16.246399999999898</v>
      </c>
      <c r="AF2932">
        <v>12.360577388891899</v>
      </c>
      <c r="AG2932">
        <v>3.073969</v>
      </c>
      <c r="AH2932">
        <v>90.181579242085206</v>
      </c>
      <c r="AI2932">
        <v>88.065816344653499</v>
      </c>
      <c r="AJ2932">
        <v>82.195486378800595</v>
      </c>
      <c r="AK2932">
        <v>91.076618258454403</v>
      </c>
      <c r="AL2932">
        <v>85.984650983659094</v>
      </c>
      <c r="AM2932">
        <v>88.529248166629301</v>
      </c>
      <c r="AN2932">
        <v>1.0000000065511501</v>
      </c>
    </row>
    <row r="2933" spans="1:40" x14ac:dyDescent="0.25">
      <c r="A2933" t="str">
        <f>"20190312151043336"</f>
        <v>20190312151043336</v>
      </c>
      <c r="B2933" t="str">
        <f>"1552374643334053"</f>
        <v>1552374643334053</v>
      </c>
      <c r="C2933" t="s">
        <v>40</v>
      </c>
      <c r="D2933">
        <v>5.4908340000000004</v>
      </c>
      <c r="E2933">
        <v>0.51669779999999998</v>
      </c>
      <c r="F2933" t="s">
        <v>75</v>
      </c>
      <c r="G2933">
        <v>-345.84649999999999</v>
      </c>
      <c r="H2933">
        <v>4.1734090000000004</v>
      </c>
      <c r="I2933">
        <v>198.11320000000001</v>
      </c>
      <c r="J2933">
        <v>-435.99700000000001</v>
      </c>
      <c r="K2933">
        <v>1.111693</v>
      </c>
      <c r="L2933">
        <v>213.88249999999999</v>
      </c>
      <c r="M2933">
        <v>0.99906950000000005</v>
      </c>
      <c r="N2933">
        <v>0</v>
      </c>
      <c r="O2933">
        <v>-4.0989589999999999E-2</v>
      </c>
      <c r="P2933">
        <v>0.99640660000000003</v>
      </c>
      <c r="Q2933">
        <v>5.5369500000000002E-2</v>
      </c>
      <c r="R2933">
        <v>-6.4098379999999996E-2</v>
      </c>
      <c r="S2933">
        <v>2.970459</v>
      </c>
      <c r="T2933">
        <v>0.1006064</v>
      </c>
      <c r="U2933">
        <v>-0.51843260000000002</v>
      </c>
      <c r="V2933">
        <v>2.294448E-2</v>
      </c>
      <c r="W2933">
        <v>6.88502E-2</v>
      </c>
      <c r="X2933">
        <v>0.99736320000000001</v>
      </c>
      <c r="Y2933">
        <v>0.131353</v>
      </c>
      <c r="Z2933">
        <v>8.3100259999999897E-4</v>
      </c>
      <c r="AA2933">
        <v>0.99133530000000003</v>
      </c>
      <c r="AB2933">
        <v>26</v>
      </c>
      <c r="AC2933">
        <v>90.150499999999894</v>
      </c>
      <c r="AD2933">
        <v>3.0617160000000001</v>
      </c>
      <c r="AE2933">
        <v>-15.7692999999999</v>
      </c>
      <c r="AF2933">
        <v>12.0469971551576</v>
      </c>
      <c r="AG2933">
        <v>3.0617160000000001</v>
      </c>
      <c r="AH2933">
        <v>90.619735984525207</v>
      </c>
      <c r="AI2933">
        <v>88.081780512831301</v>
      </c>
      <c r="AJ2933">
        <v>82.427494590175101</v>
      </c>
      <c r="AK2933">
        <v>91.468250203150205</v>
      </c>
      <c r="AL2933">
        <v>86.052051112029005</v>
      </c>
      <c r="AM2933">
        <v>88.682135028181193</v>
      </c>
      <c r="AN2933">
        <v>1.00000007595837</v>
      </c>
    </row>
    <row r="2934" spans="1:40" x14ac:dyDescent="0.25">
      <c r="A2934" t="str">
        <f>"20190312151043358"</f>
        <v>20190312151043358</v>
      </c>
      <c r="B2934" t="str">
        <f>"1552374643353574"</f>
        <v>1552374643353574</v>
      </c>
      <c r="C2934" t="s">
        <v>40</v>
      </c>
      <c r="D2934">
        <v>5.610671</v>
      </c>
      <c r="E2934">
        <v>0.48003240000000003</v>
      </c>
      <c r="F2934" t="s">
        <v>69</v>
      </c>
      <c r="G2934">
        <v>-169.4102</v>
      </c>
      <c r="H2934">
        <v>29.624079999999999</v>
      </c>
      <c r="I2934">
        <v>184.7869</v>
      </c>
      <c r="J2934">
        <v>-435.74700000000001</v>
      </c>
      <c r="K2934">
        <v>1.1116980000000001</v>
      </c>
      <c r="L2934">
        <v>213.87450000000001</v>
      </c>
      <c r="M2934">
        <v>0.99915050000000005</v>
      </c>
      <c r="N2934">
        <v>0</v>
      </c>
      <c r="O2934">
        <v>-3.896546E-2</v>
      </c>
      <c r="P2934">
        <v>0.99675040000000004</v>
      </c>
      <c r="Q2934">
        <v>5.3818709999999999E-2</v>
      </c>
      <c r="R2934">
        <v>-5.9939439999999997E-2</v>
      </c>
      <c r="S2934">
        <v>2.972321</v>
      </c>
      <c r="T2934">
        <v>0.31790040000000003</v>
      </c>
      <c r="U2934">
        <v>-0.32440190000000002</v>
      </c>
      <c r="V2934">
        <v>2.0801090000000001E-2</v>
      </c>
      <c r="W2934">
        <v>6.7293130000000007E-2</v>
      </c>
      <c r="X2934">
        <v>0.99751639999999997</v>
      </c>
      <c r="Y2934">
        <v>6.9503319999999993E-2</v>
      </c>
      <c r="Z2934">
        <v>-4.4547599999999999E-4</v>
      </c>
      <c r="AA2934">
        <v>0.99758159999999896</v>
      </c>
      <c r="AB2934">
        <v>26</v>
      </c>
      <c r="AC2934">
        <v>266.33679999999902</v>
      </c>
      <c r="AD2934">
        <v>28.512381999999999</v>
      </c>
      <c r="AE2934">
        <v>-29.087599999999998</v>
      </c>
      <c r="AF2934">
        <v>18.477371344088699</v>
      </c>
      <c r="AG2934">
        <v>28.512381999999999</v>
      </c>
      <c r="AH2934">
        <v>264.27497874005599</v>
      </c>
      <c r="AI2934">
        <v>83.857111231012496</v>
      </c>
      <c r="AJ2934">
        <v>86.000547008651296</v>
      </c>
      <c r="AK2934">
        <v>266.45005829828301</v>
      </c>
      <c r="AL2934">
        <v>86.141471814725506</v>
      </c>
      <c r="AM2934">
        <v>88.805391108629294</v>
      </c>
      <c r="AN2934">
        <v>1.0000000094796699</v>
      </c>
    </row>
    <row r="2935" spans="1:40" x14ac:dyDescent="0.25">
      <c r="A2935" t="str">
        <f>"20190312151043379"</f>
        <v>20190312151043379</v>
      </c>
      <c r="B2935" t="str">
        <f>"1552374643374069"</f>
        <v>1552374643374069</v>
      </c>
      <c r="C2935" t="s">
        <v>40</v>
      </c>
      <c r="D2935">
        <v>5.5796460000000003</v>
      </c>
      <c r="E2935">
        <v>0.47743780000000002</v>
      </c>
      <c r="F2935" t="s">
        <v>70</v>
      </c>
      <c r="G2935">
        <v>-107.39749999999999</v>
      </c>
      <c r="H2935">
        <v>48.09366</v>
      </c>
      <c r="I2935">
        <v>211.71639999999999</v>
      </c>
      <c r="J2935">
        <v>-435.49</v>
      </c>
      <c r="K2935">
        <v>1.1116870000000001</v>
      </c>
      <c r="L2935">
        <v>213.86680000000001</v>
      </c>
      <c r="M2935">
        <v>0.99923039999999996</v>
      </c>
      <c r="N2935">
        <v>0</v>
      </c>
      <c r="O2935">
        <v>-3.6860070000000002E-2</v>
      </c>
      <c r="P2935">
        <v>0.99718589999999996</v>
      </c>
      <c r="Q2935">
        <v>4.9631729999999999E-2</v>
      </c>
      <c r="R2935">
        <v>-5.6190280000000002E-2</v>
      </c>
      <c r="S2935">
        <v>2.985535</v>
      </c>
      <c r="T2935">
        <v>0.42718630000000002</v>
      </c>
      <c r="U2935">
        <v>-1.9622799999999999E-2</v>
      </c>
      <c r="V2935">
        <v>1.9156039999999999E-2</v>
      </c>
      <c r="W2935">
        <v>6.3103039999999999E-2</v>
      </c>
      <c r="X2935">
        <v>0.99782320000000002</v>
      </c>
      <c r="Y2935">
        <v>-2.9617669999999999E-2</v>
      </c>
      <c r="Z2935">
        <v>-7.3549449999999999E-3</v>
      </c>
      <c r="AA2935">
        <v>0.99953420000000004</v>
      </c>
      <c r="AB2935">
        <v>26</v>
      </c>
      <c r="AC2935">
        <v>328.09249999999997</v>
      </c>
      <c r="AD2935">
        <v>46.981973000000004</v>
      </c>
      <c r="AE2935">
        <v>-2.1504000000000101</v>
      </c>
      <c r="AF2935">
        <v>-9.7458280528440593</v>
      </c>
      <c r="AG2935">
        <v>46.981973000000004</v>
      </c>
      <c r="AH2935">
        <v>321.359425719699</v>
      </c>
      <c r="AI2935">
        <v>81.686189282457505</v>
      </c>
      <c r="AJ2935">
        <v>91.737069698742403</v>
      </c>
      <c r="AK2935">
        <v>324.92178666611898</v>
      </c>
      <c r="AL2935">
        <v>86.382058471271606</v>
      </c>
      <c r="AM2935">
        <v>88.900180476584595</v>
      </c>
      <c r="AN2935">
        <v>1.00000004299198</v>
      </c>
    </row>
    <row r="2936" spans="1:40" x14ac:dyDescent="0.25">
      <c r="A2936" t="str">
        <f>"20190312151043402"</f>
        <v>20190312151043402</v>
      </c>
      <c r="B2936" t="str">
        <f>"1552374643393589"</f>
        <v>1552374643393589</v>
      </c>
      <c r="C2936" t="s">
        <v>40</v>
      </c>
      <c r="D2936">
        <v>5.5115730000000003</v>
      </c>
      <c r="E2936">
        <v>0.47789239999999999</v>
      </c>
      <c r="F2936" t="s">
        <v>70</v>
      </c>
      <c r="G2936">
        <v>-107.39749999999999</v>
      </c>
      <c r="H2936">
        <v>46.330410000000001</v>
      </c>
      <c r="I2936">
        <v>215.21530000000001</v>
      </c>
      <c r="J2936">
        <v>-435.2244</v>
      </c>
      <c r="K2936">
        <v>1.1116809999999999</v>
      </c>
      <c r="L2936">
        <v>213.8595</v>
      </c>
      <c r="M2936">
        <v>0.99930890000000006</v>
      </c>
      <c r="N2936">
        <v>0</v>
      </c>
      <c r="O2936">
        <v>-3.4665149999999999E-2</v>
      </c>
      <c r="P2936">
        <v>0.99762229999999996</v>
      </c>
      <c r="Q2936">
        <v>4.4523149999999997E-2</v>
      </c>
      <c r="R2936">
        <v>-5.2609320000000001E-2</v>
      </c>
      <c r="S2936">
        <v>2.9886469999999998</v>
      </c>
      <c r="T2936">
        <v>0.41190510000000002</v>
      </c>
      <c r="U2936">
        <v>1.228333E-2</v>
      </c>
      <c r="V2936">
        <v>1.7773250000000001E-2</v>
      </c>
      <c r="W2936">
        <v>5.7993589999999998E-2</v>
      </c>
      <c r="X2936">
        <v>0.99815880000000001</v>
      </c>
      <c r="Y2936">
        <v>-3.8087799999999998E-2</v>
      </c>
      <c r="Z2936">
        <v>-7.3672959999999997E-3</v>
      </c>
      <c r="AA2936">
        <v>0.99924729999999995</v>
      </c>
      <c r="AB2936">
        <v>26</v>
      </c>
      <c r="AC2936">
        <v>327.82690000000002</v>
      </c>
      <c r="AD2936">
        <v>45.218728999999897</v>
      </c>
      <c r="AE2936">
        <v>1.3558000000000101</v>
      </c>
      <c r="AF2936">
        <v>-12.482685324548401</v>
      </c>
      <c r="AG2936">
        <v>45.218728999999897</v>
      </c>
      <c r="AH2936">
        <v>321.46671022776098</v>
      </c>
      <c r="AI2936">
        <v>81.999042679572597</v>
      </c>
      <c r="AJ2936">
        <v>92.223701633237894</v>
      </c>
      <c r="AK2936">
        <v>324.87135403101701</v>
      </c>
      <c r="AL2936">
        <v>86.675346889445294</v>
      </c>
      <c r="AM2936">
        <v>88.979897175373296</v>
      </c>
      <c r="AN2936">
        <v>1.00000006745704</v>
      </c>
    </row>
    <row r="2937" spans="1:40" x14ac:dyDescent="0.25">
      <c r="A2937" t="str">
        <f>"20190312151043425"</f>
        <v>20190312151043425</v>
      </c>
      <c r="B2937" t="str">
        <f>"1552374643414085"</f>
        <v>1552374643414085</v>
      </c>
      <c r="C2937" t="s">
        <v>40</v>
      </c>
      <c r="D2937">
        <v>5.4535650000000002</v>
      </c>
      <c r="E2937">
        <v>0.47829660000000002</v>
      </c>
      <c r="F2937" t="s">
        <v>70</v>
      </c>
      <c r="G2937">
        <v>-107.39749999999999</v>
      </c>
      <c r="H2937">
        <v>44.014699999999998</v>
      </c>
      <c r="I2937">
        <v>215.9486</v>
      </c>
      <c r="J2937">
        <v>-434.95960000000002</v>
      </c>
      <c r="K2937">
        <v>1.111694</v>
      </c>
      <c r="L2937">
        <v>213.8528</v>
      </c>
      <c r="M2937">
        <v>0.99938360000000004</v>
      </c>
      <c r="N2937">
        <v>0</v>
      </c>
      <c r="O2937">
        <v>-3.2439610000000001E-2</v>
      </c>
      <c r="P2937">
        <v>0.9978051</v>
      </c>
      <c r="Q2937">
        <v>4.3646440000000002E-2</v>
      </c>
      <c r="R2937">
        <v>-4.9798809999999999E-2</v>
      </c>
      <c r="S2937">
        <v>2.9906619999999999</v>
      </c>
      <c r="T2937">
        <v>0.39139119999999999</v>
      </c>
      <c r="U2937">
        <v>1.9058229999999999E-2</v>
      </c>
      <c r="V2937">
        <v>1.7183170000000001E-2</v>
      </c>
      <c r="W2937">
        <v>5.711575E-2</v>
      </c>
      <c r="X2937">
        <v>0.99821970000000004</v>
      </c>
      <c r="Y2937">
        <v>-3.8208569999999997E-2</v>
      </c>
      <c r="Z2937">
        <v>-6.7168310000000004E-3</v>
      </c>
      <c r="AA2937">
        <v>0.9992472</v>
      </c>
      <c r="AB2937">
        <v>26</v>
      </c>
      <c r="AC2937">
        <v>327.56209999999999</v>
      </c>
      <c r="AD2937">
        <v>42.903005999999998</v>
      </c>
      <c r="AE2937">
        <v>2.0957999999999899</v>
      </c>
      <c r="AF2937">
        <v>-12.5070914068327</v>
      </c>
      <c r="AG2937">
        <v>42.903005999999998</v>
      </c>
      <c r="AH2937">
        <v>321.80143414802399</v>
      </c>
      <c r="AI2937">
        <v>82.411692752273595</v>
      </c>
      <c r="AJ2937">
        <v>92.225729841793395</v>
      </c>
      <c r="AK2937">
        <v>324.88960937373702</v>
      </c>
      <c r="AL2937">
        <v>86.725726770875198</v>
      </c>
      <c r="AM2937">
        <v>89.013818407107195</v>
      </c>
      <c r="AN2937">
        <v>1.0000000198487</v>
      </c>
    </row>
    <row r="2938" spans="1:40" x14ac:dyDescent="0.25">
      <c r="A2938" t="str">
        <f>"20190312151043448"</f>
        <v>20190312151043448</v>
      </c>
      <c r="B2938" t="str">
        <f>"1552374643443365"</f>
        <v>1552374643443365</v>
      </c>
      <c r="C2938" t="s">
        <v>40</v>
      </c>
      <c r="D2938">
        <v>5.5881369999999997</v>
      </c>
      <c r="E2938">
        <v>0.47903289999999998</v>
      </c>
      <c r="F2938" t="s">
        <v>70</v>
      </c>
      <c r="G2938">
        <v>-107.39749999999999</v>
      </c>
      <c r="H2938">
        <v>43.145470000000003</v>
      </c>
      <c r="I2938">
        <v>216.48650000000001</v>
      </c>
      <c r="J2938">
        <v>-434.69549999999998</v>
      </c>
      <c r="K2938">
        <v>1.111712</v>
      </c>
      <c r="L2938">
        <v>213.8468</v>
      </c>
      <c r="M2938">
        <v>0.99945479999999998</v>
      </c>
      <c r="N2938">
        <v>0</v>
      </c>
      <c r="O2938">
        <v>-3.0164090000000001E-2</v>
      </c>
      <c r="P2938">
        <v>0.99796430000000003</v>
      </c>
      <c r="Q2938">
        <v>4.292812E-2</v>
      </c>
      <c r="R2938">
        <v>-4.7167870000000001E-2</v>
      </c>
      <c r="S2938">
        <v>2.9909669999999999</v>
      </c>
      <c r="T2938">
        <v>0.3838105</v>
      </c>
      <c r="U2938">
        <v>2.4047849999999999E-2</v>
      </c>
      <c r="V2938">
        <v>1.6820970000000001E-2</v>
      </c>
      <c r="W2938">
        <v>5.6397839999999998E-2</v>
      </c>
      <c r="X2938">
        <v>0.9982666</v>
      </c>
      <c r="Y2938">
        <v>-3.764609E-2</v>
      </c>
      <c r="Z2938">
        <v>-6.2604430000000001E-3</v>
      </c>
      <c r="AA2938">
        <v>0.99927149999999998</v>
      </c>
      <c r="AB2938">
        <v>26</v>
      </c>
      <c r="AC2938">
        <v>327.298</v>
      </c>
      <c r="AD2938">
        <v>42.033757999999999</v>
      </c>
      <c r="AE2938">
        <v>2.6396999999999999</v>
      </c>
      <c r="AF2938">
        <v>-12.309030395610399</v>
      </c>
      <c r="AG2938">
        <v>42.033757999999999</v>
      </c>
      <c r="AH2938">
        <v>321.76279647533198</v>
      </c>
      <c r="AI2938">
        <v>82.562643567073096</v>
      </c>
      <c r="AJ2938">
        <v>92.190780808549306</v>
      </c>
      <c r="AK2938">
        <v>324.730112919188</v>
      </c>
      <c r="AL2938">
        <v>86.766926115437997</v>
      </c>
      <c r="AM2938">
        <v>89.034647267701601</v>
      </c>
      <c r="AN2938">
        <v>0.99999993303198098</v>
      </c>
    </row>
    <row r="2939" spans="1:40" x14ac:dyDescent="0.25">
      <c r="A2939" t="str">
        <f>"20190312151043469"</f>
        <v>20190312151043469</v>
      </c>
      <c r="B2939" t="str">
        <f>"1552374643463861"</f>
        <v>1552374643463861</v>
      </c>
      <c r="C2939" t="s">
        <v>40</v>
      </c>
      <c r="D2939">
        <v>5.5896359999999996</v>
      </c>
      <c r="E2939">
        <v>0.47966750000000002</v>
      </c>
      <c r="F2939" t="s">
        <v>70</v>
      </c>
      <c r="G2939">
        <v>-107.39749999999999</v>
      </c>
      <c r="H2939">
        <v>41.81991</v>
      </c>
      <c r="I2939">
        <v>216.7251</v>
      </c>
      <c r="J2939">
        <v>-434.43869999999998</v>
      </c>
      <c r="K2939">
        <v>1.1117539999999999</v>
      </c>
      <c r="L2939">
        <v>213.8416</v>
      </c>
      <c r="M2939">
        <v>0.99952110000000005</v>
      </c>
      <c r="N2939">
        <v>0</v>
      </c>
      <c r="O2939">
        <v>-2.7884039999999999E-2</v>
      </c>
      <c r="P2939">
        <v>0.99810469999999896</v>
      </c>
      <c r="Q2939">
        <v>4.2485450000000001E-2</v>
      </c>
      <c r="R2939">
        <v>-4.4519580000000003E-2</v>
      </c>
      <c r="S2939">
        <v>2.991333</v>
      </c>
      <c r="T2939">
        <v>0.3720521</v>
      </c>
      <c r="U2939">
        <v>2.630615E-2</v>
      </c>
      <c r="V2939">
        <v>1.6444500000000001E-2</v>
      </c>
      <c r="W2939">
        <v>5.5956510000000001E-2</v>
      </c>
      <c r="X2939">
        <v>0.99829780000000001</v>
      </c>
      <c r="Y2939">
        <v>-3.6182239999999997E-2</v>
      </c>
      <c r="Z2939">
        <v>-5.6962640000000004E-3</v>
      </c>
      <c r="AA2939">
        <v>0.99932900000000002</v>
      </c>
      <c r="AB2939">
        <v>26</v>
      </c>
      <c r="AC2939">
        <v>327.0412</v>
      </c>
      <c r="AD2939">
        <v>40.708156000000002</v>
      </c>
      <c r="AE2939">
        <v>2.88349999999999</v>
      </c>
      <c r="AF2939">
        <v>-11.819317666930401</v>
      </c>
      <c r="AG2939">
        <v>40.708156000000002</v>
      </c>
      <c r="AH2939">
        <v>321.84735040010401</v>
      </c>
      <c r="AI2939">
        <v>82.796152371958001</v>
      </c>
      <c r="AJ2939">
        <v>92.103148714474003</v>
      </c>
      <c r="AK2939">
        <v>324.62681219301498</v>
      </c>
      <c r="AL2939">
        <v>86.792252754124902</v>
      </c>
      <c r="AM2939">
        <v>89.056278357266706</v>
      </c>
      <c r="AN2939">
        <v>1.0000000250382299</v>
      </c>
    </row>
    <row r="2940" spans="1:40" x14ac:dyDescent="0.25">
      <c r="A2940" t="str">
        <f>"20190312151043493"</f>
        <v>20190312151043493</v>
      </c>
      <c r="B2940" t="str">
        <f>"1552374643483381"</f>
        <v>1552374643483381</v>
      </c>
      <c r="C2940" t="s">
        <v>40</v>
      </c>
      <c r="D2940">
        <v>5.5400229999999997</v>
      </c>
      <c r="E2940">
        <v>0.4802614</v>
      </c>
      <c r="F2940" t="s">
        <v>70</v>
      </c>
      <c r="G2940">
        <v>-107.39749999999999</v>
      </c>
      <c r="H2940">
        <v>40.810690000000001</v>
      </c>
      <c r="I2940">
        <v>216.9727</v>
      </c>
      <c r="J2940">
        <v>-434.17059999999998</v>
      </c>
      <c r="K2940">
        <v>1.1118129999999999</v>
      </c>
      <c r="L2940">
        <v>213.83690000000001</v>
      </c>
      <c r="M2940">
        <v>0.99958659999999999</v>
      </c>
      <c r="N2940">
        <v>0</v>
      </c>
      <c r="O2940">
        <v>-2.5426540000000001E-2</v>
      </c>
      <c r="P2940">
        <v>0.99818470000000004</v>
      </c>
      <c r="Q2940">
        <v>4.3588399999999999E-2</v>
      </c>
      <c r="R2940">
        <v>-4.1563360000000001E-2</v>
      </c>
      <c r="S2940">
        <v>2.9915159999999998</v>
      </c>
      <c r="T2940">
        <v>0.36313519999999999</v>
      </c>
      <c r="U2940">
        <v>2.864075E-2</v>
      </c>
      <c r="V2940">
        <v>1.593133E-2</v>
      </c>
      <c r="W2940">
        <v>5.7059100000000001E-2</v>
      </c>
      <c r="X2940">
        <v>0.99824369999999996</v>
      </c>
      <c r="Y2940">
        <v>-3.4557820000000003E-2</v>
      </c>
      <c r="Z2940">
        <v>-5.1649909999999999E-3</v>
      </c>
      <c r="AA2940">
        <v>0.99938939999999998</v>
      </c>
      <c r="AB2940">
        <v>26</v>
      </c>
      <c r="AC2940">
        <v>326.7731</v>
      </c>
      <c r="AD2940">
        <v>39.698877000000003</v>
      </c>
      <c r="AE2940">
        <v>3.1357999999999802</v>
      </c>
      <c r="AF2940">
        <v>-11.2778071947633</v>
      </c>
      <c r="AG2940">
        <v>39.698877000000003</v>
      </c>
      <c r="AH2940">
        <v>321.83804731812501</v>
      </c>
      <c r="AI2940">
        <v>82.972329357766895</v>
      </c>
      <c r="AJ2940">
        <v>92.006930099669901</v>
      </c>
      <c r="AK2940">
        <v>324.47329392683002</v>
      </c>
      <c r="AL2940">
        <v>86.728977867319998</v>
      </c>
      <c r="AM2940">
        <v>89.085673682716404</v>
      </c>
      <c r="AN2940">
        <v>1.0000000163790299</v>
      </c>
    </row>
    <row r="2941" spans="1:40" x14ac:dyDescent="0.25">
      <c r="A2941" t="str">
        <f>"20190312151043516"</f>
        <v>20190312151043516</v>
      </c>
      <c r="B2941" t="str">
        <f>"1552374643513637"</f>
        <v>1552374643513637</v>
      </c>
      <c r="C2941" t="s">
        <v>40</v>
      </c>
      <c r="D2941">
        <v>5.5881910000000001</v>
      </c>
      <c r="E2941">
        <v>0.48074729999999999</v>
      </c>
      <c r="F2941" t="s">
        <v>70</v>
      </c>
      <c r="G2941">
        <v>-107.39749999999999</v>
      </c>
      <c r="H2941">
        <v>40.256129999999999</v>
      </c>
      <c r="I2941">
        <v>217.42750000000001</v>
      </c>
      <c r="J2941">
        <v>-433.89949999999999</v>
      </c>
      <c r="K2941">
        <v>1.1118729999999999</v>
      </c>
      <c r="L2941">
        <v>213.8329</v>
      </c>
      <c r="M2941">
        <v>0.9996486</v>
      </c>
      <c r="N2941">
        <v>0</v>
      </c>
      <c r="O2941">
        <v>-2.2861300000000001E-2</v>
      </c>
      <c r="P2941">
        <v>0.99831809999999999</v>
      </c>
      <c r="Q2941">
        <v>4.3169109999999997E-2</v>
      </c>
      <c r="R2941">
        <v>-3.8700499999999999E-2</v>
      </c>
      <c r="S2941">
        <v>2.9912109999999998</v>
      </c>
      <c r="T2941">
        <v>0.3583189</v>
      </c>
      <c r="U2941">
        <v>3.2867430000000003E-2</v>
      </c>
      <c r="V2941">
        <v>1.5624529999999999E-2</v>
      </c>
      <c r="W2941">
        <v>5.6641599999999903E-2</v>
      </c>
      <c r="X2941">
        <v>0.9982723</v>
      </c>
      <c r="Y2941">
        <v>-3.3443929999999997E-2</v>
      </c>
      <c r="Z2941">
        <v>-4.7248230000000004E-3</v>
      </c>
      <c r="AA2941">
        <v>0.99942940000000002</v>
      </c>
      <c r="AB2941">
        <v>26</v>
      </c>
      <c r="AC2941">
        <v>326.50200000000001</v>
      </c>
      <c r="AD2941">
        <v>39.144257000000003</v>
      </c>
      <c r="AE2941">
        <v>3.59460000000001</v>
      </c>
      <c r="AF2941">
        <v>-10.9019122314689</v>
      </c>
      <c r="AG2941">
        <v>39.144257000000003</v>
      </c>
      <c r="AH2941">
        <v>321.71089630163698</v>
      </c>
      <c r="AI2941">
        <v>83.066563740212004</v>
      </c>
      <c r="AJ2941">
        <v>91.940856316037994</v>
      </c>
      <c r="AK2941">
        <v>324.26690448700998</v>
      </c>
      <c r="AL2941">
        <v>86.752937521943295</v>
      </c>
      <c r="AM2941">
        <v>89.103304243275204</v>
      </c>
      <c r="AN2941">
        <v>0.99999999086778502</v>
      </c>
    </row>
    <row r="2942" spans="1:40" x14ac:dyDescent="0.25">
      <c r="A2942" t="str">
        <f>"20190312151043539"</f>
        <v>20190312151043539</v>
      </c>
      <c r="B2942" t="str">
        <f>"1552374643534133"</f>
        <v>1552374643534133</v>
      </c>
      <c r="C2942" t="s">
        <v>40</v>
      </c>
      <c r="D2942">
        <v>5.5855680000000003</v>
      </c>
      <c r="E2942">
        <v>0.4812246</v>
      </c>
      <c r="F2942" t="s">
        <v>70</v>
      </c>
      <c r="G2942">
        <v>-107.39749999999999</v>
      </c>
      <c r="H2942">
        <v>38.781300000000002</v>
      </c>
      <c r="I2942">
        <v>217.96950000000001</v>
      </c>
      <c r="J2942">
        <v>-433.6379</v>
      </c>
      <c r="K2942">
        <v>1.1119159999999999</v>
      </c>
      <c r="L2942">
        <v>213.8297</v>
      </c>
      <c r="M2942">
        <v>0.99970349999999997</v>
      </c>
      <c r="N2942">
        <v>0</v>
      </c>
      <c r="O2942">
        <v>-2.032051E-2</v>
      </c>
      <c r="P2942">
        <v>0.99842699999999995</v>
      </c>
      <c r="Q2942">
        <v>4.2694040000000003E-2</v>
      </c>
      <c r="R2942">
        <v>-3.6344759999999997E-2</v>
      </c>
      <c r="S2942">
        <v>2.9916079999999998</v>
      </c>
      <c r="T2942">
        <v>0.34515050000000003</v>
      </c>
      <c r="U2942">
        <v>3.7902829999999998E-2</v>
      </c>
      <c r="V2942">
        <v>1.580254E-2</v>
      </c>
      <c r="W2942">
        <v>5.6169799999999999E-2</v>
      </c>
      <c r="X2942">
        <v>0.99829610000000002</v>
      </c>
      <c r="Y2942">
        <v>-3.2635549999999999E-2</v>
      </c>
      <c r="Z2942">
        <v>-4.2130880000000002E-3</v>
      </c>
      <c r="AA2942">
        <v>0.99945839999999997</v>
      </c>
      <c r="AB2942">
        <v>26</v>
      </c>
      <c r="AC2942">
        <v>326.24040000000002</v>
      </c>
      <c r="AD2942">
        <v>37.669384000000001</v>
      </c>
      <c r="AE2942">
        <v>4.1398000000000001</v>
      </c>
      <c r="AF2942">
        <v>-10.6272513034917</v>
      </c>
      <c r="AG2942">
        <v>37.669384000000001</v>
      </c>
      <c r="AH2942">
        <v>321.799295168745</v>
      </c>
      <c r="AI2942">
        <v>83.3270247920033</v>
      </c>
      <c r="AJ2942">
        <v>91.891475351209095</v>
      </c>
      <c r="AK2942">
        <v>324.17079962931302</v>
      </c>
      <c r="AL2942">
        <v>86.780012596769694</v>
      </c>
      <c r="AM2942">
        <v>89.093111518402395</v>
      </c>
      <c r="AN2942">
        <v>0.99999993498884798</v>
      </c>
    </row>
    <row r="2943" spans="1:40" x14ac:dyDescent="0.25">
      <c r="A2943" t="str">
        <f>"20190312151043559"</f>
        <v>20190312151043559</v>
      </c>
      <c r="B2943" t="str">
        <f>"1552374643553654"</f>
        <v>1552374643553654</v>
      </c>
      <c r="C2943" t="s">
        <v>40</v>
      </c>
      <c r="D2943">
        <v>5.5250440000000003</v>
      </c>
      <c r="E2943">
        <v>0.48165770000000002</v>
      </c>
      <c r="F2943" t="s">
        <v>70</v>
      </c>
      <c r="G2943">
        <v>-107.39749999999999</v>
      </c>
      <c r="H2943">
        <v>37.96734</v>
      </c>
      <c r="I2943">
        <v>218.31899999999999</v>
      </c>
      <c r="J2943">
        <v>-433.3981</v>
      </c>
      <c r="K2943">
        <v>1.1119399999999999</v>
      </c>
      <c r="L2943">
        <v>213.82749999999999</v>
      </c>
      <c r="M2943">
        <v>0.99974879999999999</v>
      </c>
      <c r="N2943">
        <v>0</v>
      </c>
      <c r="O2943">
        <v>-1.7949280000000001E-2</v>
      </c>
      <c r="P2943">
        <v>0.99855769999999999</v>
      </c>
      <c r="Q2943">
        <v>4.2569139999999998E-2</v>
      </c>
      <c r="R2943">
        <v>-3.2715139999999997E-2</v>
      </c>
      <c r="S2943">
        <v>2.9917600000000002</v>
      </c>
      <c r="T2943">
        <v>0.33798</v>
      </c>
      <c r="U2943">
        <v>4.1168209999999997E-2</v>
      </c>
      <c r="V2943">
        <v>1.4538199999999999E-2</v>
      </c>
      <c r="W2943">
        <v>5.6040310000000003E-2</v>
      </c>
      <c r="X2943">
        <v>0.99832270000000001</v>
      </c>
      <c r="Y2943">
        <v>-3.1392389999999999E-2</v>
      </c>
      <c r="Z2943">
        <v>-3.7888739999999998E-3</v>
      </c>
      <c r="AA2943">
        <v>0.99950000000000006</v>
      </c>
      <c r="AB2943">
        <v>26</v>
      </c>
      <c r="AC2943">
        <v>326.00060000000002</v>
      </c>
      <c r="AD2943">
        <v>36.855400000000003</v>
      </c>
      <c r="AE2943">
        <v>4.4915000000000296</v>
      </c>
      <c r="AF2943">
        <v>-10.212280926840499</v>
      </c>
      <c r="AG2943">
        <v>36.855400000000003</v>
      </c>
      <c r="AH2943">
        <v>321.755857895406</v>
      </c>
      <c r="AI2943">
        <v>83.468816582347699</v>
      </c>
      <c r="AJ2943">
        <v>91.817913244994102</v>
      </c>
      <c r="AK2943">
        <v>324.02074513971701</v>
      </c>
      <c r="AL2943">
        <v>86.787443884513493</v>
      </c>
      <c r="AM2943">
        <v>89.1656819723637</v>
      </c>
      <c r="AN2943">
        <v>1.0000000444697099</v>
      </c>
    </row>
    <row r="2944" spans="1:40" x14ac:dyDescent="0.25">
      <c r="A2944" t="str">
        <f>"20190312151043581"</f>
        <v>20190312151043581</v>
      </c>
      <c r="B2944" t="str">
        <f>"1552374643574149"</f>
        <v>1552374643574149</v>
      </c>
      <c r="C2944" t="s">
        <v>40</v>
      </c>
      <c r="D2944">
        <v>5.5829259999999996</v>
      </c>
      <c r="E2944">
        <v>0.48178710000000002</v>
      </c>
      <c r="F2944" t="s">
        <v>71</v>
      </c>
      <c r="G2944">
        <v>-122.2897</v>
      </c>
      <c r="H2944">
        <v>35.654020000000003</v>
      </c>
      <c r="I2944">
        <v>218.89709999999999</v>
      </c>
      <c r="J2944">
        <v>-433.13189999999997</v>
      </c>
      <c r="K2944">
        <v>1.1119479999999999</v>
      </c>
      <c r="L2944">
        <v>213.82570000000001</v>
      </c>
      <c r="M2944">
        <v>0.99979309999999999</v>
      </c>
      <c r="N2944">
        <v>0</v>
      </c>
      <c r="O2944">
        <v>-1.529209E-2</v>
      </c>
      <c r="P2944">
        <v>0.99877380000000004</v>
      </c>
      <c r="Q2944">
        <v>4.0820410000000001E-2</v>
      </c>
      <c r="R2944">
        <v>-2.8018069999999999E-2</v>
      </c>
      <c r="S2944">
        <v>2.9917600000000002</v>
      </c>
      <c r="T2944">
        <v>0.33217279999999999</v>
      </c>
      <c r="U2944">
        <v>4.8751830000000003E-2</v>
      </c>
      <c r="V2944">
        <v>1.249927E-2</v>
      </c>
      <c r="W2944">
        <v>5.4284880000000001E-2</v>
      </c>
      <c r="X2944">
        <v>0.99844719999999998</v>
      </c>
      <c r="Y2944">
        <v>-3.1296499999999998E-2</v>
      </c>
      <c r="Z2944">
        <v>-3.4246889999999999E-3</v>
      </c>
      <c r="AA2944">
        <v>0.99950430000000001</v>
      </c>
      <c r="AB2944">
        <v>26</v>
      </c>
      <c r="AC2944">
        <v>310.84219999999999</v>
      </c>
      <c r="AD2944">
        <v>34.542071999999997</v>
      </c>
      <c r="AE2944">
        <v>5.0713999999999801</v>
      </c>
      <c r="AF2944">
        <v>-9.7048522397432997</v>
      </c>
      <c r="AG2944">
        <v>34.542071999999997</v>
      </c>
      <c r="AH2944">
        <v>306.93903623951098</v>
      </c>
      <c r="AI2944">
        <v>83.582286592242298</v>
      </c>
      <c r="AJ2944">
        <v>91.8109846727925</v>
      </c>
      <c r="AK2944">
        <v>309.02898061943699</v>
      </c>
      <c r="AL2944">
        <v>86.888175691502198</v>
      </c>
      <c r="AM2944">
        <v>89.282768272561498</v>
      </c>
      <c r="AN2944">
        <v>0.99999994556749205</v>
      </c>
    </row>
    <row r="2945" spans="1:40" x14ac:dyDescent="0.25">
      <c r="A2945" t="str">
        <f>"20190312151043616"</f>
        <v>20190312151043616</v>
      </c>
      <c r="B2945" t="str">
        <f>"1552374643614165"</f>
        <v>1552374643614165</v>
      </c>
      <c r="C2945" t="s">
        <v>40</v>
      </c>
      <c r="D2945">
        <v>5.5150329999999999</v>
      </c>
      <c r="E2945">
        <v>0.4894406</v>
      </c>
      <c r="F2945" t="s">
        <v>71</v>
      </c>
      <c r="G2945">
        <v>-157.8382</v>
      </c>
      <c r="H2945">
        <v>30.978079999999999</v>
      </c>
      <c r="I2945">
        <v>219.4932</v>
      </c>
      <c r="J2945">
        <v>-432.73230000000001</v>
      </c>
      <c r="K2945">
        <v>1.1119429999999999</v>
      </c>
      <c r="L2945">
        <v>213.82429999999999</v>
      </c>
      <c r="M2945">
        <v>0.99984629999999997</v>
      </c>
      <c r="N2945">
        <v>0</v>
      </c>
      <c r="O2945">
        <v>-1.128739E-2</v>
      </c>
      <c r="P2945">
        <v>0.99897999999999998</v>
      </c>
      <c r="Q2945">
        <v>3.8211920000000003E-2</v>
      </c>
      <c r="R2945">
        <v>-2.4065099999999999E-2</v>
      </c>
      <c r="S2945">
        <v>2.9921570000000002</v>
      </c>
      <c r="T2945">
        <v>0.32461440000000003</v>
      </c>
      <c r="U2945">
        <v>6.1599729999999998E-2</v>
      </c>
      <c r="V2945">
        <v>1.255716E-2</v>
      </c>
      <c r="W2945">
        <v>5.1676920000000001E-2</v>
      </c>
      <c r="X2945">
        <v>0.9985849</v>
      </c>
      <c r="Y2945">
        <v>-3.161576E-2</v>
      </c>
      <c r="Z2945">
        <v>-2.9307420000000001E-3</v>
      </c>
      <c r="AA2945">
        <v>0.99949580000000005</v>
      </c>
      <c r="AB2945">
        <v>26</v>
      </c>
      <c r="AC2945">
        <v>274.89409999999998</v>
      </c>
      <c r="AD2945">
        <v>29.866136999999998</v>
      </c>
      <c r="AE2945">
        <v>5.6688999999999998</v>
      </c>
      <c r="AF2945">
        <v>-8.6693657266953306</v>
      </c>
      <c r="AG2945">
        <v>29.866136999999998</v>
      </c>
      <c r="AH2945">
        <v>271.60790934661401</v>
      </c>
      <c r="AI2945">
        <v>83.728107208812105</v>
      </c>
      <c r="AJ2945">
        <v>91.828184921524098</v>
      </c>
      <c r="AK2945">
        <v>273.38251674356297</v>
      </c>
      <c r="AL2945">
        <v>87.0378111473823</v>
      </c>
      <c r="AM2945">
        <v>89.279546134727795</v>
      </c>
      <c r="AN2945">
        <v>0.99999999441798004</v>
      </c>
    </row>
    <row r="2946" spans="1:40" x14ac:dyDescent="0.25">
      <c r="A2946" t="str">
        <f>"20190312151043638"</f>
        <v>20190312151043638</v>
      </c>
      <c r="B2946" t="str">
        <f>"1552374643633685"</f>
        <v>1552374643633685</v>
      </c>
      <c r="C2946" t="s">
        <v>40</v>
      </c>
      <c r="D2946">
        <v>5.5118580000000001</v>
      </c>
      <c r="E2946">
        <v>0.48941990000000002</v>
      </c>
      <c r="F2946" t="s">
        <v>70</v>
      </c>
      <c r="G2946">
        <v>-107.39749999999999</v>
      </c>
      <c r="H2946">
        <v>29.5092</v>
      </c>
      <c r="I2946">
        <v>215.12610000000001</v>
      </c>
      <c r="J2946">
        <v>-432.47710000000001</v>
      </c>
      <c r="K2946">
        <v>1.111934</v>
      </c>
      <c r="L2946">
        <v>213.82419999999999</v>
      </c>
      <c r="M2946">
        <v>0.99987190000000004</v>
      </c>
      <c r="N2946">
        <v>0</v>
      </c>
      <c r="O2946">
        <v>-8.7353750000000001E-3</v>
      </c>
      <c r="P2946">
        <v>0.9990078</v>
      </c>
      <c r="Q2946">
        <v>3.790665E-2</v>
      </c>
      <c r="R2946">
        <v>-2.3385900000000001E-2</v>
      </c>
      <c r="S2946">
        <v>2.9933779999999999</v>
      </c>
      <c r="T2946">
        <v>0.26128129999999999</v>
      </c>
      <c r="U2946">
        <v>1.197815E-2</v>
      </c>
      <c r="V2946">
        <v>1.443003E-2</v>
      </c>
      <c r="W2946">
        <v>5.1379290000000001E-2</v>
      </c>
      <c r="X2946">
        <v>0.99857499999999999</v>
      </c>
      <c r="Y2946">
        <v>-1.265612E-2</v>
      </c>
      <c r="Z2946">
        <v>-1.31239799999999E-3</v>
      </c>
      <c r="AA2946">
        <v>0.99991909999999895</v>
      </c>
      <c r="AB2946">
        <v>26</v>
      </c>
      <c r="AC2946">
        <v>325.07960000000003</v>
      </c>
      <c r="AD2946">
        <v>28.397265999999998</v>
      </c>
      <c r="AE2946">
        <v>1.30190000000001</v>
      </c>
      <c r="AF2946">
        <v>-4.11043232031711</v>
      </c>
      <c r="AG2946">
        <v>28.397265999999998</v>
      </c>
      <c r="AH2946">
        <v>322.59418863489299</v>
      </c>
      <c r="AI2946">
        <v>84.969750431347407</v>
      </c>
      <c r="AJ2946">
        <v>90.730012158137498</v>
      </c>
      <c r="AK2946">
        <v>323.86773675551501</v>
      </c>
      <c r="AL2946">
        <v>87.054886920508906</v>
      </c>
      <c r="AM2946">
        <v>89.172097964662498</v>
      </c>
      <c r="AN2946">
        <v>1.0000000439158501</v>
      </c>
    </row>
    <row r="2947" spans="1:40" x14ac:dyDescent="0.25">
      <c r="A2947" t="str">
        <f>"20190312151043661"</f>
        <v>20190312151043661</v>
      </c>
      <c r="B2947" t="str">
        <f>"1552374643654181"</f>
        <v>1552374643654181</v>
      </c>
      <c r="C2947" t="s">
        <v>40</v>
      </c>
      <c r="D2947">
        <v>5.5151960000000004</v>
      </c>
      <c r="E2947">
        <v>0.48998589999999997</v>
      </c>
      <c r="F2947" t="s">
        <v>70</v>
      </c>
      <c r="G2947">
        <v>-107.39749999999999</v>
      </c>
      <c r="H2947">
        <v>29.296600000000002</v>
      </c>
      <c r="I2947">
        <v>215.38509999999999</v>
      </c>
      <c r="J2947">
        <v>-432.20249999999999</v>
      </c>
      <c r="K2947">
        <v>1.1119139999999901</v>
      </c>
      <c r="L2947">
        <v>213.82490000000001</v>
      </c>
      <c r="M2947">
        <v>0.99989189999999994</v>
      </c>
      <c r="N2947">
        <v>0</v>
      </c>
      <c r="O2947">
        <v>-6.0024340000000001E-3</v>
      </c>
      <c r="P2947">
        <v>0.99912570000000001</v>
      </c>
      <c r="Q2947">
        <v>3.5305110000000001E-2</v>
      </c>
      <c r="R2947">
        <v>-2.2396240000000001E-2</v>
      </c>
      <c r="S2947">
        <v>2.993439</v>
      </c>
      <c r="T2947">
        <v>0.25953409999999999</v>
      </c>
      <c r="U2947">
        <v>1.4373779999999999E-2</v>
      </c>
      <c r="V2947">
        <v>1.6182700000000001E-2</v>
      </c>
      <c r="W2947">
        <v>4.8785219999999997E-2</v>
      </c>
      <c r="X2947">
        <v>0.99867819999999996</v>
      </c>
      <c r="Y2947">
        <v>-1.074171E-2</v>
      </c>
      <c r="Z2947">
        <v>-9.8427010000000001E-4</v>
      </c>
      <c r="AA2947">
        <v>0.99994179999999999</v>
      </c>
      <c r="AB2947">
        <v>26</v>
      </c>
      <c r="AC2947">
        <v>324.80500000000001</v>
      </c>
      <c r="AD2947">
        <v>28.184685999999999</v>
      </c>
      <c r="AE2947">
        <v>1.56019999999998</v>
      </c>
      <c r="AF2947">
        <v>-3.4837370186603498</v>
      </c>
      <c r="AG2947">
        <v>28.184685999999999</v>
      </c>
      <c r="AH2947">
        <v>322.36252617534802</v>
      </c>
      <c r="AI2947">
        <v>85.003532392628799</v>
      </c>
      <c r="AJ2947">
        <v>90.619165200514999</v>
      </c>
      <c r="AK2947">
        <v>323.61104930253202</v>
      </c>
      <c r="AL2947">
        <v>87.203702880160606</v>
      </c>
      <c r="AM2947">
        <v>89.071653640612993</v>
      </c>
      <c r="AN2947">
        <v>1.0000000123124799</v>
      </c>
    </row>
    <row r="2948" spans="1:40" x14ac:dyDescent="0.25">
      <c r="A2948" t="str">
        <f>"20190312151043683"</f>
        <v>20190312151043683</v>
      </c>
      <c r="B2948" t="str">
        <f>"1552374643673703"</f>
        <v>1552374643673703</v>
      </c>
      <c r="C2948" t="s">
        <v>40</v>
      </c>
      <c r="D2948">
        <v>5.571364</v>
      </c>
      <c r="E2948">
        <v>0.49054429999999999</v>
      </c>
      <c r="F2948" t="s">
        <v>70</v>
      </c>
      <c r="G2948">
        <v>-107.39749999999999</v>
      </c>
      <c r="H2948">
        <v>28.735520000000001</v>
      </c>
      <c r="I2948">
        <v>215.2038</v>
      </c>
      <c r="J2948">
        <v>-431.95769999999999</v>
      </c>
      <c r="K2948">
        <v>1.1118950000000001</v>
      </c>
      <c r="L2948">
        <v>213.8261</v>
      </c>
      <c r="M2948">
        <v>0.99990369999999995</v>
      </c>
      <c r="N2948">
        <v>0</v>
      </c>
      <c r="O2948">
        <v>-3.574294E-3</v>
      </c>
      <c r="P2948">
        <v>0.99925520000000001</v>
      </c>
      <c r="Q2948">
        <v>3.2146180000000003E-2</v>
      </c>
      <c r="R2948">
        <v>-2.135596E-2</v>
      </c>
      <c r="S2948">
        <v>2.9939879999999999</v>
      </c>
      <c r="T2948">
        <v>0.254629299999999</v>
      </c>
      <c r="U2948">
        <v>1.2710569999999999E-2</v>
      </c>
      <c r="V2948">
        <v>1.758328E-2</v>
      </c>
      <c r="W2948">
        <v>4.5633029999999998E-2</v>
      </c>
      <c r="X2948">
        <v>0.99880349999999996</v>
      </c>
      <c r="Y2948">
        <v>-7.7788969999999999E-3</v>
      </c>
      <c r="Z2948">
        <v>-6.3364849999999996E-4</v>
      </c>
      <c r="AA2948">
        <v>0.99996949999999996</v>
      </c>
      <c r="AB2948">
        <v>26</v>
      </c>
      <c r="AC2948">
        <v>324.56020000000001</v>
      </c>
      <c r="AD2948">
        <v>27.623625000000001</v>
      </c>
      <c r="AE2948">
        <v>1.3776999999999999</v>
      </c>
      <c r="AF2948">
        <v>-2.5196176262135799</v>
      </c>
      <c r="AG2948">
        <v>27.623625000000001</v>
      </c>
      <c r="AH2948">
        <v>322.21912932563799</v>
      </c>
      <c r="AI2948">
        <v>85.100201824352297</v>
      </c>
      <c r="AJ2948">
        <v>90.448019687634698</v>
      </c>
      <c r="AK2948">
        <v>323.41085392190399</v>
      </c>
      <c r="AL2948">
        <v>87.384511670846095</v>
      </c>
      <c r="AM2948">
        <v>88.991449589776806</v>
      </c>
      <c r="AN2948">
        <v>0.99999998838739401</v>
      </c>
    </row>
    <row r="2949" spans="1:40" x14ac:dyDescent="0.25">
      <c r="A2949" t="str">
        <f>"20190312151043706"</f>
        <v>20190312151043706</v>
      </c>
      <c r="B2949" t="str">
        <f>"1552374643703958"</f>
        <v>1552374643703958</v>
      </c>
      <c r="C2949" t="s">
        <v>40</v>
      </c>
      <c r="D2949">
        <v>5.4305820000000002</v>
      </c>
      <c r="E2949">
        <v>0.49077890000000002</v>
      </c>
      <c r="F2949" t="s">
        <v>70</v>
      </c>
      <c r="G2949">
        <v>-107.39749999999999</v>
      </c>
      <c r="H2949">
        <v>27.85745</v>
      </c>
      <c r="I2949">
        <v>215.00200000000001</v>
      </c>
      <c r="J2949">
        <v>-431.68610000000001</v>
      </c>
      <c r="K2949">
        <v>1.11189</v>
      </c>
      <c r="L2949">
        <v>213.82820000000001</v>
      </c>
      <c r="M2949">
        <v>0.99990959999999995</v>
      </c>
      <c r="N2949">
        <v>0</v>
      </c>
      <c r="O2949">
        <v>-8.88447E-4</v>
      </c>
      <c r="P2949">
        <v>0.99926769999999998</v>
      </c>
      <c r="Q2949">
        <v>3.3337680000000001E-2</v>
      </c>
      <c r="R2949">
        <v>-1.8781200000000001E-2</v>
      </c>
      <c r="S2949">
        <v>2.994507</v>
      </c>
      <c r="T2949">
        <v>0.24676439999999999</v>
      </c>
      <c r="U2949">
        <v>1.0848999999999999E-2</v>
      </c>
      <c r="V2949">
        <v>1.768817E-2</v>
      </c>
      <c r="W2949">
        <v>4.6822419999999997E-2</v>
      </c>
      <c r="X2949">
        <v>0.99874660000000004</v>
      </c>
      <c r="Y2949">
        <v>-4.4932219999999998E-3</v>
      </c>
      <c r="Z2949">
        <v>-2.5791529999999999E-4</v>
      </c>
      <c r="AA2949">
        <v>0.99998989999999999</v>
      </c>
      <c r="AB2949">
        <v>26</v>
      </c>
      <c r="AC2949">
        <v>324.28859999999997</v>
      </c>
      <c r="AD2949">
        <v>26.745559999999902</v>
      </c>
      <c r="AE2949">
        <v>1.1738</v>
      </c>
      <c r="AF2949">
        <v>-1.4520618320060701</v>
      </c>
      <c r="AG2949">
        <v>26.745559999999902</v>
      </c>
      <c r="AH2949">
        <v>322.096539924745</v>
      </c>
      <c r="AI2949">
        <v>85.253333725731196</v>
      </c>
      <c r="AJ2949">
        <v>90.258296630490406</v>
      </c>
      <c r="AK2949">
        <v>323.20831439610402</v>
      </c>
      <c r="AL2949">
        <v>87.316291712892493</v>
      </c>
      <c r="AM2949">
        <v>88.985376722330102</v>
      </c>
      <c r="AN2949">
        <v>0.99999999069208201</v>
      </c>
    </row>
    <row r="2950" spans="1:40" x14ac:dyDescent="0.25">
      <c r="A2950" t="str">
        <f>"20190312151043728"</f>
        <v>20190312151043728</v>
      </c>
      <c r="B2950" t="str">
        <f>"1552374643723478"</f>
        <v>1552374643723478</v>
      </c>
      <c r="C2950" t="s">
        <v>40</v>
      </c>
      <c r="D2950">
        <v>5.0068900000000003</v>
      </c>
      <c r="E2950">
        <v>0.49173119999999998</v>
      </c>
      <c r="F2950" t="s">
        <v>70</v>
      </c>
      <c r="G2950">
        <v>-107.39749999999999</v>
      </c>
      <c r="H2950">
        <v>28.333760000000002</v>
      </c>
      <c r="I2950">
        <v>215.63130000000001</v>
      </c>
      <c r="J2950">
        <v>-431.44029999999998</v>
      </c>
      <c r="K2950">
        <v>1.1118950000000001</v>
      </c>
      <c r="L2950">
        <v>213.83070000000001</v>
      </c>
      <c r="M2950">
        <v>0.99990889999999999</v>
      </c>
      <c r="N2950">
        <v>0</v>
      </c>
      <c r="O2950">
        <v>1.5349560000000001E-3</v>
      </c>
      <c r="P2950">
        <v>0.99915430000000005</v>
      </c>
      <c r="Q2950">
        <v>3.7826249999999999E-2</v>
      </c>
      <c r="R2950">
        <v>-1.613355E-2</v>
      </c>
      <c r="S2950">
        <v>2.99411</v>
      </c>
      <c r="T2950">
        <v>0.25133610000000001</v>
      </c>
      <c r="U2950">
        <v>1.664734E-2</v>
      </c>
      <c r="V2950">
        <v>1.7443409999999999E-2</v>
      </c>
      <c r="W2950">
        <v>5.1306419999999998E-2</v>
      </c>
      <c r="X2950">
        <v>0.99853060000000005</v>
      </c>
      <c r="Y2950">
        <v>-4.0161399999999996E-3</v>
      </c>
      <c r="Z2950" s="1">
        <v>-3.963341E-5</v>
      </c>
      <c r="AA2950">
        <v>0.99999199999999999</v>
      </c>
      <c r="AB2950">
        <v>26</v>
      </c>
      <c r="AC2950">
        <v>324.0428</v>
      </c>
      <c r="AD2950">
        <v>27.221865000000001</v>
      </c>
      <c r="AE2950">
        <v>1.8006</v>
      </c>
      <c r="AF2950">
        <v>-1.2940297928280799</v>
      </c>
      <c r="AG2950">
        <v>27.221865000000001</v>
      </c>
      <c r="AH2950">
        <v>321.77443332314903</v>
      </c>
      <c r="AI2950">
        <v>85.1643752430858</v>
      </c>
      <c r="AJ2950">
        <v>90.230416211860501</v>
      </c>
      <c r="AK2950">
        <v>322.92644733378</v>
      </c>
      <c r="AL2950">
        <v>87.059067419625904</v>
      </c>
      <c r="AM2950">
        <v>88.999197293885899</v>
      </c>
      <c r="AN2950">
        <v>0.99999999021100205</v>
      </c>
    </row>
    <row r="2951" spans="1:40" x14ac:dyDescent="0.25">
      <c r="A2951" t="str">
        <f>"20190312151043750"</f>
        <v>20190312151043750</v>
      </c>
      <c r="B2951" t="str">
        <f>"1552374643743973"</f>
        <v>1552374643743973</v>
      </c>
      <c r="C2951" t="s">
        <v>40</v>
      </c>
      <c r="D2951">
        <v>5.4389399999999997</v>
      </c>
      <c r="E2951">
        <v>0.4928303</v>
      </c>
      <c r="F2951" t="s">
        <v>70</v>
      </c>
      <c r="G2951">
        <v>-107.39749999999999</v>
      </c>
      <c r="H2951">
        <v>31.004169999999998</v>
      </c>
      <c r="I2951">
        <v>215.6103</v>
      </c>
      <c r="J2951">
        <v>-431.17720000000003</v>
      </c>
      <c r="K2951">
        <v>1.1118870000000001</v>
      </c>
      <c r="L2951">
        <v>213.83410000000001</v>
      </c>
      <c r="M2951">
        <v>0.9999015</v>
      </c>
      <c r="N2951">
        <v>0</v>
      </c>
      <c r="O2951">
        <v>4.11057E-3</v>
      </c>
      <c r="P2951">
        <v>0.99917389999999995</v>
      </c>
      <c r="Q2951">
        <v>3.8299769999999997E-2</v>
      </c>
      <c r="R2951">
        <v>-1.358621E-2</v>
      </c>
      <c r="S2951">
        <v>2.9924010000000001</v>
      </c>
      <c r="T2951">
        <v>0.27604319999999999</v>
      </c>
      <c r="U2951">
        <v>1.6433719999999999E-2</v>
      </c>
      <c r="V2951">
        <v>1.7469439999999999E-2</v>
      </c>
      <c r="W2951">
        <v>5.1777869999999997E-2</v>
      </c>
      <c r="X2951">
        <v>0.9985058</v>
      </c>
      <c r="Y2951">
        <v>-1.392351E-3</v>
      </c>
      <c r="Z2951">
        <v>3.1433379999999998E-4</v>
      </c>
      <c r="AA2951">
        <v>0.99999899999999997</v>
      </c>
      <c r="AB2951">
        <v>26</v>
      </c>
      <c r="AC2951">
        <v>323.77969999999999</v>
      </c>
      <c r="AD2951">
        <v>29.892282999999999</v>
      </c>
      <c r="AE2951">
        <v>1.77619999999998</v>
      </c>
      <c r="AF2951">
        <v>-0.44138397709446198</v>
      </c>
      <c r="AG2951">
        <v>29.892282999999999</v>
      </c>
      <c r="AH2951">
        <v>321.04789045841602</v>
      </c>
      <c r="AI2951">
        <v>84.680617933527202</v>
      </c>
      <c r="AJ2951">
        <v>90.078771497494003</v>
      </c>
      <c r="AK2951">
        <v>322.43680213425699</v>
      </c>
      <c r="AL2951">
        <v>87.032019344464899</v>
      </c>
      <c r="AM2951">
        <v>88.997679257330503</v>
      </c>
      <c r="AN2951">
        <v>0.99999998089464504</v>
      </c>
    </row>
    <row r="2952" spans="1:40" x14ac:dyDescent="0.25">
      <c r="A2952" t="str">
        <f>"20190312151043771"</f>
        <v>20190312151043771</v>
      </c>
      <c r="B2952" t="str">
        <f>"1552374643763494"</f>
        <v>1552374643763494</v>
      </c>
      <c r="C2952" t="s">
        <v>40</v>
      </c>
      <c r="D2952">
        <v>5.4672179999999999</v>
      </c>
      <c r="E2952">
        <v>0.49365510000000001</v>
      </c>
      <c r="F2952" t="s">
        <v>70</v>
      </c>
      <c r="G2952">
        <v>-107.39749999999999</v>
      </c>
      <c r="H2952">
        <v>31.997869999999999</v>
      </c>
      <c r="I2952">
        <v>215.4623</v>
      </c>
      <c r="J2952">
        <v>-430.93169999999998</v>
      </c>
      <c r="K2952">
        <v>1.1118650000000001</v>
      </c>
      <c r="L2952">
        <v>213.83770000000001</v>
      </c>
      <c r="M2952">
        <v>0.99988909999999998</v>
      </c>
      <c r="N2952">
        <v>0</v>
      </c>
      <c r="O2952">
        <v>6.4838530000000004E-3</v>
      </c>
      <c r="P2952">
        <v>0.99917160000000005</v>
      </c>
      <c r="Q2952">
        <v>3.8889369999999999E-2</v>
      </c>
      <c r="R2952">
        <v>-1.199792E-2</v>
      </c>
      <c r="S2952">
        <v>2.9917600000000002</v>
      </c>
      <c r="T2952">
        <v>0.28539029999999999</v>
      </c>
      <c r="U2952">
        <v>1.504517E-2</v>
      </c>
      <c r="V2952">
        <v>1.8253060000000002E-2</v>
      </c>
      <c r="W2952">
        <v>5.236739E-2</v>
      </c>
      <c r="X2952">
        <v>0.99846109999999999</v>
      </c>
      <c r="Y2952">
        <v>1.419776E-3</v>
      </c>
      <c r="Z2952">
        <v>6.8471739999999997E-4</v>
      </c>
      <c r="AA2952">
        <v>0.99999870000000002</v>
      </c>
      <c r="AB2952">
        <v>26</v>
      </c>
      <c r="AC2952">
        <v>323.5342</v>
      </c>
      <c r="AD2952">
        <v>30.886005000000001</v>
      </c>
      <c r="AE2952">
        <v>1.6245999999999801</v>
      </c>
      <c r="AF2952">
        <v>0.46909592975708497</v>
      </c>
      <c r="AG2952">
        <v>30.886005000000001</v>
      </c>
      <c r="AH2952">
        <v>320.616085775589</v>
      </c>
      <c r="AI2952">
        <v>84.497493816067603</v>
      </c>
      <c r="AJ2952">
        <v>89.916170151855198</v>
      </c>
      <c r="AK2952">
        <v>322.10066720500799</v>
      </c>
      <c r="AL2952">
        <v>86.998196634391405</v>
      </c>
      <c r="AM2952">
        <v>88.952681462365206</v>
      </c>
      <c r="AN2952">
        <v>1.0000000429739899</v>
      </c>
    </row>
    <row r="2953" spans="1:40" x14ac:dyDescent="0.25">
      <c r="A2953" t="str">
        <f>"20190312151043794"</f>
        <v>20190312151043794</v>
      </c>
      <c r="B2953" t="str">
        <f>"1552374643783989"</f>
        <v>1552374643783989</v>
      </c>
      <c r="C2953" t="s">
        <v>40</v>
      </c>
      <c r="D2953">
        <v>5.5373349999999997</v>
      </c>
      <c r="E2953">
        <v>0.4943224</v>
      </c>
      <c r="F2953" t="s">
        <v>70</v>
      </c>
      <c r="G2953">
        <v>-107.39749999999999</v>
      </c>
      <c r="H2953">
        <v>32.891109999999998</v>
      </c>
      <c r="I2953">
        <v>215.2587</v>
      </c>
      <c r="J2953">
        <v>-430.66449999999998</v>
      </c>
      <c r="K2953">
        <v>1.1118399999999999</v>
      </c>
      <c r="L2953">
        <v>213.84229999999999</v>
      </c>
      <c r="M2953">
        <v>0.99986949999999997</v>
      </c>
      <c r="N2953">
        <v>0</v>
      </c>
      <c r="O2953">
        <v>9.016685E-3</v>
      </c>
      <c r="P2953">
        <v>0.99909809999999999</v>
      </c>
      <c r="Q2953">
        <v>4.081067E-2</v>
      </c>
      <c r="R2953">
        <v>-1.173168E-2</v>
      </c>
      <c r="S2953">
        <v>2.9912109999999998</v>
      </c>
      <c r="T2953">
        <v>0.29381299999999999</v>
      </c>
      <c r="U2953">
        <v>1.313782E-2</v>
      </c>
      <c r="V2953">
        <v>2.051418E-2</v>
      </c>
      <c r="W2953">
        <v>5.4292029999999998E-2</v>
      </c>
      <c r="X2953">
        <v>0.99831440000000005</v>
      </c>
      <c r="Y2953">
        <v>4.5601499999999998E-3</v>
      </c>
      <c r="Z2953">
        <v>1.1070260000000001E-3</v>
      </c>
      <c r="AA2953">
        <v>0.99998900000000002</v>
      </c>
      <c r="AB2953">
        <v>26</v>
      </c>
      <c r="AC2953">
        <v>323.267</v>
      </c>
      <c r="AD2953">
        <v>31.77927</v>
      </c>
      <c r="AE2953">
        <v>1.4164000000000101</v>
      </c>
      <c r="AF2953">
        <v>1.4843712445100099</v>
      </c>
      <c r="AG2953">
        <v>31.77927</v>
      </c>
      <c r="AH2953">
        <v>320.172483188439</v>
      </c>
      <c r="AI2953">
        <v>84.331635725778298</v>
      </c>
      <c r="AJ2953">
        <v>89.734369433125096</v>
      </c>
      <c r="AK2953">
        <v>321.74919479429298</v>
      </c>
      <c r="AL2953">
        <v>86.887765742839704</v>
      </c>
      <c r="AM2953">
        <v>88.822805180023195</v>
      </c>
      <c r="AN2953">
        <v>1.0000000486749701</v>
      </c>
    </row>
    <row r="2954" spans="1:40" x14ac:dyDescent="0.25">
      <c r="A2954" t="str">
        <f>"20190312151043816"</f>
        <v>20190312151043816</v>
      </c>
      <c r="B2954" t="str">
        <f>"1552374643813270"</f>
        <v>1552374643813270</v>
      </c>
      <c r="C2954" t="s">
        <v>40</v>
      </c>
      <c r="D2954">
        <v>5.5244879999999998</v>
      </c>
      <c r="E2954">
        <v>0.49518839999999997</v>
      </c>
      <c r="F2954" t="s">
        <v>70</v>
      </c>
      <c r="G2954">
        <v>-107.39749999999999</v>
      </c>
      <c r="H2954">
        <v>33.993139999999997</v>
      </c>
      <c r="I2954">
        <v>214.7809</v>
      </c>
      <c r="J2954">
        <v>-430.41340000000002</v>
      </c>
      <c r="K2954">
        <v>1.111793</v>
      </c>
      <c r="L2954">
        <v>213.84719999999999</v>
      </c>
      <c r="M2954">
        <v>0.99984600000000001</v>
      </c>
      <c r="N2954">
        <v>0</v>
      </c>
      <c r="O2954">
        <v>1.1326269999999999E-2</v>
      </c>
      <c r="P2954">
        <v>0.9990078</v>
      </c>
      <c r="Q2954">
        <v>4.2724760000000001E-2</v>
      </c>
      <c r="R2954">
        <v>-1.258023E-2</v>
      </c>
      <c r="S2954">
        <v>2.9903870000000001</v>
      </c>
      <c r="T2954">
        <v>0.30416949999999998</v>
      </c>
      <c r="U2954">
        <v>8.6822510000000002E-3</v>
      </c>
      <c r="V2954">
        <v>2.3668430000000001E-2</v>
      </c>
      <c r="W2954">
        <v>5.6211690000000002E-2</v>
      </c>
      <c r="X2954">
        <v>0.99813830000000003</v>
      </c>
      <c r="Y2954">
        <v>8.3226649999999999E-3</v>
      </c>
      <c r="Z2954">
        <v>1.571357E-3</v>
      </c>
      <c r="AA2954">
        <v>0.99996410000000002</v>
      </c>
      <c r="AB2954">
        <v>26</v>
      </c>
      <c r="AC2954">
        <v>323.01589999999999</v>
      </c>
      <c r="AD2954">
        <v>32.881346999999998</v>
      </c>
      <c r="AE2954">
        <v>0.93370000000001596</v>
      </c>
      <c r="AF2954">
        <v>2.6973042160102501</v>
      </c>
      <c r="AG2954">
        <v>32.881346999999998</v>
      </c>
      <c r="AH2954">
        <v>319.69306153891301</v>
      </c>
      <c r="AI2954">
        <v>84.127821853016499</v>
      </c>
      <c r="AJ2954">
        <v>89.516597326397701</v>
      </c>
      <c r="AK2954">
        <v>321.39090221518597</v>
      </c>
      <c r="AL2954">
        <v>86.777608911600893</v>
      </c>
      <c r="AM2954">
        <v>88.641624051420706</v>
      </c>
      <c r="AN2954">
        <v>1.0000000072991</v>
      </c>
    </row>
    <row r="2955" spans="1:40" x14ac:dyDescent="0.25">
      <c r="A2955" t="str">
        <f>"20190312151043839"</f>
        <v>20190312151043839</v>
      </c>
      <c r="B2955" t="str">
        <f>"1552374643833765"</f>
        <v>1552374643833765</v>
      </c>
      <c r="C2955" t="s">
        <v>40</v>
      </c>
      <c r="D2955">
        <v>5.5347520000000001</v>
      </c>
      <c r="E2955">
        <v>0.49579570000000001</v>
      </c>
      <c r="F2955" t="s">
        <v>70</v>
      </c>
      <c r="G2955">
        <v>-107.39749999999999</v>
      </c>
      <c r="H2955">
        <v>35.309820000000002</v>
      </c>
      <c r="I2955">
        <v>213.72190000000001</v>
      </c>
      <c r="J2955">
        <v>-430.1558</v>
      </c>
      <c r="K2955">
        <v>1.111723</v>
      </c>
      <c r="L2955">
        <v>213.8527</v>
      </c>
      <c r="M2955">
        <v>0.99981770000000003</v>
      </c>
      <c r="N2955">
        <v>0</v>
      </c>
      <c r="O2955">
        <v>1.359402E-2</v>
      </c>
      <c r="P2955">
        <v>0.99895959999999995</v>
      </c>
      <c r="Q2955">
        <v>4.3385519999999997E-2</v>
      </c>
      <c r="R2955">
        <v>-1.404849E-2</v>
      </c>
      <c r="S2955">
        <v>2.9893800000000001</v>
      </c>
      <c r="T2955">
        <v>0.31648920000000003</v>
      </c>
      <c r="U2955">
        <v>-1.159668E-3</v>
      </c>
      <c r="V2955">
        <v>2.7408689999999999E-2</v>
      </c>
      <c r="W2955">
        <v>5.6877249999999997E-2</v>
      </c>
      <c r="X2955">
        <v>0.99800489999999997</v>
      </c>
      <c r="Y2955">
        <v>1.3829859999999999E-2</v>
      </c>
      <c r="Z2955">
        <v>2.1653530000000001E-3</v>
      </c>
      <c r="AA2955">
        <v>0.99990199999999996</v>
      </c>
      <c r="AB2955">
        <v>26</v>
      </c>
      <c r="AC2955">
        <v>322.75830000000002</v>
      </c>
      <c r="AD2955">
        <v>34.198096999999997</v>
      </c>
      <c r="AE2955">
        <v>-0.13079999999999301</v>
      </c>
      <c r="AF2955">
        <v>4.4685978823860601</v>
      </c>
      <c r="AG2955">
        <v>34.198096999999997</v>
      </c>
      <c r="AH2955">
        <v>319.14378697484102</v>
      </c>
      <c r="AI2955">
        <v>83.884360115175994</v>
      </c>
      <c r="AJ2955">
        <v>89.197806507198294</v>
      </c>
      <c r="AK2955">
        <v>321.00192362367397</v>
      </c>
      <c r="AL2955">
        <v>86.739414062098106</v>
      </c>
      <c r="AM2955">
        <v>88.426853800021803</v>
      </c>
      <c r="AN2955">
        <v>1.00000001913954</v>
      </c>
    </row>
    <row r="2956" spans="1:40" x14ac:dyDescent="0.25">
      <c r="A2956" t="str">
        <f>"20190312151043861"</f>
        <v>20190312151043861</v>
      </c>
      <c r="B2956" t="str">
        <f>"1552374643853289"</f>
        <v>1552374643853289</v>
      </c>
      <c r="C2956" t="s">
        <v>40</v>
      </c>
      <c r="D2956">
        <v>5.5327789999999997</v>
      </c>
      <c r="E2956">
        <v>0.49625259999999999</v>
      </c>
      <c r="F2956" t="s">
        <v>70</v>
      </c>
      <c r="G2956">
        <v>-107.39749999999999</v>
      </c>
      <c r="H2956">
        <v>35.754339999999999</v>
      </c>
      <c r="I2956">
        <v>212.6944</v>
      </c>
      <c r="J2956">
        <v>-429.9042</v>
      </c>
      <c r="K2956">
        <v>1.1116330000000001</v>
      </c>
      <c r="L2956">
        <v>213.85849999999999</v>
      </c>
      <c r="M2956">
        <v>0.99978719999999999</v>
      </c>
      <c r="N2956">
        <v>0</v>
      </c>
      <c r="O2956">
        <v>1.5679240000000001E-2</v>
      </c>
      <c r="P2956">
        <v>0.99895290000000003</v>
      </c>
      <c r="Q2956">
        <v>4.3175720000000001E-2</v>
      </c>
      <c r="R2956">
        <v>-1.5134669999999999E-2</v>
      </c>
      <c r="S2956">
        <v>2.9890750000000001</v>
      </c>
      <c r="T2956">
        <v>0.32082690000000003</v>
      </c>
      <c r="U2956">
        <v>-1.0726930000000001E-2</v>
      </c>
      <c r="V2956">
        <v>3.059038E-2</v>
      </c>
      <c r="W2956">
        <v>5.6668259999999998E-2</v>
      </c>
      <c r="X2956">
        <v>0.99792429999999999</v>
      </c>
      <c r="Y2956">
        <v>1.9069200000000001E-2</v>
      </c>
      <c r="Z2956">
        <v>2.6986340000000001E-3</v>
      </c>
      <c r="AA2956">
        <v>0.99981450000000005</v>
      </c>
      <c r="AB2956">
        <v>26</v>
      </c>
      <c r="AC2956">
        <v>322.50670000000002</v>
      </c>
      <c r="AD2956">
        <v>34.642707000000001</v>
      </c>
      <c r="AE2956">
        <v>-1.1640999999999899</v>
      </c>
      <c r="AF2956">
        <v>6.1501096752881699</v>
      </c>
      <c r="AG2956">
        <v>34.642707000000001</v>
      </c>
      <c r="AH2956">
        <v>318.77073318308402</v>
      </c>
      <c r="AI2956">
        <v>83.798813731442706</v>
      </c>
      <c r="AJ2956">
        <v>88.894717802731293</v>
      </c>
      <c r="AK2956">
        <v>320.70659695645003</v>
      </c>
      <c r="AL2956">
        <v>86.751407542522003</v>
      </c>
      <c r="AM2956">
        <v>88.2442045036792</v>
      </c>
      <c r="AN2956">
        <v>0.99999998578523097</v>
      </c>
    </row>
    <row r="2957" spans="1:40" x14ac:dyDescent="0.25">
      <c r="A2957" t="str">
        <f>"20190312151043882"</f>
        <v>20190312151043882</v>
      </c>
      <c r="B2957" t="str">
        <f>"1552374643873786"</f>
        <v>1552374643873786</v>
      </c>
      <c r="C2957" t="s">
        <v>40</v>
      </c>
      <c r="D2957">
        <v>5.5915410000000003</v>
      </c>
      <c r="E2957">
        <v>0.4967608</v>
      </c>
      <c r="F2957" t="s">
        <v>70</v>
      </c>
      <c r="G2957">
        <v>-107.39749999999999</v>
      </c>
      <c r="H2957">
        <v>35.798479999999998</v>
      </c>
      <c r="I2957">
        <v>211.94049999999999</v>
      </c>
      <c r="J2957">
        <v>-429.6506</v>
      </c>
      <c r="K2957">
        <v>1.1115429999999999</v>
      </c>
      <c r="L2957">
        <v>213.8648</v>
      </c>
      <c r="M2957">
        <v>0.99975409999999998</v>
      </c>
      <c r="N2957">
        <v>0</v>
      </c>
      <c r="O2957">
        <v>1.766641E-2</v>
      </c>
      <c r="P2957">
        <v>0.99898419999999999</v>
      </c>
      <c r="Q2957">
        <v>4.2347330000000002E-2</v>
      </c>
      <c r="R2957">
        <v>-1.5414829999999999E-2</v>
      </c>
      <c r="S2957">
        <v>2.9889830000000002</v>
      </c>
      <c r="T2957">
        <v>0.32147710000000002</v>
      </c>
      <c r="U2957">
        <v>-1.7776489999999999E-2</v>
      </c>
      <c r="V2957">
        <v>3.2871240000000003E-2</v>
      </c>
      <c r="W2957">
        <v>5.5836539999999997E-2</v>
      </c>
      <c r="X2957">
        <v>0.99789870000000003</v>
      </c>
      <c r="Y2957">
        <v>2.337728E-2</v>
      </c>
      <c r="Z2957">
        <v>3.1482680000000001E-3</v>
      </c>
      <c r="AA2957">
        <v>0.99972179999999999</v>
      </c>
      <c r="AB2957">
        <v>26</v>
      </c>
      <c r="AC2957">
        <v>322.25310000000002</v>
      </c>
      <c r="AD2957">
        <v>34.686937</v>
      </c>
      <c r="AE2957">
        <v>-1.9243000000000099</v>
      </c>
      <c r="AF2957">
        <v>7.53032239170488</v>
      </c>
      <c r="AG2957">
        <v>34.686937</v>
      </c>
      <c r="AH2957">
        <v>318.47899903362202</v>
      </c>
      <c r="AI2957">
        <v>83.785890783457901</v>
      </c>
      <c r="AJ2957">
        <v>88.645514099321304</v>
      </c>
      <c r="AK2957">
        <v>320.450873269559</v>
      </c>
      <c r="AL2957">
        <v>86.799137296949894</v>
      </c>
      <c r="AM2957">
        <v>88.113332987367301</v>
      </c>
      <c r="AN2957">
        <v>1.00000002653999</v>
      </c>
    </row>
    <row r="2958" spans="1:40" x14ac:dyDescent="0.25">
      <c r="A2958" t="str">
        <f>"20190312151043906"</f>
        <v>20190312151043906</v>
      </c>
      <c r="B2958" t="str">
        <f>"1552374643904042"</f>
        <v>1552374643904042</v>
      </c>
      <c r="C2958" t="s">
        <v>40</v>
      </c>
      <c r="D2958">
        <v>5.5022789999999997</v>
      </c>
      <c r="E2958">
        <v>0.49720599999999998</v>
      </c>
      <c r="F2958" t="s">
        <v>70</v>
      </c>
      <c r="G2958">
        <v>-107.39749999999999</v>
      </c>
      <c r="H2958">
        <v>35.721020000000003</v>
      </c>
      <c r="I2958">
        <v>211.40219999999999</v>
      </c>
      <c r="J2958">
        <v>-429.37670000000003</v>
      </c>
      <c r="K2958">
        <v>1.1114379999999999</v>
      </c>
      <c r="L2958">
        <v>213.87200000000001</v>
      </c>
      <c r="M2958">
        <v>0.99971719999999997</v>
      </c>
      <c r="N2958">
        <v>0</v>
      </c>
      <c r="O2958">
        <v>1.965832E-2</v>
      </c>
      <c r="P2958">
        <v>0.99901530000000005</v>
      </c>
      <c r="Q2958">
        <v>4.1718289999999998E-2</v>
      </c>
      <c r="R2958">
        <v>-1.5111329999999999E-2</v>
      </c>
      <c r="S2958">
        <v>2.9890750000000001</v>
      </c>
      <c r="T2958">
        <v>0.32102239999999999</v>
      </c>
      <c r="U2958">
        <v>-2.284241E-2</v>
      </c>
      <c r="V2958">
        <v>3.4574029999999999E-2</v>
      </c>
      <c r="W2958">
        <v>5.5199999999999999E-2</v>
      </c>
      <c r="X2958">
        <v>0.99787650000000006</v>
      </c>
      <c r="Y2958">
        <v>2.7031280000000001E-2</v>
      </c>
      <c r="Z2958">
        <v>3.5526960000000002E-3</v>
      </c>
      <c r="AA2958">
        <v>0.99962819999999997</v>
      </c>
      <c r="AB2958">
        <v>26</v>
      </c>
      <c r="AC2958">
        <v>321.97919999999999</v>
      </c>
      <c r="AD2958">
        <v>34.609582000000003</v>
      </c>
      <c r="AE2958">
        <v>-2.4698000000000202</v>
      </c>
      <c r="AF2958">
        <v>8.6989566624811694</v>
      </c>
      <c r="AG2958">
        <v>34.609582000000003</v>
      </c>
      <c r="AH2958">
        <v>318.19219581485902</v>
      </c>
      <c r="AI2958">
        <v>83.794675058654406</v>
      </c>
      <c r="AJ2958">
        <v>88.433998718098493</v>
      </c>
      <c r="AK2958">
        <v>320.18708357882201</v>
      </c>
      <c r="AL2958">
        <v>86.835664467165202</v>
      </c>
      <c r="AM2958">
        <v>88.015632304801002</v>
      </c>
      <c r="AN2958">
        <v>0.99999995640134398</v>
      </c>
    </row>
    <row r="2959" spans="1:40" x14ac:dyDescent="0.25">
      <c r="A2959" t="str">
        <f>"20190312151043952"</f>
        <v>20190312151043952</v>
      </c>
      <c r="B2959" t="str">
        <f>"1552374643944058"</f>
        <v>1552374643944058</v>
      </c>
      <c r="C2959" t="s">
        <v>40</v>
      </c>
      <c r="D2959">
        <v>5.6467999999999998</v>
      </c>
      <c r="E2959">
        <v>0.49738880000000002</v>
      </c>
      <c r="F2959" t="s">
        <v>70</v>
      </c>
      <c r="G2959">
        <v>-107.39749999999999</v>
      </c>
      <c r="H2959">
        <v>35.847790000000003</v>
      </c>
      <c r="I2959">
        <v>211.10910000000001</v>
      </c>
      <c r="J2959">
        <v>-428.85379999999998</v>
      </c>
      <c r="K2959">
        <v>1.111181</v>
      </c>
      <c r="L2959">
        <v>213.88669999999999</v>
      </c>
      <c r="M2959">
        <v>0.99964759999999997</v>
      </c>
      <c r="N2959">
        <v>0</v>
      </c>
      <c r="O2959">
        <v>2.292539E-2</v>
      </c>
      <c r="P2959">
        <v>0.99914990000000004</v>
      </c>
      <c r="Q2959">
        <v>3.8374249999999999E-2</v>
      </c>
      <c r="R2959">
        <v>-1.5068679999999999E-2</v>
      </c>
      <c r="S2959">
        <v>2.9891359999999998</v>
      </c>
      <c r="T2959">
        <v>0.32247979999999998</v>
      </c>
      <c r="U2959">
        <v>-2.5650019999999999E-2</v>
      </c>
      <c r="V2959">
        <v>3.783802E-2</v>
      </c>
      <c r="W2959">
        <v>5.1835489999999998E-2</v>
      </c>
      <c r="X2959">
        <v>0.99793860000000001</v>
      </c>
      <c r="Y2959">
        <v>3.1191110000000001E-2</v>
      </c>
      <c r="Z2959">
        <v>4.143814E-3</v>
      </c>
      <c r="AA2959">
        <v>0.99950490000000003</v>
      </c>
      <c r="AB2959">
        <v>26</v>
      </c>
      <c r="AC2959">
        <v>321.4563</v>
      </c>
      <c r="AD2959">
        <v>34.736609000000001</v>
      </c>
      <c r="AE2959">
        <v>-2.7775999999999699</v>
      </c>
      <c r="AF2959">
        <v>10.0299302740726</v>
      </c>
      <c r="AG2959">
        <v>34.736609000000001</v>
      </c>
      <c r="AH2959">
        <v>317.59978299907499</v>
      </c>
      <c r="AI2959">
        <v>83.761325925235298</v>
      </c>
      <c r="AJ2959">
        <v>88.191177154635895</v>
      </c>
      <c r="AK2959">
        <v>319.65114369759601</v>
      </c>
      <c r="AL2959">
        <v>87.028713702765899</v>
      </c>
      <c r="AM2959">
        <v>87.828603048394001</v>
      </c>
      <c r="AN2959">
        <v>1.0000000415754999</v>
      </c>
    </row>
    <row r="2960" spans="1:40" x14ac:dyDescent="0.25">
      <c r="A2960" t="str">
        <f>"20190312151044062"</f>
        <v>20190312151044062</v>
      </c>
      <c r="B2960" t="str">
        <f>"1552374644053727"</f>
        <v>1552374644053727</v>
      </c>
      <c r="C2960" t="s">
        <v>40</v>
      </c>
      <c r="D2960">
        <v>5.55206</v>
      </c>
      <c r="E2960">
        <v>0.49738880000000002</v>
      </c>
      <c r="F2960" t="s">
        <v>52</v>
      </c>
      <c r="G2960">
        <v>-394.49990000000003</v>
      </c>
      <c r="H2960" s="1">
        <v>8.5781639999999995E-7</v>
      </c>
      <c r="I2960">
        <v>213.64</v>
      </c>
      <c r="J2960">
        <v>-427.59469999999999</v>
      </c>
      <c r="K2960">
        <v>1.110517</v>
      </c>
      <c r="L2960">
        <v>213.92410000000001</v>
      </c>
      <c r="M2960">
        <v>0.9995347</v>
      </c>
      <c r="N2960">
        <v>0</v>
      </c>
      <c r="O2960">
        <v>2.7422510000000001E-2</v>
      </c>
      <c r="P2960">
        <v>0.99887409999999999</v>
      </c>
      <c r="Q2960">
        <v>4.2412940000000003E-2</v>
      </c>
      <c r="R2960">
        <v>-2.12654E-2</v>
      </c>
      <c r="S2960">
        <v>3.005951</v>
      </c>
      <c r="T2960">
        <v>-9.7227809999999998E-2</v>
      </c>
      <c r="U2960">
        <v>-2.159119E-2</v>
      </c>
      <c r="V2960">
        <v>4.8602340000000001E-2</v>
      </c>
      <c r="W2960">
        <v>5.5787490000000002E-2</v>
      </c>
      <c r="X2960">
        <v>0.99725900000000001</v>
      </c>
      <c r="Y2960">
        <v>3.4571770000000002E-2</v>
      </c>
      <c r="Z2960">
        <v>-1.445719E-3</v>
      </c>
      <c r="AA2960">
        <v>0.99940119999999999</v>
      </c>
      <c r="AB2960">
        <v>26</v>
      </c>
      <c r="AC2960">
        <v>33.0947999999999</v>
      </c>
      <c r="AD2960">
        <v>-1.1105161421836001</v>
      </c>
      <c r="AE2960">
        <v>-0.284100000000023</v>
      </c>
      <c r="AF2960">
        <v>1.19027645551947</v>
      </c>
      <c r="AG2960">
        <v>-1.1105161421836001</v>
      </c>
      <c r="AH2960">
        <v>33.037363830683397</v>
      </c>
      <c r="AI2960">
        <v>91.923964983387705</v>
      </c>
      <c r="AJ2960">
        <v>87.936629173942904</v>
      </c>
      <c r="AK2960">
        <v>33.077445684689202</v>
      </c>
      <c r="AL2960">
        <v>86.801951868536307</v>
      </c>
      <c r="AM2960">
        <v>87.209844829530596</v>
      </c>
      <c r="AN2960">
        <v>0.99999997228748705</v>
      </c>
    </row>
    <row r="2961" spans="1:40" x14ac:dyDescent="0.25">
      <c r="A2961" t="str">
        <f>"20190312151044106"</f>
        <v>20190312151044106</v>
      </c>
      <c r="B2961" t="str">
        <f>"1552374644103503"</f>
        <v>1552374644103503</v>
      </c>
      <c r="C2961" t="s">
        <v>40</v>
      </c>
      <c r="D2961">
        <v>5.4500510000000002</v>
      </c>
      <c r="E2961">
        <v>0.56670830000000005</v>
      </c>
      <c r="F2961" t="s">
        <v>52</v>
      </c>
      <c r="G2961">
        <v>-388.37479999999999</v>
      </c>
      <c r="H2961" s="1">
        <v>2.9731840000000002E-6</v>
      </c>
      <c r="I2961">
        <v>213.39599999999999</v>
      </c>
      <c r="J2961">
        <v>-427.08710000000002</v>
      </c>
      <c r="K2961">
        <v>1.110331</v>
      </c>
      <c r="L2961">
        <v>213.9391</v>
      </c>
      <c r="M2961">
        <v>0.99951800000000002</v>
      </c>
      <c r="N2961">
        <v>0</v>
      </c>
      <c r="O2961">
        <v>2.8026949999999998E-2</v>
      </c>
      <c r="P2961">
        <v>0.9985058</v>
      </c>
      <c r="Q2961">
        <v>4.8022719999999998E-2</v>
      </c>
      <c r="R2961">
        <v>-2.6086120000000001E-2</v>
      </c>
      <c r="S2961">
        <v>3.0061650000000002</v>
      </c>
      <c r="T2961">
        <v>-8.5119719999999996E-2</v>
      </c>
      <c r="U2961">
        <v>-4.0481570000000001E-2</v>
      </c>
      <c r="V2961">
        <v>5.4040289999999998E-2</v>
      </c>
      <c r="W2961">
        <v>6.1359759999999999E-2</v>
      </c>
      <c r="X2961">
        <v>0.99665170000000003</v>
      </c>
      <c r="Y2961">
        <v>4.1458740000000001E-2</v>
      </c>
      <c r="Z2961">
        <v>-1.380229E-3</v>
      </c>
      <c r="AA2961">
        <v>0.99913920000000001</v>
      </c>
      <c r="AB2961">
        <v>26</v>
      </c>
      <c r="AC2961">
        <v>38.712299999999999</v>
      </c>
      <c r="AD2961">
        <v>-1.1103280268159901</v>
      </c>
      <c r="AE2961">
        <v>-0.54310000000000902</v>
      </c>
      <c r="AF2961">
        <v>1.62663317369717</v>
      </c>
      <c r="AG2961">
        <v>-1.1103280268159901</v>
      </c>
      <c r="AH2961">
        <v>38.650078593948201</v>
      </c>
      <c r="AI2961">
        <v>91.644069054613198</v>
      </c>
      <c r="AJ2961">
        <v>87.590063170207998</v>
      </c>
      <c r="AK2961">
        <v>38.700224019083898</v>
      </c>
      <c r="AL2961">
        <v>86.482134860672602</v>
      </c>
      <c r="AM2961">
        <v>86.896356551791101</v>
      </c>
      <c r="AN2961">
        <v>0.99999999210171497</v>
      </c>
    </row>
    <row r="2962" spans="1:40" x14ac:dyDescent="0.25">
      <c r="A2962" t="str">
        <f>"20190312151044129"</f>
        <v>20190312151044129</v>
      </c>
      <c r="B2962" t="str">
        <f>"1552374644124000"</f>
        <v>1552374644124000</v>
      </c>
      <c r="C2962" t="s">
        <v>40</v>
      </c>
      <c r="D2962">
        <v>5.7384950000000003</v>
      </c>
      <c r="E2962">
        <v>0.56500010000000001</v>
      </c>
      <c r="F2962" t="s">
        <v>75</v>
      </c>
      <c r="G2962">
        <v>-346.27120000000002</v>
      </c>
      <c r="H2962">
        <v>2.595961</v>
      </c>
      <c r="I2962">
        <v>197.45670000000001</v>
      </c>
      <c r="J2962">
        <v>-426.8229</v>
      </c>
      <c r="K2962">
        <v>1.1102459999999901</v>
      </c>
      <c r="L2962">
        <v>213.9468</v>
      </c>
      <c r="M2962">
        <v>0.9995153</v>
      </c>
      <c r="N2962">
        <v>0</v>
      </c>
      <c r="O2962">
        <v>2.812597E-2</v>
      </c>
      <c r="P2962">
        <v>0.99834840000000002</v>
      </c>
      <c r="Q2962">
        <v>5.0109300000000002E-2</v>
      </c>
      <c r="R2962">
        <v>-2.8108870000000001E-2</v>
      </c>
      <c r="S2962">
        <v>2.9859309999999999</v>
      </c>
      <c r="T2962">
        <v>5.489314E-2</v>
      </c>
      <c r="U2962">
        <v>-0.60897829999999997</v>
      </c>
      <c r="V2962">
        <v>5.6170879999999999E-2</v>
      </c>
      <c r="W2962">
        <v>6.3427120000000003E-2</v>
      </c>
      <c r="X2962">
        <v>0.99640450000000003</v>
      </c>
      <c r="Y2962">
        <v>0.22727600000000001</v>
      </c>
      <c r="Z2962">
        <v>2.579773E-3</v>
      </c>
      <c r="AA2962">
        <v>0.973827</v>
      </c>
      <c r="AB2962">
        <v>26</v>
      </c>
      <c r="AC2962">
        <v>80.551699999999897</v>
      </c>
      <c r="AD2962">
        <v>1.4857149999999999</v>
      </c>
      <c r="AE2962">
        <v>-16.490099999999899</v>
      </c>
      <c r="AF2962">
        <v>18.7432518051091</v>
      </c>
      <c r="AG2962">
        <v>1.4857149999999999</v>
      </c>
      <c r="AH2962">
        <v>80.029855340055903</v>
      </c>
      <c r="AI2962">
        <v>88.964468712075004</v>
      </c>
      <c r="AJ2962">
        <v>76.818718063764805</v>
      </c>
      <c r="AK2962">
        <v>82.208847352588705</v>
      </c>
      <c r="AL2962">
        <v>86.3634528003696</v>
      </c>
      <c r="AM2962">
        <v>86.773447376522299</v>
      </c>
      <c r="AN2962">
        <v>1.0000000474658499</v>
      </c>
    </row>
    <row r="2963" spans="1:40" x14ac:dyDescent="0.25">
      <c r="A2963" t="str">
        <f>"20190312151044151"</f>
        <v>20190312151044151</v>
      </c>
      <c r="B2963" t="str">
        <f>"1552374644143520"</f>
        <v>1552374644143520</v>
      </c>
      <c r="C2963" t="s">
        <v>40</v>
      </c>
      <c r="D2963">
        <v>5.5674169999999998</v>
      </c>
      <c r="E2963">
        <v>0.56353589999999998</v>
      </c>
      <c r="F2963" t="s">
        <v>43</v>
      </c>
      <c r="G2963">
        <v>-373.00650000000002</v>
      </c>
      <c r="H2963">
        <v>-0.05</v>
      </c>
      <c r="I2963">
        <v>203.1532</v>
      </c>
      <c r="J2963">
        <v>-426.57100000000003</v>
      </c>
      <c r="K2963">
        <v>1.1101700000000001</v>
      </c>
      <c r="L2963">
        <v>213.95400000000001</v>
      </c>
      <c r="M2963">
        <v>0.99951619999999997</v>
      </c>
      <c r="N2963">
        <v>0</v>
      </c>
      <c r="O2963">
        <v>2.8097540000000001E-2</v>
      </c>
      <c r="P2963">
        <v>0.99822370000000005</v>
      </c>
      <c r="Q2963">
        <v>5.1247309999999997E-2</v>
      </c>
      <c r="R2963">
        <v>-3.0394350000000001E-2</v>
      </c>
      <c r="S2963">
        <v>2.9913020000000001</v>
      </c>
      <c r="T2963">
        <v>-6.4490560000000002E-2</v>
      </c>
      <c r="U2963">
        <v>-0.59994510000000001</v>
      </c>
      <c r="V2963">
        <v>5.8437969999999999E-2</v>
      </c>
      <c r="W2963">
        <v>6.4546350000000002E-2</v>
      </c>
      <c r="X2963">
        <v>0.99620220000000004</v>
      </c>
      <c r="Y2963">
        <v>0.2240644</v>
      </c>
      <c r="Z2963">
        <v>-2.9913969999999998E-3</v>
      </c>
      <c r="AA2963">
        <v>0.97456969999999998</v>
      </c>
      <c r="AB2963">
        <v>26</v>
      </c>
      <c r="AC2963">
        <v>53.564499999999903</v>
      </c>
      <c r="AD2963">
        <v>-1.1601699999999999</v>
      </c>
      <c r="AE2963">
        <v>-10.800800000000001</v>
      </c>
      <c r="AF2963">
        <v>12.2961564373964</v>
      </c>
      <c r="AG2963">
        <v>-1.1601699999999999</v>
      </c>
      <c r="AH2963">
        <v>53.215855796135102</v>
      </c>
      <c r="AI2963">
        <v>91.216867786417396</v>
      </c>
      <c r="AJ2963">
        <v>76.989463693733995</v>
      </c>
      <c r="AK2963">
        <v>54.630291649202</v>
      </c>
      <c r="AL2963">
        <v>86.299193880689799</v>
      </c>
      <c r="AM2963">
        <v>86.642833734905906</v>
      </c>
      <c r="AN2963">
        <v>1.00000002546044</v>
      </c>
    </row>
    <row r="2964" spans="1:40" x14ac:dyDescent="0.25">
      <c r="A2964" t="str">
        <f>"20190312151044173"</f>
        <v>20190312151044173</v>
      </c>
      <c r="B2964" t="str">
        <f>"1552374644163549"</f>
        <v>1552374644163549</v>
      </c>
      <c r="C2964" t="s">
        <v>40</v>
      </c>
      <c r="D2964">
        <v>5.5465059999999999</v>
      </c>
      <c r="E2964">
        <v>0.5634884</v>
      </c>
      <c r="F2964" t="s">
        <v>75</v>
      </c>
      <c r="G2964">
        <v>-347.4984</v>
      </c>
      <c r="H2964">
        <v>5.721571</v>
      </c>
      <c r="I2964">
        <v>198.0797</v>
      </c>
      <c r="J2964">
        <v>-426.32549999999998</v>
      </c>
      <c r="K2964">
        <v>1.1100840000000001</v>
      </c>
      <c r="L2964">
        <v>213.96080000000001</v>
      </c>
      <c r="M2964">
        <v>0.99952050000000003</v>
      </c>
      <c r="N2964">
        <v>0</v>
      </c>
      <c r="O2964">
        <v>2.7947110000000001E-2</v>
      </c>
      <c r="P2964">
        <v>0.99814130000000001</v>
      </c>
      <c r="Q2964">
        <v>5.1620739999999998E-2</v>
      </c>
      <c r="R2964">
        <v>-3.2396130000000002E-2</v>
      </c>
      <c r="S2964">
        <v>2.97818</v>
      </c>
      <c r="T2964">
        <v>0.17368629999999999</v>
      </c>
      <c r="U2964">
        <v>-0.59788509999999995</v>
      </c>
      <c r="V2964">
        <v>6.0301710000000001E-2</v>
      </c>
      <c r="W2964">
        <v>6.4901310000000004E-2</v>
      </c>
      <c r="X2964">
        <v>0.99606810000000001</v>
      </c>
      <c r="Y2964">
        <v>0.22374230000000001</v>
      </c>
      <c r="Z2964">
        <v>8.0680549999999993E-3</v>
      </c>
      <c r="AA2964">
        <v>0.97461489999999995</v>
      </c>
      <c r="AB2964">
        <v>26</v>
      </c>
      <c r="AC2964">
        <v>78.827099999999902</v>
      </c>
      <c r="AD2964">
        <v>4.6114870000000003</v>
      </c>
      <c r="AE2964">
        <v>-15.8811</v>
      </c>
      <c r="AF2964">
        <v>18.018819001075698</v>
      </c>
      <c r="AG2964">
        <v>4.6114870000000003</v>
      </c>
      <c r="AH2964">
        <v>78.095585510335098</v>
      </c>
      <c r="AI2964">
        <v>86.706968655867101</v>
      </c>
      <c r="AJ2964">
        <v>77.007639543726199</v>
      </c>
      <c r="AK2964">
        <v>80.279911103256495</v>
      </c>
      <c r="AL2964">
        <v>86.278813596509906</v>
      </c>
      <c r="AM2964">
        <v>86.535556385235694</v>
      </c>
      <c r="AN2964">
        <v>1.00000006805312</v>
      </c>
    </row>
    <row r="2965" spans="1:40" x14ac:dyDescent="0.25">
      <c r="A2965" t="str">
        <f>"20190312151044195"</f>
        <v>20190312151044195</v>
      </c>
      <c r="B2965" t="str">
        <f>"1552374644184045"</f>
        <v>1552374644184045</v>
      </c>
      <c r="C2965" t="s">
        <v>40</v>
      </c>
      <c r="D2965">
        <v>5.5728239999999998</v>
      </c>
      <c r="E2965">
        <v>0.56252309999999905</v>
      </c>
      <c r="F2965" t="s">
        <v>67</v>
      </c>
      <c r="G2965">
        <v>-257.05439999999999</v>
      </c>
      <c r="H2965">
        <v>14.857189999999999</v>
      </c>
      <c r="I2965">
        <v>179.5686</v>
      </c>
      <c r="J2965">
        <v>-426.07080000000002</v>
      </c>
      <c r="K2965">
        <v>1.109979</v>
      </c>
      <c r="L2965">
        <v>213.96770000000001</v>
      </c>
      <c r="M2965">
        <v>0.99952839999999998</v>
      </c>
      <c r="N2965">
        <v>0</v>
      </c>
      <c r="O2965">
        <v>2.7655409999999998E-2</v>
      </c>
      <c r="P2965">
        <v>0.9980694</v>
      </c>
      <c r="Q2965">
        <v>5.1844439999999999E-2</v>
      </c>
      <c r="R2965">
        <v>-3.4199309999999997E-2</v>
      </c>
      <c r="S2965">
        <v>2.9734500000000001</v>
      </c>
      <c r="T2965">
        <v>0.24148520000000001</v>
      </c>
      <c r="U2965">
        <v>-0.60414119999999905</v>
      </c>
      <c r="V2965">
        <v>6.1828699999999903E-2</v>
      </c>
      <c r="W2965">
        <v>6.5104490000000001E-2</v>
      </c>
      <c r="X2965">
        <v>0.99596110000000004</v>
      </c>
      <c r="Y2965">
        <v>0.22533710000000001</v>
      </c>
      <c r="Z2965">
        <v>1.126454E-2</v>
      </c>
      <c r="AA2965">
        <v>0.97421570000000002</v>
      </c>
      <c r="AB2965">
        <v>26</v>
      </c>
      <c r="AC2965">
        <v>169.0164</v>
      </c>
      <c r="AD2965">
        <v>13.747210999999901</v>
      </c>
      <c r="AE2965">
        <v>-34.399099999999997</v>
      </c>
      <c r="AF2965">
        <v>38.814008898268298</v>
      </c>
      <c r="AG2965">
        <v>13.747210999999901</v>
      </c>
      <c r="AH2965">
        <v>166.93985136365799</v>
      </c>
      <c r="AI2965">
        <v>85.414187661283506</v>
      </c>
      <c r="AJ2965">
        <v>76.911106535729104</v>
      </c>
      <c r="AK2965">
        <v>171.94309253457499</v>
      </c>
      <c r="AL2965">
        <v>86.267147118271893</v>
      </c>
      <c r="AM2965">
        <v>86.447669226322304</v>
      </c>
      <c r="AN2965">
        <v>0.99999994773752798</v>
      </c>
    </row>
    <row r="2966" spans="1:40" x14ac:dyDescent="0.25">
      <c r="A2966" t="str">
        <f>"20190312151044218"</f>
        <v>20190312151044218</v>
      </c>
      <c r="B2966" t="str">
        <f>"1552374644214298"</f>
        <v>1552374644214298</v>
      </c>
      <c r="C2966" t="s">
        <v>40</v>
      </c>
      <c r="D2966">
        <v>5.5765060000000002</v>
      </c>
      <c r="E2966">
        <v>0.5617337</v>
      </c>
      <c r="F2966" t="s">
        <v>67</v>
      </c>
      <c r="G2966">
        <v>-256.94639999999998</v>
      </c>
      <c r="H2966">
        <v>16.664159999999999</v>
      </c>
      <c r="I2966">
        <v>179.6943</v>
      </c>
      <c r="J2966">
        <v>-425.81599999999997</v>
      </c>
      <c r="K2966">
        <v>1.109856</v>
      </c>
      <c r="L2966">
        <v>213.9744</v>
      </c>
      <c r="M2966">
        <v>0.99954080000000001</v>
      </c>
      <c r="N2966">
        <v>0</v>
      </c>
      <c r="O2966">
        <v>2.7207019999999998E-2</v>
      </c>
      <c r="P2966">
        <v>0.99791969999999997</v>
      </c>
      <c r="Q2966">
        <v>5.3273859999999999E-2</v>
      </c>
      <c r="R2966">
        <v>-3.6308939999999998E-2</v>
      </c>
      <c r="S2966">
        <v>2.9710079999999999</v>
      </c>
      <c r="T2966">
        <v>0.27324090000000001</v>
      </c>
      <c r="U2966">
        <v>-0.60208130000000004</v>
      </c>
      <c r="V2966">
        <v>6.3506530000000005E-2</v>
      </c>
      <c r="W2966">
        <v>6.6510009999999994E-2</v>
      </c>
      <c r="X2966">
        <v>0.9957627</v>
      </c>
      <c r="Y2966">
        <v>0.2241881</v>
      </c>
      <c r="Z2966">
        <v>1.2658259999999999E-2</v>
      </c>
      <c r="AA2966">
        <v>0.97446370000000004</v>
      </c>
      <c r="AB2966">
        <v>25</v>
      </c>
      <c r="AC2966">
        <v>168.86959999999999</v>
      </c>
      <c r="AD2966">
        <v>15.554303999999901</v>
      </c>
      <c r="AE2966">
        <v>-34.280099999999997</v>
      </c>
      <c r="AF2966">
        <v>38.548158004194903</v>
      </c>
      <c r="AG2966">
        <v>15.554303999999901</v>
      </c>
      <c r="AH2966">
        <v>166.51751934987101</v>
      </c>
      <c r="AI2966">
        <v>84.800246216792999</v>
      </c>
      <c r="AJ2966">
        <v>76.965848142341201</v>
      </c>
      <c r="AK2966">
        <v>171.62744858814301</v>
      </c>
      <c r="AL2966">
        <v>86.186442031879295</v>
      </c>
      <c r="AM2966">
        <v>86.350802492752393</v>
      </c>
      <c r="AN2966">
        <v>1.0000000077470601</v>
      </c>
    </row>
    <row r="2967" spans="1:40" x14ac:dyDescent="0.25">
      <c r="A2967" t="str">
        <f>"20190312151044239"</f>
        <v>20190312151044239</v>
      </c>
      <c r="B2967" t="str">
        <f>"1552374644233818"</f>
        <v>1552374644233818</v>
      </c>
      <c r="C2967" t="s">
        <v>40</v>
      </c>
      <c r="D2967">
        <v>5.5749360000000001</v>
      </c>
      <c r="E2967">
        <v>0.56131589999999998</v>
      </c>
      <c r="F2967" t="s">
        <v>67</v>
      </c>
      <c r="G2967">
        <v>-260.39960000000002</v>
      </c>
      <c r="H2967">
        <v>18.162179999999999</v>
      </c>
      <c r="I2967">
        <v>180.39609999999999</v>
      </c>
      <c r="J2967">
        <v>-425.56869999999998</v>
      </c>
      <c r="K2967">
        <v>1.109739</v>
      </c>
      <c r="L2967">
        <v>213.98050000000001</v>
      </c>
      <c r="M2967">
        <v>0.99955749999999999</v>
      </c>
      <c r="N2967">
        <v>0</v>
      </c>
      <c r="O2967">
        <v>2.6590119999999998E-2</v>
      </c>
      <c r="P2967">
        <v>0.9978264</v>
      </c>
      <c r="Q2967">
        <v>5.4170009999999998E-2</v>
      </c>
      <c r="R2967">
        <v>-3.7530809999999998E-2</v>
      </c>
      <c r="S2967">
        <v>2.9679869999999999</v>
      </c>
      <c r="T2967">
        <v>0.30596240000000002</v>
      </c>
      <c r="U2967">
        <v>-0.60247799999999996</v>
      </c>
      <c r="V2967">
        <v>6.4130980000000004E-2</v>
      </c>
      <c r="W2967">
        <v>6.7384470000000002E-2</v>
      </c>
      <c r="X2967">
        <v>0.99566390000000005</v>
      </c>
      <c r="Y2967">
        <v>0.22364999999999999</v>
      </c>
      <c r="Z2967">
        <v>1.4090419999999999E-2</v>
      </c>
      <c r="AA2967">
        <v>0.97456770000000004</v>
      </c>
      <c r="AB2967">
        <v>25</v>
      </c>
      <c r="AC2967">
        <v>165.16909999999899</v>
      </c>
      <c r="AD2967">
        <v>17.052440999999899</v>
      </c>
      <c r="AE2967">
        <v>-33.584400000000002</v>
      </c>
      <c r="AF2967">
        <v>37.5801177920588</v>
      </c>
      <c r="AG2967">
        <v>17.052440999999899</v>
      </c>
      <c r="AH2967">
        <v>162.55373177125</v>
      </c>
      <c r="AI2967">
        <v>84.164199273826398</v>
      </c>
      <c r="AJ2967">
        <v>76.982723316335395</v>
      </c>
      <c r="AK2967">
        <v>167.71036554155799</v>
      </c>
      <c r="AL2967">
        <v>86.136226574606994</v>
      </c>
      <c r="AM2967">
        <v>86.314654225343304</v>
      </c>
      <c r="AN2967">
        <v>1.0000000255780701</v>
      </c>
    </row>
    <row r="2968" spans="1:40" x14ac:dyDescent="0.25">
      <c r="A2968" t="str">
        <f>"20190312151044262"</f>
        <v>20190312151044262</v>
      </c>
      <c r="B2968" t="str">
        <f>"1552374644253788"</f>
        <v>1552374644253788</v>
      </c>
      <c r="C2968" t="s">
        <v>40</v>
      </c>
      <c r="D2968">
        <v>5.5224989999999998</v>
      </c>
      <c r="E2968">
        <v>0.56125069999999999</v>
      </c>
      <c r="F2968" t="s">
        <v>67</v>
      </c>
      <c r="G2968">
        <v>-260.27859999999998</v>
      </c>
      <c r="H2968">
        <v>18.77347</v>
      </c>
      <c r="I2968">
        <v>180.38980000000001</v>
      </c>
      <c r="J2968">
        <v>-425.30889999999999</v>
      </c>
      <c r="K2968">
        <v>1.109621</v>
      </c>
      <c r="L2968">
        <v>213.98660000000001</v>
      </c>
      <c r="M2968">
        <v>0.99957870000000004</v>
      </c>
      <c r="N2968">
        <v>0</v>
      </c>
      <c r="O2968">
        <v>2.5784129999999999E-2</v>
      </c>
      <c r="P2968">
        <v>0.99779620000000002</v>
      </c>
      <c r="Q2968">
        <v>5.4260940000000001E-2</v>
      </c>
      <c r="R2968">
        <v>-3.8190580000000002E-2</v>
      </c>
      <c r="S2968">
        <v>2.9666440000000001</v>
      </c>
      <c r="T2968">
        <v>0.31703140000000002</v>
      </c>
      <c r="U2968">
        <v>-0.60288999999999904</v>
      </c>
      <c r="V2968">
        <v>6.4005290000000006E-2</v>
      </c>
      <c r="W2968">
        <v>6.7456779999999994E-2</v>
      </c>
      <c r="X2968">
        <v>0.99566699999999997</v>
      </c>
      <c r="Y2968">
        <v>0.22299350000000001</v>
      </c>
      <c r="Z2968">
        <v>1.4483920000000001E-2</v>
      </c>
      <c r="AA2968">
        <v>0.97471229999999998</v>
      </c>
      <c r="AB2968">
        <v>25</v>
      </c>
      <c r="AC2968">
        <v>165.03030000000001</v>
      </c>
      <c r="AD2968">
        <v>17.663848999999999</v>
      </c>
      <c r="AE2968">
        <v>-33.596800000000002</v>
      </c>
      <c r="AF2968">
        <v>37.429431416930797</v>
      </c>
      <c r="AG2968">
        <v>17.663848999999999</v>
      </c>
      <c r="AH2968">
        <v>162.323464658587</v>
      </c>
      <c r="AI2968">
        <v>83.947181024685193</v>
      </c>
      <c r="AJ2968">
        <v>77.015380302392799</v>
      </c>
      <c r="AK2968">
        <v>167.51680834011</v>
      </c>
      <c r="AL2968">
        <v>86.1320737160314</v>
      </c>
      <c r="AM2968">
        <v>86.321868690123594</v>
      </c>
      <c r="AN2968">
        <v>0.99999993460247405</v>
      </c>
    </row>
    <row r="2969" spans="1:40" x14ac:dyDescent="0.25">
      <c r="A2969" t="str">
        <f>"20190312151044285"</f>
        <v>20190312151044285</v>
      </c>
      <c r="B2969" t="str">
        <f>"1552374644274295"</f>
        <v>1552374644274295</v>
      </c>
      <c r="C2969" t="s">
        <v>40</v>
      </c>
      <c r="D2969">
        <v>5.6880610000000003</v>
      </c>
      <c r="E2969">
        <v>0.56127869999999902</v>
      </c>
      <c r="F2969" t="s">
        <v>67</v>
      </c>
      <c r="G2969">
        <v>-260.23680000000002</v>
      </c>
      <c r="H2969">
        <v>18.973379999999999</v>
      </c>
      <c r="I2969">
        <v>180.3458</v>
      </c>
      <c r="J2969">
        <v>-425.0478</v>
      </c>
      <c r="K2969">
        <v>1.109513</v>
      </c>
      <c r="L2969">
        <v>213.9923</v>
      </c>
      <c r="M2969">
        <v>0.99960329999999997</v>
      </c>
      <c r="N2969">
        <v>0</v>
      </c>
      <c r="O2969">
        <v>2.4809609999999999E-2</v>
      </c>
      <c r="P2969">
        <v>0.99784150000000005</v>
      </c>
      <c r="Q2969">
        <v>5.315156E-2</v>
      </c>
      <c r="R2969">
        <v>-3.8568440000000002E-2</v>
      </c>
      <c r="S2969">
        <v>2.9660340000000001</v>
      </c>
      <c r="T2969">
        <v>0.32097890000000001</v>
      </c>
      <c r="U2969">
        <v>-0.60446169999999899</v>
      </c>
      <c r="V2969">
        <v>6.3427709999999998E-2</v>
      </c>
      <c r="W2969">
        <v>6.6332559999999999E-2</v>
      </c>
      <c r="X2969">
        <v>0.99577959999999999</v>
      </c>
      <c r="Y2969">
        <v>0.2225521</v>
      </c>
      <c r="Z2969">
        <v>1.4537649999999999E-2</v>
      </c>
      <c r="AA2969">
        <v>0.97481240000000002</v>
      </c>
      <c r="AB2969">
        <v>25</v>
      </c>
      <c r="AC2969">
        <v>164.81099999999901</v>
      </c>
      <c r="AD2969">
        <v>17.863866999999999</v>
      </c>
      <c r="AE2969">
        <v>-33.646500000000003</v>
      </c>
      <c r="AF2969">
        <v>37.3046670156521</v>
      </c>
      <c r="AG2969">
        <v>17.863866999999999</v>
      </c>
      <c r="AH2969">
        <v>162.09724320896601</v>
      </c>
      <c r="AI2969">
        <v>83.870085649234994</v>
      </c>
      <c r="AJ2969">
        <v>77.039749092752601</v>
      </c>
      <c r="AK2969">
        <v>167.290980573637</v>
      </c>
      <c r="AL2969">
        <v>86.196631820815</v>
      </c>
      <c r="AM2969">
        <v>86.355381103152894</v>
      </c>
      <c r="AN2969">
        <v>1.00000004734407</v>
      </c>
    </row>
    <row r="2970" spans="1:40" x14ac:dyDescent="0.25">
      <c r="A2970" t="str">
        <f>"20190312151044306"</f>
        <v>20190312151044306</v>
      </c>
      <c r="B2970" t="str">
        <f>"1552374644303564"</f>
        <v>1552374644303564</v>
      </c>
      <c r="C2970" t="s">
        <v>40</v>
      </c>
      <c r="D2970">
        <v>5.5546550000000003</v>
      </c>
      <c r="E2970">
        <v>0.56155940000000004</v>
      </c>
      <c r="F2970" t="s">
        <v>67</v>
      </c>
      <c r="G2970">
        <v>-260.17880000000002</v>
      </c>
      <c r="H2970">
        <v>19.144909999999999</v>
      </c>
      <c r="I2970">
        <v>180.3168</v>
      </c>
      <c r="J2970">
        <v>-424.80939999999998</v>
      </c>
      <c r="K2970">
        <v>1.109413</v>
      </c>
      <c r="L2970">
        <v>213.99709999999999</v>
      </c>
      <c r="M2970">
        <v>0.99962850000000003</v>
      </c>
      <c r="N2970">
        <v>0</v>
      </c>
      <c r="O2970">
        <v>2.3772870000000002E-2</v>
      </c>
      <c r="P2970">
        <v>0.99783390000000005</v>
      </c>
      <c r="Q2970">
        <v>5.2851040000000002E-2</v>
      </c>
      <c r="R2970">
        <v>-3.9170829999999997E-2</v>
      </c>
      <c r="S2970">
        <v>2.9657589999999998</v>
      </c>
      <c r="T2970">
        <v>0.324432</v>
      </c>
      <c r="U2970">
        <v>-0.60577389999999998</v>
      </c>
      <c r="V2970">
        <v>6.3010339999999998E-2</v>
      </c>
      <c r="W2970">
        <v>6.6018510000000002E-2</v>
      </c>
      <c r="X2970">
        <v>0.99582689999999996</v>
      </c>
      <c r="Y2970">
        <v>0.22195239999999999</v>
      </c>
      <c r="Z2970">
        <v>1.454943E-2</v>
      </c>
      <c r="AA2970">
        <v>0.97494890000000001</v>
      </c>
      <c r="AB2970">
        <v>25</v>
      </c>
      <c r="AC2970">
        <v>164.63059999999899</v>
      </c>
      <c r="AD2970">
        <v>18.035496999999999</v>
      </c>
      <c r="AE2970">
        <v>-33.680299999999903</v>
      </c>
      <c r="AF2970">
        <v>37.156846194784599</v>
      </c>
      <c r="AG2970">
        <v>18.035496999999999</v>
      </c>
      <c r="AH2970">
        <v>161.91812241799801</v>
      </c>
      <c r="AI2970">
        <v>83.803970280109397</v>
      </c>
      <c r="AJ2970">
        <v>77.075577462216202</v>
      </c>
      <c r="AK2970">
        <v>167.102928575623</v>
      </c>
      <c r="AL2970">
        <v>86.214664835881706</v>
      </c>
      <c r="AM2970">
        <v>86.379471108388302</v>
      </c>
      <c r="AN2970">
        <v>0.99999998068657203</v>
      </c>
    </row>
    <row r="2971" spans="1:40" x14ac:dyDescent="0.25">
      <c r="A2971" t="str">
        <f>"20190312151044330"</f>
        <v>20190312151044330</v>
      </c>
      <c r="B2971" t="str">
        <f>"1552374644324059"</f>
        <v>1552374644324059</v>
      </c>
      <c r="C2971" t="s">
        <v>40</v>
      </c>
      <c r="D2971">
        <v>5.5394019999999999</v>
      </c>
      <c r="E2971">
        <v>0.56184400000000001</v>
      </c>
      <c r="F2971" t="s">
        <v>67</v>
      </c>
      <c r="G2971">
        <v>-260.0532</v>
      </c>
      <c r="H2971">
        <v>19.40185</v>
      </c>
      <c r="I2971">
        <v>180.1207</v>
      </c>
      <c r="J2971">
        <v>-424.5342</v>
      </c>
      <c r="K2971">
        <v>1.10931</v>
      </c>
      <c r="L2971">
        <v>214.00219999999999</v>
      </c>
      <c r="M2971">
        <v>0.99966010000000005</v>
      </c>
      <c r="N2971">
        <v>0</v>
      </c>
      <c r="O2971">
        <v>2.2403579999999999E-2</v>
      </c>
      <c r="P2971">
        <v>0.99783350000000004</v>
      </c>
      <c r="Q2971">
        <v>5.2207730000000001E-2</v>
      </c>
      <c r="R2971">
        <v>-4.0038320000000002E-2</v>
      </c>
      <c r="S2971">
        <v>2.9651489999999998</v>
      </c>
      <c r="T2971">
        <v>0.32921339999999999</v>
      </c>
      <c r="U2971">
        <v>-0.60968020000000001</v>
      </c>
      <c r="V2971">
        <v>6.2528269999999997E-2</v>
      </c>
      <c r="W2971">
        <v>6.5360489999999993E-2</v>
      </c>
      <c r="X2971">
        <v>0.99590069999999997</v>
      </c>
      <c r="Y2971">
        <v>0.2218561</v>
      </c>
      <c r="Z2971">
        <v>1.46082E-2</v>
      </c>
      <c r="AA2971">
        <v>0.97497</v>
      </c>
      <c r="AB2971">
        <v>25</v>
      </c>
      <c r="AC2971">
        <v>164.48099999999999</v>
      </c>
      <c r="AD2971">
        <v>18.292539999999999</v>
      </c>
      <c r="AE2971">
        <v>-33.881499999999903</v>
      </c>
      <c r="AF2971">
        <v>37.117880594448799</v>
      </c>
      <c r="AG2971">
        <v>18.292539999999999</v>
      </c>
      <c r="AH2971">
        <v>161.76127272429599</v>
      </c>
      <c r="AI2971">
        <v>83.710296532584294</v>
      </c>
      <c r="AJ2971">
        <v>77.076577436340699</v>
      </c>
      <c r="AK2971">
        <v>166.970247148585</v>
      </c>
      <c r="AL2971">
        <v>86.252448253569895</v>
      </c>
      <c r="AM2971">
        <v>86.407363218570495</v>
      </c>
      <c r="AN2971">
        <v>0.99999999123136096</v>
      </c>
    </row>
    <row r="2972" spans="1:40" x14ac:dyDescent="0.25">
      <c r="A2972" t="str">
        <f>"20190312151044352"</f>
        <v>20190312151044352</v>
      </c>
      <c r="B2972" t="str">
        <f>"1552374644343579"</f>
        <v>1552374644343579</v>
      </c>
      <c r="C2972" t="s">
        <v>40</v>
      </c>
      <c r="D2972">
        <v>5.673038</v>
      </c>
      <c r="E2972">
        <v>0.56209980000000004</v>
      </c>
      <c r="F2972" t="s">
        <v>67</v>
      </c>
      <c r="G2972">
        <v>-260.03559999999999</v>
      </c>
      <c r="H2972">
        <v>19.431159999999998</v>
      </c>
      <c r="I2972">
        <v>179.9058</v>
      </c>
      <c r="J2972">
        <v>-424.28739999999999</v>
      </c>
      <c r="K2972">
        <v>1.1092219999999999</v>
      </c>
      <c r="L2972">
        <v>214.00630000000001</v>
      </c>
      <c r="M2972">
        <v>0.99968979999999996</v>
      </c>
      <c r="N2972">
        <v>0</v>
      </c>
      <c r="O2972">
        <v>2.103052E-2</v>
      </c>
      <c r="P2972">
        <v>0.99777640000000001</v>
      </c>
      <c r="Q2972">
        <v>5.2622210000000003E-2</v>
      </c>
      <c r="R2972">
        <v>-4.0904349999999999E-2</v>
      </c>
      <c r="S2972">
        <v>2.9645999999999999</v>
      </c>
      <c r="T2972">
        <v>0.33019769999999998</v>
      </c>
      <c r="U2972">
        <v>-0.61448669999999905</v>
      </c>
      <c r="V2972">
        <v>6.2040489999999997E-2</v>
      </c>
      <c r="W2972">
        <v>6.5762070000000006E-2</v>
      </c>
      <c r="X2972">
        <v>0.99590480000000003</v>
      </c>
      <c r="Y2972">
        <v>0.2220674</v>
      </c>
      <c r="Z2972">
        <v>1.4512499999999999E-2</v>
      </c>
      <c r="AA2972">
        <v>0.97492330000000005</v>
      </c>
      <c r="AB2972">
        <v>25</v>
      </c>
      <c r="AC2972">
        <v>164.2518</v>
      </c>
      <c r="AD2972">
        <v>18.321937999999999</v>
      </c>
      <c r="AE2972">
        <v>-34.100499999999997</v>
      </c>
      <c r="AF2972">
        <v>37.104948724859099</v>
      </c>
      <c r="AG2972">
        <v>18.321937999999999</v>
      </c>
      <c r="AH2972">
        <v>161.570909586342</v>
      </c>
      <c r="AI2972">
        <v>83.693166595424699</v>
      </c>
      <c r="AJ2972">
        <v>77.066219153241306</v>
      </c>
      <c r="AK2972">
        <v>166.78617885336899</v>
      </c>
      <c r="AL2972">
        <v>86.229389918988403</v>
      </c>
      <c r="AM2972">
        <v>86.435331292977807</v>
      </c>
      <c r="AN2972">
        <v>1.0000000214565801</v>
      </c>
    </row>
    <row r="2973" spans="1:40" x14ac:dyDescent="0.25">
      <c r="A2973" t="str">
        <f>"20190312151044374"</f>
        <v>20190312151044374</v>
      </c>
      <c r="B2973" t="str">
        <f>"1552374644364079"</f>
        <v>1552374644364079</v>
      </c>
      <c r="C2973" t="s">
        <v>40</v>
      </c>
      <c r="D2973">
        <v>5.6796470000000001</v>
      </c>
      <c r="E2973">
        <v>0.56251850000000003</v>
      </c>
      <c r="F2973" t="s">
        <v>67</v>
      </c>
      <c r="G2973">
        <v>-259.91079999999999</v>
      </c>
      <c r="H2973">
        <v>19.684470000000001</v>
      </c>
      <c r="I2973">
        <v>179.65870000000001</v>
      </c>
      <c r="J2973">
        <v>-424.03620000000001</v>
      </c>
      <c r="K2973">
        <v>1.1091409999999999</v>
      </c>
      <c r="L2973">
        <v>214.00989999999999</v>
      </c>
      <c r="M2973">
        <v>0.99972079999999997</v>
      </c>
      <c r="N2973">
        <v>0</v>
      </c>
      <c r="O2973">
        <v>1.9509459999999999E-2</v>
      </c>
      <c r="P2973">
        <v>0.99764030000000004</v>
      </c>
      <c r="Q2973">
        <v>5.454432E-2</v>
      </c>
      <c r="R2973">
        <v>-4.1702200000000002E-2</v>
      </c>
      <c r="S2973">
        <v>2.9635929999999999</v>
      </c>
      <c r="T2973">
        <v>0.33489940000000001</v>
      </c>
      <c r="U2973">
        <v>-0.61926269999999894</v>
      </c>
      <c r="V2973">
        <v>6.1339110000000002E-2</v>
      </c>
      <c r="W2973">
        <v>6.767136E-2</v>
      </c>
      <c r="X2973">
        <v>0.99582029999999999</v>
      </c>
      <c r="Y2973">
        <v>0.2221235</v>
      </c>
      <c r="Z2973">
        <v>1.455383E-2</v>
      </c>
      <c r="AA2973">
        <v>0.9749099</v>
      </c>
      <c r="AB2973">
        <v>25</v>
      </c>
      <c r="AC2973">
        <v>164.12540000000001</v>
      </c>
      <c r="AD2973">
        <v>18.575329</v>
      </c>
      <c r="AE2973">
        <v>-34.351199999999899</v>
      </c>
      <c r="AF2973">
        <v>37.091767452172803</v>
      </c>
      <c r="AG2973">
        <v>18.575329</v>
      </c>
      <c r="AH2973">
        <v>161.44276061747101</v>
      </c>
      <c r="AI2973">
        <v>83.601767474749195</v>
      </c>
      <c r="AJ2973">
        <v>77.060741668839697</v>
      </c>
      <c r="AK2973">
        <v>166.687153122171</v>
      </c>
      <c r="AL2973">
        <v>86.119751223160407</v>
      </c>
      <c r="AM2973">
        <v>86.475230102062099</v>
      </c>
      <c r="AN2973">
        <v>0.99999998463596496</v>
      </c>
    </row>
    <row r="2974" spans="1:40" x14ac:dyDescent="0.25">
      <c r="A2974" t="str">
        <f>"20190312151044397"</f>
        <v>20190312151044397</v>
      </c>
      <c r="B2974" t="str">
        <f>"1552374644393356"</f>
        <v>1552374644393356</v>
      </c>
      <c r="C2974" t="s">
        <v>40</v>
      </c>
      <c r="D2974">
        <v>5.5612620000000001</v>
      </c>
      <c r="E2974">
        <v>0.56294820000000001</v>
      </c>
      <c r="F2974" t="s">
        <v>67</v>
      </c>
      <c r="G2974">
        <v>-259.74160000000001</v>
      </c>
      <c r="H2974">
        <v>20.06382</v>
      </c>
      <c r="I2974">
        <v>179.3494</v>
      </c>
      <c r="J2974">
        <v>-423.78719999999998</v>
      </c>
      <c r="K2974">
        <v>1.109084</v>
      </c>
      <c r="L2974">
        <v>214.01300000000001</v>
      </c>
      <c r="M2974">
        <v>0.99975099999999995</v>
      </c>
      <c r="N2974">
        <v>0</v>
      </c>
      <c r="O2974">
        <v>1.789665E-2</v>
      </c>
      <c r="P2974">
        <v>0.997471</v>
      </c>
      <c r="Q2974">
        <v>5.7161549999999998E-2</v>
      </c>
      <c r="R2974">
        <v>-4.2242500000000002E-2</v>
      </c>
      <c r="S2974">
        <v>2.9622799999999998</v>
      </c>
      <c r="T2974">
        <v>0.34175939999999999</v>
      </c>
      <c r="U2974">
        <v>-0.62493900000000002</v>
      </c>
      <c r="V2974">
        <v>6.0288809999999998E-2</v>
      </c>
      <c r="W2974">
        <v>7.0279140000000004E-2</v>
      </c>
      <c r="X2974">
        <v>0.99570380000000003</v>
      </c>
      <c r="Y2974">
        <v>0.22237409999999999</v>
      </c>
      <c r="Z2974">
        <v>1.4684239999999999E-2</v>
      </c>
      <c r="AA2974">
        <v>0.97485080000000002</v>
      </c>
      <c r="AB2974">
        <v>25</v>
      </c>
      <c r="AC2974">
        <v>164.04559999999901</v>
      </c>
      <c r="AD2974">
        <v>18.954735999999901</v>
      </c>
      <c r="AE2974">
        <v>-34.663600000000002</v>
      </c>
      <c r="AF2974">
        <v>37.119778860579402</v>
      </c>
      <c r="AG2974">
        <v>18.954735999999901</v>
      </c>
      <c r="AH2974">
        <v>161.33699518867499</v>
      </c>
      <c r="AI2974">
        <v>83.468414489536698</v>
      </c>
      <c r="AJ2974">
        <v>77.043097036475899</v>
      </c>
      <c r="AK2974">
        <v>166.63368811857501</v>
      </c>
      <c r="AL2974">
        <v>85.969979661764995</v>
      </c>
      <c r="AM2974">
        <v>86.535031524365706</v>
      </c>
      <c r="AN2974">
        <v>0.99999997773239702</v>
      </c>
    </row>
    <row r="2975" spans="1:40" x14ac:dyDescent="0.25">
      <c r="A2975" t="str">
        <f>"20190312151044419"</f>
        <v>20190312151044419</v>
      </c>
      <c r="B2975" t="str">
        <f>"1552374644413852"</f>
        <v>1552374644413852</v>
      </c>
      <c r="C2975" t="s">
        <v>40</v>
      </c>
      <c r="D2975">
        <v>5.6248370000000003</v>
      </c>
      <c r="E2975">
        <v>0.56328819999999902</v>
      </c>
      <c r="F2975" t="s">
        <v>67</v>
      </c>
      <c r="G2975">
        <v>-259.61180000000002</v>
      </c>
      <c r="H2975">
        <v>20.501750000000001</v>
      </c>
      <c r="I2975">
        <v>179.06720000000001</v>
      </c>
      <c r="J2975">
        <v>-423.53649999999999</v>
      </c>
      <c r="K2975">
        <v>1.1090409999999999</v>
      </c>
      <c r="L2975">
        <v>214.01560000000001</v>
      </c>
      <c r="M2975">
        <v>0.99977990000000005</v>
      </c>
      <c r="N2975">
        <v>0</v>
      </c>
      <c r="O2975">
        <v>1.6188299999999999E-2</v>
      </c>
      <c r="P2975">
        <v>0.99732949999999998</v>
      </c>
      <c r="Q2975">
        <v>5.8913470000000003E-2</v>
      </c>
      <c r="R2975">
        <v>-4.3165479999999999E-2</v>
      </c>
      <c r="S2975">
        <v>2.9609070000000002</v>
      </c>
      <c r="T2975">
        <v>0.34974809999999901</v>
      </c>
      <c r="U2975">
        <v>-0.63024899999999995</v>
      </c>
      <c r="V2975">
        <v>5.95211E-2</v>
      </c>
      <c r="W2975">
        <v>7.2024699999999997E-2</v>
      </c>
      <c r="X2975">
        <v>0.99562530000000005</v>
      </c>
      <c r="Y2975">
        <v>0.22241179999999999</v>
      </c>
      <c r="Z2975">
        <v>1.4832390000000001E-2</v>
      </c>
      <c r="AA2975">
        <v>0.97484000000000004</v>
      </c>
      <c r="AB2975">
        <v>25</v>
      </c>
      <c r="AC2975">
        <v>163.92469999999901</v>
      </c>
      <c r="AD2975">
        <v>19.392709</v>
      </c>
      <c r="AE2975">
        <v>-34.9483999999999</v>
      </c>
      <c r="AF2975">
        <v>37.101046136681298</v>
      </c>
      <c r="AG2975">
        <v>19.392709</v>
      </c>
      <c r="AH2975">
        <v>161.179696230113</v>
      </c>
      <c r="AI2975">
        <v>83.312538797283807</v>
      </c>
      <c r="AJ2975">
        <v>77.0372032426868</v>
      </c>
      <c r="AK2975">
        <v>166.527653149939</v>
      </c>
      <c r="AL2975">
        <v>85.869712506614306</v>
      </c>
      <c r="AM2975">
        <v>86.578779445828104</v>
      </c>
      <c r="AN2975">
        <v>1.00000002837769</v>
      </c>
    </row>
    <row r="2976" spans="1:40" x14ac:dyDescent="0.25">
      <c r="A2976" t="str">
        <f>"20190312151044441"</f>
        <v>20190312151044441</v>
      </c>
      <c r="B2976" t="str">
        <f>"1552374644433371"</f>
        <v>1552374644433371</v>
      </c>
      <c r="C2976" t="s">
        <v>40</v>
      </c>
      <c r="D2976">
        <v>5.6893019999999996</v>
      </c>
      <c r="E2976">
        <v>0.56368479999999999</v>
      </c>
      <c r="F2976" t="s">
        <v>67</v>
      </c>
      <c r="G2976">
        <v>-259.5933</v>
      </c>
      <c r="H2976">
        <v>20.662040000000001</v>
      </c>
      <c r="I2976">
        <v>178.78030000000001</v>
      </c>
      <c r="J2976">
        <v>-423.2894</v>
      </c>
      <c r="K2976">
        <v>1.1090199999999999</v>
      </c>
      <c r="L2976">
        <v>214.01769999999999</v>
      </c>
      <c r="M2976">
        <v>0.99980659999999999</v>
      </c>
      <c r="N2976">
        <v>0</v>
      </c>
      <c r="O2976">
        <v>1.4453209999999999E-2</v>
      </c>
      <c r="P2976">
        <v>0.99722189999999999</v>
      </c>
      <c r="Q2976">
        <v>5.986818E-2</v>
      </c>
      <c r="R2976">
        <v>-4.4320209999999999E-2</v>
      </c>
      <c r="S2976">
        <v>2.959686</v>
      </c>
      <c r="T2976">
        <v>0.35299350000000002</v>
      </c>
      <c r="U2976">
        <v>-0.63610840000000002</v>
      </c>
      <c r="V2976">
        <v>5.8953100000000001E-2</v>
      </c>
      <c r="W2976">
        <v>7.2975869999999998E-2</v>
      </c>
      <c r="X2976">
        <v>0.99558979999999997</v>
      </c>
      <c r="Y2976">
        <v>0.2226282</v>
      </c>
      <c r="Z2976">
        <v>1.4780700000000001E-2</v>
      </c>
      <c r="AA2976">
        <v>0.97479130000000003</v>
      </c>
      <c r="AB2976">
        <v>25</v>
      </c>
      <c r="AC2976">
        <v>163.6961</v>
      </c>
      <c r="AD2976">
        <v>19.55302</v>
      </c>
      <c r="AE2976">
        <v>-35.237399999999901</v>
      </c>
      <c r="AF2976">
        <v>37.094057625564702</v>
      </c>
      <c r="AG2976">
        <v>19.55302</v>
      </c>
      <c r="AH2976">
        <v>160.97464812031799</v>
      </c>
      <c r="AI2976">
        <v>83.2496197675204</v>
      </c>
      <c r="AJ2976">
        <v>77.023612060141005</v>
      </c>
      <c r="AK2976">
        <v>166.34640675322501</v>
      </c>
      <c r="AL2976">
        <v>85.815070555119505</v>
      </c>
      <c r="AM2976">
        <v>86.6112305933964</v>
      </c>
      <c r="AN2976">
        <v>0.99999999773295301</v>
      </c>
    </row>
    <row r="2977" spans="1:40" x14ac:dyDescent="0.25">
      <c r="A2977" t="str">
        <f>"20190312151044463"</f>
        <v>20190312151044463</v>
      </c>
      <c r="B2977" t="str">
        <f>"1552374644453868"</f>
        <v>1552374644453868</v>
      </c>
      <c r="C2977" t="s">
        <v>40</v>
      </c>
      <c r="D2977">
        <v>5.5019489999999998</v>
      </c>
      <c r="E2977">
        <v>0.56408080000000005</v>
      </c>
      <c r="F2977" t="s">
        <v>67</v>
      </c>
      <c r="G2977">
        <v>-259.61649999999997</v>
      </c>
      <c r="H2977">
        <v>20.731629999999999</v>
      </c>
      <c r="I2977">
        <v>178.45820000000001</v>
      </c>
      <c r="J2977">
        <v>-423.0317</v>
      </c>
      <c r="K2977">
        <v>1.109022</v>
      </c>
      <c r="L2977">
        <v>214.01929999999999</v>
      </c>
      <c r="M2977">
        <v>0.99983149999999998</v>
      </c>
      <c r="N2977">
        <v>0</v>
      </c>
      <c r="O2977">
        <v>1.2618910000000001E-2</v>
      </c>
      <c r="P2977">
        <v>0.99703010000000003</v>
      </c>
      <c r="Q2977">
        <v>6.1541029999999997E-2</v>
      </c>
      <c r="R2977">
        <v>-4.6303570000000002E-2</v>
      </c>
      <c r="S2977">
        <v>2.9584959999999998</v>
      </c>
      <c r="T2977">
        <v>0.35469250000000002</v>
      </c>
      <c r="U2977">
        <v>-0.64276119999999903</v>
      </c>
      <c r="V2977">
        <v>5.9112600000000001E-2</v>
      </c>
      <c r="W2977">
        <v>7.4644520000000006E-2</v>
      </c>
      <c r="X2977">
        <v>0.99545660000000002</v>
      </c>
      <c r="Y2977">
        <v>0.2230094</v>
      </c>
      <c r="Z2977">
        <v>1.4659429999999999E-2</v>
      </c>
      <c r="AA2977">
        <v>0.97470610000000002</v>
      </c>
      <c r="AB2977">
        <v>25</v>
      </c>
      <c r="AC2977">
        <v>163.4152</v>
      </c>
      <c r="AD2977">
        <v>19.622608</v>
      </c>
      <c r="AE2977">
        <v>-35.561099999999897</v>
      </c>
      <c r="AF2977">
        <v>37.109689420990797</v>
      </c>
      <c r="AG2977">
        <v>19.622608</v>
      </c>
      <c r="AH2977">
        <v>160.74051314776</v>
      </c>
      <c r="AI2977">
        <v>83.216680186554797</v>
      </c>
      <c r="AJ2977">
        <v>77.000061621379501</v>
      </c>
      <c r="AK2977">
        <v>166.13153933148701</v>
      </c>
      <c r="AL2977">
        <v>85.719202336969502</v>
      </c>
      <c r="AM2977">
        <v>86.601629991183898</v>
      </c>
      <c r="AN2977">
        <v>0.99999997316417499</v>
      </c>
    </row>
    <row r="2978" spans="1:40" x14ac:dyDescent="0.25">
      <c r="A2978" t="str">
        <f>"20190312151044486"</f>
        <v>20190312151044486</v>
      </c>
      <c r="B2978" t="str">
        <f>"1552374644484124"</f>
        <v>1552374644484124</v>
      </c>
      <c r="C2978" t="s">
        <v>40</v>
      </c>
      <c r="D2978">
        <v>5.3247350000000004</v>
      </c>
      <c r="E2978">
        <v>0.53844829999999999</v>
      </c>
      <c r="F2978" t="s">
        <v>67</v>
      </c>
      <c r="G2978">
        <v>-259.6173</v>
      </c>
      <c r="H2978">
        <v>20.913779999999999</v>
      </c>
      <c r="I2978">
        <v>177.99359999999999</v>
      </c>
      <c r="J2978">
        <v>-422.78309999999999</v>
      </c>
      <c r="K2978">
        <v>1.109032</v>
      </c>
      <c r="L2978">
        <v>214.0205</v>
      </c>
      <c r="M2978">
        <v>0.99985219999999997</v>
      </c>
      <c r="N2978">
        <v>0</v>
      </c>
      <c r="O2978">
        <v>1.0847839999999999E-2</v>
      </c>
      <c r="P2978">
        <v>0.99681039999999999</v>
      </c>
      <c r="Q2978">
        <v>6.3414150000000002E-2</v>
      </c>
      <c r="R2978">
        <v>-4.8450750000000001E-2</v>
      </c>
      <c r="S2978">
        <v>2.9565730000000001</v>
      </c>
      <c r="T2978">
        <v>0.35831800000000003</v>
      </c>
      <c r="U2978">
        <v>-0.6517944</v>
      </c>
      <c r="V2978">
        <v>5.9497580000000001E-2</v>
      </c>
      <c r="W2978">
        <v>7.6514070000000003E-2</v>
      </c>
      <c r="X2978">
        <v>0.9952917</v>
      </c>
      <c r="Y2978">
        <v>0.2242267</v>
      </c>
      <c r="Z2978">
        <v>1.467399E-2</v>
      </c>
      <c r="AA2978">
        <v>0.97442660000000003</v>
      </c>
      <c r="AB2978">
        <v>25</v>
      </c>
      <c r="AC2978">
        <v>163.16579999999999</v>
      </c>
      <c r="AD2978">
        <v>19.804748</v>
      </c>
      <c r="AE2978">
        <v>-36.026899999999998</v>
      </c>
      <c r="AF2978">
        <v>37.271354312875701</v>
      </c>
      <c r="AG2978">
        <v>19.804748</v>
      </c>
      <c r="AH2978">
        <v>160.510533614727</v>
      </c>
      <c r="AI2978">
        <v>83.146592183844604</v>
      </c>
      <c r="AJ2978">
        <v>76.927301709597501</v>
      </c>
      <c r="AK2978">
        <v>165.966904221726</v>
      </c>
      <c r="AL2978">
        <v>85.611777707868299</v>
      </c>
      <c r="AM2978">
        <v>86.578984601212696</v>
      </c>
      <c r="AN2978">
        <v>0.99999996651135503</v>
      </c>
    </row>
    <row r="2979" spans="1:40" x14ac:dyDescent="0.25">
      <c r="A2979" t="str">
        <f>"20190312151044508"</f>
        <v>20190312151044508</v>
      </c>
      <c r="B2979" t="str">
        <f>"1552374644503645"</f>
        <v>1552374644503645</v>
      </c>
      <c r="C2979" t="s">
        <v>40</v>
      </c>
      <c r="D2979">
        <v>5.5082079999999998</v>
      </c>
      <c r="E2979">
        <v>0.53199510000000005</v>
      </c>
      <c r="F2979" t="s">
        <v>52</v>
      </c>
      <c r="G2979">
        <v>-398.49299999999999</v>
      </c>
      <c r="H2979" s="1">
        <v>2.9827499999999999E-6</v>
      </c>
      <c r="I2979">
        <v>210.39429999999999</v>
      </c>
      <c r="J2979">
        <v>-422.52620000000002</v>
      </c>
      <c r="K2979">
        <v>1.1090450000000001</v>
      </c>
      <c r="L2979">
        <v>214.02119999999999</v>
      </c>
      <c r="M2979">
        <v>0.99987040000000005</v>
      </c>
      <c r="N2979">
        <v>0</v>
      </c>
      <c r="O2979">
        <v>9.0286499999999992E-3</v>
      </c>
      <c r="P2979">
        <v>0.99665269999999995</v>
      </c>
      <c r="Q2979">
        <v>6.4657080000000006E-2</v>
      </c>
      <c r="R2979">
        <v>-5.0030239999999997E-2</v>
      </c>
      <c r="S2979">
        <v>2.996521</v>
      </c>
      <c r="T2979">
        <v>-0.13681380000000001</v>
      </c>
      <c r="U2979">
        <v>-0.44734190000000001</v>
      </c>
      <c r="V2979">
        <v>5.9264749999999998E-2</v>
      </c>
      <c r="W2979">
        <v>7.7757300000000001E-2</v>
      </c>
      <c r="X2979">
        <v>0.99520929999999996</v>
      </c>
      <c r="Y2979">
        <v>0.15640670000000001</v>
      </c>
      <c r="Z2979">
        <v>-3.958924E-3</v>
      </c>
      <c r="AA2979">
        <v>0.98768480000000003</v>
      </c>
      <c r="AB2979">
        <v>25</v>
      </c>
      <c r="AC2979">
        <v>24.033199999999901</v>
      </c>
      <c r="AD2979">
        <v>-1.10904201725</v>
      </c>
      <c r="AE2979">
        <v>-3.6269</v>
      </c>
      <c r="AF2979">
        <v>3.8357724713730001</v>
      </c>
      <c r="AG2979">
        <v>-1.10904201725</v>
      </c>
      <c r="AH2979">
        <v>23.949606852060398</v>
      </c>
      <c r="AI2979">
        <v>92.618002103802496</v>
      </c>
      <c r="AJ2979">
        <v>80.900776784149897</v>
      </c>
      <c r="AK2979">
        <v>24.280172837449602</v>
      </c>
      <c r="AL2979">
        <v>85.540333288502495</v>
      </c>
      <c r="AM2979">
        <v>86.592058865706605</v>
      </c>
      <c r="AN2979">
        <v>1.00000002955117</v>
      </c>
    </row>
    <row r="2980" spans="1:40" x14ac:dyDescent="0.25">
      <c r="A2980" t="str">
        <f>"20190312151044531"</f>
        <v>20190312151044531</v>
      </c>
      <c r="B2980" t="str">
        <f>"1552374644524140"</f>
        <v>1552374644524140</v>
      </c>
      <c r="C2980" t="s">
        <v>40</v>
      </c>
      <c r="D2980">
        <v>5.5721980000000002</v>
      </c>
      <c r="E2980">
        <v>0.50774269999999999</v>
      </c>
      <c r="F2980" t="s">
        <v>61</v>
      </c>
      <c r="G2980">
        <v>-400.88189999999997</v>
      </c>
      <c r="H2980" s="1">
        <v>8.7314090000000004E-6</v>
      </c>
      <c r="I2980">
        <v>211.13069999999999</v>
      </c>
      <c r="J2980">
        <v>-422.26670000000001</v>
      </c>
      <c r="K2980">
        <v>1.109067</v>
      </c>
      <c r="L2980">
        <v>214.0215</v>
      </c>
      <c r="M2980">
        <v>0.99988520000000003</v>
      </c>
      <c r="N2980">
        <v>0</v>
      </c>
      <c r="O2980">
        <v>7.2108249999999997E-3</v>
      </c>
      <c r="P2980">
        <v>0.99658250000000004</v>
      </c>
      <c r="Q2980">
        <v>6.5118120000000002E-2</v>
      </c>
      <c r="R2980">
        <v>-5.0826320000000001E-2</v>
      </c>
      <c r="S2980">
        <v>2.999908</v>
      </c>
      <c r="T2980">
        <v>-0.1537126</v>
      </c>
      <c r="U2980">
        <v>-0.40061950000000002</v>
      </c>
      <c r="V2980">
        <v>5.8247760000000003E-2</v>
      </c>
      <c r="W2980">
        <v>7.8222710000000001E-2</v>
      </c>
      <c r="X2980">
        <v>0.99523280000000003</v>
      </c>
      <c r="Y2980">
        <v>0.13932449999999999</v>
      </c>
      <c r="Z2980">
        <v>-3.9190370000000002E-3</v>
      </c>
      <c r="AA2980">
        <v>0.99023899999999998</v>
      </c>
      <c r="AB2980">
        <v>25</v>
      </c>
      <c r="AC2980">
        <v>21.384799999999998</v>
      </c>
      <c r="AD2980">
        <v>-1.109058268591</v>
      </c>
      <c r="AE2980">
        <v>-2.8908000000000098</v>
      </c>
      <c r="AF2980">
        <v>3.0369188642445701</v>
      </c>
      <c r="AG2980">
        <v>-1.109058268591</v>
      </c>
      <c r="AH2980">
        <v>21.307116455098299</v>
      </c>
      <c r="AI2980">
        <v>92.949858721524905</v>
      </c>
      <c r="AJ2980">
        <v>81.888226515827299</v>
      </c>
      <c r="AK2980">
        <v>21.551011532228699</v>
      </c>
      <c r="AL2980">
        <v>85.513585478749704</v>
      </c>
      <c r="AM2980">
        <v>86.650484129246806</v>
      </c>
      <c r="AN2980">
        <v>0.99999996005030001</v>
      </c>
    </row>
    <row r="2981" spans="1:40" x14ac:dyDescent="0.25">
      <c r="A2981" t="str">
        <f>"20190312151044555"</f>
        <v>20190312151044555</v>
      </c>
      <c r="B2981" t="str">
        <f>"1552374644543660"</f>
        <v>1552374644543660</v>
      </c>
      <c r="C2981" t="s">
        <v>40</v>
      </c>
      <c r="D2981">
        <v>5.5774819999999998</v>
      </c>
      <c r="E2981">
        <v>0.50829290000000005</v>
      </c>
      <c r="F2981" t="s">
        <v>69</v>
      </c>
      <c r="G2981">
        <v>-168.42490000000001</v>
      </c>
      <c r="H2981">
        <v>32.658999999999999</v>
      </c>
      <c r="I2981">
        <v>195.5942</v>
      </c>
      <c r="J2981">
        <v>-422.0034</v>
      </c>
      <c r="K2981">
        <v>1.109092</v>
      </c>
      <c r="L2981">
        <v>214.0213</v>
      </c>
      <c r="M2981">
        <v>0.99989669999999997</v>
      </c>
      <c r="N2981">
        <v>0</v>
      </c>
      <c r="O2981">
        <v>5.3857159999999996E-3</v>
      </c>
      <c r="P2981">
        <v>0.99645669999999997</v>
      </c>
      <c r="Q2981">
        <v>6.6361240000000002E-2</v>
      </c>
      <c r="R2981">
        <v>-5.1676809999999997E-2</v>
      </c>
      <c r="S2981">
        <v>2.975098</v>
      </c>
      <c r="T2981">
        <v>0.36977460000000001</v>
      </c>
      <c r="U2981">
        <v>-0.2159729</v>
      </c>
      <c r="V2981">
        <v>5.7280310000000001E-2</v>
      </c>
      <c r="W2981">
        <v>7.9462899999999906E-2</v>
      </c>
      <c r="X2981">
        <v>0.99519069999999998</v>
      </c>
      <c r="Y2981">
        <v>7.7142279999999994E-2</v>
      </c>
      <c r="Z2981">
        <v>5.4354750000000004E-3</v>
      </c>
      <c r="AA2981">
        <v>0.99700529999999998</v>
      </c>
      <c r="AB2981">
        <v>25</v>
      </c>
      <c r="AC2981">
        <v>253.57849999999999</v>
      </c>
      <c r="AD2981">
        <v>31.549907999999999</v>
      </c>
      <c r="AE2981">
        <v>-18.427099999999999</v>
      </c>
      <c r="AF2981">
        <v>19.492496694632798</v>
      </c>
      <c r="AG2981">
        <v>31.549907999999999</v>
      </c>
      <c r="AH2981">
        <v>249.631568573735</v>
      </c>
      <c r="AI2981">
        <v>82.818444423671394</v>
      </c>
      <c r="AJ2981">
        <v>85.535115300393002</v>
      </c>
      <c r="AK2981">
        <v>252.37130215375501</v>
      </c>
      <c r="AL2981">
        <v>85.4423059196114</v>
      </c>
      <c r="AM2981">
        <v>86.705854405657504</v>
      </c>
      <c r="AN2981">
        <v>0.99999995787829699</v>
      </c>
    </row>
    <row r="2982" spans="1:40" x14ac:dyDescent="0.25">
      <c r="A2982" t="str">
        <f>"20190312151044575"</f>
        <v>20190312151044575</v>
      </c>
      <c r="B2982" t="str">
        <f>"1552374644564160"</f>
        <v>1552374644564160</v>
      </c>
      <c r="C2982" t="s">
        <v>40</v>
      </c>
      <c r="D2982">
        <v>5.6253209999999996</v>
      </c>
      <c r="E2982">
        <v>0.50835739999999996</v>
      </c>
      <c r="F2982" t="s">
        <v>46</v>
      </c>
      <c r="G2982">
        <v>-356.50709999999998</v>
      </c>
      <c r="H2982">
        <v>9.0138999999999996</v>
      </c>
      <c r="I2982">
        <v>209.12209999999999</v>
      </c>
      <c r="J2982">
        <v>-421.77100000000002</v>
      </c>
      <c r="K2982">
        <v>1.109116</v>
      </c>
      <c r="L2982">
        <v>214.02070000000001</v>
      </c>
      <c r="M2982">
        <v>0.99990420000000002</v>
      </c>
      <c r="N2982">
        <v>0</v>
      </c>
      <c r="O2982">
        <v>3.786532E-3</v>
      </c>
      <c r="P2982">
        <v>0.99625739999999996</v>
      </c>
      <c r="Q2982">
        <v>6.8601839999999997E-2</v>
      </c>
      <c r="R2982">
        <v>-5.2585850000000003E-2</v>
      </c>
      <c r="S2982">
        <v>2.9751889999999999</v>
      </c>
      <c r="T2982">
        <v>0.35908069999999997</v>
      </c>
      <c r="U2982">
        <v>-0.22254940000000001</v>
      </c>
      <c r="V2982">
        <v>5.659981E-2</v>
      </c>
      <c r="W2982">
        <v>8.1693399999999999E-2</v>
      </c>
      <c r="X2982">
        <v>0.99504910000000002</v>
      </c>
      <c r="Y2982">
        <v>7.7780479999999999E-2</v>
      </c>
      <c r="Z2982">
        <v>5.1250840000000002E-3</v>
      </c>
      <c r="AA2982">
        <v>0.99695739999999999</v>
      </c>
      <c r="AB2982">
        <v>25</v>
      </c>
      <c r="AC2982">
        <v>65.263899999999893</v>
      </c>
      <c r="AD2982">
        <v>7.9047839999999896</v>
      </c>
      <c r="AE2982">
        <v>-4.8986000000000098</v>
      </c>
      <c r="AF2982">
        <v>5.0717245854304096</v>
      </c>
      <c r="AG2982">
        <v>7.9047839999999896</v>
      </c>
      <c r="AH2982">
        <v>64.306777933188101</v>
      </c>
      <c r="AI2982">
        <v>83.013663076853703</v>
      </c>
      <c r="AJ2982">
        <v>85.490550692019198</v>
      </c>
      <c r="AK2982">
        <v>64.988996672555899</v>
      </c>
      <c r="AL2982">
        <v>85.314091074966797</v>
      </c>
      <c r="AM2982">
        <v>86.7444425487339</v>
      </c>
      <c r="AN2982">
        <v>1.0000000307532</v>
      </c>
    </row>
    <row r="2983" spans="1:40" x14ac:dyDescent="0.25">
      <c r="A2983" t="str">
        <f>"20190312151044597"</f>
        <v>20190312151044597</v>
      </c>
      <c r="B2983" t="str">
        <f>"1552374644593437"</f>
        <v>1552374644593437</v>
      </c>
      <c r="C2983" t="s">
        <v>40</v>
      </c>
      <c r="D2983">
        <v>5.5091049999999999</v>
      </c>
      <c r="E2983">
        <v>0.50879300000000005</v>
      </c>
      <c r="F2983" t="s">
        <v>46</v>
      </c>
      <c r="G2983">
        <v>-356.43239999999997</v>
      </c>
      <c r="H2983">
        <v>8.9020499999999991</v>
      </c>
      <c r="I2983">
        <v>209.06989999999999</v>
      </c>
      <c r="J2983">
        <v>-421.5301</v>
      </c>
      <c r="K2983">
        <v>1.1091310000000001</v>
      </c>
      <c r="L2983">
        <v>214.0198</v>
      </c>
      <c r="M2983">
        <v>0.99990939999999995</v>
      </c>
      <c r="N2983">
        <v>0</v>
      </c>
      <c r="O2983">
        <v>2.136757E-3</v>
      </c>
      <c r="P2983">
        <v>0.99611099999999997</v>
      </c>
      <c r="Q2983">
        <v>7.0126830000000001E-2</v>
      </c>
      <c r="R2983">
        <v>-5.334299E-2</v>
      </c>
      <c r="S2983">
        <v>2.974945</v>
      </c>
      <c r="T2983">
        <v>0.35482439999999998</v>
      </c>
      <c r="U2983">
        <v>-0.22541810000000001</v>
      </c>
      <c r="V2983">
        <v>5.5715960000000002E-2</v>
      </c>
      <c r="W2983">
        <v>8.320603E-2</v>
      </c>
      <c r="X2983">
        <v>0.99497360000000001</v>
      </c>
      <c r="Y2983">
        <v>7.7127650000000006E-2</v>
      </c>
      <c r="Z2983">
        <v>4.8304300000000001E-3</v>
      </c>
      <c r="AA2983">
        <v>0.99700949999999999</v>
      </c>
      <c r="AB2983">
        <v>25</v>
      </c>
      <c r="AC2983">
        <v>65.097700000000003</v>
      </c>
      <c r="AD2983">
        <v>7.7929189999999897</v>
      </c>
      <c r="AE2983">
        <v>-4.9499000000000102</v>
      </c>
      <c r="AF2983">
        <v>5.0175076304760502</v>
      </c>
      <c r="AG2983">
        <v>7.7929189999999897</v>
      </c>
      <c r="AH2983">
        <v>64.172618304117904</v>
      </c>
      <c r="AI2983">
        <v>83.096948973413902</v>
      </c>
      <c r="AJ2983">
        <v>85.529271899457399</v>
      </c>
      <c r="AK2983">
        <v>64.838490955361195</v>
      </c>
      <c r="AL2983">
        <v>85.227127459679807</v>
      </c>
      <c r="AM2983">
        <v>86.794931118176095</v>
      </c>
      <c r="AN2983">
        <v>0.99999998816202096</v>
      </c>
    </row>
    <row r="2984" spans="1:40" x14ac:dyDescent="0.25">
      <c r="A2984" t="str">
        <f>"20190312151044618"</f>
        <v>20190312151044618</v>
      </c>
      <c r="B2984" t="str">
        <f>"1552374644613933"</f>
        <v>1552374644613933</v>
      </c>
      <c r="C2984" t="s">
        <v>40</v>
      </c>
      <c r="D2984">
        <v>5.5549850000000003</v>
      </c>
      <c r="E2984">
        <v>0.50898399999999999</v>
      </c>
      <c r="F2984" t="s">
        <v>46</v>
      </c>
      <c r="G2984">
        <v>-356.42959999999999</v>
      </c>
      <c r="H2984">
        <v>8.7037680000000002</v>
      </c>
      <c r="I2984">
        <v>208.96709999999999</v>
      </c>
      <c r="J2984">
        <v>-421.28390000000002</v>
      </c>
      <c r="K2984">
        <v>1.1091420000000001</v>
      </c>
      <c r="L2984">
        <v>214.01840000000001</v>
      </c>
      <c r="M2984">
        <v>0.99991180000000002</v>
      </c>
      <c r="N2984">
        <v>0</v>
      </c>
      <c r="O2984">
        <v>4.5395949999999999E-4</v>
      </c>
      <c r="P2984">
        <v>0.99595160000000005</v>
      </c>
      <c r="Q2984">
        <v>7.2005219999999995E-2</v>
      </c>
      <c r="R2984">
        <v>-5.3814420000000002E-2</v>
      </c>
      <c r="S2984">
        <v>2.9749150000000002</v>
      </c>
      <c r="T2984">
        <v>0.34705659999999999</v>
      </c>
      <c r="U2984">
        <v>-0.23089599999999999</v>
      </c>
      <c r="V2984">
        <v>5.4514550000000002E-2</v>
      </c>
      <c r="W2984">
        <v>8.5070010000000001E-2</v>
      </c>
      <c r="X2984">
        <v>0.9948825</v>
      </c>
      <c r="Y2984">
        <v>7.7309989999999995E-2</v>
      </c>
      <c r="Z2984">
        <v>4.5403190000000001E-3</v>
      </c>
      <c r="AA2984">
        <v>0.99699680000000002</v>
      </c>
      <c r="AB2984">
        <v>25</v>
      </c>
      <c r="AC2984">
        <v>64.854299999999995</v>
      </c>
      <c r="AD2984">
        <v>7.5946259999999999</v>
      </c>
      <c r="AE2984">
        <v>-5.0513000000000199</v>
      </c>
      <c r="AF2984">
        <v>5.0124219825027696</v>
      </c>
      <c r="AG2984">
        <v>7.5946259999999999</v>
      </c>
      <c r="AH2984">
        <v>63.979928019732498</v>
      </c>
      <c r="AI2984">
        <v>83.250969388613896</v>
      </c>
      <c r="AJ2984">
        <v>85.520388630967901</v>
      </c>
      <c r="AK2984">
        <v>64.623787475052197</v>
      </c>
      <c r="AL2984">
        <v>85.119949103679104</v>
      </c>
      <c r="AM2984">
        <v>86.863616344105495</v>
      </c>
      <c r="AN2984">
        <v>0.99999996578467498</v>
      </c>
    </row>
    <row r="2985" spans="1:40" x14ac:dyDescent="0.25">
      <c r="A2985" t="str">
        <f>"20190312151044643"</f>
        <v>20190312151044643</v>
      </c>
      <c r="B2985" t="str">
        <f>"1552374644633452"</f>
        <v>1552374644633452</v>
      </c>
      <c r="C2985" t="s">
        <v>40</v>
      </c>
      <c r="D2985">
        <v>5.4987110000000001</v>
      </c>
      <c r="E2985">
        <v>0.50911679999999904</v>
      </c>
      <c r="F2985" t="s">
        <v>46</v>
      </c>
      <c r="G2985">
        <v>-356.404</v>
      </c>
      <c r="H2985">
        <v>8.6343040000000002</v>
      </c>
      <c r="I2985">
        <v>208.923</v>
      </c>
      <c r="J2985">
        <v>-421.01960000000003</v>
      </c>
      <c r="K2985">
        <v>1.1091580000000001</v>
      </c>
      <c r="L2985">
        <v>214.0164</v>
      </c>
      <c r="M2985">
        <v>0.99991110000000005</v>
      </c>
      <c r="N2985">
        <v>0</v>
      </c>
      <c r="O2985">
        <v>-1.3512579999999999E-3</v>
      </c>
      <c r="P2985">
        <v>0.99586770000000002</v>
      </c>
      <c r="Q2985">
        <v>7.2840790000000002E-2</v>
      </c>
      <c r="R2985">
        <v>-5.4239030000000001E-2</v>
      </c>
      <c r="S2985">
        <v>2.9746090000000001</v>
      </c>
      <c r="T2985">
        <v>0.34501559999999998</v>
      </c>
      <c r="U2985">
        <v>-0.23361209999999999</v>
      </c>
      <c r="V2985">
        <v>5.3142019999999998E-2</v>
      </c>
      <c r="W2985">
        <v>8.5892880000000005E-2</v>
      </c>
      <c r="X2985">
        <v>0.9948861</v>
      </c>
      <c r="Y2985">
        <v>7.6446639999999996E-2</v>
      </c>
      <c r="Z2985">
        <v>4.25589E-3</v>
      </c>
      <c r="AA2985">
        <v>0.99706459999999997</v>
      </c>
      <c r="AB2985">
        <v>25</v>
      </c>
      <c r="AC2985">
        <v>64.615600000000001</v>
      </c>
      <c r="AD2985">
        <v>7.5251460000000003</v>
      </c>
      <c r="AE2985">
        <v>-5.0933999999999999</v>
      </c>
      <c r="AF2985">
        <v>4.9394947573370098</v>
      </c>
      <c r="AG2985">
        <v>7.5251460000000003</v>
      </c>
      <c r="AH2985">
        <v>63.7629489514364</v>
      </c>
      <c r="AI2985">
        <v>83.289149017436401</v>
      </c>
      <c r="AJ2985">
        <v>85.570341207750005</v>
      </c>
      <c r="AK2985">
        <v>64.395186852454799</v>
      </c>
      <c r="AL2985">
        <v>85.072629120845804</v>
      </c>
      <c r="AM2985">
        <v>86.9424413444777</v>
      </c>
      <c r="AN2985">
        <v>1.00000000654879</v>
      </c>
    </row>
    <row r="2986" spans="1:40" x14ac:dyDescent="0.25">
      <c r="A2986" t="str">
        <f>"20190312151044665"</f>
        <v>20190312151044665</v>
      </c>
      <c r="B2986" t="str">
        <f>"1552374644653948"</f>
        <v>1552374644653948</v>
      </c>
      <c r="C2986" t="s">
        <v>40</v>
      </c>
      <c r="D2986">
        <v>5.4992210000000004</v>
      </c>
      <c r="E2986">
        <v>0.50921159999999999</v>
      </c>
      <c r="F2986" t="s">
        <v>69</v>
      </c>
      <c r="G2986">
        <v>-168.4246</v>
      </c>
      <c r="H2986">
        <v>30.017240000000001</v>
      </c>
      <c r="I2986">
        <v>193.99940000000001</v>
      </c>
      <c r="J2986">
        <v>-420.7672</v>
      </c>
      <c r="K2986">
        <v>1.1091709999999999</v>
      </c>
      <c r="L2986">
        <v>214.01400000000001</v>
      </c>
      <c r="M2986">
        <v>0.99990749999999995</v>
      </c>
      <c r="N2986">
        <v>0</v>
      </c>
      <c r="O2986">
        <v>-3.0761009999999999E-3</v>
      </c>
      <c r="P2986">
        <v>0.99573849999999997</v>
      </c>
      <c r="Q2986">
        <v>7.3902759999999998E-2</v>
      </c>
      <c r="R2986">
        <v>-5.516749E-2</v>
      </c>
      <c r="S2986">
        <v>2.9747309999999998</v>
      </c>
      <c r="T2986">
        <v>0.34044170000000001</v>
      </c>
      <c r="U2986">
        <v>-0.235733</v>
      </c>
      <c r="V2986">
        <v>5.2354049999999999E-2</v>
      </c>
      <c r="W2986">
        <v>8.6941320000000002E-2</v>
      </c>
      <c r="X2986">
        <v>0.99483679999999997</v>
      </c>
      <c r="Y2986">
        <v>7.5460849999999996E-2</v>
      </c>
      <c r="Z2986">
        <v>3.9469489999999999E-3</v>
      </c>
      <c r="AA2986">
        <v>0.9971409</v>
      </c>
      <c r="AB2986">
        <v>25</v>
      </c>
      <c r="AC2986">
        <v>252.3426</v>
      </c>
      <c r="AD2986">
        <v>28.908069000000001</v>
      </c>
      <c r="AE2986">
        <v>-20.014600000000002</v>
      </c>
      <c r="AF2986">
        <v>18.990537357865598</v>
      </c>
      <c r="AG2986">
        <v>28.908069000000001</v>
      </c>
      <c r="AH2986">
        <v>249.15359724897601</v>
      </c>
      <c r="AI2986">
        <v>83.400815260724798</v>
      </c>
      <c r="AJ2986">
        <v>85.641331699411595</v>
      </c>
      <c r="AK2986">
        <v>251.54290287057199</v>
      </c>
      <c r="AL2986">
        <v>85.012332326909203</v>
      </c>
      <c r="AM2986">
        <v>86.987544555396894</v>
      </c>
      <c r="AN2986">
        <v>0.999999999154492</v>
      </c>
    </row>
    <row r="2987" spans="1:40" x14ac:dyDescent="0.25">
      <c r="A2987" t="str">
        <f>"20190312151044688"</f>
        <v>20190312151044688</v>
      </c>
      <c r="B2987" t="str">
        <f>"1552374644684205"</f>
        <v>1552374644684205</v>
      </c>
      <c r="C2987" t="s">
        <v>40</v>
      </c>
      <c r="D2987">
        <v>5.4894319999999999</v>
      </c>
      <c r="E2987">
        <v>0.50939599999999996</v>
      </c>
      <c r="F2987" t="s">
        <v>69</v>
      </c>
      <c r="G2987">
        <v>-168.4246</v>
      </c>
      <c r="H2987">
        <v>29.752230000000001</v>
      </c>
      <c r="I2987">
        <v>193.71530000000001</v>
      </c>
      <c r="J2987">
        <v>-420.5138</v>
      </c>
      <c r="K2987">
        <v>1.1091789999999999</v>
      </c>
      <c r="L2987">
        <v>214.0112</v>
      </c>
      <c r="M2987">
        <v>0.99990089999999998</v>
      </c>
      <c r="N2987">
        <v>0</v>
      </c>
      <c r="O2987">
        <v>-4.8044020000000002E-3</v>
      </c>
      <c r="P2987">
        <v>0.99564240000000004</v>
      </c>
      <c r="Q2987">
        <v>7.4174809999999994E-2</v>
      </c>
      <c r="R2987">
        <v>-5.6519010000000001E-2</v>
      </c>
      <c r="S2987">
        <v>2.9745180000000002</v>
      </c>
      <c r="T2987">
        <v>0.33763369999999998</v>
      </c>
      <c r="U2987">
        <v>-0.23927309999999999</v>
      </c>
      <c r="V2987">
        <v>5.198378E-2</v>
      </c>
      <c r="W2987">
        <v>8.7199730000000003E-2</v>
      </c>
      <c r="X2987">
        <v>0.99483359999999998</v>
      </c>
      <c r="Y2987">
        <v>7.4944230000000001E-2</v>
      </c>
      <c r="Z2987">
        <v>3.6902800000000002E-3</v>
      </c>
      <c r="AA2987">
        <v>0.99718090000000004</v>
      </c>
      <c r="AB2987">
        <v>25</v>
      </c>
      <c r="AC2987">
        <v>252.08920000000001</v>
      </c>
      <c r="AD2987">
        <v>28.643051</v>
      </c>
      <c r="AE2987">
        <v>-20.2958999999999</v>
      </c>
      <c r="AF2987">
        <v>18.842726726247999</v>
      </c>
      <c r="AG2987">
        <v>28.643051</v>
      </c>
      <c r="AH2987">
        <v>248.990020847652</v>
      </c>
      <c r="AI2987">
        <v>83.456262632047697</v>
      </c>
      <c r="AJ2987">
        <v>85.672297190422995</v>
      </c>
      <c r="AK2987">
        <v>251.33941832267999</v>
      </c>
      <c r="AL2987">
        <v>84.997470079070695</v>
      </c>
      <c r="AM2987">
        <v>87.008801483460303</v>
      </c>
      <c r="AN2987">
        <v>0.99999999899206005</v>
      </c>
    </row>
    <row r="2988" spans="1:40" x14ac:dyDescent="0.25">
      <c r="A2988" t="str">
        <f>"20190312151044709"</f>
        <v>20190312151044709</v>
      </c>
      <c r="B2988" t="str">
        <f>"1552374644703724"</f>
        <v>1552374644703724</v>
      </c>
      <c r="C2988" t="s">
        <v>40</v>
      </c>
      <c r="D2988">
        <v>5.4838750000000003</v>
      </c>
      <c r="E2988">
        <v>0.50942200000000004</v>
      </c>
      <c r="F2988" t="s">
        <v>69</v>
      </c>
      <c r="G2988">
        <v>-168.4246</v>
      </c>
      <c r="H2988">
        <v>29.224959999999999</v>
      </c>
      <c r="I2988">
        <v>193.2405</v>
      </c>
      <c r="J2988">
        <v>-420.27379999999999</v>
      </c>
      <c r="K2988">
        <v>1.109189</v>
      </c>
      <c r="L2988">
        <v>214.00819999999999</v>
      </c>
      <c r="M2988">
        <v>0.99989209999999995</v>
      </c>
      <c r="N2988">
        <v>0</v>
      </c>
      <c r="O2988">
        <v>-6.4348319999999997E-3</v>
      </c>
      <c r="P2988">
        <v>0.99557450000000003</v>
      </c>
      <c r="Q2988">
        <v>7.4056360000000002E-2</v>
      </c>
      <c r="R2988">
        <v>-5.7855520000000001E-2</v>
      </c>
      <c r="S2988">
        <v>2.974548</v>
      </c>
      <c r="T2988">
        <v>0.33175490000000002</v>
      </c>
      <c r="U2988">
        <v>-0.24508669999999999</v>
      </c>
      <c r="V2988">
        <v>5.1694440000000001E-2</v>
      </c>
      <c r="W2988">
        <v>8.7070519999999998E-2</v>
      </c>
      <c r="X2988">
        <v>0.99485999999999997</v>
      </c>
      <c r="Y2988">
        <v>7.5277029999999995E-2</v>
      </c>
      <c r="Z2988">
        <v>3.4636020000000001E-3</v>
      </c>
      <c r="AA2988">
        <v>0.99715659999999895</v>
      </c>
      <c r="AB2988">
        <v>25</v>
      </c>
      <c r="AC2988">
        <v>251.8492</v>
      </c>
      <c r="AD2988">
        <v>28.115770999999999</v>
      </c>
      <c r="AE2988">
        <v>-20.767699999999898</v>
      </c>
      <c r="AF2988">
        <v>18.9124099244627</v>
      </c>
      <c r="AG2988">
        <v>28.115770999999999</v>
      </c>
      <c r="AH2988">
        <v>248.896611811301</v>
      </c>
      <c r="AI2988">
        <v>83.573464965623501</v>
      </c>
      <c r="AJ2988">
        <v>85.654729946967905</v>
      </c>
      <c r="AK2988">
        <v>251.192554028221</v>
      </c>
      <c r="AL2988">
        <v>85.004901562811298</v>
      </c>
      <c r="AM2988">
        <v>87.025499205230105</v>
      </c>
      <c r="AN2988">
        <v>1.00000000508999</v>
      </c>
    </row>
    <row r="2989" spans="1:40" x14ac:dyDescent="0.25">
      <c r="A2989" t="str">
        <f>"20190312151044733"</f>
        <v>20190312151044733</v>
      </c>
      <c r="B2989" t="str">
        <f>"1552374644723244"</f>
        <v>1552374644723244</v>
      </c>
      <c r="C2989" t="s">
        <v>40</v>
      </c>
      <c r="D2989">
        <v>5.5342560000000001</v>
      </c>
      <c r="E2989">
        <v>0.50965890000000003</v>
      </c>
      <c r="F2989" t="s">
        <v>69</v>
      </c>
      <c r="G2989">
        <v>-168.4246</v>
      </c>
      <c r="H2989">
        <v>29.063079999999999</v>
      </c>
      <c r="I2989">
        <v>192.91829999999999</v>
      </c>
      <c r="J2989">
        <v>-420.0068</v>
      </c>
      <c r="K2989">
        <v>1.1092</v>
      </c>
      <c r="L2989">
        <v>214.0044</v>
      </c>
      <c r="M2989">
        <v>0.99987899999999996</v>
      </c>
      <c r="N2989">
        <v>0</v>
      </c>
      <c r="O2989">
        <v>-8.2306180000000003E-3</v>
      </c>
      <c r="P2989">
        <v>0.99545779999999995</v>
      </c>
      <c r="Q2989">
        <v>7.4735839999999998E-2</v>
      </c>
      <c r="R2989">
        <v>-5.8980989999999997E-2</v>
      </c>
      <c r="S2989">
        <v>2.9743040000000001</v>
      </c>
      <c r="T2989">
        <v>0.33013199999999998</v>
      </c>
      <c r="U2989">
        <v>-0.24906919999999999</v>
      </c>
      <c r="V2989">
        <v>5.1030829999999999E-2</v>
      </c>
      <c r="W2989">
        <v>8.7738860000000002E-2</v>
      </c>
      <c r="X2989">
        <v>0.99483560000000004</v>
      </c>
      <c r="Y2989">
        <v>7.4836699999999895E-2</v>
      </c>
      <c r="Z2989">
        <v>3.224181E-3</v>
      </c>
      <c r="AA2989">
        <v>0.99719060000000004</v>
      </c>
      <c r="AB2989">
        <v>25</v>
      </c>
      <c r="AC2989">
        <v>251.5822</v>
      </c>
      <c r="AD2989">
        <v>27.953880000000002</v>
      </c>
      <c r="AE2989">
        <v>-21.086099999999998</v>
      </c>
      <c r="AF2989">
        <v>18.784236811522799</v>
      </c>
      <c r="AG2989">
        <v>27.953880000000002</v>
      </c>
      <c r="AH2989">
        <v>248.69824706006199</v>
      </c>
      <c r="AI2989">
        <v>83.604890446924301</v>
      </c>
      <c r="AJ2989">
        <v>85.680637627239804</v>
      </c>
      <c r="AK2989">
        <v>250.96829491071901</v>
      </c>
      <c r="AL2989">
        <v>84.966461673763206</v>
      </c>
      <c r="AM2989">
        <v>87.063544206776001</v>
      </c>
      <c r="AN2989">
        <v>1.0000000620959699</v>
      </c>
    </row>
    <row r="2990" spans="1:40" x14ac:dyDescent="0.25">
      <c r="A2990" t="str">
        <f>"20190312151044755"</f>
        <v>20190312151044755</v>
      </c>
      <c r="B2990" t="str">
        <f>"1552374644743740"</f>
        <v>1552374644743740</v>
      </c>
      <c r="C2990" t="s">
        <v>40</v>
      </c>
      <c r="D2990">
        <v>5.4894579999999999</v>
      </c>
      <c r="E2990">
        <v>0.50987399999999905</v>
      </c>
      <c r="F2990" t="s">
        <v>69</v>
      </c>
      <c r="G2990">
        <v>-168.4247</v>
      </c>
      <c r="H2990">
        <v>28.899730000000002</v>
      </c>
      <c r="I2990">
        <v>192.48939999999999</v>
      </c>
      <c r="J2990">
        <v>-419.76350000000002</v>
      </c>
      <c r="K2990">
        <v>1.1092229999999901</v>
      </c>
      <c r="L2990">
        <v>214.00049999999999</v>
      </c>
      <c r="M2990">
        <v>0.99986470000000005</v>
      </c>
      <c r="N2990">
        <v>0</v>
      </c>
      <c r="O2990">
        <v>-9.8422849999999992E-3</v>
      </c>
      <c r="P2990">
        <v>0.99532129999999996</v>
      </c>
      <c r="Q2990">
        <v>7.5852580000000003E-2</v>
      </c>
      <c r="R2990">
        <v>-5.985066E-2</v>
      </c>
      <c r="S2990">
        <v>2.9739990000000001</v>
      </c>
      <c r="T2990">
        <v>0.32851740000000001</v>
      </c>
      <c r="U2990">
        <v>-0.25433349999999999</v>
      </c>
      <c r="V2990">
        <v>5.0295800000000002E-2</v>
      </c>
      <c r="W2990">
        <v>8.884794E-2</v>
      </c>
      <c r="X2990">
        <v>0.99477450000000001</v>
      </c>
      <c r="Y2990">
        <v>7.5003159999999999E-2</v>
      </c>
      <c r="Z2990">
        <v>3.0406029999999998E-3</v>
      </c>
      <c r="AA2990">
        <v>0.99717869999999997</v>
      </c>
      <c r="AB2990">
        <v>25</v>
      </c>
      <c r="AC2990">
        <v>251.33879999999999</v>
      </c>
      <c r="AD2990">
        <v>27.790507000000002</v>
      </c>
      <c r="AE2990">
        <v>-21.511099999999999</v>
      </c>
      <c r="AF2990">
        <v>18.807828026436098</v>
      </c>
      <c r="AG2990">
        <v>27.790507000000002</v>
      </c>
      <c r="AH2990">
        <v>248.52209722756501</v>
      </c>
      <c r="AI2990">
        <v>83.637559770588297</v>
      </c>
      <c r="AJ2990">
        <v>85.672179780672096</v>
      </c>
      <c r="AK2990">
        <v>250.77735042219501</v>
      </c>
      <c r="AL2990">
        <v>84.902666424779696</v>
      </c>
      <c r="AM2990">
        <v>87.105589975107605</v>
      </c>
      <c r="AN2990">
        <v>0.99999996489506604</v>
      </c>
    </row>
    <row r="2991" spans="1:40" x14ac:dyDescent="0.25">
      <c r="A2991" t="str">
        <f>"20190312151044776"</f>
        <v>20190312151044776</v>
      </c>
      <c r="B2991" t="str">
        <f>"1552374644773997"</f>
        <v>1552374644773997</v>
      </c>
      <c r="C2991" t="s">
        <v>40</v>
      </c>
      <c r="D2991">
        <v>5.4283010000000003</v>
      </c>
      <c r="E2991">
        <v>0.51001759999999996</v>
      </c>
      <c r="F2991" t="s">
        <v>69</v>
      </c>
      <c r="G2991">
        <v>-168.4248</v>
      </c>
      <c r="H2991">
        <v>28.928280000000001</v>
      </c>
      <c r="I2991">
        <v>192.13390000000001</v>
      </c>
      <c r="J2991">
        <v>-419.52820000000003</v>
      </c>
      <c r="K2991">
        <v>1.1092610000000001</v>
      </c>
      <c r="L2991">
        <v>213.9965</v>
      </c>
      <c r="M2991">
        <v>0.99984859999999998</v>
      </c>
      <c r="N2991">
        <v>0</v>
      </c>
      <c r="O2991">
        <v>-1.136621E-2</v>
      </c>
      <c r="P2991">
        <v>0.99520869999999995</v>
      </c>
      <c r="Q2991">
        <v>7.7109460000000005E-2</v>
      </c>
      <c r="R2991">
        <v>-6.0115559999999998E-2</v>
      </c>
      <c r="S2991">
        <v>2.9735109999999998</v>
      </c>
      <c r="T2991">
        <v>0.3291191</v>
      </c>
      <c r="U2991">
        <v>-0.25869750000000002</v>
      </c>
      <c r="V2991">
        <v>4.9041880000000003E-2</v>
      </c>
      <c r="W2991">
        <v>9.0100299999999994E-2</v>
      </c>
      <c r="X2991">
        <v>0.99472450000000001</v>
      </c>
      <c r="Y2991">
        <v>7.4957960000000004E-2</v>
      </c>
      <c r="Z2991">
        <v>2.8761419999999999E-3</v>
      </c>
      <c r="AA2991">
        <v>0.99718249999999997</v>
      </c>
      <c r="AB2991">
        <v>25</v>
      </c>
      <c r="AC2991">
        <v>251.10339999999999</v>
      </c>
      <c r="AD2991">
        <v>27.819019000000001</v>
      </c>
      <c r="AE2991">
        <v>-21.862599999999901</v>
      </c>
      <c r="AF2991">
        <v>18.778101421688699</v>
      </c>
      <c r="AG2991">
        <v>27.819019000000001</v>
      </c>
      <c r="AH2991">
        <v>248.310908258468</v>
      </c>
      <c r="AI2991">
        <v>83.625687231289504</v>
      </c>
      <c r="AJ2991">
        <v>85.675333076366201</v>
      </c>
      <c r="AK2991">
        <v>250.56899662821601</v>
      </c>
      <c r="AL2991">
        <v>84.830622701916894</v>
      </c>
      <c r="AM2991">
        <v>87.177490447167997</v>
      </c>
      <c r="AN2991">
        <v>1.0000000004771299</v>
      </c>
    </row>
    <row r="2992" spans="1:40" x14ac:dyDescent="0.25">
      <c r="A2992" t="str">
        <f>"20190312151044799"</f>
        <v>20190312151044799</v>
      </c>
      <c r="B2992" t="str">
        <f>"1552374644793517"</f>
        <v>1552374644793517</v>
      </c>
      <c r="C2992" t="s">
        <v>40</v>
      </c>
      <c r="D2992">
        <v>5.3618969999999999</v>
      </c>
      <c r="E2992">
        <v>0.4904155</v>
      </c>
      <c r="F2992" t="s">
        <v>69</v>
      </c>
      <c r="G2992">
        <v>-168.42490000000001</v>
      </c>
      <c r="H2992">
        <v>28.85502</v>
      </c>
      <c r="I2992">
        <v>191.96530000000001</v>
      </c>
      <c r="J2992">
        <v>-419.27550000000002</v>
      </c>
      <c r="K2992">
        <v>1.1093059999999999</v>
      </c>
      <c r="L2992">
        <v>213.99180000000001</v>
      </c>
      <c r="M2992">
        <v>0.99982950000000004</v>
      </c>
      <c r="N2992">
        <v>0</v>
      </c>
      <c r="O2992">
        <v>-1.29494E-2</v>
      </c>
      <c r="P2992">
        <v>0.9951856</v>
      </c>
      <c r="Q2992">
        <v>7.7341999999999994E-2</v>
      </c>
      <c r="R2992">
        <v>-6.0202640000000002E-2</v>
      </c>
      <c r="S2992">
        <v>2.973236</v>
      </c>
      <c r="T2992">
        <v>0.32852920000000002</v>
      </c>
      <c r="U2992">
        <v>-0.26086429999999999</v>
      </c>
      <c r="V2992">
        <v>4.754456E-2</v>
      </c>
      <c r="W2992">
        <v>9.0331579999999995E-2</v>
      </c>
      <c r="X2992">
        <v>0.9947762</v>
      </c>
      <c r="Y2992">
        <v>7.412407E-2</v>
      </c>
      <c r="Z2992">
        <v>2.6513159999999999E-3</v>
      </c>
      <c r="AA2992">
        <v>0.99724550000000001</v>
      </c>
      <c r="AB2992">
        <v>25</v>
      </c>
      <c r="AC2992">
        <v>250.85059999999999</v>
      </c>
      <c r="AD2992">
        <v>27.745714</v>
      </c>
      <c r="AE2992">
        <v>-22.026499999999999</v>
      </c>
      <c r="AF2992">
        <v>18.5507961740525</v>
      </c>
      <c r="AG2992">
        <v>27.745714</v>
      </c>
      <c r="AH2992">
        <v>248.10279990387201</v>
      </c>
      <c r="AI2992">
        <v>83.636654785526801</v>
      </c>
      <c r="AJ2992">
        <v>85.723916805614607</v>
      </c>
      <c r="AK2992">
        <v>250.337683947507</v>
      </c>
      <c r="AL2992">
        <v>84.817316990076904</v>
      </c>
      <c r="AM2992">
        <v>87.263674730835504</v>
      </c>
      <c r="AN2992">
        <v>0.99999998380866395</v>
      </c>
    </row>
    <row r="2993" spans="1:40" x14ac:dyDescent="0.25">
      <c r="A2993" t="str">
        <f>"20190312151044819"</f>
        <v>20190312151044819</v>
      </c>
      <c r="B2993" t="str">
        <f>"1552374644814012"</f>
        <v>1552374644814012</v>
      </c>
      <c r="C2993" t="s">
        <v>40</v>
      </c>
      <c r="D2993">
        <v>5.4291939999999999</v>
      </c>
      <c r="E2993">
        <v>0.48801830000000002</v>
      </c>
      <c r="F2993" t="s">
        <v>69</v>
      </c>
      <c r="G2993">
        <v>-168.41990000000001</v>
      </c>
      <c r="H2993">
        <v>27.141249999999999</v>
      </c>
      <c r="I2993">
        <v>205.17840000000001</v>
      </c>
      <c r="J2993">
        <v>-419.03949999999998</v>
      </c>
      <c r="K2993">
        <v>1.1093519999999999</v>
      </c>
      <c r="L2993">
        <v>213.98699999999999</v>
      </c>
      <c r="M2993">
        <v>0.99981019999999998</v>
      </c>
      <c r="N2993">
        <v>0</v>
      </c>
      <c r="O2993">
        <v>-1.4362339999999999E-2</v>
      </c>
      <c r="P2993">
        <v>0.99520019999999998</v>
      </c>
      <c r="Q2993">
        <v>7.7195719999999995E-2</v>
      </c>
      <c r="R2993">
        <v>-6.0145879999999999E-2</v>
      </c>
      <c r="S2993">
        <v>2.9841609999999998</v>
      </c>
      <c r="T2993">
        <v>0.30967460000000002</v>
      </c>
      <c r="U2993">
        <v>-0.10484309999999999</v>
      </c>
      <c r="V2993">
        <v>4.6069800000000001E-2</v>
      </c>
      <c r="W2993">
        <v>9.0186730000000007E-2</v>
      </c>
      <c r="X2993">
        <v>0.99485869999999998</v>
      </c>
      <c r="Y2993">
        <v>2.0719109999999999E-2</v>
      </c>
      <c r="Z2993">
        <v>-4.1413799999999998E-4</v>
      </c>
      <c r="AA2993">
        <v>0.99978520000000004</v>
      </c>
      <c r="AB2993">
        <v>25</v>
      </c>
      <c r="AC2993">
        <v>250.61959999999999</v>
      </c>
      <c r="AD2993">
        <v>26.031898000000002</v>
      </c>
      <c r="AE2993">
        <v>-8.8085999999999807</v>
      </c>
      <c r="AF2993">
        <v>5.1523750316466597</v>
      </c>
      <c r="AG2993">
        <v>26.031898000000002</v>
      </c>
      <c r="AH2993">
        <v>248.047384890285</v>
      </c>
      <c r="AI2993">
        <v>84.010177506340597</v>
      </c>
      <c r="AJ2993">
        <v>88.810038261862303</v>
      </c>
      <c r="AK2993">
        <v>249.462846598163</v>
      </c>
      <c r="AL2993">
        <v>84.825650137228706</v>
      </c>
      <c r="AM2993">
        <v>87.348647883727196</v>
      </c>
      <c r="AN2993">
        <v>0.99999995285290999</v>
      </c>
    </row>
    <row r="2994" spans="1:40" x14ac:dyDescent="0.25">
      <c r="A2994" t="str">
        <f>"20190312151044844"</f>
        <v>20190312151044844</v>
      </c>
      <c r="B2994" t="str">
        <f>"1552374644833535"</f>
        <v>1552374644833535</v>
      </c>
      <c r="C2994" t="s">
        <v>40</v>
      </c>
      <c r="D2994">
        <v>5.3625449999999999</v>
      </c>
      <c r="E2994">
        <v>0.48711670000000001</v>
      </c>
      <c r="F2994" t="s">
        <v>69</v>
      </c>
      <c r="G2994">
        <v>-168.41909999999999</v>
      </c>
      <c r="H2994">
        <v>26.148879999999998</v>
      </c>
      <c r="I2994">
        <v>206.77959999999999</v>
      </c>
      <c r="J2994">
        <v>-418.77820000000003</v>
      </c>
      <c r="K2994">
        <v>1.109407</v>
      </c>
      <c r="L2994">
        <v>213.98150000000001</v>
      </c>
      <c r="M2994">
        <v>0.99978769999999995</v>
      </c>
      <c r="N2994">
        <v>0</v>
      </c>
      <c r="O2994">
        <v>-1.585597E-2</v>
      </c>
      <c r="P2994">
        <v>0.99526570000000003</v>
      </c>
      <c r="Q2994">
        <v>7.6658589999999999E-2</v>
      </c>
      <c r="R2994">
        <v>-5.9747769999999999E-2</v>
      </c>
      <c r="S2994">
        <v>2.986145</v>
      </c>
      <c r="T2994">
        <v>0.29834650000000001</v>
      </c>
      <c r="U2994">
        <v>-8.5876460000000002E-2</v>
      </c>
      <c r="V2994">
        <v>4.416987E-2</v>
      </c>
      <c r="W2994">
        <v>8.9652469999999998E-2</v>
      </c>
      <c r="X2994">
        <v>0.99499320000000002</v>
      </c>
      <c r="Y2994">
        <v>1.290669E-2</v>
      </c>
      <c r="Z2994">
        <v>-9.3689079999999996E-4</v>
      </c>
      <c r="AA2994">
        <v>0.99991629999999998</v>
      </c>
      <c r="AB2994">
        <v>25</v>
      </c>
      <c r="AC2994">
        <v>250.35910000000001</v>
      </c>
      <c r="AD2994">
        <v>25.039473000000001</v>
      </c>
      <c r="AE2994">
        <v>-7.2019000000000197</v>
      </c>
      <c r="AF2994">
        <v>3.1989918127373702</v>
      </c>
      <c r="AG2994">
        <v>25.039473000000001</v>
      </c>
      <c r="AH2994">
        <v>247.96353356949101</v>
      </c>
      <c r="AI2994">
        <v>84.234268521163401</v>
      </c>
      <c r="AJ2994">
        <v>89.260864856816198</v>
      </c>
      <c r="AK2994">
        <v>249.24510574332999</v>
      </c>
      <c r="AL2994">
        <v>84.856385761401299</v>
      </c>
      <c r="AM2994">
        <v>87.458186970264094</v>
      </c>
      <c r="AN2994">
        <v>1.0000000054195699</v>
      </c>
    </row>
    <row r="2995" spans="1:40" x14ac:dyDescent="0.25">
      <c r="A2995" t="str">
        <f>"20190312151044876"</f>
        <v>20190312151044876</v>
      </c>
      <c r="B2995" t="str">
        <f>"1552374644873549"</f>
        <v>1552374644873549</v>
      </c>
      <c r="C2995" t="s">
        <v>40</v>
      </c>
      <c r="D2995">
        <v>5.2390850000000002</v>
      </c>
      <c r="E2995">
        <v>0.48617909999999998</v>
      </c>
      <c r="F2995" t="s">
        <v>69</v>
      </c>
      <c r="G2995">
        <v>-168.4187</v>
      </c>
      <c r="H2995">
        <v>25.722200000000001</v>
      </c>
      <c r="I2995">
        <v>207.4922</v>
      </c>
      <c r="J2995">
        <v>-418.41379999999998</v>
      </c>
      <c r="K2995">
        <v>1.109477</v>
      </c>
      <c r="L2995">
        <v>213.97329999999999</v>
      </c>
      <c r="M2995">
        <v>0.99975530000000001</v>
      </c>
      <c r="N2995">
        <v>0</v>
      </c>
      <c r="O2995">
        <v>-1.7798580000000001E-2</v>
      </c>
      <c r="P2995">
        <v>0.99532549999999997</v>
      </c>
      <c r="Q2995">
        <v>7.5123280000000001E-2</v>
      </c>
      <c r="R2995">
        <v>-6.0696569999999998E-2</v>
      </c>
      <c r="S2995">
        <v>2.9870000000000001</v>
      </c>
      <c r="T2995">
        <v>0.29365160000000001</v>
      </c>
      <c r="U2995">
        <v>-7.7423099999999995E-2</v>
      </c>
      <c r="V2995">
        <v>4.3160919999999998E-2</v>
      </c>
      <c r="W2995">
        <v>8.8119329999999996E-2</v>
      </c>
      <c r="X2995">
        <v>0.99517440000000001</v>
      </c>
      <c r="Y2995">
        <v>8.1595139999999997E-3</v>
      </c>
      <c r="Z2995">
        <v>-1.345209E-3</v>
      </c>
      <c r="AA2995">
        <v>0.99996580000000002</v>
      </c>
      <c r="AB2995">
        <v>25</v>
      </c>
      <c r="AC2995">
        <v>249.99510000000001</v>
      </c>
      <c r="AD2995">
        <v>24.612722999999999</v>
      </c>
      <c r="AE2995">
        <v>-6.4810999999999899</v>
      </c>
      <c r="AF2995">
        <v>2.01065533767644</v>
      </c>
      <c r="AG2995">
        <v>24.612722999999999</v>
      </c>
      <c r="AH2995">
        <v>247.67179651886499</v>
      </c>
      <c r="AI2995">
        <v>84.324972667327501</v>
      </c>
      <c r="AJ2995">
        <v>89.534870195944293</v>
      </c>
      <c r="AK2995">
        <v>248.89987476743201</v>
      </c>
      <c r="AL2995">
        <v>84.944577190446694</v>
      </c>
      <c r="AM2995">
        <v>87.516626440881595</v>
      </c>
      <c r="AN2995">
        <v>0.99999998387512701</v>
      </c>
    </row>
    <row r="2996" spans="1:40" x14ac:dyDescent="0.25">
      <c r="A2996" t="str">
        <f>"20190312151044899"</f>
        <v>20190312151044899</v>
      </c>
      <c r="B2996" t="str">
        <f>"1552374644894044"</f>
        <v>1552374644894044</v>
      </c>
      <c r="C2996" t="s">
        <v>40</v>
      </c>
      <c r="D2996">
        <v>5.3596620000000001</v>
      </c>
      <c r="E2996">
        <v>0.48616530000000002</v>
      </c>
      <c r="F2996" t="s">
        <v>69</v>
      </c>
      <c r="G2996">
        <v>-168.41829999999999</v>
      </c>
      <c r="H2996">
        <v>24.96716</v>
      </c>
      <c r="I2996">
        <v>207.89150000000001</v>
      </c>
      <c r="J2996">
        <v>-418.16210000000001</v>
      </c>
      <c r="K2996">
        <v>1.1095410000000001</v>
      </c>
      <c r="L2996">
        <v>213.96729999999999</v>
      </c>
      <c r="M2996">
        <v>0.99973319999999999</v>
      </c>
      <c r="N2996">
        <v>0</v>
      </c>
      <c r="O2996">
        <v>-1.9003329999999999E-2</v>
      </c>
      <c r="P2996">
        <v>0.99539650000000002</v>
      </c>
      <c r="Q2996">
        <v>7.4080389999999996E-2</v>
      </c>
      <c r="R2996">
        <v>-6.0814779999999999E-2</v>
      </c>
      <c r="S2996">
        <v>2.9880979999999999</v>
      </c>
      <c r="T2996">
        <v>0.28516209999999997</v>
      </c>
      <c r="U2996">
        <v>-7.2692870000000007E-2</v>
      </c>
      <c r="V2996">
        <v>4.206E-2</v>
      </c>
      <c r="W2996">
        <v>8.7080499999999894E-2</v>
      </c>
      <c r="X2996">
        <v>0.995313</v>
      </c>
      <c r="Y2996">
        <v>5.3783930000000004E-3</v>
      </c>
      <c r="Z2996">
        <v>-1.553114E-3</v>
      </c>
      <c r="AA2996">
        <v>0.99998430000000005</v>
      </c>
      <c r="AB2996">
        <v>25</v>
      </c>
      <c r="AC2996">
        <v>249.74379999999999</v>
      </c>
      <c r="AD2996">
        <v>23.857619</v>
      </c>
      <c r="AE2996">
        <v>-6.0757999999999797</v>
      </c>
      <c r="AF2996">
        <v>1.31632440127489</v>
      </c>
      <c r="AG2996">
        <v>23.857619</v>
      </c>
      <c r="AH2996">
        <v>247.55638237847299</v>
      </c>
      <c r="AI2996">
        <v>84.495341805163605</v>
      </c>
      <c r="AJ2996">
        <v>89.6953456777822</v>
      </c>
      <c r="AK2996">
        <v>248.706817660062</v>
      </c>
      <c r="AL2996">
        <v>85.004327607984195</v>
      </c>
      <c r="AM2996">
        <v>87.580230985898595</v>
      </c>
      <c r="AN2996">
        <v>1.00000001252462</v>
      </c>
    </row>
    <row r="2997" spans="1:40" x14ac:dyDescent="0.25">
      <c r="A2997" t="str">
        <f>"20190312151044921"</f>
        <v>20190312151044921</v>
      </c>
      <c r="B2997" t="str">
        <f>"1552374644913564"</f>
        <v>1552374644913564</v>
      </c>
      <c r="C2997" t="s">
        <v>40</v>
      </c>
      <c r="D2997">
        <v>5.3511009999999999</v>
      </c>
      <c r="E2997">
        <v>0.48640359999999999</v>
      </c>
      <c r="F2997" t="s">
        <v>69</v>
      </c>
      <c r="G2997">
        <v>-168.41810000000001</v>
      </c>
      <c r="H2997">
        <v>24.432549999999999</v>
      </c>
      <c r="I2997">
        <v>207.87880000000001</v>
      </c>
      <c r="J2997">
        <v>-417.91730000000001</v>
      </c>
      <c r="K2997">
        <v>1.1096299999999999</v>
      </c>
      <c r="L2997">
        <v>213.9614</v>
      </c>
      <c r="M2997">
        <v>0.99971319999999997</v>
      </c>
      <c r="N2997">
        <v>0</v>
      </c>
      <c r="O2997">
        <v>-2.0031899999999998E-2</v>
      </c>
      <c r="P2997">
        <v>0.99549080000000001</v>
      </c>
      <c r="Q2997">
        <v>7.2584759999999998E-2</v>
      </c>
      <c r="R2997">
        <v>-6.107315E-2</v>
      </c>
      <c r="S2997">
        <v>2.9886469999999998</v>
      </c>
      <c r="T2997">
        <v>0.2791033</v>
      </c>
      <c r="U2997">
        <v>-7.2860720000000004E-2</v>
      </c>
      <c r="V2997">
        <v>4.1269279999999998E-2</v>
      </c>
      <c r="W2997">
        <v>8.5590730000000004E-2</v>
      </c>
      <c r="X2997">
        <v>0.99547529999999995</v>
      </c>
      <c r="Y2997">
        <v>4.4072859999999998E-3</v>
      </c>
      <c r="Z2997">
        <v>-1.6610360000000001E-3</v>
      </c>
      <c r="AA2997">
        <v>0.99998889999999996</v>
      </c>
      <c r="AB2997">
        <v>25</v>
      </c>
      <c r="AC2997">
        <v>249.4992</v>
      </c>
      <c r="AD2997">
        <v>23.32292</v>
      </c>
      <c r="AE2997">
        <v>-6.0825999999999798</v>
      </c>
      <c r="AF2997">
        <v>1.07362962114642</v>
      </c>
      <c r="AG2997">
        <v>23.32292</v>
      </c>
      <c r="AH2997">
        <v>247.41031943853699</v>
      </c>
      <c r="AI2997">
        <v>84.614796046508602</v>
      </c>
      <c r="AJ2997">
        <v>89.751368253071504</v>
      </c>
      <c r="AK2997">
        <v>248.50951177483901</v>
      </c>
      <c r="AL2997">
        <v>85.090004995659996</v>
      </c>
      <c r="AM2997">
        <v>87.626056285351495</v>
      </c>
      <c r="AN2997">
        <v>0.99999999972187004</v>
      </c>
    </row>
    <row r="2998" spans="1:40" x14ac:dyDescent="0.25">
      <c r="A2998" t="str">
        <f>"20190312151044945"</f>
        <v>20190312151044945</v>
      </c>
      <c r="B2998" t="str">
        <f>"1552374644934060"</f>
        <v>1552374644934060</v>
      </c>
      <c r="C2998" t="s">
        <v>40</v>
      </c>
      <c r="D2998">
        <v>5.2906420000000001</v>
      </c>
      <c r="E2998">
        <v>0.48637390000000003</v>
      </c>
      <c r="F2998" t="s">
        <v>69</v>
      </c>
      <c r="G2998">
        <v>-168.4179</v>
      </c>
      <c r="H2998">
        <v>23.676819999999999</v>
      </c>
      <c r="I2998">
        <v>207.66990000000001</v>
      </c>
      <c r="J2998">
        <v>-417.654</v>
      </c>
      <c r="K2998">
        <v>1.1097319999999999</v>
      </c>
      <c r="L2998">
        <v>213.95490000000001</v>
      </c>
      <c r="M2998">
        <v>0.99969350000000001</v>
      </c>
      <c r="N2998">
        <v>0</v>
      </c>
      <c r="O2998">
        <v>-2.0998960000000001E-2</v>
      </c>
      <c r="P2998">
        <v>0.995479</v>
      </c>
      <c r="Q2998">
        <v>7.2123649999999997E-2</v>
      </c>
      <c r="R2998">
        <v>-6.1805890000000002E-2</v>
      </c>
      <c r="S2998">
        <v>2.989258</v>
      </c>
      <c r="T2998">
        <v>0.27037840000000002</v>
      </c>
      <c r="U2998">
        <v>-7.5378420000000002E-2</v>
      </c>
      <c r="V2998">
        <v>4.1015469999999998E-2</v>
      </c>
      <c r="W2998">
        <v>8.5135100000000005E-2</v>
      </c>
      <c r="X2998">
        <v>0.99552490000000005</v>
      </c>
      <c r="Y2998">
        <v>4.2769779999999999E-3</v>
      </c>
      <c r="Z2998">
        <v>-1.702119E-3</v>
      </c>
      <c r="AA2998">
        <v>0.99998940000000003</v>
      </c>
      <c r="AB2998">
        <v>25</v>
      </c>
      <c r="AC2998">
        <v>249.23609999999999</v>
      </c>
      <c r="AD2998">
        <v>22.567087999999998</v>
      </c>
      <c r="AE2998">
        <v>-6.2849999999999904</v>
      </c>
      <c r="AF2998">
        <v>1.04093639400203</v>
      </c>
      <c r="AG2998">
        <v>22.567087999999998</v>
      </c>
      <c r="AH2998">
        <v>247.287053163031</v>
      </c>
      <c r="AI2998">
        <v>84.785752333051306</v>
      </c>
      <c r="AJ2998">
        <v>89.758819116923405</v>
      </c>
      <c r="AK2998">
        <v>248.316821160854</v>
      </c>
      <c r="AL2998">
        <v>85.116206507218394</v>
      </c>
      <c r="AM2998">
        <v>87.6407571327059</v>
      </c>
      <c r="AN2998">
        <v>1.0000000402756599</v>
      </c>
    </row>
    <row r="2999" spans="1:40" x14ac:dyDescent="0.25">
      <c r="A2999" t="str">
        <f>"20190312151044966"</f>
        <v>20190312151044966</v>
      </c>
      <c r="B2999" t="str">
        <f>"1552374644963340"</f>
        <v>1552374644963340</v>
      </c>
      <c r="C2999" t="s">
        <v>40</v>
      </c>
      <c r="D2999">
        <v>5.2950239999999997</v>
      </c>
      <c r="E2999">
        <v>0.4864347</v>
      </c>
      <c r="F2999" t="s">
        <v>69</v>
      </c>
      <c r="G2999">
        <v>-168.4179</v>
      </c>
      <c r="H2999">
        <v>23.52336</v>
      </c>
      <c r="I2999">
        <v>207.5087</v>
      </c>
      <c r="J2999">
        <v>-417.4178</v>
      </c>
      <c r="K2999">
        <v>1.1098269999999999</v>
      </c>
      <c r="L2999">
        <v>213.94900000000001</v>
      </c>
      <c r="M2999">
        <v>0.9996777</v>
      </c>
      <c r="N2999">
        <v>0</v>
      </c>
      <c r="O2999">
        <v>-2.1734679999999999E-2</v>
      </c>
      <c r="P2999">
        <v>0.99538280000000001</v>
      </c>
      <c r="Q2999">
        <v>7.25296E-2</v>
      </c>
      <c r="R2999">
        <v>-6.2867930000000002E-2</v>
      </c>
      <c r="S2999">
        <v>2.9893489999999998</v>
      </c>
      <c r="T2999">
        <v>0.26883040000000002</v>
      </c>
      <c r="U2999">
        <v>-7.7316280000000001E-2</v>
      </c>
      <c r="V2999">
        <v>4.1325929999999997E-2</v>
      </c>
      <c r="W2999">
        <v>8.554465E-2</v>
      </c>
      <c r="X2999">
        <v>0.9954769</v>
      </c>
      <c r="Y2999">
        <v>4.1906139999999996E-3</v>
      </c>
      <c r="Z2999">
        <v>-1.762224E-3</v>
      </c>
      <c r="AA2999">
        <v>0.99998969999999998</v>
      </c>
      <c r="AB2999">
        <v>25</v>
      </c>
      <c r="AC2999">
        <v>248.9999</v>
      </c>
      <c r="AD2999">
        <v>22.413532999999902</v>
      </c>
      <c r="AE2999">
        <v>-6.4402999999999997</v>
      </c>
      <c r="AF2999">
        <v>1.0181354790016901</v>
      </c>
      <c r="AG2999">
        <v>22.413532999999902</v>
      </c>
      <c r="AH2999">
        <v>247.08041386201501</v>
      </c>
      <c r="AI2999">
        <v>84.816728838934907</v>
      </c>
      <c r="AJ2999">
        <v>89.763904654205604</v>
      </c>
      <c r="AK2999">
        <v>248.097025326021</v>
      </c>
      <c r="AL2999">
        <v>85.092654851513899</v>
      </c>
      <c r="AM2999">
        <v>87.6228051446911</v>
      </c>
      <c r="AN2999">
        <v>0.99999998903379805</v>
      </c>
    </row>
    <row r="3000" spans="1:40" x14ac:dyDescent="0.25">
      <c r="A3000" t="str">
        <f>"20190312151044990"</f>
        <v>20190312151044990</v>
      </c>
      <c r="B3000" t="str">
        <f>"1552374644983836"</f>
        <v>1552374644983836</v>
      </c>
      <c r="C3000" t="s">
        <v>40</v>
      </c>
      <c r="D3000">
        <v>5.3537949999999999</v>
      </c>
      <c r="E3000">
        <v>0.48647499999999999</v>
      </c>
      <c r="F3000" t="s">
        <v>69</v>
      </c>
      <c r="G3000">
        <v>-168.41800000000001</v>
      </c>
      <c r="H3000">
        <v>23.343769999999999</v>
      </c>
      <c r="I3000">
        <v>207.1987</v>
      </c>
      <c r="J3000">
        <v>-417.15859999999998</v>
      </c>
      <c r="K3000">
        <v>1.1099460000000001</v>
      </c>
      <c r="L3000">
        <v>213.9425</v>
      </c>
      <c r="M3000">
        <v>0.99966370000000004</v>
      </c>
      <c r="N3000">
        <v>0</v>
      </c>
      <c r="O3000">
        <v>-2.2371149999999999E-2</v>
      </c>
      <c r="P3000">
        <v>0.99531950000000002</v>
      </c>
      <c r="Q3000">
        <v>7.2433189999999995E-2</v>
      </c>
      <c r="R3000">
        <v>-6.3976740000000004E-2</v>
      </c>
      <c r="S3000">
        <v>2.9893489999999998</v>
      </c>
      <c r="T3000">
        <v>0.26692830000000001</v>
      </c>
      <c r="U3000">
        <v>-8.1039429999999996E-2</v>
      </c>
      <c r="V3000">
        <v>4.1777439999999999E-2</v>
      </c>
      <c r="W3000">
        <v>8.5457229999999995E-2</v>
      </c>
      <c r="X3000">
        <v>0.99546559999999995</v>
      </c>
      <c r="Y3000">
        <v>4.7976470000000004E-3</v>
      </c>
      <c r="Z3000">
        <v>-1.779421E-3</v>
      </c>
      <c r="AA3000">
        <v>0.99998690000000001</v>
      </c>
      <c r="AB3000">
        <v>25</v>
      </c>
      <c r="AC3000">
        <v>248.7406</v>
      </c>
      <c r="AD3000">
        <v>22.233823999999998</v>
      </c>
      <c r="AE3000">
        <v>-6.7437999999999896</v>
      </c>
      <c r="AF3000">
        <v>1.1676972308490099</v>
      </c>
      <c r="AG3000">
        <v>22.233823999999998</v>
      </c>
      <c r="AH3000">
        <v>246.858321974066</v>
      </c>
      <c r="AI3000">
        <v>84.853476583067206</v>
      </c>
      <c r="AJ3000">
        <v>89.728979669176198</v>
      </c>
      <c r="AK3000">
        <v>247.860318676341</v>
      </c>
      <c r="AL3000">
        <v>85.097682242984703</v>
      </c>
      <c r="AM3000">
        <v>87.596835935887199</v>
      </c>
      <c r="AN3000">
        <v>1.00000002671779</v>
      </c>
    </row>
    <row r="3001" spans="1:40" x14ac:dyDescent="0.25">
      <c r="A3001" t="str">
        <f>"20190312151045010"</f>
        <v>20190312151045010</v>
      </c>
      <c r="B3001" t="str">
        <f>"1552374645003356"</f>
        <v>1552374645003356</v>
      </c>
      <c r="C3001" t="s">
        <v>40</v>
      </c>
      <c r="D3001">
        <v>5.294842</v>
      </c>
      <c r="E3001">
        <v>0.4864676</v>
      </c>
      <c r="F3001" t="s">
        <v>69</v>
      </c>
      <c r="G3001">
        <v>-168.41800000000001</v>
      </c>
      <c r="H3001">
        <v>23.080839999999998</v>
      </c>
      <c r="I3001">
        <v>206.9126</v>
      </c>
      <c r="J3001">
        <v>-416.93619999999999</v>
      </c>
      <c r="K3001">
        <v>1.110063</v>
      </c>
      <c r="L3001">
        <v>213.93690000000001</v>
      </c>
      <c r="M3001">
        <v>0.99965490000000001</v>
      </c>
      <c r="N3001">
        <v>0</v>
      </c>
      <c r="O3001">
        <v>-2.2759660000000001E-2</v>
      </c>
      <c r="P3001">
        <v>0.99529489999999998</v>
      </c>
      <c r="Q3001">
        <v>7.2262019999999996E-2</v>
      </c>
      <c r="R3001">
        <v>-6.4547370000000007E-2</v>
      </c>
      <c r="S3001">
        <v>2.989471</v>
      </c>
      <c r="T3001">
        <v>0.26405610000000002</v>
      </c>
      <c r="U3001">
        <v>-8.4487919999999994E-2</v>
      </c>
      <c r="V3001">
        <v>4.1939419999999998E-2</v>
      </c>
      <c r="W3001">
        <v>8.5299490000000006E-2</v>
      </c>
      <c r="X3001">
        <v>0.99547229999999998</v>
      </c>
      <c r="Y3001">
        <v>5.5576030000000004E-3</v>
      </c>
      <c r="Z3001">
        <v>-1.7609850000000001E-3</v>
      </c>
      <c r="AA3001">
        <v>0.99998299999999996</v>
      </c>
      <c r="AB3001">
        <v>25</v>
      </c>
      <c r="AC3001">
        <v>248.51820000000001</v>
      </c>
      <c r="AD3001">
        <v>21.970776999999998</v>
      </c>
      <c r="AE3001">
        <v>-7.02430000000001</v>
      </c>
      <c r="AF3001">
        <v>1.3552199987428499</v>
      </c>
      <c r="AG3001">
        <v>21.970776999999998</v>
      </c>
      <c r="AH3001">
        <v>246.68717558234499</v>
      </c>
      <c r="AI3001">
        <v>84.910553298767397</v>
      </c>
      <c r="AJ3001">
        <v>89.685238582367404</v>
      </c>
      <c r="AK3001">
        <v>247.667345970404</v>
      </c>
      <c r="AL3001">
        <v>85.106753113812402</v>
      </c>
      <c r="AM3001">
        <v>87.587545564242404</v>
      </c>
      <c r="AN3001">
        <v>1.0000000090057399</v>
      </c>
    </row>
    <row r="3002" spans="1:40" x14ac:dyDescent="0.25">
      <c r="A3002" t="str">
        <f>"20190312151045032"</f>
        <v>20190312151045032</v>
      </c>
      <c r="B3002" t="str">
        <f>"1552374645023852"</f>
        <v>1552374645023852</v>
      </c>
      <c r="C3002" t="s">
        <v>40</v>
      </c>
      <c r="D3002">
        <v>5.2370210000000004</v>
      </c>
      <c r="E3002">
        <v>0.4865294</v>
      </c>
      <c r="F3002" t="s">
        <v>69</v>
      </c>
      <c r="G3002">
        <v>-168.41800000000001</v>
      </c>
      <c r="H3002">
        <v>22.967490000000002</v>
      </c>
      <c r="I3002">
        <v>206.756</v>
      </c>
      <c r="J3002">
        <v>-416.68709999999999</v>
      </c>
      <c r="K3002">
        <v>1.1101939999999999</v>
      </c>
      <c r="L3002">
        <v>213.9308</v>
      </c>
      <c r="M3002">
        <v>0.9996488</v>
      </c>
      <c r="N3002">
        <v>0</v>
      </c>
      <c r="O3002">
        <v>-2.302535E-2</v>
      </c>
      <c r="P3002">
        <v>0.99528760000000005</v>
      </c>
      <c r="Q3002">
        <v>7.2533609999999998E-2</v>
      </c>
      <c r="R3002">
        <v>-6.4357750000000005E-2</v>
      </c>
      <c r="S3002">
        <v>2.989471</v>
      </c>
      <c r="T3002">
        <v>0.26292739999999998</v>
      </c>
      <c r="U3002">
        <v>-8.6379999999999998E-2</v>
      </c>
      <c r="V3002">
        <v>4.1459589999999998E-2</v>
      </c>
      <c r="W3002">
        <v>8.5587399999999994E-2</v>
      </c>
      <c r="X3002">
        <v>0.99546769999999996</v>
      </c>
      <c r="Y3002">
        <v>5.9232540000000002E-3</v>
      </c>
      <c r="Z3002">
        <v>-1.7607339999999999E-3</v>
      </c>
      <c r="AA3002">
        <v>0.99998089999999995</v>
      </c>
      <c r="AB3002">
        <v>25</v>
      </c>
      <c r="AC3002">
        <v>248.26910000000001</v>
      </c>
      <c r="AD3002">
        <v>21.857296000000002</v>
      </c>
      <c r="AE3002">
        <v>-7.1748000000000296</v>
      </c>
      <c r="AF3002">
        <v>1.4447340571730001</v>
      </c>
      <c r="AG3002">
        <v>21.857296000000002</v>
      </c>
      <c r="AH3002">
        <v>246.459813387846</v>
      </c>
      <c r="AI3002">
        <v>84.932067643259103</v>
      </c>
      <c r="AJ3002">
        <v>89.664139095393907</v>
      </c>
      <c r="AK3002">
        <v>247.43134049691301</v>
      </c>
      <c r="AL3002">
        <v>85.0901965989773</v>
      </c>
      <c r="AM3002">
        <v>87.615103457429797</v>
      </c>
      <c r="AN3002">
        <v>1.0000000211925</v>
      </c>
    </row>
    <row r="3003" spans="1:40" x14ac:dyDescent="0.25">
      <c r="A3003" t="str">
        <f>"20190312151045055"</f>
        <v>20190312151045055</v>
      </c>
      <c r="B3003" t="str">
        <f>"1552374645043372"</f>
        <v>1552374645043372</v>
      </c>
      <c r="C3003" t="s">
        <v>40</v>
      </c>
      <c r="D3003">
        <v>5.2882009999999999</v>
      </c>
      <c r="E3003">
        <v>0.48659760000000002</v>
      </c>
      <c r="F3003" t="s">
        <v>69</v>
      </c>
      <c r="G3003">
        <v>-168.41800000000001</v>
      </c>
      <c r="H3003">
        <v>22.90353</v>
      </c>
      <c r="I3003">
        <v>206.76589999999999</v>
      </c>
      <c r="J3003">
        <v>-416.4427</v>
      </c>
      <c r="K3003">
        <v>1.110311</v>
      </c>
      <c r="L3003">
        <v>213.92490000000001</v>
      </c>
      <c r="M3003">
        <v>0.99964609999999998</v>
      </c>
      <c r="N3003">
        <v>0</v>
      </c>
      <c r="O3003">
        <v>-2.3134350000000001E-2</v>
      </c>
      <c r="P3003">
        <v>0.99534860000000003</v>
      </c>
      <c r="Q3003">
        <v>7.2502460000000005E-2</v>
      </c>
      <c r="R3003">
        <v>-6.3439259999999997E-2</v>
      </c>
      <c r="S3003">
        <v>2.9894409999999998</v>
      </c>
      <c r="T3003">
        <v>0.2624167</v>
      </c>
      <c r="U3003">
        <v>-8.627319E-2</v>
      </c>
      <c r="V3003">
        <v>4.0407409999999998E-2</v>
      </c>
      <c r="W3003">
        <v>8.5570770000000004E-2</v>
      </c>
      <c r="X3003">
        <v>0.99551239999999996</v>
      </c>
      <c r="Y3003">
        <v>5.7795260000000001E-3</v>
      </c>
      <c r="Z3003">
        <v>-1.7731870000000001E-3</v>
      </c>
      <c r="AA3003">
        <v>0.99998169999999997</v>
      </c>
      <c r="AB3003">
        <v>25</v>
      </c>
      <c r="AC3003">
        <v>248.0247</v>
      </c>
      <c r="AD3003">
        <v>21.793219000000001</v>
      </c>
      <c r="AE3003">
        <v>-7.1590000000000096</v>
      </c>
      <c r="AF3003">
        <v>1.4078382090955099</v>
      </c>
      <c r="AG3003">
        <v>21.793219000000001</v>
      </c>
      <c r="AH3003">
        <v>246.224514979237</v>
      </c>
      <c r="AI3003">
        <v>84.942039708951</v>
      </c>
      <c r="AJ3003">
        <v>89.672403421625305</v>
      </c>
      <c r="AK3003">
        <v>247.19109648117399</v>
      </c>
      <c r="AL3003">
        <v>85.091152964822598</v>
      </c>
      <c r="AM3003">
        <v>87.675665432758905</v>
      </c>
      <c r="AN3003">
        <v>1.00000002700753</v>
      </c>
    </row>
    <row r="3004" spans="1:40" x14ac:dyDescent="0.25">
      <c r="A3004" t="str">
        <f>"20190312151045077"</f>
        <v>20190312151045077</v>
      </c>
      <c r="B3004" t="str">
        <f>"1552374645073628"</f>
        <v>1552374645073628</v>
      </c>
      <c r="C3004" t="s">
        <v>40</v>
      </c>
      <c r="D3004">
        <v>5.2930580000000003</v>
      </c>
      <c r="E3004">
        <v>0.48670200000000002</v>
      </c>
      <c r="F3004" t="s">
        <v>69</v>
      </c>
      <c r="G3004">
        <v>-168.4179</v>
      </c>
      <c r="H3004">
        <v>22.782779999999999</v>
      </c>
      <c r="I3004">
        <v>206.9726</v>
      </c>
      <c r="J3004">
        <v>-416.19450000000001</v>
      </c>
      <c r="K3004">
        <v>1.1104039999999999</v>
      </c>
      <c r="L3004">
        <v>213.91900000000001</v>
      </c>
      <c r="M3004">
        <v>0.9996467</v>
      </c>
      <c r="N3004">
        <v>0</v>
      </c>
      <c r="O3004">
        <v>-2.3116939999999999E-2</v>
      </c>
      <c r="P3004">
        <v>0.99542160000000002</v>
      </c>
      <c r="Q3004">
        <v>7.228395E-2</v>
      </c>
      <c r="R3004">
        <v>-6.2538620000000003E-2</v>
      </c>
      <c r="S3004">
        <v>2.989655</v>
      </c>
      <c r="T3004">
        <v>0.261237</v>
      </c>
      <c r="U3004">
        <v>-8.3801269999999997E-2</v>
      </c>
      <c r="V3004">
        <v>3.9502210000000003E-2</v>
      </c>
      <c r="W3004">
        <v>8.5366020000000001E-2</v>
      </c>
      <c r="X3004">
        <v>0.99556630000000002</v>
      </c>
      <c r="Y3004">
        <v>4.9711429999999999E-3</v>
      </c>
      <c r="Z3004">
        <v>-1.7988730000000001E-3</v>
      </c>
      <c r="AA3004">
        <v>0.99998609999999999</v>
      </c>
      <c r="AB3004">
        <v>25</v>
      </c>
      <c r="AC3004">
        <v>247.7766</v>
      </c>
      <c r="AD3004">
        <v>21.672376</v>
      </c>
      <c r="AE3004">
        <v>-6.9464000000000103</v>
      </c>
      <c r="AF3004">
        <v>1.20698683286884</v>
      </c>
      <c r="AG3004">
        <v>21.672376</v>
      </c>
      <c r="AH3004">
        <v>245.990484327583</v>
      </c>
      <c r="AI3004">
        <v>84.965159227100401</v>
      </c>
      <c r="AJ3004">
        <v>89.7188724731582</v>
      </c>
      <c r="AK3004">
        <v>246.946283791474</v>
      </c>
      <c r="AL3004">
        <v>85.102927324044899</v>
      </c>
      <c r="AM3004">
        <v>87.727802473076594</v>
      </c>
      <c r="AN3004">
        <v>1.0000000198306001</v>
      </c>
    </row>
    <row r="3005" spans="1:40" x14ac:dyDescent="0.25">
      <c r="A3005" t="str">
        <f>"20190312151045100"</f>
        <v>20190312151045100</v>
      </c>
      <c r="B3005" t="str">
        <f>"1552374645094125"</f>
        <v>1552374645094125</v>
      </c>
      <c r="C3005" t="s">
        <v>40</v>
      </c>
      <c r="D3005">
        <v>5.3496139999999999</v>
      </c>
      <c r="E3005">
        <v>0.48666609999999999</v>
      </c>
      <c r="F3005" t="s">
        <v>69</v>
      </c>
      <c r="G3005">
        <v>-168.4178</v>
      </c>
      <c r="H3005">
        <v>22.586569999999998</v>
      </c>
      <c r="I3005">
        <v>207.1183</v>
      </c>
      <c r="J3005">
        <v>-415.94450000000001</v>
      </c>
      <c r="K3005">
        <v>1.1104769999999999</v>
      </c>
      <c r="L3005">
        <v>213.91329999999999</v>
      </c>
      <c r="M3005">
        <v>0.99964980000000003</v>
      </c>
      <c r="N3005">
        <v>0</v>
      </c>
      <c r="O3005">
        <v>-2.2976949999999999E-2</v>
      </c>
      <c r="P3005">
        <v>0.99549359999999998</v>
      </c>
      <c r="Q3005">
        <v>7.2270899999999999E-2</v>
      </c>
      <c r="R3005">
        <v>-6.1398029999999999E-2</v>
      </c>
      <c r="S3005">
        <v>2.9898069999999999</v>
      </c>
      <c r="T3005">
        <v>0.25914320000000002</v>
      </c>
      <c r="U3005">
        <v>-8.2061770000000006E-2</v>
      </c>
      <c r="V3005">
        <v>3.8484669999999999E-2</v>
      </c>
      <c r="W3005">
        <v>8.5363159999999993E-2</v>
      </c>
      <c r="X3005">
        <v>0.9956064</v>
      </c>
      <c r="Y3005">
        <v>4.5284280000000001E-3</v>
      </c>
      <c r="Z3005">
        <v>-1.7914770000000001E-3</v>
      </c>
      <c r="AA3005">
        <v>0.99998810000000005</v>
      </c>
      <c r="AB3005">
        <v>25</v>
      </c>
      <c r="AC3005">
        <v>247.52670000000001</v>
      </c>
      <c r="AD3005">
        <v>21.476092999999999</v>
      </c>
      <c r="AE3005">
        <v>-6.7949999999999804</v>
      </c>
      <c r="AF3005">
        <v>1.0970548682444301</v>
      </c>
      <c r="AG3005">
        <v>21.476092999999999</v>
      </c>
      <c r="AH3005">
        <v>245.768784112064</v>
      </c>
      <c r="AI3005">
        <v>85.006039286938204</v>
      </c>
      <c r="AJ3005">
        <v>89.744246623510904</v>
      </c>
      <c r="AK3005">
        <v>246.70776506598</v>
      </c>
      <c r="AL3005">
        <v>85.103091797598395</v>
      </c>
      <c r="AM3005">
        <v>87.786362230560698</v>
      </c>
      <c r="AN3005">
        <v>1.00000002131557</v>
      </c>
    </row>
    <row r="3006" spans="1:40" x14ac:dyDescent="0.25">
      <c r="A3006" t="str">
        <f>"20190312151045122"</f>
        <v>20190312151045122</v>
      </c>
      <c r="B3006" t="str">
        <f>"1552374645113644"</f>
        <v>1552374645113644</v>
      </c>
      <c r="C3006" t="s">
        <v>40</v>
      </c>
      <c r="D3006">
        <v>5.2366720000000004</v>
      </c>
      <c r="E3006">
        <v>0.48656949999999999</v>
      </c>
      <c r="F3006" t="s">
        <v>69</v>
      </c>
      <c r="G3006">
        <v>-168.41759999999999</v>
      </c>
      <c r="H3006">
        <v>22.53866</v>
      </c>
      <c r="I3006">
        <v>207.41659999999999</v>
      </c>
      <c r="J3006">
        <v>-415.70359999999999</v>
      </c>
      <c r="K3006">
        <v>1.1105229999999999</v>
      </c>
      <c r="L3006">
        <v>213.90790000000001</v>
      </c>
      <c r="M3006">
        <v>0.99965459999999995</v>
      </c>
      <c r="N3006">
        <v>0</v>
      </c>
      <c r="O3006">
        <v>-2.2765580000000001E-2</v>
      </c>
      <c r="P3006">
        <v>0.99561129999999998</v>
      </c>
      <c r="Q3006">
        <v>7.2224319999999995E-2</v>
      </c>
      <c r="R3006">
        <v>-5.9513290000000003E-2</v>
      </c>
      <c r="S3006">
        <v>2.98996</v>
      </c>
      <c r="T3006">
        <v>0.25883869999999998</v>
      </c>
      <c r="U3006">
        <v>-7.8475950000000003E-2</v>
      </c>
      <c r="V3006">
        <v>3.6798890000000001E-2</v>
      </c>
      <c r="W3006">
        <v>8.5324200000000003E-2</v>
      </c>
      <c r="X3006">
        <v>0.99567349999999999</v>
      </c>
      <c r="Y3006">
        <v>3.5427789999999998E-3</v>
      </c>
      <c r="Z3006">
        <v>-1.8136440000000001E-3</v>
      </c>
      <c r="AA3006">
        <v>0.99999210000000005</v>
      </c>
      <c r="AB3006">
        <v>25</v>
      </c>
      <c r="AC3006">
        <v>247.28599999999901</v>
      </c>
      <c r="AD3006">
        <v>21.428137</v>
      </c>
      <c r="AE3006">
        <v>-6.4913000000000203</v>
      </c>
      <c r="AF3006">
        <v>0.85312129230253497</v>
      </c>
      <c r="AG3006">
        <v>21.428137</v>
      </c>
      <c r="AH3006">
        <v>245.52734794666401</v>
      </c>
      <c r="AI3006">
        <v>85.012239953954705</v>
      </c>
      <c r="AJ3006">
        <v>89.800918092593406</v>
      </c>
      <c r="AK3006">
        <v>246.462109584724</v>
      </c>
      <c r="AL3006">
        <v>85.105332346083301</v>
      </c>
      <c r="AM3006">
        <v>87.883380573154597</v>
      </c>
      <c r="AN3006">
        <v>1.0000000480065501</v>
      </c>
    </row>
    <row r="3007" spans="1:40" x14ac:dyDescent="0.25">
      <c r="A3007" t="str">
        <f>"20190312151045146"</f>
        <v>20190312151045146</v>
      </c>
      <c r="B3007" t="str">
        <f>"1552374645143901"</f>
        <v>1552374645143901</v>
      </c>
      <c r="C3007" t="s">
        <v>40</v>
      </c>
      <c r="D3007">
        <v>4.9402410000000003</v>
      </c>
      <c r="E3007">
        <v>0.4865795</v>
      </c>
      <c r="F3007" t="s">
        <v>69</v>
      </c>
      <c r="G3007">
        <v>-168.41739999999999</v>
      </c>
      <c r="H3007">
        <v>22.436240000000002</v>
      </c>
      <c r="I3007">
        <v>207.96960000000001</v>
      </c>
      <c r="J3007">
        <v>-415.43819999999999</v>
      </c>
      <c r="K3007">
        <v>1.1105529999999999</v>
      </c>
      <c r="L3007">
        <v>213.90209999999999</v>
      </c>
      <c r="M3007">
        <v>0.99966060000000001</v>
      </c>
      <c r="N3007">
        <v>0</v>
      </c>
      <c r="O3007">
        <v>-2.2499140000000001E-2</v>
      </c>
      <c r="P3007">
        <v>0.99579890000000004</v>
      </c>
      <c r="Q3007">
        <v>7.1217059999999999E-2</v>
      </c>
      <c r="R3007">
        <v>-5.7557209999999998E-2</v>
      </c>
      <c r="S3007">
        <v>2.9902340000000001</v>
      </c>
      <c r="T3007">
        <v>0.25787520000000003</v>
      </c>
      <c r="U3007">
        <v>-7.1807860000000001E-2</v>
      </c>
      <c r="V3007">
        <v>3.5098119999999997E-2</v>
      </c>
      <c r="W3007">
        <v>8.4323599999999999E-2</v>
      </c>
      <c r="X3007">
        <v>0.99582009999999999</v>
      </c>
      <c r="Y3007">
        <v>1.584104E-3</v>
      </c>
      <c r="Z3007">
        <v>-1.868179E-3</v>
      </c>
      <c r="AA3007">
        <v>0.99999700000000002</v>
      </c>
      <c r="AB3007">
        <v>25</v>
      </c>
      <c r="AC3007">
        <v>247.02080000000001</v>
      </c>
      <c r="AD3007">
        <v>21.325686999999999</v>
      </c>
      <c r="AE3007">
        <v>-5.9324999999999699</v>
      </c>
      <c r="AF3007">
        <v>0.37000697224357099</v>
      </c>
      <c r="AG3007">
        <v>21.325686999999999</v>
      </c>
      <c r="AH3007">
        <v>245.26480849701801</v>
      </c>
      <c r="AI3007">
        <v>85.030656188603899</v>
      </c>
      <c r="AJ3007">
        <v>89.913563539966603</v>
      </c>
      <c r="AK3007">
        <v>246.19047121743</v>
      </c>
      <c r="AL3007">
        <v>85.162869683940301</v>
      </c>
      <c r="AM3007">
        <v>87.981420479502603</v>
      </c>
      <c r="AN3007">
        <v>1.0000000095542501</v>
      </c>
    </row>
    <row r="3008" spans="1:40" x14ac:dyDescent="0.25">
      <c r="A3008" t="str">
        <f>"20190312151045169"</f>
        <v>20190312151045169</v>
      </c>
      <c r="B3008" t="str">
        <f>"1552374645163421"</f>
        <v>1552374645163421</v>
      </c>
      <c r="C3008" t="s">
        <v>40</v>
      </c>
      <c r="D3008">
        <v>5.2975459999999996</v>
      </c>
      <c r="E3008">
        <v>0.48663020000000001</v>
      </c>
      <c r="F3008" t="s">
        <v>69</v>
      </c>
      <c r="G3008">
        <v>-169.3998</v>
      </c>
      <c r="H3008">
        <v>21.993259999999999</v>
      </c>
      <c r="I3008">
        <v>208.47409999999999</v>
      </c>
      <c r="J3008">
        <v>-415.19979999999998</v>
      </c>
      <c r="K3008">
        <v>1.110568</v>
      </c>
      <c r="L3008">
        <v>213.89699999999999</v>
      </c>
      <c r="M3008">
        <v>0.99966600000000005</v>
      </c>
      <c r="N3008">
        <v>0</v>
      </c>
      <c r="O3008">
        <v>-2.225649E-2</v>
      </c>
      <c r="P3008">
        <v>0.99596059999999997</v>
      </c>
      <c r="Q3008">
        <v>7.0326180000000002E-2</v>
      </c>
      <c r="R3008">
        <v>-5.5829230000000001E-2</v>
      </c>
      <c r="S3008">
        <v>2.9906920000000001</v>
      </c>
      <c r="T3008">
        <v>0.253837799999999</v>
      </c>
      <c r="U3008">
        <v>-6.5978999999999996E-2</v>
      </c>
      <c r="V3008">
        <v>3.3606520000000001E-2</v>
      </c>
      <c r="W3008">
        <v>8.3436479999999993E-2</v>
      </c>
      <c r="X3008">
        <v>0.99594629999999995</v>
      </c>
      <c r="Y3008">
        <v>-1.2197049999999999E-4</v>
      </c>
      <c r="Z3008">
        <v>-1.890519E-3</v>
      </c>
      <c r="AA3008">
        <v>0.99999819999999995</v>
      </c>
      <c r="AB3008">
        <v>25</v>
      </c>
      <c r="AC3008">
        <v>245.8</v>
      </c>
      <c r="AD3008">
        <v>20.882691999999999</v>
      </c>
      <c r="AE3008">
        <v>-5.4229000000000198</v>
      </c>
      <c r="AF3008">
        <v>-4.9205778072962197E-2</v>
      </c>
      <c r="AG3008">
        <v>20.882691999999999</v>
      </c>
      <c r="AH3008">
        <v>244.09879159855501</v>
      </c>
      <c r="AI3008">
        <v>85.110242593234901</v>
      </c>
      <c r="AJ3008">
        <v>90.011549763743503</v>
      </c>
      <c r="AK3008">
        <v>244.99042696858601</v>
      </c>
      <c r="AL3008">
        <v>85.213877814948006</v>
      </c>
      <c r="AM3008">
        <v>88.067384299489802</v>
      </c>
      <c r="AN3008">
        <v>1.0000000384324901</v>
      </c>
    </row>
    <row r="3009" spans="1:40" x14ac:dyDescent="0.25">
      <c r="A3009" t="str">
        <f>"20190312151045187"</f>
        <v>20190312151045187</v>
      </c>
      <c r="B3009" t="str">
        <f>"1552374645183917"</f>
        <v>1552374645183917</v>
      </c>
      <c r="C3009" t="s">
        <v>40</v>
      </c>
      <c r="D3009">
        <v>5.2949469999999996</v>
      </c>
      <c r="E3009">
        <v>0.4866608</v>
      </c>
      <c r="F3009" t="s">
        <v>69</v>
      </c>
      <c r="G3009">
        <v>-169.39949999999999</v>
      </c>
      <c r="H3009">
        <v>21.69678</v>
      </c>
      <c r="I3009">
        <v>208.85990000000001</v>
      </c>
      <c r="J3009">
        <v>-414.98419999999999</v>
      </c>
      <c r="K3009">
        <v>1.110562</v>
      </c>
      <c r="L3009">
        <v>213.89250000000001</v>
      </c>
      <c r="M3009">
        <v>0.99967070000000002</v>
      </c>
      <c r="N3009">
        <v>0</v>
      </c>
      <c r="O3009">
        <v>-2.2043509999999999E-2</v>
      </c>
      <c r="P3009">
        <v>0.99609729999999996</v>
      </c>
      <c r="Q3009">
        <v>6.9271860000000005E-2</v>
      </c>
      <c r="R3009">
        <v>-5.4697790000000003E-2</v>
      </c>
      <c r="S3009">
        <v>2.9910580000000002</v>
      </c>
      <c r="T3009">
        <v>0.25050689999999998</v>
      </c>
      <c r="U3009">
        <v>-6.1294559999999998E-2</v>
      </c>
      <c r="V3009">
        <v>3.2685640000000002E-2</v>
      </c>
      <c r="W3009">
        <v>8.2384860000000004E-2</v>
      </c>
      <c r="X3009">
        <v>0.99606439999999996</v>
      </c>
      <c r="Y3009">
        <v>-1.4751740000000001E-3</v>
      </c>
      <c r="Z3009">
        <v>-1.904371E-3</v>
      </c>
      <c r="AA3009">
        <v>0.99999709999999997</v>
      </c>
      <c r="AB3009">
        <v>25</v>
      </c>
      <c r="AC3009">
        <v>245.5847</v>
      </c>
      <c r="AD3009">
        <v>20.586217999999999</v>
      </c>
      <c r="AE3009">
        <v>-5.0326000000000004</v>
      </c>
      <c r="AF3009">
        <v>-0.37997023327473101</v>
      </c>
      <c r="AG3009">
        <v>20.586217999999999</v>
      </c>
      <c r="AH3009">
        <v>243.92271262473301</v>
      </c>
      <c r="AI3009">
        <v>85.1758758362474</v>
      </c>
      <c r="AJ3009">
        <v>90.089252340889303</v>
      </c>
      <c r="AK3009">
        <v>244.790168273012</v>
      </c>
      <c r="AL3009">
        <v>85.274338966665397</v>
      </c>
      <c r="AM3009">
        <v>88.120525682699196</v>
      </c>
      <c r="AN3009">
        <v>0.99999995258339303</v>
      </c>
    </row>
    <row r="3010" spans="1:40" x14ac:dyDescent="0.25">
      <c r="A3010" t="str">
        <f>"20190312151045212"</f>
        <v>20190312151045212</v>
      </c>
      <c r="B3010" t="str">
        <f>"1552374645203437"</f>
        <v>1552374645203437</v>
      </c>
      <c r="C3010" t="s">
        <v>40</v>
      </c>
      <c r="D3010">
        <v>5.3011520000000001</v>
      </c>
      <c r="E3010">
        <v>0.48675180000000001</v>
      </c>
      <c r="F3010" t="s">
        <v>69</v>
      </c>
      <c r="G3010">
        <v>-169.39940000000001</v>
      </c>
      <c r="H3010">
        <v>21.408439999999999</v>
      </c>
      <c r="I3010">
        <v>209.1208</v>
      </c>
      <c r="J3010">
        <v>-414.7253</v>
      </c>
      <c r="K3010">
        <v>1.11054599999999</v>
      </c>
      <c r="L3010">
        <v>213.8871</v>
      </c>
      <c r="M3010">
        <v>0.99967600000000001</v>
      </c>
      <c r="N3010">
        <v>0</v>
      </c>
      <c r="O3010">
        <v>-2.180054E-2</v>
      </c>
      <c r="P3010">
        <v>0.99621210000000004</v>
      </c>
      <c r="Q3010">
        <v>6.7957219999999999E-2</v>
      </c>
      <c r="R3010">
        <v>-5.4255749999999998E-2</v>
      </c>
      <c r="S3010">
        <v>2.9913639999999999</v>
      </c>
      <c r="T3010">
        <v>0.24724009999999999</v>
      </c>
      <c r="U3010">
        <v>-5.8120730000000002E-2</v>
      </c>
      <c r="V3010">
        <v>3.2486719999999997E-2</v>
      </c>
      <c r="W3010">
        <v>8.1071779999999996E-2</v>
      </c>
      <c r="X3010">
        <v>0.99617869999999997</v>
      </c>
      <c r="Y3010">
        <v>-2.2949649999999999E-3</v>
      </c>
      <c r="Z3010">
        <v>-1.893231E-3</v>
      </c>
      <c r="AA3010">
        <v>0.99999559999999998</v>
      </c>
      <c r="AB3010">
        <v>24</v>
      </c>
      <c r="AC3010">
        <v>245.32589999999999</v>
      </c>
      <c r="AD3010">
        <v>20.297893999999999</v>
      </c>
      <c r="AE3010">
        <v>-4.7663000000000002</v>
      </c>
      <c r="AF3010">
        <v>-0.57956573590860405</v>
      </c>
      <c r="AG3010">
        <v>20.297893999999999</v>
      </c>
      <c r="AH3010">
        <v>243.70381930244801</v>
      </c>
      <c r="AI3010">
        <v>85.238883436033902</v>
      </c>
      <c r="AJ3010">
        <v>90.136258053368607</v>
      </c>
      <c r="AK3010">
        <v>244.54834274612799</v>
      </c>
      <c r="AL3010">
        <v>85.349825721195401</v>
      </c>
      <c r="AM3010">
        <v>88.132169942909499</v>
      </c>
      <c r="AN3010">
        <v>1.0000000114112</v>
      </c>
    </row>
    <row r="3011" spans="1:40" x14ac:dyDescent="0.25">
      <c r="A3011" t="str">
        <f>"20190312151045234"</f>
        <v>20190312151045234</v>
      </c>
      <c r="B3011" t="str">
        <f>"1552374645223932"</f>
        <v>1552374645223932</v>
      </c>
      <c r="C3011" t="s">
        <v>40</v>
      </c>
      <c r="D3011">
        <v>5.2490110000000003</v>
      </c>
      <c r="E3011">
        <v>0.48684899999999998</v>
      </c>
      <c r="F3011" t="s">
        <v>69</v>
      </c>
      <c r="G3011">
        <v>-169.39920000000001</v>
      </c>
      <c r="H3011">
        <v>21.020499999999998</v>
      </c>
      <c r="I3011">
        <v>209.15729999999999</v>
      </c>
      <c r="J3011">
        <v>-414.48039999999997</v>
      </c>
      <c r="K3011">
        <v>1.110528</v>
      </c>
      <c r="L3011">
        <v>213.88200000000001</v>
      </c>
      <c r="M3011">
        <v>0.99968060000000003</v>
      </c>
      <c r="N3011">
        <v>0</v>
      </c>
      <c r="O3011">
        <v>-2.158649E-2</v>
      </c>
      <c r="P3011">
        <v>0.99628640000000002</v>
      </c>
      <c r="Q3011">
        <v>6.7134100000000002E-2</v>
      </c>
      <c r="R3011">
        <v>-5.3913879999999997E-2</v>
      </c>
      <c r="S3011">
        <v>2.9916990000000001</v>
      </c>
      <c r="T3011">
        <v>0.24279809999999999</v>
      </c>
      <c r="U3011">
        <v>-5.7678220000000002E-2</v>
      </c>
      <c r="V3011">
        <v>3.236062E-2</v>
      </c>
      <c r="W3011">
        <v>8.0249529999999999E-2</v>
      </c>
      <c r="X3011">
        <v>0.99624939999999995</v>
      </c>
      <c r="Y3011">
        <v>-2.234719E-3</v>
      </c>
      <c r="Z3011">
        <v>-1.8393459999999999E-3</v>
      </c>
      <c r="AA3011">
        <v>0.99999579999999999</v>
      </c>
      <c r="AB3011">
        <v>24</v>
      </c>
      <c r="AC3011">
        <v>245.0812</v>
      </c>
      <c r="AD3011">
        <v>19.909972</v>
      </c>
      <c r="AE3011">
        <v>-4.7247000000000101</v>
      </c>
      <c r="AF3011">
        <v>-0.56358286553398096</v>
      </c>
      <c r="AG3011">
        <v>19.909972</v>
      </c>
      <c r="AH3011">
        <v>243.519532839774</v>
      </c>
      <c r="AI3011">
        <v>85.325949263299194</v>
      </c>
      <c r="AJ3011">
        <v>90.132600705879995</v>
      </c>
      <c r="AK3011">
        <v>244.33273928229301</v>
      </c>
      <c r="AL3011">
        <v>85.397091280018302</v>
      </c>
      <c r="AM3011">
        <v>88.139546926063204</v>
      </c>
      <c r="AN3011">
        <v>1.0000000318961799</v>
      </c>
    </row>
    <row r="3012" spans="1:40" x14ac:dyDescent="0.25">
      <c r="A3012" t="str">
        <f>"20190312151045279"</f>
        <v>20190312151045279</v>
      </c>
      <c r="B3012" t="str">
        <f>"1552374645273709"</f>
        <v>1552374645273709</v>
      </c>
      <c r="C3012" t="s">
        <v>40</v>
      </c>
      <c r="D3012">
        <v>5.2482800000000003</v>
      </c>
      <c r="E3012">
        <v>0.50504789999999999</v>
      </c>
      <c r="F3012" t="s">
        <v>69</v>
      </c>
      <c r="G3012">
        <v>-169.3991</v>
      </c>
      <c r="H3012">
        <v>20.785830000000001</v>
      </c>
      <c r="I3012">
        <v>209.1985</v>
      </c>
      <c r="J3012">
        <v>-413.99160000000001</v>
      </c>
      <c r="K3012">
        <v>1.1104989999999999</v>
      </c>
      <c r="L3012">
        <v>213.87200000000001</v>
      </c>
      <c r="M3012">
        <v>0.99968900000000005</v>
      </c>
      <c r="N3012">
        <v>0</v>
      </c>
      <c r="O3012">
        <v>-2.1205430000000001E-2</v>
      </c>
      <c r="P3012">
        <v>0.99618320000000005</v>
      </c>
      <c r="Q3012">
        <v>6.8366819999999995E-2</v>
      </c>
      <c r="R3012">
        <v>-5.4272000000000001E-2</v>
      </c>
      <c r="S3012">
        <v>2.9919129999999998</v>
      </c>
      <c r="T3012">
        <v>0.2401932</v>
      </c>
      <c r="U3012">
        <v>-5.7174679999999999E-2</v>
      </c>
      <c r="V3012">
        <v>3.310689E-2</v>
      </c>
      <c r="W3012">
        <v>8.1460550000000007E-2</v>
      </c>
      <c r="X3012">
        <v>0.99612650000000003</v>
      </c>
      <c r="Y3012">
        <v>-2.0267140000000002E-3</v>
      </c>
      <c r="Z3012">
        <v>-1.78068E-3</v>
      </c>
      <c r="AA3012">
        <v>0.99999640000000001</v>
      </c>
      <c r="AB3012">
        <v>24</v>
      </c>
      <c r="AC3012">
        <v>244.5925</v>
      </c>
      <c r="AD3012">
        <v>19.675331</v>
      </c>
      <c r="AE3012">
        <v>-4.6735000000000104</v>
      </c>
      <c r="AF3012">
        <v>-0.51137909768329104</v>
      </c>
      <c r="AG3012">
        <v>19.675331</v>
      </c>
      <c r="AH3012">
        <v>243.06435719253</v>
      </c>
      <c r="AI3012">
        <v>85.372178846600903</v>
      </c>
      <c r="AJ3012">
        <v>90.120543468967398</v>
      </c>
      <c r="AK3012">
        <v>243.859922693253</v>
      </c>
      <c r="AL3012">
        <v>85.327476613221094</v>
      </c>
      <c r="AM3012">
        <v>88.096439463420694</v>
      </c>
      <c r="AN3012">
        <v>0.99999994568701001</v>
      </c>
    </row>
    <row r="3013" spans="1:40" x14ac:dyDescent="0.25">
      <c r="A3013" t="str">
        <f>"20190312151045301"</f>
        <v>20190312151045301</v>
      </c>
      <c r="B3013" t="str">
        <f>"1552374645294205"</f>
        <v>1552374645294205</v>
      </c>
      <c r="C3013" t="s">
        <v>40</v>
      </c>
      <c r="D3013">
        <v>5.2416179999999999</v>
      </c>
      <c r="E3013">
        <v>0.50580570000000002</v>
      </c>
      <c r="F3013" t="s">
        <v>69</v>
      </c>
      <c r="G3013">
        <v>-168.4213</v>
      </c>
      <c r="H3013">
        <v>23.22749</v>
      </c>
      <c r="I3013">
        <v>197.12540000000001</v>
      </c>
      <c r="J3013">
        <v>-413.74799999999999</v>
      </c>
      <c r="K3013">
        <v>1.110487</v>
      </c>
      <c r="L3013">
        <v>213.86709999999999</v>
      </c>
      <c r="M3013">
        <v>0.99969280000000005</v>
      </c>
      <c r="N3013">
        <v>0</v>
      </c>
      <c r="O3013">
        <v>-2.1033360000000001E-2</v>
      </c>
      <c r="P3013">
        <v>0.99618150000000005</v>
      </c>
      <c r="Q3013">
        <v>6.8896780000000005E-2</v>
      </c>
      <c r="R3013">
        <v>-5.3627460000000002E-2</v>
      </c>
      <c r="S3013">
        <v>2.9819640000000001</v>
      </c>
      <c r="T3013">
        <v>0.26856729999999901</v>
      </c>
      <c r="U3013">
        <v>-0.2033539</v>
      </c>
      <c r="V3013">
        <v>3.2635959999999999E-2</v>
      </c>
      <c r="W3013">
        <v>8.1974279999999997E-2</v>
      </c>
      <c r="X3013">
        <v>0.99609990000000004</v>
      </c>
      <c r="Y3013">
        <v>4.6930819999999998E-2</v>
      </c>
      <c r="Z3013">
        <v>2.186252E-4</v>
      </c>
      <c r="AA3013">
        <v>0.99889810000000001</v>
      </c>
      <c r="AB3013">
        <v>24</v>
      </c>
      <c r="AC3013">
        <v>245.32669999999999</v>
      </c>
      <c r="AD3013">
        <v>22.117003</v>
      </c>
      <c r="AE3013">
        <v>-16.741699999999899</v>
      </c>
      <c r="AF3013">
        <v>11.4845976394245</v>
      </c>
      <c r="AG3013">
        <v>22.117003</v>
      </c>
      <c r="AH3013">
        <v>243.65344182821099</v>
      </c>
      <c r="AI3013">
        <v>84.819060609169</v>
      </c>
      <c r="AJ3013">
        <v>87.301362502101995</v>
      </c>
      <c r="AK3013">
        <v>244.924595578669</v>
      </c>
      <c r="AL3013">
        <v>85.297943295940399</v>
      </c>
      <c r="AM3013">
        <v>88.123447147588706</v>
      </c>
      <c r="AN3013">
        <v>0.99999994962332295</v>
      </c>
    </row>
    <row r="3014" spans="1:40" x14ac:dyDescent="0.25">
      <c r="A3014" t="str">
        <f>"20190312151045335"</f>
        <v>20190312151045335</v>
      </c>
      <c r="B3014" t="str">
        <f>"1552374645323488"</f>
        <v>1552374645323488</v>
      </c>
      <c r="C3014" t="s">
        <v>40</v>
      </c>
      <c r="D3014">
        <v>5.3049569999999999</v>
      </c>
      <c r="E3014">
        <v>0.50632489999999997</v>
      </c>
      <c r="F3014" t="s">
        <v>69</v>
      </c>
      <c r="G3014">
        <v>-168.42150000000001</v>
      </c>
      <c r="H3014">
        <v>23.49194</v>
      </c>
      <c r="I3014">
        <v>196.7929</v>
      </c>
      <c r="J3014">
        <v>-413.3777</v>
      </c>
      <c r="K3014">
        <v>1.110474</v>
      </c>
      <c r="L3014">
        <v>213.8596</v>
      </c>
      <c r="M3014">
        <v>0.99969859999999999</v>
      </c>
      <c r="N3014">
        <v>0</v>
      </c>
      <c r="O3014">
        <v>-2.0774750000000002E-2</v>
      </c>
      <c r="P3014">
        <v>0.99625330000000001</v>
      </c>
      <c r="Q3014">
        <v>6.9056930000000002E-2</v>
      </c>
      <c r="R3014">
        <v>-5.2066300000000003E-2</v>
      </c>
      <c r="S3014">
        <v>2.9814759999999998</v>
      </c>
      <c r="T3014">
        <v>0.27200419999999997</v>
      </c>
      <c r="U3014">
        <v>-0.2075043</v>
      </c>
      <c r="V3014">
        <v>3.1334019999999997E-2</v>
      </c>
      <c r="W3014">
        <v>8.2114469999999995E-2</v>
      </c>
      <c r="X3014">
        <v>0.99613019999999997</v>
      </c>
      <c r="Y3014">
        <v>4.8573659999999998E-2</v>
      </c>
      <c r="Z3014">
        <v>3.1964519999999998E-4</v>
      </c>
      <c r="AA3014">
        <v>0.99881949999999997</v>
      </c>
      <c r="AB3014">
        <v>24</v>
      </c>
      <c r="AC3014">
        <v>244.9562</v>
      </c>
      <c r="AD3014">
        <v>22.381466</v>
      </c>
      <c r="AE3014">
        <v>-17.066699999999901</v>
      </c>
      <c r="AF3014">
        <v>11.8750189861205</v>
      </c>
      <c r="AG3014">
        <v>22.381466</v>
      </c>
      <c r="AH3014">
        <v>243.23709496658199</v>
      </c>
      <c r="AI3014">
        <v>84.748950837971805</v>
      </c>
      <c r="AJ3014">
        <v>87.204995889383994</v>
      </c>
      <c r="AK3014">
        <v>244.55312401196599</v>
      </c>
      <c r="AL3014">
        <v>85.289884025276393</v>
      </c>
      <c r="AM3014">
        <v>88.198312507888005</v>
      </c>
      <c r="AN3014">
        <v>0.99999999117239002</v>
      </c>
    </row>
    <row r="3015" spans="1:40" x14ac:dyDescent="0.25">
      <c r="A3015" t="str">
        <f>"20190312151045357"</f>
        <v>20190312151045357</v>
      </c>
      <c r="B3015" t="str">
        <f>"1552374645353740"</f>
        <v>1552374645353740</v>
      </c>
      <c r="C3015" t="s">
        <v>40</v>
      </c>
      <c r="D3015">
        <v>5.3011699999999999</v>
      </c>
      <c r="E3015">
        <v>0.50644350000000005</v>
      </c>
      <c r="F3015" t="s">
        <v>69</v>
      </c>
      <c r="G3015">
        <v>-168.4213</v>
      </c>
      <c r="H3015">
        <v>23.113579999999999</v>
      </c>
      <c r="I3015">
        <v>196.86250000000001</v>
      </c>
      <c r="J3015">
        <v>-413.13639999999998</v>
      </c>
      <c r="K3015">
        <v>1.110466</v>
      </c>
      <c r="L3015">
        <v>213.85489999999999</v>
      </c>
      <c r="M3015">
        <v>0.99970239999999999</v>
      </c>
      <c r="N3015">
        <v>0</v>
      </c>
      <c r="O3015">
        <v>-2.060116E-2</v>
      </c>
      <c r="P3015">
        <v>0.99634979999999995</v>
      </c>
      <c r="Q3015">
        <v>6.8498719999999999E-2</v>
      </c>
      <c r="R3015">
        <v>-5.0941739999999999E-2</v>
      </c>
      <c r="S3015">
        <v>2.981903</v>
      </c>
      <c r="T3015">
        <v>0.26784859999999999</v>
      </c>
      <c r="U3015">
        <v>-0.20690919999999999</v>
      </c>
      <c r="V3015">
        <v>3.0382260000000001E-2</v>
      </c>
      <c r="W3015">
        <v>8.1538490000000005E-2</v>
      </c>
      <c r="X3015">
        <v>0.99620699999999995</v>
      </c>
      <c r="Y3015">
        <v>4.8541750000000002E-2</v>
      </c>
      <c r="Z3015">
        <v>3.2884489999999999E-4</v>
      </c>
      <c r="AA3015">
        <v>0.99882110000000002</v>
      </c>
      <c r="AB3015">
        <v>24</v>
      </c>
      <c r="AC3015">
        <v>244.71510000000001</v>
      </c>
      <c r="AD3015">
        <v>22.003114</v>
      </c>
      <c r="AE3015">
        <v>-16.9923999999999</v>
      </c>
      <c r="AF3015">
        <v>11.851594814844301</v>
      </c>
      <c r="AG3015">
        <v>22.003114</v>
      </c>
      <c r="AH3015">
        <v>243.05770687130101</v>
      </c>
      <c r="AI3015">
        <v>84.833429616796593</v>
      </c>
      <c r="AJ3015">
        <v>87.208444954875901</v>
      </c>
      <c r="AK3015">
        <v>244.33920314777001</v>
      </c>
      <c r="AL3015">
        <v>85.322996315221701</v>
      </c>
      <c r="AM3015">
        <v>88.253138294922493</v>
      </c>
      <c r="AN3015">
        <v>0.99999999696159303</v>
      </c>
    </row>
    <row r="3016" spans="1:40" x14ac:dyDescent="0.25">
      <c r="A3016" t="str">
        <f>"20190312151045379"</f>
        <v>20190312151045379</v>
      </c>
      <c r="B3016" t="str">
        <f>"1552374645374237"</f>
        <v>1552374645374237</v>
      </c>
      <c r="C3016" t="s">
        <v>40</v>
      </c>
      <c r="D3016">
        <v>5.360411</v>
      </c>
      <c r="E3016">
        <v>0.50678489999999998</v>
      </c>
      <c r="F3016" t="s">
        <v>69</v>
      </c>
      <c r="G3016">
        <v>-168.4211</v>
      </c>
      <c r="H3016">
        <v>22.682169999999999</v>
      </c>
      <c r="I3016">
        <v>197.0829</v>
      </c>
      <c r="J3016">
        <v>-412.90140000000002</v>
      </c>
      <c r="K3016">
        <v>1.1104590000000001</v>
      </c>
      <c r="L3016">
        <v>213.8503</v>
      </c>
      <c r="M3016">
        <v>0.99970630000000005</v>
      </c>
      <c r="N3016">
        <v>0</v>
      </c>
      <c r="O3016">
        <v>-2.0428269999999998E-2</v>
      </c>
      <c r="P3016">
        <v>0.99642330000000001</v>
      </c>
      <c r="Q3016">
        <v>6.8354730000000002E-2</v>
      </c>
      <c r="R3016">
        <v>-4.968388E-2</v>
      </c>
      <c r="S3016">
        <v>2.9824519999999999</v>
      </c>
      <c r="T3016">
        <v>0.26290419999999998</v>
      </c>
      <c r="U3016">
        <v>-0.2044067</v>
      </c>
      <c r="V3016">
        <v>2.9295939999999999E-2</v>
      </c>
      <c r="W3016">
        <v>8.1361699999999995E-2</v>
      </c>
      <c r="X3016">
        <v>0.99625399999999997</v>
      </c>
      <c r="Y3016">
        <v>4.787371E-2</v>
      </c>
      <c r="Z3016">
        <v>3.0857939999999999E-4</v>
      </c>
      <c r="AA3016">
        <v>0.99885330000000006</v>
      </c>
      <c r="AB3016">
        <v>24</v>
      </c>
      <c r="AC3016">
        <v>244.4803</v>
      </c>
      <c r="AD3016">
        <v>21.571711000000001</v>
      </c>
      <c r="AE3016">
        <v>-16.767399999999999</v>
      </c>
      <c r="AF3016">
        <v>11.6786687171612</v>
      </c>
      <c r="AG3016">
        <v>21.571711000000001</v>
      </c>
      <c r="AH3016">
        <v>242.88968902644999</v>
      </c>
      <c r="AI3016">
        <v>84.930544197565695</v>
      </c>
      <c r="AJ3016">
        <v>87.247213396079104</v>
      </c>
      <c r="AK3016">
        <v>244.12523641327701</v>
      </c>
      <c r="AL3016">
        <v>85.3331594433579</v>
      </c>
      <c r="AM3016">
        <v>88.315640238282896</v>
      </c>
      <c r="AN3016">
        <v>1.00000000542168</v>
      </c>
    </row>
    <row r="3017" spans="1:40" x14ac:dyDescent="0.25">
      <c r="A3017" t="str">
        <f>"20190312151045400"</f>
        <v>20190312151045400</v>
      </c>
      <c r="B3017" t="str">
        <f>"1552374645393757"</f>
        <v>1552374645393757</v>
      </c>
      <c r="C3017" t="s">
        <v>40</v>
      </c>
      <c r="D3017">
        <v>5.3615729999999999</v>
      </c>
      <c r="E3017">
        <v>0.50704459999999996</v>
      </c>
      <c r="F3017" t="s">
        <v>69</v>
      </c>
      <c r="G3017">
        <v>-168.42099999999999</v>
      </c>
      <c r="H3017">
        <v>22.397169999999999</v>
      </c>
      <c r="I3017">
        <v>197.1842</v>
      </c>
      <c r="J3017">
        <v>-412.66269999999997</v>
      </c>
      <c r="K3017">
        <v>1.110452</v>
      </c>
      <c r="L3017">
        <v>213.84559999999999</v>
      </c>
      <c r="M3017">
        <v>0.9997104</v>
      </c>
      <c r="N3017">
        <v>0</v>
      </c>
      <c r="O3017">
        <v>-2.0256509999999998E-2</v>
      </c>
      <c r="P3017">
        <v>0.99646630000000003</v>
      </c>
      <c r="Q3017">
        <v>6.8295750000000002E-2</v>
      </c>
      <c r="R3017">
        <v>-4.8894989999999999E-2</v>
      </c>
      <c r="S3017">
        <v>2.9828489999999999</v>
      </c>
      <c r="T3017">
        <v>0.25971470000000002</v>
      </c>
      <c r="U3017">
        <v>-0.20333860000000001</v>
      </c>
      <c r="V3017">
        <v>2.8677230000000001E-2</v>
      </c>
      <c r="W3017">
        <v>8.1256179999999997E-2</v>
      </c>
      <c r="X3017">
        <v>0.99628059999999996</v>
      </c>
      <c r="Y3017">
        <v>4.7682910000000002E-2</v>
      </c>
      <c r="Z3017">
        <v>3.1143499999999999E-4</v>
      </c>
      <c r="AA3017">
        <v>0.99886240000000004</v>
      </c>
      <c r="AB3017">
        <v>24</v>
      </c>
      <c r="AC3017">
        <v>244.24170000000001</v>
      </c>
      <c r="AD3017">
        <v>21.286718</v>
      </c>
      <c r="AE3017">
        <v>-16.661399999999901</v>
      </c>
      <c r="AF3017">
        <v>11.622206823471601</v>
      </c>
      <c r="AG3017">
        <v>21.286718</v>
      </c>
      <c r="AH3017">
        <v>242.69417176984501</v>
      </c>
      <c r="AI3017">
        <v>84.993120673788596</v>
      </c>
      <c r="AJ3017">
        <v>87.258298136900805</v>
      </c>
      <c r="AK3017">
        <v>243.90297469631301</v>
      </c>
      <c r="AL3017">
        <v>85.339225316495998</v>
      </c>
      <c r="AM3017">
        <v>88.351236902426606</v>
      </c>
      <c r="AN3017">
        <v>0.999999992122512</v>
      </c>
    </row>
    <row r="3018" spans="1:40" x14ac:dyDescent="0.25">
      <c r="A3018" t="str">
        <f>"20190312151045424"</f>
        <v>20190312151045424</v>
      </c>
      <c r="B3018" t="str">
        <f>"1552374645414262"</f>
        <v>1552374645414262</v>
      </c>
      <c r="C3018" t="s">
        <v>40</v>
      </c>
      <c r="D3018">
        <v>5.2286919999999997</v>
      </c>
      <c r="E3018">
        <v>0.50679560000000001</v>
      </c>
      <c r="F3018" t="s">
        <v>69</v>
      </c>
      <c r="G3018">
        <v>-168.42089999999999</v>
      </c>
      <c r="H3018">
        <v>22.259910000000001</v>
      </c>
      <c r="I3018">
        <v>197.2227</v>
      </c>
      <c r="J3018">
        <v>-412.41739999999999</v>
      </c>
      <c r="K3018">
        <v>1.110441</v>
      </c>
      <c r="L3018">
        <v>213.8409</v>
      </c>
      <c r="M3018">
        <v>0.99971469999999996</v>
      </c>
      <c r="N3018">
        <v>0</v>
      </c>
      <c r="O3018">
        <v>-2.0076670000000001E-2</v>
      </c>
      <c r="P3018">
        <v>0.99651040000000002</v>
      </c>
      <c r="Q3018">
        <v>6.8209469999999994E-2</v>
      </c>
      <c r="R3018">
        <v>-4.8112780000000001E-2</v>
      </c>
      <c r="S3018">
        <v>2.982971</v>
      </c>
      <c r="T3018">
        <v>0.2583027</v>
      </c>
      <c r="U3018">
        <v>-0.20301820000000001</v>
      </c>
      <c r="V3018">
        <v>2.8073299999999999E-2</v>
      </c>
      <c r="W3018">
        <v>8.1121680000000002E-2</v>
      </c>
      <c r="X3018">
        <v>0.99630870000000005</v>
      </c>
      <c r="Y3018">
        <v>4.7753219999999999E-2</v>
      </c>
      <c r="Z3018">
        <v>3.2829179999999998E-4</v>
      </c>
      <c r="AA3018">
        <v>0.9988591</v>
      </c>
      <c r="AB3018">
        <v>24</v>
      </c>
      <c r="AC3018">
        <v>243.9965</v>
      </c>
      <c r="AD3018">
        <v>21.149469</v>
      </c>
      <c r="AE3018">
        <v>-16.618200000000002</v>
      </c>
      <c r="AF3018">
        <v>11.628834831486801</v>
      </c>
      <c r="AG3018">
        <v>21.149469</v>
      </c>
      <c r="AH3018">
        <v>242.46765378629601</v>
      </c>
      <c r="AI3018">
        <v>85.020633595396205</v>
      </c>
      <c r="AJ3018">
        <v>87.254178075108896</v>
      </c>
      <c r="AK3018">
        <v>243.66594544817099</v>
      </c>
      <c r="AL3018">
        <v>85.346956840607007</v>
      </c>
      <c r="AM3018">
        <v>88.385986071180497</v>
      </c>
      <c r="AN3018">
        <v>0.99999993141729804</v>
      </c>
    </row>
    <row r="3019" spans="1:40" x14ac:dyDescent="0.25">
      <c r="A3019" t="str">
        <f>"20190312151045446"</f>
        <v>20190312151045446</v>
      </c>
      <c r="B3019" t="str">
        <f>"1552374645443533"</f>
        <v>1552374645443533</v>
      </c>
      <c r="C3019" t="s">
        <v>40</v>
      </c>
      <c r="D3019">
        <v>5.2661559999999996</v>
      </c>
      <c r="E3019">
        <v>0.50087219999999999</v>
      </c>
      <c r="F3019" t="s">
        <v>69</v>
      </c>
      <c r="G3019">
        <v>-168.42080000000001</v>
      </c>
      <c r="H3019">
        <v>22.299910000000001</v>
      </c>
      <c r="I3019">
        <v>197.5864</v>
      </c>
      <c r="J3019">
        <v>-412.17410000000001</v>
      </c>
      <c r="K3019">
        <v>1.1104290000000001</v>
      </c>
      <c r="L3019">
        <v>213.83619999999999</v>
      </c>
      <c r="M3019">
        <v>0.99971900000000002</v>
      </c>
      <c r="N3019">
        <v>0</v>
      </c>
      <c r="O3019">
        <v>-1.989111E-2</v>
      </c>
      <c r="P3019">
        <v>0.99660190000000004</v>
      </c>
      <c r="Q3019">
        <v>6.7427689999999998E-2</v>
      </c>
      <c r="R3019">
        <v>-4.7308419999999997E-2</v>
      </c>
      <c r="S3019">
        <v>2.9831539999999999</v>
      </c>
      <c r="T3019">
        <v>0.2590673</v>
      </c>
      <c r="U3019">
        <v>-0.1987305</v>
      </c>
      <c r="V3019">
        <v>2.7452710000000002E-2</v>
      </c>
      <c r="W3019">
        <v>8.0289949999999999E-2</v>
      </c>
      <c r="X3019">
        <v>0.99639339999999998</v>
      </c>
      <c r="Y3019">
        <v>4.6508599999999997E-2</v>
      </c>
      <c r="Z3019">
        <v>2.9142769999999999E-4</v>
      </c>
      <c r="AA3019">
        <v>0.99891779999999997</v>
      </c>
      <c r="AB3019">
        <v>24</v>
      </c>
      <c r="AC3019">
        <v>243.7533</v>
      </c>
      <c r="AD3019">
        <v>21.189481000000001</v>
      </c>
      <c r="AE3019">
        <v>-16.249799999999901</v>
      </c>
      <c r="AF3019">
        <v>11.3125488939056</v>
      </c>
      <c r="AG3019">
        <v>21.189481000000001</v>
      </c>
      <c r="AH3019">
        <v>242.206107395413</v>
      </c>
      <c r="AI3019">
        <v>85.005606628946595</v>
      </c>
      <c r="AJ3019">
        <v>87.325870046783706</v>
      </c>
      <c r="AK3019">
        <v>243.39426108099801</v>
      </c>
      <c r="AL3019">
        <v>85.394767590128893</v>
      </c>
      <c r="AM3019">
        <v>88.421781407706007</v>
      </c>
      <c r="AN3019">
        <v>0.99999996746045205</v>
      </c>
    </row>
    <row r="3020" spans="1:40" x14ac:dyDescent="0.25">
      <c r="A3020" t="str">
        <f>"20190312151045468"</f>
        <v>20190312151045468</v>
      </c>
      <c r="B3020" t="str">
        <f>"1552374645464029"</f>
        <v>1552374645464029</v>
      </c>
      <c r="C3020" t="s">
        <v>40</v>
      </c>
      <c r="D3020">
        <v>5.2567240000000002</v>
      </c>
      <c r="E3020">
        <v>0.49766319999999997</v>
      </c>
      <c r="F3020" t="s">
        <v>69</v>
      </c>
      <c r="G3020">
        <v>-168.41929999999999</v>
      </c>
      <c r="H3020">
        <v>21.877330000000001</v>
      </c>
      <c r="I3020">
        <v>201.66650000000001</v>
      </c>
      <c r="J3020">
        <v>-411.92439999999999</v>
      </c>
      <c r="K3020">
        <v>1.110417</v>
      </c>
      <c r="L3020">
        <v>213.8314</v>
      </c>
      <c r="M3020">
        <v>0.99972360000000005</v>
      </c>
      <c r="N3020">
        <v>0</v>
      </c>
      <c r="O3020">
        <v>-1.969369E-2</v>
      </c>
      <c r="P3020">
        <v>0.99670740000000002</v>
      </c>
      <c r="Q3020">
        <v>6.672177E-2</v>
      </c>
      <c r="R3020">
        <v>-4.6071429999999997E-2</v>
      </c>
      <c r="S3020">
        <v>2.985992</v>
      </c>
      <c r="T3020">
        <v>0.25439469999999997</v>
      </c>
      <c r="U3020">
        <v>-0.1490784</v>
      </c>
      <c r="V3020">
        <v>2.6410989999999999E-2</v>
      </c>
      <c r="W3020">
        <v>7.9525639999999995E-2</v>
      </c>
      <c r="X3020">
        <v>0.99648289999999995</v>
      </c>
      <c r="Y3020">
        <v>3.0145559999999998E-2</v>
      </c>
      <c r="Z3020">
        <v>-3.9257959999999998E-4</v>
      </c>
      <c r="AA3020">
        <v>0.99954549999999998</v>
      </c>
      <c r="AB3020">
        <v>24</v>
      </c>
      <c r="AC3020">
        <v>243.5051</v>
      </c>
      <c r="AD3020">
        <v>20.766912999999999</v>
      </c>
      <c r="AE3020">
        <v>-12.1648999999999</v>
      </c>
      <c r="AF3020">
        <v>7.3135701019883097</v>
      </c>
      <c r="AG3020">
        <v>20.766912999999999</v>
      </c>
      <c r="AH3020">
        <v>241.94213671512401</v>
      </c>
      <c r="AI3020">
        <v>85.096315352710704</v>
      </c>
      <c r="AJ3020">
        <v>88.268556517027704</v>
      </c>
      <c r="AK3020">
        <v>242.94186650609601</v>
      </c>
      <c r="AL3020">
        <v>85.438700048886304</v>
      </c>
      <c r="AM3020">
        <v>88.481776182336205</v>
      </c>
      <c r="AN3020">
        <v>1.0000000189012901</v>
      </c>
    </row>
    <row r="3021" spans="1:40" x14ac:dyDescent="0.25">
      <c r="A3021" t="str">
        <f>"20190312151045490"</f>
        <v>20190312151045490</v>
      </c>
      <c r="B3021" t="str">
        <f>"1552374645483549"</f>
        <v>1552374645483549</v>
      </c>
      <c r="C3021" t="s">
        <v>40</v>
      </c>
      <c r="D3021">
        <v>5.310009</v>
      </c>
      <c r="E3021">
        <v>0.49503560000000002</v>
      </c>
      <c r="F3021" t="s">
        <v>69</v>
      </c>
      <c r="G3021">
        <v>-168.41839999999999</v>
      </c>
      <c r="H3021">
        <v>21.558859999999999</v>
      </c>
      <c r="I3021">
        <v>204.0635</v>
      </c>
      <c r="J3021">
        <v>-411.69159999999999</v>
      </c>
      <c r="K3021">
        <v>1.1104039999999999</v>
      </c>
      <c r="L3021">
        <v>213.8271</v>
      </c>
      <c r="M3021">
        <v>0.99972810000000001</v>
      </c>
      <c r="N3021">
        <v>0</v>
      </c>
      <c r="O3021">
        <v>-1.9504939999999998E-2</v>
      </c>
      <c r="P3021">
        <v>0.99676120000000001</v>
      </c>
      <c r="Q3021">
        <v>6.640691E-2</v>
      </c>
      <c r="R3021">
        <v>-4.5359650000000001E-2</v>
      </c>
      <c r="S3021">
        <v>2.9875790000000002</v>
      </c>
      <c r="T3021">
        <v>0.25088270000000001</v>
      </c>
      <c r="U3021">
        <v>-0.1198425</v>
      </c>
      <c r="V3021">
        <v>2.5886200000000002E-2</v>
      </c>
      <c r="W3021">
        <v>7.9150590000000007E-2</v>
      </c>
      <c r="X3021">
        <v>0.99652649999999998</v>
      </c>
      <c r="Y3021">
        <v>2.0579099999999999E-2</v>
      </c>
      <c r="Z3021">
        <v>-7.720925E-4</v>
      </c>
      <c r="AA3021">
        <v>0.99978789999999995</v>
      </c>
      <c r="AB3021">
        <v>24</v>
      </c>
      <c r="AC3021">
        <v>243.2732</v>
      </c>
      <c r="AD3021">
        <v>20.448456</v>
      </c>
      <c r="AE3021">
        <v>-9.7635999999999896</v>
      </c>
      <c r="AF3021">
        <v>4.9811885179905202</v>
      </c>
      <c r="AG3021">
        <v>20.448456</v>
      </c>
      <c r="AH3021">
        <v>241.71233503482</v>
      </c>
      <c r="AI3021">
        <v>85.165409297377593</v>
      </c>
      <c r="AJ3021">
        <v>88.819420252974496</v>
      </c>
      <c r="AK3021">
        <v>242.62688329989501</v>
      </c>
      <c r="AL3021">
        <v>85.460256643082403</v>
      </c>
      <c r="AM3021">
        <v>88.511994873512705</v>
      </c>
      <c r="AN3021">
        <v>0.99999998822501901</v>
      </c>
    </row>
    <row r="3022" spans="1:40" x14ac:dyDescent="0.25">
      <c r="A3022" t="str">
        <f>"20190312151045512"</f>
        <v>20190312151045512</v>
      </c>
      <c r="B3022" t="str">
        <f>"1552374645504048"</f>
        <v>1552374645504048</v>
      </c>
      <c r="C3022" t="s">
        <v>40</v>
      </c>
      <c r="D3022">
        <v>5.1910150000000002</v>
      </c>
      <c r="E3022">
        <v>0.4928051</v>
      </c>
      <c r="F3022" t="s">
        <v>69</v>
      </c>
      <c r="G3022">
        <v>-168.4177</v>
      </c>
      <c r="H3022">
        <v>21.346830000000001</v>
      </c>
      <c r="I3022">
        <v>205.9503</v>
      </c>
      <c r="J3022">
        <v>-411.45060000000001</v>
      </c>
      <c r="K3022">
        <v>1.1103909999999999</v>
      </c>
      <c r="L3022">
        <v>213.82259999999999</v>
      </c>
      <c r="M3022">
        <v>0.99973290000000004</v>
      </c>
      <c r="N3022">
        <v>0</v>
      </c>
      <c r="O3022">
        <v>-1.9309860000000002E-2</v>
      </c>
      <c r="P3022">
        <v>0.99681770000000003</v>
      </c>
      <c r="Q3022">
        <v>6.5794939999999996E-2</v>
      </c>
      <c r="R3022">
        <v>-4.5006440000000002E-2</v>
      </c>
      <c r="S3022">
        <v>2.9887999999999999</v>
      </c>
      <c r="T3022">
        <v>0.2486198</v>
      </c>
      <c r="U3022">
        <v>-9.6771239999999994E-2</v>
      </c>
      <c r="V3022">
        <v>2.5726889999999999E-2</v>
      </c>
      <c r="W3022">
        <v>7.8473689999999999E-2</v>
      </c>
      <c r="X3022">
        <v>0.99658420000000003</v>
      </c>
      <c r="Y3022">
        <v>1.3075170000000001E-2</v>
      </c>
      <c r="Z3022">
        <v>-1.0602680000000001E-3</v>
      </c>
      <c r="AA3022">
        <v>0.99991390000000002</v>
      </c>
      <c r="AB3022">
        <v>24</v>
      </c>
      <c r="AC3022">
        <v>243.03290000000001</v>
      </c>
      <c r="AD3022">
        <v>20.236439000000001</v>
      </c>
      <c r="AE3022">
        <v>-7.8722999999999903</v>
      </c>
      <c r="AF3022">
        <v>3.1556660955503202</v>
      </c>
      <c r="AG3022">
        <v>20.236439000000001</v>
      </c>
      <c r="AH3022">
        <v>241.46720151096</v>
      </c>
      <c r="AI3022">
        <v>85.209862343971693</v>
      </c>
      <c r="AJ3022">
        <v>89.251260397411897</v>
      </c>
      <c r="AK3022">
        <v>242.334234266316</v>
      </c>
      <c r="AL3022">
        <v>85.499161360264694</v>
      </c>
      <c r="AM3022">
        <v>88.521233925633794</v>
      </c>
      <c r="AN3022">
        <v>1.0000000302904599</v>
      </c>
    </row>
    <row r="3023" spans="1:40" x14ac:dyDescent="0.25">
      <c r="A3023" t="str">
        <f>"20190312151045536"</f>
        <v>20190312151045536</v>
      </c>
      <c r="B3023" t="str">
        <f>"1552374645533325"</f>
        <v>1552374645533325</v>
      </c>
      <c r="C3023" t="s">
        <v>40</v>
      </c>
      <c r="D3023">
        <v>5.2508330000000001</v>
      </c>
      <c r="E3023">
        <v>0.49015330000000001</v>
      </c>
      <c r="F3023" t="s">
        <v>69</v>
      </c>
      <c r="G3023">
        <v>-168.4171</v>
      </c>
      <c r="H3023">
        <v>21.02064</v>
      </c>
      <c r="I3023">
        <v>207.49209999999999</v>
      </c>
      <c r="J3023">
        <v>-411.19929999999999</v>
      </c>
      <c r="K3023">
        <v>1.1103749999999999</v>
      </c>
      <c r="L3023">
        <v>213.81800000000001</v>
      </c>
      <c r="M3023">
        <v>0.9997376</v>
      </c>
      <c r="N3023">
        <v>0</v>
      </c>
      <c r="O3023">
        <v>-1.9107619999999999E-2</v>
      </c>
      <c r="P3023">
        <v>0.99680290000000005</v>
      </c>
      <c r="Q3023">
        <v>6.6019620000000001E-2</v>
      </c>
      <c r="R3023">
        <v>-4.5001470000000002E-2</v>
      </c>
      <c r="S3023">
        <v>2.9898989999999999</v>
      </c>
      <c r="T3023">
        <v>0.24494460000000001</v>
      </c>
      <c r="U3023">
        <v>-7.7880859999999996E-2</v>
      </c>
      <c r="V3023">
        <v>2.592417E-2</v>
      </c>
      <c r="W3023">
        <v>7.8624849999999996E-2</v>
      </c>
      <c r="X3023">
        <v>0.99656710000000004</v>
      </c>
      <c r="Y3023">
        <v>6.972364E-3</v>
      </c>
      <c r="Z3023">
        <v>-1.2773719999999999E-3</v>
      </c>
      <c r="AA3023">
        <v>0.9999749</v>
      </c>
      <c r="AB3023">
        <v>24</v>
      </c>
      <c r="AC3023">
        <v>242.78219999999999</v>
      </c>
      <c r="AD3023">
        <v>19.910264999999999</v>
      </c>
      <c r="AE3023">
        <v>-6.3258999999999901</v>
      </c>
      <c r="AF3023">
        <v>1.6741329538640199</v>
      </c>
      <c r="AG3023">
        <v>19.910264999999999</v>
      </c>
      <c r="AH3023">
        <v>241.23742543620199</v>
      </c>
      <c r="AI3023">
        <v>85.281962800904694</v>
      </c>
      <c r="AJ3023">
        <v>89.602386683537603</v>
      </c>
      <c r="AK3023">
        <v>242.06345615273</v>
      </c>
      <c r="AL3023">
        <v>85.490473357385099</v>
      </c>
      <c r="AM3023">
        <v>88.509873926643493</v>
      </c>
      <c r="AN3023">
        <v>0.99999995721505996</v>
      </c>
    </row>
    <row r="3024" spans="1:40" x14ac:dyDescent="0.25">
      <c r="A3024" t="str">
        <f>"20190312151045559"</f>
        <v>20190312151045559</v>
      </c>
      <c r="B3024" t="str">
        <f>"1552374645553821"</f>
        <v>1552374645553821</v>
      </c>
      <c r="C3024" t="s">
        <v>40</v>
      </c>
      <c r="D3024">
        <v>5.3087390000000001</v>
      </c>
      <c r="E3024">
        <v>0.48863869999999998</v>
      </c>
      <c r="F3024" t="s">
        <v>69</v>
      </c>
      <c r="G3024">
        <v>-169.3991</v>
      </c>
      <c r="H3024">
        <v>20.774090000000001</v>
      </c>
      <c r="I3024">
        <v>209.2302</v>
      </c>
      <c r="J3024">
        <v>-410.95100000000002</v>
      </c>
      <c r="K3024">
        <v>1.1103620000000001</v>
      </c>
      <c r="L3024">
        <v>213.8135</v>
      </c>
      <c r="M3024">
        <v>0.99974240000000003</v>
      </c>
      <c r="N3024">
        <v>0</v>
      </c>
      <c r="O3024">
        <v>-1.890555E-2</v>
      </c>
      <c r="P3024">
        <v>0.99680820000000003</v>
      </c>
      <c r="Q3024">
        <v>6.5974469999999993E-2</v>
      </c>
      <c r="R3024">
        <v>-4.4952850000000003E-2</v>
      </c>
      <c r="S3024">
        <v>2.9909059999999998</v>
      </c>
      <c r="T3024">
        <v>0.24322740000000001</v>
      </c>
      <c r="U3024">
        <v>-5.6747440000000003E-2</v>
      </c>
      <c r="V3024">
        <v>2.607692E-2</v>
      </c>
      <c r="W3024">
        <v>7.8498410000000005E-2</v>
      </c>
      <c r="X3024">
        <v>0.99657320000000005</v>
      </c>
      <c r="Y3024">
        <v>1.248535E-4</v>
      </c>
      <c r="Z3024">
        <v>-1.529688E-3</v>
      </c>
      <c r="AA3024">
        <v>0.99999879999999997</v>
      </c>
      <c r="AB3024">
        <v>24</v>
      </c>
      <c r="AC3024">
        <v>241.55189999999999</v>
      </c>
      <c r="AD3024">
        <v>19.663727999999999</v>
      </c>
      <c r="AE3024">
        <v>-4.5833000000000004</v>
      </c>
      <c r="AF3024">
        <v>1.5347368225731E-2</v>
      </c>
      <c r="AG3024">
        <v>19.663727999999999</v>
      </c>
      <c r="AH3024">
        <v>240.00545710184701</v>
      </c>
      <c r="AI3024">
        <v>85.316198917169999</v>
      </c>
      <c r="AJ3024">
        <v>89.996336169038003</v>
      </c>
      <c r="AK3024">
        <v>240.80963824786201</v>
      </c>
      <c r="AL3024">
        <v>85.497740825625002</v>
      </c>
      <c r="AM3024">
        <v>88.501106992741398</v>
      </c>
      <c r="AN3024">
        <v>1.0000000745437201</v>
      </c>
    </row>
    <row r="3025" spans="1:40" x14ac:dyDescent="0.25">
      <c r="A3025" t="str">
        <f>"20190312151045580"</f>
        <v>20190312151045580</v>
      </c>
      <c r="B3025" t="str">
        <f>"1552374645573342"</f>
        <v>1552374645573342</v>
      </c>
      <c r="C3025" t="s">
        <v>40</v>
      </c>
      <c r="D3025">
        <v>5.3017899999999996</v>
      </c>
      <c r="E3025">
        <v>0.48740990000000001</v>
      </c>
      <c r="F3025" t="s">
        <v>69</v>
      </c>
      <c r="G3025">
        <v>-169.39869999999999</v>
      </c>
      <c r="H3025">
        <v>20.608779999999999</v>
      </c>
      <c r="I3025">
        <v>210.2098</v>
      </c>
      <c r="J3025">
        <v>-410.71510000000001</v>
      </c>
      <c r="K3025">
        <v>1.1103529999999999</v>
      </c>
      <c r="L3025">
        <v>213.8092</v>
      </c>
      <c r="M3025">
        <v>0.99974730000000001</v>
      </c>
      <c r="N3025">
        <v>0</v>
      </c>
      <c r="O3025">
        <v>-1.8704140000000001E-2</v>
      </c>
      <c r="P3025">
        <v>0.99683310000000003</v>
      </c>
      <c r="Q3025">
        <v>6.5391729999999995E-2</v>
      </c>
      <c r="R3025">
        <v>-4.5252870000000001E-2</v>
      </c>
      <c r="S3025">
        <v>2.991638</v>
      </c>
      <c r="T3025">
        <v>0.2414895</v>
      </c>
      <c r="U3025">
        <v>-4.4631959999999998E-2</v>
      </c>
      <c r="V3025">
        <v>2.6576820000000001E-2</v>
      </c>
      <c r="W3025">
        <v>7.7834790000000001E-2</v>
      </c>
      <c r="X3025">
        <v>0.99661200000000005</v>
      </c>
      <c r="Y3025">
        <v>-3.7159739999999999E-3</v>
      </c>
      <c r="Z3025">
        <v>-1.6570179999999999E-3</v>
      </c>
      <c r="AA3025">
        <v>0.99999170000000004</v>
      </c>
      <c r="AB3025">
        <v>24</v>
      </c>
      <c r="AC3025">
        <v>241.31639999999999</v>
      </c>
      <c r="AD3025">
        <v>19.498427</v>
      </c>
      <c r="AE3025">
        <v>-3.5994000000000002</v>
      </c>
      <c r="AF3025">
        <v>-0.90926149532912603</v>
      </c>
      <c r="AG3025">
        <v>19.498427</v>
      </c>
      <c r="AH3025">
        <v>239.77643126602001</v>
      </c>
      <c r="AI3025">
        <v>85.351016146000006</v>
      </c>
      <c r="AJ3025">
        <v>90.217271548176498</v>
      </c>
      <c r="AK3025">
        <v>240.56964148165</v>
      </c>
      <c r="AL3025">
        <v>85.535879944890496</v>
      </c>
      <c r="AM3025">
        <v>88.472445832935193</v>
      </c>
      <c r="AN3025">
        <v>1.00000003021982</v>
      </c>
    </row>
    <row r="3026" spans="1:40" x14ac:dyDescent="0.25">
      <c r="A3026" t="str">
        <f>"20190312151045602"</f>
        <v>20190312151045602</v>
      </c>
      <c r="B3026" t="str">
        <f>"1552374645593837"</f>
        <v>1552374645593837</v>
      </c>
      <c r="C3026" t="s">
        <v>40</v>
      </c>
      <c r="D3026">
        <v>5.2430680000000001</v>
      </c>
      <c r="E3026">
        <v>0.4863056</v>
      </c>
      <c r="F3026" t="s">
        <v>70</v>
      </c>
      <c r="G3026">
        <v>-107.39749999999999</v>
      </c>
      <c r="H3026">
        <v>25.189070000000001</v>
      </c>
      <c r="I3026">
        <v>210.18989999999999</v>
      </c>
      <c r="J3026">
        <v>-410.47710000000001</v>
      </c>
      <c r="K3026">
        <v>1.1103529999999999</v>
      </c>
      <c r="L3026">
        <v>213.80500000000001</v>
      </c>
      <c r="M3026">
        <v>0.99975230000000004</v>
      </c>
      <c r="N3026">
        <v>0</v>
      </c>
      <c r="O3026">
        <v>-1.8491E-2</v>
      </c>
      <c r="P3026">
        <v>0.99685299999999999</v>
      </c>
      <c r="Q3026">
        <v>6.4735870000000001E-2</v>
      </c>
      <c r="R3026">
        <v>-4.5756520000000002E-2</v>
      </c>
      <c r="S3026">
        <v>2.99234</v>
      </c>
      <c r="T3026">
        <v>0.2375458</v>
      </c>
      <c r="U3026">
        <v>-3.5705569999999999E-2</v>
      </c>
      <c r="V3026">
        <v>2.7291389999999999E-2</v>
      </c>
      <c r="W3026">
        <v>7.7101249999999996E-2</v>
      </c>
      <c r="X3026">
        <v>0.99664969999999997</v>
      </c>
      <c r="Y3026">
        <v>-6.4831180000000004E-3</v>
      </c>
      <c r="Z3026">
        <v>-1.72247E-3</v>
      </c>
      <c r="AA3026">
        <v>0.99997749999999996</v>
      </c>
      <c r="AB3026">
        <v>24</v>
      </c>
      <c r="AC3026">
        <v>303.07960000000003</v>
      </c>
      <c r="AD3026">
        <v>24.078717000000001</v>
      </c>
      <c r="AE3026">
        <v>-3.6151000000000102</v>
      </c>
      <c r="AF3026">
        <v>-1.97771187165302</v>
      </c>
      <c r="AG3026">
        <v>24.078717000000001</v>
      </c>
      <c r="AH3026">
        <v>301.19382059702298</v>
      </c>
      <c r="AI3026">
        <v>85.429350245591195</v>
      </c>
      <c r="AJ3026">
        <v>90.376212614908695</v>
      </c>
      <c r="AK3026">
        <v>302.16123762396302</v>
      </c>
      <c r="AL3026">
        <v>85.578035345336204</v>
      </c>
      <c r="AM3026">
        <v>88.431454095701895</v>
      </c>
      <c r="AN3026">
        <v>1.00000002361489</v>
      </c>
    </row>
    <row r="3027" spans="1:40" x14ac:dyDescent="0.25">
      <c r="A3027" t="str">
        <f>"20190312151045625"</f>
        <v>20190312151045625</v>
      </c>
      <c r="B3027" t="str">
        <f>"1552374645614333"</f>
        <v>1552374645614333</v>
      </c>
      <c r="C3027" t="s">
        <v>40</v>
      </c>
      <c r="D3027">
        <v>5.303909</v>
      </c>
      <c r="E3027">
        <v>0.48539110000000002</v>
      </c>
      <c r="F3027" t="s">
        <v>70</v>
      </c>
      <c r="G3027">
        <v>-107.39749999999999</v>
      </c>
      <c r="H3027">
        <v>24.72824</v>
      </c>
      <c r="I3027">
        <v>210.9109</v>
      </c>
      <c r="J3027">
        <v>-410.23649999999998</v>
      </c>
      <c r="K3027">
        <v>1.1103529999999999</v>
      </c>
      <c r="L3027">
        <v>213.80080000000001</v>
      </c>
      <c r="M3027">
        <v>0.99975749999999997</v>
      </c>
      <c r="N3027">
        <v>0</v>
      </c>
      <c r="O3027">
        <v>-1.826289E-2</v>
      </c>
      <c r="P3027">
        <v>0.99684600000000001</v>
      </c>
      <c r="Q3027">
        <v>6.4560329999999999E-2</v>
      </c>
      <c r="R3027">
        <v>-4.6156410000000002E-2</v>
      </c>
      <c r="S3027">
        <v>2.993042</v>
      </c>
      <c r="T3027">
        <v>0.23323730000000001</v>
      </c>
      <c r="U3027">
        <v>-2.8579710000000001E-2</v>
      </c>
      <c r="V3027">
        <v>2.7916690000000001E-2</v>
      </c>
      <c r="W3027">
        <v>7.6843079999999994E-2</v>
      </c>
      <c r="X3027">
        <v>0.99665230000000005</v>
      </c>
      <c r="Y3027">
        <v>-8.6352219999999997E-3</v>
      </c>
      <c r="Z3027">
        <v>-1.7569339999999999E-3</v>
      </c>
      <c r="AA3027">
        <v>0.99996119999999999</v>
      </c>
      <c r="AB3027">
        <v>24</v>
      </c>
      <c r="AC3027">
        <v>302.839</v>
      </c>
      <c r="AD3027">
        <v>23.617887</v>
      </c>
      <c r="AE3027">
        <v>-2.8899000000000101</v>
      </c>
      <c r="AF3027">
        <v>-2.6257473569025902</v>
      </c>
      <c r="AG3027">
        <v>23.617887</v>
      </c>
      <c r="AH3027">
        <v>301.01063582259002</v>
      </c>
      <c r="AI3027">
        <v>85.513821680792802</v>
      </c>
      <c r="AJ3027">
        <v>90.499784419528694</v>
      </c>
      <c r="AK3027">
        <v>301.947184146246</v>
      </c>
      <c r="AL3027">
        <v>85.592871323984497</v>
      </c>
      <c r="AM3027">
        <v>88.395538349221496</v>
      </c>
      <c r="AN3027">
        <v>1.00000000380986</v>
      </c>
    </row>
    <row r="3028" spans="1:40" x14ac:dyDescent="0.25">
      <c r="A3028" t="str">
        <f>"20190312151045648"</f>
        <v>20190312151045648</v>
      </c>
      <c r="B3028" t="str">
        <f>"1552374645643613"</f>
        <v>1552374645643613</v>
      </c>
      <c r="C3028" t="s">
        <v>40</v>
      </c>
      <c r="D3028">
        <v>5.1763960000000004</v>
      </c>
      <c r="E3028">
        <v>0.48399750000000002</v>
      </c>
      <c r="F3028" t="s">
        <v>70</v>
      </c>
      <c r="G3028">
        <v>-107.39749999999999</v>
      </c>
      <c r="H3028">
        <v>24.452940000000002</v>
      </c>
      <c r="I3028">
        <v>211.53620000000001</v>
      </c>
      <c r="J3028">
        <v>-409.98250000000002</v>
      </c>
      <c r="K3028">
        <v>1.110355</v>
      </c>
      <c r="L3028">
        <v>213.79640000000001</v>
      </c>
      <c r="M3028">
        <v>0.99976339999999997</v>
      </c>
      <c r="N3028">
        <v>0</v>
      </c>
      <c r="O3028">
        <v>-1.800158E-2</v>
      </c>
      <c r="P3028">
        <v>0.99684229999999996</v>
      </c>
      <c r="Q3028">
        <v>6.4508919999999997E-2</v>
      </c>
      <c r="R3028">
        <v>-4.6309059999999999E-2</v>
      </c>
      <c r="S3028">
        <v>2.9935299999999998</v>
      </c>
      <c r="T3028">
        <v>0.23073940000000001</v>
      </c>
      <c r="U3028">
        <v>-2.2384640000000001E-2</v>
      </c>
      <c r="V3028">
        <v>2.8327450000000001E-2</v>
      </c>
      <c r="W3028">
        <v>7.6705679999999998E-2</v>
      </c>
      <c r="X3028">
        <v>0.99665130000000002</v>
      </c>
      <c r="Y3028">
        <v>-1.0441809999999999E-2</v>
      </c>
      <c r="Z3028">
        <v>-1.787322E-3</v>
      </c>
      <c r="AA3028">
        <v>0.9999439</v>
      </c>
      <c r="AB3028">
        <v>24</v>
      </c>
      <c r="AC3028">
        <v>302.58499999999998</v>
      </c>
      <c r="AD3028">
        <v>23.342585</v>
      </c>
      <c r="AE3028">
        <v>-2.26019999999999</v>
      </c>
      <c r="AF3028">
        <v>-3.16872387512241</v>
      </c>
      <c r="AG3028">
        <v>23.342585</v>
      </c>
      <c r="AH3028">
        <v>300.78671544019102</v>
      </c>
      <c r="AI3028">
        <v>85.562694383698798</v>
      </c>
      <c r="AJ3028">
        <v>90.603576485275894</v>
      </c>
      <c r="AK3028">
        <v>301.707748111939</v>
      </c>
      <c r="AL3028">
        <v>85.600767094736398</v>
      </c>
      <c r="AM3028">
        <v>88.371941636129193</v>
      </c>
      <c r="AN3028">
        <v>1.0000000097797199</v>
      </c>
    </row>
    <row r="3029" spans="1:40" x14ac:dyDescent="0.25">
      <c r="A3029" t="str">
        <f>"20190312151045669"</f>
        <v>20190312151045669</v>
      </c>
      <c r="B3029" t="str">
        <f>"1552374645664110"</f>
        <v>1552374645664110</v>
      </c>
      <c r="C3029" t="s">
        <v>40</v>
      </c>
      <c r="D3029">
        <v>5.3017370000000001</v>
      </c>
      <c r="E3029">
        <v>0.48316750000000003</v>
      </c>
      <c r="F3029" t="s">
        <v>70</v>
      </c>
      <c r="G3029">
        <v>-107.39749999999999</v>
      </c>
      <c r="H3029">
        <v>24.213470000000001</v>
      </c>
      <c r="I3029">
        <v>212.6276</v>
      </c>
      <c r="J3029">
        <v>-409.745</v>
      </c>
      <c r="K3029">
        <v>1.110357</v>
      </c>
      <c r="L3029">
        <v>213.79239999999999</v>
      </c>
      <c r="M3029">
        <v>0.99976909999999997</v>
      </c>
      <c r="N3029">
        <v>0</v>
      </c>
      <c r="O3029">
        <v>-1.773243E-2</v>
      </c>
      <c r="P3029">
        <v>0.99682700000000002</v>
      </c>
      <c r="Q3029">
        <v>6.4864959999999999E-2</v>
      </c>
      <c r="R3029">
        <v>-4.6135839999999997E-2</v>
      </c>
      <c r="S3029">
        <v>2.9941710000000001</v>
      </c>
      <c r="T3029">
        <v>0.22861290000000001</v>
      </c>
      <c r="U3029">
        <v>-1.1566160000000001E-2</v>
      </c>
      <c r="V3029">
        <v>2.8419980000000001E-2</v>
      </c>
      <c r="W3029">
        <v>7.6981430000000003E-2</v>
      </c>
      <c r="X3029">
        <v>0.99662740000000005</v>
      </c>
      <c r="Y3029">
        <v>-1.3779629999999999E-2</v>
      </c>
      <c r="Z3029">
        <v>-1.877269E-3</v>
      </c>
      <c r="AA3029">
        <v>0.99990330000000005</v>
      </c>
      <c r="AB3029">
        <v>24</v>
      </c>
      <c r="AC3029">
        <v>302.34750000000003</v>
      </c>
      <c r="AD3029">
        <v>23.103113</v>
      </c>
      <c r="AE3029">
        <v>-1.1647999999999801</v>
      </c>
      <c r="AF3029">
        <v>-4.1727701091310498</v>
      </c>
      <c r="AG3029">
        <v>23.103113</v>
      </c>
      <c r="AH3029">
        <v>300.56567500822001</v>
      </c>
      <c r="AI3029">
        <v>85.604999423982207</v>
      </c>
      <c r="AJ3029">
        <v>90.795389419407996</v>
      </c>
      <c r="AK3029">
        <v>301.48116165661401</v>
      </c>
      <c r="AL3029">
        <v>85.584920908532197</v>
      </c>
      <c r="AM3029">
        <v>88.366587403903296</v>
      </c>
      <c r="AN3029">
        <v>1.0000000051294</v>
      </c>
    </row>
    <row r="3030" spans="1:40" x14ac:dyDescent="0.25">
      <c r="A3030" t="str">
        <f>"20190312151045693"</f>
        <v>20190312151045693</v>
      </c>
      <c r="B3030" t="str">
        <f>"1552374645683629"</f>
        <v>1552374645683629</v>
      </c>
      <c r="C3030" t="s">
        <v>40</v>
      </c>
      <c r="D3030">
        <v>5.1808709999999998</v>
      </c>
      <c r="E3030">
        <v>0.48239890000000002</v>
      </c>
      <c r="F3030" t="s">
        <v>70</v>
      </c>
      <c r="G3030">
        <v>-107.39749999999999</v>
      </c>
      <c r="H3030">
        <v>24.079280000000001</v>
      </c>
      <c r="I3030">
        <v>213.31639999999999</v>
      </c>
      <c r="J3030">
        <v>-409.49770000000001</v>
      </c>
      <c r="K3030">
        <v>1.110366</v>
      </c>
      <c r="L3030">
        <v>213.7884</v>
      </c>
      <c r="M3030">
        <v>0.99977559999999999</v>
      </c>
      <c r="N3030">
        <v>0</v>
      </c>
      <c r="O3030">
        <v>-1.742556E-2</v>
      </c>
      <c r="P3030">
        <v>0.99686629999999998</v>
      </c>
      <c r="Q3030">
        <v>6.4368099999999998E-2</v>
      </c>
      <c r="R3030">
        <v>-4.59841E-2</v>
      </c>
      <c r="S3030">
        <v>2.994507</v>
      </c>
      <c r="T3030">
        <v>0.227489</v>
      </c>
      <c r="U3030">
        <v>-4.7149660000000001E-3</v>
      </c>
      <c r="V3030">
        <v>2.857065E-2</v>
      </c>
      <c r="W3030">
        <v>7.6399980000000006E-2</v>
      </c>
      <c r="X3030">
        <v>0.99666779999999999</v>
      </c>
      <c r="Y3030">
        <v>-1.5756889999999999E-2</v>
      </c>
      <c r="Z3030">
        <v>-1.9195880000000001E-3</v>
      </c>
      <c r="AA3030">
        <v>0.99987400000000004</v>
      </c>
      <c r="AB3030">
        <v>24</v>
      </c>
      <c r="AC3030">
        <v>302.10019999999997</v>
      </c>
      <c r="AD3030">
        <v>22.968914000000002</v>
      </c>
      <c r="AE3030">
        <v>-0.47200000000000802</v>
      </c>
      <c r="AF3030">
        <v>-4.7651729304444599</v>
      </c>
      <c r="AG3030">
        <v>22.968914000000002</v>
      </c>
      <c r="AH3030">
        <v>300.32646212657801</v>
      </c>
      <c r="AI3030">
        <v>85.627091083609699</v>
      </c>
      <c r="AJ3030">
        <v>90.909015435296993</v>
      </c>
      <c r="AK3030">
        <v>301.24120192441001</v>
      </c>
      <c r="AL3030">
        <v>85.618333794880996</v>
      </c>
      <c r="AM3030">
        <v>88.357999035618207</v>
      </c>
      <c r="AN3030">
        <v>0.99999997127113105</v>
      </c>
    </row>
    <row r="3031" spans="1:40" x14ac:dyDescent="0.25">
      <c r="A3031" t="str">
        <f>"20190312151045714"</f>
        <v>20190312151045714</v>
      </c>
      <c r="B3031" t="str">
        <f>"1552374645704125"</f>
        <v>1552374645704125</v>
      </c>
      <c r="C3031" t="s">
        <v>40</v>
      </c>
      <c r="D3031">
        <v>5.2435600000000004</v>
      </c>
      <c r="E3031">
        <v>0.48169030000000002</v>
      </c>
      <c r="F3031" t="s">
        <v>70</v>
      </c>
      <c r="G3031">
        <v>-107.39749999999999</v>
      </c>
      <c r="H3031">
        <v>23.713629999999998</v>
      </c>
      <c r="I3031">
        <v>213.98390000000001</v>
      </c>
      <c r="J3031">
        <v>-409.25959999999998</v>
      </c>
      <c r="K3031">
        <v>1.110368</v>
      </c>
      <c r="L3031">
        <v>213.78460000000001</v>
      </c>
      <c r="M3031">
        <v>0.99978210000000001</v>
      </c>
      <c r="N3031">
        <v>0</v>
      </c>
      <c r="O3031">
        <v>-1.7103E-2</v>
      </c>
      <c r="P3031">
        <v>0.99687440000000005</v>
      </c>
      <c r="Q3031">
        <v>6.4484920000000001E-2</v>
      </c>
      <c r="R3031">
        <v>-4.5645070000000003E-2</v>
      </c>
      <c r="S3031">
        <v>2.9950559999999999</v>
      </c>
      <c r="T3031">
        <v>0.22409180000000001</v>
      </c>
      <c r="U3031">
        <v>1.9378659999999999E-3</v>
      </c>
      <c r="V3031">
        <v>2.8549890000000001E-2</v>
      </c>
      <c r="W3031">
        <v>7.6438489999999998E-2</v>
      </c>
      <c r="X3031">
        <v>0.99666549999999998</v>
      </c>
      <c r="Y3031">
        <v>-1.7654E-2</v>
      </c>
      <c r="Z3031">
        <v>-1.9374360000000001E-3</v>
      </c>
      <c r="AA3031">
        <v>0.99984229999999996</v>
      </c>
      <c r="AB3031">
        <v>24</v>
      </c>
      <c r="AC3031">
        <v>301.8621</v>
      </c>
      <c r="AD3031">
        <v>22.603262000000001</v>
      </c>
      <c r="AE3031">
        <v>0.19929999999999301</v>
      </c>
      <c r="AF3031">
        <v>-5.3324892607043504</v>
      </c>
      <c r="AG3031">
        <v>22.603262000000001</v>
      </c>
      <c r="AH3031">
        <v>300.13171583701899</v>
      </c>
      <c r="AI3031">
        <v>85.693796791081596</v>
      </c>
      <c r="AJ3031">
        <v>91.017876385259399</v>
      </c>
      <c r="AK3031">
        <v>301.02888523533602</v>
      </c>
      <c r="AL3031">
        <v>85.616121116507301</v>
      </c>
      <c r="AM3031">
        <v>88.359187709166704</v>
      </c>
      <c r="AN3031">
        <v>1.00000002893137</v>
      </c>
    </row>
    <row r="3032" spans="1:40" x14ac:dyDescent="0.25">
      <c r="A3032" t="str">
        <f>"20190312151045736"</f>
        <v>20190312151045736</v>
      </c>
      <c r="B3032" t="str">
        <f>"1552374645733405"</f>
        <v>1552374645733405</v>
      </c>
      <c r="C3032" t="s">
        <v>40</v>
      </c>
      <c r="D3032">
        <v>5.2436030000000002</v>
      </c>
      <c r="E3032">
        <v>0.48071550000000002</v>
      </c>
      <c r="F3032" t="s">
        <v>70</v>
      </c>
      <c r="G3032">
        <v>-107.39749999999999</v>
      </c>
      <c r="H3032">
        <v>23.534109999999998</v>
      </c>
      <c r="I3032">
        <v>214.6611</v>
      </c>
      <c r="J3032">
        <v>-409.02199999999999</v>
      </c>
      <c r="K3032">
        <v>1.1103700000000001</v>
      </c>
      <c r="L3032">
        <v>213.7809</v>
      </c>
      <c r="M3032">
        <v>0.99978880000000003</v>
      </c>
      <c r="N3032">
        <v>0</v>
      </c>
      <c r="O3032">
        <v>-1.6757480000000002E-2</v>
      </c>
      <c r="P3032">
        <v>0.99697840000000004</v>
      </c>
      <c r="Q3032">
        <v>6.3159750000000001E-2</v>
      </c>
      <c r="R3032">
        <v>-4.5222190000000002E-2</v>
      </c>
      <c r="S3032">
        <v>2.9953919999999998</v>
      </c>
      <c r="T3032">
        <v>0.2225124</v>
      </c>
      <c r="U3032">
        <v>8.6975100000000003E-3</v>
      </c>
      <c r="V3032">
        <v>2.8467889999999999E-2</v>
      </c>
      <c r="W3032">
        <v>7.5039190000000006E-2</v>
      </c>
      <c r="X3032">
        <v>0.9967741</v>
      </c>
      <c r="Y3032">
        <v>-1.9561740000000001E-2</v>
      </c>
      <c r="Z3032">
        <v>-1.9687340000000002E-3</v>
      </c>
      <c r="AA3032">
        <v>0.99980670000000005</v>
      </c>
      <c r="AB3032">
        <v>24</v>
      </c>
      <c r="AC3032">
        <v>301.62450000000001</v>
      </c>
      <c r="AD3032">
        <v>22.423739999999999</v>
      </c>
      <c r="AE3032">
        <v>0.88020000000000198</v>
      </c>
      <c r="AF3032">
        <v>-5.9022795367688996</v>
      </c>
      <c r="AG3032">
        <v>22.423739999999999</v>
      </c>
      <c r="AH3032">
        <v>299.90982766565401</v>
      </c>
      <c r="AI3032">
        <v>85.724874336568803</v>
      </c>
      <c r="AJ3032">
        <v>91.127445739884806</v>
      </c>
      <c r="AK3032">
        <v>300.80486324153702</v>
      </c>
      <c r="AL3032">
        <v>85.696525728387897</v>
      </c>
      <c r="AM3032">
        <v>88.364075986848206</v>
      </c>
      <c r="AN3032">
        <v>0.99999995361385796</v>
      </c>
    </row>
    <row r="3033" spans="1:40" x14ac:dyDescent="0.25">
      <c r="A3033" t="str">
        <f>"20190312151045760"</f>
        <v>20190312151045760</v>
      </c>
      <c r="B3033" t="str">
        <f>"1552374645753901"</f>
        <v>1552374645753901</v>
      </c>
      <c r="C3033" t="s">
        <v>40</v>
      </c>
      <c r="D3033">
        <v>5.3061030000000002</v>
      </c>
      <c r="E3033">
        <v>0.48014050000000003</v>
      </c>
      <c r="F3033" t="s">
        <v>70</v>
      </c>
      <c r="G3033">
        <v>-107.39749999999999</v>
      </c>
      <c r="H3033">
        <v>22.854949999999999</v>
      </c>
      <c r="I3033">
        <v>215.59039999999999</v>
      </c>
      <c r="J3033">
        <v>-408.76420000000002</v>
      </c>
      <c r="K3033">
        <v>1.1103700000000001</v>
      </c>
      <c r="L3033">
        <v>213.77699999999999</v>
      </c>
      <c r="M3033">
        <v>0.99979649999999998</v>
      </c>
      <c r="N3033">
        <v>0</v>
      </c>
      <c r="O3033">
        <v>-1.6362120000000001E-2</v>
      </c>
      <c r="P3033">
        <v>0.99708149999999995</v>
      </c>
      <c r="Q3033">
        <v>6.1902190000000003E-2</v>
      </c>
      <c r="R3033">
        <v>-4.4689260000000001E-2</v>
      </c>
      <c r="S3033">
        <v>2.996216</v>
      </c>
      <c r="T3033">
        <v>0.21600230000000001</v>
      </c>
      <c r="U3033">
        <v>1.7974850000000001E-2</v>
      </c>
      <c r="V3033">
        <v>2.8325969999999999E-2</v>
      </c>
      <c r="W3033">
        <v>7.3699180000000003E-2</v>
      </c>
      <c r="X3033">
        <v>0.99687809999999999</v>
      </c>
      <c r="Y3033">
        <v>-2.2261010000000001E-2</v>
      </c>
      <c r="Z3033">
        <v>-1.979462E-3</v>
      </c>
      <c r="AA3033">
        <v>0.99975029999999998</v>
      </c>
      <c r="AB3033">
        <v>24</v>
      </c>
      <c r="AC3033">
        <v>301.36669999999998</v>
      </c>
      <c r="AD3033">
        <v>21.744579999999999</v>
      </c>
      <c r="AE3033">
        <v>1.8133999999999699</v>
      </c>
      <c r="AF3033">
        <v>-6.7095693046217502</v>
      </c>
      <c r="AG3033">
        <v>21.744579999999999</v>
      </c>
      <c r="AH3033">
        <v>299.73628073682403</v>
      </c>
      <c r="AI3033">
        <v>85.851741687606307</v>
      </c>
      <c r="AJ3033">
        <v>91.282346639071406</v>
      </c>
      <c r="AK3033">
        <v>300.598874032445</v>
      </c>
      <c r="AL3033">
        <v>85.773515791940497</v>
      </c>
      <c r="AM3033">
        <v>88.372396831526402</v>
      </c>
      <c r="AN3033">
        <v>0.99999993798435904</v>
      </c>
    </row>
    <row r="3034" spans="1:40" x14ac:dyDescent="0.25">
      <c r="A3034" t="str">
        <f>"20190312151045782"</f>
        <v>20190312151045782</v>
      </c>
      <c r="B3034" t="str">
        <f>"1552374645773421"</f>
        <v>1552374645773421</v>
      </c>
      <c r="C3034" t="s">
        <v>40</v>
      </c>
      <c r="D3034">
        <v>5.0584439999999997</v>
      </c>
      <c r="E3034">
        <v>0.47964210000000002</v>
      </c>
      <c r="F3034" t="s">
        <v>70</v>
      </c>
      <c r="G3034">
        <v>-107.39749999999999</v>
      </c>
      <c r="H3034">
        <v>22.233160000000002</v>
      </c>
      <c r="I3034">
        <v>216.19069999999999</v>
      </c>
      <c r="J3034">
        <v>-408.52620000000002</v>
      </c>
      <c r="K3034">
        <v>1.1103769999999999</v>
      </c>
      <c r="L3034">
        <v>213.77350000000001</v>
      </c>
      <c r="M3034">
        <v>0.99980340000000001</v>
      </c>
      <c r="N3034">
        <v>0</v>
      </c>
      <c r="O3034">
        <v>-1.5985389999999999E-2</v>
      </c>
      <c r="P3034">
        <v>0.99715229999999999</v>
      </c>
      <c r="Q3034">
        <v>6.1189500000000001E-2</v>
      </c>
      <c r="R3034">
        <v>-4.4083360000000002E-2</v>
      </c>
      <c r="S3034">
        <v>2.9968569999999999</v>
      </c>
      <c r="T3034">
        <v>0.21005019999999999</v>
      </c>
      <c r="U3034">
        <v>2.4002079999999999E-2</v>
      </c>
      <c r="V3034">
        <v>2.8093960000000001E-2</v>
      </c>
      <c r="W3034">
        <v>7.2914519999999997E-2</v>
      </c>
      <c r="X3034">
        <v>0.99694240000000001</v>
      </c>
      <c r="Y3034">
        <v>-2.3895949999999999E-2</v>
      </c>
      <c r="Z3034">
        <v>-1.955484E-3</v>
      </c>
      <c r="AA3034">
        <v>0.9997125</v>
      </c>
      <c r="AB3034">
        <v>24</v>
      </c>
      <c r="AC3034">
        <v>301.12869999999998</v>
      </c>
      <c r="AD3034">
        <v>21.122782999999998</v>
      </c>
      <c r="AE3034">
        <v>2.4171999999999798</v>
      </c>
      <c r="AF3034">
        <v>-7.1954799336324902</v>
      </c>
      <c r="AG3034">
        <v>21.122782999999998</v>
      </c>
      <c r="AH3034">
        <v>299.57763701473903</v>
      </c>
      <c r="AI3034">
        <v>85.967991769990306</v>
      </c>
      <c r="AJ3034">
        <v>91.375908374286595</v>
      </c>
      <c r="AK3034">
        <v>300.40756896668802</v>
      </c>
      <c r="AL3034">
        <v>85.818594938537203</v>
      </c>
      <c r="AM3034">
        <v>88.385825046753695</v>
      </c>
      <c r="AN3034">
        <v>0.99999997336653501</v>
      </c>
    </row>
    <row r="3035" spans="1:40" x14ac:dyDescent="0.25">
      <c r="A3035" t="str">
        <f>"20190312151045803"</f>
        <v>20190312151045803</v>
      </c>
      <c r="B3035" t="str">
        <f>"1552374645793917"</f>
        <v>1552374645793917</v>
      </c>
      <c r="C3035" t="s">
        <v>40</v>
      </c>
      <c r="D3035">
        <v>5.2701320000000003</v>
      </c>
      <c r="E3035">
        <v>0.47951909999999998</v>
      </c>
      <c r="F3035" t="s">
        <v>70</v>
      </c>
      <c r="G3035">
        <v>-107.39749999999999</v>
      </c>
      <c r="H3035">
        <v>21.266670000000001</v>
      </c>
      <c r="I3035">
        <v>216.78870000000001</v>
      </c>
      <c r="J3035">
        <v>-408.28859999999997</v>
      </c>
      <c r="K3035">
        <v>1.110376</v>
      </c>
      <c r="L3035">
        <v>213.77019999999999</v>
      </c>
      <c r="M3035">
        <v>0.99981019999999998</v>
      </c>
      <c r="N3035">
        <v>0</v>
      </c>
      <c r="O3035">
        <v>-1.560316E-2</v>
      </c>
      <c r="P3035">
        <v>0.99722449999999996</v>
      </c>
      <c r="Q3035">
        <v>6.1319419999999999E-2</v>
      </c>
      <c r="R3035">
        <v>-4.2232289999999999E-2</v>
      </c>
      <c r="S3035">
        <v>2.9975589999999999</v>
      </c>
      <c r="T3035">
        <v>0.2006445</v>
      </c>
      <c r="U3035">
        <v>3.0014039999999999E-2</v>
      </c>
      <c r="V3035">
        <v>2.6622460000000001E-2</v>
      </c>
      <c r="W3035">
        <v>7.297824E-2</v>
      </c>
      <c r="X3035">
        <v>0.99697820000000004</v>
      </c>
      <c r="Y3035">
        <v>-2.552252E-2</v>
      </c>
      <c r="Z3035">
        <v>-1.89649E-3</v>
      </c>
      <c r="AA3035">
        <v>0.99967249999999996</v>
      </c>
      <c r="AB3035">
        <v>24</v>
      </c>
      <c r="AC3035">
        <v>300.89109999999999</v>
      </c>
      <c r="AD3035">
        <v>20.156293999999999</v>
      </c>
      <c r="AE3035">
        <v>3.0185000000000102</v>
      </c>
      <c r="AF3035">
        <v>-7.67884876815911</v>
      </c>
      <c r="AG3035">
        <v>20.156293999999999</v>
      </c>
      <c r="AH3035">
        <v>299.46366172112897</v>
      </c>
      <c r="AI3035">
        <v>86.150606294367094</v>
      </c>
      <c r="AJ3035">
        <v>91.468856801548398</v>
      </c>
      <c r="AK3035">
        <v>300.23944710454901</v>
      </c>
      <c r="AL3035">
        <v>85.814934641523095</v>
      </c>
      <c r="AM3035">
        <v>88.470385613543996</v>
      </c>
      <c r="AN3035">
        <v>1.00000005508259</v>
      </c>
    </row>
    <row r="3036" spans="1:40" x14ac:dyDescent="0.25">
      <c r="A3036" t="str">
        <f>"20190312151045914"</f>
        <v>20190312151045914</v>
      </c>
      <c r="B3036" t="str">
        <f>"1552374645904205"</f>
        <v>1552374645904205</v>
      </c>
      <c r="C3036" t="s">
        <v>40</v>
      </c>
      <c r="D3036">
        <v>5.1907439999999996</v>
      </c>
      <c r="E3036">
        <v>0.47951909999999998</v>
      </c>
      <c r="F3036" t="s">
        <v>70</v>
      </c>
      <c r="G3036">
        <v>-107.39749999999999</v>
      </c>
      <c r="H3036">
        <v>20.65991</v>
      </c>
      <c r="I3036">
        <v>217.42580000000001</v>
      </c>
      <c r="J3036">
        <v>-407.07229999999998</v>
      </c>
      <c r="K3036">
        <v>1.110341</v>
      </c>
      <c r="L3036">
        <v>213.7544</v>
      </c>
      <c r="M3036">
        <v>0.99984220000000001</v>
      </c>
      <c r="N3036">
        <v>0</v>
      </c>
      <c r="O3036">
        <v>-1.3659050000000001E-2</v>
      </c>
      <c r="P3036">
        <v>0.99737439999999999</v>
      </c>
      <c r="Q3036">
        <v>6.2580659999999996E-2</v>
      </c>
      <c r="R3036">
        <v>-3.6444190000000001E-2</v>
      </c>
      <c r="S3036">
        <v>2.9979550000000001</v>
      </c>
      <c r="T3036">
        <v>0.19478400000000001</v>
      </c>
      <c r="U3036">
        <v>3.642273E-2</v>
      </c>
      <c r="V3036">
        <v>2.277295E-2</v>
      </c>
      <c r="W3036">
        <v>7.3923160000000002E-2</v>
      </c>
      <c r="X3036">
        <v>0.99700390000000005</v>
      </c>
      <c r="Y3036">
        <v>-2.5723059999999999E-2</v>
      </c>
      <c r="Z3036">
        <v>-1.7212799999999999E-3</v>
      </c>
      <c r="AA3036">
        <v>0.99966759999999999</v>
      </c>
      <c r="AB3036">
        <v>24</v>
      </c>
      <c r="AC3036">
        <v>299.6748</v>
      </c>
      <c r="AD3036">
        <v>19.549569000000002</v>
      </c>
      <c r="AE3036">
        <v>3.6714000000000002</v>
      </c>
      <c r="AF3036">
        <v>-7.7316955237184404</v>
      </c>
      <c r="AG3036">
        <v>19.549569000000002</v>
      </c>
      <c r="AH3036">
        <v>298.32727949598501</v>
      </c>
      <c r="AI3036">
        <v>86.251988122393698</v>
      </c>
      <c r="AJ3036">
        <v>91.484592287822295</v>
      </c>
      <c r="AK3036">
        <v>299.06710025549899</v>
      </c>
      <c r="AL3036">
        <v>85.760647881410804</v>
      </c>
      <c r="AM3036">
        <v>88.691512563944002</v>
      </c>
      <c r="AN3036">
        <v>1.00000000872564</v>
      </c>
    </row>
    <row r="3037" spans="1:40" x14ac:dyDescent="0.25">
      <c r="A3037" t="str">
        <f>"20190312151045971"</f>
        <v>20190312151045971</v>
      </c>
      <c r="B3037" t="str">
        <f>"1552374645963741"</f>
        <v>1552374645963741</v>
      </c>
      <c r="C3037" t="s">
        <v>40</v>
      </c>
      <c r="D3037">
        <v>5.1456980000000003</v>
      </c>
      <c r="E3037">
        <v>0.49732389999999999</v>
      </c>
      <c r="F3037" t="s">
        <v>70</v>
      </c>
      <c r="G3037">
        <v>-107.39749999999999</v>
      </c>
      <c r="H3037">
        <v>20.99241</v>
      </c>
      <c r="I3037">
        <v>219.1259</v>
      </c>
      <c r="J3037">
        <v>-406.45370000000003</v>
      </c>
      <c r="K3037">
        <v>1.1103190000000001</v>
      </c>
      <c r="L3037">
        <v>213.7473</v>
      </c>
      <c r="M3037">
        <v>0.99985670000000004</v>
      </c>
      <c r="N3037">
        <v>0</v>
      </c>
      <c r="O3037">
        <v>-1.26894E-2</v>
      </c>
      <c r="P3037">
        <v>0.99754609999999999</v>
      </c>
      <c r="Q3037">
        <v>6.121501E-2</v>
      </c>
      <c r="R3037">
        <v>-3.3976319999999997E-2</v>
      </c>
      <c r="S3037">
        <v>2.9973749999999999</v>
      </c>
      <c r="T3037">
        <v>0.19886280000000001</v>
      </c>
      <c r="U3037">
        <v>5.3726200000000002E-2</v>
      </c>
      <c r="V3037">
        <v>2.1272249999999999E-2</v>
      </c>
      <c r="W3037">
        <v>7.240945E-2</v>
      </c>
      <c r="X3037">
        <v>0.99714809999999998</v>
      </c>
      <c r="Y3037">
        <v>-3.05133E-2</v>
      </c>
      <c r="Z3037">
        <v>-1.8519739999999999E-3</v>
      </c>
      <c r="AA3037">
        <v>0.99953259999999999</v>
      </c>
      <c r="AB3037">
        <v>25</v>
      </c>
      <c r="AC3037">
        <v>299.05619999999999</v>
      </c>
      <c r="AD3037">
        <v>19.882090999999999</v>
      </c>
      <c r="AE3037">
        <v>5.3785999999999996</v>
      </c>
      <c r="AF3037">
        <v>-9.1328949078502699</v>
      </c>
      <c r="AG3037">
        <v>19.882090999999999</v>
      </c>
      <c r="AH3037">
        <v>297.64869300263899</v>
      </c>
      <c r="AI3037">
        <v>86.180273241044603</v>
      </c>
      <c r="AJ3037">
        <v>91.757481960098303</v>
      </c>
      <c r="AK3037">
        <v>298.45175784054197</v>
      </c>
      <c r="AL3037">
        <v>85.847610065968496</v>
      </c>
      <c r="AM3037">
        <v>88.777889360241005</v>
      </c>
      <c r="AN3037">
        <v>0.99999998520148703</v>
      </c>
    </row>
    <row r="3038" spans="1:40" x14ac:dyDescent="0.25">
      <c r="A3038" t="str">
        <f>"20190312151045995"</f>
        <v>20190312151045995</v>
      </c>
      <c r="B3038" t="str">
        <f>"1552374645984237"</f>
        <v>1552374645984237</v>
      </c>
      <c r="C3038" t="s">
        <v>40</v>
      </c>
      <c r="D3038">
        <v>4.9303650000000001</v>
      </c>
      <c r="E3038">
        <v>0.49741299999999999</v>
      </c>
      <c r="F3038" t="s">
        <v>52</v>
      </c>
      <c r="G3038">
        <v>-372.41660000000002</v>
      </c>
      <c r="H3038" s="1">
        <v>-2.507837E-7</v>
      </c>
      <c r="I3038">
        <v>212.84950000000001</v>
      </c>
      <c r="J3038">
        <v>-406.19619999999998</v>
      </c>
      <c r="K3038">
        <v>1.110311</v>
      </c>
      <c r="L3038">
        <v>213.74440000000001</v>
      </c>
      <c r="M3038">
        <v>0.99986240000000004</v>
      </c>
      <c r="N3038">
        <v>0</v>
      </c>
      <c r="O3038">
        <v>-1.228573E-2</v>
      </c>
      <c r="P3038">
        <v>0.9975849</v>
      </c>
      <c r="Q3038">
        <v>6.1072059999999997E-2</v>
      </c>
      <c r="R3038">
        <v>-3.30868E-2</v>
      </c>
      <c r="S3038">
        <v>3.010742</v>
      </c>
      <c r="T3038">
        <v>-9.8212960000000002E-2</v>
      </c>
      <c r="U3038">
        <v>-7.9406740000000003E-2</v>
      </c>
      <c r="V3038">
        <v>2.0785250000000002E-2</v>
      </c>
      <c r="W3038">
        <v>7.2210640000000006E-2</v>
      </c>
      <c r="X3038">
        <v>0.99717279999999997</v>
      </c>
      <c r="Y3038">
        <v>1.408014E-2</v>
      </c>
      <c r="Z3038">
        <v>1.710436E-4</v>
      </c>
      <c r="AA3038">
        <v>0.99990089999999998</v>
      </c>
      <c r="AB3038">
        <v>25</v>
      </c>
      <c r="AC3038">
        <v>33.779599999999903</v>
      </c>
      <c r="AD3038">
        <v>-1.1103112507836901</v>
      </c>
      <c r="AE3038">
        <v>-0.89490000000000602</v>
      </c>
      <c r="AF3038">
        <v>0.47928217478127699</v>
      </c>
      <c r="AG3038">
        <v>-1.1103112507836901</v>
      </c>
      <c r="AH3038">
        <v>33.751606121220199</v>
      </c>
      <c r="AI3038">
        <v>91.883963952662896</v>
      </c>
      <c r="AJ3038">
        <v>89.186438709661601</v>
      </c>
      <c r="AK3038">
        <v>33.773264844232401</v>
      </c>
      <c r="AL3038">
        <v>85.859030991133295</v>
      </c>
      <c r="AM3038">
        <v>88.8058893393208</v>
      </c>
      <c r="AN3038">
        <v>0.99999999810330598</v>
      </c>
    </row>
    <row r="3039" spans="1:40" x14ac:dyDescent="0.25">
      <c r="A3039" t="str">
        <f>"20190312151046016"</f>
        <v>20190312151046016</v>
      </c>
      <c r="B3039" t="str">
        <f>"1552374646013517"</f>
        <v>1552374646013517</v>
      </c>
      <c r="C3039" t="s">
        <v>40</v>
      </c>
      <c r="D3039">
        <v>5.5003590000000004</v>
      </c>
      <c r="E3039">
        <v>0.49604389999999998</v>
      </c>
      <c r="F3039" t="s">
        <v>52</v>
      </c>
      <c r="G3039">
        <v>-339.69459999999998</v>
      </c>
      <c r="H3039" s="1">
        <v>3.7351559999999999E-6</v>
      </c>
      <c r="I3039">
        <v>212.03229999999999</v>
      </c>
      <c r="J3039">
        <v>-405.96420000000001</v>
      </c>
      <c r="K3039">
        <v>1.110298</v>
      </c>
      <c r="L3039">
        <v>213.74199999999999</v>
      </c>
      <c r="M3039">
        <v>0.99986739999999996</v>
      </c>
      <c r="N3039">
        <v>0</v>
      </c>
      <c r="O3039">
        <v>-1.192201E-2</v>
      </c>
      <c r="P3039">
        <v>0.99761520000000004</v>
      </c>
      <c r="Q3039">
        <v>6.0754469999999998E-2</v>
      </c>
      <c r="R3039">
        <v>-3.2759259999999998E-2</v>
      </c>
      <c r="S3039">
        <v>3.0077820000000002</v>
      </c>
      <c r="T3039">
        <v>-5.0217749999999999E-2</v>
      </c>
      <c r="U3039">
        <v>-7.7438350000000003E-2</v>
      </c>
      <c r="V3039">
        <v>2.0820640000000001E-2</v>
      </c>
      <c r="W3039">
        <v>7.1843950000000004E-2</v>
      </c>
      <c r="X3039">
        <v>0.99719849999999999</v>
      </c>
      <c r="Y3039">
        <v>1.381658E-2</v>
      </c>
      <c r="Z3039" s="1">
        <v>8.3690249999999997E-5</v>
      </c>
      <c r="AA3039">
        <v>0.99990449999999997</v>
      </c>
      <c r="AB3039">
        <v>25</v>
      </c>
      <c r="AC3039">
        <v>66.269599999999997</v>
      </c>
      <c r="AD3039">
        <v>-1.110294264844</v>
      </c>
      <c r="AE3039">
        <v>-1.70970000000002</v>
      </c>
      <c r="AF3039">
        <v>0.91920517842416405</v>
      </c>
      <c r="AG3039">
        <v>-1.110294264844</v>
      </c>
      <c r="AH3039">
        <v>66.266685071883799</v>
      </c>
      <c r="AI3039">
        <v>90.959805155184497</v>
      </c>
      <c r="AJ3039">
        <v>89.205283927338101</v>
      </c>
      <c r="AK3039">
        <v>66.282359960481301</v>
      </c>
      <c r="AL3039">
        <v>85.880095295050097</v>
      </c>
      <c r="AM3039">
        <v>88.803887595622797</v>
      </c>
      <c r="AN3039">
        <v>0.99999995030192901</v>
      </c>
    </row>
    <row r="3040" spans="1:40" x14ac:dyDescent="0.25">
      <c r="A3040" t="str">
        <f>"20190312151046060"</f>
        <v>20190312151046060</v>
      </c>
      <c r="B3040" t="str">
        <f>"1552374646053533"</f>
        <v>1552374646053533</v>
      </c>
      <c r="C3040" t="s">
        <v>40</v>
      </c>
      <c r="D3040">
        <v>5.4188419999999997</v>
      </c>
      <c r="E3040">
        <v>0.49609189999999997</v>
      </c>
      <c r="F3040" t="s">
        <v>69</v>
      </c>
      <c r="G3040">
        <v>-169.71279999999999</v>
      </c>
      <c r="H3040">
        <v>13.60652</v>
      </c>
      <c r="I3040">
        <v>208.48519999999999</v>
      </c>
      <c r="J3040">
        <v>-405.48540000000003</v>
      </c>
      <c r="K3040">
        <v>1.110293</v>
      </c>
      <c r="L3040">
        <v>213.7372</v>
      </c>
      <c r="M3040">
        <v>0.99987700000000002</v>
      </c>
      <c r="N3040">
        <v>0</v>
      </c>
      <c r="O3040">
        <v>-1.117077E-2</v>
      </c>
      <c r="P3040">
        <v>0.99763230000000003</v>
      </c>
      <c r="Q3040">
        <v>6.076223E-2</v>
      </c>
      <c r="R3040">
        <v>-3.2215100000000003E-2</v>
      </c>
      <c r="S3040">
        <v>2.9953919999999998</v>
      </c>
      <c r="T3040">
        <v>0.158438</v>
      </c>
      <c r="U3040">
        <v>-6.6650390000000004E-2</v>
      </c>
      <c r="V3040">
        <v>2.1026320000000001E-2</v>
      </c>
      <c r="W3040">
        <v>7.1758370000000002E-2</v>
      </c>
      <c r="X3040">
        <v>0.99720039999999999</v>
      </c>
      <c r="Y3040">
        <v>1.107553E-2</v>
      </c>
      <c r="Z3040">
        <v>-2.9771499999999999E-4</v>
      </c>
      <c r="AA3040">
        <v>0.99993860000000001</v>
      </c>
      <c r="AB3040">
        <v>25</v>
      </c>
      <c r="AC3040">
        <v>235.77260000000001</v>
      </c>
      <c r="AD3040">
        <v>12.496226999999999</v>
      </c>
      <c r="AE3040">
        <v>-5.2519999999999998</v>
      </c>
      <c r="AF3040">
        <v>2.61042179041032</v>
      </c>
      <c r="AG3040">
        <v>12.496226999999999</v>
      </c>
      <c r="AH3040">
        <v>235.156303673927</v>
      </c>
      <c r="AI3040">
        <v>86.958345306108697</v>
      </c>
      <c r="AJ3040">
        <v>89.363997452350105</v>
      </c>
      <c r="AK3040">
        <v>235.50256293455399</v>
      </c>
      <c r="AL3040">
        <v>85.885011577066706</v>
      </c>
      <c r="AM3040">
        <v>88.792077393774505</v>
      </c>
      <c r="AN3040">
        <v>1.00000000377897</v>
      </c>
    </row>
    <row r="3041" spans="1:40" x14ac:dyDescent="0.25">
      <c r="A3041" t="str">
        <f>"20190312151046082"</f>
        <v>20190312151046082</v>
      </c>
      <c r="B3041" t="str">
        <f>"1552374646074029"</f>
        <v>1552374646074029</v>
      </c>
      <c r="C3041" t="s">
        <v>40</v>
      </c>
      <c r="D3041">
        <v>5.241295</v>
      </c>
      <c r="E3041">
        <v>0.49606149999999999</v>
      </c>
      <c r="F3041" t="s">
        <v>46</v>
      </c>
      <c r="G3041">
        <v>-234.53229999999999</v>
      </c>
      <c r="H3041">
        <v>9.0513940000000002</v>
      </c>
      <c r="I3041">
        <v>210.01920000000001</v>
      </c>
      <c r="J3041">
        <v>-405.23520000000002</v>
      </c>
      <c r="K3041">
        <v>1.1102860000000001</v>
      </c>
      <c r="L3041">
        <v>213.73490000000001</v>
      </c>
      <c r="M3041">
        <v>0.99988169999999998</v>
      </c>
      <c r="N3041">
        <v>0</v>
      </c>
      <c r="O3041">
        <v>-1.077789E-2</v>
      </c>
      <c r="P3041">
        <v>0.99765970000000004</v>
      </c>
      <c r="Q3041">
        <v>6.040587E-2</v>
      </c>
      <c r="R3041">
        <v>-3.2034079999999999E-2</v>
      </c>
      <c r="S3041">
        <v>2.996521</v>
      </c>
      <c r="T3041">
        <v>0.13919509999999999</v>
      </c>
      <c r="U3041">
        <v>-6.5170290000000006E-2</v>
      </c>
      <c r="V3041">
        <v>2.123734E-2</v>
      </c>
      <c r="W3041">
        <v>7.1360750000000001E-2</v>
      </c>
      <c r="X3041">
        <v>0.99722449999999996</v>
      </c>
      <c r="Y3041">
        <v>1.096606E-2</v>
      </c>
      <c r="Z3041">
        <v>-2.4580460000000001E-4</v>
      </c>
      <c r="AA3041">
        <v>0.99993989999999999</v>
      </c>
      <c r="AB3041">
        <v>25</v>
      </c>
      <c r="AC3041">
        <v>170.7029</v>
      </c>
      <c r="AD3041">
        <v>7.9411079999999998</v>
      </c>
      <c r="AE3041">
        <v>-3.7156999999999898</v>
      </c>
      <c r="AF3041">
        <v>1.87150804612863</v>
      </c>
      <c r="AG3041">
        <v>7.9411079999999998</v>
      </c>
      <c r="AH3041">
        <v>170.36451979257899</v>
      </c>
      <c r="AI3041">
        <v>87.331395718672795</v>
      </c>
      <c r="AJ3041">
        <v>89.370613086419894</v>
      </c>
      <c r="AK3041">
        <v>170.55976472424601</v>
      </c>
      <c r="AL3041">
        <v>85.907852238538595</v>
      </c>
      <c r="AM3041">
        <v>88.779987812852397</v>
      </c>
      <c r="AN3041">
        <v>1.00000004232554</v>
      </c>
    </row>
    <row r="3042" spans="1:40" x14ac:dyDescent="0.25">
      <c r="A3042" t="str">
        <f>"20190312151046105"</f>
        <v>20190312151046105</v>
      </c>
      <c r="B3042" t="str">
        <f>"1552374646093549"</f>
        <v>1552374646093549</v>
      </c>
      <c r="C3042" t="s">
        <v>40</v>
      </c>
      <c r="D3042">
        <v>5.4249130000000001</v>
      </c>
      <c r="E3042">
        <v>0.49596800000000002</v>
      </c>
      <c r="F3042" t="s">
        <v>69</v>
      </c>
      <c r="G3042">
        <v>-169.3963</v>
      </c>
      <c r="H3042">
        <v>11.5649</v>
      </c>
      <c r="I3042">
        <v>208.66759999999999</v>
      </c>
      <c r="J3042">
        <v>-404.98930000000001</v>
      </c>
      <c r="K3042">
        <v>1.110271</v>
      </c>
      <c r="L3042">
        <v>213.73269999999999</v>
      </c>
      <c r="M3042">
        <v>0.99988639999999995</v>
      </c>
      <c r="N3042">
        <v>0</v>
      </c>
      <c r="O3042">
        <v>-1.0391910000000001E-2</v>
      </c>
      <c r="P3042">
        <v>0.99765150000000002</v>
      </c>
      <c r="Q3042">
        <v>6.0400490000000001E-2</v>
      </c>
      <c r="R3042">
        <v>-3.2304590000000001E-2</v>
      </c>
      <c r="S3042">
        <v>2.996918</v>
      </c>
      <c r="T3042">
        <v>0.1328522</v>
      </c>
      <c r="U3042">
        <v>-6.4392089999999999E-2</v>
      </c>
      <c r="V3042">
        <v>2.1892999999999999E-2</v>
      </c>
      <c r="W3042">
        <v>7.1312699999999896E-2</v>
      </c>
      <c r="X3042">
        <v>0.99721369999999998</v>
      </c>
      <c r="Y3042">
        <v>1.1089180000000001E-2</v>
      </c>
      <c r="Z3042">
        <v>-2.1475810000000001E-4</v>
      </c>
      <c r="AA3042">
        <v>0.99993849999999995</v>
      </c>
      <c r="AB3042">
        <v>25</v>
      </c>
      <c r="AC3042">
        <v>235.59299999999999</v>
      </c>
      <c r="AD3042">
        <v>10.454628999999899</v>
      </c>
      <c r="AE3042">
        <v>-5.0651000000000002</v>
      </c>
      <c r="AF3042">
        <v>2.6112795017419801</v>
      </c>
      <c r="AG3042">
        <v>10.454628999999899</v>
      </c>
      <c r="AH3042">
        <v>235.17003058142501</v>
      </c>
      <c r="AI3042">
        <v>87.454713394239505</v>
      </c>
      <c r="AJ3042">
        <v>89.363825629640203</v>
      </c>
      <c r="AK3042">
        <v>235.41678217967399</v>
      </c>
      <c r="AL3042">
        <v>85.910612093824298</v>
      </c>
      <c r="AM3042">
        <v>88.742320699502798</v>
      </c>
      <c r="AN3042">
        <v>0.99999998404898904</v>
      </c>
    </row>
    <row r="3043" spans="1:40" x14ac:dyDescent="0.25">
      <c r="A3043" t="str">
        <f>"20190312151046126"</f>
        <v>20190312151046126</v>
      </c>
      <c r="B3043" t="str">
        <f>"1552374646123805"</f>
        <v>1552374646123805</v>
      </c>
      <c r="C3043" t="s">
        <v>40</v>
      </c>
      <c r="D3043">
        <v>5.3088350000000002</v>
      </c>
      <c r="E3043">
        <v>0.4957336</v>
      </c>
      <c r="F3043" t="s">
        <v>69</v>
      </c>
      <c r="G3043">
        <v>-169.39619999999999</v>
      </c>
      <c r="H3043">
        <v>11.3775</v>
      </c>
      <c r="I3043">
        <v>208.67339999999999</v>
      </c>
      <c r="J3043">
        <v>-404.74560000000002</v>
      </c>
      <c r="K3043">
        <v>1.1102700000000001</v>
      </c>
      <c r="L3043">
        <v>213.73060000000001</v>
      </c>
      <c r="M3043">
        <v>0.99989079999999997</v>
      </c>
      <c r="N3043">
        <v>0</v>
      </c>
      <c r="O3043">
        <v>-1.0009290000000001E-2</v>
      </c>
      <c r="P3043">
        <v>0.99765970000000004</v>
      </c>
      <c r="Q3043">
        <v>6.0037380000000001E-2</v>
      </c>
      <c r="R3043">
        <v>-3.2727449999999998E-2</v>
      </c>
      <c r="S3043">
        <v>2.997131</v>
      </c>
      <c r="T3043">
        <v>0.13061639999999999</v>
      </c>
      <c r="U3043">
        <v>-6.4361570000000007E-2</v>
      </c>
      <c r="V3043">
        <v>2.269753E-2</v>
      </c>
      <c r="W3043">
        <v>7.0910329999999994E-2</v>
      </c>
      <c r="X3043">
        <v>0.99722449999999996</v>
      </c>
      <c r="Y3043">
        <v>1.145942E-2</v>
      </c>
      <c r="Z3043">
        <v>-1.8640470000000001E-4</v>
      </c>
      <c r="AA3043">
        <v>0.99993430000000005</v>
      </c>
      <c r="AB3043">
        <v>25</v>
      </c>
      <c r="AC3043">
        <v>235.3494</v>
      </c>
      <c r="AD3043">
        <v>10.26723</v>
      </c>
      <c r="AE3043">
        <v>-5.0572000000000203</v>
      </c>
      <c r="AF3043">
        <v>2.69599839374427</v>
      </c>
      <c r="AG3043">
        <v>10.26723</v>
      </c>
      <c r="AH3043">
        <v>234.94130117694999</v>
      </c>
      <c r="AI3043">
        <v>87.497859142416303</v>
      </c>
      <c r="AJ3043">
        <v>89.342548333933905</v>
      </c>
      <c r="AK3043">
        <v>235.18099289256</v>
      </c>
      <c r="AL3043">
        <v>85.933725092726604</v>
      </c>
      <c r="AM3043">
        <v>88.696132942603597</v>
      </c>
      <c r="AN3043">
        <v>1.00000007808452</v>
      </c>
    </row>
    <row r="3044" spans="1:40" x14ac:dyDescent="0.25">
      <c r="A3044" t="str">
        <f>"20190312151046149"</f>
        <v>20190312151046149</v>
      </c>
      <c r="B3044" t="str">
        <f>"1552374646144302"</f>
        <v>1552374646144302</v>
      </c>
      <c r="C3044" t="s">
        <v>40</v>
      </c>
      <c r="D3044">
        <v>5.3168480000000002</v>
      </c>
      <c r="E3044">
        <v>0.4957164</v>
      </c>
      <c r="F3044" t="s">
        <v>69</v>
      </c>
      <c r="G3044">
        <v>-169.39609999999999</v>
      </c>
      <c r="H3044">
        <v>11.038119999999999</v>
      </c>
      <c r="I3044">
        <v>208.696</v>
      </c>
      <c r="J3044">
        <v>-404.50040000000001</v>
      </c>
      <c r="K3044">
        <v>1.1102609999999999</v>
      </c>
      <c r="L3044">
        <v>213.7285</v>
      </c>
      <c r="M3044">
        <v>0.99989479999999997</v>
      </c>
      <c r="N3044">
        <v>0</v>
      </c>
      <c r="O3044">
        <v>-9.6238290000000004E-3</v>
      </c>
      <c r="P3044">
        <v>0.99765360000000003</v>
      </c>
      <c r="Q3044">
        <v>6.0084699999999998E-2</v>
      </c>
      <c r="R3044">
        <v>-3.2822480000000001E-2</v>
      </c>
      <c r="S3044">
        <v>2.9973139999999998</v>
      </c>
      <c r="T3044">
        <v>0.12643740000000001</v>
      </c>
      <c r="U3044">
        <v>-6.4117430000000003E-2</v>
      </c>
      <c r="V3044">
        <v>2.3177329999999999E-2</v>
      </c>
      <c r="W3044">
        <v>7.0923159999999999E-2</v>
      </c>
      <c r="X3044">
        <v>0.99721249999999995</v>
      </c>
      <c r="Y3044">
        <v>1.176165E-2</v>
      </c>
      <c r="Z3044">
        <v>-1.578138E-4</v>
      </c>
      <c r="AA3044">
        <v>0.99993080000000001</v>
      </c>
      <c r="AB3044">
        <v>25</v>
      </c>
      <c r="AC3044">
        <v>235.10429999999999</v>
      </c>
      <c r="AD3044">
        <v>9.9278589999999998</v>
      </c>
      <c r="AE3044">
        <v>-5.03249999999999</v>
      </c>
      <c r="AF3044">
        <v>2.7646026222193898</v>
      </c>
      <c r="AG3044">
        <v>9.9278589999999998</v>
      </c>
      <c r="AH3044">
        <v>234.72348818238299</v>
      </c>
      <c r="AI3044">
        <v>87.578230416538204</v>
      </c>
      <c r="AJ3044">
        <v>89.325194340465103</v>
      </c>
      <c r="AK3044">
        <v>234.949614420812</v>
      </c>
      <c r="AL3044">
        <v>85.932987923122795</v>
      </c>
      <c r="AM3044">
        <v>88.6685644767676</v>
      </c>
      <c r="AN3044">
        <v>1.00000002670328</v>
      </c>
    </row>
    <row r="3045" spans="1:40" x14ac:dyDescent="0.25">
      <c r="A3045" t="str">
        <f>"20190312151046173"</f>
        <v>20190312151046173</v>
      </c>
      <c r="B3045" t="str">
        <f>"1552374646163821"</f>
        <v>1552374646163821</v>
      </c>
      <c r="C3045" t="s">
        <v>40</v>
      </c>
      <c r="D3045">
        <v>5.2590949999999896</v>
      </c>
      <c r="E3045">
        <v>0.49534840000000002</v>
      </c>
      <c r="F3045" t="s">
        <v>69</v>
      </c>
      <c r="G3045">
        <v>-169.39599999999999</v>
      </c>
      <c r="H3045">
        <v>10.89494</v>
      </c>
      <c r="I3045">
        <v>208.71510000000001</v>
      </c>
      <c r="J3045">
        <v>-404.23140000000001</v>
      </c>
      <c r="K3045">
        <v>1.110258</v>
      </c>
      <c r="L3045">
        <v>213.72640000000001</v>
      </c>
      <c r="M3045">
        <v>0.99989919999999999</v>
      </c>
      <c r="N3045">
        <v>0</v>
      </c>
      <c r="O3045">
        <v>-9.2013029999999992E-3</v>
      </c>
      <c r="P3045">
        <v>0.99765499999999996</v>
      </c>
      <c r="Q3045">
        <v>6.0179610000000001E-2</v>
      </c>
      <c r="R3045">
        <v>-3.2605509999999997E-2</v>
      </c>
      <c r="S3045">
        <v>2.9974669999999999</v>
      </c>
      <c r="T3045">
        <v>0.1247504</v>
      </c>
      <c r="U3045">
        <v>-6.3919069999999995E-2</v>
      </c>
      <c r="V3045">
        <v>2.3382070000000001E-2</v>
      </c>
      <c r="W3045">
        <v>7.0985000000000006E-2</v>
      </c>
      <c r="X3045">
        <v>0.99720330000000001</v>
      </c>
      <c r="Y3045">
        <v>1.211634E-2</v>
      </c>
      <c r="Z3045">
        <v>-1.307503E-4</v>
      </c>
      <c r="AA3045">
        <v>0.9999266</v>
      </c>
      <c r="AB3045">
        <v>25</v>
      </c>
      <c r="AC3045">
        <v>234.83539999999999</v>
      </c>
      <c r="AD3045">
        <v>9.7846820000000001</v>
      </c>
      <c r="AE3045">
        <v>-5.0113000000000003</v>
      </c>
      <c r="AF3045">
        <v>2.8452325606072701</v>
      </c>
      <c r="AG3045">
        <v>9.7846820000000001</v>
      </c>
      <c r="AH3045">
        <v>234.46470976285499</v>
      </c>
      <c r="AI3045">
        <v>87.610494691603606</v>
      </c>
      <c r="AJ3045">
        <v>89.304749033207401</v>
      </c>
      <c r="AK3045">
        <v>234.68603595941701</v>
      </c>
      <c r="AL3045">
        <v>85.929435716906795</v>
      </c>
      <c r="AM3045">
        <v>88.656794967963506</v>
      </c>
      <c r="AN3045">
        <v>1.0000000064766801</v>
      </c>
    </row>
    <row r="3046" spans="1:40" x14ac:dyDescent="0.25">
      <c r="A3046" t="str">
        <f>"20190312151046195"</f>
        <v>20190312151046195</v>
      </c>
      <c r="B3046" t="str">
        <f>"1552374646184317"</f>
        <v>1552374646184317</v>
      </c>
      <c r="C3046" t="s">
        <v>40</v>
      </c>
      <c r="D3046">
        <v>5.2808789999999997</v>
      </c>
      <c r="E3046">
        <v>0.4952413</v>
      </c>
      <c r="F3046" t="s">
        <v>69</v>
      </c>
      <c r="G3046">
        <v>-169.39599999999999</v>
      </c>
      <c r="H3046">
        <v>11.005509999999999</v>
      </c>
      <c r="I3046">
        <v>208.9853</v>
      </c>
      <c r="J3046">
        <v>-403.99290000000002</v>
      </c>
      <c r="K3046">
        <v>1.1102529999999999</v>
      </c>
      <c r="L3046">
        <v>213.72460000000001</v>
      </c>
      <c r="M3046">
        <v>0.99990299999999999</v>
      </c>
      <c r="N3046">
        <v>0</v>
      </c>
      <c r="O3046">
        <v>-8.8242210000000001E-3</v>
      </c>
      <c r="P3046">
        <v>0.997695</v>
      </c>
      <c r="Q3046">
        <v>5.9320199999999997E-2</v>
      </c>
      <c r="R3046">
        <v>-3.2956190000000003E-2</v>
      </c>
      <c r="S3046">
        <v>2.9974669999999999</v>
      </c>
      <c r="T3046">
        <v>0.12630459999999999</v>
      </c>
      <c r="U3046">
        <v>-6.0516359999999998E-2</v>
      </c>
      <c r="V3046">
        <v>2.410903E-2</v>
      </c>
      <c r="W3046">
        <v>7.0099350000000005E-2</v>
      </c>
      <c r="X3046">
        <v>0.99724860000000004</v>
      </c>
      <c r="Y3046">
        <v>1.1359080000000001E-2</v>
      </c>
      <c r="Z3046">
        <v>-1.3244529999999999E-4</v>
      </c>
      <c r="AA3046">
        <v>0.99993540000000003</v>
      </c>
      <c r="AB3046">
        <v>25</v>
      </c>
      <c r="AC3046">
        <v>234.59690000000001</v>
      </c>
      <c r="AD3046">
        <v>9.8952570000000009</v>
      </c>
      <c r="AE3046">
        <v>-4.7393000000000098</v>
      </c>
      <c r="AF3046">
        <v>2.6641224521878599</v>
      </c>
      <c r="AG3046">
        <v>9.8952570000000009</v>
      </c>
      <c r="AH3046">
        <v>234.21306080805499</v>
      </c>
      <c r="AI3046">
        <v>87.580908260068696</v>
      </c>
      <c r="AJ3046">
        <v>89.348301118092095</v>
      </c>
      <c r="AK3046">
        <v>234.43713765658899</v>
      </c>
      <c r="AL3046">
        <v>85.980306296551504</v>
      </c>
      <c r="AM3046">
        <v>88.615112972753593</v>
      </c>
      <c r="AN3046">
        <v>0.99999996719996098</v>
      </c>
    </row>
    <row r="3047" spans="1:40" x14ac:dyDescent="0.25">
      <c r="A3047" t="str">
        <f>"20190312151046216"</f>
        <v>20190312151046216</v>
      </c>
      <c r="B3047" t="str">
        <f>"1552374646213597"</f>
        <v>1552374646213597</v>
      </c>
      <c r="C3047" t="s">
        <v>40</v>
      </c>
      <c r="D3047">
        <v>5.3020550000000002</v>
      </c>
      <c r="E3047">
        <v>0.49510929999999997</v>
      </c>
      <c r="F3047" t="s">
        <v>69</v>
      </c>
      <c r="G3047">
        <v>-169.39590000000001</v>
      </c>
      <c r="H3047">
        <v>10.7705</v>
      </c>
      <c r="I3047">
        <v>208.9932</v>
      </c>
      <c r="J3047">
        <v>-403.75540000000001</v>
      </c>
      <c r="K3047">
        <v>1.1102540000000001</v>
      </c>
      <c r="L3047">
        <v>213.72290000000001</v>
      </c>
      <c r="M3047">
        <v>0.99990650000000003</v>
      </c>
      <c r="N3047">
        <v>0</v>
      </c>
      <c r="O3047">
        <v>-8.4442700000000002E-3</v>
      </c>
      <c r="P3047">
        <v>0.99776039999999999</v>
      </c>
      <c r="Q3047">
        <v>5.7963639999999997E-2</v>
      </c>
      <c r="R3047">
        <v>-3.3389519999999999E-2</v>
      </c>
      <c r="S3047">
        <v>2.9975589999999999</v>
      </c>
      <c r="T3047">
        <v>0.1234341</v>
      </c>
      <c r="U3047">
        <v>-6.045532E-2</v>
      </c>
      <c r="V3047">
        <v>2.492115E-2</v>
      </c>
      <c r="W3047">
        <v>6.8720329999999996E-2</v>
      </c>
      <c r="X3047">
        <v>0.99732460000000001</v>
      </c>
      <c r="Y3047">
        <v>1.171755E-2</v>
      </c>
      <c r="Z3047">
        <v>-1.0641969999999999E-4</v>
      </c>
      <c r="AA3047">
        <v>0.99993129999999997</v>
      </c>
      <c r="AB3047">
        <v>25</v>
      </c>
      <c r="AC3047">
        <v>234.3595</v>
      </c>
      <c r="AD3047">
        <v>9.6602460000000008</v>
      </c>
      <c r="AE3047">
        <v>-4.7297000000000002</v>
      </c>
      <c r="AF3047">
        <v>2.7457586381088799</v>
      </c>
      <c r="AG3047">
        <v>9.6602460000000008</v>
      </c>
      <c r="AH3047">
        <v>233.99367472559101</v>
      </c>
      <c r="AI3047">
        <v>87.636093562422303</v>
      </c>
      <c r="AJ3047">
        <v>89.327703359541701</v>
      </c>
      <c r="AK3047">
        <v>234.20909323692999</v>
      </c>
      <c r="AL3047">
        <v>86.059509293505798</v>
      </c>
      <c r="AM3047">
        <v>88.568590769721595</v>
      </c>
      <c r="AN3047">
        <v>0.99999995261889396</v>
      </c>
    </row>
    <row r="3048" spans="1:40" x14ac:dyDescent="0.25">
      <c r="A3048" t="str">
        <f>"20190312151046238"</f>
        <v>20190312151046238</v>
      </c>
      <c r="B3048" t="str">
        <f>"1552374646234093"</f>
        <v>1552374646234093</v>
      </c>
      <c r="C3048" t="s">
        <v>40</v>
      </c>
      <c r="D3048">
        <v>5.3690170000000004</v>
      </c>
      <c r="E3048">
        <v>0.49495099999999997</v>
      </c>
      <c r="F3048" t="s">
        <v>69</v>
      </c>
      <c r="G3048">
        <v>-169.39580000000001</v>
      </c>
      <c r="H3048">
        <v>10.450150000000001</v>
      </c>
      <c r="I3048">
        <v>208.96680000000001</v>
      </c>
      <c r="J3048">
        <v>-403.50990000000002</v>
      </c>
      <c r="K3048">
        <v>1.1102479999999999</v>
      </c>
      <c r="L3048">
        <v>213.72130000000001</v>
      </c>
      <c r="M3048">
        <v>0.99990990000000002</v>
      </c>
      <c r="N3048">
        <v>0</v>
      </c>
      <c r="O3048">
        <v>-8.0430789999999999E-3</v>
      </c>
      <c r="P3048">
        <v>0.99778999999999995</v>
      </c>
      <c r="Q3048">
        <v>5.7156690000000003E-2</v>
      </c>
      <c r="R3048">
        <v>-3.3889290000000002E-2</v>
      </c>
      <c r="S3048">
        <v>2.9977420000000001</v>
      </c>
      <c r="T3048">
        <v>0.1194689</v>
      </c>
      <c r="U3048">
        <v>-6.0836790000000002E-2</v>
      </c>
      <c r="V3048">
        <v>2.5820550000000001E-2</v>
      </c>
      <c r="W3048">
        <v>6.7893510000000004E-2</v>
      </c>
      <c r="X3048">
        <v>0.99735839999999998</v>
      </c>
      <c r="Y3048">
        <v>1.2244150000000001E-2</v>
      </c>
      <c r="Z3048" s="1">
        <v>-7.6528779999999997E-5</v>
      </c>
      <c r="AA3048">
        <v>0.99992499999999995</v>
      </c>
      <c r="AB3048">
        <v>25</v>
      </c>
      <c r="AC3048">
        <v>234.11410000000001</v>
      </c>
      <c r="AD3048">
        <v>9.3399020000000004</v>
      </c>
      <c r="AE3048">
        <v>-4.7545000000000002</v>
      </c>
      <c r="AF3048">
        <v>2.86667856014189</v>
      </c>
      <c r="AG3048">
        <v>9.3399020000000004</v>
      </c>
      <c r="AH3048">
        <v>233.77285379352401</v>
      </c>
      <c r="AI3048">
        <v>87.712256455805004</v>
      </c>
      <c r="AJ3048">
        <v>89.297436173858301</v>
      </c>
      <c r="AK3048">
        <v>233.976919344847</v>
      </c>
      <c r="AL3048">
        <v>86.106993699278902</v>
      </c>
      <c r="AM3048">
        <v>88.517004364344601</v>
      </c>
      <c r="AN3048">
        <v>1.00000000377649</v>
      </c>
    </row>
    <row r="3049" spans="1:40" x14ac:dyDescent="0.25">
      <c r="A3049" t="str">
        <f>"20190312151046260"</f>
        <v>20190312151046260</v>
      </c>
      <c r="B3049" t="str">
        <f>"1552374646253614"</f>
        <v>1552374646253614</v>
      </c>
      <c r="C3049" t="s">
        <v>40</v>
      </c>
      <c r="D3049">
        <v>5.3688079999999996</v>
      </c>
      <c r="E3049">
        <v>0.49493579999999998</v>
      </c>
      <c r="F3049" t="s">
        <v>69</v>
      </c>
      <c r="G3049">
        <v>-169.39580000000001</v>
      </c>
      <c r="H3049">
        <v>10.358510000000001</v>
      </c>
      <c r="I3049">
        <v>208.95230000000001</v>
      </c>
      <c r="J3049">
        <v>-403.25970000000001</v>
      </c>
      <c r="K3049">
        <v>1.110252</v>
      </c>
      <c r="L3049">
        <v>213.71979999999999</v>
      </c>
      <c r="M3049">
        <v>0.99991339999999995</v>
      </c>
      <c r="N3049">
        <v>0</v>
      </c>
      <c r="O3049">
        <v>-7.62195699999999E-3</v>
      </c>
      <c r="P3049">
        <v>0.99780769999999996</v>
      </c>
      <c r="Q3049">
        <v>5.6658790000000001E-2</v>
      </c>
      <c r="R3049">
        <v>-3.4200170000000002E-2</v>
      </c>
      <c r="S3049">
        <v>2.9977719999999999</v>
      </c>
      <c r="T3049">
        <v>0.11842220000000001</v>
      </c>
      <c r="U3049">
        <v>-6.1065670000000002E-2</v>
      </c>
      <c r="V3049">
        <v>2.6550379999999998E-2</v>
      </c>
      <c r="W3049">
        <v>6.7377339999999994E-2</v>
      </c>
      <c r="X3049">
        <v>0.99737419999999999</v>
      </c>
      <c r="Y3049">
        <v>1.274073E-2</v>
      </c>
      <c r="Z3049" s="1">
        <v>-4.9427059999999997E-5</v>
      </c>
      <c r="AA3049">
        <v>0.9999188</v>
      </c>
      <c r="AB3049">
        <v>25</v>
      </c>
      <c r="AC3049">
        <v>233.8639</v>
      </c>
      <c r="AD3049">
        <v>9.2482579999999999</v>
      </c>
      <c r="AE3049">
        <v>-4.7674999999999796</v>
      </c>
      <c r="AF3049">
        <v>2.9800998440153599</v>
      </c>
      <c r="AG3049">
        <v>9.2482579999999999</v>
      </c>
      <c r="AH3049">
        <v>233.52839548830701</v>
      </c>
      <c r="AI3049">
        <v>87.732325767685893</v>
      </c>
      <c r="AJ3049">
        <v>89.268877450504604</v>
      </c>
      <c r="AK3049">
        <v>233.73044895874801</v>
      </c>
      <c r="AL3049">
        <v>86.136635776986594</v>
      </c>
      <c r="AM3049">
        <v>88.475130459584506</v>
      </c>
      <c r="AN3049">
        <v>0.99999996172462902</v>
      </c>
    </row>
    <row r="3050" spans="1:40" x14ac:dyDescent="0.25">
      <c r="A3050" t="str">
        <f>"20190312151046283"</f>
        <v>20190312151046283</v>
      </c>
      <c r="B3050" t="str">
        <f>"1552374646274113"</f>
        <v>1552374646274113</v>
      </c>
      <c r="C3050" t="s">
        <v>40</v>
      </c>
      <c r="D3050">
        <v>5.3707849999999997</v>
      </c>
      <c r="E3050">
        <v>0.4948959</v>
      </c>
      <c r="F3050" t="s">
        <v>69</v>
      </c>
      <c r="G3050">
        <v>-169.39580000000001</v>
      </c>
      <c r="H3050">
        <v>10.28783</v>
      </c>
      <c r="I3050">
        <v>208.8869</v>
      </c>
      <c r="J3050">
        <v>-403.0043</v>
      </c>
      <c r="K3050">
        <v>1.1102609999999999</v>
      </c>
      <c r="L3050">
        <v>213.7183</v>
      </c>
      <c r="M3050">
        <v>0.99991699999999994</v>
      </c>
      <c r="N3050">
        <v>0</v>
      </c>
      <c r="O3050">
        <v>-7.18069E-3</v>
      </c>
      <c r="P3050">
        <v>0.99779490000000004</v>
      </c>
      <c r="Q3050">
        <v>5.6389410000000001E-2</v>
      </c>
      <c r="R3050">
        <v>-3.5009659999999998E-2</v>
      </c>
      <c r="S3050">
        <v>2.997833</v>
      </c>
      <c r="T3050">
        <v>0.1176451</v>
      </c>
      <c r="U3050">
        <v>-6.1950680000000001E-2</v>
      </c>
      <c r="V3050">
        <v>2.7799109999999998E-2</v>
      </c>
      <c r="W3050">
        <v>6.7092819999999997E-2</v>
      </c>
      <c r="X3050">
        <v>0.99735940000000001</v>
      </c>
      <c r="Y3050">
        <v>1.3475799999999901E-2</v>
      </c>
      <c r="Z3050" s="1">
        <v>-1.7377110000000001E-5</v>
      </c>
      <c r="AA3050">
        <v>0.99990919999999905</v>
      </c>
      <c r="AB3050">
        <v>25</v>
      </c>
      <c r="AC3050">
        <v>233.60849999999999</v>
      </c>
      <c r="AD3050">
        <v>9.1775690000000001</v>
      </c>
      <c r="AE3050">
        <v>-4.8314000000000004</v>
      </c>
      <c r="AF3050">
        <v>3.1488513656395498</v>
      </c>
      <c r="AG3050">
        <v>9.1775690000000001</v>
      </c>
      <c r="AH3050">
        <v>233.277285460348</v>
      </c>
      <c r="AI3050">
        <v>87.747242717326401</v>
      </c>
      <c r="AJ3050">
        <v>89.226650220703405</v>
      </c>
      <c r="AK3050">
        <v>233.47898181511201</v>
      </c>
      <c r="AL3050">
        <v>86.152974711154201</v>
      </c>
      <c r="AM3050">
        <v>88.403424682238807</v>
      </c>
      <c r="AN3050">
        <v>1.0000000048903499</v>
      </c>
    </row>
    <row r="3051" spans="1:40" x14ac:dyDescent="0.25">
      <c r="A3051" t="str">
        <f>"20190312151046305"</f>
        <v>20190312151046305</v>
      </c>
      <c r="B3051" t="str">
        <f>"1552374646293629"</f>
        <v>1552374646293629</v>
      </c>
      <c r="C3051" t="s">
        <v>40</v>
      </c>
      <c r="D3051">
        <v>5.3658109999999999</v>
      </c>
      <c r="E3051">
        <v>0.49502030000000002</v>
      </c>
      <c r="F3051" t="s">
        <v>69</v>
      </c>
      <c r="G3051">
        <v>-169.39580000000001</v>
      </c>
      <c r="H3051">
        <v>10.32912</v>
      </c>
      <c r="I3051">
        <v>208.7407</v>
      </c>
      <c r="J3051">
        <v>-402.7679</v>
      </c>
      <c r="K3051">
        <v>1.110269</v>
      </c>
      <c r="L3051">
        <v>213.71709999999999</v>
      </c>
      <c r="M3051">
        <v>0.99992000000000003</v>
      </c>
      <c r="N3051">
        <v>0</v>
      </c>
      <c r="O3051">
        <v>-6.7593469999999998E-3</v>
      </c>
      <c r="P3051">
        <v>0.9978437</v>
      </c>
      <c r="Q3051">
        <v>5.5527569999999998E-2</v>
      </c>
      <c r="R3051">
        <v>-3.4998059999999998E-2</v>
      </c>
      <c r="S3051">
        <v>2.9977109999999998</v>
      </c>
      <c r="T3051">
        <v>0.1182988</v>
      </c>
      <c r="U3051">
        <v>-6.3873289999999999E-2</v>
      </c>
      <c r="V3051">
        <v>2.820657E-2</v>
      </c>
      <c r="W3051">
        <v>6.6216919999999999E-2</v>
      </c>
      <c r="X3051">
        <v>0.99740649999999997</v>
      </c>
      <c r="Y3051">
        <v>1.453778E-2</v>
      </c>
      <c r="Z3051" s="1">
        <v>2.008904E-5</v>
      </c>
      <c r="AA3051">
        <v>0.99989430000000001</v>
      </c>
      <c r="AB3051">
        <v>25</v>
      </c>
      <c r="AC3051">
        <v>233.37209999999999</v>
      </c>
      <c r="AD3051">
        <v>9.2188510000000008</v>
      </c>
      <c r="AE3051">
        <v>-4.9763999999999804</v>
      </c>
      <c r="AF3051">
        <v>3.3934601468403902</v>
      </c>
      <c r="AG3051">
        <v>9.2188510000000008</v>
      </c>
      <c r="AH3051">
        <v>233.03692512149701</v>
      </c>
      <c r="AI3051">
        <v>87.734822204404594</v>
      </c>
      <c r="AJ3051">
        <v>89.165723616329302</v>
      </c>
      <c r="AK3051">
        <v>233.24388792765899</v>
      </c>
      <c r="AL3051">
        <v>86.203271956615694</v>
      </c>
      <c r="AM3051">
        <v>88.380112030263703</v>
      </c>
      <c r="AN3051">
        <v>1.0000000086638501</v>
      </c>
    </row>
    <row r="3052" spans="1:40" x14ac:dyDescent="0.25">
      <c r="A3052" t="str">
        <f>"20190312151046328"</f>
        <v>20190312151046328</v>
      </c>
      <c r="B3052" t="str">
        <f>"1552374646323887"</f>
        <v>1552374646323887</v>
      </c>
      <c r="C3052" t="s">
        <v>40</v>
      </c>
      <c r="D3052">
        <v>5.3787399999999996</v>
      </c>
      <c r="E3052">
        <v>0.50775349999999997</v>
      </c>
      <c r="F3052" t="s">
        <v>69</v>
      </c>
      <c r="G3052">
        <v>-169.39580000000001</v>
      </c>
      <c r="H3052">
        <v>10.24391</v>
      </c>
      <c r="I3052">
        <v>208.66130000000001</v>
      </c>
      <c r="J3052">
        <v>-402.51100000000002</v>
      </c>
      <c r="K3052">
        <v>1.1102650000000001</v>
      </c>
      <c r="L3052">
        <v>213.7159</v>
      </c>
      <c r="M3052">
        <v>0.99992340000000002</v>
      </c>
      <c r="N3052">
        <v>0</v>
      </c>
      <c r="O3052">
        <v>-6.2881369999999897E-3</v>
      </c>
      <c r="P3052">
        <v>0.99784879999999998</v>
      </c>
      <c r="Q3052">
        <v>5.5400079999999997E-2</v>
      </c>
      <c r="R3052">
        <v>-3.5056289999999997E-2</v>
      </c>
      <c r="S3052">
        <v>2.997681</v>
      </c>
      <c r="T3052">
        <v>0.1173227</v>
      </c>
      <c r="U3052">
        <v>-6.4941410000000005E-2</v>
      </c>
      <c r="V3052">
        <v>2.8733870000000002E-2</v>
      </c>
      <c r="W3052">
        <v>6.6067050000000002E-2</v>
      </c>
      <c r="X3052">
        <v>0.99740139999999999</v>
      </c>
      <c r="Y3052">
        <v>1.536441E-2</v>
      </c>
      <c r="Z3052" s="1">
        <v>5.4524980000000003E-5</v>
      </c>
      <c r="AA3052">
        <v>0.99988200000000005</v>
      </c>
      <c r="AB3052">
        <v>25</v>
      </c>
      <c r="AC3052">
        <v>233.11519999999999</v>
      </c>
      <c r="AD3052">
        <v>9.1336449999999996</v>
      </c>
      <c r="AE3052">
        <v>-5.05459999999999</v>
      </c>
      <c r="AF3052">
        <v>3.5830585349333899</v>
      </c>
      <c r="AG3052">
        <v>9.1336449999999996</v>
      </c>
      <c r="AH3052">
        <v>232.78518732164699</v>
      </c>
      <c r="AI3052">
        <v>87.753340194521002</v>
      </c>
      <c r="AJ3052">
        <v>89.118165876978793</v>
      </c>
      <c r="AK3052">
        <v>232.991856544011</v>
      </c>
      <c r="AL3052">
        <v>86.211877768632107</v>
      </c>
      <c r="AM3052">
        <v>88.349837634576403</v>
      </c>
      <c r="AN3052">
        <v>1.00000002155141</v>
      </c>
    </row>
    <row r="3053" spans="1:40" x14ac:dyDescent="0.25">
      <c r="A3053" t="str">
        <f>"20190312151046350"</f>
        <v>20190312151046350</v>
      </c>
      <c r="B3053" t="str">
        <f>"1552374646344381"</f>
        <v>1552374646344381</v>
      </c>
      <c r="C3053" t="s">
        <v>40</v>
      </c>
      <c r="D3053">
        <v>5.2236750000000001</v>
      </c>
      <c r="E3053">
        <v>0.50828180000000001</v>
      </c>
      <c r="F3053" t="s">
        <v>69</v>
      </c>
      <c r="G3053">
        <v>-168.41640000000001</v>
      </c>
      <c r="H3053">
        <v>12.08348</v>
      </c>
      <c r="I3053">
        <v>200.67779999999999</v>
      </c>
      <c r="J3053">
        <v>-402.26620000000003</v>
      </c>
      <c r="K3053">
        <v>1.110271</v>
      </c>
      <c r="L3053">
        <v>213.7148</v>
      </c>
      <c r="M3053">
        <v>0.99992650000000005</v>
      </c>
      <c r="N3053">
        <v>0</v>
      </c>
      <c r="O3053">
        <v>-5.8281239999999996E-3</v>
      </c>
      <c r="P3053">
        <v>0.99785500000000005</v>
      </c>
      <c r="Q3053">
        <v>5.5560819999999997E-2</v>
      </c>
      <c r="R3053">
        <v>-3.4619030000000002E-2</v>
      </c>
      <c r="S3053">
        <v>2.9928279999999998</v>
      </c>
      <c r="T3053">
        <v>0.14028969999999999</v>
      </c>
      <c r="U3053">
        <v>-0.166687</v>
      </c>
      <c r="V3053">
        <v>2.8754459999999999E-2</v>
      </c>
      <c r="W3053">
        <v>6.6199800000000003E-2</v>
      </c>
      <c r="X3053">
        <v>0.99739199999999995</v>
      </c>
      <c r="Y3053">
        <v>4.9740850000000003E-2</v>
      </c>
      <c r="Z3053">
        <v>8.9143060000000001E-4</v>
      </c>
      <c r="AA3053">
        <v>0.99876180000000003</v>
      </c>
      <c r="AB3053">
        <v>25</v>
      </c>
      <c r="AC3053">
        <v>233.84979999999999</v>
      </c>
      <c r="AD3053">
        <v>10.973208999999899</v>
      </c>
      <c r="AE3053">
        <v>-13.037000000000001</v>
      </c>
      <c r="AF3053">
        <v>11.6482273865105</v>
      </c>
      <c r="AG3053">
        <v>10.973208999999899</v>
      </c>
      <c r="AH3053">
        <v>233.409466626073</v>
      </c>
      <c r="AI3053">
        <v>87.311693202864404</v>
      </c>
      <c r="AJ3053">
        <v>87.143041966136906</v>
      </c>
      <c r="AK3053">
        <v>233.95741413273001</v>
      </c>
      <c r="AL3053">
        <v>86.204255049346102</v>
      </c>
      <c r="AM3053">
        <v>88.3486402678015</v>
      </c>
      <c r="AN3053">
        <v>1.0000000170769601</v>
      </c>
    </row>
    <row r="3054" spans="1:40" x14ac:dyDescent="0.25">
      <c r="A3054" t="str">
        <f>"20190312151046374"</f>
        <v>20190312151046374</v>
      </c>
      <c r="B3054" t="str">
        <f>"1552374646363901"</f>
        <v>1552374646363901</v>
      </c>
      <c r="C3054" t="s">
        <v>40</v>
      </c>
      <c r="D3054">
        <v>5.3793340000000001</v>
      </c>
      <c r="E3054">
        <v>0.50868879999999905</v>
      </c>
      <c r="F3054" t="s">
        <v>69</v>
      </c>
      <c r="G3054">
        <v>-168.41650000000001</v>
      </c>
      <c r="H3054">
        <v>12.00991</v>
      </c>
      <c r="I3054">
        <v>200.47210000000001</v>
      </c>
      <c r="J3054">
        <v>-401.99779999999998</v>
      </c>
      <c r="K3054">
        <v>1.1102749999999999</v>
      </c>
      <c r="L3054">
        <v>213.71379999999999</v>
      </c>
      <c r="M3054">
        <v>0.99992970000000003</v>
      </c>
      <c r="N3054">
        <v>0</v>
      </c>
      <c r="O3054">
        <v>-5.3156130000000003E-3</v>
      </c>
      <c r="P3054">
        <v>0.99784320000000004</v>
      </c>
      <c r="Q3054">
        <v>5.6359649999999997E-2</v>
      </c>
      <c r="R3054">
        <v>-3.365419E-2</v>
      </c>
      <c r="S3054">
        <v>2.9927980000000001</v>
      </c>
      <c r="T3054">
        <v>0.13949349999999999</v>
      </c>
      <c r="U3054">
        <v>-0.169479399999999</v>
      </c>
      <c r="V3054">
        <v>2.8299640000000001E-2</v>
      </c>
      <c r="W3054">
        <v>6.6956269999999998E-2</v>
      </c>
      <c r="X3054">
        <v>0.99735450000000003</v>
      </c>
      <c r="Y3054">
        <v>5.1180660000000003E-2</v>
      </c>
      <c r="Z3054">
        <v>9.4372770000000002E-4</v>
      </c>
      <c r="AA3054">
        <v>0.99868889999999999</v>
      </c>
      <c r="AB3054">
        <v>25</v>
      </c>
      <c r="AC3054">
        <v>233.5813</v>
      </c>
      <c r="AD3054">
        <v>10.899635</v>
      </c>
      <c r="AE3054">
        <v>-13.2416999999999</v>
      </c>
      <c r="AF3054">
        <v>11.9738264966202</v>
      </c>
      <c r="AG3054">
        <v>10.899635</v>
      </c>
      <c r="AH3054">
        <v>233.142362213372</v>
      </c>
      <c r="AI3054">
        <v>87.326832907517201</v>
      </c>
      <c r="AJ3054">
        <v>87.059961673189903</v>
      </c>
      <c r="AK3054">
        <v>233.70394866697399</v>
      </c>
      <c r="AL3054">
        <v>86.160816083660194</v>
      </c>
      <c r="AM3054">
        <v>88.374685242007601</v>
      </c>
      <c r="AN3054">
        <v>1.00000000519334</v>
      </c>
    </row>
    <row r="3055" spans="1:40" x14ac:dyDescent="0.25">
      <c r="A3055" t="str">
        <f>"20190312151046398"</f>
        <v>20190312151046398</v>
      </c>
      <c r="B3055" t="str">
        <f>"1552374646394158"</f>
        <v>1552374646394158</v>
      </c>
      <c r="C3055" t="s">
        <v>40</v>
      </c>
      <c r="D3055">
        <v>5.5068239999999999</v>
      </c>
      <c r="E3055">
        <v>0.50914899999999996</v>
      </c>
      <c r="F3055" t="s">
        <v>69</v>
      </c>
      <c r="G3055">
        <v>-168.41650000000001</v>
      </c>
      <c r="H3055">
        <v>12.201560000000001</v>
      </c>
      <c r="I3055">
        <v>200.44810000000001</v>
      </c>
      <c r="J3055">
        <v>-401.74299999999999</v>
      </c>
      <c r="K3055">
        <v>1.1102730000000001</v>
      </c>
      <c r="L3055">
        <v>213.71299999999999</v>
      </c>
      <c r="M3055">
        <v>0.99993279999999995</v>
      </c>
      <c r="N3055">
        <v>0</v>
      </c>
      <c r="O3055">
        <v>-4.8246740000000001E-3</v>
      </c>
      <c r="P3055">
        <v>0.99782800000000005</v>
      </c>
      <c r="Q3055">
        <v>5.702865E-2</v>
      </c>
      <c r="R3055">
        <v>-3.2977060000000002E-2</v>
      </c>
      <c r="S3055">
        <v>2.9927670000000002</v>
      </c>
      <c r="T3055">
        <v>0.14210780000000001</v>
      </c>
      <c r="U3055">
        <v>-0.1699677</v>
      </c>
      <c r="V3055">
        <v>2.811131E-2</v>
      </c>
      <c r="W3055">
        <v>6.7574759999999998E-2</v>
      </c>
      <c r="X3055">
        <v>0.99731809999999999</v>
      </c>
      <c r="Y3055">
        <v>5.1830809999999998E-2</v>
      </c>
      <c r="Z3055">
        <v>1.0000950000000001E-3</v>
      </c>
      <c r="AA3055">
        <v>0.99865539999999997</v>
      </c>
      <c r="AB3055">
        <v>25</v>
      </c>
      <c r="AC3055">
        <v>233.32650000000001</v>
      </c>
      <c r="AD3055">
        <v>11.091286999999999</v>
      </c>
      <c r="AE3055">
        <v>-13.2648999999999</v>
      </c>
      <c r="AF3055">
        <v>12.1116791033766</v>
      </c>
      <c r="AG3055">
        <v>11.091286999999999</v>
      </c>
      <c r="AH3055">
        <v>232.863298624686</v>
      </c>
      <c r="AI3055">
        <v>87.276736423043204</v>
      </c>
      <c r="AJ3055">
        <v>87.022616501943105</v>
      </c>
      <c r="AK3055">
        <v>233.44169564237899</v>
      </c>
      <c r="AL3055">
        <v>86.125298727516594</v>
      </c>
      <c r="AM3055">
        <v>88.385436837398203</v>
      </c>
      <c r="AN3055">
        <v>0.99999999326329103</v>
      </c>
    </row>
    <row r="3056" spans="1:40" x14ac:dyDescent="0.25">
      <c r="A3056" t="str">
        <f>"20190312151046417"</f>
        <v>20190312151046417</v>
      </c>
      <c r="B3056" t="str">
        <f>"1552374646413677"</f>
        <v>1552374646413677</v>
      </c>
      <c r="C3056" t="s">
        <v>40</v>
      </c>
      <c r="D3056">
        <v>5.2942090000000004</v>
      </c>
      <c r="E3056">
        <v>0.50910649999999902</v>
      </c>
      <c r="F3056" t="s">
        <v>69</v>
      </c>
      <c r="G3056">
        <v>-168.41659999999999</v>
      </c>
      <c r="H3056">
        <v>12.307729999999999</v>
      </c>
      <c r="I3056">
        <v>200.328</v>
      </c>
      <c r="J3056">
        <v>-401.51310000000001</v>
      </c>
      <c r="K3056">
        <v>1.1102719999999999</v>
      </c>
      <c r="L3056">
        <v>213.7124</v>
      </c>
      <c r="M3056">
        <v>0.99993540000000003</v>
      </c>
      <c r="N3056">
        <v>0</v>
      </c>
      <c r="O3056">
        <v>-4.3802249999999997E-3</v>
      </c>
      <c r="P3056">
        <v>0.99775820000000004</v>
      </c>
      <c r="Q3056">
        <v>5.8423950000000002E-2</v>
      </c>
      <c r="R3056">
        <v>-3.2644510000000002E-2</v>
      </c>
      <c r="S3056">
        <v>2.992645</v>
      </c>
      <c r="T3056">
        <v>0.1436191</v>
      </c>
      <c r="U3056">
        <v>-0.17167660000000001</v>
      </c>
      <c r="V3056">
        <v>2.8221550000000001E-2</v>
      </c>
      <c r="W3056">
        <v>6.8913940000000007E-2</v>
      </c>
      <c r="X3056">
        <v>0.99722339999999998</v>
      </c>
      <c r="Y3056">
        <v>5.2842609999999998E-2</v>
      </c>
      <c r="Z3056">
        <v>1.0562869999999999E-3</v>
      </c>
      <c r="AA3056">
        <v>0.99860230000000005</v>
      </c>
      <c r="AB3056">
        <v>25</v>
      </c>
      <c r="AC3056">
        <v>233.09649999999999</v>
      </c>
      <c r="AD3056">
        <v>11.197457999999999</v>
      </c>
      <c r="AE3056">
        <v>-13.384399999999999</v>
      </c>
      <c r="AF3056">
        <v>12.334829542667601</v>
      </c>
      <c r="AG3056">
        <v>11.197457999999999</v>
      </c>
      <c r="AH3056">
        <v>232.61786010945801</v>
      </c>
      <c r="AI3056">
        <v>87.247957473396298</v>
      </c>
      <c r="AJ3056">
        <v>86.964668158855503</v>
      </c>
      <c r="AK3056">
        <v>233.21363580934101</v>
      </c>
      <c r="AL3056">
        <v>86.048390274764799</v>
      </c>
      <c r="AM3056">
        <v>88.378954769309701</v>
      </c>
      <c r="AN3056">
        <v>1.00000004825914</v>
      </c>
    </row>
    <row r="3057" spans="1:40" x14ac:dyDescent="0.25">
      <c r="A3057" t="str">
        <f>"20190312151046440"</f>
        <v>20190312151046440</v>
      </c>
      <c r="B3057" t="str">
        <f>"1552374646434174"</f>
        <v>1552374646434174</v>
      </c>
      <c r="C3057" t="s">
        <v>40</v>
      </c>
      <c r="D3057">
        <v>4.9691749999999999</v>
      </c>
      <c r="E3057">
        <v>0.50837879999999902</v>
      </c>
      <c r="F3057" t="s">
        <v>69</v>
      </c>
      <c r="G3057">
        <v>-168.41669999999999</v>
      </c>
      <c r="H3057">
        <v>12.707240000000001</v>
      </c>
      <c r="I3057">
        <v>200.44669999999999</v>
      </c>
      <c r="J3057">
        <v>-401.26179999999999</v>
      </c>
      <c r="K3057">
        <v>1.110263</v>
      </c>
      <c r="L3057">
        <v>213.71180000000001</v>
      </c>
      <c r="M3057">
        <v>0.99993799999999999</v>
      </c>
      <c r="N3057">
        <v>0</v>
      </c>
      <c r="O3057">
        <v>-3.8948720000000002E-3</v>
      </c>
      <c r="P3057">
        <v>0.99771889999999996</v>
      </c>
      <c r="Q3057">
        <v>5.9336560000000003E-2</v>
      </c>
      <c r="R3057">
        <v>-3.2189450000000001E-2</v>
      </c>
      <c r="S3057">
        <v>2.9924620000000002</v>
      </c>
      <c r="T3057">
        <v>0.14888080000000001</v>
      </c>
      <c r="U3057">
        <v>-0.17030329999999999</v>
      </c>
      <c r="V3057">
        <v>2.8250239999999999E-2</v>
      </c>
      <c r="W3057">
        <v>6.9764960000000001E-2</v>
      </c>
      <c r="X3057">
        <v>0.99716340000000003</v>
      </c>
      <c r="Y3057">
        <v>5.286925E-2</v>
      </c>
      <c r="Z3057">
        <v>1.1197939999999999E-3</v>
      </c>
      <c r="AA3057">
        <v>0.99860079999999996</v>
      </c>
      <c r="AB3057">
        <v>25</v>
      </c>
      <c r="AC3057">
        <v>232.8451</v>
      </c>
      <c r="AD3057">
        <v>11.596977000000001</v>
      </c>
      <c r="AE3057">
        <v>-13.2651</v>
      </c>
      <c r="AF3057">
        <v>12.3275674190605</v>
      </c>
      <c r="AG3057">
        <v>11.596977000000001</v>
      </c>
      <c r="AH3057">
        <v>232.32057405578499</v>
      </c>
      <c r="AI3057">
        <v>87.146289736343604</v>
      </c>
      <c r="AJ3057">
        <v>86.962577293071107</v>
      </c>
      <c r="AK3057">
        <v>232.93627438340201</v>
      </c>
      <c r="AL3057">
        <v>85.999512730152503</v>
      </c>
      <c r="AM3057">
        <v>88.3772101106523</v>
      </c>
      <c r="AN3057">
        <v>1.0000000360017001</v>
      </c>
    </row>
    <row r="3058" spans="1:40" x14ac:dyDescent="0.25">
      <c r="A3058" t="str">
        <f>"20190312151046462"</f>
        <v>20190312151046462</v>
      </c>
      <c r="B3058" t="str">
        <f>"1552374646453700"</f>
        <v>1552374646453700</v>
      </c>
      <c r="C3058" t="s">
        <v>40</v>
      </c>
      <c r="D3058">
        <v>5.3856159999999997</v>
      </c>
      <c r="E3058">
        <v>0.50822730000000005</v>
      </c>
      <c r="F3058" t="s">
        <v>69</v>
      </c>
      <c r="G3058">
        <v>-168.4162</v>
      </c>
      <c r="H3058">
        <v>11.93117</v>
      </c>
      <c r="I3058">
        <v>201.02199999999999</v>
      </c>
      <c r="J3058">
        <v>-401.01100000000002</v>
      </c>
      <c r="K3058">
        <v>1.110257</v>
      </c>
      <c r="L3058">
        <v>213.7114</v>
      </c>
      <c r="M3058">
        <v>0.99994050000000001</v>
      </c>
      <c r="N3058">
        <v>0</v>
      </c>
      <c r="O3058">
        <v>-3.4121440000000002E-3</v>
      </c>
      <c r="P3058">
        <v>0.99763460000000004</v>
      </c>
      <c r="Q3058">
        <v>6.0741870000000003E-2</v>
      </c>
      <c r="R3058">
        <v>-3.2188069999999999E-2</v>
      </c>
      <c r="S3058">
        <v>2.9933169999999998</v>
      </c>
      <c r="T3058">
        <v>0.13910719999999999</v>
      </c>
      <c r="U3058">
        <v>-0.16313169999999999</v>
      </c>
      <c r="V3058">
        <v>2.872982E-2</v>
      </c>
      <c r="W3058">
        <v>7.1107719999999999E-2</v>
      </c>
      <c r="X3058">
        <v>0.99705480000000002</v>
      </c>
      <c r="Y3058">
        <v>5.0959150000000002E-2</v>
      </c>
      <c r="Z3058">
        <v>1.024215E-3</v>
      </c>
      <c r="AA3058">
        <v>0.99870020000000004</v>
      </c>
      <c r="AB3058">
        <v>25</v>
      </c>
      <c r="AC3058">
        <v>232.59479999999999</v>
      </c>
      <c r="AD3058">
        <v>10.820912999999999</v>
      </c>
      <c r="AE3058">
        <v>-12.6893999999999</v>
      </c>
      <c r="AF3058">
        <v>11.8700219043748</v>
      </c>
      <c r="AG3058">
        <v>10.820912999999999</v>
      </c>
      <c r="AH3058">
        <v>232.135813647004</v>
      </c>
      <c r="AI3058">
        <v>87.334590678570905</v>
      </c>
      <c r="AJ3058">
        <v>87.072789737860404</v>
      </c>
      <c r="AK3058">
        <v>232.69083685379701</v>
      </c>
      <c r="AL3058">
        <v>85.922386507886898</v>
      </c>
      <c r="AM3058">
        <v>88.349496856406901</v>
      </c>
      <c r="AN3058">
        <v>0.99999999230193504</v>
      </c>
    </row>
    <row r="3059" spans="1:40" x14ac:dyDescent="0.25">
      <c r="A3059" t="str">
        <f>"20190312151046485"</f>
        <v>20190312151046485</v>
      </c>
      <c r="B3059" t="str">
        <f>"1552374646474193"</f>
        <v>1552374646474193</v>
      </c>
      <c r="C3059" t="s">
        <v>40</v>
      </c>
      <c r="D3059">
        <v>5.4491519999999998</v>
      </c>
      <c r="E3059">
        <v>0.50812760000000001</v>
      </c>
      <c r="F3059" t="s">
        <v>69</v>
      </c>
      <c r="G3059">
        <v>-168.41640000000001</v>
      </c>
      <c r="H3059">
        <v>12.35894</v>
      </c>
      <c r="I3059">
        <v>201.13499999999999</v>
      </c>
      <c r="J3059">
        <v>-400.75029999999998</v>
      </c>
      <c r="K3059">
        <v>1.11025</v>
      </c>
      <c r="L3059">
        <v>213.71100000000001</v>
      </c>
      <c r="M3059">
        <v>0.99994280000000002</v>
      </c>
      <c r="N3059">
        <v>0</v>
      </c>
      <c r="O3059">
        <v>-2.9121149999999998E-3</v>
      </c>
      <c r="P3059">
        <v>0.99763480000000004</v>
      </c>
      <c r="Q3059">
        <v>6.080733E-2</v>
      </c>
      <c r="R3059">
        <v>-3.2054609999999997E-2</v>
      </c>
      <c r="S3059">
        <v>2.9930729999999999</v>
      </c>
      <c r="T3059">
        <v>0.14475060000000001</v>
      </c>
      <c r="U3059">
        <v>-0.1618347</v>
      </c>
      <c r="V3059">
        <v>2.9095449999999998E-2</v>
      </c>
      <c r="W3059">
        <v>7.1107729999999994E-2</v>
      </c>
      <c r="X3059">
        <v>0.99704420000000005</v>
      </c>
      <c r="Y3059">
        <v>5.1026589999999997E-2</v>
      </c>
      <c r="Z3059">
        <v>1.0915969999999999E-3</v>
      </c>
      <c r="AA3059">
        <v>0.99869669999999999</v>
      </c>
      <c r="AB3059">
        <v>25</v>
      </c>
      <c r="AC3059">
        <v>232.3339</v>
      </c>
      <c r="AD3059">
        <v>11.2486899999999</v>
      </c>
      <c r="AE3059">
        <v>-12.575999999999899</v>
      </c>
      <c r="AF3059">
        <v>11.8715807593112</v>
      </c>
      <c r="AG3059">
        <v>11.2486899999999</v>
      </c>
      <c r="AH3059">
        <v>231.82769646702499</v>
      </c>
      <c r="AI3059">
        <v>87.225715575975102</v>
      </c>
      <c r="AJ3059">
        <v>87.068521765167603</v>
      </c>
      <c r="AK3059">
        <v>232.40384744157799</v>
      </c>
      <c r="AL3059">
        <v>85.922385947007498</v>
      </c>
      <c r="AM3059">
        <v>88.328485812024198</v>
      </c>
      <c r="AN3059">
        <v>0.99999999561504704</v>
      </c>
    </row>
    <row r="3060" spans="1:40" x14ac:dyDescent="0.25">
      <c r="A3060" t="str">
        <f>"20190312151046507"</f>
        <v>20190312151046507</v>
      </c>
      <c r="B3060" t="str">
        <f>"1552374646503470"</f>
        <v>1552374646503470</v>
      </c>
      <c r="C3060" t="s">
        <v>40</v>
      </c>
      <c r="D3060">
        <v>5.2619429999999996</v>
      </c>
      <c r="E3060">
        <v>0.50835079999999999</v>
      </c>
      <c r="F3060" t="s">
        <v>69</v>
      </c>
      <c r="G3060">
        <v>-168.41630000000001</v>
      </c>
      <c r="H3060">
        <v>12.447979999999999</v>
      </c>
      <c r="I3060">
        <v>201.25409999999999</v>
      </c>
      <c r="J3060">
        <v>-400.50560000000002</v>
      </c>
      <c r="K3060">
        <v>1.110241</v>
      </c>
      <c r="L3060">
        <v>213.71080000000001</v>
      </c>
      <c r="M3060">
        <v>0.99994470000000002</v>
      </c>
      <c r="N3060">
        <v>0</v>
      </c>
      <c r="O3060">
        <v>-2.44473E-3</v>
      </c>
      <c r="P3060">
        <v>0.99763610000000003</v>
      </c>
      <c r="Q3060">
        <v>6.0747860000000001E-2</v>
      </c>
      <c r="R3060">
        <v>-3.212752E-2</v>
      </c>
      <c r="S3060">
        <v>2.993042</v>
      </c>
      <c r="T3060">
        <v>0.14605870000000001</v>
      </c>
      <c r="U3060">
        <v>-0.1604767</v>
      </c>
      <c r="V3060">
        <v>2.963466E-2</v>
      </c>
      <c r="W3060">
        <v>7.0979299999999995E-2</v>
      </c>
      <c r="X3060">
        <v>0.99703750000000002</v>
      </c>
      <c r="Y3060">
        <v>5.1040509999999997E-2</v>
      </c>
      <c r="Z3060">
        <v>1.124592E-3</v>
      </c>
      <c r="AA3060">
        <v>0.99869600000000003</v>
      </c>
      <c r="AB3060">
        <v>25</v>
      </c>
      <c r="AC3060">
        <v>232.08930000000001</v>
      </c>
      <c r="AD3060">
        <v>11.337738999999999</v>
      </c>
      <c r="AE3060">
        <v>-12.4567</v>
      </c>
      <c r="AF3060">
        <v>11.8610136316669</v>
      </c>
      <c r="AG3060">
        <v>11.337738999999999</v>
      </c>
      <c r="AH3060">
        <v>231.568035317756</v>
      </c>
      <c r="AI3060">
        <v>87.200659209647895</v>
      </c>
      <c r="AJ3060">
        <v>87.067848118967405</v>
      </c>
      <c r="AK3060">
        <v>232.148622547988</v>
      </c>
      <c r="AL3060">
        <v>85.929763205273105</v>
      </c>
      <c r="AM3060">
        <v>88.297515188049402</v>
      </c>
      <c r="AN3060">
        <v>1.00000002525402</v>
      </c>
    </row>
    <row r="3061" spans="1:40" x14ac:dyDescent="0.25">
      <c r="A3061" t="str">
        <f>"20190312151046529"</f>
        <v>20190312151046529</v>
      </c>
      <c r="B3061" t="str">
        <f>"1552374646523966"</f>
        <v>1552374646523966</v>
      </c>
      <c r="C3061" t="s">
        <v>40</v>
      </c>
      <c r="D3061">
        <v>5.4410550000000004</v>
      </c>
      <c r="E3061">
        <v>0.50847569999999997</v>
      </c>
      <c r="F3061" t="s">
        <v>69</v>
      </c>
      <c r="G3061">
        <v>-168.41640000000001</v>
      </c>
      <c r="H3061">
        <v>12.506640000000001</v>
      </c>
      <c r="I3061">
        <v>201.09270000000001</v>
      </c>
      <c r="J3061">
        <v>-400.25080000000003</v>
      </c>
      <c r="K3061">
        <v>1.1102270000000001</v>
      </c>
      <c r="L3061">
        <v>213.71080000000001</v>
      </c>
      <c r="M3061">
        <v>0.99994669999999997</v>
      </c>
      <c r="N3061">
        <v>0</v>
      </c>
      <c r="O3061">
        <v>-1.959297E-3</v>
      </c>
      <c r="P3061">
        <v>0.997645</v>
      </c>
      <c r="Q3061">
        <v>6.068337E-2</v>
      </c>
      <c r="R3061">
        <v>-3.1972239999999999E-2</v>
      </c>
      <c r="S3061">
        <v>2.99295</v>
      </c>
      <c r="T3061">
        <v>0.14696489999999901</v>
      </c>
      <c r="U3061">
        <v>-0.16271969999999999</v>
      </c>
      <c r="V3061">
        <v>2.996362E-2</v>
      </c>
      <c r="W3061">
        <v>7.0835170000000003E-2</v>
      </c>
      <c r="X3061">
        <v>0.99703790000000003</v>
      </c>
      <c r="Y3061">
        <v>5.2270440000000001E-2</v>
      </c>
      <c r="Z3061">
        <v>1.1855349999999999E-3</v>
      </c>
      <c r="AA3061">
        <v>0.99863230000000003</v>
      </c>
      <c r="AB3061">
        <v>25</v>
      </c>
      <c r="AC3061">
        <v>231.83439999999999</v>
      </c>
      <c r="AD3061">
        <v>11.396413000000001</v>
      </c>
      <c r="AE3061">
        <v>-12.618099999999901</v>
      </c>
      <c r="AF3061">
        <v>12.134583797348601</v>
      </c>
      <c r="AG3061">
        <v>11.396413000000001</v>
      </c>
      <c r="AH3061">
        <v>231.301397833528</v>
      </c>
      <c r="AI3061">
        <v>87.183137663687802</v>
      </c>
      <c r="AJ3061">
        <v>86.996889581744597</v>
      </c>
      <c r="AK3061">
        <v>231.89968303761299</v>
      </c>
      <c r="AL3061">
        <v>85.938042009883205</v>
      </c>
      <c r="AM3061">
        <v>88.278628726995606</v>
      </c>
      <c r="AN3061">
        <v>1.0000000069344199</v>
      </c>
    </row>
    <row r="3062" spans="1:40" x14ac:dyDescent="0.25">
      <c r="A3062" t="str">
        <f>"20190312151046552"</f>
        <v>20190312151046552</v>
      </c>
      <c r="B3062" t="str">
        <f>"1552374646543486"</f>
        <v>1552374646543486</v>
      </c>
      <c r="C3062" t="s">
        <v>40</v>
      </c>
      <c r="D3062">
        <v>5.3085430000000002</v>
      </c>
      <c r="E3062">
        <v>0.50854089999999996</v>
      </c>
      <c r="F3062" t="s">
        <v>69</v>
      </c>
      <c r="G3062">
        <v>-168.41640000000001</v>
      </c>
      <c r="H3062">
        <v>12.520849999999999</v>
      </c>
      <c r="I3062">
        <v>201.07310000000001</v>
      </c>
      <c r="J3062">
        <v>-399.99869999999999</v>
      </c>
      <c r="K3062">
        <v>1.1102129999999999</v>
      </c>
      <c r="L3062">
        <v>213.71080000000001</v>
      </c>
      <c r="M3062">
        <v>0.99994830000000001</v>
      </c>
      <c r="N3062">
        <v>0</v>
      </c>
      <c r="O3062">
        <v>-1.4794319999999999E-3</v>
      </c>
      <c r="P3062">
        <v>0.99767790000000001</v>
      </c>
      <c r="Q3062">
        <v>6.0273930000000003E-2</v>
      </c>
      <c r="R3062">
        <v>-3.1716439999999999E-2</v>
      </c>
      <c r="S3062">
        <v>2.9928889999999999</v>
      </c>
      <c r="T3062">
        <v>0.14730699999999999</v>
      </c>
      <c r="U3062">
        <v>-0.16314699999999999</v>
      </c>
      <c r="V3062">
        <v>3.0186959999999999E-2</v>
      </c>
      <c r="W3062">
        <v>7.0337650000000002E-2</v>
      </c>
      <c r="X3062">
        <v>0.99706640000000002</v>
      </c>
      <c r="Y3062">
        <v>5.2891309999999997E-2</v>
      </c>
      <c r="Z3062">
        <v>1.227157E-3</v>
      </c>
      <c r="AA3062">
        <v>0.99859949999999997</v>
      </c>
      <c r="AB3062">
        <v>25</v>
      </c>
      <c r="AC3062">
        <v>231.5823</v>
      </c>
      <c r="AD3062">
        <v>11.410636999999999</v>
      </c>
      <c r="AE3062">
        <v>-12.637699999999899</v>
      </c>
      <c r="AF3062">
        <v>12.2653693792557</v>
      </c>
      <c r="AG3062">
        <v>11.410636999999999</v>
      </c>
      <c r="AH3062">
        <v>231.04149200210401</v>
      </c>
      <c r="AI3062">
        <v>87.176552717344904</v>
      </c>
      <c r="AJ3062">
        <v>86.961174262812804</v>
      </c>
      <c r="AK3062">
        <v>231.648036791408</v>
      </c>
      <c r="AL3062">
        <v>85.966619146908897</v>
      </c>
      <c r="AM3062">
        <v>88.265855477917498</v>
      </c>
      <c r="AN3062">
        <v>1.00000002178526</v>
      </c>
    </row>
    <row r="3063" spans="1:40" x14ac:dyDescent="0.25">
      <c r="A3063" t="str">
        <f>"20190312151046575"</f>
        <v>20190312151046575</v>
      </c>
      <c r="B3063" t="str">
        <f>"1552374646563982"</f>
        <v>1552374646563982</v>
      </c>
      <c r="C3063" t="s">
        <v>40</v>
      </c>
      <c r="D3063">
        <v>5.4379939999999998</v>
      </c>
      <c r="E3063">
        <v>0.50860360000000004</v>
      </c>
      <c r="F3063" t="s">
        <v>69</v>
      </c>
      <c r="G3063">
        <v>-168.41640000000001</v>
      </c>
      <c r="H3063">
        <v>12.419460000000001</v>
      </c>
      <c r="I3063">
        <v>201.1121</v>
      </c>
      <c r="J3063">
        <v>-399.72989999999999</v>
      </c>
      <c r="K3063">
        <v>1.110187</v>
      </c>
      <c r="L3063">
        <v>213.71100000000001</v>
      </c>
      <c r="M3063">
        <v>0.99995000000000001</v>
      </c>
      <c r="N3063">
        <v>0</v>
      </c>
      <c r="O3063">
        <v>-9.6778249999999999E-4</v>
      </c>
      <c r="P3063">
        <v>0.99771430000000005</v>
      </c>
      <c r="Q3063">
        <v>5.9888940000000002E-2</v>
      </c>
      <c r="R3063">
        <v>-3.1305510000000002E-2</v>
      </c>
      <c r="S3063">
        <v>2.9929809999999999</v>
      </c>
      <c r="T3063">
        <v>0.14616170000000001</v>
      </c>
      <c r="U3063">
        <v>-0.16282650000000001</v>
      </c>
      <c r="V3063">
        <v>3.0286649999999998E-2</v>
      </c>
      <c r="W3063">
        <v>6.9847729999999997E-2</v>
      </c>
      <c r="X3063">
        <v>0.99709780000000003</v>
      </c>
      <c r="Y3063">
        <v>5.3293880000000002E-2</v>
      </c>
      <c r="Z3063">
        <v>1.252364E-3</v>
      </c>
      <c r="AA3063">
        <v>0.99857810000000002</v>
      </c>
      <c r="AB3063">
        <v>25</v>
      </c>
      <c r="AC3063">
        <v>231.3135</v>
      </c>
      <c r="AD3063">
        <v>11.309272999999999</v>
      </c>
      <c r="AE3063">
        <v>-12.598899999999899</v>
      </c>
      <c r="AF3063">
        <v>12.3455984381341</v>
      </c>
      <c r="AG3063">
        <v>11.309272999999999</v>
      </c>
      <c r="AH3063">
        <v>230.775575025112</v>
      </c>
      <c r="AI3063">
        <v>87.198435540736796</v>
      </c>
      <c r="AJ3063">
        <v>86.937816887237503</v>
      </c>
      <c r="AK3063">
        <v>231.38210709723299</v>
      </c>
      <c r="AL3063">
        <v>85.994758635901803</v>
      </c>
      <c r="AM3063">
        <v>88.260186876867905</v>
      </c>
      <c r="AN3063">
        <v>1.0000000046596</v>
      </c>
    </row>
    <row r="3064" spans="1:40" x14ac:dyDescent="0.25">
      <c r="A3064" t="str">
        <f>"20190312151046598"</f>
        <v>20190312151046598</v>
      </c>
      <c r="B3064" t="str">
        <f>"1552374646594237"</f>
        <v>1552374646594237</v>
      </c>
      <c r="C3064" t="s">
        <v>40</v>
      </c>
      <c r="D3064">
        <v>5.4502540000000002</v>
      </c>
      <c r="E3064">
        <v>0.50867680000000004</v>
      </c>
      <c r="F3064" t="s">
        <v>69</v>
      </c>
      <c r="G3064">
        <v>-168.41630000000001</v>
      </c>
      <c r="H3064">
        <v>12.337820000000001</v>
      </c>
      <c r="I3064">
        <v>201.17320000000001</v>
      </c>
      <c r="J3064">
        <v>-399.47770000000003</v>
      </c>
      <c r="K3064">
        <v>1.110168</v>
      </c>
      <c r="L3064">
        <v>213.71129999999999</v>
      </c>
      <c r="M3064">
        <v>0.99995140000000005</v>
      </c>
      <c r="N3064">
        <v>0</v>
      </c>
      <c r="O3064">
        <v>-4.8771170000000001E-4</v>
      </c>
      <c r="P3064">
        <v>0.99774929999999995</v>
      </c>
      <c r="Q3064">
        <v>5.9514909999999997E-2</v>
      </c>
      <c r="R3064">
        <v>-3.089515E-2</v>
      </c>
      <c r="S3064">
        <v>2.9930729999999999</v>
      </c>
      <c r="T3064">
        <v>0.14527989999999999</v>
      </c>
      <c r="U3064">
        <v>-0.1622314</v>
      </c>
      <c r="V3064">
        <v>3.0355699999999999E-2</v>
      </c>
      <c r="W3064">
        <v>6.9365369999999996E-2</v>
      </c>
      <c r="X3064">
        <v>0.99712940000000005</v>
      </c>
      <c r="Y3064">
        <v>5.3573530000000001E-2</v>
      </c>
      <c r="Z3064">
        <v>1.2748359999999999E-3</v>
      </c>
      <c r="AA3064">
        <v>0.99856310000000004</v>
      </c>
      <c r="AB3064">
        <v>25</v>
      </c>
      <c r="AC3064">
        <v>231.06139999999999</v>
      </c>
      <c r="AD3064">
        <v>11.227652000000001</v>
      </c>
      <c r="AE3064">
        <v>-12.538099999999901</v>
      </c>
      <c r="AF3064">
        <v>12.3962183289443</v>
      </c>
      <c r="AG3064">
        <v>11.227652000000001</v>
      </c>
      <c r="AH3064">
        <v>230.524782801649</v>
      </c>
      <c r="AI3064">
        <v>87.215643203440806</v>
      </c>
      <c r="AJ3064">
        <v>86.921946639484005</v>
      </c>
      <c r="AK3064">
        <v>231.13070303194101</v>
      </c>
      <c r="AL3064">
        <v>86.022463132390698</v>
      </c>
      <c r="AM3064">
        <v>88.256277981613295</v>
      </c>
      <c r="AN3064">
        <v>1.00000003171104</v>
      </c>
    </row>
    <row r="3065" spans="1:40" x14ac:dyDescent="0.25">
      <c r="A3065" t="str">
        <f>"20190312151046618"</f>
        <v>20190312151046618</v>
      </c>
      <c r="B3065" t="str">
        <f>"1552374646613758"</f>
        <v>1552374646613758</v>
      </c>
      <c r="C3065" t="s">
        <v>40</v>
      </c>
      <c r="D3065">
        <v>5.3375690000000002</v>
      </c>
      <c r="E3065">
        <v>0.50913660000000005</v>
      </c>
      <c r="F3065" t="s">
        <v>69</v>
      </c>
      <c r="G3065">
        <v>-168.41630000000001</v>
      </c>
      <c r="H3065">
        <v>12.179779999999999</v>
      </c>
      <c r="I3065">
        <v>201.2432</v>
      </c>
      <c r="J3065">
        <v>-399.23950000000002</v>
      </c>
      <c r="K3065">
        <v>1.1101529999999999</v>
      </c>
      <c r="L3065">
        <v>213.7116</v>
      </c>
      <c r="M3065">
        <v>0.99995259999999997</v>
      </c>
      <c r="N3065">
        <v>0</v>
      </c>
      <c r="O3065" s="1">
        <v>-3.459902E-5</v>
      </c>
      <c r="P3065">
        <v>0.99776770000000004</v>
      </c>
      <c r="Q3065">
        <v>5.9398550000000001E-2</v>
      </c>
      <c r="R3065">
        <v>-3.0522029999999999E-2</v>
      </c>
      <c r="S3065">
        <v>2.9932249999999998</v>
      </c>
      <c r="T3065">
        <v>0.1433989</v>
      </c>
      <c r="U3065">
        <v>-0.161514299999999</v>
      </c>
      <c r="V3065">
        <v>3.043467E-2</v>
      </c>
      <c r="W3065">
        <v>6.9144650000000002E-2</v>
      </c>
      <c r="X3065">
        <v>0.99714230000000004</v>
      </c>
      <c r="Y3065">
        <v>5.3785550000000001E-2</v>
      </c>
      <c r="Z3065">
        <v>1.285046E-3</v>
      </c>
      <c r="AA3065">
        <v>0.99855170000000004</v>
      </c>
      <c r="AB3065">
        <v>25</v>
      </c>
      <c r="AC3065">
        <v>230.82320000000001</v>
      </c>
      <c r="AD3065">
        <v>11.069627000000001</v>
      </c>
      <c r="AE3065">
        <v>-12.468400000000001</v>
      </c>
      <c r="AF3065">
        <v>12.4319045293218</v>
      </c>
      <c r="AG3065">
        <v>11.069627000000001</v>
      </c>
      <c r="AH3065">
        <v>230.29551787902599</v>
      </c>
      <c r="AI3065">
        <v>87.252073582589205</v>
      </c>
      <c r="AJ3065">
        <v>86.910035529474101</v>
      </c>
      <c r="AK3065">
        <v>230.89632835390401</v>
      </c>
      <c r="AL3065">
        <v>86.035139803734893</v>
      </c>
      <c r="AM3065">
        <v>88.251767123621406</v>
      </c>
      <c r="AN3065">
        <v>1.0000000091054599</v>
      </c>
    </row>
    <row r="3066" spans="1:40" x14ac:dyDescent="0.25">
      <c r="A3066" t="str">
        <f>"20190312151046642"</f>
        <v>20190312151046642</v>
      </c>
      <c r="B3066" t="str">
        <f>"1552374646634254"</f>
        <v>1552374646634254</v>
      </c>
      <c r="C3066" t="s">
        <v>40</v>
      </c>
      <c r="D3066">
        <v>5.9369959999999997</v>
      </c>
      <c r="E3066">
        <v>0.50977119999999998</v>
      </c>
      <c r="F3066" t="s">
        <v>69</v>
      </c>
      <c r="G3066">
        <v>-168.41640000000001</v>
      </c>
      <c r="H3066">
        <v>12.32394</v>
      </c>
      <c r="I3066">
        <v>201.05099999999999</v>
      </c>
      <c r="J3066">
        <v>-398.97199999999998</v>
      </c>
      <c r="K3066">
        <v>1.110141</v>
      </c>
      <c r="L3066">
        <v>213.7122</v>
      </c>
      <c r="M3066">
        <v>0.99995369999999995</v>
      </c>
      <c r="N3066">
        <v>0</v>
      </c>
      <c r="O3066">
        <v>4.744668E-4</v>
      </c>
      <c r="P3066">
        <v>0.99780089999999999</v>
      </c>
      <c r="Q3066">
        <v>5.9008659999999998E-2</v>
      </c>
      <c r="R3066">
        <v>-3.0195860000000001E-2</v>
      </c>
      <c r="S3066">
        <v>2.9930729999999999</v>
      </c>
      <c r="T3066">
        <v>0.14540899999999901</v>
      </c>
      <c r="U3066">
        <v>-0.16416929999999999</v>
      </c>
      <c r="V3066">
        <v>3.061651E-2</v>
      </c>
      <c r="W3066">
        <v>6.8638969999999994E-2</v>
      </c>
      <c r="X3066">
        <v>0.99717160000000005</v>
      </c>
      <c r="Y3066">
        <v>5.5175769999999999E-2</v>
      </c>
      <c r="Z3066">
        <v>1.3614969999999999E-3</v>
      </c>
      <c r="AA3066">
        <v>0.99847569999999997</v>
      </c>
      <c r="AB3066">
        <v>26</v>
      </c>
      <c r="AC3066">
        <v>230.5556</v>
      </c>
      <c r="AD3066">
        <v>11.2137989999999</v>
      </c>
      <c r="AE3066">
        <v>-12.661199999999999</v>
      </c>
      <c r="AF3066">
        <v>12.740545299734199</v>
      </c>
      <c r="AG3066">
        <v>11.2137989999999</v>
      </c>
      <c r="AH3066">
        <v>230.00708158028999</v>
      </c>
      <c r="AI3066">
        <v>87.213068790570702</v>
      </c>
      <c r="AJ3066">
        <v>86.829513902998798</v>
      </c>
      <c r="AK3066">
        <v>230.63245296278001</v>
      </c>
      <c r="AL3066">
        <v>86.064181859259094</v>
      </c>
      <c r="AM3066">
        <v>88.241380025917707</v>
      </c>
      <c r="AN3066">
        <v>0.99999993936689802</v>
      </c>
    </row>
    <row r="3067" spans="1:40" x14ac:dyDescent="0.25">
      <c r="A3067" t="str">
        <f>"20190312151046665"</f>
        <v>20190312151046665</v>
      </c>
      <c r="B3067" t="str">
        <f>"1552374646653774"</f>
        <v>1552374646653774</v>
      </c>
      <c r="C3067" t="s">
        <v>40</v>
      </c>
      <c r="D3067">
        <v>5.3343339999999904</v>
      </c>
      <c r="E3067">
        <v>0.51026210000000005</v>
      </c>
      <c r="F3067" t="s">
        <v>69</v>
      </c>
      <c r="G3067">
        <v>-168.41650000000001</v>
      </c>
      <c r="H3067">
        <v>12.40218</v>
      </c>
      <c r="I3067">
        <v>200.75729999999999</v>
      </c>
      <c r="J3067">
        <v>-398.71080000000001</v>
      </c>
      <c r="K3067">
        <v>1.110128</v>
      </c>
      <c r="L3067">
        <v>213.71289999999999</v>
      </c>
      <c r="M3067">
        <v>0.99995420000000002</v>
      </c>
      <c r="N3067">
        <v>0</v>
      </c>
      <c r="O3067">
        <v>9.7222750000000005E-4</v>
      </c>
      <c r="P3067">
        <v>0.99780670000000005</v>
      </c>
      <c r="Q3067">
        <v>5.8927199999999902E-2</v>
      </c>
      <c r="R3067">
        <v>-3.0160570000000001E-2</v>
      </c>
      <c r="S3067">
        <v>2.9928279999999998</v>
      </c>
      <c r="T3067">
        <v>0.14658180000000001</v>
      </c>
      <c r="U3067">
        <v>-0.16816710000000001</v>
      </c>
      <c r="V3067">
        <v>3.1077879999999999E-2</v>
      </c>
      <c r="W3067">
        <v>6.84506E-2</v>
      </c>
      <c r="X3067">
        <v>0.99717029999999995</v>
      </c>
      <c r="Y3067">
        <v>5.700297E-2</v>
      </c>
      <c r="Z3067">
        <v>1.441557E-3</v>
      </c>
      <c r="AA3067">
        <v>0.99837299999999995</v>
      </c>
      <c r="AB3067">
        <v>26</v>
      </c>
      <c r="AC3067">
        <v>230.29429999999999</v>
      </c>
      <c r="AD3067">
        <v>11.292052</v>
      </c>
      <c r="AE3067">
        <v>-12.9556</v>
      </c>
      <c r="AF3067">
        <v>13.1479911661808</v>
      </c>
      <c r="AG3067">
        <v>11.292052</v>
      </c>
      <c r="AH3067">
        <v>229.731006860918</v>
      </c>
      <c r="AI3067">
        <v>87.190574469223904</v>
      </c>
      <c r="AJ3067">
        <v>86.724414708040896</v>
      </c>
      <c r="AK3067">
        <v>230.383844102419</v>
      </c>
      <c r="AL3067">
        <v>86.075000203833497</v>
      </c>
      <c r="AM3067">
        <v>88.214893511494296</v>
      </c>
      <c r="AN3067">
        <v>0.99999996323387097</v>
      </c>
    </row>
    <row r="3068" spans="1:40" x14ac:dyDescent="0.25">
      <c r="A3068" t="str">
        <f>"20190312151046686"</f>
        <v>20190312151046686</v>
      </c>
      <c r="B3068" t="str">
        <f>"1552374646684030"</f>
        <v>1552374646684030</v>
      </c>
      <c r="C3068" t="s">
        <v>40</v>
      </c>
      <c r="D3068">
        <v>5.336468</v>
      </c>
      <c r="E3068">
        <v>0.51110900000000004</v>
      </c>
      <c r="F3068" t="s">
        <v>69</v>
      </c>
      <c r="G3068">
        <v>-168.41659999999999</v>
      </c>
      <c r="H3068">
        <v>12.587910000000001</v>
      </c>
      <c r="I3068">
        <v>200.47810000000001</v>
      </c>
      <c r="J3068">
        <v>-398.46129999999999</v>
      </c>
      <c r="K3068">
        <v>1.110115</v>
      </c>
      <c r="L3068">
        <v>213.71360000000001</v>
      </c>
      <c r="M3068">
        <v>0.99995460000000003</v>
      </c>
      <c r="N3068">
        <v>0</v>
      </c>
      <c r="O3068">
        <v>1.446971E-3</v>
      </c>
      <c r="P3068">
        <v>0.99780389999999997</v>
      </c>
      <c r="Q3068">
        <v>5.8968390000000002E-2</v>
      </c>
      <c r="R3068">
        <v>-3.017032E-2</v>
      </c>
      <c r="S3068">
        <v>2.9926149999999998</v>
      </c>
      <c r="T3068">
        <v>0.14915129999999999</v>
      </c>
      <c r="U3068">
        <v>-0.17198179999999999</v>
      </c>
      <c r="V3068">
        <v>3.1561260000000001E-2</v>
      </c>
      <c r="W3068">
        <v>6.8386379999999997E-2</v>
      </c>
      <c r="X3068">
        <v>0.99715949999999998</v>
      </c>
      <c r="Y3068">
        <v>5.8744200000000003E-2</v>
      </c>
      <c r="Z3068">
        <v>1.5338050000000001E-3</v>
      </c>
      <c r="AA3068">
        <v>0.99827189999999999</v>
      </c>
      <c r="AB3068">
        <v>26</v>
      </c>
      <c r="AC3068">
        <v>230.04470000000001</v>
      </c>
      <c r="AD3068">
        <v>11.477795</v>
      </c>
      <c r="AE3068">
        <v>-13.2355</v>
      </c>
      <c r="AF3068">
        <v>13.534786755402299</v>
      </c>
      <c r="AG3068">
        <v>11.477795</v>
      </c>
      <c r="AH3068">
        <v>229.455986680688</v>
      </c>
      <c r="AI3068">
        <v>87.141311130069397</v>
      </c>
      <c r="AJ3068">
        <v>86.624238775891797</v>
      </c>
      <c r="AK3068">
        <v>230.14121763426999</v>
      </c>
      <c r="AL3068">
        <v>86.078688287289594</v>
      </c>
      <c r="AM3068">
        <v>88.187127035927205</v>
      </c>
      <c r="AN3068">
        <v>0.99999993927126896</v>
      </c>
    </row>
    <row r="3069" spans="1:40" x14ac:dyDescent="0.25">
      <c r="A3069" t="str">
        <f>"20190312151046708"</f>
        <v>20190312151046708</v>
      </c>
      <c r="B3069" t="str">
        <f>"1552374646703550"</f>
        <v>1552374646703550</v>
      </c>
      <c r="C3069" t="s">
        <v>40</v>
      </c>
      <c r="D3069">
        <v>5.3392429999999997</v>
      </c>
      <c r="E3069">
        <v>0.51153179999999998</v>
      </c>
      <c r="F3069" t="s">
        <v>69</v>
      </c>
      <c r="G3069">
        <v>-168.4169</v>
      </c>
      <c r="H3069">
        <v>12.861649999999999</v>
      </c>
      <c r="I3069">
        <v>199.96100000000001</v>
      </c>
      <c r="J3069">
        <v>-398.20339999999999</v>
      </c>
      <c r="K3069">
        <v>1.110096</v>
      </c>
      <c r="L3069">
        <v>213.71459999999999</v>
      </c>
      <c r="M3069">
        <v>0.99995500000000004</v>
      </c>
      <c r="N3069">
        <v>0</v>
      </c>
      <c r="O3069">
        <v>1.938038E-3</v>
      </c>
      <c r="P3069">
        <v>0.99782510000000002</v>
      </c>
      <c r="Q3069">
        <v>5.8619169999999998E-2</v>
      </c>
      <c r="R3069">
        <v>-3.0148979999999999E-2</v>
      </c>
      <c r="S3069">
        <v>2.9921570000000002</v>
      </c>
      <c r="T3069">
        <v>0.15285099999999999</v>
      </c>
      <c r="U3069">
        <v>-0.17887879999999901</v>
      </c>
      <c r="V3069">
        <v>3.2029769999999999E-2</v>
      </c>
      <c r="W3069">
        <v>6.7917790000000006E-2</v>
      </c>
      <c r="X3069">
        <v>0.99717659999999997</v>
      </c>
      <c r="Y3069">
        <v>6.1528100000000002E-2</v>
      </c>
      <c r="Z3069">
        <v>1.667981E-3</v>
      </c>
      <c r="AA3069">
        <v>0.99810399999999999</v>
      </c>
      <c r="AB3069">
        <v>26</v>
      </c>
      <c r="AC3069">
        <v>229.78649999999999</v>
      </c>
      <c r="AD3069">
        <v>11.751554</v>
      </c>
      <c r="AE3069">
        <v>-13.7536</v>
      </c>
      <c r="AF3069">
        <v>14.1620209173585</v>
      </c>
      <c r="AG3069">
        <v>11.751554</v>
      </c>
      <c r="AH3069">
        <v>229.162196205226</v>
      </c>
      <c r="AI3069">
        <v>87.069994641073805</v>
      </c>
      <c r="AJ3069">
        <v>86.4636688605122</v>
      </c>
      <c r="AK3069">
        <v>229.89992176484299</v>
      </c>
      <c r="AL3069">
        <v>86.105599137179794</v>
      </c>
      <c r="AM3069">
        <v>88.160265794055903</v>
      </c>
      <c r="AN3069">
        <v>0.99999995197614699</v>
      </c>
    </row>
    <row r="3070" spans="1:40" x14ac:dyDescent="0.25">
      <c r="A3070" t="str">
        <f>"20190312151046730"</f>
        <v>20190312151046730</v>
      </c>
      <c r="B3070" t="str">
        <f>"1552374646724046"</f>
        <v>1552374646724046</v>
      </c>
      <c r="C3070" t="s">
        <v>40</v>
      </c>
      <c r="D3070">
        <v>5.3352559999999896</v>
      </c>
      <c r="E3070">
        <v>0.51177539999999999</v>
      </c>
      <c r="F3070" t="s">
        <v>69</v>
      </c>
      <c r="G3070">
        <v>-168.417</v>
      </c>
      <c r="H3070">
        <v>12.9145</v>
      </c>
      <c r="I3070">
        <v>199.71870000000001</v>
      </c>
      <c r="J3070">
        <v>-397.95389999999998</v>
      </c>
      <c r="K3070">
        <v>1.110077</v>
      </c>
      <c r="L3070">
        <v>213.71549999999999</v>
      </c>
      <c r="M3070">
        <v>0.99995509999999999</v>
      </c>
      <c r="N3070">
        <v>0</v>
      </c>
      <c r="O3070">
        <v>2.4132379999999998E-3</v>
      </c>
      <c r="P3070">
        <v>0.99783109999999997</v>
      </c>
      <c r="Q3070">
        <v>5.8371190000000003E-2</v>
      </c>
      <c r="R3070">
        <v>-3.04333E-2</v>
      </c>
      <c r="S3070">
        <v>2.9919739999999999</v>
      </c>
      <c r="T3070">
        <v>0.1537017</v>
      </c>
      <c r="U3070">
        <v>-0.1822357</v>
      </c>
      <c r="V3070">
        <v>3.2788400000000002E-2</v>
      </c>
      <c r="W3070">
        <v>6.7552420000000002E-2</v>
      </c>
      <c r="X3070">
        <v>0.99717679999999997</v>
      </c>
      <c r="Y3070">
        <v>6.3118140000000003E-2</v>
      </c>
      <c r="Z3070">
        <v>1.7424490000000001E-3</v>
      </c>
      <c r="AA3070">
        <v>0.99800460000000002</v>
      </c>
      <c r="AB3070">
        <v>26</v>
      </c>
      <c r="AC3070">
        <v>229.5369</v>
      </c>
      <c r="AD3070">
        <v>11.804423</v>
      </c>
      <c r="AE3070">
        <v>-13.996799999999901</v>
      </c>
      <c r="AF3070">
        <v>14.512470013485199</v>
      </c>
      <c r="AG3070">
        <v>11.804423</v>
      </c>
      <c r="AH3070">
        <v>228.89931393807399</v>
      </c>
      <c r="AI3070">
        <v>87.053755626774901</v>
      </c>
      <c r="AJ3070">
        <v>86.372239759823302</v>
      </c>
      <c r="AK3070">
        <v>229.662474317369</v>
      </c>
      <c r="AL3070">
        <v>86.126581632305999</v>
      </c>
      <c r="AM3070">
        <v>88.116722801249793</v>
      </c>
      <c r="AN3070">
        <v>0.99999998954032798</v>
      </c>
    </row>
    <row r="3071" spans="1:40" x14ac:dyDescent="0.25">
      <c r="A3071" t="str">
        <f>"20190312151046752"</f>
        <v>20190312151046752</v>
      </c>
      <c r="B3071" t="str">
        <f>"1552374646743566"</f>
        <v>1552374646743566</v>
      </c>
      <c r="C3071" t="s">
        <v>40</v>
      </c>
      <c r="D3071">
        <v>5.3381169999999996</v>
      </c>
      <c r="E3071">
        <v>0.5122293</v>
      </c>
      <c r="F3071" t="s">
        <v>69</v>
      </c>
      <c r="G3071">
        <v>-168.4171</v>
      </c>
      <c r="H3071">
        <v>12.884370000000001</v>
      </c>
      <c r="I3071">
        <v>199.52029999999999</v>
      </c>
      <c r="J3071">
        <v>-397.70249999999999</v>
      </c>
      <c r="K3071">
        <v>1.110066</v>
      </c>
      <c r="L3071">
        <v>213.7167</v>
      </c>
      <c r="M3071">
        <v>0.99995480000000003</v>
      </c>
      <c r="N3071">
        <v>0</v>
      </c>
      <c r="O3071">
        <v>2.8914190000000001E-3</v>
      </c>
      <c r="P3071">
        <v>0.99782680000000001</v>
      </c>
      <c r="Q3071">
        <v>5.8418339999999999E-2</v>
      </c>
      <c r="R3071">
        <v>-3.0481279999999999E-2</v>
      </c>
      <c r="S3071">
        <v>2.9919129999999998</v>
      </c>
      <c r="T3071">
        <v>0.15347330000000001</v>
      </c>
      <c r="U3071">
        <v>-0.1850281</v>
      </c>
      <c r="V3071">
        <v>3.331336E-2</v>
      </c>
      <c r="W3071">
        <v>6.7480559999999995E-2</v>
      </c>
      <c r="X3071">
        <v>0.99716419999999995</v>
      </c>
      <c r="Y3071">
        <v>6.4522300000000005E-2</v>
      </c>
      <c r="Z3071">
        <v>1.8002960000000001E-3</v>
      </c>
      <c r="AA3071">
        <v>0.99791459999999998</v>
      </c>
      <c r="AB3071">
        <v>26</v>
      </c>
      <c r="AC3071">
        <v>229.28540000000001</v>
      </c>
      <c r="AD3071">
        <v>11.7743039999999</v>
      </c>
      <c r="AE3071">
        <v>-14.196400000000001</v>
      </c>
      <c r="AF3071">
        <v>14.820395198990701</v>
      </c>
      <c r="AG3071">
        <v>11.7743039999999</v>
      </c>
      <c r="AH3071">
        <v>228.642753208248</v>
      </c>
      <c r="AI3071">
        <v>87.058233859581705</v>
      </c>
      <c r="AJ3071">
        <v>86.291332908203501</v>
      </c>
      <c r="AK3071">
        <v>229.42490480151901</v>
      </c>
      <c r="AL3071">
        <v>86.130708068947996</v>
      </c>
      <c r="AM3071">
        <v>88.086568592915</v>
      </c>
      <c r="AN3071">
        <v>0.99999992384701797</v>
      </c>
    </row>
    <row r="3072" spans="1:40" x14ac:dyDescent="0.25">
      <c r="A3072" t="str">
        <f>"20190312151046776"</f>
        <v>20190312151046776</v>
      </c>
      <c r="B3072" t="str">
        <f>"1552374646773822"</f>
        <v>1552374646773822</v>
      </c>
      <c r="C3072" t="s">
        <v>40</v>
      </c>
      <c r="D3072">
        <v>5.2292069999999997</v>
      </c>
      <c r="E3072">
        <v>0.51251040000000003</v>
      </c>
      <c r="F3072" t="s">
        <v>69</v>
      </c>
      <c r="G3072">
        <v>-168.41720000000001</v>
      </c>
      <c r="H3072">
        <v>12.95884</v>
      </c>
      <c r="I3072">
        <v>199.25450000000001</v>
      </c>
      <c r="J3072">
        <v>-397.42610000000002</v>
      </c>
      <c r="K3072">
        <v>1.1100540000000001</v>
      </c>
      <c r="L3072">
        <v>213.71799999999999</v>
      </c>
      <c r="M3072">
        <v>0.99995429999999996</v>
      </c>
      <c r="N3072">
        <v>0</v>
      </c>
      <c r="O3072">
        <v>3.4176139999999998E-3</v>
      </c>
      <c r="P3072">
        <v>0.9978243</v>
      </c>
      <c r="Q3072">
        <v>5.8649E-2</v>
      </c>
      <c r="R3072">
        <v>-3.0118300000000001E-2</v>
      </c>
      <c r="S3072">
        <v>2.9917600000000002</v>
      </c>
      <c r="T3072">
        <v>0.15460550000000001</v>
      </c>
      <c r="U3072">
        <v>-0.1887054</v>
      </c>
      <c r="V3072">
        <v>3.3475049999999999E-2</v>
      </c>
      <c r="W3072">
        <v>6.7581429999999998E-2</v>
      </c>
      <c r="X3072">
        <v>0.99715200000000004</v>
      </c>
      <c r="Y3072">
        <v>6.6267939999999997E-2</v>
      </c>
      <c r="Z3072">
        <v>1.885762E-3</v>
      </c>
      <c r="AA3072">
        <v>0.99780009999999997</v>
      </c>
      <c r="AB3072">
        <v>26</v>
      </c>
      <c r="AC3072">
        <v>229.00890000000001</v>
      </c>
      <c r="AD3072">
        <v>11.848786</v>
      </c>
      <c r="AE3072">
        <v>-14.4634999999999</v>
      </c>
      <c r="AF3072">
        <v>15.2055676642153</v>
      </c>
      <c r="AG3072">
        <v>11.848786</v>
      </c>
      <c r="AH3072">
        <v>228.349275001226</v>
      </c>
      <c r="AI3072">
        <v>87.036202524983295</v>
      </c>
      <c r="AJ3072">
        <v>86.190351026280098</v>
      </c>
      <c r="AK3072">
        <v>229.16150289970301</v>
      </c>
      <c r="AL3072">
        <v>86.124915598278093</v>
      </c>
      <c r="AM3072">
        <v>88.077264993777803</v>
      </c>
      <c r="AN3072">
        <v>0.99999996987867301</v>
      </c>
    </row>
    <row r="3073" spans="1:40" x14ac:dyDescent="0.25">
      <c r="A3073" t="str">
        <f>"20190312151046799"</f>
        <v>20190312151046799</v>
      </c>
      <c r="B3073" t="str">
        <f>"1552374646794318"</f>
        <v>1552374646794318</v>
      </c>
      <c r="C3073" t="s">
        <v>40</v>
      </c>
      <c r="D3073">
        <v>5.2067430000000003</v>
      </c>
      <c r="E3073">
        <v>0.52413449999999995</v>
      </c>
      <c r="F3073" t="s">
        <v>69</v>
      </c>
      <c r="G3073">
        <v>-168.41730000000001</v>
      </c>
      <c r="H3073">
        <v>13.25057</v>
      </c>
      <c r="I3073">
        <v>199.17500000000001</v>
      </c>
      <c r="J3073">
        <v>-397.16890000000001</v>
      </c>
      <c r="K3073">
        <v>1.110044</v>
      </c>
      <c r="L3073">
        <v>213.71950000000001</v>
      </c>
      <c r="M3073">
        <v>0.9999536</v>
      </c>
      <c r="N3073">
        <v>0</v>
      </c>
      <c r="O3073">
        <v>3.906901E-3</v>
      </c>
      <c r="P3073">
        <v>0.99780579999999996</v>
      </c>
      <c r="Q3073">
        <v>5.9164120000000001E-2</v>
      </c>
      <c r="R3073">
        <v>-2.971789E-2</v>
      </c>
      <c r="S3073">
        <v>2.9914860000000001</v>
      </c>
      <c r="T3073">
        <v>0.15858900000000001</v>
      </c>
      <c r="U3073">
        <v>-0.1899719</v>
      </c>
      <c r="V3073">
        <v>3.3562099999999997E-2</v>
      </c>
      <c r="W3073">
        <v>6.7983429999999997E-2</v>
      </c>
      <c r="X3073">
        <v>0.99712179999999995</v>
      </c>
      <c r="Y3073">
        <v>6.7175840000000001E-2</v>
      </c>
      <c r="Z3073">
        <v>1.9843560000000001E-3</v>
      </c>
      <c r="AA3073">
        <v>0.99773920000000005</v>
      </c>
      <c r="AB3073">
        <v>26</v>
      </c>
      <c r="AC3073">
        <v>228.7516</v>
      </c>
      <c r="AD3073">
        <v>12.140525999999999</v>
      </c>
      <c r="AE3073">
        <v>-14.544499999999999</v>
      </c>
      <c r="AF3073">
        <v>15.394944538031901</v>
      </c>
      <c r="AG3073">
        <v>12.140525999999999</v>
      </c>
      <c r="AH3073">
        <v>228.05324768901801</v>
      </c>
      <c r="AI3073">
        <v>86.959614412751606</v>
      </c>
      <c r="AJ3073">
        <v>86.138054876900696</v>
      </c>
      <c r="AK3073">
        <v>228.894474530065</v>
      </c>
      <c r="AL3073">
        <v>86.101829805298493</v>
      </c>
      <c r="AM3073">
        <v>88.072210454764303</v>
      </c>
      <c r="AN3073">
        <v>1.0000000226731001</v>
      </c>
    </row>
    <row r="3074" spans="1:40" x14ac:dyDescent="0.25">
      <c r="A3074" t="str">
        <f>"20190312151046819"</f>
        <v>20190312151046819</v>
      </c>
      <c r="B3074" t="str">
        <f>"1552374646813838"</f>
        <v>1552374646813838</v>
      </c>
      <c r="C3074" t="s">
        <v>40</v>
      </c>
      <c r="D3074">
        <v>9.3679950000000005</v>
      </c>
      <c r="E3074">
        <v>0.52528140000000001</v>
      </c>
      <c r="F3074" t="s">
        <v>69</v>
      </c>
      <c r="G3074">
        <v>-168.4254</v>
      </c>
      <c r="H3074">
        <v>30.379529999999999</v>
      </c>
      <c r="I3074">
        <v>191.98150000000001</v>
      </c>
      <c r="J3074">
        <v>-396.91719999999998</v>
      </c>
      <c r="K3074">
        <v>1.110033</v>
      </c>
      <c r="L3074">
        <v>213.721</v>
      </c>
      <c r="M3074">
        <v>0.99995239999999996</v>
      </c>
      <c r="N3074">
        <v>0</v>
      </c>
      <c r="O3074">
        <v>4.3861159999999998E-3</v>
      </c>
      <c r="P3074">
        <v>0.99778429999999996</v>
      </c>
      <c r="Q3074">
        <v>5.9812410000000003E-2</v>
      </c>
      <c r="R3074">
        <v>-2.9139379999999999E-2</v>
      </c>
      <c r="S3074">
        <v>2.9755859999999998</v>
      </c>
      <c r="T3074">
        <v>0.38074950000000002</v>
      </c>
      <c r="U3074">
        <v>-0.28277590000000002</v>
      </c>
      <c r="V3074">
        <v>3.346085E-2</v>
      </c>
      <c r="W3074">
        <v>6.8530519999999998E-2</v>
      </c>
      <c r="X3074">
        <v>0.99708770000000002</v>
      </c>
      <c r="Y3074">
        <v>9.8142869999999993E-2</v>
      </c>
      <c r="Z3074">
        <v>6.7974610000000003E-3</v>
      </c>
      <c r="AA3074">
        <v>0.99514910000000001</v>
      </c>
      <c r="AB3074">
        <v>26</v>
      </c>
      <c r="AC3074">
        <v>228.49180000000001</v>
      </c>
      <c r="AD3074">
        <v>29.269497000000001</v>
      </c>
      <c r="AE3074">
        <v>-21.7394999999999</v>
      </c>
      <c r="AF3074">
        <v>22.377614323629899</v>
      </c>
      <c r="AG3074">
        <v>29.269497000000001</v>
      </c>
      <c r="AH3074">
        <v>224.73951837958199</v>
      </c>
      <c r="AI3074">
        <v>82.615819518590499</v>
      </c>
      <c r="AJ3074">
        <v>84.313725299362901</v>
      </c>
      <c r="AK3074">
        <v>227.739570999281</v>
      </c>
      <c r="AL3074">
        <v>86.070410377751301</v>
      </c>
      <c r="AM3074">
        <v>88.077956152036194</v>
      </c>
      <c r="AN3074">
        <v>0.99999997107274097</v>
      </c>
    </row>
    <row r="3075" spans="1:40" x14ac:dyDescent="0.25">
      <c r="A3075" t="str">
        <f>"20190312151046842"</f>
        <v>20190312151046842</v>
      </c>
      <c r="B3075" t="str">
        <f>"1552374646834333"</f>
        <v>1552374646834333</v>
      </c>
      <c r="C3075" t="s">
        <v>40</v>
      </c>
      <c r="D3075">
        <v>5.2255549999999999</v>
      </c>
      <c r="E3075">
        <v>0.52508650000000001</v>
      </c>
      <c r="F3075" t="s">
        <v>69</v>
      </c>
      <c r="G3075">
        <v>-168.42599999999999</v>
      </c>
      <c r="H3075">
        <v>31.653490000000001</v>
      </c>
      <c r="I3075">
        <v>191.4281</v>
      </c>
      <c r="J3075">
        <v>-396.6515</v>
      </c>
      <c r="K3075">
        <v>1.1100239999999999</v>
      </c>
      <c r="L3075">
        <v>213.7227</v>
      </c>
      <c r="M3075">
        <v>0.99995089999999998</v>
      </c>
      <c r="N3075">
        <v>0</v>
      </c>
      <c r="O3075">
        <v>4.8911190000000002E-3</v>
      </c>
      <c r="P3075">
        <v>0.99776069999999994</v>
      </c>
      <c r="Q3075">
        <v>6.0411329999999999E-2</v>
      </c>
      <c r="R3075">
        <v>-2.870667E-2</v>
      </c>
      <c r="S3075">
        <v>2.974335</v>
      </c>
      <c r="T3075">
        <v>0.39759299999999997</v>
      </c>
      <c r="U3075">
        <v>-0.2901917</v>
      </c>
      <c r="V3075">
        <v>3.3531320000000003E-2</v>
      </c>
      <c r="W3075">
        <v>6.9033810000000001E-2</v>
      </c>
      <c r="X3075">
        <v>0.99705060000000001</v>
      </c>
      <c r="Y3075">
        <v>0.10103769999999999</v>
      </c>
      <c r="Z3075">
        <v>7.3569339999999999E-3</v>
      </c>
      <c r="AA3075">
        <v>0.99485539999999995</v>
      </c>
      <c r="AB3075">
        <v>26</v>
      </c>
      <c r="AC3075">
        <v>228.22550000000001</v>
      </c>
      <c r="AD3075">
        <v>30.543465999999999</v>
      </c>
      <c r="AE3075">
        <v>-22.294599999999999</v>
      </c>
      <c r="AF3075">
        <v>23.002559251893601</v>
      </c>
      <c r="AG3075">
        <v>30.543465999999999</v>
      </c>
      <c r="AH3075">
        <v>224.13725079702499</v>
      </c>
      <c r="AI3075">
        <v>82.280085162129396</v>
      </c>
      <c r="AJ3075">
        <v>84.140413714938205</v>
      </c>
      <c r="AK3075">
        <v>227.37530262163199</v>
      </c>
      <c r="AL3075">
        <v>86.041505475239006</v>
      </c>
      <c r="AM3075">
        <v>88.073839674857894</v>
      </c>
      <c r="AN3075">
        <v>0.99999995765220795</v>
      </c>
    </row>
    <row r="3076" spans="1:40" x14ac:dyDescent="0.25">
      <c r="A3076" t="str">
        <f>"20190312151046864"</f>
        <v>20190312151046864</v>
      </c>
      <c r="B3076" t="str">
        <f>"1552374646853853"</f>
        <v>1552374646853853</v>
      </c>
      <c r="C3076" t="s">
        <v>40</v>
      </c>
      <c r="D3076">
        <v>5.237298</v>
      </c>
      <c r="E3076">
        <v>0.52523359999999997</v>
      </c>
      <c r="F3076" t="s">
        <v>69</v>
      </c>
      <c r="G3076">
        <v>-168.42609999999999</v>
      </c>
      <c r="H3076">
        <v>32.44999</v>
      </c>
      <c r="I3076">
        <v>191.66200000000001</v>
      </c>
      <c r="J3076">
        <v>-396.39080000000001</v>
      </c>
      <c r="K3076">
        <v>1.110017</v>
      </c>
      <c r="L3076">
        <v>213.72450000000001</v>
      </c>
      <c r="M3076">
        <v>0.99994910000000004</v>
      </c>
      <c r="N3076">
        <v>0</v>
      </c>
      <c r="O3076">
        <v>5.3866570000000004E-3</v>
      </c>
      <c r="P3076">
        <v>0.99780440000000004</v>
      </c>
      <c r="Q3076">
        <v>6.0024660000000001E-2</v>
      </c>
      <c r="R3076">
        <v>-2.799857E-2</v>
      </c>
      <c r="S3076">
        <v>2.9737239999999998</v>
      </c>
      <c r="T3076">
        <v>0.40835300000000002</v>
      </c>
      <c r="U3076">
        <v>-0.28744509999999901</v>
      </c>
      <c r="V3076">
        <v>3.3317550000000001E-2</v>
      </c>
      <c r="W3076">
        <v>6.8562399999999996E-2</v>
      </c>
      <c r="X3076">
        <v>0.99709029999999998</v>
      </c>
      <c r="Y3076">
        <v>0.1005882</v>
      </c>
      <c r="Z3076">
        <v>7.5930160000000002E-3</v>
      </c>
      <c r="AA3076">
        <v>0.99489919999999998</v>
      </c>
      <c r="AB3076">
        <v>26</v>
      </c>
      <c r="AC3076">
        <v>227.96469999999999</v>
      </c>
      <c r="AD3076">
        <v>31.339972999999901</v>
      </c>
      <c r="AE3076">
        <v>-22.0625</v>
      </c>
      <c r="AF3076">
        <v>22.8621077879898</v>
      </c>
      <c r="AG3076">
        <v>31.339972999999901</v>
      </c>
      <c r="AH3076">
        <v>223.65469426192499</v>
      </c>
      <c r="AI3076">
        <v>82.064097854828802</v>
      </c>
      <c r="AJ3076">
        <v>84.163465806177996</v>
      </c>
      <c r="AK3076">
        <v>226.99403548451599</v>
      </c>
      <c r="AL3076">
        <v>86.068579454359593</v>
      </c>
      <c r="AM3076">
        <v>88.086186381737207</v>
      </c>
      <c r="AN3076">
        <v>0.99999996409292502</v>
      </c>
    </row>
    <row r="3077" spans="1:40" x14ac:dyDescent="0.25">
      <c r="A3077" t="str">
        <f>"20190312151046886"</f>
        <v>20190312151046886</v>
      </c>
      <c r="B3077" t="str">
        <f>"1552374646884110"</f>
        <v>1552374646884110</v>
      </c>
      <c r="C3077" t="s">
        <v>40</v>
      </c>
      <c r="D3077">
        <v>5.2681969999999998</v>
      </c>
      <c r="E3077">
        <v>0.52496949999999998</v>
      </c>
      <c r="F3077" t="s">
        <v>69</v>
      </c>
      <c r="G3077">
        <v>-168.4264</v>
      </c>
      <c r="H3077">
        <v>33.351409999999902</v>
      </c>
      <c r="I3077">
        <v>191.77670000000001</v>
      </c>
      <c r="J3077">
        <v>-396.1343</v>
      </c>
      <c r="K3077">
        <v>1.110009</v>
      </c>
      <c r="L3077">
        <v>213.72640000000001</v>
      </c>
      <c r="M3077">
        <v>0.99994709999999998</v>
      </c>
      <c r="N3077">
        <v>0</v>
      </c>
      <c r="O3077">
        <v>5.8736369999999897E-3</v>
      </c>
      <c r="P3077">
        <v>0.9978359</v>
      </c>
      <c r="Q3077">
        <v>5.9660810000000002E-2</v>
      </c>
      <c r="R3077">
        <v>-2.7647439999999999E-2</v>
      </c>
      <c r="S3077">
        <v>2.973236</v>
      </c>
      <c r="T3077">
        <v>0.4205102</v>
      </c>
      <c r="U3077">
        <v>-0.28625489999999998</v>
      </c>
      <c r="V3077">
        <v>3.3452549999999998E-2</v>
      </c>
      <c r="W3077">
        <v>6.8121879999999996E-2</v>
      </c>
      <c r="X3077">
        <v>0.997116</v>
      </c>
      <c r="Y3077">
        <v>0.10062889999999999</v>
      </c>
      <c r="Z3077">
        <v>7.8895459999999903E-3</v>
      </c>
      <c r="AA3077">
        <v>0.99489280000000002</v>
      </c>
      <c r="AB3077">
        <v>26</v>
      </c>
      <c r="AC3077">
        <v>227.7079</v>
      </c>
      <c r="AD3077">
        <v>32.241401000000003</v>
      </c>
      <c r="AE3077">
        <v>-21.9497</v>
      </c>
      <c r="AF3077">
        <v>22.833294383661801</v>
      </c>
      <c r="AG3077">
        <v>32.241401000000003</v>
      </c>
      <c r="AH3077">
        <v>223.14265776745</v>
      </c>
      <c r="AI3077">
        <v>81.820483453092905</v>
      </c>
      <c r="AJ3077">
        <v>84.157487306807894</v>
      </c>
      <c r="AK3077">
        <v>226.61313507026699</v>
      </c>
      <c r="AL3077">
        <v>86.093878646477904</v>
      </c>
      <c r="AM3077">
        <v>88.078487056384205</v>
      </c>
      <c r="AN3077">
        <v>0.99999999054611799</v>
      </c>
    </row>
    <row r="3078" spans="1:40" x14ac:dyDescent="0.25">
      <c r="A3078" t="str">
        <f>"20190312151046908"</f>
        <v>20190312151046908</v>
      </c>
      <c r="B3078" t="str">
        <f>"1552374646903631"</f>
        <v>1552374646903631</v>
      </c>
      <c r="C3078" t="s">
        <v>40</v>
      </c>
      <c r="D3078">
        <v>5.1917229999999996</v>
      </c>
      <c r="E3078">
        <v>0.52514949999999905</v>
      </c>
      <c r="F3078" t="s">
        <v>69</v>
      </c>
      <c r="G3078">
        <v>-168.42609999999999</v>
      </c>
      <c r="H3078">
        <v>32.515909999999998</v>
      </c>
      <c r="I3078">
        <v>192.04</v>
      </c>
      <c r="J3078">
        <v>-395.87389999999999</v>
      </c>
      <c r="K3078">
        <v>1.110004</v>
      </c>
      <c r="L3078">
        <v>213.7285</v>
      </c>
      <c r="M3078">
        <v>0.99994459999999996</v>
      </c>
      <c r="N3078">
        <v>0</v>
      </c>
      <c r="O3078">
        <v>6.3682319999999997E-3</v>
      </c>
      <c r="P3078">
        <v>0.99787309999999996</v>
      </c>
      <c r="Q3078">
        <v>5.9345009999999997E-2</v>
      </c>
      <c r="R3078">
        <v>-2.6971229999999999E-2</v>
      </c>
      <c r="S3078">
        <v>2.9741209999999998</v>
      </c>
      <c r="T3078">
        <v>0.41019610000000001</v>
      </c>
      <c r="U3078">
        <v>-0.28324890000000003</v>
      </c>
      <c r="V3078">
        <v>3.327024E-2</v>
      </c>
      <c r="W3078">
        <v>6.7732719999999996E-2</v>
      </c>
      <c r="X3078">
        <v>0.99714860000000005</v>
      </c>
      <c r="Y3078">
        <v>0.10014729999999999</v>
      </c>
      <c r="Z3078">
        <v>7.7307369999999997E-3</v>
      </c>
      <c r="AA3078">
        <v>0.99494260000000001</v>
      </c>
      <c r="AB3078">
        <v>26</v>
      </c>
      <c r="AC3078">
        <v>227.4478</v>
      </c>
      <c r="AD3078">
        <v>31.405906000000002</v>
      </c>
      <c r="AE3078">
        <v>-21.688500000000001</v>
      </c>
      <c r="AF3078">
        <v>22.707511569382699</v>
      </c>
      <c r="AG3078">
        <v>31.405906000000002</v>
      </c>
      <c r="AH3078">
        <v>223.08996311759699</v>
      </c>
      <c r="AI3078">
        <v>82.027398498720203</v>
      </c>
      <c r="AJ3078">
        <v>84.188088322546506</v>
      </c>
      <c r="AK3078">
        <v>226.43121175572401</v>
      </c>
      <c r="AL3078">
        <v>86.116227452468195</v>
      </c>
      <c r="AM3078">
        <v>88.089013580339099</v>
      </c>
      <c r="AN3078">
        <v>0.99999998035510795</v>
      </c>
    </row>
    <row r="3079" spans="1:40" x14ac:dyDescent="0.25">
      <c r="A3079" t="str">
        <f>"20190312151046930"</f>
        <v>20190312151046930</v>
      </c>
      <c r="B3079" t="str">
        <f>"1552374646924126"</f>
        <v>1552374646924126</v>
      </c>
      <c r="C3079" t="s">
        <v>40</v>
      </c>
      <c r="D3079">
        <v>5.1792410000000002</v>
      </c>
      <c r="E3079">
        <v>0.52549140000000005</v>
      </c>
      <c r="F3079" t="s">
        <v>69</v>
      </c>
      <c r="G3079">
        <v>-168.42609999999999</v>
      </c>
      <c r="H3079">
        <v>32.761090000000003</v>
      </c>
      <c r="I3079">
        <v>192.1079</v>
      </c>
      <c r="J3079">
        <v>-395.60399999999998</v>
      </c>
      <c r="K3079">
        <v>1.109993</v>
      </c>
      <c r="L3079">
        <v>213.73079999999999</v>
      </c>
      <c r="M3079">
        <v>0.99994190000000005</v>
      </c>
      <c r="N3079">
        <v>0</v>
      </c>
      <c r="O3079">
        <v>6.8801640000000002E-3</v>
      </c>
      <c r="P3079">
        <v>0.99790990000000002</v>
      </c>
      <c r="Q3079">
        <v>5.9189409999999998E-2</v>
      </c>
      <c r="R3079">
        <v>-2.5941849999999999E-2</v>
      </c>
      <c r="S3079">
        <v>2.9741520000000001</v>
      </c>
      <c r="T3079">
        <v>0.41387610000000002</v>
      </c>
      <c r="U3079">
        <v>-0.28271479999999999</v>
      </c>
      <c r="V3079">
        <v>3.2751519999999999E-2</v>
      </c>
      <c r="W3079">
        <v>6.7505309999999999E-2</v>
      </c>
      <c r="X3079">
        <v>0.99718119999999999</v>
      </c>
      <c r="Y3079">
        <v>0.10045279999999999</v>
      </c>
      <c r="Z3079">
        <v>7.8912849999999996E-3</v>
      </c>
      <c r="AA3079">
        <v>0.99491050000000003</v>
      </c>
      <c r="AB3079">
        <v>26</v>
      </c>
      <c r="AC3079">
        <v>227.17789999999999</v>
      </c>
      <c r="AD3079">
        <v>31.651097</v>
      </c>
      <c r="AE3079">
        <v>-21.622899999999898</v>
      </c>
      <c r="AF3079">
        <v>22.747871147860302</v>
      </c>
      <c r="AG3079">
        <v>31.651097</v>
      </c>
      <c r="AH3079">
        <v>222.73900376424601</v>
      </c>
      <c r="AI3079">
        <v>81.953745219748598</v>
      </c>
      <c r="AJ3079">
        <v>84.168718772469205</v>
      </c>
      <c r="AK3079">
        <v>226.12368602371501</v>
      </c>
      <c r="AL3079">
        <v>86.129287003285796</v>
      </c>
      <c r="AM3079">
        <v>88.1188478606215</v>
      </c>
      <c r="AN3079">
        <v>0.99999998728697304</v>
      </c>
    </row>
    <row r="3080" spans="1:40" x14ac:dyDescent="0.25">
      <c r="A3080" t="str">
        <f>"20190312151046953"</f>
        <v>20190312151046953</v>
      </c>
      <c r="B3080" t="str">
        <f>"1552374646943646"</f>
        <v>1552374646943646</v>
      </c>
      <c r="C3080" t="s">
        <v>40</v>
      </c>
      <c r="D3080">
        <v>5.3073540000000001</v>
      </c>
      <c r="E3080">
        <v>0.5258718</v>
      </c>
      <c r="F3080" t="s">
        <v>69</v>
      </c>
      <c r="G3080">
        <v>-168.42619999999999</v>
      </c>
      <c r="H3080">
        <v>32.984490000000001</v>
      </c>
      <c r="I3080">
        <v>192.16380000000001</v>
      </c>
      <c r="J3080">
        <v>-395.33539999999999</v>
      </c>
      <c r="K3080">
        <v>1.109982</v>
      </c>
      <c r="L3080">
        <v>213.73320000000001</v>
      </c>
      <c r="M3080">
        <v>0.99993869999999896</v>
      </c>
      <c r="N3080">
        <v>0</v>
      </c>
      <c r="O3080">
        <v>7.3899450000000002E-3</v>
      </c>
      <c r="P3080">
        <v>0.99795789999999995</v>
      </c>
      <c r="Q3080">
        <v>5.8736490000000002E-2</v>
      </c>
      <c r="R3080">
        <v>-2.510302E-2</v>
      </c>
      <c r="S3080">
        <v>2.9741520000000001</v>
      </c>
      <c r="T3080">
        <v>0.41729280000000002</v>
      </c>
      <c r="U3080">
        <v>-0.28234860000000001</v>
      </c>
      <c r="V3080">
        <v>3.2421770000000003E-2</v>
      </c>
      <c r="W3080">
        <v>6.698055E-2</v>
      </c>
      <c r="X3080">
        <v>0.99722739999999999</v>
      </c>
      <c r="Y3080">
        <v>0.10081320000000001</v>
      </c>
      <c r="Z3080">
        <v>8.0519900000000002E-3</v>
      </c>
      <c r="AA3080">
        <v>0.9948728</v>
      </c>
      <c r="AB3080">
        <v>26</v>
      </c>
      <c r="AC3080">
        <v>226.9092</v>
      </c>
      <c r="AD3080">
        <v>31.874507999999999</v>
      </c>
      <c r="AE3080">
        <v>-21.569400000000002</v>
      </c>
      <c r="AF3080">
        <v>22.7998447173957</v>
      </c>
      <c r="AG3080">
        <v>31.874507999999999</v>
      </c>
      <c r="AH3080">
        <v>222.39449363788799</v>
      </c>
      <c r="AI3080">
        <v>81.885635399277803</v>
      </c>
      <c r="AJ3080">
        <v>84.146496896465706</v>
      </c>
      <c r="AK3080">
        <v>225.82100872113699</v>
      </c>
      <c r="AL3080">
        <v>86.159421893239895</v>
      </c>
      <c r="AM3080">
        <v>88.137860552350105</v>
      </c>
      <c r="AN3080">
        <v>1.0000000262794899</v>
      </c>
    </row>
    <row r="3081" spans="1:40" x14ac:dyDescent="0.25">
      <c r="A3081" t="str">
        <f>"20190312151046975"</f>
        <v>20190312151046975</v>
      </c>
      <c r="B3081" t="str">
        <f>"1552374646964145"</f>
        <v>1552374646964145</v>
      </c>
      <c r="C3081" t="s">
        <v>40</v>
      </c>
      <c r="D3081">
        <v>5.3106640000000001</v>
      </c>
      <c r="E3081">
        <v>0.5264818</v>
      </c>
      <c r="F3081" t="s">
        <v>69</v>
      </c>
      <c r="G3081">
        <v>-168.42619999999999</v>
      </c>
      <c r="H3081">
        <v>32.949150000000003</v>
      </c>
      <c r="I3081">
        <v>192.14850000000001</v>
      </c>
      <c r="J3081">
        <v>-395.07499999999999</v>
      </c>
      <c r="K3081">
        <v>1.10997099999999</v>
      </c>
      <c r="L3081">
        <v>213.73560000000001</v>
      </c>
      <c r="M3081">
        <v>0.99993560000000004</v>
      </c>
      <c r="N3081">
        <v>0</v>
      </c>
      <c r="O3081">
        <v>7.8836069999999904E-3</v>
      </c>
      <c r="P3081">
        <v>0.99800279999999997</v>
      </c>
      <c r="Q3081">
        <v>5.8329569999999997E-2</v>
      </c>
      <c r="R3081">
        <v>-2.4253460000000001E-2</v>
      </c>
      <c r="S3081">
        <v>2.9744570000000001</v>
      </c>
      <c r="T3081">
        <v>0.41736649999999997</v>
      </c>
      <c r="U3081">
        <v>-0.28294370000000002</v>
      </c>
      <c r="V3081">
        <v>3.2065440000000001E-2</v>
      </c>
      <c r="W3081">
        <v>6.6507629999999998E-2</v>
      </c>
      <c r="X3081">
        <v>0.99727049999999995</v>
      </c>
      <c r="Y3081">
        <v>0.1014805</v>
      </c>
      <c r="Z3081">
        <v>8.1677850000000003E-3</v>
      </c>
      <c r="AA3081">
        <v>0.99480400000000002</v>
      </c>
      <c r="AB3081">
        <v>27</v>
      </c>
      <c r="AC3081">
        <v>226.64879999999999</v>
      </c>
      <c r="AD3081">
        <v>31.839178999999898</v>
      </c>
      <c r="AE3081">
        <v>-21.5870999999999</v>
      </c>
      <c r="AF3081">
        <v>22.9249627883964</v>
      </c>
      <c r="AG3081">
        <v>31.839178999999898</v>
      </c>
      <c r="AH3081">
        <v>222.127492205148</v>
      </c>
      <c r="AI3081">
        <v>81.885455831774706</v>
      </c>
      <c r="AJ3081">
        <v>84.1075750442577</v>
      </c>
      <c r="AK3081">
        <v>225.56575544969499</v>
      </c>
      <c r="AL3081">
        <v>86.186578492142502</v>
      </c>
      <c r="AM3081">
        <v>88.158391678897502</v>
      </c>
      <c r="AN3081">
        <v>0.99999995373042905</v>
      </c>
    </row>
    <row r="3082" spans="1:40" x14ac:dyDescent="0.25">
      <c r="A3082" t="str">
        <f>"20190312151047000"</f>
        <v>20190312151047000</v>
      </c>
      <c r="B3082" t="str">
        <f>"1552374646993422"</f>
        <v>1552374646993422</v>
      </c>
      <c r="C3082" t="s">
        <v>40</v>
      </c>
      <c r="D3082">
        <v>5.2487550000000001</v>
      </c>
      <c r="E3082">
        <v>0.52710509999999999</v>
      </c>
      <c r="F3082" t="s">
        <v>69</v>
      </c>
      <c r="G3082">
        <v>-168.42609999999999</v>
      </c>
      <c r="H3082">
        <v>32.717359999999999</v>
      </c>
      <c r="I3082">
        <v>192.00280000000001</v>
      </c>
      <c r="J3082">
        <v>-394.79219999999998</v>
      </c>
      <c r="K3082">
        <v>1.1099589999999999</v>
      </c>
      <c r="L3082">
        <v>213.73840000000001</v>
      </c>
      <c r="M3082">
        <v>0.99993180000000004</v>
      </c>
      <c r="N3082">
        <v>0</v>
      </c>
      <c r="O3082">
        <v>8.4197600000000001E-3</v>
      </c>
      <c r="P3082">
        <v>0.99800409999999995</v>
      </c>
      <c r="Q3082">
        <v>5.860535E-2</v>
      </c>
      <c r="R3082">
        <v>-2.3519640000000001E-2</v>
      </c>
      <c r="S3082">
        <v>2.9748230000000002</v>
      </c>
      <c r="T3082">
        <v>0.41485539999999999</v>
      </c>
      <c r="U3082">
        <v>-0.2852478</v>
      </c>
      <c r="V3082">
        <v>3.1866150000000003E-2</v>
      </c>
      <c r="W3082">
        <v>6.6718879999999994E-2</v>
      </c>
      <c r="X3082">
        <v>0.9972628</v>
      </c>
      <c r="Y3082">
        <v>0.1027614</v>
      </c>
      <c r="Z3082">
        <v>8.2807699999999998E-3</v>
      </c>
      <c r="AA3082">
        <v>0.99467159999999999</v>
      </c>
      <c r="AB3082">
        <v>27</v>
      </c>
      <c r="AC3082">
        <v>226.36609999999999</v>
      </c>
      <c r="AD3082">
        <v>31.607400999999999</v>
      </c>
      <c r="AE3082">
        <v>-21.735600000000002</v>
      </c>
      <c r="AF3082">
        <v>23.192794646364302</v>
      </c>
      <c r="AG3082">
        <v>31.607400999999999</v>
      </c>
      <c r="AH3082">
        <v>221.88855006756501</v>
      </c>
      <c r="AI3082">
        <v>81.936265174398599</v>
      </c>
      <c r="AJ3082">
        <v>84.032854181332596</v>
      </c>
      <c r="AK3082">
        <v>225.325236430741</v>
      </c>
      <c r="AL3082">
        <v>86.174447901042697</v>
      </c>
      <c r="AM3082">
        <v>88.169815533884304</v>
      </c>
      <c r="AN3082">
        <v>0.99999997636405802</v>
      </c>
    </row>
    <row r="3083" spans="1:40" x14ac:dyDescent="0.25">
      <c r="A3083" t="str">
        <f>"20190312151047021"</f>
        <v>20190312151047021</v>
      </c>
      <c r="B3083" t="str">
        <f>"1552374647013918"</f>
        <v>1552374647013918</v>
      </c>
      <c r="C3083" t="s">
        <v>40</v>
      </c>
      <c r="D3083">
        <v>5.1888310000000004</v>
      </c>
      <c r="E3083">
        <v>0.52732699999999999</v>
      </c>
      <c r="F3083" t="s">
        <v>69</v>
      </c>
      <c r="G3083">
        <v>-168.42609999999999</v>
      </c>
      <c r="H3083">
        <v>32.621229999999997</v>
      </c>
      <c r="I3083">
        <v>191.8416</v>
      </c>
      <c r="J3083">
        <v>-394.52519999999998</v>
      </c>
      <c r="K3083">
        <v>1.1099540000000001</v>
      </c>
      <c r="L3083">
        <v>213.74119999999999</v>
      </c>
      <c r="M3083">
        <v>0.99992789999999998</v>
      </c>
      <c r="N3083">
        <v>0</v>
      </c>
      <c r="O3083">
        <v>8.9262690000000006E-3</v>
      </c>
      <c r="P3083">
        <v>0.99803339999999996</v>
      </c>
      <c r="Q3083">
        <v>5.8368080000000003E-2</v>
      </c>
      <c r="R3083">
        <v>-2.2868220000000002E-2</v>
      </c>
      <c r="S3083">
        <v>2.9748839999999999</v>
      </c>
      <c r="T3083">
        <v>0.41411890000000001</v>
      </c>
      <c r="U3083">
        <v>-0.28776550000000001</v>
      </c>
      <c r="V3083">
        <v>3.1720079999999998E-2</v>
      </c>
      <c r="W3083">
        <v>6.6422460000000003E-2</v>
      </c>
      <c r="X3083">
        <v>0.99728729999999999</v>
      </c>
      <c r="Y3083">
        <v>0.1040836</v>
      </c>
      <c r="Z3083">
        <v>8.4271160000000001E-3</v>
      </c>
      <c r="AA3083">
        <v>0.99453279999999999</v>
      </c>
      <c r="AB3083">
        <v>27</v>
      </c>
      <c r="AC3083">
        <v>226.09909999999999</v>
      </c>
      <c r="AD3083">
        <v>31.511275999999899</v>
      </c>
      <c r="AE3083">
        <v>-21.8995999999999</v>
      </c>
      <c r="AF3083">
        <v>23.465461666899099</v>
      </c>
      <c r="AG3083">
        <v>31.511275999999899</v>
      </c>
      <c r="AH3083">
        <v>221.62972229242001</v>
      </c>
      <c r="AI3083">
        <v>81.952319368357394</v>
      </c>
      <c r="AJ3083">
        <v>83.956218409418099</v>
      </c>
      <c r="AK3083">
        <v>225.08514435609499</v>
      </c>
      <c r="AL3083">
        <v>86.191469489663007</v>
      </c>
      <c r="AM3083">
        <v>88.1782439039998</v>
      </c>
      <c r="AN3083">
        <v>1.00000003270447</v>
      </c>
    </row>
    <row r="3084" spans="1:40" x14ac:dyDescent="0.25">
      <c r="A3084" t="str">
        <f>"20190312151047053"</f>
        <v>20190312151047053</v>
      </c>
      <c r="B3084" t="str">
        <f>"1552374647044174"</f>
        <v>1552374647044174</v>
      </c>
      <c r="C3084" t="s">
        <v>40</v>
      </c>
      <c r="D3084">
        <v>5.009792</v>
      </c>
      <c r="E3084">
        <v>0.52789219999999903</v>
      </c>
      <c r="F3084" t="s">
        <v>69</v>
      </c>
      <c r="G3084">
        <v>-168.42609999999999</v>
      </c>
      <c r="H3084">
        <v>32.419350000000001</v>
      </c>
      <c r="I3084">
        <v>191.8734</v>
      </c>
      <c r="J3084">
        <v>-394.1318</v>
      </c>
      <c r="K3084">
        <v>1.109942</v>
      </c>
      <c r="L3084">
        <v>213.74549999999999</v>
      </c>
      <c r="M3084">
        <v>0.99992159999999997</v>
      </c>
      <c r="N3084">
        <v>0</v>
      </c>
      <c r="O3084">
        <v>9.6715740000000005E-3</v>
      </c>
      <c r="P3084">
        <v>0.99799539999999998</v>
      </c>
      <c r="Q3084">
        <v>5.929997E-2</v>
      </c>
      <c r="R3084">
        <v>-2.2112960000000001E-2</v>
      </c>
      <c r="S3084">
        <v>2.9751590000000001</v>
      </c>
      <c r="T3084">
        <v>0.41198980000000002</v>
      </c>
      <c r="U3084">
        <v>-0.28775020000000001</v>
      </c>
      <c r="V3084">
        <v>3.1707279999999997E-2</v>
      </c>
      <c r="W3084">
        <v>6.7274089999999995E-2</v>
      </c>
      <c r="X3084">
        <v>0.99723059999999997</v>
      </c>
      <c r="Y3084">
        <v>0.10480829999999999</v>
      </c>
      <c r="Z3084">
        <v>8.5357609999999993E-3</v>
      </c>
      <c r="AA3084">
        <v>0.9944558</v>
      </c>
      <c r="AB3084">
        <v>27</v>
      </c>
      <c r="AC3084">
        <v>225.70570000000001</v>
      </c>
      <c r="AD3084">
        <v>31.309408000000001</v>
      </c>
      <c r="AE3084">
        <v>-21.8720999999999</v>
      </c>
      <c r="AF3084">
        <v>23.6040958636261</v>
      </c>
      <c r="AG3084">
        <v>31.309408000000001</v>
      </c>
      <c r="AH3084">
        <v>221.26547754098399</v>
      </c>
      <c r="AI3084">
        <v>81.990877321252995</v>
      </c>
      <c r="AJ3084">
        <v>83.910845865362106</v>
      </c>
      <c r="AK3084">
        <v>224.71280320064</v>
      </c>
      <c r="AL3084">
        <v>86.142565214542401</v>
      </c>
      <c r="AM3084">
        <v>88.178875073013998</v>
      </c>
      <c r="AN3084">
        <v>1.0000000121833399</v>
      </c>
    </row>
    <row r="3085" spans="1:40" x14ac:dyDescent="0.25">
      <c r="A3085" t="str">
        <f>"20190312151047075"</f>
        <v>20190312151047075</v>
      </c>
      <c r="B3085" t="str">
        <f>"1552374647063707"</f>
        <v>1552374647063707</v>
      </c>
      <c r="C3085" t="s">
        <v>40</v>
      </c>
      <c r="D3085">
        <v>5.1993519999999904</v>
      </c>
      <c r="E3085">
        <v>0.52825529999999998</v>
      </c>
      <c r="F3085" t="s">
        <v>69</v>
      </c>
      <c r="G3085">
        <v>-168.42609999999999</v>
      </c>
      <c r="H3085">
        <v>32.255569999999999</v>
      </c>
      <c r="I3085">
        <v>191.74379999999999</v>
      </c>
      <c r="J3085">
        <v>-393.87369999999999</v>
      </c>
      <c r="K3085">
        <v>1.109936</v>
      </c>
      <c r="L3085">
        <v>213.74860000000001</v>
      </c>
      <c r="M3085">
        <v>0.99991699999999994</v>
      </c>
      <c r="N3085">
        <v>0</v>
      </c>
      <c r="O3085">
        <v>1.0160270000000001E-2</v>
      </c>
      <c r="P3085">
        <v>0.99794680000000002</v>
      </c>
      <c r="Q3085">
        <v>6.0013799999999999E-2</v>
      </c>
      <c r="R3085">
        <v>-2.237813E-2</v>
      </c>
      <c r="S3085">
        <v>2.9752200000000002</v>
      </c>
      <c r="T3085">
        <v>0.41055740000000002</v>
      </c>
      <c r="U3085">
        <v>-0.2900238</v>
      </c>
      <c r="V3085">
        <v>3.245845E-2</v>
      </c>
      <c r="W3085">
        <v>6.7942530000000001E-2</v>
      </c>
      <c r="X3085">
        <v>0.99716110000000002</v>
      </c>
      <c r="Y3085">
        <v>0.10603650000000001</v>
      </c>
      <c r="Z3085">
        <v>8.6570069999999995E-3</v>
      </c>
      <c r="AA3085">
        <v>0.9943246</v>
      </c>
      <c r="AB3085">
        <v>27</v>
      </c>
      <c r="AC3085">
        <v>225.44759999999999</v>
      </c>
      <c r="AD3085">
        <v>31.145634000000001</v>
      </c>
      <c r="AE3085">
        <v>-22.004799999999999</v>
      </c>
      <c r="AF3085">
        <v>23.843572794248299</v>
      </c>
      <c r="AG3085">
        <v>31.145634000000001</v>
      </c>
      <c r="AH3085">
        <v>221.03365645922099</v>
      </c>
      <c r="AI3085">
        <v>82.024981114070002</v>
      </c>
      <c r="AJ3085">
        <v>83.843137973418493</v>
      </c>
      <c r="AK3085">
        <v>224.48706815446999</v>
      </c>
      <c r="AL3085">
        <v>86.104178540555694</v>
      </c>
      <c r="AM3085">
        <v>88.135631463992993</v>
      </c>
      <c r="AN3085">
        <v>0.99999999885620605</v>
      </c>
    </row>
    <row r="3086" spans="1:40" x14ac:dyDescent="0.25">
      <c r="A3086" t="str">
        <f>"20190312151047098"</f>
        <v>20190312151047098</v>
      </c>
      <c r="B3086" t="str">
        <f>"1552374647093950"</f>
        <v>1552374647093950</v>
      </c>
      <c r="C3086" t="s">
        <v>40</v>
      </c>
      <c r="D3086">
        <v>5.2547110000000004</v>
      </c>
      <c r="E3086">
        <v>0.52852589999999999</v>
      </c>
      <c r="F3086" t="s">
        <v>69</v>
      </c>
      <c r="G3086">
        <v>-168.42609999999999</v>
      </c>
      <c r="H3086">
        <v>32.187309999999997</v>
      </c>
      <c r="I3086">
        <v>191.49799999999999</v>
      </c>
      <c r="J3086">
        <v>-393.59840000000003</v>
      </c>
      <c r="K3086">
        <v>1.1099410000000001</v>
      </c>
      <c r="L3086">
        <v>213.75190000000001</v>
      </c>
      <c r="M3086">
        <v>0.99991200000000002</v>
      </c>
      <c r="N3086">
        <v>0</v>
      </c>
      <c r="O3086">
        <v>1.06815E-2</v>
      </c>
      <c r="P3086">
        <v>0.99790820000000002</v>
      </c>
      <c r="Q3086">
        <v>6.0602169999999997E-2</v>
      </c>
      <c r="R3086">
        <v>-2.251245E-2</v>
      </c>
      <c r="S3086">
        <v>2.9749150000000002</v>
      </c>
      <c r="T3086">
        <v>0.41008470000000002</v>
      </c>
      <c r="U3086">
        <v>-0.29360960000000003</v>
      </c>
      <c r="V3086">
        <v>3.3111580000000002E-2</v>
      </c>
      <c r="W3086">
        <v>6.8487229999999996E-2</v>
      </c>
      <c r="X3086">
        <v>0.99710240000000006</v>
      </c>
      <c r="Y3086">
        <v>0.1077332</v>
      </c>
      <c r="Z3086">
        <v>8.8349810000000004E-3</v>
      </c>
      <c r="AA3086">
        <v>0.99414060000000004</v>
      </c>
      <c r="AB3086">
        <v>27</v>
      </c>
      <c r="AC3086">
        <v>225.17230000000001</v>
      </c>
      <c r="AD3086">
        <v>31.077369000000001</v>
      </c>
      <c r="AE3086">
        <v>-22.253900000000002</v>
      </c>
      <c r="AF3086">
        <v>24.201344984611602</v>
      </c>
      <c r="AG3086">
        <v>31.077369000000001</v>
      </c>
      <c r="AH3086">
        <v>220.757341939219</v>
      </c>
      <c r="AI3086">
        <v>82.033888007234495</v>
      </c>
      <c r="AJ3086">
        <v>83.743720771050405</v>
      </c>
      <c r="AK3086">
        <v>224.243867214012</v>
      </c>
      <c r="AL3086">
        <v>86.072896811675307</v>
      </c>
      <c r="AM3086">
        <v>88.098031976675301</v>
      </c>
      <c r="AN3086">
        <v>1.0000000367444599</v>
      </c>
    </row>
    <row r="3087" spans="1:40" x14ac:dyDescent="0.25">
      <c r="A3087" t="str">
        <f>"20190312151047120"</f>
        <v>20190312151047120</v>
      </c>
      <c r="B3087" t="str">
        <f>"1552374647113470"</f>
        <v>1552374647113470</v>
      </c>
      <c r="C3087" t="s">
        <v>40</v>
      </c>
      <c r="D3087">
        <v>5.2477049999999998</v>
      </c>
      <c r="E3087">
        <v>0.52764299999999997</v>
      </c>
      <c r="F3087" t="s">
        <v>69</v>
      </c>
      <c r="G3087">
        <v>-168.42619999999999</v>
      </c>
      <c r="H3087">
        <v>32.133769999999998</v>
      </c>
      <c r="I3087">
        <v>191.33170000000001</v>
      </c>
      <c r="J3087">
        <v>-393.32400000000001</v>
      </c>
      <c r="K3087">
        <v>1.109939</v>
      </c>
      <c r="L3087">
        <v>213.75540000000001</v>
      </c>
      <c r="M3087">
        <v>0.99990670000000004</v>
      </c>
      <c r="N3087">
        <v>0</v>
      </c>
      <c r="O3087">
        <v>1.1200379999999999E-2</v>
      </c>
      <c r="P3087">
        <v>0.99788540000000003</v>
      </c>
      <c r="Q3087">
        <v>6.1062520000000002E-2</v>
      </c>
      <c r="R3087">
        <v>-2.2278269999999999E-2</v>
      </c>
      <c r="S3087">
        <v>2.974701</v>
      </c>
      <c r="T3087">
        <v>0.40984939999999997</v>
      </c>
      <c r="U3087">
        <v>-0.29618840000000002</v>
      </c>
      <c r="V3087">
        <v>3.3394239999999999E-2</v>
      </c>
      <c r="W3087">
        <v>6.8909650000000003E-2</v>
      </c>
      <c r="X3087">
        <v>0.99706379999999994</v>
      </c>
      <c r="Y3087">
        <v>0.109093</v>
      </c>
      <c r="Z3087">
        <v>8.9942200000000007E-3</v>
      </c>
      <c r="AA3087">
        <v>0.99399079999999995</v>
      </c>
      <c r="AB3087">
        <v>27</v>
      </c>
      <c r="AC3087">
        <v>224.89779999999999</v>
      </c>
      <c r="AD3087">
        <v>31.023831000000001</v>
      </c>
      <c r="AE3087">
        <v>-22.4237</v>
      </c>
      <c r="AF3087">
        <v>24.480060758697402</v>
      </c>
      <c r="AG3087">
        <v>31.023831000000001</v>
      </c>
      <c r="AH3087">
        <v>220.478304161583</v>
      </c>
      <c r="AI3087">
        <v>82.038701905857394</v>
      </c>
      <c r="AJ3087">
        <v>83.664307904513095</v>
      </c>
      <c r="AK3087">
        <v>223.99204019480999</v>
      </c>
      <c r="AL3087">
        <v>86.048636342515394</v>
      </c>
      <c r="AM3087">
        <v>88.081733527780997</v>
      </c>
      <c r="AN3087">
        <v>0.99999996819936898</v>
      </c>
    </row>
    <row r="3088" spans="1:40" x14ac:dyDescent="0.25">
      <c r="A3088" t="str">
        <f>"20190312151047143"</f>
        <v>20190312151047143</v>
      </c>
      <c r="B3088" t="str">
        <f>"1552374647133966"</f>
        <v>1552374647133966</v>
      </c>
      <c r="C3088" t="s">
        <v>40</v>
      </c>
      <c r="D3088">
        <v>5.3000259999999999</v>
      </c>
      <c r="E3088">
        <v>0.52569309999999903</v>
      </c>
      <c r="F3088" t="s">
        <v>69</v>
      </c>
      <c r="G3088">
        <v>-168.4255</v>
      </c>
      <c r="H3088">
        <v>30.753990000000002</v>
      </c>
      <c r="I3088">
        <v>191.9759</v>
      </c>
      <c r="J3088">
        <v>-393.05099999999999</v>
      </c>
      <c r="K3088">
        <v>1.109934</v>
      </c>
      <c r="L3088">
        <v>213.75899999999999</v>
      </c>
      <c r="M3088">
        <v>0.99990089999999998</v>
      </c>
      <c r="N3088">
        <v>0</v>
      </c>
      <c r="O3088">
        <v>1.171645E-2</v>
      </c>
      <c r="P3088">
        <v>0.99788809999999994</v>
      </c>
      <c r="Q3088">
        <v>6.0999350000000001E-2</v>
      </c>
      <c r="R3088">
        <v>-2.2330679999999999E-2</v>
      </c>
      <c r="S3088">
        <v>2.9759220000000002</v>
      </c>
      <c r="T3088">
        <v>0.39225900000000002</v>
      </c>
      <c r="U3088">
        <v>-0.28819270000000002</v>
      </c>
      <c r="V3088">
        <v>3.3961169999999999E-2</v>
      </c>
      <c r="W3088">
        <v>6.8812600000000002E-2</v>
      </c>
      <c r="X3088">
        <v>0.99705140000000003</v>
      </c>
      <c r="Y3088">
        <v>0.10702830000000001</v>
      </c>
      <c r="Z3088">
        <v>8.5415960000000003E-3</v>
      </c>
      <c r="AA3088">
        <v>0.99421930000000003</v>
      </c>
      <c r="AB3088">
        <v>27</v>
      </c>
      <c r="AC3088">
        <v>224.62549999999999</v>
      </c>
      <c r="AD3088">
        <v>29.644055999999999</v>
      </c>
      <c r="AE3088">
        <v>-21.783100000000001</v>
      </c>
      <c r="AF3088">
        <v>23.999410356607601</v>
      </c>
      <c r="AG3088">
        <v>29.644055999999999</v>
      </c>
      <c r="AH3088">
        <v>220.54947217319901</v>
      </c>
      <c r="AI3088">
        <v>82.389150169454695</v>
      </c>
      <c r="AJ3088">
        <v>83.789711864319202</v>
      </c>
      <c r="AK3088">
        <v>223.82317000139301</v>
      </c>
      <c r="AL3088">
        <v>86.0542103122757</v>
      </c>
      <c r="AM3088">
        <v>88.049168058566707</v>
      </c>
      <c r="AN3088">
        <v>1.00000001461424</v>
      </c>
    </row>
    <row r="3089" spans="1:40" x14ac:dyDescent="0.25">
      <c r="A3089" t="str">
        <f>"20190312151047165"</f>
        <v>20190312151047165</v>
      </c>
      <c r="B3089" t="str">
        <f>"1552374647153490"</f>
        <v>1552374647153490</v>
      </c>
      <c r="C3089" t="s">
        <v>40</v>
      </c>
      <c r="D3089">
        <v>5.3633490000000004</v>
      </c>
      <c r="E3089">
        <v>0.52375099999999997</v>
      </c>
      <c r="F3089" t="s">
        <v>69</v>
      </c>
      <c r="G3089">
        <v>-168.4247</v>
      </c>
      <c r="H3089">
        <v>29.59787</v>
      </c>
      <c r="I3089">
        <v>193.17320000000001</v>
      </c>
      <c r="J3089">
        <v>-392.78160000000003</v>
      </c>
      <c r="K3089">
        <v>1.1099319999999999</v>
      </c>
      <c r="L3089">
        <v>213.7627</v>
      </c>
      <c r="M3089">
        <v>0.99989499999999998</v>
      </c>
      <c r="N3089">
        <v>0</v>
      </c>
      <c r="O3089">
        <v>1.2225649999999999E-2</v>
      </c>
      <c r="P3089">
        <v>0.99790650000000003</v>
      </c>
      <c r="Q3089">
        <v>6.074069E-2</v>
      </c>
      <c r="R3089">
        <v>-2.2214279999999999E-2</v>
      </c>
      <c r="S3089">
        <v>2.9771730000000001</v>
      </c>
      <c r="T3089">
        <v>0.37757649999999998</v>
      </c>
      <c r="U3089">
        <v>-0.27284239999999998</v>
      </c>
      <c r="V3089">
        <v>3.4352790000000001E-2</v>
      </c>
      <c r="W3089">
        <v>6.8525760000000005E-2</v>
      </c>
      <c r="X3089">
        <v>0.99705770000000005</v>
      </c>
      <c r="Y3089">
        <v>0.10251879999999999</v>
      </c>
      <c r="Z3089">
        <v>8.0029619999999902E-3</v>
      </c>
      <c r="AA3089">
        <v>0.99469890000000005</v>
      </c>
      <c r="AB3089">
        <v>27</v>
      </c>
      <c r="AC3089">
        <v>224.3569</v>
      </c>
      <c r="AD3089">
        <v>28.487938</v>
      </c>
      <c r="AE3089">
        <v>-20.589499999999902</v>
      </c>
      <c r="AF3089">
        <v>22.963802105633398</v>
      </c>
      <c r="AG3089">
        <v>28.487938</v>
      </c>
      <c r="AH3089">
        <v>220.56200376072201</v>
      </c>
      <c r="AI3089">
        <v>82.679520426479698</v>
      </c>
      <c r="AJ3089">
        <v>84.056068272475301</v>
      </c>
      <c r="AK3089">
        <v>223.57660056808999</v>
      </c>
      <c r="AL3089">
        <v>86.070683765921402</v>
      </c>
      <c r="AM3089">
        <v>88.026702368089204</v>
      </c>
      <c r="AN3089">
        <v>0.99999997554682496</v>
      </c>
    </row>
    <row r="3090" spans="1:40" x14ac:dyDescent="0.25">
      <c r="A3090" t="str">
        <f>"20190312151047189"</f>
        <v>20190312151047189</v>
      </c>
      <c r="B3090" t="str">
        <f>"1552374647183742"</f>
        <v>1552374647183742</v>
      </c>
      <c r="C3090" t="s">
        <v>40</v>
      </c>
      <c r="D3090">
        <v>5.3660769999999998</v>
      </c>
      <c r="E3090">
        <v>0.52119269999999995</v>
      </c>
      <c r="F3090" t="s">
        <v>69</v>
      </c>
      <c r="G3090">
        <v>-168.4239</v>
      </c>
      <c r="H3090">
        <v>28.420960000000001</v>
      </c>
      <c r="I3090">
        <v>194.4074</v>
      </c>
      <c r="J3090">
        <v>-392.49400000000003</v>
      </c>
      <c r="K3090">
        <v>1.1099300000000001</v>
      </c>
      <c r="L3090">
        <v>213.76679999999999</v>
      </c>
      <c r="M3090">
        <v>0.99988860000000002</v>
      </c>
      <c r="N3090">
        <v>0</v>
      </c>
      <c r="O3090">
        <v>1.276887E-2</v>
      </c>
      <c r="P3090">
        <v>0.99788140000000003</v>
      </c>
      <c r="Q3090">
        <v>6.1429539999999998E-2</v>
      </c>
      <c r="R3090">
        <v>-2.1430540000000001E-2</v>
      </c>
      <c r="S3090">
        <v>2.9785460000000001</v>
      </c>
      <c r="T3090">
        <v>0.36257830000000002</v>
      </c>
      <c r="U3090">
        <v>-0.25695800000000002</v>
      </c>
      <c r="V3090">
        <v>3.4109960000000002E-2</v>
      </c>
      <c r="W3090">
        <v>6.9186990000000004E-2</v>
      </c>
      <c r="X3090">
        <v>0.99702040000000003</v>
      </c>
      <c r="Y3090">
        <v>9.7854529999999995E-2</v>
      </c>
      <c r="Z3090">
        <v>7.4691569999999997E-3</v>
      </c>
      <c r="AA3090">
        <v>0.99517270000000002</v>
      </c>
      <c r="AB3090">
        <v>27</v>
      </c>
      <c r="AC3090">
        <v>224.0701</v>
      </c>
      <c r="AD3090">
        <v>27.311029999999999</v>
      </c>
      <c r="AE3090">
        <v>-19.359399999999901</v>
      </c>
      <c r="AF3090">
        <v>21.896145354557799</v>
      </c>
      <c r="AG3090">
        <v>27.311029999999999</v>
      </c>
      <c r="AH3090">
        <v>220.55232999843301</v>
      </c>
      <c r="AI3090">
        <v>82.975175702602499</v>
      </c>
      <c r="AJ3090">
        <v>84.330328877061604</v>
      </c>
      <c r="AK3090">
        <v>223.312927992955</v>
      </c>
      <c r="AL3090">
        <v>86.032708054568701</v>
      </c>
      <c r="AM3090">
        <v>88.040566885557894</v>
      </c>
      <c r="AN3090">
        <v>1.0000000034863099</v>
      </c>
    </row>
    <row r="3091" spans="1:40" x14ac:dyDescent="0.25">
      <c r="A3091" t="str">
        <f>"20190312151047212"</f>
        <v>20190312151047212</v>
      </c>
      <c r="B3091" t="str">
        <f>"1552374647204238"</f>
        <v>1552374647204238</v>
      </c>
      <c r="C3091" t="s">
        <v>40</v>
      </c>
      <c r="D3091">
        <v>5.3584880000000004</v>
      </c>
      <c r="E3091">
        <v>0.51971699999999998</v>
      </c>
      <c r="F3091" t="s">
        <v>69</v>
      </c>
      <c r="G3091">
        <v>-168.4229</v>
      </c>
      <c r="H3091">
        <v>27.066680000000002</v>
      </c>
      <c r="I3091">
        <v>196.1662</v>
      </c>
      <c r="J3091">
        <v>-392.21629999999999</v>
      </c>
      <c r="K3091">
        <v>1.1099289999999999</v>
      </c>
      <c r="L3091">
        <v>213.77090000000001</v>
      </c>
      <c r="M3091">
        <v>0.99988169999999998</v>
      </c>
      <c r="N3091">
        <v>0</v>
      </c>
      <c r="O3091">
        <v>1.329318E-2</v>
      </c>
      <c r="P3091">
        <v>0.99788259999999995</v>
      </c>
      <c r="Q3091">
        <v>6.1619069999999998E-2</v>
      </c>
      <c r="R3091">
        <v>-2.0828240000000001E-2</v>
      </c>
      <c r="S3091">
        <v>2.9801030000000002</v>
      </c>
      <c r="T3091">
        <v>0.34522009999999997</v>
      </c>
      <c r="U3091">
        <v>-0.23408509999999999</v>
      </c>
      <c r="V3091">
        <v>3.4030009999999999E-2</v>
      </c>
      <c r="W3091">
        <v>6.9353970000000001E-2</v>
      </c>
      <c r="X3091">
        <v>0.99701150000000005</v>
      </c>
      <c r="Y3091">
        <v>9.0861540000000005E-2</v>
      </c>
      <c r="Z3091">
        <v>6.7698999999999997E-3</v>
      </c>
      <c r="AA3091">
        <v>0.99584050000000002</v>
      </c>
      <c r="AB3091">
        <v>27</v>
      </c>
      <c r="AC3091">
        <v>223.79339999999999</v>
      </c>
      <c r="AD3091">
        <v>25.956751000000001</v>
      </c>
      <c r="AE3091">
        <v>-17.604700000000001</v>
      </c>
      <c r="AF3091">
        <v>20.306662147931998</v>
      </c>
      <c r="AG3091">
        <v>25.956751000000001</v>
      </c>
      <c r="AH3091">
        <v>220.590333207225</v>
      </c>
      <c r="AI3091">
        <v>83.316896167759694</v>
      </c>
      <c r="AJ3091">
        <v>84.740403843791</v>
      </c>
      <c r="AK3091">
        <v>223.03858086560001</v>
      </c>
      <c r="AL3091">
        <v>86.023117646949402</v>
      </c>
      <c r="AM3091">
        <v>88.0451385773585</v>
      </c>
      <c r="AN3091">
        <v>0.99999997293380505</v>
      </c>
    </row>
    <row r="3092" spans="1:40" x14ac:dyDescent="0.25">
      <c r="A3092" t="str">
        <f>"20190312151047233"</f>
        <v>20190312151047233</v>
      </c>
      <c r="B3092" t="str">
        <f>"1552374647223762"</f>
        <v>1552374647223762</v>
      </c>
      <c r="C3092" t="s">
        <v>40</v>
      </c>
      <c r="D3092">
        <v>5.2979810000000001</v>
      </c>
      <c r="E3092">
        <v>0.51844539999999995</v>
      </c>
      <c r="F3092" t="s">
        <v>69</v>
      </c>
      <c r="G3092">
        <v>-168.42230000000001</v>
      </c>
      <c r="H3092">
        <v>26.271799999999999</v>
      </c>
      <c r="I3092">
        <v>197.2286</v>
      </c>
      <c r="J3092">
        <v>-391.94540000000001</v>
      </c>
      <c r="K3092">
        <v>1.109934</v>
      </c>
      <c r="L3092">
        <v>213.77500000000001</v>
      </c>
      <c r="M3092">
        <v>0.99987499999999996</v>
      </c>
      <c r="N3092">
        <v>0</v>
      </c>
      <c r="O3092">
        <v>1.38045999999999E-2</v>
      </c>
      <c r="P3092">
        <v>0.99791090000000005</v>
      </c>
      <c r="Q3092">
        <v>6.1370090000000002E-2</v>
      </c>
      <c r="R3092">
        <v>-2.0197730000000001E-2</v>
      </c>
      <c r="S3092">
        <v>2.9810490000000001</v>
      </c>
      <c r="T3092">
        <v>0.3351691</v>
      </c>
      <c r="U3092">
        <v>-0.2203522</v>
      </c>
      <c r="V3092">
        <v>3.3910129999999997E-2</v>
      </c>
      <c r="W3092">
        <v>6.9089460000000005E-2</v>
      </c>
      <c r="X3092">
        <v>0.99703399999999998</v>
      </c>
      <c r="Y3092">
        <v>8.6846080000000006E-2</v>
      </c>
      <c r="Z3092">
        <v>6.4056340000000003E-3</v>
      </c>
      <c r="AA3092">
        <v>0.99620120000000001</v>
      </c>
      <c r="AB3092">
        <v>28</v>
      </c>
      <c r="AC3092">
        <v>223.5231</v>
      </c>
      <c r="AD3092">
        <v>25.161866</v>
      </c>
      <c r="AE3092">
        <v>-16.546399999999998</v>
      </c>
      <c r="AF3092">
        <v>19.386240705751199</v>
      </c>
      <c r="AG3092">
        <v>25.161866</v>
      </c>
      <c r="AH3092">
        <v>220.49452493231601</v>
      </c>
      <c r="AI3092">
        <v>83.514623396968403</v>
      </c>
      <c r="AJ3092">
        <v>84.975381525628194</v>
      </c>
      <c r="AK3092">
        <v>222.770692314835</v>
      </c>
      <c r="AL3092">
        <v>86.038309596237298</v>
      </c>
      <c r="AM3092">
        <v>88.052063721500204</v>
      </c>
      <c r="AN3092">
        <v>1.0000000237778499</v>
      </c>
    </row>
    <row r="3093" spans="1:40" x14ac:dyDescent="0.25">
      <c r="A3093" t="str">
        <f>"20190312151047254"</f>
        <v>20190312151047254</v>
      </c>
      <c r="B3093" t="str">
        <f>"1552374647244258"</f>
        <v>1552374647244258</v>
      </c>
      <c r="C3093" t="s">
        <v>40</v>
      </c>
      <c r="D3093">
        <v>5.1930129999999997</v>
      </c>
      <c r="E3093">
        <v>0.51739049999999998</v>
      </c>
      <c r="F3093" t="s">
        <v>69</v>
      </c>
      <c r="G3093">
        <v>-168.42169999999999</v>
      </c>
      <c r="H3093">
        <v>25.449249999999999</v>
      </c>
      <c r="I3093">
        <v>198.15379999999999</v>
      </c>
      <c r="J3093">
        <v>-391.67680000000001</v>
      </c>
      <c r="K3093">
        <v>1.1099330000000001</v>
      </c>
      <c r="L3093">
        <v>213.77930000000001</v>
      </c>
      <c r="M3093">
        <v>0.99986799999999998</v>
      </c>
      <c r="N3093">
        <v>0</v>
      </c>
      <c r="O3093">
        <v>1.43114E-2</v>
      </c>
      <c r="P3093">
        <v>0.99790140000000005</v>
      </c>
      <c r="Q3093">
        <v>6.1849359999999999E-2</v>
      </c>
      <c r="R3093">
        <v>-1.9171190000000001E-2</v>
      </c>
      <c r="S3093">
        <v>2.982056</v>
      </c>
      <c r="T3093">
        <v>0.32471420000000001</v>
      </c>
      <c r="U3093">
        <v>-0.20840449999999999</v>
      </c>
      <c r="V3093">
        <v>3.3388510000000003E-2</v>
      </c>
      <c r="W3093">
        <v>6.9559449999999995E-2</v>
      </c>
      <c r="X3093">
        <v>0.99701890000000004</v>
      </c>
      <c r="Y3093">
        <v>8.341105E-2</v>
      </c>
      <c r="Z3093">
        <v>6.0745309999999898E-3</v>
      </c>
      <c r="AA3093">
        <v>0.99649670000000001</v>
      </c>
      <c r="AB3093">
        <v>28</v>
      </c>
      <c r="AC3093">
        <v>223.2551</v>
      </c>
      <c r="AD3093">
        <v>24.339317000000001</v>
      </c>
      <c r="AE3093">
        <v>-15.625500000000001</v>
      </c>
      <c r="AF3093">
        <v>18.5991068640928</v>
      </c>
      <c r="AG3093">
        <v>24.339317000000001</v>
      </c>
      <c r="AH3093">
        <v>220.40180955667799</v>
      </c>
      <c r="AI3093">
        <v>83.720411584597898</v>
      </c>
      <c r="AJ3093">
        <v>85.176393932613195</v>
      </c>
      <c r="AK3093">
        <v>222.52030645320099</v>
      </c>
      <c r="AL3093">
        <v>86.011316109906204</v>
      </c>
      <c r="AM3093">
        <v>88.081976122149797</v>
      </c>
      <c r="AN3093">
        <v>0.99999999832076603</v>
      </c>
    </row>
    <row r="3094" spans="1:40" x14ac:dyDescent="0.25">
      <c r="A3094" t="str">
        <f>"20190312151047277"</f>
        <v>20190312151047277</v>
      </c>
      <c r="B3094" t="str">
        <f>"1552374647273534"</f>
        <v>1552374647273534</v>
      </c>
      <c r="C3094" t="s">
        <v>40</v>
      </c>
      <c r="D3094">
        <v>5.6757299999999997</v>
      </c>
      <c r="E3094">
        <v>0.51599110000000004</v>
      </c>
      <c r="F3094" t="s">
        <v>69</v>
      </c>
      <c r="G3094">
        <v>-168.4212</v>
      </c>
      <c r="H3094">
        <v>24.826139999999999</v>
      </c>
      <c r="I3094">
        <v>199.0401</v>
      </c>
      <c r="J3094">
        <v>-391.39760000000001</v>
      </c>
      <c r="K3094">
        <v>1.1099349999999999</v>
      </c>
      <c r="L3094">
        <v>213.78380000000001</v>
      </c>
      <c r="M3094">
        <v>0.99986030000000004</v>
      </c>
      <c r="N3094">
        <v>0</v>
      </c>
      <c r="O3094">
        <v>1.483773E-2</v>
      </c>
      <c r="P3094">
        <v>0.9978707</v>
      </c>
      <c r="Q3094">
        <v>6.2562880000000001E-2</v>
      </c>
      <c r="R3094">
        <v>-1.8440459999999999E-2</v>
      </c>
      <c r="S3094">
        <v>2.98291</v>
      </c>
      <c r="T3094">
        <v>0.31687189999999998</v>
      </c>
      <c r="U3094">
        <v>-0.19692989999999999</v>
      </c>
      <c r="V3094">
        <v>3.3181420000000003E-2</v>
      </c>
      <c r="W3094">
        <v>7.0270109999999997E-2</v>
      </c>
      <c r="X3094">
        <v>0.99697599999999997</v>
      </c>
      <c r="Y3094">
        <v>8.0142450000000004E-2</v>
      </c>
      <c r="Z3094">
        <v>5.8104879999999999E-3</v>
      </c>
      <c r="AA3094">
        <v>0.9967665</v>
      </c>
      <c r="AB3094">
        <v>28</v>
      </c>
      <c r="AC3094">
        <v>222.97640000000001</v>
      </c>
      <c r="AD3094">
        <v>23.716204999999999</v>
      </c>
      <c r="AE3094">
        <v>-14.7437</v>
      </c>
      <c r="AF3094">
        <v>17.849587489471698</v>
      </c>
      <c r="AG3094">
        <v>23.716204999999999</v>
      </c>
      <c r="AH3094">
        <v>220.252245378899</v>
      </c>
      <c r="AI3094">
        <v>83.874144745773705</v>
      </c>
      <c r="AJ3094">
        <v>85.366785683295205</v>
      </c>
      <c r="AK3094">
        <v>222.24337503645199</v>
      </c>
      <c r="AL3094">
        <v>85.970498494693999</v>
      </c>
      <c r="AM3094">
        <v>88.093781772946002</v>
      </c>
      <c r="AN3094">
        <v>1.00000001978431</v>
      </c>
    </row>
    <row r="3095" spans="1:40" x14ac:dyDescent="0.25">
      <c r="A3095" t="str">
        <f>"20190312151047299"</f>
        <v>20190312151047299</v>
      </c>
      <c r="B3095" t="str">
        <f>"1552374647294031"</f>
        <v>1552374647294031</v>
      </c>
      <c r="C3095" t="s">
        <v>40</v>
      </c>
      <c r="D3095">
        <v>5.5839339999999904</v>
      </c>
      <c r="E3095">
        <v>0.51511739999999995</v>
      </c>
      <c r="F3095" t="s">
        <v>69</v>
      </c>
      <c r="G3095">
        <v>-168.42060000000001</v>
      </c>
      <c r="H3095">
        <v>23.995100000000001</v>
      </c>
      <c r="I3095">
        <v>200.06870000000001</v>
      </c>
      <c r="J3095">
        <v>-391.1241</v>
      </c>
      <c r="K3095">
        <v>1.1099380000000001</v>
      </c>
      <c r="L3095">
        <v>213.7884</v>
      </c>
      <c r="M3095">
        <v>0.99985250000000003</v>
      </c>
      <c r="N3095">
        <v>0</v>
      </c>
      <c r="O3095">
        <v>1.535301E-2</v>
      </c>
      <c r="P3095">
        <v>0.99787119999999996</v>
      </c>
      <c r="Q3095">
        <v>6.2736E-2</v>
      </c>
      <c r="R3095">
        <v>-1.7813430000000002E-2</v>
      </c>
      <c r="S3095">
        <v>2.9838260000000001</v>
      </c>
      <c r="T3095">
        <v>0.30624430000000002</v>
      </c>
      <c r="U3095">
        <v>-0.18353269999999999</v>
      </c>
      <c r="V3095">
        <v>3.306808E-2</v>
      </c>
      <c r="W3095">
        <v>7.0445629999999995E-2</v>
      </c>
      <c r="X3095">
        <v>0.99696739999999995</v>
      </c>
      <c r="Y3095">
        <v>7.6231030000000005E-2</v>
      </c>
      <c r="Z3095">
        <v>5.4684109999999899E-3</v>
      </c>
      <c r="AA3095">
        <v>0.99707520000000005</v>
      </c>
      <c r="AB3095">
        <v>28</v>
      </c>
      <c r="AC3095">
        <v>222.70349999999999</v>
      </c>
      <c r="AD3095">
        <v>22.885162000000001</v>
      </c>
      <c r="AE3095">
        <v>-13.7196999999999</v>
      </c>
      <c r="AF3095">
        <v>16.958947948907898</v>
      </c>
      <c r="AG3095">
        <v>22.885162000000001</v>
      </c>
      <c r="AH3095">
        <v>220.15065689553001</v>
      </c>
      <c r="AI3095">
        <v>84.082695149003399</v>
      </c>
      <c r="AJ3095">
        <v>85.595012299377302</v>
      </c>
      <c r="AK3095">
        <v>221.98569387875699</v>
      </c>
      <c r="AL3095">
        <v>85.960417040293095</v>
      </c>
      <c r="AM3095">
        <v>88.100271815972306</v>
      </c>
      <c r="AN3095">
        <v>1.0000000406818701</v>
      </c>
    </row>
    <row r="3096" spans="1:40" x14ac:dyDescent="0.25">
      <c r="A3096" t="str">
        <f>"20190312151047321"</f>
        <v>20190312151047321</v>
      </c>
      <c r="B3096" t="str">
        <f>"1552374647313550"</f>
        <v>1552374647313550</v>
      </c>
      <c r="C3096" t="s">
        <v>40</v>
      </c>
      <c r="D3096">
        <v>5.2258829999999996</v>
      </c>
      <c r="E3096">
        <v>0.5143875</v>
      </c>
      <c r="F3096" t="s">
        <v>69</v>
      </c>
      <c r="G3096">
        <v>-168.42019999999999</v>
      </c>
      <c r="H3096">
        <v>23.458410000000001</v>
      </c>
      <c r="I3096">
        <v>200.744</v>
      </c>
      <c r="J3096">
        <v>-390.846</v>
      </c>
      <c r="K3096">
        <v>1.109939</v>
      </c>
      <c r="L3096">
        <v>213.79320000000001</v>
      </c>
      <c r="M3096">
        <v>0.99984439999999997</v>
      </c>
      <c r="N3096">
        <v>0</v>
      </c>
      <c r="O3096">
        <v>1.5877229999999999E-2</v>
      </c>
      <c r="P3096">
        <v>0.99790080000000003</v>
      </c>
      <c r="Q3096">
        <v>6.2483320000000002E-2</v>
      </c>
      <c r="R3096">
        <v>-1.7025680000000001E-2</v>
      </c>
      <c r="S3096">
        <v>2.9844059999999999</v>
      </c>
      <c r="T3096">
        <v>0.29948720000000001</v>
      </c>
      <c r="U3096">
        <v>-0.17480470000000001</v>
      </c>
      <c r="V3096">
        <v>3.2803819999999997E-2</v>
      </c>
      <c r="W3096">
        <v>7.019591E-2</v>
      </c>
      <c r="X3096">
        <v>0.99699369999999998</v>
      </c>
      <c r="Y3096">
        <v>7.3866340000000003E-2</v>
      </c>
      <c r="Z3096">
        <v>5.2819750000000004E-3</v>
      </c>
      <c r="AA3096">
        <v>0.99725410000000003</v>
      </c>
      <c r="AB3096">
        <v>28</v>
      </c>
      <c r="AC3096">
        <v>222.42580000000001</v>
      </c>
      <c r="AD3096">
        <v>22.348471</v>
      </c>
      <c r="AE3096">
        <v>-13.0491999999999</v>
      </c>
      <c r="AF3096">
        <v>16.414026509889101</v>
      </c>
      <c r="AG3096">
        <v>22.348471</v>
      </c>
      <c r="AH3096">
        <v>219.97741835580399</v>
      </c>
      <c r="AI3096">
        <v>84.214946801919595</v>
      </c>
      <c r="AJ3096">
        <v>85.732676216967207</v>
      </c>
      <c r="AK3096">
        <v>221.71815218603399</v>
      </c>
      <c r="AL3096">
        <v>85.974760274252304</v>
      </c>
      <c r="AM3096">
        <v>88.115491975411302</v>
      </c>
      <c r="AN3096">
        <v>0.99999999711350496</v>
      </c>
    </row>
    <row r="3097" spans="1:40" x14ac:dyDescent="0.25">
      <c r="A3097" t="str">
        <f>"20190312151047343"</f>
        <v>20190312151047343</v>
      </c>
      <c r="B3097" t="str">
        <f>"1552374647334046"</f>
        <v>1552374647334046</v>
      </c>
      <c r="C3097" t="s">
        <v>40</v>
      </c>
      <c r="D3097">
        <v>5.7037180000000003</v>
      </c>
      <c r="E3097">
        <v>0.51367870000000004</v>
      </c>
      <c r="F3097" t="s">
        <v>69</v>
      </c>
      <c r="G3097">
        <v>-168.41970000000001</v>
      </c>
      <c r="H3097">
        <v>22.822620000000001</v>
      </c>
      <c r="I3097">
        <v>201.37360000000001</v>
      </c>
      <c r="J3097">
        <v>-390.565</v>
      </c>
      <c r="K3097">
        <v>1.1099399999999999</v>
      </c>
      <c r="L3097">
        <v>213.79830000000001</v>
      </c>
      <c r="M3097">
        <v>0.99983580000000005</v>
      </c>
      <c r="N3097">
        <v>0</v>
      </c>
      <c r="O3097">
        <v>1.640664E-2</v>
      </c>
      <c r="P3097">
        <v>0.99788509999999997</v>
      </c>
      <c r="Q3097">
        <v>6.2729599999999996E-2</v>
      </c>
      <c r="R3097">
        <v>-1.7053579999999999E-2</v>
      </c>
      <c r="S3097">
        <v>2.9852289999999999</v>
      </c>
      <c r="T3097">
        <v>0.29141080000000003</v>
      </c>
      <c r="U3097">
        <v>-0.166687</v>
      </c>
      <c r="V3097">
        <v>3.3358810000000003E-2</v>
      </c>
      <c r="W3097">
        <v>7.0446099999999998E-2</v>
      </c>
      <c r="X3097">
        <v>0.99695769999999995</v>
      </c>
      <c r="Y3097">
        <v>7.1706889999999995E-2</v>
      </c>
      <c r="Z3097">
        <v>5.0856490000000002E-3</v>
      </c>
      <c r="AA3097">
        <v>0.99741279999999999</v>
      </c>
      <c r="AB3097">
        <v>28</v>
      </c>
      <c r="AC3097">
        <v>222.14529999999999</v>
      </c>
      <c r="AD3097">
        <v>21.712679999999999</v>
      </c>
      <c r="AE3097">
        <v>-12.4247</v>
      </c>
      <c r="AF3097">
        <v>15.916215476172299</v>
      </c>
      <c r="AG3097">
        <v>21.712679999999999</v>
      </c>
      <c r="AH3097">
        <v>219.81810862288799</v>
      </c>
      <c r="AI3097">
        <v>84.373504665781795</v>
      </c>
      <c r="AJ3097">
        <v>85.858651868079306</v>
      </c>
      <c r="AK3097">
        <v>221.46053207379899</v>
      </c>
      <c r="AL3097">
        <v>85.960390119946595</v>
      </c>
      <c r="AM3097">
        <v>88.083563435718702</v>
      </c>
      <c r="AN3097">
        <v>1.0000000593995499</v>
      </c>
    </row>
    <row r="3098" spans="1:40" x14ac:dyDescent="0.25">
      <c r="A3098" t="str">
        <f>"20190312151047366"</f>
        <v>20190312151047366</v>
      </c>
      <c r="B3098" t="str">
        <f>"1552374647364303"</f>
        <v>1552374647364303</v>
      </c>
      <c r="C3098" t="s">
        <v>40</v>
      </c>
      <c r="D3098">
        <v>5.3443680000000002</v>
      </c>
      <c r="E3098">
        <v>0.51273639999999998</v>
      </c>
      <c r="F3098" t="s">
        <v>69</v>
      </c>
      <c r="G3098">
        <v>-168.4194</v>
      </c>
      <c r="H3098">
        <v>22.336359999999999</v>
      </c>
      <c r="I3098">
        <v>201.833</v>
      </c>
      <c r="J3098">
        <v>-390.2878</v>
      </c>
      <c r="K3098">
        <v>1.1099300000000001</v>
      </c>
      <c r="L3098">
        <v>213.80340000000001</v>
      </c>
      <c r="M3098">
        <v>0.99982700000000002</v>
      </c>
      <c r="N3098">
        <v>0</v>
      </c>
      <c r="O3098">
        <v>1.6929070000000001E-2</v>
      </c>
      <c r="P3098">
        <v>0.99787579999999998</v>
      </c>
      <c r="Q3098">
        <v>6.2938519999999998E-2</v>
      </c>
      <c r="R3098">
        <v>-1.68261E-2</v>
      </c>
      <c r="S3098">
        <v>2.9856259999999999</v>
      </c>
      <c r="T3098">
        <v>0.28528249999999999</v>
      </c>
      <c r="U3098">
        <v>-0.16081239999999999</v>
      </c>
      <c r="V3098">
        <v>3.365199E-2</v>
      </c>
      <c r="W3098">
        <v>7.0659189999999997E-2</v>
      </c>
      <c r="X3098">
        <v>0.9969327</v>
      </c>
      <c r="Y3098">
        <v>7.0285410000000006E-2</v>
      </c>
      <c r="Z3098">
        <v>4.9608569999999999E-3</v>
      </c>
      <c r="AA3098">
        <v>0.99751460000000003</v>
      </c>
      <c r="AB3098">
        <v>28</v>
      </c>
      <c r="AC3098">
        <v>221.86840000000001</v>
      </c>
      <c r="AD3098">
        <v>21.226430000000001</v>
      </c>
      <c r="AE3098">
        <v>-11.9704</v>
      </c>
      <c r="AF3098">
        <v>15.582608149542001</v>
      </c>
      <c r="AG3098">
        <v>21.226430000000001</v>
      </c>
      <c r="AH3098">
        <v>219.62951687040101</v>
      </c>
      <c r="AI3098">
        <v>84.493463530965101</v>
      </c>
      <c r="AJ3098">
        <v>85.941692613443394</v>
      </c>
      <c r="AK3098">
        <v>221.202404345009</v>
      </c>
      <c r="AL3098">
        <v>85.948150192759599</v>
      </c>
      <c r="AM3098">
        <v>88.066684764485004</v>
      </c>
      <c r="AN3098">
        <v>0.99999999294585296</v>
      </c>
    </row>
    <row r="3099" spans="1:40" x14ac:dyDescent="0.25">
      <c r="A3099" t="str">
        <f>"20190312151047389"</f>
        <v>20190312151047389</v>
      </c>
      <c r="B3099" t="str">
        <f>"1552374647383822"</f>
        <v>1552374647383822</v>
      </c>
      <c r="C3099" t="s">
        <v>40</v>
      </c>
      <c r="D3099">
        <v>5.2486699999999997</v>
      </c>
      <c r="E3099">
        <v>0.51216909999999904</v>
      </c>
      <c r="F3099" t="s">
        <v>69</v>
      </c>
      <c r="G3099">
        <v>-168.41900000000001</v>
      </c>
      <c r="H3099">
        <v>21.660740000000001</v>
      </c>
      <c r="I3099">
        <v>202.46019999999999</v>
      </c>
      <c r="J3099">
        <v>-389.99720000000002</v>
      </c>
      <c r="K3099">
        <v>1.1099270000000001</v>
      </c>
      <c r="L3099">
        <v>213.80889999999999</v>
      </c>
      <c r="M3099">
        <v>0.99981759999999997</v>
      </c>
      <c r="N3099">
        <v>0</v>
      </c>
      <c r="O3099">
        <v>1.7475569999999999E-2</v>
      </c>
      <c r="P3099">
        <v>0.99788460000000001</v>
      </c>
      <c r="Q3099">
        <v>6.2767340000000005E-2</v>
      </c>
      <c r="R3099">
        <v>-1.6933770000000001E-2</v>
      </c>
      <c r="S3099">
        <v>2.9863590000000002</v>
      </c>
      <c r="T3099">
        <v>0.27661469999999999</v>
      </c>
      <c r="U3099">
        <v>-0.15267939999999999</v>
      </c>
      <c r="V3099">
        <v>3.4304979999999999E-2</v>
      </c>
      <c r="W3099">
        <v>7.049366E-2</v>
      </c>
      <c r="X3099">
        <v>0.99692219999999998</v>
      </c>
      <c r="Y3099">
        <v>6.8138829999999997E-2</v>
      </c>
      <c r="Z3099">
        <v>4.7612890000000001E-3</v>
      </c>
      <c r="AA3099">
        <v>0.99766449999999995</v>
      </c>
      <c r="AB3099">
        <v>28</v>
      </c>
      <c r="AC3099">
        <v>221.57820000000001</v>
      </c>
      <c r="AD3099">
        <v>20.550813000000002</v>
      </c>
      <c r="AE3099">
        <v>-11.348699999999999</v>
      </c>
      <c r="AF3099">
        <v>15.089822752963901</v>
      </c>
      <c r="AG3099">
        <v>20.550813000000002</v>
      </c>
      <c r="AH3099">
        <v>219.46312786726</v>
      </c>
      <c r="AI3099">
        <v>84.662876825540096</v>
      </c>
      <c r="AJ3099">
        <v>86.066653492663804</v>
      </c>
      <c r="AK3099">
        <v>220.93913903823901</v>
      </c>
      <c r="AL3099">
        <v>85.957658223567506</v>
      </c>
      <c r="AM3099">
        <v>88.029178886817903</v>
      </c>
      <c r="AN3099">
        <v>1.00000003030291</v>
      </c>
    </row>
    <row r="3100" spans="1:40" x14ac:dyDescent="0.25">
      <c r="A3100" t="str">
        <f>"20190312151047413"</f>
        <v>20190312151047413</v>
      </c>
      <c r="B3100" t="str">
        <f>"1552374647404319"</f>
        <v>1552374647404319</v>
      </c>
      <c r="C3100" t="s">
        <v>40</v>
      </c>
      <c r="D3100">
        <v>5.3473009999999999</v>
      </c>
      <c r="E3100">
        <v>0.51140240000000003</v>
      </c>
      <c r="F3100" t="s">
        <v>69</v>
      </c>
      <c r="G3100">
        <v>-168.4187</v>
      </c>
      <c r="H3100">
        <v>21.144110000000001</v>
      </c>
      <c r="I3100">
        <v>202.80709999999999</v>
      </c>
      <c r="J3100">
        <v>-389.70589999999999</v>
      </c>
      <c r="K3100">
        <v>1.1099300000000001</v>
      </c>
      <c r="L3100">
        <v>213.81450000000001</v>
      </c>
      <c r="M3100">
        <v>0.99980780000000002</v>
      </c>
      <c r="N3100">
        <v>0</v>
      </c>
      <c r="O3100">
        <v>1.8021599999999999E-2</v>
      </c>
      <c r="P3100">
        <v>0.99787210000000004</v>
      </c>
      <c r="Q3100">
        <v>6.3073000000000004E-2</v>
      </c>
      <c r="R3100">
        <v>-1.6533369999999999E-2</v>
      </c>
      <c r="S3100">
        <v>2.9868160000000001</v>
      </c>
      <c r="T3100">
        <v>0.2700555</v>
      </c>
      <c r="U3100">
        <v>-0.14830019999999999</v>
      </c>
      <c r="V3100">
        <v>3.444825E-2</v>
      </c>
      <c r="W3100">
        <v>7.0803779999999997E-2</v>
      </c>
      <c r="X3100">
        <v>0.99689530000000004</v>
      </c>
      <c r="Y3100">
        <v>6.7235399999999904E-2</v>
      </c>
      <c r="Z3100">
        <v>4.6568209999999898E-3</v>
      </c>
      <c r="AA3100">
        <v>0.99772629999999995</v>
      </c>
      <c r="AB3100">
        <v>28</v>
      </c>
      <c r="AC3100">
        <v>221.28720000000001</v>
      </c>
      <c r="AD3100">
        <v>20.034179999999999</v>
      </c>
      <c r="AE3100">
        <v>-11.007400000000001</v>
      </c>
      <c r="AF3100">
        <v>14.8720817509646</v>
      </c>
      <c r="AG3100">
        <v>20.034179999999999</v>
      </c>
      <c r="AH3100">
        <v>219.260144757311</v>
      </c>
      <c r="AI3100">
        <v>84.791184166109005</v>
      </c>
      <c r="AJ3100">
        <v>86.119658003021499</v>
      </c>
      <c r="AK3100">
        <v>220.67523255425999</v>
      </c>
      <c r="AL3100">
        <v>85.939845219287903</v>
      </c>
      <c r="AM3100">
        <v>88.020901197126307</v>
      </c>
      <c r="AN3100">
        <v>1.0000000481762099</v>
      </c>
    </row>
    <row r="3101" spans="1:40" x14ac:dyDescent="0.25">
      <c r="A3101" t="str">
        <f>"20190312151047434"</f>
        <v>20190312151047434</v>
      </c>
      <c r="B3101" t="str">
        <f>"1552374647423839"</f>
        <v>1552374647423839</v>
      </c>
      <c r="C3101" t="s">
        <v>40</v>
      </c>
      <c r="D3101">
        <v>5.1682649999999999</v>
      </c>
      <c r="E3101">
        <v>0.47074759999999999</v>
      </c>
      <c r="F3101" t="s">
        <v>69</v>
      </c>
      <c r="G3101">
        <v>-168.41839999999999</v>
      </c>
      <c r="H3101">
        <v>20.798559999999998</v>
      </c>
      <c r="I3101">
        <v>203.3579</v>
      </c>
      <c r="J3101">
        <v>-389.42399999999998</v>
      </c>
      <c r="K3101">
        <v>1.1099270000000001</v>
      </c>
      <c r="L3101">
        <v>213.8201</v>
      </c>
      <c r="M3101">
        <v>0.99979810000000002</v>
      </c>
      <c r="N3101">
        <v>0</v>
      </c>
      <c r="O3101">
        <v>1.854859E-2</v>
      </c>
      <c r="P3101">
        <v>0.99788489999999996</v>
      </c>
      <c r="Q3101">
        <v>6.2950510000000001E-2</v>
      </c>
      <c r="R3101">
        <v>-1.6223189999999998E-2</v>
      </c>
      <c r="S3101">
        <v>2.9872740000000002</v>
      </c>
      <c r="T3101">
        <v>0.26578740000000001</v>
      </c>
      <c r="U3101">
        <v>-0.14115910000000001</v>
      </c>
      <c r="V3101">
        <v>3.4664019999999997E-2</v>
      </c>
      <c r="W3101">
        <v>7.0690100000000006E-2</v>
      </c>
      <c r="X3101">
        <v>0.9968958</v>
      </c>
      <c r="Y3101">
        <v>6.5390240000000002E-2</v>
      </c>
      <c r="Z3101">
        <v>4.5479650000000002E-3</v>
      </c>
      <c r="AA3101">
        <v>0.9978494</v>
      </c>
      <c r="AB3101">
        <v>28</v>
      </c>
      <c r="AC3101">
        <v>221.00559999999999</v>
      </c>
      <c r="AD3101">
        <v>19.688632999999999</v>
      </c>
      <c r="AE3101">
        <v>-10.4621999999999</v>
      </c>
      <c r="AF3101">
        <v>14.445475629878301</v>
      </c>
      <c r="AG3101">
        <v>19.688632999999999</v>
      </c>
      <c r="AH3101">
        <v>219.039012773259</v>
      </c>
      <c r="AI3101">
        <v>84.874764842249604</v>
      </c>
      <c r="AJ3101">
        <v>86.2268457423679</v>
      </c>
      <c r="AK3101">
        <v>220.39601437472999</v>
      </c>
      <c r="AL3101">
        <v>85.946374607943795</v>
      </c>
      <c r="AM3101">
        <v>88.008515865939003</v>
      </c>
      <c r="AN3101">
        <v>0.99999996028910398</v>
      </c>
    </row>
    <row r="3102" spans="1:40" x14ac:dyDescent="0.25">
      <c r="A3102" t="str">
        <f>"20190312151047456"</f>
        <v>20190312151047456</v>
      </c>
      <c r="B3102" t="str">
        <f>"1552374647454095"</f>
        <v>1552374647454095</v>
      </c>
      <c r="C3102" t="s">
        <v>40</v>
      </c>
      <c r="D3102">
        <v>5.3122689999999997</v>
      </c>
      <c r="E3102">
        <v>0.46995619999999999</v>
      </c>
      <c r="F3102" t="s">
        <v>71</v>
      </c>
      <c r="G3102">
        <v>-167.89859999999999</v>
      </c>
      <c r="H3102">
        <v>11.429349999999999</v>
      </c>
      <c r="I3102">
        <v>227.4761</v>
      </c>
      <c r="J3102">
        <v>-389.15199999999999</v>
      </c>
      <c r="K3102">
        <v>1.1099289999999999</v>
      </c>
      <c r="L3102">
        <v>213.82570000000001</v>
      </c>
      <c r="M3102">
        <v>0.99978849999999997</v>
      </c>
      <c r="N3102">
        <v>0</v>
      </c>
      <c r="O3102">
        <v>1.905453E-2</v>
      </c>
      <c r="P3102">
        <v>0.99788969999999999</v>
      </c>
      <c r="Q3102">
        <v>6.2895619999999999E-2</v>
      </c>
      <c r="R3102">
        <v>-1.6141450000000002E-2</v>
      </c>
      <c r="S3102">
        <v>3.0005190000000002</v>
      </c>
      <c r="T3102">
        <v>0.13977529999999999</v>
      </c>
      <c r="U3102">
        <v>0.18496699999999999</v>
      </c>
      <c r="V3102">
        <v>3.508729E-2</v>
      </c>
      <c r="W3102">
        <v>7.0646819999999999E-2</v>
      </c>
      <c r="X3102">
        <v>0.99688410000000005</v>
      </c>
      <c r="Y3102">
        <v>-4.247277E-2</v>
      </c>
      <c r="Z3102">
        <v>-1.01631E-4</v>
      </c>
      <c r="AA3102">
        <v>0.99909760000000003</v>
      </c>
      <c r="AB3102">
        <v>28</v>
      </c>
      <c r="AC3102">
        <v>221.2534</v>
      </c>
      <c r="AD3102">
        <v>10.319420999999901</v>
      </c>
      <c r="AE3102">
        <v>13.6503999999999</v>
      </c>
      <c r="AF3102">
        <v>-9.4115199968625394</v>
      </c>
      <c r="AG3102">
        <v>10.319420999999901</v>
      </c>
      <c r="AH3102">
        <v>220.99441883851199</v>
      </c>
      <c r="AI3102">
        <v>87.328910770767706</v>
      </c>
      <c r="AJ3102">
        <v>92.438589767986102</v>
      </c>
      <c r="AK3102">
        <v>221.43531858355001</v>
      </c>
      <c r="AL3102">
        <v>85.948860745670501</v>
      </c>
      <c r="AM3102">
        <v>87.984194864171897</v>
      </c>
      <c r="AN3102">
        <v>0.99999999996423306</v>
      </c>
    </row>
    <row r="3103" spans="1:40" x14ac:dyDescent="0.25">
      <c r="A3103" t="str">
        <f>"20190312151047478"</f>
        <v>20190312151047478</v>
      </c>
      <c r="B3103" t="str">
        <f>"1552374647473615"</f>
        <v>1552374647473615</v>
      </c>
      <c r="C3103" t="s">
        <v>40</v>
      </c>
      <c r="D3103">
        <v>5.2561910000000003</v>
      </c>
      <c r="E3103">
        <v>0.46916609999999997</v>
      </c>
      <c r="F3103" t="s">
        <v>71</v>
      </c>
      <c r="G3103">
        <v>-167.89859999999999</v>
      </c>
      <c r="H3103">
        <v>10.50365</v>
      </c>
      <c r="I3103">
        <v>227.9537</v>
      </c>
      <c r="J3103">
        <v>-388.86799999999999</v>
      </c>
      <c r="K3103">
        <v>1.1099289999999999</v>
      </c>
      <c r="L3103">
        <v>213.83160000000001</v>
      </c>
      <c r="M3103">
        <v>0.99977830000000001</v>
      </c>
      <c r="N3103">
        <v>0</v>
      </c>
      <c r="O3103">
        <v>1.9579840000000001E-2</v>
      </c>
      <c r="P3103">
        <v>0.99791169999999996</v>
      </c>
      <c r="Q3103">
        <v>6.2662930000000006E-2</v>
      </c>
      <c r="R3103">
        <v>-1.5674159999999999E-2</v>
      </c>
      <c r="S3103">
        <v>3.0013730000000001</v>
      </c>
      <c r="T3103">
        <v>0.1274295</v>
      </c>
      <c r="U3103">
        <v>0.1916504</v>
      </c>
      <c r="V3103">
        <v>3.5144880000000003E-2</v>
      </c>
      <c r="W3103">
        <v>7.0425639999999998E-2</v>
      </c>
      <c r="X3103">
        <v>0.9968977</v>
      </c>
      <c r="Y3103">
        <v>-4.4149569999999999E-2</v>
      </c>
      <c r="Z3103">
        <v>-1.059172E-4</v>
      </c>
      <c r="AA3103">
        <v>0.99902489999999999</v>
      </c>
      <c r="AB3103">
        <v>28</v>
      </c>
      <c r="AC3103">
        <v>220.96940000000001</v>
      </c>
      <c r="AD3103">
        <v>9.3937209999999993</v>
      </c>
      <c r="AE3103">
        <v>14.1220999999999</v>
      </c>
      <c r="AF3103">
        <v>-9.775123387511</v>
      </c>
      <c r="AG3103">
        <v>9.3937209999999993</v>
      </c>
      <c r="AH3103">
        <v>220.80613159551399</v>
      </c>
      <c r="AI3103">
        <v>87.566324279171397</v>
      </c>
      <c r="AJ3103">
        <v>92.534838384544997</v>
      </c>
      <c r="AK3103">
        <v>221.221931059382</v>
      </c>
      <c r="AL3103">
        <v>85.961564984348598</v>
      </c>
      <c r="AM3103">
        <v>87.980916511365606</v>
      </c>
      <c r="AN3103">
        <v>0.99999997881245595</v>
      </c>
    </row>
    <row r="3104" spans="1:40" x14ac:dyDescent="0.25">
      <c r="A3104" t="str">
        <f>"20190312151047500"</f>
        <v>20190312151047500</v>
      </c>
      <c r="B3104" t="str">
        <f>"1552374647494110"</f>
        <v>1552374647494110</v>
      </c>
      <c r="C3104" t="s">
        <v>40</v>
      </c>
      <c r="D3104">
        <v>5.2515159999999996</v>
      </c>
      <c r="E3104">
        <v>0.46897070000000002</v>
      </c>
      <c r="F3104" t="s">
        <v>71</v>
      </c>
      <c r="G3104">
        <v>-167.89859999999999</v>
      </c>
      <c r="H3104">
        <v>10.201090000000001</v>
      </c>
      <c r="I3104">
        <v>228.5042</v>
      </c>
      <c r="J3104">
        <v>-388.57619999999997</v>
      </c>
      <c r="K3104">
        <v>1.1099330000000001</v>
      </c>
      <c r="L3104">
        <v>213.83789999999999</v>
      </c>
      <c r="M3104">
        <v>0.99976770000000004</v>
      </c>
      <c r="N3104">
        <v>0</v>
      </c>
      <c r="O3104">
        <v>2.011522E-2</v>
      </c>
      <c r="P3104">
        <v>0.99796739999999995</v>
      </c>
      <c r="Q3104">
        <v>6.1890199999999902E-2</v>
      </c>
      <c r="R3104">
        <v>-1.52041E-2</v>
      </c>
      <c r="S3104">
        <v>3.001617</v>
      </c>
      <c r="T3104">
        <v>0.123493699999999</v>
      </c>
      <c r="U3104">
        <v>0.1993103</v>
      </c>
      <c r="V3104">
        <v>3.5210869999999998E-2</v>
      </c>
      <c r="W3104">
        <v>6.9664100000000007E-2</v>
      </c>
      <c r="X3104">
        <v>0.99694890000000003</v>
      </c>
      <c r="Y3104">
        <v>-4.6148120000000001E-2</v>
      </c>
      <c r="Z3104">
        <v>-1.217035E-4</v>
      </c>
      <c r="AA3104">
        <v>0.99893460000000001</v>
      </c>
      <c r="AB3104">
        <v>29</v>
      </c>
      <c r="AC3104">
        <v>220.67760000000001</v>
      </c>
      <c r="AD3104">
        <v>9.0911570000000008</v>
      </c>
      <c r="AE3104">
        <v>14.6663</v>
      </c>
      <c r="AF3104">
        <v>-10.2069742364361</v>
      </c>
      <c r="AG3104">
        <v>9.0911570000000008</v>
      </c>
      <c r="AH3104">
        <v>220.55530126539301</v>
      </c>
      <c r="AI3104">
        <v>87.642159263747303</v>
      </c>
      <c r="AJ3104">
        <v>92.649673695245298</v>
      </c>
      <c r="AK3104">
        <v>220.978443235828</v>
      </c>
      <c r="AL3104">
        <v>86.005305535372301</v>
      </c>
      <c r="AM3104">
        <v>87.977232315231504</v>
      </c>
      <c r="AN3104">
        <v>1.00000000070308</v>
      </c>
    </row>
    <row r="3105" spans="1:40" x14ac:dyDescent="0.25">
      <c r="A3105" t="str">
        <f>"20190312151047522"</f>
        <v>20190312151047522</v>
      </c>
      <c r="B3105" t="str">
        <f>"1552374647513634"</f>
        <v>1552374647513634</v>
      </c>
      <c r="C3105" t="s">
        <v>40</v>
      </c>
      <c r="D3105">
        <v>5.2444280000000001</v>
      </c>
      <c r="E3105">
        <v>0.46886090000000002</v>
      </c>
      <c r="F3105" t="s">
        <v>71</v>
      </c>
      <c r="G3105">
        <v>-167.89859999999999</v>
      </c>
      <c r="H3105">
        <v>9.5108230000000002</v>
      </c>
      <c r="I3105">
        <v>228.70089999999999</v>
      </c>
      <c r="J3105">
        <v>-388.30099999999999</v>
      </c>
      <c r="K3105">
        <v>1.1099289999999999</v>
      </c>
      <c r="L3105">
        <v>213.84399999999999</v>
      </c>
      <c r="M3105">
        <v>0.99975729999999996</v>
      </c>
      <c r="N3105">
        <v>0</v>
      </c>
      <c r="O3105">
        <v>2.0616450000000001E-2</v>
      </c>
      <c r="P3105">
        <v>0.99795250000000002</v>
      </c>
      <c r="Q3105">
        <v>6.2204330000000002E-2</v>
      </c>
      <c r="R3105">
        <v>-1.489304E-2</v>
      </c>
      <c r="S3105">
        <v>3.002075</v>
      </c>
      <c r="T3105">
        <v>0.1142856</v>
      </c>
      <c r="U3105">
        <v>0.20219419999999999</v>
      </c>
      <c r="V3105">
        <v>3.53995E-2</v>
      </c>
      <c r="W3105">
        <v>6.9988030000000007E-2</v>
      </c>
      <c r="X3105">
        <v>0.99691949999999996</v>
      </c>
      <c r="Y3105">
        <v>-4.659576E-2</v>
      </c>
      <c r="Z3105">
        <v>-1.020806E-4</v>
      </c>
      <c r="AA3105">
        <v>0.99891379999999996</v>
      </c>
      <c r="AB3105">
        <v>29</v>
      </c>
      <c r="AC3105">
        <v>220.4024</v>
      </c>
      <c r="AD3105">
        <v>8.4008939999999992</v>
      </c>
      <c r="AE3105">
        <v>14.8568999999999</v>
      </c>
      <c r="AF3105">
        <v>-10.2948009635794</v>
      </c>
      <c r="AG3105">
        <v>8.4008939999999992</v>
      </c>
      <c r="AH3105">
        <v>220.343182464855</v>
      </c>
      <c r="AI3105">
        <v>87.818952222907498</v>
      </c>
      <c r="AJ3105">
        <v>92.675009067560396</v>
      </c>
      <c r="AK3105">
        <v>220.74346197706399</v>
      </c>
      <c r="AL3105">
        <v>85.986700174855599</v>
      </c>
      <c r="AM3105">
        <v>87.966345192356002</v>
      </c>
      <c r="AN3105">
        <v>0.99999996921188905</v>
      </c>
    </row>
    <row r="3106" spans="1:40" x14ac:dyDescent="0.25">
      <c r="A3106" t="str">
        <f>"20190312151047545"</f>
        <v>20190312151047545</v>
      </c>
      <c r="B3106" t="str">
        <f>"1552374647534126"</f>
        <v>1552374647534126</v>
      </c>
      <c r="C3106" t="s">
        <v>40</v>
      </c>
      <c r="D3106">
        <v>5.2531819999999998</v>
      </c>
      <c r="E3106">
        <v>0.46902509999999997</v>
      </c>
      <c r="F3106" t="s">
        <v>71</v>
      </c>
      <c r="G3106">
        <v>-167.89859999999999</v>
      </c>
      <c r="H3106">
        <v>9.1338860000000004</v>
      </c>
      <c r="I3106">
        <v>228.82900000000001</v>
      </c>
      <c r="J3106">
        <v>-388.0104</v>
      </c>
      <c r="K3106">
        <v>1.109926</v>
      </c>
      <c r="L3106">
        <v>213.85050000000001</v>
      </c>
      <c r="M3106">
        <v>0.99974640000000004</v>
      </c>
      <c r="N3106">
        <v>0</v>
      </c>
      <c r="O3106">
        <v>2.1138540000000001E-2</v>
      </c>
      <c r="P3106">
        <v>0.99794570000000005</v>
      </c>
      <c r="Q3106">
        <v>6.2527659999999999E-2</v>
      </c>
      <c r="R3106">
        <v>-1.396003E-2</v>
      </c>
      <c r="S3106">
        <v>3.0024109999999999</v>
      </c>
      <c r="T3106">
        <v>0.1093063</v>
      </c>
      <c r="U3106">
        <v>0.20413210000000001</v>
      </c>
      <c r="V3106">
        <v>3.498764E-2</v>
      </c>
      <c r="W3106">
        <v>7.0316719999999999E-2</v>
      </c>
      <c r="X3106">
        <v>0.99691090000000004</v>
      </c>
      <c r="Y3106">
        <v>-4.6710300000000003E-2</v>
      </c>
      <c r="Z3106" s="1">
        <v>-8.0736300000000002E-5</v>
      </c>
      <c r="AA3106">
        <v>0.99890849999999998</v>
      </c>
      <c r="AB3106">
        <v>29</v>
      </c>
      <c r="AC3106">
        <v>220.11179999999999</v>
      </c>
      <c r="AD3106">
        <v>8.0239600000000006</v>
      </c>
      <c r="AE3106">
        <v>14.978499999999899</v>
      </c>
      <c r="AF3106">
        <v>-10.3085347480273</v>
      </c>
      <c r="AG3106">
        <v>8.0239600000000006</v>
      </c>
      <c r="AH3106">
        <v>220.088121556456</v>
      </c>
      <c r="AI3106">
        <v>87.914323073708701</v>
      </c>
      <c r="AJ3106">
        <v>92.681672149284694</v>
      </c>
      <c r="AK3106">
        <v>220.47546592077401</v>
      </c>
      <c r="AL3106">
        <v>85.967821071802803</v>
      </c>
      <c r="AM3106">
        <v>87.989969161032803</v>
      </c>
      <c r="AN3106">
        <v>0.99999995930156804</v>
      </c>
    </row>
    <row r="3107" spans="1:40" x14ac:dyDescent="0.25">
      <c r="A3107" t="str">
        <f>"20190312151047567"</f>
        <v>20190312151047567</v>
      </c>
      <c r="B3107" t="str">
        <f>"1552374647564382"</f>
        <v>1552374647564382</v>
      </c>
      <c r="C3107" t="s">
        <v>40</v>
      </c>
      <c r="D3107">
        <v>5.3161740000000002</v>
      </c>
      <c r="E3107">
        <v>0.46937119999999999</v>
      </c>
      <c r="F3107" t="s">
        <v>71</v>
      </c>
      <c r="G3107">
        <v>-167.89859999999999</v>
      </c>
      <c r="H3107">
        <v>8.8329190000000004</v>
      </c>
      <c r="I3107">
        <v>228.93199999999999</v>
      </c>
      <c r="J3107">
        <v>-387.72649999999999</v>
      </c>
      <c r="K3107">
        <v>1.1099129999999999</v>
      </c>
      <c r="L3107">
        <v>213.8571</v>
      </c>
      <c r="M3107">
        <v>0.9997357</v>
      </c>
      <c r="N3107">
        <v>0</v>
      </c>
      <c r="O3107">
        <v>2.1638830000000001E-2</v>
      </c>
      <c r="P3107">
        <v>0.99793180000000004</v>
      </c>
      <c r="Q3107">
        <v>6.2883499999999995E-2</v>
      </c>
      <c r="R3107">
        <v>-1.3338879999999999E-2</v>
      </c>
      <c r="S3107">
        <v>3.0024410000000001</v>
      </c>
      <c r="T3107">
        <v>0.10534640000000001</v>
      </c>
      <c r="U3107">
        <v>0.20571900000000001</v>
      </c>
      <c r="V3107">
        <v>3.4865699999999999E-2</v>
      </c>
      <c r="W3107">
        <v>7.0666779999999998E-2</v>
      </c>
      <c r="X3107">
        <v>0.99689050000000001</v>
      </c>
      <c r="Y3107">
        <v>-4.6736739999999999E-2</v>
      </c>
      <c r="Z3107" s="1">
        <v>-6.0756340000000002E-5</v>
      </c>
      <c r="AA3107">
        <v>0.99890730000000005</v>
      </c>
      <c r="AB3107">
        <v>29</v>
      </c>
      <c r="AC3107">
        <v>219.8279</v>
      </c>
      <c r="AD3107">
        <v>7.7230059999999998</v>
      </c>
      <c r="AE3107">
        <v>15.0749</v>
      </c>
      <c r="AF3107">
        <v>-10.301752545056599</v>
      </c>
      <c r="AG3107">
        <v>7.7230059999999998</v>
      </c>
      <c r="AH3107">
        <v>219.832577063146</v>
      </c>
      <c r="AI3107">
        <v>87.990155622557197</v>
      </c>
      <c r="AJ3107">
        <v>92.6830211071767</v>
      </c>
      <c r="AK3107">
        <v>220.20929332205699</v>
      </c>
      <c r="AL3107">
        <v>85.947714418620507</v>
      </c>
      <c r="AM3107">
        <v>87.996927910060407</v>
      </c>
      <c r="AN3107">
        <v>1.0000000399111499</v>
      </c>
    </row>
    <row r="3108" spans="1:40" x14ac:dyDescent="0.25">
      <c r="A3108" t="str">
        <f>"20190312151047590"</f>
        <v>20190312151047590</v>
      </c>
      <c r="B3108" t="str">
        <f>"1552374647583894"</f>
        <v>1552374647583894</v>
      </c>
      <c r="C3108" t="s">
        <v>40</v>
      </c>
      <c r="D3108">
        <v>5.1711410000000004</v>
      </c>
      <c r="E3108">
        <v>0.46937970000000001</v>
      </c>
      <c r="F3108" t="s">
        <v>71</v>
      </c>
      <c r="G3108">
        <v>-169.1439</v>
      </c>
      <c r="H3108">
        <v>8.3312179999999998</v>
      </c>
      <c r="I3108">
        <v>228.75239999999999</v>
      </c>
      <c r="J3108">
        <v>-387.4314</v>
      </c>
      <c r="K3108">
        <v>1.1099019999999999</v>
      </c>
      <c r="L3108">
        <v>213.864</v>
      </c>
      <c r="M3108">
        <v>0.99972470000000002</v>
      </c>
      <c r="N3108">
        <v>0</v>
      </c>
      <c r="O3108">
        <v>2.2143820000000002E-2</v>
      </c>
      <c r="P3108">
        <v>0.99793620000000005</v>
      </c>
      <c r="Q3108">
        <v>6.2916899999999998E-2</v>
      </c>
      <c r="R3108">
        <v>-1.28445E-2</v>
      </c>
      <c r="S3108">
        <v>3.0027159999999999</v>
      </c>
      <c r="T3108">
        <v>9.9201319999999996E-2</v>
      </c>
      <c r="U3108">
        <v>0.20462040000000001</v>
      </c>
      <c r="V3108">
        <v>3.4876699999999997E-2</v>
      </c>
      <c r="W3108">
        <v>7.0691530000000002E-2</v>
      </c>
      <c r="X3108">
        <v>0.99688829999999995</v>
      </c>
      <c r="Y3108">
        <v>-4.5864630000000003E-2</v>
      </c>
      <c r="Z3108" s="1">
        <v>-2.6172900000000001E-5</v>
      </c>
      <c r="AA3108">
        <v>0.99894769999999999</v>
      </c>
      <c r="AB3108">
        <v>29</v>
      </c>
      <c r="AC3108">
        <v>218.28749999999999</v>
      </c>
      <c r="AD3108">
        <v>7.2213159999999998</v>
      </c>
      <c r="AE3108">
        <v>14.888399999999899</v>
      </c>
      <c r="AF3108">
        <v>-10.039947715421301</v>
      </c>
      <c r="AG3108">
        <v>7.2213159999999998</v>
      </c>
      <c r="AH3108">
        <v>218.32583887642301</v>
      </c>
      <c r="AI3108">
        <v>88.107581615102404</v>
      </c>
      <c r="AJ3108">
        <v>92.632952894430602</v>
      </c>
      <c r="AK3108">
        <v>218.67583285766699</v>
      </c>
      <c r="AL3108">
        <v>85.946292548089502</v>
      </c>
      <c r="AM3108">
        <v>87.996292044933597</v>
      </c>
      <c r="AN3108">
        <v>0.99999997964676002</v>
      </c>
    </row>
    <row r="3109" spans="1:40" x14ac:dyDescent="0.25">
      <c r="A3109" t="str">
        <f>"20190312151047616"</f>
        <v>20190312151047616</v>
      </c>
      <c r="B3109" t="str">
        <f>"1552374647603414"</f>
        <v>1552374647603414</v>
      </c>
      <c r="C3109" t="s">
        <v>40</v>
      </c>
      <c r="D3109">
        <v>5.309704</v>
      </c>
      <c r="E3109">
        <v>0.46962199999999998</v>
      </c>
      <c r="F3109" t="s">
        <v>71</v>
      </c>
      <c r="G3109">
        <v>-169.1439</v>
      </c>
      <c r="H3109">
        <v>8.15927299999999</v>
      </c>
      <c r="I3109">
        <v>228.86420000000001</v>
      </c>
      <c r="J3109">
        <v>-387.1028</v>
      </c>
      <c r="K3109">
        <v>1.1098790000000001</v>
      </c>
      <c r="L3109">
        <v>213.87180000000001</v>
      </c>
      <c r="M3109">
        <v>0.99971259999999995</v>
      </c>
      <c r="N3109">
        <v>0</v>
      </c>
      <c r="O3109">
        <v>2.268243E-2</v>
      </c>
      <c r="P3109">
        <v>0.9979034</v>
      </c>
      <c r="Q3109">
        <v>6.3614569999999995E-2</v>
      </c>
      <c r="R3109">
        <v>-1.1910550000000001E-2</v>
      </c>
      <c r="S3109">
        <v>3.002777</v>
      </c>
      <c r="T3109">
        <v>9.6972349999999999E-2</v>
      </c>
      <c r="U3109">
        <v>0.20634459999999999</v>
      </c>
      <c r="V3109">
        <v>3.4481379999999999E-2</v>
      </c>
      <c r="W3109">
        <v>7.1380239999999998E-2</v>
      </c>
      <c r="X3109">
        <v>0.99685299999999999</v>
      </c>
      <c r="Y3109">
        <v>-4.589683E-2</v>
      </c>
      <c r="Z3109" s="1">
        <v>-8.7447699999999993E-6</v>
      </c>
      <c r="AA3109">
        <v>0.99894620000000001</v>
      </c>
      <c r="AB3109">
        <v>29</v>
      </c>
      <c r="AC3109">
        <v>217.9589</v>
      </c>
      <c r="AD3109">
        <v>7.0493939999999897</v>
      </c>
      <c r="AE3109">
        <v>14.9924</v>
      </c>
      <c r="AF3109">
        <v>-10.034109364311099</v>
      </c>
      <c r="AG3109">
        <v>7.0493939999999897</v>
      </c>
      <c r="AH3109">
        <v>218.015911994764</v>
      </c>
      <c r="AI3109">
        <v>88.149982781515703</v>
      </c>
      <c r="AJ3109">
        <v>92.6351594614584</v>
      </c>
      <c r="AK3109">
        <v>218.36051655326901</v>
      </c>
      <c r="AL3109">
        <v>85.906732531375397</v>
      </c>
      <c r="AM3109">
        <v>88.018915355493107</v>
      </c>
      <c r="AN3109">
        <v>1.0000000039190799</v>
      </c>
    </row>
    <row r="3110" spans="1:40" x14ac:dyDescent="0.25">
      <c r="A3110" t="str">
        <f>"20190312151047637"</f>
        <v>20190312151047637</v>
      </c>
      <c r="B3110" t="str">
        <f>"1552374647633671"</f>
        <v>1552374647633671</v>
      </c>
      <c r="C3110" t="s">
        <v>40</v>
      </c>
      <c r="D3110">
        <v>5.3071120000000001</v>
      </c>
      <c r="E3110">
        <v>0.46977029999999997</v>
      </c>
      <c r="F3110" t="s">
        <v>71</v>
      </c>
      <c r="G3110">
        <v>-169.1439</v>
      </c>
      <c r="H3110">
        <v>7.9653890000000001</v>
      </c>
      <c r="I3110">
        <v>228.9194</v>
      </c>
      <c r="J3110">
        <v>-386.82569999999998</v>
      </c>
      <c r="K3110">
        <v>1.1098570000000001</v>
      </c>
      <c r="L3110">
        <v>213.8785</v>
      </c>
      <c r="M3110">
        <v>0.99970300000000001</v>
      </c>
      <c r="N3110">
        <v>0</v>
      </c>
      <c r="O3110">
        <v>2.3108429999999999E-2</v>
      </c>
      <c r="P3110">
        <v>0.99790869999999998</v>
      </c>
      <c r="Q3110">
        <v>6.3693920000000001E-2</v>
      </c>
      <c r="R3110">
        <v>-1.101251E-2</v>
      </c>
      <c r="S3110">
        <v>3.0027469999999998</v>
      </c>
      <c r="T3110">
        <v>9.4446779999999994E-2</v>
      </c>
      <c r="U3110">
        <v>0.20730589999999999</v>
      </c>
      <c r="V3110">
        <v>3.4011609999999998E-2</v>
      </c>
      <c r="W3110">
        <v>7.1445889999999998E-2</v>
      </c>
      <c r="X3110">
        <v>0.99686439999999998</v>
      </c>
      <c r="Y3110">
        <v>-4.5791020000000002E-2</v>
      </c>
      <c r="Z3110" s="1">
        <v>6.5163480000000002E-6</v>
      </c>
      <c r="AA3110">
        <v>0.99895100000000003</v>
      </c>
      <c r="AB3110">
        <v>29</v>
      </c>
      <c r="AC3110">
        <v>217.68180000000001</v>
      </c>
      <c r="AD3110">
        <v>6.8555320000000002</v>
      </c>
      <c r="AE3110">
        <v>15.040899999999899</v>
      </c>
      <c r="AF3110">
        <v>-9.99658015789492</v>
      </c>
      <c r="AG3110">
        <v>6.8555320000000002</v>
      </c>
      <c r="AH3110">
        <v>217.756298340744</v>
      </c>
      <c r="AI3110">
        <v>88.198672004951902</v>
      </c>
      <c r="AJ3110">
        <v>92.628442922023495</v>
      </c>
      <c r="AK3110">
        <v>218.09340980625601</v>
      </c>
      <c r="AL3110">
        <v>85.902961289434799</v>
      </c>
      <c r="AM3110">
        <v>88.045906664706095</v>
      </c>
      <c r="AN3110">
        <v>0.99999996840002103</v>
      </c>
    </row>
    <row r="3111" spans="1:40" x14ac:dyDescent="0.25">
      <c r="A3111" t="str">
        <f>"20190312151047659"</f>
        <v>20190312151047659</v>
      </c>
      <c r="B3111" t="str">
        <f>"1552374647654165"</f>
        <v>1552374647654165</v>
      </c>
      <c r="C3111" t="s">
        <v>40</v>
      </c>
      <c r="D3111">
        <v>5.1840809999999999</v>
      </c>
      <c r="E3111">
        <v>0.46970770000000001</v>
      </c>
      <c r="F3111" t="s">
        <v>71</v>
      </c>
      <c r="G3111">
        <v>-169.1439</v>
      </c>
      <c r="H3111">
        <v>7.6639080000000002</v>
      </c>
      <c r="I3111">
        <v>229.00960000000001</v>
      </c>
      <c r="J3111">
        <v>-386.55270000000002</v>
      </c>
      <c r="K3111">
        <v>1.109834</v>
      </c>
      <c r="L3111">
        <v>213.8853</v>
      </c>
      <c r="M3111">
        <v>0.99969419999999998</v>
      </c>
      <c r="N3111">
        <v>0</v>
      </c>
      <c r="O3111">
        <v>2.3494350000000001E-2</v>
      </c>
      <c r="P3111">
        <v>0.99790610000000002</v>
      </c>
      <c r="Q3111">
        <v>6.36911E-2</v>
      </c>
      <c r="R3111">
        <v>-1.12742E-2</v>
      </c>
      <c r="S3111">
        <v>3.0028079999999999</v>
      </c>
      <c r="T3111">
        <v>9.0410470000000007E-2</v>
      </c>
      <c r="U3111">
        <v>0.20872499999999999</v>
      </c>
      <c r="V3111">
        <v>3.4661919999999999E-2</v>
      </c>
      <c r="W3111">
        <v>7.14278E-2</v>
      </c>
      <c r="X3111">
        <v>0.99684329999999999</v>
      </c>
      <c r="Y3111">
        <v>-4.5874900000000003E-2</v>
      </c>
      <c r="Z3111" s="1">
        <v>1.6572010000000001E-5</v>
      </c>
      <c r="AA3111">
        <v>0.99894720000000004</v>
      </c>
      <c r="AB3111">
        <v>29</v>
      </c>
      <c r="AC3111">
        <v>217.40880000000001</v>
      </c>
      <c r="AD3111">
        <v>6.554074</v>
      </c>
      <c r="AE3111">
        <v>15.1243</v>
      </c>
      <c r="AF3111">
        <v>-10.0030475334557</v>
      </c>
      <c r="AG3111">
        <v>6.554074</v>
      </c>
      <c r="AH3111">
        <v>217.50741239439901</v>
      </c>
      <c r="AI3111">
        <v>88.275869998355304</v>
      </c>
      <c r="AJ3111">
        <v>92.633146372051002</v>
      </c>
      <c r="AK3111">
        <v>217.83592746023601</v>
      </c>
      <c r="AL3111">
        <v>85.904000439886403</v>
      </c>
      <c r="AM3111">
        <v>88.008531622782996</v>
      </c>
      <c r="AN3111">
        <v>0.99999997203290703</v>
      </c>
    </row>
    <row r="3112" spans="1:40" x14ac:dyDescent="0.25">
      <c r="A3112" t="str">
        <f>"20190312151047681"</f>
        <v>20190312151047681</v>
      </c>
      <c r="B3112" t="str">
        <f>"1552374647673845"</f>
        <v>1552374647673845</v>
      </c>
      <c r="C3112" t="s">
        <v>40</v>
      </c>
      <c r="D3112">
        <v>5.3030589999999904</v>
      </c>
      <c r="E3112">
        <v>0.46980810000000001</v>
      </c>
      <c r="F3112" t="s">
        <v>71</v>
      </c>
      <c r="G3112">
        <v>-169.1439</v>
      </c>
      <c r="H3112">
        <v>7.557709</v>
      </c>
      <c r="I3112">
        <v>228.98429999999999</v>
      </c>
      <c r="J3112">
        <v>-386.25139999999999</v>
      </c>
      <c r="K3112">
        <v>1.1097999999999999</v>
      </c>
      <c r="L3112">
        <v>213.89279999999999</v>
      </c>
      <c r="M3112">
        <v>0.99968520000000005</v>
      </c>
      <c r="N3112">
        <v>0</v>
      </c>
      <c r="O3112">
        <v>2.387394E-2</v>
      </c>
      <c r="P3112">
        <v>0.99788759999999999</v>
      </c>
      <c r="Q3112">
        <v>6.4042180000000004E-2</v>
      </c>
      <c r="R3112">
        <v>-1.0910889999999999E-2</v>
      </c>
      <c r="S3112">
        <v>3.0029910000000002</v>
      </c>
      <c r="T3112">
        <v>8.9062929999999998E-2</v>
      </c>
      <c r="U3112">
        <v>0.2085571</v>
      </c>
      <c r="V3112">
        <v>3.4682089999999999E-2</v>
      </c>
      <c r="W3112">
        <v>7.1761690000000003E-2</v>
      </c>
      <c r="X3112">
        <v>0.99681869999999995</v>
      </c>
      <c r="Y3112">
        <v>-4.5436459999999998E-2</v>
      </c>
      <c r="Z3112" s="1">
        <v>3.4051950000000002E-5</v>
      </c>
      <c r="AA3112">
        <v>0.99896719999999894</v>
      </c>
      <c r="AB3112">
        <v>29</v>
      </c>
      <c r="AC3112">
        <v>217.10749999999999</v>
      </c>
      <c r="AD3112">
        <v>6.4479089999999903</v>
      </c>
      <c r="AE3112">
        <v>15.0914999999999</v>
      </c>
      <c r="AF3112">
        <v>-9.8951466452735808</v>
      </c>
      <c r="AG3112">
        <v>6.4479089999999903</v>
      </c>
      <c r="AH3112">
        <v>217.21524876770499</v>
      </c>
      <c r="AI3112">
        <v>88.301467692451197</v>
      </c>
      <c r="AJ3112">
        <v>92.608281183860001</v>
      </c>
      <c r="AK3112">
        <v>217.53609759030701</v>
      </c>
      <c r="AL3112">
        <v>85.884821070817793</v>
      </c>
      <c r="AM3112">
        <v>88.007324572709805</v>
      </c>
      <c r="AN3112">
        <v>1.0000000540940499</v>
      </c>
    </row>
    <row r="3113" spans="1:40" x14ac:dyDescent="0.25">
      <c r="A3113" t="str">
        <f>"20190312151047725"</f>
        <v>20190312151047725</v>
      </c>
      <c r="B3113" t="str">
        <f>"1552374647713858"</f>
        <v>1552374647713858</v>
      </c>
      <c r="C3113" t="s">
        <v>40</v>
      </c>
      <c r="D3113">
        <v>5.1938060000000004</v>
      </c>
      <c r="E3113">
        <v>0.46971089999999999</v>
      </c>
      <c r="F3113" t="s">
        <v>71</v>
      </c>
      <c r="G3113">
        <v>-169.1439</v>
      </c>
      <c r="H3113">
        <v>7.4747769999999996</v>
      </c>
      <c r="I3113">
        <v>228.9864</v>
      </c>
      <c r="J3113">
        <v>-385.67270000000002</v>
      </c>
      <c r="K3113">
        <v>1.1097379999999999</v>
      </c>
      <c r="L3113">
        <v>213.90729999999999</v>
      </c>
      <c r="M3113">
        <v>0.99967059999999996</v>
      </c>
      <c r="N3113">
        <v>0</v>
      </c>
      <c r="O3113">
        <v>2.448405E-2</v>
      </c>
      <c r="P3113">
        <v>0.99791569999999996</v>
      </c>
      <c r="Q3113">
        <v>6.3714489999999999E-2</v>
      </c>
      <c r="R3113">
        <v>-1.023489E-2</v>
      </c>
      <c r="S3113">
        <v>3.0029599999999999</v>
      </c>
      <c r="T3113">
        <v>8.8039039999999999E-2</v>
      </c>
      <c r="U3113">
        <v>0.20877080000000001</v>
      </c>
      <c r="V3113">
        <v>3.4626039999999997E-2</v>
      </c>
      <c r="W3113">
        <v>7.1404499999999996E-2</v>
      </c>
      <c r="X3113">
        <v>0.99684629999999996</v>
      </c>
      <c r="Y3113">
        <v>-4.4898920000000002E-2</v>
      </c>
      <c r="Z3113" s="1">
        <v>5.937956E-5</v>
      </c>
      <c r="AA3113">
        <v>0.99899150000000003</v>
      </c>
      <c r="AB3113">
        <v>29</v>
      </c>
      <c r="AC3113">
        <v>216.52879999999999</v>
      </c>
      <c r="AD3113">
        <v>6.3650390000000003</v>
      </c>
      <c r="AE3113">
        <v>15.0791</v>
      </c>
      <c r="AF3113">
        <v>-9.7645234392445097</v>
      </c>
      <c r="AG3113">
        <v>6.3650390000000003</v>
      </c>
      <c r="AH3113">
        <v>216.64678978483499</v>
      </c>
      <c r="AI3113">
        <v>88.318851341241398</v>
      </c>
      <c r="AJ3113">
        <v>92.580641091986394</v>
      </c>
      <c r="AK3113">
        <v>216.96011422273401</v>
      </c>
      <c r="AL3113">
        <v>85.905339191608505</v>
      </c>
      <c r="AM3113">
        <v>88.010597399796893</v>
      </c>
      <c r="AN3113">
        <v>1.0000000555449999</v>
      </c>
    </row>
    <row r="3114" spans="1:40" x14ac:dyDescent="0.25">
      <c r="A3114" t="str">
        <f>"20190312151047747"</f>
        <v>20190312151047747</v>
      </c>
      <c r="B3114" t="str">
        <f>"1552374647744114"</f>
        <v>1552374647744114</v>
      </c>
      <c r="C3114" t="s">
        <v>40</v>
      </c>
      <c r="D3114">
        <v>5.1864710000000001</v>
      </c>
      <c r="E3114">
        <v>0.45732679999999998</v>
      </c>
      <c r="F3114" t="s">
        <v>71</v>
      </c>
      <c r="G3114">
        <v>-169.1439</v>
      </c>
      <c r="H3114">
        <v>7.2453139999999996</v>
      </c>
      <c r="I3114">
        <v>229.17740000000001</v>
      </c>
      <c r="J3114">
        <v>-385.38549999999998</v>
      </c>
      <c r="K3114">
        <v>1.109699</v>
      </c>
      <c r="L3114">
        <v>213.91460000000001</v>
      </c>
      <c r="M3114">
        <v>0.99966500000000003</v>
      </c>
      <c r="N3114">
        <v>0</v>
      </c>
      <c r="O3114">
        <v>2.4718710000000001E-2</v>
      </c>
      <c r="P3114">
        <v>0.9979382</v>
      </c>
      <c r="Q3114">
        <v>6.345373E-2</v>
      </c>
      <c r="R3114">
        <v>-9.6541760000000004E-3</v>
      </c>
      <c r="S3114">
        <v>3.0029910000000002</v>
      </c>
      <c r="T3114">
        <v>8.5093740000000001E-2</v>
      </c>
      <c r="U3114">
        <v>0.21177670000000001</v>
      </c>
      <c r="V3114">
        <v>3.4285620000000003E-2</v>
      </c>
      <c r="W3114">
        <v>7.1131020000000003E-2</v>
      </c>
      <c r="X3114">
        <v>0.99687760000000003</v>
      </c>
      <c r="Y3114">
        <v>-4.5659169999999999E-2</v>
      </c>
      <c r="Z3114" s="1">
        <v>5.3268920000000002E-5</v>
      </c>
      <c r="AA3114">
        <v>0.99895710000000004</v>
      </c>
      <c r="AB3114">
        <v>29</v>
      </c>
      <c r="AC3114">
        <v>216.24160000000001</v>
      </c>
      <c r="AD3114">
        <v>6.1356149999999996</v>
      </c>
      <c r="AE3114">
        <v>15.2628</v>
      </c>
      <c r="AF3114">
        <v>-9.9048307361594894</v>
      </c>
      <c r="AG3114">
        <v>6.1356149999999996</v>
      </c>
      <c r="AH3114">
        <v>216.379471751984</v>
      </c>
      <c r="AI3114">
        <v>88.3774651528432</v>
      </c>
      <c r="AJ3114">
        <v>92.620900735892207</v>
      </c>
      <c r="AK3114">
        <v>216.69293306198901</v>
      </c>
      <c r="AL3114">
        <v>85.921048312113598</v>
      </c>
      <c r="AM3114">
        <v>88.030202187670199</v>
      </c>
      <c r="AN3114">
        <v>1.00000003756339</v>
      </c>
    </row>
    <row r="3115" spans="1:40" x14ac:dyDescent="0.25">
      <c r="A3115" t="str">
        <f>"20190312151047768"</f>
        <v>20190312151047768</v>
      </c>
      <c r="B3115" t="str">
        <f>"1552374647763635"</f>
        <v>1552374647763635</v>
      </c>
      <c r="C3115" t="s">
        <v>40</v>
      </c>
      <c r="D3115">
        <v>5.1832949999999904</v>
      </c>
      <c r="E3115">
        <v>0.45679209999999898</v>
      </c>
      <c r="F3115" t="s">
        <v>71</v>
      </c>
      <c r="G3115">
        <v>-167.89859999999999</v>
      </c>
      <c r="H3115">
        <v>10.00089</v>
      </c>
      <c r="I3115">
        <v>236.51580000000001</v>
      </c>
      <c r="J3115">
        <v>-385.09699999999998</v>
      </c>
      <c r="K3115">
        <v>1.1096600000000001</v>
      </c>
      <c r="L3115">
        <v>213.922</v>
      </c>
      <c r="M3115">
        <v>0.99966049999999995</v>
      </c>
      <c r="N3115">
        <v>0</v>
      </c>
      <c r="O3115">
        <v>2.4903080000000001E-2</v>
      </c>
      <c r="P3115">
        <v>0.99795880000000003</v>
      </c>
      <c r="Q3115">
        <v>6.3200370000000006E-2</v>
      </c>
      <c r="R3115">
        <v>-9.1715630000000006E-3</v>
      </c>
      <c r="S3115">
        <v>3.001404</v>
      </c>
      <c r="T3115">
        <v>0.1227026</v>
      </c>
      <c r="U3115">
        <v>0.31190489999999998</v>
      </c>
      <c r="V3115">
        <v>3.399394E-2</v>
      </c>
      <c r="W3115">
        <v>7.0864659999999996E-2</v>
      </c>
      <c r="X3115">
        <v>0.99690650000000003</v>
      </c>
      <c r="Y3115">
        <v>-7.8516310000000006E-2</v>
      </c>
      <c r="Z3115">
        <v>-5.8541810000000002E-4</v>
      </c>
      <c r="AA3115">
        <v>0.99691269999999998</v>
      </c>
      <c r="AB3115">
        <v>29</v>
      </c>
      <c r="AC3115">
        <v>217.19839999999999</v>
      </c>
      <c r="AD3115">
        <v>8.8912300000000002</v>
      </c>
      <c r="AE3115">
        <v>22.593800000000002</v>
      </c>
      <c r="AF3115">
        <v>-17.149294263846201</v>
      </c>
      <c r="AG3115">
        <v>8.8912300000000002</v>
      </c>
      <c r="AH3115">
        <v>217.33340937108801</v>
      </c>
      <c r="AI3115">
        <v>87.664555740620699</v>
      </c>
      <c r="AJ3115">
        <v>94.511733572841607</v>
      </c>
      <c r="AK3115">
        <v>218.190199352587</v>
      </c>
      <c r="AL3115">
        <v>85.936347986297093</v>
      </c>
      <c r="AM3115">
        <v>88.047003501296402</v>
      </c>
      <c r="AN3115">
        <v>0.99999997886794401</v>
      </c>
    </row>
    <row r="3116" spans="1:40" x14ac:dyDescent="0.25">
      <c r="A3116" t="str">
        <f>"20190312151047791"</f>
        <v>20190312151047791</v>
      </c>
      <c r="B3116" t="str">
        <f>"1552374647784130"</f>
        <v>1552374647784130</v>
      </c>
      <c r="C3116" t="s">
        <v>40</v>
      </c>
      <c r="D3116">
        <v>5.185689</v>
      </c>
      <c r="E3116">
        <v>0.45661819999999997</v>
      </c>
      <c r="F3116" t="s">
        <v>71</v>
      </c>
      <c r="G3116">
        <v>-167.89859999999999</v>
      </c>
      <c r="H3116">
        <v>9.9913270000000001</v>
      </c>
      <c r="I3116">
        <v>236.90950000000001</v>
      </c>
      <c r="J3116">
        <v>-384.79820000000001</v>
      </c>
      <c r="K3116">
        <v>1.109613</v>
      </c>
      <c r="L3116">
        <v>213.92959999999999</v>
      </c>
      <c r="M3116">
        <v>0.99965729999999997</v>
      </c>
      <c r="N3116">
        <v>0</v>
      </c>
      <c r="O3116">
        <v>2.5039059999999998E-2</v>
      </c>
      <c r="P3116">
        <v>0.99797619999999998</v>
      </c>
      <c r="Q3116">
        <v>6.2904370000000001E-2</v>
      </c>
      <c r="R3116">
        <v>-9.3203399999999999E-3</v>
      </c>
      <c r="S3116">
        <v>3.0012509999999999</v>
      </c>
      <c r="T3116">
        <v>0.1227278</v>
      </c>
      <c r="U3116">
        <v>0.31764219999999999</v>
      </c>
      <c r="V3116">
        <v>3.4286129999999998E-2</v>
      </c>
      <c r="W3116">
        <v>7.0557389999999998E-2</v>
      </c>
      <c r="X3116">
        <v>0.99691830000000003</v>
      </c>
      <c r="Y3116">
        <v>-8.0269439999999997E-2</v>
      </c>
      <c r="Z3116">
        <v>-6.1570720000000002E-4</v>
      </c>
      <c r="AA3116">
        <v>0.99677300000000002</v>
      </c>
      <c r="AB3116">
        <v>30</v>
      </c>
      <c r="AC3116">
        <v>216.89959999999999</v>
      </c>
      <c r="AD3116">
        <v>8.8817140000000006</v>
      </c>
      <c r="AE3116">
        <v>22.979900000000001</v>
      </c>
      <c r="AF3116">
        <v>-17.512535565855401</v>
      </c>
      <c r="AG3116">
        <v>8.8817140000000006</v>
      </c>
      <c r="AH3116">
        <v>217.04710374039101</v>
      </c>
      <c r="AI3116">
        <v>87.664307437995205</v>
      </c>
      <c r="AJ3116">
        <v>94.612940756671705</v>
      </c>
      <c r="AK3116">
        <v>217.933519651327</v>
      </c>
      <c r="AL3116">
        <v>85.953997487150403</v>
      </c>
      <c r="AM3116">
        <v>88.030253266371503</v>
      </c>
      <c r="AN3116">
        <v>0.99999999043443899</v>
      </c>
    </row>
    <row r="3117" spans="1:40" x14ac:dyDescent="0.25">
      <c r="A3117" t="str">
        <f>"20190312151047815"</f>
        <v>20190312151047815</v>
      </c>
      <c r="B3117" t="str">
        <f>"1552374647803650"</f>
        <v>1552374647803650</v>
      </c>
      <c r="C3117" t="s">
        <v>40</v>
      </c>
      <c r="D3117">
        <v>5.1789709999999998</v>
      </c>
      <c r="E3117">
        <v>0.45652500000000001</v>
      </c>
      <c r="F3117" t="s">
        <v>71</v>
      </c>
      <c r="G3117">
        <v>-167.89859999999999</v>
      </c>
      <c r="H3117">
        <v>10.02552</v>
      </c>
      <c r="I3117">
        <v>236.94589999999999</v>
      </c>
      <c r="J3117">
        <v>-384.48259999999999</v>
      </c>
      <c r="K3117">
        <v>1.109569</v>
      </c>
      <c r="L3117">
        <v>213.9376</v>
      </c>
      <c r="M3117">
        <v>0.99965510000000002</v>
      </c>
      <c r="N3117">
        <v>0</v>
      </c>
      <c r="O3117">
        <v>2.512793E-2</v>
      </c>
      <c r="P3117">
        <v>0.99795710000000004</v>
      </c>
      <c r="Q3117">
        <v>6.3208219999999996E-2</v>
      </c>
      <c r="R3117">
        <v>-9.3184110000000004E-3</v>
      </c>
      <c r="S3117">
        <v>3.0012819999999998</v>
      </c>
      <c r="T3117">
        <v>0.123372</v>
      </c>
      <c r="U3117">
        <v>0.31848140000000003</v>
      </c>
      <c r="V3117">
        <v>3.4379670000000001E-2</v>
      </c>
      <c r="W3117">
        <v>7.0849460000000003E-2</v>
      </c>
      <c r="X3117">
        <v>0.99689439999999996</v>
      </c>
      <c r="Y3117">
        <v>-8.0454849999999994E-2</v>
      </c>
      <c r="Z3117">
        <v>-6.1908280000000002E-4</v>
      </c>
      <c r="AA3117">
        <v>0.99675800000000003</v>
      </c>
      <c r="AB3117">
        <v>30</v>
      </c>
      <c r="AC3117">
        <v>216.584</v>
      </c>
      <c r="AD3117">
        <v>8.9159509999999997</v>
      </c>
      <c r="AE3117">
        <v>23.008299999999899</v>
      </c>
      <c r="AF3117">
        <v>-17.529193883765998</v>
      </c>
      <c r="AG3117">
        <v>8.9159509999999997</v>
      </c>
      <c r="AH3117">
        <v>216.73059006045901</v>
      </c>
      <c r="AI3117">
        <v>87.651930197409399</v>
      </c>
      <c r="AJ3117">
        <v>94.624023631399794</v>
      </c>
      <c r="AK3117">
        <v>217.62103641055501</v>
      </c>
      <c r="AL3117">
        <v>85.937221269404702</v>
      </c>
      <c r="AM3117">
        <v>88.0248363057147</v>
      </c>
      <c r="AN3117">
        <v>1.0000000262214701</v>
      </c>
    </row>
    <row r="3118" spans="1:40" x14ac:dyDescent="0.25">
      <c r="A3118" t="str">
        <f>"20190312151047837"</f>
        <v>20190312151047837</v>
      </c>
      <c r="B3118" t="str">
        <f>"1552374647833907"</f>
        <v>1552374647833907</v>
      </c>
      <c r="C3118" t="s">
        <v>40</v>
      </c>
      <c r="D3118">
        <v>5.1215890000000002</v>
      </c>
      <c r="E3118">
        <v>0.45651190000000003</v>
      </c>
      <c r="F3118" t="s">
        <v>71</v>
      </c>
      <c r="G3118">
        <v>-167.89859999999999</v>
      </c>
      <c r="H3118">
        <v>10.067</v>
      </c>
      <c r="I3118">
        <v>236.9802</v>
      </c>
      <c r="J3118">
        <v>-384.18720000000002</v>
      </c>
      <c r="K3118">
        <v>1.1095299999999999</v>
      </c>
      <c r="L3118">
        <v>213.9451</v>
      </c>
      <c r="M3118">
        <v>0.99965389999999998</v>
      </c>
      <c r="N3118">
        <v>0</v>
      </c>
      <c r="O3118">
        <v>2.5170430000000001E-2</v>
      </c>
      <c r="P3118">
        <v>0.99795909999999999</v>
      </c>
      <c r="Q3118">
        <v>6.3168169999999996E-2</v>
      </c>
      <c r="R3118">
        <v>-9.3668459999999999E-3</v>
      </c>
      <c r="S3118">
        <v>3.0012509999999999</v>
      </c>
      <c r="T3118">
        <v>0.12412570000000001</v>
      </c>
      <c r="U3118">
        <v>0.31930540000000002</v>
      </c>
      <c r="V3118">
        <v>3.4476369999999999E-2</v>
      </c>
      <c r="W3118">
        <v>7.0800459999999996E-2</v>
      </c>
      <c r="X3118">
        <v>0.99689450000000002</v>
      </c>
      <c r="Y3118">
        <v>-8.0683389999999994E-2</v>
      </c>
      <c r="Z3118">
        <v>-6.2582049999999998E-4</v>
      </c>
      <c r="AA3118">
        <v>0.99673959999999995</v>
      </c>
      <c r="AB3118">
        <v>30</v>
      </c>
      <c r="AC3118">
        <v>216.2886</v>
      </c>
      <c r="AD3118">
        <v>8.9574699999999901</v>
      </c>
      <c r="AE3118">
        <v>23.0351</v>
      </c>
      <c r="AF3118">
        <v>-17.553795254769501</v>
      </c>
      <c r="AG3118">
        <v>8.9574699999999901</v>
      </c>
      <c r="AH3118">
        <v>216.43283798463</v>
      </c>
      <c r="AI3118">
        <v>87.637809296935004</v>
      </c>
      <c r="AJ3118">
        <v>94.636827538248596</v>
      </c>
      <c r="AK3118">
        <v>217.328197330048</v>
      </c>
      <c r="AL3118">
        <v>85.940035661617301</v>
      </c>
      <c r="AM3118">
        <v>88.019285362947798</v>
      </c>
      <c r="AN3118">
        <v>0.99999998467741902</v>
      </c>
    </row>
    <row r="3119" spans="1:40" x14ac:dyDescent="0.25">
      <c r="A3119" t="str">
        <f>"20190312151047858"</f>
        <v>20190312151047858</v>
      </c>
      <c r="B3119" t="str">
        <f>"1552374647854402"</f>
        <v>1552374647854402</v>
      </c>
      <c r="C3119" t="s">
        <v>40</v>
      </c>
      <c r="D3119">
        <v>5.3230219999999999</v>
      </c>
      <c r="E3119">
        <v>0.4567793</v>
      </c>
      <c r="F3119" t="s">
        <v>71</v>
      </c>
      <c r="G3119">
        <v>-167.89859999999999</v>
      </c>
      <c r="H3119">
        <v>9.9423250000000003</v>
      </c>
      <c r="I3119">
        <v>236.9573</v>
      </c>
      <c r="J3119">
        <v>-383.90890000000002</v>
      </c>
      <c r="K3119">
        <v>1.1095090000000001</v>
      </c>
      <c r="L3119">
        <v>213.9521</v>
      </c>
      <c r="M3119">
        <v>0.99965380000000004</v>
      </c>
      <c r="N3119">
        <v>0</v>
      </c>
      <c r="O3119">
        <v>2.51837E-2</v>
      </c>
      <c r="P3119">
        <v>0.99795529999999999</v>
      </c>
      <c r="Q3119">
        <v>6.3192670000000006E-2</v>
      </c>
      <c r="R3119">
        <v>-9.6144709999999994E-3</v>
      </c>
      <c r="S3119">
        <v>3.001404</v>
      </c>
      <c r="T3119">
        <v>0.1225721</v>
      </c>
      <c r="U3119">
        <v>0.31933590000000001</v>
      </c>
      <c r="V3119">
        <v>3.4741220000000003E-2</v>
      </c>
      <c r="W3119">
        <v>7.0818039999999999E-2</v>
      </c>
      <c r="X3119">
        <v>0.99688399999999999</v>
      </c>
      <c r="Y3119">
        <v>-8.0676029999999996E-2</v>
      </c>
      <c r="Z3119">
        <v>-6.1727250000000004E-4</v>
      </c>
      <c r="AA3119">
        <v>0.99674019999999997</v>
      </c>
      <c r="AB3119">
        <v>30</v>
      </c>
      <c r="AC3119">
        <v>216.0103</v>
      </c>
      <c r="AD3119">
        <v>8.8328159999999993</v>
      </c>
      <c r="AE3119">
        <v>23.005199999999999</v>
      </c>
      <c r="AF3119">
        <v>-17.528826349434599</v>
      </c>
      <c r="AG3119">
        <v>8.8328159999999993</v>
      </c>
      <c r="AH3119">
        <v>216.16377591070699</v>
      </c>
      <c r="AI3119">
        <v>87.667746652454696</v>
      </c>
      <c r="AJ3119">
        <v>94.635998954946601</v>
      </c>
      <c r="AK3119">
        <v>217.05311886184199</v>
      </c>
      <c r="AL3119">
        <v>85.939025637781199</v>
      </c>
      <c r="AM3119">
        <v>88.004060622274196</v>
      </c>
      <c r="AN3119">
        <v>0.99999992830626205</v>
      </c>
    </row>
    <row r="3120" spans="1:40" x14ac:dyDescent="0.25">
      <c r="A3120" t="str">
        <f>"20190312151047881"</f>
        <v>20190312151047881</v>
      </c>
      <c r="B3120" t="str">
        <f>"1552374647873451"</f>
        <v>1552374647873451</v>
      </c>
      <c r="C3120" t="s">
        <v>40</v>
      </c>
      <c r="D3120">
        <v>5.1844900000000003</v>
      </c>
      <c r="E3120">
        <v>0.45689560000000001</v>
      </c>
      <c r="F3120" t="s">
        <v>71</v>
      </c>
      <c r="G3120">
        <v>-167.89859999999999</v>
      </c>
      <c r="H3120">
        <v>9.8345669999999998</v>
      </c>
      <c r="I3120">
        <v>236.71610000000001</v>
      </c>
      <c r="J3120">
        <v>-383.60120000000001</v>
      </c>
      <c r="K3120">
        <v>1.109491</v>
      </c>
      <c r="L3120">
        <v>213.9599</v>
      </c>
      <c r="M3120">
        <v>0.99965389999999998</v>
      </c>
      <c r="N3120">
        <v>0</v>
      </c>
      <c r="O3120">
        <v>2.5173549999999999E-2</v>
      </c>
      <c r="P3120">
        <v>0.99794430000000001</v>
      </c>
      <c r="Q3120">
        <v>6.3432550000000004E-2</v>
      </c>
      <c r="R3120">
        <v>-9.1603420000000001E-3</v>
      </c>
      <c r="S3120">
        <v>3.0015559999999999</v>
      </c>
      <c r="T3120">
        <v>0.12123920000000001</v>
      </c>
      <c r="U3120">
        <v>0.3163147</v>
      </c>
      <c r="V3120">
        <v>3.4279789999999997E-2</v>
      </c>
      <c r="W3120">
        <v>7.105206E-2</v>
      </c>
      <c r="X3120">
        <v>0.99688339999999998</v>
      </c>
      <c r="Y3120">
        <v>-7.9690419999999998E-2</v>
      </c>
      <c r="Z3120">
        <v>-5.9112979999999997E-4</v>
      </c>
      <c r="AA3120">
        <v>0.99681949999999997</v>
      </c>
      <c r="AB3120">
        <v>30</v>
      </c>
      <c r="AC3120">
        <v>215.70259999999999</v>
      </c>
      <c r="AD3120">
        <v>8.7250759999999996</v>
      </c>
      <c r="AE3120">
        <v>22.7562</v>
      </c>
      <c r="AF3120">
        <v>-17.290850056605102</v>
      </c>
      <c r="AG3120">
        <v>8.7250759999999996</v>
      </c>
      <c r="AH3120">
        <v>215.85781812930199</v>
      </c>
      <c r="AI3120">
        <v>87.692719734674398</v>
      </c>
      <c r="AJ3120">
        <v>94.579782840499206</v>
      </c>
      <c r="AK3120">
        <v>216.72493648500401</v>
      </c>
      <c r="AL3120">
        <v>85.925583734618797</v>
      </c>
      <c r="AM3120">
        <v>88.030548322070601</v>
      </c>
      <c r="AN3120">
        <v>1.0000000062141201</v>
      </c>
    </row>
    <row r="3121" spans="1:40" x14ac:dyDescent="0.25">
      <c r="A3121" t="str">
        <f>"20190312151047903"</f>
        <v>20190312151047903</v>
      </c>
      <c r="B3121" t="str">
        <f>"1552374647893947"</f>
        <v>1552374647893947</v>
      </c>
      <c r="C3121" t="s">
        <v>40</v>
      </c>
      <c r="D3121">
        <v>5.4528270000000001</v>
      </c>
      <c r="E3121">
        <v>0.45695239999999998</v>
      </c>
      <c r="F3121" t="s">
        <v>71</v>
      </c>
      <c r="G3121">
        <v>-167.89859999999999</v>
      </c>
      <c r="H3121">
        <v>9.8118049999999997</v>
      </c>
      <c r="I3121">
        <v>236.72</v>
      </c>
      <c r="J3121">
        <v>-383.29840000000002</v>
      </c>
      <c r="K3121">
        <v>1.1094790000000001</v>
      </c>
      <c r="L3121">
        <v>213.9675</v>
      </c>
      <c r="M3121">
        <v>0.99965459999999995</v>
      </c>
      <c r="N3121">
        <v>0</v>
      </c>
      <c r="O3121">
        <v>2.514835E-2</v>
      </c>
      <c r="P3121">
        <v>0.99791030000000003</v>
      </c>
      <c r="Q3121">
        <v>6.4014760000000004E-2</v>
      </c>
      <c r="R3121">
        <v>-8.7877649999999995E-3</v>
      </c>
      <c r="S3121">
        <v>3.001404</v>
      </c>
      <c r="T3121">
        <v>0.1210895</v>
      </c>
      <c r="U3121">
        <v>0.31669619999999998</v>
      </c>
      <c r="V3121">
        <v>3.3883620000000003E-2</v>
      </c>
      <c r="W3121">
        <v>7.1629460000000006E-2</v>
      </c>
      <c r="X3121">
        <v>0.99685559999999995</v>
      </c>
      <c r="Y3121">
        <v>-7.984608E-2</v>
      </c>
      <c r="Z3121">
        <v>-5.9456910000000001E-4</v>
      </c>
      <c r="AA3121">
        <v>0.996807</v>
      </c>
      <c r="AB3121">
        <v>30</v>
      </c>
      <c r="AC3121">
        <v>215.3998</v>
      </c>
      <c r="AD3121">
        <v>8.7023259999999993</v>
      </c>
      <c r="AE3121">
        <v>22.752500000000001</v>
      </c>
      <c r="AF3121">
        <v>-17.3002699913126</v>
      </c>
      <c r="AG3121">
        <v>8.7023259999999993</v>
      </c>
      <c r="AH3121">
        <v>215.55592255122801</v>
      </c>
      <c r="AI3121">
        <v>87.695538354161599</v>
      </c>
      <c r="AJ3121">
        <v>94.588657531647996</v>
      </c>
      <c r="AK3121">
        <v>216.42408730659699</v>
      </c>
      <c r="AL3121">
        <v>85.8924165470752</v>
      </c>
      <c r="AM3121">
        <v>88.053237324628199</v>
      </c>
      <c r="AN3121">
        <v>0.99999998324777695</v>
      </c>
    </row>
    <row r="3122" spans="1:40" x14ac:dyDescent="0.25">
      <c r="A3122" t="str">
        <f>"20190312151047925"</f>
        <v>20190312151047925</v>
      </c>
      <c r="B3122" t="str">
        <f>"1552374647913471"</f>
        <v>1552374647913471</v>
      </c>
      <c r="C3122" t="s">
        <v>40</v>
      </c>
      <c r="D3122">
        <v>5.4576580000000003</v>
      </c>
      <c r="E3122">
        <v>0.45689229999999997</v>
      </c>
      <c r="F3122" t="s">
        <v>71</v>
      </c>
      <c r="G3122">
        <v>-167.89859999999999</v>
      </c>
      <c r="H3122">
        <v>9.8093710000000005</v>
      </c>
      <c r="I3122">
        <v>236.74019999999999</v>
      </c>
      <c r="J3122">
        <v>-383.01330000000002</v>
      </c>
      <c r="K3122">
        <v>1.109467</v>
      </c>
      <c r="L3122">
        <v>213.97470000000001</v>
      </c>
      <c r="M3122">
        <v>0.99965559999999998</v>
      </c>
      <c r="N3122">
        <v>0</v>
      </c>
      <c r="O3122">
        <v>2.5111290000000001E-2</v>
      </c>
      <c r="P3122">
        <v>0.99790500000000004</v>
      </c>
      <c r="Q3122">
        <v>6.4215060000000004E-2</v>
      </c>
      <c r="R3122">
        <v>-7.8969499999999998E-3</v>
      </c>
      <c r="S3122">
        <v>3.001312</v>
      </c>
      <c r="T3122">
        <v>0.12122230000000001</v>
      </c>
      <c r="U3122">
        <v>0.31730649999999999</v>
      </c>
      <c r="V3122">
        <v>3.295795E-2</v>
      </c>
      <c r="W3122">
        <v>7.1826379999999995E-2</v>
      </c>
      <c r="X3122">
        <v>0.99687250000000005</v>
      </c>
      <c r="Y3122">
        <v>-8.0086350000000001E-2</v>
      </c>
      <c r="Z3122">
        <v>-6.0156089999999999E-4</v>
      </c>
      <c r="AA3122">
        <v>0.99678770000000005</v>
      </c>
      <c r="AB3122">
        <v>30</v>
      </c>
      <c r="AC3122">
        <v>215.1147</v>
      </c>
      <c r="AD3122">
        <v>8.6999040000000001</v>
      </c>
      <c r="AE3122">
        <v>22.7654999999999</v>
      </c>
      <c r="AF3122">
        <v>-17.3283271464263</v>
      </c>
      <c r="AG3122">
        <v>8.6999040000000001</v>
      </c>
      <c r="AH3122">
        <v>215.27034412294299</v>
      </c>
      <c r="AI3122">
        <v>87.693169654036694</v>
      </c>
      <c r="AJ3122">
        <v>94.602138433629193</v>
      </c>
      <c r="AK3122">
        <v>216.14180602121701</v>
      </c>
      <c r="AL3122">
        <v>85.881104869977307</v>
      </c>
      <c r="AM3122">
        <v>88.106413944956898</v>
      </c>
      <c r="AN3122">
        <v>1.00000001829417</v>
      </c>
    </row>
    <row r="3123" spans="1:40" x14ac:dyDescent="0.25">
      <c r="A3123" t="str">
        <f>"20190312151047947"</f>
        <v>20190312151047947</v>
      </c>
      <c r="B3123" t="str">
        <f>"1552374647943725"</f>
        <v>1552374647943725</v>
      </c>
      <c r="C3123" t="s">
        <v>40</v>
      </c>
      <c r="D3123">
        <v>5.4992390000000002</v>
      </c>
      <c r="E3123">
        <v>0.45701950000000002</v>
      </c>
      <c r="F3123" t="s">
        <v>71</v>
      </c>
      <c r="G3123">
        <v>-167.89859999999999</v>
      </c>
      <c r="H3123">
        <v>9.6934889999999996</v>
      </c>
      <c r="I3123">
        <v>236.9529</v>
      </c>
      <c r="J3123">
        <v>-382.70060000000001</v>
      </c>
      <c r="K3123">
        <v>1.1094520000000001</v>
      </c>
      <c r="L3123">
        <v>213.98249999999999</v>
      </c>
      <c r="M3123">
        <v>0.99965689999999996</v>
      </c>
      <c r="N3123">
        <v>0</v>
      </c>
      <c r="O3123">
        <v>2.5053200000000001E-2</v>
      </c>
      <c r="P3123">
        <v>0.99790630000000002</v>
      </c>
      <c r="Q3123">
        <v>6.4301999999999998E-2</v>
      </c>
      <c r="R3123">
        <v>-6.9739939999999999E-3</v>
      </c>
      <c r="S3123">
        <v>3.001099</v>
      </c>
      <c r="T3123">
        <v>0.1197578</v>
      </c>
      <c r="U3123">
        <v>0.32057190000000002</v>
      </c>
      <c r="V3123">
        <v>3.1980120000000001E-2</v>
      </c>
      <c r="W3123">
        <v>7.1912939999999995E-2</v>
      </c>
      <c r="X3123">
        <v>0.99689810000000001</v>
      </c>
      <c r="Y3123">
        <v>-8.1224229999999994E-2</v>
      </c>
      <c r="Z3123">
        <v>-6.1924910000000003E-4</v>
      </c>
      <c r="AA3123">
        <v>0.99669560000000001</v>
      </c>
      <c r="AB3123">
        <v>30</v>
      </c>
      <c r="AC3123">
        <v>214.80199999999999</v>
      </c>
      <c r="AD3123">
        <v>8.5840369999999897</v>
      </c>
      <c r="AE3123">
        <v>22.970400000000001</v>
      </c>
      <c r="AF3123">
        <v>-17.5538383232652</v>
      </c>
      <c r="AG3123">
        <v>8.5840369999999897</v>
      </c>
      <c r="AH3123">
        <v>214.97064488542</v>
      </c>
      <c r="AI3123">
        <v>87.720902981548207</v>
      </c>
      <c r="AJ3123">
        <v>94.668238914827299</v>
      </c>
      <c r="AK3123">
        <v>215.85689957365301</v>
      </c>
      <c r="AL3123">
        <v>85.876132456361503</v>
      </c>
      <c r="AM3123">
        <v>88.162602835995997</v>
      </c>
      <c r="AN3123">
        <v>1.00000001039913</v>
      </c>
    </row>
    <row r="3124" spans="1:40" x14ac:dyDescent="0.25">
      <c r="A3124" t="str">
        <f>"20190312151047969"</f>
        <v>20190312151047969</v>
      </c>
      <c r="B3124" t="str">
        <f>"1552374647964220"</f>
        <v>1552374647964220</v>
      </c>
      <c r="C3124" t="s">
        <v>40</v>
      </c>
      <c r="D3124">
        <v>5.3116830000000004</v>
      </c>
      <c r="E3124">
        <v>0.45716230000000002</v>
      </c>
      <c r="F3124" t="s">
        <v>71</v>
      </c>
      <c r="G3124">
        <v>-167.89859999999999</v>
      </c>
      <c r="H3124">
        <v>9.5042799999999996</v>
      </c>
      <c r="I3124">
        <v>237.05160000000001</v>
      </c>
      <c r="J3124">
        <v>-382.41250000000002</v>
      </c>
      <c r="K3124">
        <v>1.109429</v>
      </c>
      <c r="L3124">
        <v>213.9897</v>
      </c>
      <c r="M3124">
        <v>0.99965879999999996</v>
      </c>
      <c r="N3124">
        <v>0</v>
      </c>
      <c r="O3124">
        <v>2.4981420000000001E-2</v>
      </c>
      <c r="P3124">
        <v>0.99790909999999999</v>
      </c>
      <c r="Q3124">
        <v>6.4337329999999998E-2</v>
      </c>
      <c r="R3124">
        <v>-6.1858360000000001E-3</v>
      </c>
      <c r="S3124">
        <v>3.0009769999999998</v>
      </c>
      <c r="T3124">
        <v>0.1172841</v>
      </c>
      <c r="U3124">
        <v>0.32229609999999997</v>
      </c>
      <c r="V3124">
        <v>3.1124160000000001E-2</v>
      </c>
      <c r="W3124">
        <v>7.1952409999999994E-2</v>
      </c>
      <c r="X3124">
        <v>0.99692230000000004</v>
      </c>
      <c r="Y3124">
        <v>-8.1867480000000006E-2</v>
      </c>
      <c r="Z3124">
        <v>-6.2179800000000001E-4</v>
      </c>
      <c r="AA3124">
        <v>0.99664299999999995</v>
      </c>
      <c r="AB3124">
        <v>30</v>
      </c>
      <c r="AC3124">
        <v>214.51390000000001</v>
      </c>
      <c r="AD3124">
        <v>8.3948509999999992</v>
      </c>
      <c r="AE3124">
        <v>23.061900000000001</v>
      </c>
      <c r="AF3124">
        <v>-17.668933835865001</v>
      </c>
      <c r="AG3124">
        <v>8.3948509999999992</v>
      </c>
      <c r="AH3124">
        <v>214.698033759026</v>
      </c>
      <c r="AI3124">
        <v>87.768370260526495</v>
      </c>
      <c r="AJ3124">
        <v>94.704650006854195</v>
      </c>
      <c r="AK3124">
        <v>215.58736151778501</v>
      </c>
      <c r="AL3124">
        <v>85.8738649408387</v>
      </c>
      <c r="AM3124">
        <v>88.2117924771172</v>
      </c>
      <c r="AN3124">
        <v>0.99999996743890096</v>
      </c>
    </row>
    <row r="3125" spans="1:40" x14ac:dyDescent="0.25">
      <c r="A3125" t="str">
        <f>"20190312151047994"</f>
        <v>20190312151047994</v>
      </c>
      <c r="B3125" t="str">
        <f>"1552374647984246"</f>
        <v>1552374647984246</v>
      </c>
      <c r="C3125" t="s">
        <v>40</v>
      </c>
      <c r="D3125">
        <v>5.1917090000000004</v>
      </c>
      <c r="E3125">
        <v>0.45726519999999998</v>
      </c>
      <c r="F3125" t="s">
        <v>71</v>
      </c>
      <c r="G3125">
        <v>-167.89859999999999</v>
      </c>
      <c r="H3125">
        <v>9.3710660000000008</v>
      </c>
      <c r="I3125">
        <v>237.1302</v>
      </c>
      <c r="J3125">
        <v>-382.08440000000002</v>
      </c>
      <c r="K3125">
        <v>1.1094079999999999</v>
      </c>
      <c r="L3125">
        <v>213.99780000000001</v>
      </c>
      <c r="M3125">
        <v>0.99966129999999997</v>
      </c>
      <c r="N3125">
        <v>0</v>
      </c>
      <c r="O3125">
        <v>2.4878299999999999E-2</v>
      </c>
      <c r="P3125">
        <v>0.99791470000000004</v>
      </c>
      <c r="Q3125">
        <v>6.4270400000000005E-2</v>
      </c>
      <c r="R3125">
        <v>-5.9513159999999999E-3</v>
      </c>
      <c r="S3125">
        <v>3.0008539999999999</v>
      </c>
      <c r="T3125">
        <v>0.1155735</v>
      </c>
      <c r="U3125">
        <v>0.32371519999999998</v>
      </c>
      <c r="V3125">
        <v>3.0791099999999998E-2</v>
      </c>
      <c r="W3125">
        <v>7.1891049999999998E-2</v>
      </c>
      <c r="X3125">
        <v>0.99693710000000002</v>
      </c>
      <c r="Y3125">
        <v>-8.2441230000000004E-2</v>
      </c>
      <c r="Z3125">
        <v>-6.2771449999999998E-4</v>
      </c>
      <c r="AA3125">
        <v>0.99659569999999997</v>
      </c>
      <c r="AB3125">
        <v>30</v>
      </c>
      <c r="AC3125">
        <v>214.1858</v>
      </c>
      <c r="AD3125">
        <v>8.2616580000000006</v>
      </c>
      <c r="AE3125">
        <v>23.132399999999901</v>
      </c>
      <c r="AF3125">
        <v>-17.770371300933299</v>
      </c>
      <c r="AG3125">
        <v>8.2616580000000006</v>
      </c>
      <c r="AH3125">
        <v>214.379731604146</v>
      </c>
      <c r="AI3125">
        <v>87.800592028259103</v>
      </c>
      <c r="AJ3125">
        <v>94.738530376582005</v>
      </c>
      <c r="AK3125">
        <v>215.27357109442801</v>
      </c>
      <c r="AL3125">
        <v>85.877389864984906</v>
      </c>
      <c r="AM3125">
        <v>88.230942127593707</v>
      </c>
      <c r="AN3125">
        <v>0.999999998132861</v>
      </c>
    </row>
    <row r="3126" spans="1:40" x14ac:dyDescent="0.25">
      <c r="A3126" t="str">
        <f>"20190312151048015"</f>
        <v>20190312151048015</v>
      </c>
      <c r="B3126" t="str">
        <f>"1552374648003768"</f>
        <v>1552374648003768</v>
      </c>
      <c r="C3126" t="s">
        <v>40</v>
      </c>
      <c r="D3126">
        <v>5.3085680000000002</v>
      </c>
      <c r="E3126">
        <v>0.4573796</v>
      </c>
      <c r="F3126" t="s">
        <v>71</v>
      </c>
      <c r="G3126">
        <v>-167.89859999999999</v>
      </c>
      <c r="H3126">
        <v>9.2390989999999995</v>
      </c>
      <c r="I3126">
        <v>237.0703</v>
      </c>
      <c r="J3126">
        <v>-381.78190000000001</v>
      </c>
      <c r="K3126">
        <v>1.109391</v>
      </c>
      <c r="L3126">
        <v>214.0052</v>
      </c>
      <c r="M3126">
        <v>0.99966410000000006</v>
      </c>
      <c r="N3126">
        <v>0</v>
      </c>
      <c r="O3126">
        <v>2.476306E-2</v>
      </c>
      <c r="P3126">
        <v>0.99791560000000001</v>
      </c>
      <c r="Q3126">
        <v>6.4266790000000004E-2</v>
      </c>
      <c r="R3126">
        <v>-5.8539019999999898E-3</v>
      </c>
      <c r="S3126">
        <v>3.0008539999999999</v>
      </c>
      <c r="T3126">
        <v>0.113902</v>
      </c>
      <c r="U3126">
        <v>0.32325739999999997</v>
      </c>
      <c r="V3126">
        <v>3.0581899999999999E-2</v>
      </c>
      <c r="W3126">
        <v>7.1892949999999997E-2</v>
      </c>
      <c r="X3126">
        <v>0.99694340000000004</v>
      </c>
      <c r="Y3126">
        <v>-8.2407010000000003E-2</v>
      </c>
      <c r="Z3126">
        <v>-6.2235559999999999E-4</v>
      </c>
      <c r="AA3126">
        <v>0.99659850000000005</v>
      </c>
      <c r="AB3126">
        <v>30</v>
      </c>
      <c r="AC3126">
        <v>213.88329999999999</v>
      </c>
      <c r="AD3126">
        <v>8.1297080000000008</v>
      </c>
      <c r="AE3126">
        <v>23.065100000000001</v>
      </c>
      <c r="AF3126">
        <v>-17.736136862249399</v>
      </c>
      <c r="AG3126">
        <v>8.1297080000000008</v>
      </c>
      <c r="AH3126">
        <v>214.083144204809</v>
      </c>
      <c r="AI3126">
        <v>87.832682328890002</v>
      </c>
      <c r="AJ3126">
        <v>94.735965408181997</v>
      </c>
      <c r="AK3126">
        <v>214.97035920232901</v>
      </c>
      <c r="AL3126">
        <v>85.877280711096006</v>
      </c>
      <c r="AM3126">
        <v>88.242964945972403</v>
      </c>
      <c r="AN3126">
        <v>0.99999999583543597</v>
      </c>
    </row>
    <row r="3127" spans="1:40" x14ac:dyDescent="0.25">
      <c r="A3127" t="str">
        <f>"20190312151048038"</f>
        <v>20190312151048038</v>
      </c>
      <c r="B3127" t="str">
        <f>"1552374648034023"</f>
        <v>1552374648034023</v>
      </c>
      <c r="C3127" t="s">
        <v>40</v>
      </c>
      <c r="D3127">
        <v>5.1984440000000003</v>
      </c>
      <c r="E3127">
        <v>0.45746120000000001</v>
      </c>
      <c r="F3127" t="s">
        <v>71</v>
      </c>
      <c r="G3127">
        <v>-167.89859999999999</v>
      </c>
      <c r="H3127">
        <v>9.1763549999999992</v>
      </c>
      <c r="I3127">
        <v>237.02420000000001</v>
      </c>
      <c r="J3127">
        <v>-381.47289999999998</v>
      </c>
      <c r="K3127">
        <v>1.1093729999999999</v>
      </c>
      <c r="L3127">
        <v>214.0127</v>
      </c>
      <c r="M3127">
        <v>0.99966730000000004</v>
      </c>
      <c r="N3127">
        <v>0</v>
      </c>
      <c r="O3127">
        <v>2.4628540000000001E-2</v>
      </c>
      <c r="P3127">
        <v>0.99794939999999999</v>
      </c>
      <c r="Q3127">
        <v>6.3688190000000006E-2</v>
      </c>
      <c r="R3127">
        <v>-6.4024140000000004E-3</v>
      </c>
      <c r="S3127">
        <v>3.0008849999999998</v>
      </c>
      <c r="T3127">
        <v>0.1131841</v>
      </c>
      <c r="U3127">
        <v>0.32296750000000002</v>
      </c>
      <c r="V3127">
        <v>3.0999229999999999E-2</v>
      </c>
      <c r="W3127">
        <v>7.1320789999999995E-2</v>
      </c>
      <c r="X3127">
        <v>0.99697159999999996</v>
      </c>
      <c r="Y3127">
        <v>-8.2445229999999994E-2</v>
      </c>
      <c r="Z3127">
        <v>-6.2420409999999998E-4</v>
      </c>
      <c r="AA3127">
        <v>0.99659540000000002</v>
      </c>
      <c r="AB3127">
        <v>30</v>
      </c>
      <c r="AC3127">
        <v>213.57429999999999</v>
      </c>
      <c r="AD3127">
        <v>8.0669819999999994</v>
      </c>
      <c r="AE3127">
        <v>23.011500000000002</v>
      </c>
      <c r="AF3127">
        <v>-17.719352298745399</v>
      </c>
      <c r="AG3127">
        <v>8.0669819999999994</v>
      </c>
      <c r="AH3127">
        <v>213.774782712476</v>
      </c>
      <c r="AI3127">
        <v>87.846296843249107</v>
      </c>
      <c r="AJ3127">
        <v>94.738297843254102</v>
      </c>
      <c r="AK3127">
        <v>214.65951963107</v>
      </c>
      <c r="AL3127">
        <v>85.910147409105207</v>
      </c>
      <c r="AM3127">
        <v>88.219053588298806</v>
      </c>
      <c r="AN3127">
        <v>0.99999998927668798</v>
      </c>
    </row>
    <row r="3128" spans="1:40" x14ac:dyDescent="0.25">
      <c r="A3128" t="str">
        <f>"20190312151048060"</f>
        <v>20190312151048060</v>
      </c>
      <c r="B3128" t="str">
        <f>"1552374648053543"</f>
        <v>1552374648053543</v>
      </c>
      <c r="C3128" t="s">
        <v>40</v>
      </c>
      <c r="D3128">
        <v>5.1361650000000001</v>
      </c>
      <c r="E3128">
        <v>0.45755709999999999</v>
      </c>
      <c r="F3128" t="s">
        <v>71</v>
      </c>
      <c r="G3128">
        <v>-167.89859999999999</v>
      </c>
      <c r="H3128">
        <v>8.9138899999999897</v>
      </c>
      <c r="I3128">
        <v>236.82980000000001</v>
      </c>
      <c r="J3128">
        <v>-381.16980000000001</v>
      </c>
      <c r="K3128">
        <v>1.1093569999999999</v>
      </c>
      <c r="L3128">
        <v>214.02010000000001</v>
      </c>
      <c r="M3128">
        <v>0.99967090000000003</v>
      </c>
      <c r="N3128">
        <v>0</v>
      </c>
      <c r="O3128">
        <v>2.4483520000000002E-2</v>
      </c>
      <c r="P3128">
        <v>0.99794510000000003</v>
      </c>
      <c r="Q3128">
        <v>6.3686069999999997E-2</v>
      </c>
      <c r="R3128">
        <v>-7.0711389999999997E-3</v>
      </c>
      <c r="S3128">
        <v>3.0012210000000001</v>
      </c>
      <c r="T3128">
        <v>0.10967250000000001</v>
      </c>
      <c r="U3128">
        <v>0.3206329</v>
      </c>
      <c r="V3128">
        <v>3.1524629999999998E-2</v>
      </c>
      <c r="W3128">
        <v>7.1324600000000002E-2</v>
      </c>
      <c r="X3128">
        <v>0.99695489999999998</v>
      </c>
      <c r="Y3128">
        <v>-8.1814310000000001E-2</v>
      </c>
      <c r="Z3128">
        <v>-5.9859349999999997E-4</v>
      </c>
      <c r="AA3128">
        <v>0.99664739999999996</v>
      </c>
      <c r="AB3128">
        <v>31</v>
      </c>
      <c r="AC3128">
        <v>213.27119999999999</v>
      </c>
      <c r="AD3128">
        <v>7.8045329999999904</v>
      </c>
      <c r="AE3128">
        <v>22.8096999999999</v>
      </c>
      <c r="AF3128">
        <v>-17.557832529200599</v>
      </c>
      <c r="AG3128">
        <v>7.8045329999999904</v>
      </c>
      <c r="AH3128">
        <v>213.48309001371601</v>
      </c>
      <c r="AI3128">
        <v>87.913347500145207</v>
      </c>
      <c r="AJ3128">
        <v>94.701686828958401</v>
      </c>
      <c r="AK3128">
        <v>214.346023849933</v>
      </c>
      <c r="AL3128">
        <v>85.909928749316506</v>
      </c>
      <c r="AM3128">
        <v>88.188858287100501</v>
      </c>
      <c r="AN3128">
        <v>1.0000000367479001</v>
      </c>
    </row>
    <row r="3129" spans="1:40" x14ac:dyDescent="0.25">
      <c r="A3129" t="str">
        <f>"20190312151048092"</f>
        <v>20190312151048092</v>
      </c>
      <c r="B3129" t="str">
        <f>"1552374648083803"</f>
        <v>1552374648083803</v>
      </c>
      <c r="C3129" t="s">
        <v>40</v>
      </c>
      <c r="D3129">
        <v>5.2556459999999996</v>
      </c>
      <c r="E3129">
        <v>0.45773340000000001</v>
      </c>
      <c r="F3129" t="s">
        <v>71</v>
      </c>
      <c r="G3129">
        <v>-167.89859999999999</v>
      </c>
      <c r="H3129">
        <v>8.8144159999999996</v>
      </c>
      <c r="I3129">
        <v>236.60310000000001</v>
      </c>
      <c r="J3129">
        <v>-380.72469999999998</v>
      </c>
      <c r="K3129">
        <v>1.109343</v>
      </c>
      <c r="L3129">
        <v>214.0307</v>
      </c>
      <c r="M3129">
        <v>0.99967620000000001</v>
      </c>
      <c r="N3129">
        <v>0</v>
      </c>
      <c r="O3129">
        <v>2.426012E-2</v>
      </c>
      <c r="P3129">
        <v>0.99794970000000005</v>
      </c>
      <c r="Q3129">
        <v>6.3401070000000004E-2</v>
      </c>
      <c r="R3129">
        <v>-8.7675600000000006E-3</v>
      </c>
      <c r="S3129">
        <v>3.0014949999999998</v>
      </c>
      <c r="T3129">
        <v>0.1084387</v>
      </c>
      <c r="U3129">
        <v>0.31782529999999998</v>
      </c>
      <c r="V3129">
        <v>3.2998899999999998E-2</v>
      </c>
      <c r="W3129">
        <v>7.1048739999999999E-2</v>
      </c>
      <c r="X3129">
        <v>0.9969268</v>
      </c>
      <c r="Y3129">
        <v>-8.110668E-2</v>
      </c>
      <c r="Z3129">
        <v>-5.8713250000000004E-4</v>
      </c>
      <c r="AA3129">
        <v>0.99670519999999996</v>
      </c>
      <c r="AB3129">
        <v>31</v>
      </c>
      <c r="AC3129">
        <v>212.8261</v>
      </c>
      <c r="AD3129">
        <v>7.7050729999999996</v>
      </c>
      <c r="AE3129">
        <v>22.572399999999998</v>
      </c>
      <c r="AF3129">
        <v>-17.379890752835401</v>
      </c>
      <c r="AG3129">
        <v>7.7050729999999996</v>
      </c>
      <c r="AH3129">
        <v>213.03496339155299</v>
      </c>
      <c r="AI3129">
        <v>87.935475615537996</v>
      </c>
      <c r="AJ3129">
        <v>94.663994700009496</v>
      </c>
      <c r="AK3129">
        <v>213.88156624579901</v>
      </c>
      <c r="AL3129">
        <v>85.925774199794901</v>
      </c>
      <c r="AM3129">
        <v>88.104166086229796</v>
      </c>
      <c r="AN3129">
        <v>0.99999994770751699</v>
      </c>
    </row>
    <row r="3130" spans="1:40" x14ac:dyDescent="0.25">
      <c r="A3130" t="str">
        <f>"20190312151048115"</f>
        <v>20190312151048115</v>
      </c>
      <c r="B3130" t="str">
        <f>"1552374648104298"</f>
        <v>1552374648104298</v>
      </c>
      <c r="C3130" t="s">
        <v>40</v>
      </c>
      <c r="D3130">
        <v>5.2551430000000003</v>
      </c>
      <c r="E3130">
        <v>0.45777109999999899</v>
      </c>
      <c r="F3130" t="s">
        <v>71</v>
      </c>
      <c r="G3130">
        <v>-167.89859999999999</v>
      </c>
      <c r="H3130">
        <v>8.5805220000000002</v>
      </c>
      <c r="I3130">
        <v>236.10300000000001</v>
      </c>
      <c r="J3130">
        <v>-380.41890000000001</v>
      </c>
      <c r="K3130">
        <v>1.1093390000000001</v>
      </c>
      <c r="L3130">
        <v>214.03800000000001</v>
      </c>
      <c r="M3130">
        <v>0.99968000000000001</v>
      </c>
      <c r="N3130">
        <v>0</v>
      </c>
      <c r="O3130">
        <v>2.4104029999999999E-2</v>
      </c>
      <c r="P3130">
        <v>0.99792009999999998</v>
      </c>
      <c r="Q3130">
        <v>6.3805559999999997E-2</v>
      </c>
      <c r="R3130">
        <v>-9.2102079999999992E-3</v>
      </c>
      <c r="S3130">
        <v>3.002167</v>
      </c>
      <c r="T3130">
        <v>0.1053907</v>
      </c>
      <c r="U3130">
        <v>0.31135559999999901</v>
      </c>
      <c r="V3130">
        <v>3.3285740000000001E-2</v>
      </c>
      <c r="W3130">
        <v>7.1458729999999998E-2</v>
      </c>
      <c r="X3130">
        <v>0.996888</v>
      </c>
      <c r="Y3130">
        <v>-7.9117380000000001E-2</v>
      </c>
      <c r="Z3130">
        <v>-5.4121690000000005E-4</v>
      </c>
      <c r="AA3130">
        <v>0.99686520000000001</v>
      </c>
      <c r="AB3130">
        <v>31</v>
      </c>
      <c r="AC3130">
        <v>212.52029999999999</v>
      </c>
      <c r="AD3130">
        <v>7.4711829999999999</v>
      </c>
      <c r="AE3130">
        <v>22.065000000000001</v>
      </c>
      <c r="AF3130">
        <v>-16.915159988040301</v>
      </c>
      <c r="AG3130">
        <v>7.4711829999999999</v>
      </c>
      <c r="AH3130">
        <v>212.73031463418101</v>
      </c>
      <c r="AI3130">
        <v>87.994897055919594</v>
      </c>
      <c r="AJ3130">
        <v>94.546284109340505</v>
      </c>
      <c r="AK3130">
        <v>213.53249864411299</v>
      </c>
      <c r="AL3130">
        <v>85.902223805060899</v>
      </c>
      <c r="AM3130">
        <v>88.087624527888806</v>
      </c>
      <c r="AN3130">
        <v>0.99999998756228003</v>
      </c>
    </row>
    <row r="3131" spans="1:40" x14ac:dyDescent="0.25">
      <c r="A3131" t="str">
        <f>"20190312151048137"</f>
        <v>20190312151048137</v>
      </c>
      <c r="B3131" t="str">
        <f>"1552374648133576"</f>
        <v>1552374648133576</v>
      </c>
      <c r="C3131" t="s">
        <v>40</v>
      </c>
      <c r="D3131">
        <v>5.1935149999999997</v>
      </c>
      <c r="E3131">
        <v>0.45785629999999999</v>
      </c>
      <c r="F3131" t="s">
        <v>71</v>
      </c>
      <c r="G3131">
        <v>-167.89859999999999</v>
      </c>
      <c r="H3131">
        <v>8.5899479999999997</v>
      </c>
      <c r="I3131">
        <v>235.96360000000001</v>
      </c>
      <c r="J3131">
        <v>-380.11270000000002</v>
      </c>
      <c r="K3131">
        <v>1.109337</v>
      </c>
      <c r="L3131">
        <v>214.04519999999999</v>
      </c>
      <c r="M3131">
        <v>0.99968389999999996</v>
      </c>
      <c r="N3131">
        <v>0</v>
      </c>
      <c r="O3131">
        <v>2.3948810000000001E-2</v>
      </c>
      <c r="P3131">
        <v>0.99790619999999997</v>
      </c>
      <c r="Q3131">
        <v>6.3984979999999997E-2</v>
      </c>
      <c r="R3131">
        <v>-9.4699239999999994E-3</v>
      </c>
      <c r="S3131">
        <v>3.00238</v>
      </c>
      <c r="T3131">
        <v>0.1056831</v>
      </c>
      <c r="U3131">
        <v>0.30975340000000001</v>
      </c>
      <c r="V3131">
        <v>3.339048E-2</v>
      </c>
      <c r="W3131">
        <v>7.1634240000000002E-2</v>
      </c>
      <c r="X3131">
        <v>0.99687190000000003</v>
      </c>
      <c r="Y3131">
        <v>-7.8738509999999998E-2</v>
      </c>
      <c r="Z3131">
        <v>-5.4148759999999999E-4</v>
      </c>
      <c r="AA3131">
        <v>0.99689510000000003</v>
      </c>
      <c r="AB3131">
        <v>31</v>
      </c>
      <c r="AC3131">
        <v>212.2141</v>
      </c>
      <c r="AD3131">
        <v>7.4806109999999997</v>
      </c>
      <c r="AE3131">
        <v>21.918399999999998</v>
      </c>
      <c r="AF3131">
        <v>-16.809023009136101</v>
      </c>
      <c r="AG3131">
        <v>7.4806109999999997</v>
      </c>
      <c r="AH3131">
        <v>212.41700549762399</v>
      </c>
      <c r="AI3131">
        <v>87.989349529347393</v>
      </c>
      <c r="AJ3131">
        <v>94.524512255317404</v>
      </c>
      <c r="AK3131">
        <v>213.21230503897399</v>
      </c>
      <c r="AL3131">
        <v>85.892141982309695</v>
      </c>
      <c r="AM3131">
        <v>88.081580399219604</v>
      </c>
      <c r="AN3131">
        <v>0.99999998675230894</v>
      </c>
    </row>
    <row r="3132" spans="1:40" x14ac:dyDescent="0.25">
      <c r="A3132" t="str">
        <f>"20190312151048158"</f>
        <v>20190312151048158</v>
      </c>
      <c r="B3132" t="str">
        <f>"1552374648154071"</f>
        <v>1552374648154071</v>
      </c>
      <c r="C3132" t="s">
        <v>40</v>
      </c>
      <c r="D3132">
        <v>5.1959819999999999</v>
      </c>
      <c r="E3132">
        <v>0.45785680000000001</v>
      </c>
      <c r="F3132" t="s">
        <v>71</v>
      </c>
      <c r="G3132">
        <v>-169.1439</v>
      </c>
      <c r="H3132">
        <v>8.4586600000000001</v>
      </c>
      <c r="I3132">
        <v>235.70930000000001</v>
      </c>
      <c r="J3132">
        <v>-379.80720000000002</v>
      </c>
      <c r="K3132">
        <v>1.1093309999999901</v>
      </c>
      <c r="L3132">
        <v>214.05240000000001</v>
      </c>
      <c r="M3132">
        <v>0.99968729999999995</v>
      </c>
      <c r="N3132">
        <v>0</v>
      </c>
      <c r="O3132">
        <v>2.379595E-2</v>
      </c>
      <c r="P3132">
        <v>0.99790610000000002</v>
      </c>
      <c r="Q3132">
        <v>6.4071039999999996E-2</v>
      </c>
      <c r="R3132">
        <v>-8.845192E-3</v>
      </c>
      <c r="S3132">
        <v>3.002472</v>
      </c>
      <c r="T3132">
        <v>0.1045951</v>
      </c>
      <c r="U3132">
        <v>0.30831910000000001</v>
      </c>
      <c r="V3132">
        <v>3.261406E-2</v>
      </c>
      <c r="W3132">
        <v>7.1710330000000003E-2</v>
      </c>
      <c r="X3132">
        <v>0.99689220000000001</v>
      </c>
      <c r="Y3132">
        <v>-7.841737E-2</v>
      </c>
      <c r="Z3132">
        <v>-5.3563959999999996E-4</v>
      </c>
      <c r="AA3132">
        <v>0.99692049999999999</v>
      </c>
      <c r="AB3132">
        <v>31</v>
      </c>
      <c r="AC3132">
        <v>210.66329999999999</v>
      </c>
      <c r="AD3132">
        <v>7.3493289999999902</v>
      </c>
      <c r="AE3132">
        <v>21.6569</v>
      </c>
      <c r="AF3132">
        <v>-16.617672356792699</v>
      </c>
      <c r="AG3132">
        <v>7.3493289999999902</v>
      </c>
      <c r="AH3132">
        <v>210.86505119034001</v>
      </c>
      <c r="AI3132">
        <v>88.010029659677997</v>
      </c>
      <c r="AJ3132">
        <v>94.506003841427201</v>
      </c>
      <c r="AK3132">
        <v>211.646472885359</v>
      </c>
      <c r="AL3132">
        <v>85.887771379976698</v>
      </c>
      <c r="AM3132">
        <v>88.126194853070899</v>
      </c>
      <c r="AN3132">
        <v>1.0000000533796101</v>
      </c>
    </row>
    <row r="3133" spans="1:40" x14ac:dyDescent="0.25">
      <c r="A3133" t="str">
        <f>"20190312151048182"</f>
        <v>20190312151048182</v>
      </c>
      <c r="B3133" t="str">
        <f>"1552374648173594"</f>
        <v>1552374648173594</v>
      </c>
      <c r="C3133" t="s">
        <v>40</v>
      </c>
      <c r="D3133">
        <v>5.1962539999999997</v>
      </c>
      <c r="E3133">
        <v>0.45787</v>
      </c>
      <c r="F3133" t="s">
        <v>71</v>
      </c>
      <c r="G3133">
        <v>-169.1439</v>
      </c>
      <c r="H3133">
        <v>8.4138710000000003</v>
      </c>
      <c r="I3133">
        <v>235.81659999999999</v>
      </c>
      <c r="J3133">
        <v>-379.48869999999999</v>
      </c>
      <c r="K3133">
        <v>1.109326</v>
      </c>
      <c r="L3133">
        <v>214.0598</v>
      </c>
      <c r="M3133">
        <v>0.99969140000000001</v>
      </c>
      <c r="N3133">
        <v>0</v>
      </c>
      <c r="O3133">
        <v>2.3637869999999998E-2</v>
      </c>
      <c r="P3133">
        <v>0.99790690000000004</v>
      </c>
      <c r="Q3133">
        <v>6.4146389999999998E-2</v>
      </c>
      <c r="R3133">
        <v>-8.2147279999999993E-3</v>
      </c>
      <c r="S3133">
        <v>3.0023499999999999</v>
      </c>
      <c r="T3133">
        <v>0.1041043</v>
      </c>
      <c r="U3133">
        <v>0.31018069999999998</v>
      </c>
      <c r="V3133">
        <v>3.1826390000000003E-2</v>
      </c>
      <c r="W3133">
        <v>7.177074E-2</v>
      </c>
      <c r="X3133">
        <v>0.9969133</v>
      </c>
      <c r="Y3133">
        <v>-7.919052E-2</v>
      </c>
      <c r="Z3133">
        <v>-5.5195959999999997E-4</v>
      </c>
      <c r="AA3133">
        <v>0.99685939999999995</v>
      </c>
      <c r="AB3133">
        <v>31</v>
      </c>
      <c r="AC3133">
        <v>210.34479999999999</v>
      </c>
      <c r="AD3133">
        <v>7.3045450000000001</v>
      </c>
      <c r="AE3133">
        <v>21.756799999999998</v>
      </c>
      <c r="AF3133">
        <v>-16.758476726139001</v>
      </c>
      <c r="AG3133">
        <v>7.3045450000000001</v>
      </c>
      <c r="AH3133">
        <v>210.54910263772601</v>
      </c>
      <c r="AI3133">
        <v>88.0193031218123</v>
      </c>
      <c r="AJ3133">
        <v>94.550814863955907</v>
      </c>
      <c r="AK3133">
        <v>211.34125849296299</v>
      </c>
      <c r="AL3133">
        <v>85.884301157686295</v>
      </c>
      <c r="AM3133">
        <v>88.171457144658504</v>
      </c>
      <c r="AN3133">
        <v>1.0000000429687299</v>
      </c>
    </row>
    <row r="3134" spans="1:40" x14ac:dyDescent="0.25">
      <c r="A3134" t="str">
        <f>"20190312151048204"</f>
        <v>20190312151048204</v>
      </c>
      <c r="B3134" t="str">
        <f>"1552374648194087"</f>
        <v>1552374648194087</v>
      </c>
      <c r="C3134" t="s">
        <v>40</v>
      </c>
      <c r="D3134">
        <v>5.2490259999999997</v>
      </c>
      <c r="E3134">
        <v>0.47436830000000002</v>
      </c>
      <c r="F3134" t="s">
        <v>71</v>
      </c>
      <c r="G3134">
        <v>-169.1439</v>
      </c>
      <c r="H3134">
        <v>8.3531669999999991</v>
      </c>
      <c r="I3134">
        <v>235.9246</v>
      </c>
      <c r="J3134">
        <v>-379.17059999999998</v>
      </c>
      <c r="K3134">
        <v>1.1093150000000001</v>
      </c>
      <c r="L3134">
        <v>214.06720000000001</v>
      </c>
      <c r="M3134">
        <v>0.99969509999999995</v>
      </c>
      <c r="N3134">
        <v>0</v>
      </c>
      <c r="O3134">
        <v>2.3481519999999999E-2</v>
      </c>
      <c r="P3134">
        <v>0.99791470000000004</v>
      </c>
      <c r="Q3134">
        <v>6.4099249999999997E-2</v>
      </c>
      <c r="R3134">
        <v>-7.5977609999999998E-3</v>
      </c>
      <c r="S3134">
        <v>3.0022280000000001</v>
      </c>
      <c r="T3134">
        <v>0.10339130000000001</v>
      </c>
      <c r="U3134">
        <v>0.31207279999999998</v>
      </c>
      <c r="V3134">
        <v>3.105401E-2</v>
      </c>
      <c r="W3134">
        <v>7.1706989999999998E-2</v>
      </c>
      <c r="X3134">
        <v>0.9969422</v>
      </c>
      <c r="Y3134">
        <v>-7.9972039999999994E-2</v>
      </c>
      <c r="Z3134">
        <v>-5.669688E-4</v>
      </c>
      <c r="AA3134">
        <v>0.99679700000000004</v>
      </c>
      <c r="AB3134">
        <v>31</v>
      </c>
      <c r="AC3134">
        <v>210.02670000000001</v>
      </c>
      <c r="AD3134">
        <v>7.2438519999999897</v>
      </c>
      <c r="AE3134">
        <v>21.857399999999899</v>
      </c>
      <c r="AF3134">
        <v>-16.899595084418301</v>
      </c>
      <c r="AG3134">
        <v>7.2438519999999897</v>
      </c>
      <c r="AH3134">
        <v>210.23463681262101</v>
      </c>
      <c r="AI3134">
        <v>88.0329353327418</v>
      </c>
      <c r="AJ3134">
        <v>94.595807720333198</v>
      </c>
      <c r="AK3134">
        <v>211.03713469802</v>
      </c>
      <c r="AL3134">
        <v>85.887963009752397</v>
      </c>
      <c r="AM3134">
        <v>88.215855858434693</v>
      </c>
      <c r="AN3134">
        <v>0.99999999704638998</v>
      </c>
    </row>
    <row r="3135" spans="1:40" x14ac:dyDescent="0.25">
      <c r="A3135" t="str">
        <f>"20190312151048250"</f>
        <v>20190312151048250</v>
      </c>
      <c r="B3135" t="str">
        <f>"1552374648243863"</f>
        <v>1552374648243863</v>
      </c>
      <c r="C3135" t="s">
        <v>40</v>
      </c>
      <c r="D3135">
        <v>5.2544380000000004</v>
      </c>
      <c r="E3135">
        <v>0.49018400000000001</v>
      </c>
      <c r="F3135" t="s">
        <v>71</v>
      </c>
      <c r="G3135">
        <v>-169.1439</v>
      </c>
      <c r="H3135">
        <v>8.2486139999999999</v>
      </c>
      <c r="I3135">
        <v>226.8229</v>
      </c>
      <c r="J3135">
        <v>-378.53469999999999</v>
      </c>
      <c r="K3135">
        <v>1.109289</v>
      </c>
      <c r="L3135">
        <v>214.08179999999999</v>
      </c>
      <c r="M3135">
        <v>0.9997028</v>
      </c>
      <c r="N3135">
        <v>0</v>
      </c>
      <c r="O3135">
        <v>2.316965E-2</v>
      </c>
      <c r="P3135">
        <v>0.99796019999999996</v>
      </c>
      <c r="Q3135">
        <v>6.3535430000000004E-2</v>
      </c>
      <c r="R3135">
        <v>-6.2590509999999999E-3</v>
      </c>
      <c r="S3135">
        <v>3.0010680000000001</v>
      </c>
      <c r="T3135">
        <v>0.1020141</v>
      </c>
      <c r="U3135">
        <v>0.18226619999999999</v>
      </c>
      <c r="V3135">
        <v>2.9405629999999999E-2</v>
      </c>
      <c r="W3135">
        <v>7.1101049999999999E-2</v>
      </c>
      <c r="X3135">
        <v>0.99703560000000002</v>
      </c>
      <c r="Y3135">
        <v>-3.7469879999999997E-2</v>
      </c>
      <c r="Z3135">
        <v>1.503969E-4</v>
      </c>
      <c r="AA3135">
        <v>0.99929769999999896</v>
      </c>
      <c r="AB3135">
        <v>31</v>
      </c>
      <c r="AC3135">
        <v>209.39080000000001</v>
      </c>
      <c r="AD3135">
        <v>7.1393250000000004</v>
      </c>
      <c r="AE3135">
        <v>12.741099999999999</v>
      </c>
      <c r="AF3135">
        <v>-7.8769051867416904</v>
      </c>
      <c r="AG3135">
        <v>7.1393250000000004</v>
      </c>
      <c r="AH3135">
        <v>209.38728239086799</v>
      </c>
      <c r="AI3135">
        <v>88.048563492939195</v>
      </c>
      <c r="AJ3135">
        <v>92.154384460219305</v>
      </c>
      <c r="AK3135">
        <v>209.65698086114301</v>
      </c>
      <c r="AL3135">
        <v>85.922769749642697</v>
      </c>
      <c r="AM3135">
        <v>88.310661886186693</v>
      </c>
      <c r="AN3135">
        <v>1.0000000190270699</v>
      </c>
    </row>
    <row r="3136" spans="1:40" x14ac:dyDescent="0.25">
      <c r="A3136" t="str">
        <f>"20190312151048293"</f>
        <v>20190312151048293</v>
      </c>
      <c r="B3136" t="str">
        <f>"1552374648283879"</f>
        <v>1552374648283879</v>
      </c>
      <c r="C3136" t="s">
        <v>40</v>
      </c>
      <c r="D3136">
        <v>5.2558230000000004</v>
      </c>
      <c r="E3136">
        <v>0.49384869999999997</v>
      </c>
      <c r="F3136" t="s">
        <v>71</v>
      </c>
      <c r="G3136">
        <v>-158.4058</v>
      </c>
      <c r="H3136">
        <v>6.8479950000000001</v>
      </c>
      <c r="I3136">
        <v>218.49299999999999</v>
      </c>
      <c r="J3136">
        <v>-377.9298</v>
      </c>
      <c r="K3136">
        <v>1.10927</v>
      </c>
      <c r="L3136">
        <v>214.09549999999999</v>
      </c>
      <c r="M3136">
        <v>0.99971010000000005</v>
      </c>
      <c r="N3136">
        <v>0</v>
      </c>
      <c r="O3136">
        <v>2.2873439999999998E-2</v>
      </c>
      <c r="P3136">
        <v>0.99799090000000001</v>
      </c>
      <c r="Q3136">
        <v>6.3112740000000001E-2</v>
      </c>
      <c r="R3136">
        <v>-5.5985660000000001E-3</v>
      </c>
      <c r="S3136">
        <v>3.0015869999999998</v>
      </c>
      <c r="T3136">
        <v>7.8251360000000006E-2</v>
      </c>
      <c r="U3136">
        <v>6.0150149999999999E-2</v>
      </c>
      <c r="V3136">
        <v>2.8450389999999999E-2</v>
      </c>
      <c r="W3136">
        <v>7.061257E-2</v>
      </c>
      <c r="X3136">
        <v>0.99709800000000004</v>
      </c>
      <c r="Y3136">
        <v>2.8305840000000001E-3</v>
      </c>
      <c r="Z3136">
        <v>6.3298E-4</v>
      </c>
      <c r="AA3136">
        <v>0.99999579999999999</v>
      </c>
      <c r="AB3136">
        <v>31</v>
      </c>
      <c r="AC3136">
        <v>219.524</v>
      </c>
      <c r="AD3136">
        <v>5.7387249999999996</v>
      </c>
      <c r="AE3136">
        <v>4.3975</v>
      </c>
      <c r="AF3136">
        <v>0.62463484662308699</v>
      </c>
      <c r="AG3136">
        <v>5.7387249999999996</v>
      </c>
      <c r="AH3136">
        <v>219.41726439298299</v>
      </c>
      <c r="AI3136">
        <v>88.5018113806006</v>
      </c>
      <c r="AJ3136">
        <v>89.836891395636499</v>
      </c>
      <c r="AK3136">
        <v>219.49318678951599</v>
      </c>
      <c r="AL3136">
        <v>85.950828001526304</v>
      </c>
      <c r="AM3136">
        <v>88.365611892021207</v>
      </c>
      <c r="AN3136">
        <v>0.99999999066857803</v>
      </c>
    </row>
    <row r="3137" spans="1:40" x14ac:dyDescent="0.25">
      <c r="A3137" t="str">
        <f>"20190312151048316"</f>
        <v>20190312151048316</v>
      </c>
      <c r="B3137" t="str">
        <f>"1552374648304378"</f>
        <v>1552374648304378</v>
      </c>
      <c r="C3137" t="s">
        <v>40</v>
      </c>
      <c r="D3137">
        <v>5.1540679999999996</v>
      </c>
      <c r="E3137">
        <v>0.49549969999999999</v>
      </c>
      <c r="F3137" t="s">
        <v>70</v>
      </c>
      <c r="G3137">
        <v>-109.68</v>
      </c>
      <c r="H3137">
        <v>8.2973059999999901</v>
      </c>
      <c r="I3137">
        <v>217.0264</v>
      </c>
      <c r="J3137">
        <v>-377.61219999999997</v>
      </c>
      <c r="K3137">
        <v>1.109256</v>
      </c>
      <c r="L3137">
        <v>214.1026</v>
      </c>
      <c r="M3137">
        <v>0.99971390000000004</v>
      </c>
      <c r="N3137">
        <v>0</v>
      </c>
      <c r="O3137">
        <v>2.271799E-2</v>
      </c>
      <c r="P3137">
        <v>0.99804300000000001</v>
      </c>
      <c r="Q3137">
        <v>6.2239419999999997E-2</v>
      </c>
      <c r="R3137">
        <v>-6.057443E-3</v>
      </c>
      <c r="S3137">
        <v>3.00116</v>
      </c>
      <c r="T3137">
        <v>8.0419779999999996E-2</v>
      </c>
      <c r="U3137">
        <v>3.2791140000000003E-2</v>
      </c>
      <c r="V3137">
        <v>2.875496E-2</v>
      </c>
      <c r="W3137">
        <v>6.9695030000000005E-2</v>
      </c>
      <c r="X3137">
        <v>0.99715379999999998</v>
      </c>
      <c r="Y3137">
        <v>1.178221E-2</v>
      </c>
      <c r="Z3137">
        <v>7.6641449999999896E-4</v>
      </c>
      <c r="AA3137">
        <v>0.99993030000000005</v>
      </c>
      <c r="AB3137">
        <v>31</v>
      </c>
      <c r="AC3137">
        <v>267.93220000000002</v>
      </c>
      <c r="AD3137">
        <v>7.1880499999999898</v>
      </c>
      <c r="AE3137">
        <v>2.9238</v>
      </c>
      <c r="AF3137">
        <v>3.1617308144015399</v>
      </c>
      <c r="AG3137">
        <v>7.1880499999999898</v>
      </c>
      <c r="AH3137">
        <v>267.73679459047497</v>
      </c>
      <c r="AI3137">
        <v>88.462231059788394</v>
      </c>
      <c r="AJ3137">
        <v>89.323419809833496</v>
      </c>
      <c r="AK3137">
        <v>267.85192883779501</v>
      </c>
      <c r="AL3137">
        <v>86.003528947731397</v>
      </c>
      <c r="AM3137">
        <v>88.348217303864402</v>
      </c>
      <c r="AN3137">
        <v>0.99999997289287001</v>
      </c>
    </row>
    <row r="3138" spans="1:40" x14ac:dyDescent="0.25">
      <c r="A3138" t="str">
        <f>"20190312151048338"</f>
        <v>20190312151048338</v>
      </c>
      <c r="B3138" t="str">
        <f>"1552374648333655"</f>
        <v>1552374648333655</v>
      </c>
      <c r="C3138" t="s">
        <v>40</v>
      </c>
      <c r="D3138">
        <v>5.2520049999999996</v>
      </c>
      <c r="E3138">
        <v>0.49687530000000002</v>
      </c>
      <c r="F3138" t="s">
        <v>70</v>
      </c>
      <c r="G3138">
        <v>-109.68</v>
      </c>
      <c r="H3138">
        <v>7.7631030000000001</v>
      </c>
      <c r="I3138">
        <v>215.744</v>
      </c>
      <c r="J3138">
        <v>-377.2971</v>
      </c>
      <c r="K3138">
        <v>1.1092390000000001</v>
      </c>
      <c r="L3138">
        <v>214.1096</v>
      </c>
      <c r="M3138">
        <v>0.99971779999999999</v>
      </c>
      <c r="N3138">
        <v>0</v>
      </c>
      <c r="O3138">
        <v>2.2563690000000001E-2</v>
      </c>
      <c r="P3138">
        <v>0.99810739999999998</v>
      </c>
      <c r="Q3138">
        <v>6.1170000000000002E-2</v>
      </c>
      <c r="R3138">
        <v>-6.3507540000000001E-3</v>
      </c>
      <c r="S3138">
        <v>3.0013429999999999</v>
      </c>
      <c r="T3138">
        <v>7.4536089999999999E-2</v>
      </c>
      <c r="U3138">
        <v>1.8386840000000002E-2</v>
      </c>
      <c r="V3138">
        <v>2.8895319999999999E-2</v>
      </c>
      <c r="W3138">
        <v>6.8576189999999995E-2</v>
      </c>
      <c r="X3138">
        <v>0.99722730000000004</v>
      </c>
      <c r="Y3138">
        <v>1.6427339999999999E-2</v>
      </c>
      <c r="Z3138">
        <v>7.6417779999999995E-4</v>
      </c>
      <c r="AA3138">
        <v>0.9998648</v>
      </c>
      <c r="AB3138">
        <v>32</v>
      </c>
      <c r="AC3138">
        <v>267.61709999999999</v>
      </c>
      <c r="AD3138">
        <v>6.6538639999999996</v>
      </c>
      <c r="AE3138">
        <v>1.6344000000000201</v>
      </c>
      <c r="AF3138">
        <v>4.4018909884468096</v>
      </c>
      <c r="AG3138">
        <v>6.6538639999999996</v>
      </c>
      <c r="AH3138">
        <v>267.420532228284</v>
      </c>
      <c r="AI3138">
        <v>88.574873550510105</v>
      </c>
      <c r="AJ3138">
        <v>89.056964705088006</v>
      </c>
      <c r="AK3138">
        <v>267.53951410523098</v>
      </c>
      <c r="AL3138">
        <v>86.067787467788605</v>
      </c>
      <c r="AM3138">
        <v>88.340281316568195</v>
      </c>
      <c r="AN3138">
        <v>0.99999996060905305</v>
      </c>
    </row>
    <row r="3139" spans="1:40" x14ac:dyDescent="0.25">
      <c r="A3139" t="str">
        <f>"20190312151048360"</f>
        <v>20190312151048360</v>
      </c>
      <c r="B3139" t="str">
        <f>"1552374648354151"</f>
        <v>1552374648354151</v>
      </c>
      <c r="C3139" t="s">
        <v>40</v>
      </c>
      <c r="D3139">
        <v>5.3158880000000002</v>
      </c>
      <c r="E3139">
        <v>0.49770239999999999</v>
      </c>
      <c r="F3139" t="s">
        <v>70</v>
      </c>
      <c r="G3139">
        <v>-107.39749999999999</v>
      </c>
      <c r="H3139">
        <v>7.0589119999999896</v>
      </c>
      <c r="I3139">
        <v>214.71459999999999</v>
      </c>
      <c r="J3139">
        <v>-376.97539999999998</v>
      </c>
      <c r="K3139">
        <v>1.109224</v>
      </c>
      <c r="L3139">
        <v>214.11670000000001</v>
      </c>
      <c r="M3139">
        <v>0.99972190000000005</v>
      </c>
      <c r="N3139">
        <v>0</v>
      </c>
      <c r="O3139">
        <v>2.2405890000000001E-2</v>
      </c>
      <c r="P3139">
        <v>0.99810690000000002</v>
      </c>
      <c r="Q3139">
        <v>6.109796E-2</v>
      </c>
      <c r="R3139">
        <v>-7.0656989999999999E-3</v>
      </c>
      <c r="S3139">
        <v>3.0016780000000001</v>
      </c>
      <c r="T3139">
        <v>6.6169619999999998E-2</v>
      </c>
      <c r="U3139">
        <v>6.7291259999999898E-3</v>
      </c>
      <c r="V3139">
        <v>2.9452780000000001E-2</v>
      </c>
      <c r="W3139">
        <v>6.8448690000000006E-2</v>
      </c>
      <c r="X3139">
        <v>0.99721979999999999</v>
      </c>
      <c r="Y3139">
        <v>2.0154890000000002E-2</v>
      </c>
      <c r="Z3139">
        <v>7.1596089999999995E-4</v>
      </c>
      <c r="AA3139">
        <v>0.99979660000000004</v>
      </c>
      <c r="AB3139">
        <v>32</v>
      </c>
      <c r="AC3139">
        <v>269.5779</v>
      </c>
      <c r="AD3139">
        <v>5.9496879999999903</v>
      </c>
      <c r="AE3139">
        <v>0.597899999999981</v>
      </c>
      <c r="AF3139">
        <v>5.4398964984799996</v>
      </c>
      <c r="AG3139">
        <v>5.9496879999999903</v>
      </c>
      <c r="AH3139">
        <v>269.39239651283702</v>
      </c>
      <c r="AI3139">
        <v>88.735052809312094</v>
      </c>
      <c r="AJ3139">
        <v>88.843171670044796</v>
      </c>
      <c r="AK3139">
        <v>269.51299516005002</v>
      </c>
      <c r="AL3139">
        <v>86.075110077777197</v>
      </c>
      <c r="AM3139">
        <v>88.308267078680103</v>
      </c>
      <c r="AN3139">
        <v>1.0000000094622401</v>
      </c>
    </row>
    <row r="3140" spans="1:40" x14ac:dyDescent="0.25">
      <c r="A3140" t="str">
        <f>"20190312151048383"</f>
        <v>20190312151048383</v>
      </c>
      <c r="B3140" t="str">
        <f>"1552374648373671"</f>
        <v>1552374648373671</v>
      </c>
      <c r="C3140" t="s">
        <v>40</v>
      </c>
      <c r="D3140">
        <v>5.4189870000000004</v>
      </c>
      <c r="E3140">
        <v>0.49842589999999998</v>
      </c>
      <c r="F3140" t="s">
        <v>70</v>
      </c>
      <c r="G3140">
        <v>-107.39749999999999</v>
      </c>
      <c r="H3140">
        <v>6.7584309999999999</v>
      </c>
      <c r="I3140">
        <v>213.90969999999999</v>
      </c>
      <c r="J3140">
        <v>-376.65499999999997</v>
      </c>
      <c r="K3140">
        <v>1.1092139999999999</v>
      </c>
      <c r="L3140">
        <v>214.12370000000001</v>
      </c>
      <c r="M3140">
        <v>0.99972559999999999</v>
      </c>
      <c r="N3140">
        <v>0</v>
      </c>
      <c r="O3140">
        <v>2.2249580000000001E-2</v>
      </c>
      <c r="P3140">
        <v>0.99808580000000002</v>
      </c>
      <c r="Q3140">
        <v>6.1395499999999999E-2</v>
      </c>
      <c r="R3140">
        <v>-7.4644809999999898E-3</v>
      </c>
      <c r="S3140">
        <v>3.0018009999999999</v>
      </c>
      <c r="T3140">
        <v>6.2905550000000005E-2</v>
      </c>
      <c r="U3140">
        <v>-2.3040769999999999E-3</v>
      </c>
      <c r="V3140">
        <v>2.9694959999999999E-2</v>
      </c>
      <c r="W3140">
        <v>6.8693229999999994E-2</v>
      </c>
      <c r="X3140">
        <v>0.99719579999999997</v>
      </c>
      <c r="Y3140">
        <v>2.3007610000000001E-2</v>
      </c>
      <c r="Z3140">
        <v>7.0724079999999999E-4</v>
      </c>
      <c r="AA3140">
        <v>0.99973509999999999</v>
      </c>
      <c r="AB3140">
        <v>32</v>
      </c>
      <c r="AC3140">
        <v>269.25749999999999</v>
      </c>
      <c r="AD3140">
        <v>5.6492170000000002</v>
      </c>
      <c r="AE3140">
        <v>-0.214000000000027</v>
      </c>
      <c r="AF3140">
        <v>6.2022439431762004</v>
      </c>
      <c r="AG3140">
        <v>5.6492170000000002</v>
      </c>
      <c r="AH3140">
        <v>269.067638497139</v>
      </c>
      <c r="AI3140">
        <v>88.797540921387395</v>
      </c>
      <c r="AJ3140">
        <v>88.679516110697307</v>
      </c>
      <c r="AK3140">
        <v>269.19839443999501</v>
      </c>
      <c r="AL3140">
        <v>86.0610659017334</v>
      </c>
      <c r="AM3140">
        <v>88.294323702527095</v>
      </c>
      <c r="AN3140">
        <v>1.00000000701743</v>
      </c>
    </row>
    <row r="3141" spans="1:40" x14ac:dyDescent="0.25">
      <c r="A3141" t="str">
        <f>"20190312151048404"</f>
        <v>20190312151048404</v>
      </c>
      <c r="B3141" t="str">
        <f>"1552374648394167"</f>
        <v>1552374648394167</v>
      </c>
      <c r="C3141" t="s">
        <v>40</v>
      </c>
      <c r="D3141">
        <v>5.1898</v>
      </c>
      <c r="E3141">
        <v>0.49906220000000001</v>
      </c>
      <c r="F3141" t="s">
        <v>70</v>
      </c>
      <c r="G3141">
        <v>-107.39749999999999</v>
      </c>
      <c r="H3141">
        <v>6.499358</v>
      </c>
      <c r="I3141">
        <v>213.31479999999999</v>
      </c>
      <c r="J3141">
        <v>-376.34480000000002</v>
      </c>
      <c r="K3141">
        <v>1.1092</v>
      </c>
      <c r="L3141">
        <v>214.13050000000001</v>
      </c>
      <c r="M3141">
        <v>0.99972939999999999</v>
      </c>
      <c r="N3141">
        <v>0</v>
      </c>
      <c r="O3141">
        <v>2.2098360000000001E-2</v>
      </c>
      <c r="P3141">
        <v>0.99806649999999997</v>
      </c>
      <c r="Q3141">
        <v>6.1679089999999999E-2</v>
      </c>
      <c r="R3141">
        <v>-7.6969369999999896E-3</v>
      </c>
      <c r="S3141">
        <v>3.0019840000000002</v>
      </c>
      <c r="T3141">
        <v>6.0095910000000002E-2</v>
      </c>
      <c r="U3141">
        <v>-9.017944E-3</v>
      </c>
      <c r="V3141">
        <v>2.9776360000000002E-2</v>
      </c>
      <c r="W3141">
        <v>6.8929649999999995E-2</v>
      </c>
      <c r="X3141">
        <v>0.99717710000000004</v>
      </c>
      <c r="Y3141">
        <v>2.5092639999999999E-2</v>
      </c>
      <c r="Z3141">
        <v>6.9346000000000002E-4</v>
      </c>
      <c r="AA3141">
        <v>0.99968489999999999</v>
      </c>
      <c r="AB3141">
        <v>32</v>
      </c>
      <c r="AC3141">
        <v>268.94729999999998</v>
      </c>
      <c r="AD3141">
        <v>5.3901579999999996</v>
      </c>
      <c r="AE3141">
        <v>-0.81570000000002096</v>
      </c>
      <c r="AF3141">
        <v>6.7562381820615096</v>
      </c>
      <c r="AG3141">
        <v>5.3901579999999996</v>
      </c>
      <c r="AH3141">
        <v>268.75564398515502</v>
      </c>
      <c r="AI3141">
        <v>88.851393778206003</v>
      </c>
      <c r="AJ3141">
        <v>88.559946824972101</v>
      </c>
      <c r="AK3141">
        <v>268.89458293448899</v>
      </c>
      <c r="AL3141">
        <v>86.047488013601907</v>
      </c>
      <c r="AM3141">
        <v>88.2896188108746</v>
      </c>
      <c r="AN3141">
        <v>1.00000004851419</v>
      </c>
    </row>
    <row r="3142" spans="1:40" x14ac:dyDescent="0.25">
      <c r="A3142" t="str">
        <f>"20190312151048429"</f>
        <v>20190312151048429</v>
      </c>
      <c r="B3142" t="str">
        <f>"1552374648424423"</f>
        <v>1552374648424423</v>
      </c>
      <c r="C3142" t="s">
        <v>40</v>
      </c>
      <c r="D3142">
        <v>5.111764</v>
      </c>
      <c r="E3142">
        <v>0.49987809999999999</v>
      </c>
      <c r="F3142" t="s">
        <v>70</v>
      </c>
      <c r="G3142">
        <v>-107.39749999999999</v>
      </c>
      <c r="H3142">
        <v>6.5952390000000003</v>
      </c>
      <c r="I3142">
        <v>212.79079999999999</v>
      </c>
      <c r="J3142">
        <v>-376.00259999999997</v>
      </c>
      <c r="K3142">
        <v>1.109191</v>
      </c>
      <c r="L3142">
        <v>214.1379</v>
      </c>
      <c r="M3142">
        <v>0.99973339999999999</v>
      </c>
      <c r="N3142">
        <v>0</v>
      </c>
      <c r="O3142">
        <v>2.1931289999999999E-2</v>
      </c>
      <c r="P3142">
        <v>0.99807429999999997</v>
      </c>
      <c r="Q3142">
        <v>6.1517090000000003E-2</v>
      </c>
      <c r="R3142">
        <v>-7.974096E-3</v>
      </c>
      <c r="S3142">
        <v>3.0019230000000001</v>
      </c>
      <c r="T3142">
        <v>6.123435E-2</v>
      </c>
      <c r="U3142">
        <v>-1.4953610000000001E-2</v>
      </c>
      <c r="V3142">
        <v>2.9886889999999999E-2</v>
      </c>
      <c r="W3142">
        <v>6.8720320000000001E-2</v>
      </c>
      <c r="X3142">
        <v>0.99718819999999997</v>
      </c>
      <c r="Y3142">
        <v>2.6901520000000002E-2</v>
      </c>
      <c r="Z3142">
        <v>7.2164780000000001E-4</v>
      </c>
      <c r="AA3142">
        <v>0.99963780000000002</v>
      </c>
      <c r="AB3142">
        <v>32</v>
      </c>
      <c r="AC3142">
        <v>268.60509999999999</v>
      </c>
      <c r="AD3142">
        <v>5.4860480000000003</v>
      </c>
      <c r="AE3142">
        <v>-1.34710000000001</v>
      </c>
      <c r="AF3142">
        <v>7.2347680283917501</v>
      </c>
      <c r="AG3142">
        <v>5.4860480000000003</v>
      </c>
      <c r="AH3142">
        <v>268.39898798841102</v>
      </c>
      <c r="AI3142">
        <v>88.829468201486904</v>
      </c>
      <c r="AJ3142">
        <v>88.455950503705793</v>
      </c>
      <c r="AK3142">
        <v>268.55251878224198</v>
      </c>
      <c r="AL3142">
        <v>86.059510084014903</v>
      </c>
      <c r="AM3142">
        <v>88.283292757302206</v>
      </c>
      <c r="AN3142">
        <v>1.0000000073969999</v>
      </c>
    </row>
    <row r="3143" spans="1:40" x14ac:dyDescent="0.25">
      <c r="A3143" t="str">
        <f>"20190312151048450"</f>
        <v>20190312151048450</v>
      </c>
      <c r="B3143" t="str">
        <f>"1552374648443944"</f>
        <v>1552374648443944</v>
      </c>
      <c r="C3143" t="s">
        <v>40</v>
      </c>
      <c r="D3143">
        <v>5.0781559999999999</v>
      </c>
      <c r="E3143">
        <v>0.50020229999999999</v>
      </c>
      <c r="F3143" t="s">
        <v>70</v>
      </c>
      <c r="G3143">
        <v>-107.39749999999999</v>
      </c>
      <c r="H3143">
        <v>6.834803</v>
      </c>
      <c r="I3143">
        <v>212.13200000000001</v>
      </c>
      <c r="J3143">
        <v>-375.68389999999999</v>
      </c>
      <c r="K3143">
        <v>1.109191</v>
      </c>
      <c r="L3143">
        <v>214.1447</v>
      </c>
      <c r="M3143">
        <v>0.99973710000000005</v>
      </c>
      <c r="N3143">
        <v>0</v>
      </c>
      <c r="O3143">
        <v>2.1775940000000001E-2</v>
      </c>
      <c r="P3143">
        <v>0.99809210000000004</v>
      </c>
      <c r="Q3143">
        <v>6.1024670000000003E-2</v>
      </c>
      <c r="R3143">
        <v>-9.4249929999999996E-3</v>
      </c>
      <c r="S3143">
        <v>3.0016780000000001</v>
      </c>
      <c r="T3143">
        <v>6.3984630000000001E-2</v>
      </c>
      <c r="U3143">
        <v>-2.241516E-2</v>
      </c>
      <c r="V3143">
        <v>3.1182629999999999E-2</v>
      </c>
      <c r="W3143">
        <v>6.8184670000000003E-2</v>
      </c>
      <c r="X3143">
        <v>0.99718530000000005</v>
      </c>
      <c r="Y3143">
        <v>2.922988E-2</v>
      </c>
      <c r="Z3143">
        <v>7.756134E-4</v>
      </c>
      <c r="AA3143">
        <v>0.99957240000000003</v>
      </c>
      <c r="AB3143">
        <v>32</v>
      </c>
      <c r="AC3143">
        <v>268.28640000000001</v>
      </c>
      <c r="AD3143">
        <v>5.7256119999999999</v>
      </c>
      <c r="AE3143">
        <v>-2.0126999999999899</v>
      </c>
      <c r="AF3143">
        <v>7.8509862441279497</v>
      </c>
      <c r="AG3143">
        <v>5.7256119999999999</v>
      </c>
      <c r="AH3143">
        <v>268.05686877813901</v>
      </c>
      <c r="AI3143">
        <v>88.776890226311593</v>
      </c>
      <c r="AJ3143">
        <v>88.322371586422705</v>
      </c>
      <c r="AK3143">
        <v>268.23293145495802</v>
      </c>
      <c r="AL3143">
        <v>86.090272752212101</v>
      </c>
      <c r="AM3143">
        <v>88.208907532555799</v>
      </c>
      <c r="AN3143">
        <v>1.0000000140864</v>
      </c>
    </row>
    <row r="3144" spans="1:40" x14ac:dyDescent="0.25">
      <c r="A3144" t="str">
        <f>"20190312151048472"</f>
        <v>20190312151048472</v>
      </c>
      <c r="B3144" t="str">
        <f>"1552374648464439"</f>
        <v>1552374648464439</v>
      </c>
      <c r="C3144" t="s">
        <v>40</v>
      </c>
      <c r="D3144">
        <v>5.1760380000000001</v>
      </c>
      <c r="E3144">
        <v>0.50050399999999995</v>
      </c>
      <c r="F3144" t="s">
        <v>70</v>
      </c>
      <c r="G3144">
        <v>-107.39749999999999</v>
      </c>
      <c r="H3144">
        <v>7.0394329999999998</v>
      </c>
      <c r="I3144">
        <v>211.5532</v>
      </c>
      <c r="J3144">
        <v>-375.37369999999999</v>
      </c>
      <c r="K3144">
        <v>1.1091770000000001</v>
      </c>
      <c r="L3144">
        <v>214.15129999999999</v>
      </c>
      <c r="M3144">
        <v>0.99974070000000004</v>
      </c>
      <c r="N3144">
        <v>0</v>
      </c>
      <c r="O3144">
        <v>2.1624810000000001E-2</v>
      </c>
      <c r="P3144">
        <v>0.99807069999999998</v>
      </c>
      <c r="Q3144">
        <v>6.129507E-2</v>
      </c>
      <c r="R3144">
        <v>-9.9041979999999995E-3</v>
      </c>
      <c r="S3144">
        <v>3.001404</v>
      </c>
      <c r="T3144">
        <v>6.6344020000000004E-2</v>
      </c>
      <c r="U3144">
        <v>-2.8991699999999999E-2</v>
      </c>
      <c r="V3144">
        <v>3.1510789999999997E-2</v>
      </c>
      <c r="W3144">
        <v>6.8414429999999998E-2</v>
      </c>
      <c r="X3144">
        <v>0.99715920000000002</v>
      </c>
      <c r="Y3144">
        <v>3.1268110000000002E-2</v>
      </c>
      <c r="Z3144">
        <v>8.2345919999999998E-4</v>
      </c>
      <c r="AA3144">
        <v>0.99951069999999997</v>
      </c>
      <c r="AB3144">
        <v>32</v>
      </c>
      <c r="AC3144">
        <v>267.97620000000001</v>
      </c>
      <c r="AD3144">
        <v>5.930256</v>
      </c>
      <c r="AE3144">
        <v>-2.5980999999999801</v>
      </c>
      <c r="AF3144">
        <v>8.3884666412809406</v>
      </c>
      <c r="AG3144">
        <v>5.930256</v>
      </c>
      <c r="AH3144">
        <v>267.72624689139002</v>
      </c>
      <c r="AI3144">
        <v>88.731702577057206</v>
      </c>
      <c r="AJ3144">
        <v>88.205381222201794</v>
      </c>
      <c r="AK3144">
        <v>267.92326808876999</v>
      </c>
      <c r="AL3144">
        <v>86.077077477186705</v>
      </c>
      <c r="AM3144">
        <v>88.190023549441904</v>
      </c>
      <c r="AN3144">
        <v>0.99999996713164396</v>
      </c>
    </row>
    <row r="3145" spans="1:40" x14ac:dyDescent="0.25">
      <c r="A3145" t="str">
        <f>"20190312151048494"</f>
        <v>20190312151048494</v>
      </c>
      <c r="B3145" t="str">
        <f>"1552374648483959"</f>
        <v>1552374648483959</v>
      </c>
      <c r="C3145" t="s">
        <v>40</v>
      </c>
      <c r="D3145">
        <v>5.1684400000000004</v>
      </c>
      <c r="E3145">
        <v>0.50079569999999995</v>
      </c>
      <c r="F3145" t="s">
        <v>70</v>
      </c>
      <c r="G3145">
        <v>-107.39749999999999</v>
      </c>
      <c r="H3145">
        <v>7.2662719999999998</v>
      </c>
      <c r="I3145">
        <v>211.19069999999999</v>
      </c>
      <c r="J3145">
        <v>-375.04680000000002</v>
      </c>
      <c r="K3145">
        <v>1.109167</v>
      </c>
      <c r="L3145">
        <v>214.15819999999999</v>
      </c>
      <c r="M3145">
        <v>0.99974430000000003</v>
      </c>
      <c r="N3145">
        <v>0</v>
      </c>
      <c r="O3145">
        <v>2.1465689999999999E-2</v>
      </c>
      <c r="P3145">
        <v>0.99806090000000003</v>
      </c>
      <c r="Q3145">
        <v>6.1356889999999997E-2</v>
      </c>
      <c r="R3145">
        <v>-1.0487679999999999E-2</v>
      </c>
      <c r="S3145">
        <v>3.00116</v>
      </c>
      <c r="T3145">
        <v>6.8956020000000007E-2</v>
      </c>
      <c r="U3145">
        <v>-3.3157350000000002E-2</v>
      </c>
      <c r="V3145">
        <v>3.1935360000000003E-2</v>
      </c>
      <c r="W3145">
        <v>6.8436810000000001E-2</v>
      </c>
      <c r="X3145">
        <v>0.99714420000000004</v>
      </c>
      <c r="Y3145">
        <v>3.2495650000000001E-2</v>
      </c>
      <c r="Z3145">
        <v>8.6638100000000005E-4</v>
      </c>
      <c r="AA3145">
        <v>0.99947149999999996</v>
      </c>
      <c r="AB3145">
        <v>32</v>
      </c>
      <c r="AC3145">
        <v>267.64929999999998</v>
      </c>
      <c r="AD3145">
        <v>6.1571049999999996</v>
      </c>
      <c r="AE3145">
        <v>-2.9674999999999998</v>
      </c>
      <c r="AF3145">
        <v>8.7076308324826197</v>
      </c>
      <c r="AG3145">
        <v>6.1571049999999996</v>
      </c>
      <c r="AH3145">
        <v>267.382443821967</v>
      </c>
      <c r="AI3145">
        <v>88.681562749009501</v>
      </c>
      <c r="AJ3145">
        <v>88.134753251383202</v>
      </c>
      <c r="AK3145">
        <v>267.59503739961798</v>
      </c>
      <c r="AL3145">
        <v>86.075792353203497</v>
      </c>
      <c r="AM3145">
        <v>88.1656252686562</v>
      </c>
      <c r="AN3145">
        <v>1.00000000988747</v>
      </c>
    </row>
    <row r="3146" spans="1:40" x14ac:dyDescent="0.25">
      <c r="A3146" t="str">
        <f>"20190312151048517"</f>
        <v>20190312151048517</v>
      </c>
      <c r="B3146" t="str">
        <f>"1552374648514215"</f>
        <v>1552374648514215</v>
      </c>
      <c r="C3146" t="s">
        <v>40</v>
      </c>
      <c r="D3146">
        <v>5.2186859999999999</v>
      </c>
      <c r="E3146">
        <v>0.52023149999999996</v>
      </c>
      <c r="F3146" t="s">
        <v>70</v>
      </c>
      <c r="G3146">
        <v>-107.39749999999999</v>
      </c>
      <c r="H3146">
        <v>7.3135770000000004</v>
      </c>
      <c r="I3146">
        <v>210.84190000000001</v>
      </c>
      <c r="J3146">
        <v>-374.72539999999998</v>
      </c>
      <c r="K3146">
        <v>1.109164</v>
      </c>
      <c r="L3146">
        <v>214.16499999999999</v>
      </c>
      <c r="M3146">
        <v>0.99974790000000002</v>
      </c>
      <c r="N3146">
        <v>0</v>
      </c>
      <c r="O3146">
        <v>2.130924E-2</v>
      </c>
      <c r="P3146">
        <v>0.99804959999999998</v>
      </c>
      <c r="Q3146">
        <v>6.1482710000000003E-2</v>
      </c>
      <c r="R3146">
        <v>-1.081846E-2</v>
      </c>
      <c r="S3146">
        <v>3.00116</v>
      </c>
      <c r="T3146">
        <v>6.9570779999999999E-2</v>
      </c>
      <c r="U3146">
        <v>-3.7185669999999997E-2</v>
      </c>
      <c r="V3146">
        <v>3.2109939999999997E-2</v>
      </c>
      <c r="W3146">
        <v>6.8529099999999996E-2</v>
      </c>
      <c r="X3146">
        <v>0.99713220000000002</v>
      </c>
      <c r="Y3146">
        <v>3.3680040000000001E-2</v>
      </c>
      <c r="Z3146">
        <v>8.8419720000000005E-4</v>
      </c>
      <c r="AA3146">
        <v>0.99943230000000005</v>
      </c>
      <c r="AB3146">
        <v>32</v>
      </c>
      <c r="AC3146">
        <v>267.3279</v>
      </c>
      <c r="AD3146">
        <v>6.2044129999999997</v>
      </c>
      <c r="AE3146">
        <v>-3.3230999999999802</v>
      </c>
      <c r="AF3146">
        <v>9.0141875321823903</v>
      </c>
      <c r="AG3146">
        <v>6.2044129999999997</v>
      </c>
      <c r="AH3146">
        <v>267.05255326624302</v>
      </c>
      <c r="AI3146">
        <v>88.669847922035899</v>
      </c>
      <c r="AJ3146">
        <v>88.066751733737604</v>
      </c>
      <c r="AK3146">
        <v>267.276666627596</v>
      </c>
      <c r="AL3146">
        <v>86.070491866364605</v>
      </c>
      <c r="AM3146">
        <v>88.155582077898003</v>
      </c>
      <c r="AN3146">
        <v>0.99999995503522499</v>
      </c>
    </row>
    <row r="3147" spans="1:40" x14ac:dyDescent="0.25">
      <c r="A3147" t="str">
        <f>"20190312151048539"</f>
        <v>20190312151048539</v>
      </c>
      <c r="B3147" t="str">
        <f>"1552374648533736"</f>
        <v>1552374648533736</v>
      </c>
      <c r="C3147" t="s">
        <v>40</v>
      </c>
      <c r="D3147">
        <v>5.0349959999999996</v>
      </c>
      <c r="E3147">
        <v>0.52168479999999995</v>
      </c>
      <c r="F3147" t="s">
        <v>69</v>
      </c>
      <c r="G3147">
        <v>-168.4151</v>
      </c>
      <c r="H3147">
        <v>8.3110339999999994</v>
      </c>
      <c r="I3147">
        <v>200.8451</v>
      </c>
      <c r="J3147">
        <v>-374.40410000000003</v>
      </c>
      <c r="K3147">
        <v>1.1091599999999999</v>
      </c>
      <c r="L3147">
        <v>214.17169999999999</v>
      </c>
      <c r="M3147">
        <v>0.99975150000000002</v>
      </c>
      <c r="N3147">
        <v>0</v>
      </c>
      <c r="O3147">
        <v>2.11527E-2</v>
      </c>
      <c r="P3147">
        <v>0.9980234</v>
      </c>
      <c r="Q3147">
        <v>6.1875970000000002E-2</v>
      </c>
      <c r="R3147">
        <v>-1.099237E-2</v>
      </c>
      <c r="S3147">
        <v>2.9972840000000001</v>
      </c>
      <c r="T3147">
        <v>0.1046295</v>
      </c>
      <c r="U3147">
        <v>-0.19351199999999999</v>
      </c>
      <c r="V3147">
        <v>3.2127349999999999E-2</v>
      </c>
      <c r="W3147">
        <v>6.8892540000000002E-2</v>
      </c>
      <c r="X3147">
        <v>0.99710659999999895</v>
      </c>
      <c r="Y3147">
        <v>8.5458480000000003E-2</v>
      </c>
      <c r="Z3147">
        <v>2.2271050000000001E-3</v>
      </c>
      <c r="AA3147">
        <v>0.99633930000000004</v>
      </c>
      <c r="AB3147">
        <v>32</v>
      </c>
      <c r="AC3147">
        <v>205.989</v>
      </c>
      <c r="AD3147">
        <v>7.2018739999999903</v>
      </c>
      <c r="AE3147">
        <v>-13.3265999999999</v>
      </c>
      <c r="AF3147">
        <v>17.6594530562502</v>
      </c>
      <c r="AG3147">
        <v>7.2018739999999903</v>
      </c>
      <c r="AH3147">
        <v>205.41096667521199</v>
      </c>
      <c r="AI3147">
        <v>87.999360117561295</v>
      </c>
      <c r="AJ3147">
        <v>85.086287988608404</v>
      </c>
      <c r="AK3147">
        <v>206.29442188727</v>
      </c>
      <c r="AL3147">
        <v>86.0496189770912</v>
      </c>
      <c r="AM3147">
        <v>88.154535379331094</v>
      </c>
      <c r="AN3147">
        <v>0.99999996022461601</v>
      </c>
    </row>
    <row r="3148" spans="1:40" x14ac:dyDescent="0.25">
      <c r="A3148" t="str">
        <f>"20190312151048562"</f>
        <v>20190312151048562</v>
      </c>
      <c r="B3148" t="str">
        <f>"1552374648554231"</f>
        <v>1552374648554231</v>
      </c>
      <c r="C3148" t="s">
        <v>40</v>
      </c>
      <c r="D3148">
        <v>5.2181769999999998</v>
      </c>
      <c r="E3148">
        <v>0.52190509999999901</v>
      </c>
      <c r="F3148" t="s">
        <v>69</v>
      </c>
      <c r="G3148">
        <v>-168.41550000000001</v>
      </c>
      <c r="H3148">
        <v>8.569312</v>
      </c>
      <c r="I3148">
        <v>200.04239999999999</v>
      </c>
      <c r="J3148">
        <v>-374.06330000000003</v>
      </c>
      <c r="K3148">
        <v>1.109156</v>
      </c>
      <c r="L3148">
        <v>214.1788</v>
      </c>
      <c r="M3148">
        <v>0.99975510000000001</v>
      </c>
      <c r="N3148">
        <v>0</v>
      </c>
      <c r="O3148">
        <v>2.0987039999999998E-2</v>
      </c>
      <c r="P3148">
        <v>0.99798739999999997</v>
      </c>
      <c r="Q3148">
        <v>6.2413759999999999E-2</v>
      </c>
      <c r="R3148">
        <v>-1.120646E-2</v>
      </c>
      <c r="S3148">
        <v>2.996918</v>
      </c>
      <c r="T3148">
        <v>0.1085378</v>
      </c>
      <c r="U3148">
        <v>-0.20556640000000001</v>
      </c>
      <c r="V3148">
        <v>3.2175580000000002E-2</v>
      </c>
      <c r="W3148">
        <v>6.9403900000000004E-2</v>
      </c>
      <c r="X3148">
        <v>0.9970696</v>
      </c>
      <c r="Y3148">
        <v>8.9283119999999994E-2</v>
      </c>
      <c r="Z3148">
        <v>2.373385E-3</v>
      </c>
      <c r="AA3148">
        <v>0.99600339999999998</v>
      </c>
      <c r="AB3148">
        <v>33</v>
      </c>
      <c r="AC3148">
        <v>205.64779999999999</v>
      </c>
      <c r="AD3148">
        <v>7.4601559999999996</v>
      </c>
      <c r="AE3148">
        <v>-14.1364</v>
      </c>
      <c r="AF3148">
        <v>18.425198169211001</v>
      </c>
      <c r="AG3148">
        <v>7.4601559999999996</v>
      </c>
      <c r="AH3148">
        <v>205.03725995550201</v>
      </c>
      <c r="AI3148">
        <v>87.924602615950505</v>
      </c>
      <c r="AJ3148">
        <v>84.865040040856798</v>
      </c>
      <c r="AK3148">
        <v>205.99859180387401</v>
      </c>
      <c r="AL3148">
        <v>86.020249979803197</v>
      </c>
      <c r="AM3148">
        <v>88.151698325589706</v>
      </c>
      <c r="AN3148">
        <v>0.99999997826385201</v>
      </c>
    </row>
    <row r="3149" spans="1:40" x14ac:dyDescent="0.25">
      <c r="A3149" t="str">
        <f>"20190312151048583"</f>
        <v>20190312151048583</v>
      </c>
      <c r="B3149" t="str">
        <f>"1552374648573758"</f>
        <v>1552374648573758</v>
      </c>
      <c r="C3149" t="s">
        <v>40</v>
      </c>
      <c r="D3149">
        <v>5.2107029999999996</v>
      </c>
      <c r="E3149">
        <v>0.52217460000000004</v>
      </c>
      <c r="F3149" t="s">
        <v>69</v>
      </c>
      <c r="G3149">
        <v>-168.41560000000001</v>
      </c>
      <c r="H3149">
        <v>8.9846520000000005</v>
      </c>
      <c r="I3149">
        <v>199.9067</v>
      </c>
      <c r="J3149">
        <v>-373.74380000000002</v>
      </c>
      <c r="K3149">
        <v>1.1091549999999999</v>
      </c>
      <c r="L3149">
        <v>214.18530000000001</v>
      </c>
      <c r="M3149">
        <v>0.99975860000000005</v>
      </c>
      <c r="N3149">
        <v>0</v>
      </c>
      <c r="O3149">
        <v>2.083196E-2</v>
      </c>
      <c r="P3149">
        <v>0.99797639999999999</v>
      </c>
      <c r="Q3149">
        <v>6.2547370000000005E-2</v>
      </c>
      <c r="R3149">
        <v>-1.145382E-2</v>
      </c>
      <c r="S3149">
        <v>2.9965519999999999</v>
      </c>
      <c r="T3149">
        <v>0.1147566</v>
      </c>
      <c r="U3149">
        <v>-0.20796200000000001</v>
      </c>
      <c r="V3149">
        <v>3.2268100000000001E-2</v>
      </c>
      <c r="W3149">
        <v>6.9515699999999903E-2</v>
      </c>
      <c r="X3149">
        <v>0.99705889999999997</v>
      </c>
      <c r="Y3149">
        <v>8.9920570000000005E-2</v>
      </c>
      <c r="Z3149">
        <v>2.5157690000000002E-3</v>
      </c>
      <c r="AA3149">
        <v>0.99594579999999999</v>
      </c>
      <c r="AB3149">
        <v>33</v>
      </c>
      <c r="AC3149">
        <v>205.32820000000001</v>
      </c>
      <c r="AD3149">
        <v>7.8754970000000002</v>
      </c>
      <c r="AE3149">
        <v>-14.278600000000001</v>
      </c>
      <c r="AF3149">
        <v>18.5258711435186</v>
      </c>
      <c r="AG3149">
        <v>7.8754970000000002</v>
      </c>
      <c r="AH3149">
        <v>204.686504723442</v>
      </c>
      <c r="AI3149">
        <v>87.805541451624293</v>
      </c>
      <c r="AJ3149">
        <v>84.828335218764906</v>
      </c>
      <c r="AK3149">
        <v>205.67400557805701</v>
      </c>
      <c r="AL3149">
        <v>86.013829114925102</v>
      </c>
      <c r="AM3149">
        <v>88.1463674086976</v>
      </c>
      <c r="AN3149">
        <v>1.00000005644665</v>
      </c>
    </row>
    <row r="3150" spans="1:40" x14ac:dyDescent="0.25">
      <c r="A3150" t="str">
        <f>"20190312151048605"</f>
        <v>20190312151048605</v>
      </c>
      <c r="B3150" t="str">
        <f>"1552374648604007"</f>
        <v>1552374648604007</v>
      </c>
      <c r="C3150" t="s">
        <v>40</v>
      </c>
      <c r="D3150">
        <v>5.6345150000000004</v>
      </c>
      <c r="E3150">
        <v>0.52201799999999998</v>
      </c>
      <c r="F3150" t="s">
        <v>69</v>
      </c>
      <c r="G3150">
        <v>-168.41569999999999</v>
      </c>
      <c r="H3150">
        <v>9.0439950000000007</v>
      </c>
      <c r="I3150">
        <v>199.73920000000001</v>
      </c>
      <c r="J3150">
        <v>-373.41739999999999</v>
      </c>
      <c r="K3150">
        <v>1.109148</v>
      </c>
      <c r="L3150">
        <v>214.1919</v>
      </c>
      <c r="M3150">
        <v>0.99976209999999999</v>
      </c>
      <c r="N3150">
        <v>0</v>
      </c>
      <c r="O3150">
        <v>2.067337E-2</v>
      </c>
      <c r="P3150">
        <v>0.99797060000000004</v>
      </c>
      <c r="Q3150">
        <v>6.256478E-2</v>
      </c>
      <c r="R3150">
        <v>-1.186363E-2</v>
      </c>
      <c r="S3150">
        <v>2.9963989999999998</v>
      </c>
      <c r="T3150">
        <v>0.11579540000000001</v>
      </c>
      <c r="U3150">
        <v>-0.21081539999999999</v>
      </c>
      <c r="V3150">
        <v>3.251946E-2</v>
      </c>
      <c r="W3150">
        <v>6.9511879999999998E-2</v>
      </c>
      <c r="X3150">
        <v>0.99705089999999996</v>
      </c>
      <c r="Y3150">
        <v>9.0707910000000003E-2</v>
      </c>
      <c r="Z3150">
        <v>2.5476399999999999E-3</v>
      </c>
      <c r="AA3150">
        <v>0.99587429999999999</v>
      </c>
      <c r="AB3150">
        <v>33</v>
      </c>
      <c r="AC3150">
        <v>205.0017</v>
      </c>
      <c r="AD3150">
        <v>7.9348469999999898</v>
      </c>
      <c r="AE3150">
        <v>-14.452699999999901</v>
      </c>
      <c r="AF3150">
        <v>18.6599719101288</v>
      </c>
      <c r="AG3150">
        <v>7.9348469999999898</v>
      </c>
      <c r="AH3150">
        <v>204.354448005394</v>
      </c>
      <c r="AI3150">
        <v>87.785591464265096</v>
      </c>
      <c r="AJ3150">
        <v>84.782687680357498</v>
      </c>
      <c r="AK3150">
        <v>205.35797225379301</v>
      </c>
      <c r="AL3150">
        <v>86.014048118353799</v>
      </c>
      <c r="AM3150">
        <v>88.131923312037301</v>
      </c>
      <c r="AN3150">
        <v>0.99999995696531696</v>
      </c>
    </row>
    <row r="3151" spans="1:40" x14ac:dyDescent="0.25">
      <c r="A3151" t="str">
        <f>"20190312151048629"</f>
        <v>20190312151048629</v>
      </c>
      <c r="B3151" t="str">
        <f>"1552374648623527"</f>
        <v>1552374648623527</v>
      </c>
      <c r="C3151" t="s">
        <v>40</v>
      </c>
      <c r="D3151">
        <v>5.1586030000000003</v>
      </c>
      <c r="E3151">
        <v>0.52189589999999997</v>
      </c>
      <c r="F3151" t="s">
        <v>69</v>
      </c>
      <c r="G3151">
        <v>-168.41569999999999</v>
      </c>
      <c r="H3151">
        <v>8.9398049999999998</v>
      </c>
      <c r="I3151">
        <v>199.77330000000001</v>
      </c>
      <c r="J3151">
        <v>-373.07740000000001</v>
      </c>
      <c r="K3151">
        <v>1.1091420000000001</v>
      </c>
      <c r="L3151">
        <v>214.19880000000001</v>
      </c>
      <c r="M3151">
        <v>0.99976560000000003</v>
      </c>
      <c r="N3151">
        <v>0</v>
      </c>
      <c r="O3151">
        <v>2.05083E-2</v>
      </c>
      <c r="P3151">
        <v>0.99793799999999999</v>
      </c>
      <c r="Q3151">
        <v>6.2968999999999997E-2</v>
      </c>
      <c r="R3151">
        <v>-1.24558E-2</v>
      </c>
      <c r="S3151">
        <v>2.9964599999999999</v>
      </c>
      <c r="T3151">
        <v>0.1144593</v>
      </c>
      <c r="U3151">
        <v>-0.21075440000000001</v>
      </c>
      <c r="V3151">
        <v>3.2946459999999997E-2</v>
      </c>
      <c r="W3151">
        <v>6.9887679999999994E-2</v>
      </c>
      <c r="X3151">
        <v>0.99701059999999997</v>
      </c>
      <c r="Y3151">
        <v>9.052404E-2</v>
      </c>
      <c r="Z3151">
        <v>2.508414E-3</v>
      </c>
      <c r="AA3151">
        <v>0.99589110000000003</v>
      </c>
      <c r="AB3151">
        <v>33</v>
      </c>
      <c r="AC3151">
        <v>204.6617</v>
      </c>
      <c r="AD3151">
        <v>7.8306629999999897</v>
      </c>
      <c r="AE3151">
        <v>-14.4255</v>
      </c>
      <c r="AF3151">
        <v>18.592746377579001</v>
      </c>
      <c r="AG3151">
        <v>7.8306629999999897</v>
      </c>
      <c r="AH3151">
        <v>204.02559929099601</v>
      </c>
      <c r="AI3151">
        <v>87.811083105374706</v>
      </c>
      <c r="AJ3151">
        <v>84.793047588869101</v>
      </c>
      <c r="AK3151">
        <v>205.02062010181001</v>
      </c>
      <c r="AL3151">
        <v>85.992463829848603</v>
      </c>
      <c r="AM3151">
        <v>88.107335624274</v>
      </c>
      <c r="AN3151">
        <v>0.99999994677733495</v>
      </c>
    </row>
    <row r="3152" spans="1:40" x14ac:dyDescent="0.25">
      <c r="A3152" t="str">
        <f>"20190312151048652"</f>
        <v>20190312151048652</v>
      </c>
      <c r="B3152" t="str">
        <f>"1552374648644024"</f>
        <v>1552374648644024</v>
      </c>
      <c r="C3152" t="s">
        <v>40</v>
      </c>
      <c r="D3152">
        <v>5.500057</v>
      </c>
      <c r="E3152">
        <v>0.5216208</v>
      </c>
      <c r="F3152" t="s">
        <v>69</v>
      </c>
      <c r="G3152">
        <v>-168.41569999999999</v>
      </c>
      <c r="H3152">
        <v>9.0316569999999992</v>
      </c>
      <c r="I3152">
        <v>199.74459999999999</v>
      </c>
      <c r="J3152">
        <v>-372.73059999999998</v>
      </c>
      <c r="K3152">
        <v>1.1091279999999999</v>
      </c>
      <c r="L3152">
        <v>214.20580000000001</v>
      </c>
      <c r="M3152">
        <v>0.99976929999999997</v>
      </c>
      <c r="N3152">
        <v>0</v>
      </c>
      <c r="O3152">
        <v>2.034012E-2</v>
      </c>
      <c r="P3152">
        <v>0.99789810000000001</v>
      </c>
      <c r="Q3152">
        <v>6.3433710000000004E-2</v>
      </c>
      <c r="R3152">
        <v>-1.325581E-2</v>
      </c>
      <c r="S3152">
        <v>2.9962460000000002</v>
      </c>
      <c r="T3152">
        <v>0.11598609999999999</v>
      </c>
      <c r="U3152">
        <v>-0.21160889999999999</v>
      </c>
      <c r="V3152">
        <v>3.357798E-2</v>
      </c>
      <c r="W3152">
        <v>7.0312429999999995E-2</v>
      </c>
      <c r="X3152">
        <v>0.9969597</v>
      </c>
      <c r="Y3152">
        <v>9.0641940000000004E-2</v>
      </c>
      <c r="Z3152">
        <v>2.5377820000000001E-3</v>
      </c>
      <c r="AA3152">
        <v>0.99588030000000005</v>
      </c>
      <c r="AB3152">
        <v>33</v>
      </c>
      <c r="AC3152">
        <v>204.31489999999999</v>
      </c>
      <c r="AD3152">
        <v>7.9225289999999999</v>
      </c>
      <c r="AE3152">
        <v>-14.4612</v>
      </c>
      <c r="AF3152">
        <v>18.586289911142298</v>
      </c>
      <c r="AG3152">
        <v>7.9225289999999999</v>
      </c>
      <c r="AH3152">
        <v>203.673765406792</v>
      </c>
      <c r="AI3152">
        <v>87.781632567801196</v>
      </c>
      <c r="AJ3152">
        <v>84.785903742188196</v>
      </c>
      <c r="AK3152">
        <v>204.67344564793399</v>
      </c>
      <c r="AL3152">
        <v>85.968067568187294</v>
      </c>
      <c r="AM3152">
        <v>88.070985645617597</v>
      </c>
      <c r="AN3152">
        <v>0.99999998098873699</v>
      </c>
    </row>
    <row r="3153" spans="1:40" x14ac:dyDescent="0.25">
      <c r="A3153" t="str">
        <f>"20190312151048675"</f>
        <v>20190312151048675</v>
      </c>
      <c r="B3153" t="str">
        <f>"1552374648663543"</f>
        <v>1552374648663543</v>
      </c>
      <c r="C3153" t="s">
        <v>40</v>
      </c>
      <c r="D3153">
        <v>5.3567460000000002</v>
      </c>
      <c r="E3153">
        <v>0.52213719999999997</v>
      </c>
      <c r="F3153" t="s">
        <v>69</v>
      </c>
      <c r="G3153">
        <v>-168.41569999999999</v>
      </c>
      <c r="H3153">
        <v>9.0636220000000005</v>
      </c>
      <c r="I3153">
        <v>199.76910000000001</v>
      </c>
      <c r="J3153">
        <v>-372.40300000000002</v>
      </c>
      <c r="K3153">
        <v>1.1091150000000001</v>
      </c>
      <c r="L3153">
        <v>214.2123</v>
      </c>
      <c r="M3153">
        <v>0.99977269999999896</v>
      </c>
      <c r="N3153">
        <v>0</v>
      </c>
      <c r="O3153">
        <v>2.0181250000000001E-2</v>
      </c>
      <c r="P3153">
        <v>0.99783149999999998</v>
      </c>
      <c r="Q3153">
        <v>6.4290159999999999E-2</v>
      </c>
      <c r="R3153">
        <v>-1.411102E-2</v>
      </c>
      <c r="S3153">
        <v>2.9960939999999998</v>
      </c>
      <c r="T3153">
        <v>0.116645899999999</v>
      </c>
      <c r="U3153">
        <v>-0.21170040000000001</v>
      </c>
      <c r="V3153">
        <v>3.4273610000000003E-2</v>
      </c>
      <c r="W3153">
        <v>7.1124839999999995E-2</v>
      </c>
      <c r="X3153">
        <v>0.99687840000000005</v>
      </c>
      <c r="Y3153">
        <v>9.051679E-2</v>
      </c>
      <c r="Z3153">
        <v>2.5437260000000001E-3</v>
      </c>
      <c r="AA3153">
        <v>0.99589170000000005</v>
      </c>
      <c r="AB3153">
        <v>33</v>
      </c>
      <c r="AC3153">
        <v>203.9873</v>
      </c>
      <c r="AD3153">
        <v>7.9545070000000004</v>
      </c>
      <c r="AE3153">
        <v>-14.4431999999999</v>
      </c>
      <c r="AF3153">
        <v>18.529039265229699</v>
      </c>
      <c r="AG3153">
        <v>7.9545070000000004</v>
      </c>
      <c r="AH3153">
        <v>203.34659465486101</v>
      </c>
      <c r="AI3153">
        <v>87.769080360376293</v>
      </c>
      <c r="AJ3153">
        <v>84.793558907776102</v>
      </c>
      <c r="AK3153">
        <v>204.343918518349</v>
      </c>
      <c r="AL3153">
        <v>85.921403079465705</v>
      </c>
      <c r="AM3153">
        <v>88.030893229015604</v>
      </c>
      <c r="AN3153">
        <v>0.99999998379700805</v>
      </c>
    </row>
    <row r="3154" spans="1:40" x14ac:dyDescent="0.25">
      <c r="A3154" t="str">
        <f>"20190312151048696"</f>
        <v>20190312151048696</v>
      </c>
      <c r="B3154" t="str">
        <f>"1552374648693799"</f>
        <v>1552374648693799</v>
      </c>
      <c r="C3154" t="s">
        <v>40</v>
      </c>
      <c r="D3154">
        <v>5.3382339999999999</v>
      </c>
      <c r="E3154">
        <v>0.54379390000000005</v>
      </c>
      <c r="F3154" t="s">
        <v>69</v>
      </c>
      <c r="G3154">
        <v>-168.41589999999999</v>
      </c>
      <c r="H3154">
        <v>9.0759559999999997</v>
      </c>
      <c r="I3154">
        <v>199.34370000000001</v>
      </c>
      <c r="J3154">
        <v>-372.07530000000003</v>
      </c>
      <c r="K3154">
        <v>1.1091070000000001</v>
      </c>
      <c r="L3154">
        <v>214.21870000000001</v>
      </c>
      <c r="M3154">
        <v>0.99977640000000001</v>
      </c>
      <c r="N3154">
        <v>0</v>
      </c>
      <c r="O3154">
        <v>2.0022330000000001E-2</v>
      </c>
      <c r="P3154">
        <v>0.99775579999999997</v>
      </c>
      <c r="Q3154">
        <v>6.5261760000000002E-2</v>
      </c>
      <c r="R3154">
        <v>-1.497419E-2</v>
      </c>
      <c r="S3154">
        <v>2.9958800000000001</v>
      </c>
      <c r="T3154">
        <v>0.117006399999999</v>
      </c>
      <c r="U3154">
        <v>-0.21836849999999999</v>
      </c>
      <c r="V3154">
        <v>3.4977170000000002E-2</v>
      </c>
      <c r="W3154">
        <v>7.2052290000000005E-2</v>
      </c>
      <c r="X3154">
        <v>0.99678739999999999</v>
      </c>
      <c r="Y3154">
        <v>9.2566560000000006E-2</v>
      </c>
      <c r="Z3154">
        <v>2.5853260000000002E-3</v>
      </c>
      <c r="AA3154">
        <v>0.99570320000000001</v>
      </c>
      <c r="AB3154">
        <v>33</v>
      </c>
      <c r="AC3154">
        <v>203.65940000000001</v>
      </c>
      <c r="AD3154">
        <v>7.9668489999999998</v>
      </c>
      <c r="AE3154">
        <v>-14.875</v>
      </c>
      <c r="AF3154">
        <v>18.921047527045399</v>
      </c>
      <c r="AG3154">
        <v>7.9668489999999998</v>
      </c>
      <c r="AH3154">
        <v>203.011720533301</v>
      </c>
      <c r="AI3154">
        <v>87.762365698513605</v>
      </c>
      <c r="AJ3154">
        <v>84.6753152987514</v>
      </c>
      <c r="AK3154">
        <v>204.047140132864</v>
      </c>
      <c r="AL3154">
        <v>85.868127596122093</v>
      </c>
      <c r="AM3154">
        <v>87.990321406368693</v>
      </c>
      <c r="AN3154">
        <v>1.0000000278571</v>
      </c>
    </row>
    <row r="3155" spans="1:40" x14ac:dyDescent="0.25">
      <c r="A3155" t="str">
        <f>"20190312151048719"</f>
        <v>20190312151048719</v>
      </c>
      <c r="B3155" t="str">
        <f>"1552374648714295"</f>
        <v>1552374648714295</v>
      </c>
      <c r="C3155" t="s">
        <v>40</v>
      </c>
      <c r="D3155">
        <v>5.3787419999999999</v>
      </c>
      <c r="E3155">
        <v>0.54307910000000004</v>
      </c>
      <c r="F3155" t="s">
        <v>76</v>
      </c>
      <c r="G3155">
        <v>-280.45979999999997</v>
      </c>
      <c r="H3155">
        <v>11.21687</v>
      </c>
      <c r="I3155">
        <v>202.071</v>
      </c>
      <c r="J3155">
        <v>-371.75619999999998</v>
      </c>
      <c r="K3155">
        <v>1.109097</v>
      </c>
      <c r="L3155">
        <v>214.22499999999999</v>
      </c>
      <c r="M3155">
        <v>0.99977959999999999</v>
      </c>
      <c r="N3155">
        <v>0</v>
      </c>
      <c r="O3155">
        <v>1.9867909999999999E-2</v>
      </c>
      <c r="P3155">
        <v>0.99769810000000003</v>
      </c>
      <c r="Q3155">
        <v>6.5779009999999999E-2</v>
      </c>
      <c r="R3155">
        <v>-1.6490399999999999E-2</v>
      </c>
      <c r="S3155">
        <v>2.979279</v>
      </c>
      <c r="T3155">
        <v>0.32869700000000002</v>
      </c>
      <c r="U3155">
        <v>-0.39503480000000002</v>
      </c>
      <c r="V3155">
        <v>3.6338059999999998E-2</v>
      </c>
      <c r="W3155">
        <v>7.2528819999999994E-2</v>
      </c>
      <c r="X3155">
        <v>0.99670409999999998</v>
      </c>
      <c r="Y3155">
        <v>0.1500995</v>
      </c>
      <c r="Z3155">
        <v>1.0395939999999999E-2</v>
      </c>
      <c r="AA3155">
        <v>0.98861619999999995</v>
      </c>
      <c r="AB3155">
        <v>33</v>
      </c>
      <c r="AC3155">
        <v>91.296400000000006</v>
      </c>
      <c r="AD3155">
        <v>10.107773</v>
      </c>
      <c r="AE3155">
        <v>-12.1539999999999</v>
      </c>
      <c r="AF3155">
        <v>13.7993110376449</v>
      </c>
      <c r="AG3155">
        <v>10.107773</v>
      </c>
      <c r="AH3155">
        <v>89.953489993001696</v>
      </c>
      <c r="AI3155">
        <v>83.662283414284005</v>
      </c>
      <c r="AJ3155">
        <v>81.278533752729999</v>
      </c>
      <c r="AK3155">
        <v>91.565377856776493</v>
      </c>
      <c r="AL3155">
        <v>85.840752589975196</v>
      </c>
      <c r="AM3155">
        <v>87.912022500199996</v>
      </c>
      <c r="AN3155">
        <v>0.99999997364598203</v>
      </c>
    </row>
    <row r="3156" spans="1:40" x14ac:dyDescent="0.25">
      <c r="A3156" t="str">
        <f>"20190312151048740"</f>
        <v>20190312151048740</v>
      </c>
      <c r="B3156" t="str">
        <f>"1552374648733816"</f>
        <v>1552374648733816</v>
      </c>
      <c r="C3156" t="s">
        <v>40</v>
      </c>
      <c r="D3156">
        <v>5.1825229999999998</v>
      </c>
      <c r="E3156">
        <v>0.54256669999999996</v>
      </c>
      <c r="F3156" t="s">
        <v>76</v>
      </c>
      <c r="G3156">
        <v>-280.4359</v>
      </c>
      <c r="H3156">
        <v>11.99353</v>
      </c>
      <c r="I3156">
        <v>202.13130000000001</v>
      </c>
      <c r="J3156">
        <v>-371.42489999999998</v>
      </c>
      <c r="K3156">
        <v>1.1090930000000001</v>
      </c>
      <c r="L3156">
        <v>214.23140000000001</v>
      </c>
      <c r="M3156">
        <v>0.99978290000000003</v>
      </c>
      <c r="N3156">
        <v>0</v>
      </c>
      <c r="O3156">
        <v>1.9707849999999999E-2</v>
      </c>
      <c r="P3156">
        <v>0.99768259999999998</v>
      </c>
      <c r="Q3156">
        <v>6.566168E-2</v>
      </c>
      <c r="R3156">
        <v>-1.7827909999999999E-2</v>
      </c>
      <c r="S3156">
        <v>2.9769589999999999</v>
      </c>
      <c r="T3156">
        <v>0.35482180000000002</v>
      </c>
      <c r="U3156">
        <v>-0.39424130000000002</v>
      </c>
      <c r="V3156">
        <v>3.7515479999999997E-2</v>
      </c>
      <c r="W3156">
        <v>7.2368550000000004E-2</v>
      </c>
      <c r="X3156">
        <v>0.99667220000000001</v>
      </c>
      <c r="Y3156">
        <v>0.14961820000000001</v>
      </c>
      <c r="Z3156">
        <v>1.11781E-2</v>
      </c>
      <c r="AA3156">
        <v>0.98868069999999997</v>
      </c>
      <c r="AB3156">
        <v>33</v>
      </c>
      <c r="AC3156">
        <v>90.988999999999905</v>
      </c>
      <c r="AD3156">
        <v>10.884437</v>
      </c>
      <c r="AE3156">
        <v>-12.1000999999999</v>
      </c>
      <c r="AF3156">
        <v>13.6983735195449</v>
      </c>
      <c r="AG3156">
        <v>10.884437</v>
      </c>
      <c r="AH3156">
        <v>89.474737249592195</v>
      </c>
      <c r="AI3156">
        <v>83.1432706892965</v>
      </c>
      <c r="AJ3156">
        <v>81.295736022034504</v>
      </c>
      <c r="AK3156">
        <v>91.169320562190705</v>
      </c>
      <c r="AL3156">
        <v>85.849959881361997</v>
      </c>
      <c r="AM3156">
        <v>87.844362080933493</v>
      </c>
      <c r="AN3156">
        <v>1.0000000462607801</v>
      </c>
    </row>
    <row r="3157" spans="1:40" x14ac:dyDescent="0.25">
      <c r="A3157" t="str">
        <f>"20190312151048763"</f>
        <v>20190312151048763</v>
      </c>
      <c r="B3157" t="str">
        <f>"1552374648754315"</f>
        <v>1552374648754315</v>
      </c>
      <c r="C3157" t="s">
        <v>40</v>
      </c>
      <c r="D3157">
        <v>5.6023120000000004</v>
      </c>
      <c r="E3157">
        <v>0.54198109999999999</v>
      </c>
      <c r="F3157" t="s">
        <v>76</v>
      </c>
      <c r="G3157">
        <v>-280.41379999999998</v>
      </c>
      <c r="H3157">
        <v>11.544040000000001</v>
      </c>
      <c r="I3157">
        <v>202.18620000000001</v>
      </c>
      <c r="J3157">
        <v>-371.08100000000002</v>
      </c>
      <c r="K3157">
        <v>1.1090799999999901</v>
      </c>
      <c r="L3157">
        <v>214.238</v>
      </c>
      <c r="M3157">
        <v>0.99978659999999997</v>
      </c>
      <c r="N3157">
        <v>0</v>
      </c>
      <c r="O3157">
        <v>1.9541579999999999E-2</v>
      </c>
      <c r="P3157">
        <v>0.99767220000000001</v>
      </c>
      <c r="Q3157">
        <v>6.5295039999999999E-2</v>
      </c>
      <c r="R3157">
        <v>-1.9670159999999999E-2</v>
      </c>
      <c r="S3157">
        <v>2.9774479999999999</v>
      </c>
      <c r="T3157">
        <v>0.34138039999999997</v>
      </c>
      <c r="U3157">
        <v>-0.39405820000000003</v>
      </c>
      <c r="V3157">
        <v>3.9191080000000003E-2</v>
      </c>
      <c r="W3157">
        <v>7.195812E-2</v>
      </c>
      <c r="X3157">
        <v>0.99663740000000001</v>
      </c>
      <c r="Y3157">
        <v>0.1494627</v>
      </c>
      <c r="Z3157">
        <v>1.072794E-2</v>
      </c>
      <c r="AA3157">
        <v>0.98870919999999896</v>
      </c>
      <c r="AB3157">
        <v>34</v>
      </c>
      <c r="AC3157">
        <v>90.667199999999895</v>
      </c>
      <c r="AD3157">
        <v>10.434959999999901</v>
      </c>
      <c r="AE3157">
        <v>-12.051799999999901</v>
      </c>
      <c r="AF3157">
        <v>13.6437329531672</v>
      </c>
      <c r="AG3157">
        <v>10.434959999999901</v>
      </c>
      <c r="AH3157">
        <v>89.252664104210098</v>
      </c>
      <c r="AI3157">
        <v>83.407444839018694</v>
      </c>
      <c r="AJ3157">
        <v>81.308683933162399</v>
      </c>
      <c r="AK3157">
        <v>90.890471936270004</v>
      </c>
      <c r="AL3157">
        <v>85.8735371052651</v>
      </c>
      <c r="AM3157">
        <v>87.748100625895702</v>
      </c>
      <c r="AN3157">
        <v>1.00000000943213</v>
      </c>
    </row>
    <row r="3158" spans="1:40" x14ac:dyDescent="0.25">
      <c r="A3158" t="str">
        <f>"20190312151048785"</f>
        <v>20190312151048785</v>
      </c>
      <c r="B3158" t="str">
        <f>"1552374648773838"</f>
        <v>1552374648773838</v>
      </c>
      <c r="C3158" t="s">
        <v>40</v>
      </c>
      <c r="D3158">
        <v>5.1468809999999996</v>
      </c>
      <c r="E3158">
        <v>0.54151769999999999</v>
      </c>
      <c r="F3158" t="s">
        <v>76</v>
      </c>
      <c r="G3158">
        <v>-280.40640000000002</v>
      </c>
      <c r="H3158">
        <v>11.72237</v>
      </c>
      <c r="I3158">
        <v>202.2047</v>
      </c>
      <c r="J3158">
        <v>-370.74610000000001</v>
      </c>
      <c r="K3158">
        <v>1.109064</v>
      </c>
      <c r="L3158">
        <v>214.24440000000001</v>
      </c>
      <c r="M3158">
        <v>0.99979010000000001</v>
      </c>
      <c r="N3158">
        <v>0</v>
      </c>
      <c r="O3158">
        <v>1.9379589999999999E-2</v>
      </c>
      <c r="P3158">
        <v>0.99770579999999998</v>
      </c>
      <c r="Q3158">
        <v>6.4195240000000001E-2</v>
      </c>
      <c r="R3158">
        <v>-2.150461E-2</v>
      </c>
      <c r="S3158">
        <v>2.9763790000000001</v>
      </c>
      <c r="T3158">
        <v>0.34837879999999999</v>
      </c>
      <c r="U3158">
        <v>-0.39498899999999998</v>
      </c>
      <c r="V3158">
        <v>4.0864159999999997E-2</v>
      </c>
      <c r="W3158">
        <v>7.0820910000000001E-2</v>
      </c>
      <c r="X3158">
        <v>0.99665159999999997</v>
      </c>
      <c r="Y3158">
        <v>0.14960689999999999</v>
      </c>
      <c r="Z3158">
        <v>1.0939610000000001E-2</v>
      </c>
      <c r="AA3158">
        <v>0.98868500000000004</v>
      </c>
      <c r="AB3158">
        <v>34</v>
      </c>
      <c r="AC3158">
        <v>90.339699999999993</v>
      </c>
      <c r="AD3158">
        <v>10.613306</v>
      </c>
      <c r="AE3158">
        <v>-12.0397</v>
      </c>
      <c r="AF3158">
        <v>13.603740782781999</v>
      </c>
      <c r="AG3158">
        <v>10.613306</v>
      </c>
      <c r="AH3158">
        <v>88.884029461807998</v>
      </c>
      <c r="AI3158">
        <v>83.268420617069395</v>
      </c>
      <c r="AJ3158">
        <v>81.298379364410096</v>
      </c>
      <c r="AK3158">
        <v>90.543220181868406</v>
      </c>
      <c r="AL3158">
        <v>85.938860858257101</v>
      </c>
      <c r="AM3158">
        <v>87.6521051113737</v>
      </c>
      <c r="AN3158">
        <v>0.99999994632414502</v>
      </c>
    </row>
    <row r="3159" spans="1:40" x14ac:dyDescent="0.25">
      <c r="A3159" t="str">
        <f>"20190312151048807"</f>
        <v>20190312151048807</v>
      </c>
      <c r="B3159" t="str">
        <f>"1552374648804087"</f>
        <v>1552374648804087</v>
      </c>
      <c r="C3159" t="s">
        <v>40</v>
      </c>
      <c r="D3159">
        <v>5.4164199999999996</v>
      </c>
      <c r="E3159">
        <v>0.54100729999999997</v>
      </c>
      <c r="F3159" t="s">
        <v>76</v>
      </c>
      <c r="G3159">
        <v>-280.40699999999998</v>
      </c>
      <c r="H3159">
        <v>11.590070000000001</v>
      </c>
      <c r="I3159">
        <v>202.20320000000001</v>
      </c>
      <c r="J3159">
        <v>-370.4153</v>
      </c>
      <c r="K3159">
        <v>1.1090530000000001</v>
      </c>
      <c r="L3159">
        <v>214.25069999999999</v>
      </c>
      <c r="M3159">
        <v>0.99979340000000005</v>
      </c>
      <c r="N3159">
        <v>0</v>
      </c>
      <c r="O3159">
        <v>1.922014E-2</v>
      </c>
      <c r="P3159">
        <v>0.99770820000000005</v>
      </c>
      <c r="Q3159">
        <v>6.3787239999999995E-2</v>
      </c>
      <c r="R3159">
        <v>-2.2581179999999999E-2</v>
      </c>
      <c r="S3159">
        <v>2.9761350000000002</v>
      </c>
      <c r="T3159">
        <v>0.34528569999999997</v>
      </c>
      <c r="U3159">
        <v>-0.3966827</v>
      </c>
      <c r="V3159">
        <v>4.1781260000000001E-2</v>
      </c>
      <c r="W3159">
        <v>7.0379029999999995E-2</v>
      </c>
      <c r="X3159">
        <v>0.99664489999999994</v>
      </c>
      <c r="Y3159">
        <v>0.15003089999999999</v>
      </c>
      <c r="Z3159">
        <v>1.0849650000000001E-2</v>
      </c>
      <c r="AA3159">
        <v>0.9886218</v>
      </c>
      <c r="AB3159">
        <v>34</v>
      </c>
      <c r="AC3159">
        <v>90.008300000000006</v>
      </c>
      <c r="AD3159">
        <v>10.481017</v>
      </c>
      <c r="AE3159">
        <v>-12.0474999999999</v>
      </c>
      <c r="AF3159">
        <v>13.5941989266731</v>
      </c>
      <c r="AG3159">
        <v>10.481017</v>
      </c>
      <c r="AH3159">
        <v>88.580155165676899</v>
      </c>
      <c r="AI3159">
        <v>83.329381102989302</v>
      </c>
      <c r="AJ3159">
        <v>81.275017441543497</v>
      </c>
      <c r="AK3159">
        <v>90.228032512006095</v>
      </c>
      <c r="AL3159">
        <v>85.964242144517598</v>
      </c>
      <c r="AM3159">
        <v>87.5994569784243</v>
      </c>
      <c r="AN3159">
        <v>0.999999969123468</v>
      </c>
    </row>
    <row r="3160" spans="1:40" x14ac:dyDescent="0.25">
      <c r="A3160" t="str">
        <f>"20190312151048831"</f>
        <v>20190312151048831</v>
      </c>
      <c r="B3160" t="str">
        <f>"1552374648823608"</f>
        <v>1552374648823608</v>
      </c>
      <c r="C3160" t="s">
        <v>40</v>
      </c>
      <c r="D3160">
        <v>5.5414490000000001</v>
      </c>
      <c r="E3160">
        <v>0.54537360000000001</v>
      </c>
      <c r="F3160" t="s">
        <v>76</v>
      </c>
      <c r="G3160">
        <v>-280.37970000000001</v>
      </c>
      <c r="H3160">
        <v>11.27814</v>
      </c>
      <c r="I3160">
        <v>202.27099999999999</v>
      </c>
      <c r="J3160">
        <v>-370.05790000000002</v>
      </c>
      <c r="K3160">
        <v>1.109059</v>
      </c>
      <c r="L3160">
        <v>214.25739999999999</v>
      </c>
      <c r="M3160">
        <v>0.99979700000000005</v>
      </c>
      <c r="N3160">
        <v>0</v>
      </c>
      <c r="O3160">
        <v>1.9047930000000001E-2</v>
      </c>
      <c r="P3160">
        <v>0.9976699</v>
      </c>
      <c r="Q3160">
        <v>6.4073039999999998E-2</v>
      </c>
      <c r="R3160">
        <v>-2.3446680000000001E-2</v>
      </c>
      <c r="S3160">
        <v>2.9764400000000002</v>
      </c>
      <c r="T3160">
        <v>0.33617340000000001</v>
      </c>
      <c r="U3160">
        <v>-0.39602660000000001</v>
      </c>
      <c r="V3160">
        <v>4.2474459999999999E-2</v>
      </c>
      <c r="W3160">
        <v>7.0633020000000005E-2</v>
      </c>
      <c r="X3160">
        <v>0.99659759999999997</v>
      </c>
      <c r="Y3160">
        <v>0.14969449999999901</v>
      </c>
      <c r="Z3160">
        <v>1.052604E-2</v>
      </c>
      <c r="AA3160">
        <v>0.98867620000000001</v>
      </c>
      <c r="AB3160">
        <v>34</v>
      </c>
      <c r="AC3160">
        <v>89.678200000000004</v>
      </c>
      <c r="AD3160">
        <v>10.169080999999901</v>
      </c>
      <c r="AE3160">
        <v>-11.9864</v>
      </c>
      <c r="AF3160">
        <v>13.521630168960501</v>
      </c>
      <c r="AG3160">
        <v>10.169080999999901</v>
      </c>
      <c r="AH3160">
        <v>88.317906088466302</v>
      </c>
      <c r="AI3160">
        <v>83.506789085791496</v>
      </c>
      <c r="AJ3160">
        <v>81.295504779393895</v>
      </c>
      <c r="AK3160">
        <v>89.923841258377394</v>
      </c>
      <c r="AL3160">
        <v>85.949653163483703</v>
      </c>
      <c r="AM3160">
        <v>87.559561235839496</v>
      </c>
      <c r="AN3160">
        <v>0.99999993979618396</v>
      </c>
    </row>
    <row r="3161" spans="1:40" x14ac:dyDescent="0.25">
      <c r="A3161" t="str">
        <f>"20190312151048853"</f>
        <v>20190312151048853</v>
      </c>
      <c r="B3161" t="str">
        <f>"1552374648844103"</f>
        <v>1552374648844103</v>
      </c>
      <c r="C3161" t="s">
        <v>40</v>
      </c>
      <c r="D3161">
        <v>5.2877000000000001</v>
      </c>
      <c r="E3161">
        <v>0.54063549999999905</v>
      </c>
      <c r="F3161" t="s">
        <v>69</v>
      </c>
      <c r="G3161">
        <v>-169.72069999999999</v>
      </c>
      <c r="H3161">
        <v>14.13491</v>
      </c>
      <c r="I3161">
        <v>185.23750000000001</v>
      </c>
      <c r="J3161">
        <v>-369.71300000000002</v>
      </c>
      <c r="K3161">
        <v>1.109056</v>
      </c>
      <c r="L3161">
        <v>214.2638</v>
      </c>
      <c r="M3161">
        <v>0.99980020000000003</v>
      </c>
      <c r="N3161">
        <v>0</v>
      </c>
      <c r="O3161">
        <v>1.8882019999999999E-2</v>
      </c>
      <c r="P3161">
        <v>0.99758420000000003</v>
      </c>
      <c r="Q3161">
        <v>6.5274719999999994E-2</v>
      </c>
      <c r="R3161">
        <v>-2.3772620000000001E-2</v>
      </c>
      <c r="S3161">
        <v>2.9843440000000001</v>
      </c>
      <c r="T3161">
        <v>0.19404150000000001</v>
      </c>
      <c r="U3161">
        <v>-0.43229679999999998</v>
      </c>
      <c r="V3161">
        <v>4.2633949999999997E-2</v>
      </c>
      <c r="W3161">
        <v>7.1808300000000005E-2</v>
      </c>
      <c r="X3161">
        <v>0.99650689999999997</v>
      </c>
      <c r="Y3161">
        <v>0.16164679999999901</v>
      </c>
      <c r="Z3161">
        <v>6.4428619999999997E-3</v>
      </c>
      <c r="AA3161">
        <v>0.98682769999999997</v>
      </c>
      <c r="AB3161">
        <v>34</v>
      </c>
      <c r="AC3161">
        <v>199.9923</v>
      </c>
      <c r="AD3161">
        <v>13.025853999999899</v>
      </c>
      <c r="AE3161">
        <v>-29.0262999999999</v>
      </c>
      <c r="AF3161">
        <v>32.661767163818297</v>
      </c>
      <c r="AG3161">
        <v>13.025853999999899</v>
      </c>
      <c r="AH3161">
        <v>198.58351518338799</v>
      </c>
      <c r="AI3161">
        <v>86.296740393063601</v>
      </c>
      <c r="AJ3161">
        <v>80.659972479290104</v>
      </c>
      <c r="AK3161">
        <v>201.672696241419</v>
      </c>
      <c r="AL3161">
        <v>85.882143564272297</v>
      </c>
      <c r="AM3161">
        <v>87.550185936698696</v>
      </c>
      <c r="AN3161">
        <v>1.00000004369455</v>
      </c>
    </row>
    <row r="3162" spans="1:40" x14ac:dyDescent="0.25">
      <c r="A3162" t="str">
        <f>"20190312151048874"</f>
        <v>20190312151048874</v>
      </c>
      <c r="B3162" t="str">
        <f>"1552374648863623"</f>
        <v>1552374648863623</v>
      </c>
      <c r="C3162" t="s">
        <v>40</v>
      </c>
      <c r="D3162">
        <v>5.2419529999999996</v>
      </c>
      <c r="E3162">
        <v>0.54295400000000005</v>
      </c>
      <c r="F3162" t="s">
        <v>76</v>
      </c>
      <c r="G3162">
        <v>-280.35000000000002</v>
      </c>
      <c r="H3162">
        <v>11.870799999999999</v>
      </c>
      <c r="I3162">
        <v>202.34569999999999</v>
      </c>
      <c r="J3162">
        <v>-369.39319999999998</v>
      </c>
      <c r="K3162">
        <v>1.1090469999999999</v>
      </c>
      <c r="L3162">
        <v>214.2697</v>
      </c>
      <c r="M3162">
        <v>0.9998032</v>
      </c>
      <c r="N3162">
        <v>0</v>
      </c>
      <c r="O3162">
        <v>1.8728129999999999E-2</v>
      </c>
      <c r="P3162">
        <v>0.99759249999999999</v>
      </c>
      <c r="Q3162">
        <v>6.5062490000000001E-2</v>
      </c>
      <c r="R3162">
        <v>-2.400205E-2</v>
      </c>
      <c r="S3162">
        <v>2.974396</v>
      </c>
      <c r="T3162">
        <v>0.3581975</v>
      </c>
      <c r="U3162">
        <v>-0.3966827</v>
      </c>
      <c r="V3162">
        <v>4.2710119999999997E-2</v>
      </c>
      <c r="W3162">
        <v>7.1575250000000007E-2</v>
      </c>
      <c r="X3162">
        <v>0.99652030000000003</v>
      </c>
      <c r="Y3162">
        <v>0.14954100000000001</v>
      </c>
      <c r="Z3162">
        <v>1.1170950000000001E-2</v>
      </c>
      <c r="AA3162">
        <v>0.98869240000000003</v>
      </c>
      <c r="AB3162">
        <v>34</v>
      </c>
      <c r="AC3162">
        <v>89.043199999999899</v>
      </c>
      <c r="AD3162">
        <v>10.761753000000001</v>
      </c>
      <c r="AE3162">
        <v>-11.923999999999999</v>
      </c>
      <c r="AF3162">
        <v>13.397308379104899</v>
      </c>
      <c r="AG3162">
        <v>10.761753000000001</v>
      </c>
      <c r="AH3162">
        <v>87.547968455483499</v>
      </c>
      <c r="AI3162">
        <v>83.071977435591705</v>
      </c>
      <c r="AJ3162">
        <v>81.299624843160601</v>
      </c>
      <c r="AK3162">
        <v>89.218551771031301</v>
      </c>
      <c r="AL3162">
        <v>85.895530364449698</v>
      </c>
      <c r="AM3162">
        <v>87.545847395634794</v>
      </c>
      <c r="AN3162">
        <v>0.99999993953753097</v>
      </c>
    </row>
    <row r="3163" spans="1:40" x14ac:dyDescent="0.25">
      <c r="A3163" t="str">
        <f>"20190312151048896"</f>
        <v>20190312151048896</v>
      </c>
      <c r="B3163" t="str">
        <f>"1552374648893880"</f>
        <v>1552374648893880</v>
      </c>
      <c r="C3163" t="s">
        <v>40</v>
      </c>
      <c r="D3163">
        <v>5.4249349999999996</v>
      </c>
      <c r="E3163">
        <v>0.54294089999999995</v>
      </c>
      <c r="F3163" t="s">
        <v>76</v>
      </c>
      <c r="G3163">
        <v>-280.55470000000003</v>
      </c>
      <c r="H3163">
        <v>12.277200000000001</v>
      </c>
      <c r="I3163">
        <v>201.83510000000001</v>
      </c>
      <c r="J3163">
        <v>-369.05009999999999</v>
      </c>
      <c r="K3163">
        <v>1.109046</v>
      </c>
      <c r="L3163">
        <v>214.27590000000001</v>
      </c>
      <c r="M3163">
        <v>0.99980639999999998</v>
      </c>
      <c r="N3163">
        <v>0</v>
      </c>
      <c r="O3163">
        <v>1.8563030000000001E-2</v>
      </c>
      <c r="P3163">
        <v>0.99764759999999997</v>
      </c>
      <c r="Q3163">
        <v>6.4298869999999994E-2</v>
      </c>
      <c r="R3163">
        <v>-2.377278E-2</v>
      </c>
      <c r="S3163">
        <v>2.9728699999999999</v>
      </c>
      <c r="T3163">
        <v>0.37372709999999998</v>
      </c>
      <c r="U3163">
        <v>-0.41610720000000001</v>
      </c>
      <c r="V3163">
        <v>4.2317010000000002E-2</v>
      </c>
      <c r="W3163">
        <v>7.0793789999999995E-2</v>
      </c>
      <c r="X3163">
        <v>0.9965929</v>
      </c>
      <c r="Y3163">
        <v>0.15563160000000001</v>
      </c>
      <c r="Z3163">
        <v>1.201137E-2</v>
      </c>
      <c r="AA3163">
        <v>0.98774209999999996</v>
      </c>
      <c r="AB3163">
        <v>34</v>
      </c>
      <c r="AC3163">
        <v>88.495399999999904</v>
      </c>
      <c r="AD3163">
        <v>11.168153999999999</v>
      </c>
      <c r="AE3163">
        <v>-12.4407999999999</v>
      </c>
      <c r="AF3163">
        <v>13.864893742880501</v>
      </c>
      <c r="AG3163">
        <v>11.168153999999999</v>
      </c>
      <c r="AH3163">
        <v>86.892136028953104</v>
      </c>
      <c r="AI3163">
        <v>82.766507290513701</v>
      </c>
      <c r="AJ3163">
        <v>80.934058385520501</v>
      </c>
      <c r="AK3163">
        <v>88.697273046825799</v>
      </c>
      <c r="AL3163">
        <v>85.9404186415032</v>
      </c>
      <c r="AM3163">
        <v>87.568585450218904</v>
      </c>
      <c r="AN3163">
        <v>0.99999994918415502</v>
      </c>
    </row>
    <row r="3164" spans="1:40" x14ac:dyDescent="0.25">
      <c r="A3164" t="str">
        <f>"20190312151048918"</f>
        <v>20190312151048918</v>
      </c>
      <c r="B3164" t="str">
        <f>"1552374648914376"</f>
        <v>1552374648914376</v>
      </c>
      <c r="C3164" t="s">
        <v>40</v>
      </c>
      <c r="D3164">
        <v>5.6105340000000004</v>
      </c>
      <c r="E3164">
        <v>0.54347639999999997</v>
      </c>
      <c r="F3164" t="s">
        <v>76</v>
      </c>
      <c r="G3164">
        <v>-280.52409999999998</v>
      </c>
      <c r="H3164">
        <v>12.094620000000001</v>
      </c>
      <c r="I3164">
        <v>201.91120000000001</v>
      </c>
      <c r="J3164">
        <v>-368.71809999999999</v>
      </c>
      <c r="K3164">
        <v>1.1090420000000001</v>
      </c>
      <c r="L3164">
        <v>214.28200000000001</v>
      </c>
      <c r="M3164">
        <v>0.99980959999999997</v>
      </c>
      <c r="N3164">
        <v>0</v>
      </c>
      <c r="O3164">
        <v>1.84034E-2</v>
      </c>
      <c r="P3164">
        <v>0.99764949999999997</v>
      </c>
      <c r="Q3164">
        <v>6.4309039999999998E-2</v>
      </c>
      <c r="R3164">
        <v>-2.3669550000000001E-2</v>
      </c>
      <c r="S3164">
        <v>2.9733580000000002</v>
      </c>
      <c r="T3164">
        <v>0.36897590000000002</v>
      </c>
      <c r="U3164">
        <v>-0.41529850000000001</v>
      </c>
      <c r="V3164">
        <v>4.2054679999999997E-2</v>
      </c>
      <c r="W3164">
        <v>7.0789050000000006E-2</v>
      </c>
      <c r="X3164">
        <v>0.99660439999999995</v>
      </c>
      <c r="Y3164">
        <v>0.15522659999999999</v>
      </c>
      <c r="Z3164">
        <v>1.1813570000000001E-2</v>
      </c>
      <c r="AA3164">
        <v>0.98780820000000003</v>
      </c>
      <c r="AB3164">
        <v>34</v>
      </c>
      <c r="AC3164">
        <v>88.194000000000003</v>
      </c>
      <c r="AD3164">
        <v>10.985578</v>
      </c>
      <c r="AE3164">
        <v>-12.370799999999999</v>
      </c>
      <c r="AF3164">
        <v>13.7820974290499</v>
      </c>
      <c r="AG3164">
        <v>10.985578</v>
      </c>
      <c r="AH3164">
        <v>86.633166822155601</v>
      </c>
      <c r="AI3164">
        <v>82.861958078588103</v>
      </c>
      <c r="AJ3164">
        <v>80.960808648279297</v>
      </c>
      <c r="AK3164">
        <v>88.407775264245501</v>
      </c>
      <c r="AL3164">
        <v>85.940691145350797</v>
      </c>
      <c r="AM3164">
        <v>87.583668111163306</v>
      </c>
      <c r="AN3164">
        <v>1.0000000079045801</v>
      </c>
    </row>
    <row r="3165" spans="1:40" x14ac:dyDescent="0.25">
      <c r="A3165" t="str">
        <f>"20190312151048941"</f>
        <v>20190312151048941</v>
      </c>
      <c r="B3165" t="str">
        <f>"1552374648933896"</f>
        <v>1552374648933896</v>
      </c>
      <c r="C3165" t="s">
        <v>40</v>
      </c>
      <c r="D3165">
        <v>5.4776809999999996</v>
      </c>
      <c r="E3165">
        <v>0.54402629999999996</v>
      </c>
      <c r="F3165" t="s">
        <v>76</v>
      </c>
      <c r="G3165">
        <v>-280.5498</v>
      </c>
      <c r="H3165">
        <v>12.1058</v>
      </c>
      <c r="I3165">
        <v>201.84710000000001</v>
      </c>
      <c r="J3165">
        <v>-368.35570000000001</v>
      </c>
      <c r="K3165">
        <v>1.1090420000000001</v>
      </c>
      <c r="L3165">
        <v>214.2885</v>
      </c>
      <c r="M3165">
        <v>0.9998127</v>
      </c>
      <c r="N3165">
        <v>0</v>
      </c>
      <c r="O3165">
        <v>1.8229209999999999E-2</v>
      </c>
      <c r="P3165">
        <v>0.99768270000000003</v>
      </c>
      <c r="Q3165">
        <v>6.3622750000000006E-2</v>
      </c>
      <c r="R3165">
        <v>-2.411982E-2</v>
      </c>
      <c r="S3165">
        <v>2.9732059999999998</v>
      </c>
      <c r="T3165">
        <v>0.3708304</v>
      </c>
      <c r="U3165">
        <v>-0.4193268</v>
      </c>
      <c r="V3165">
        <v>4.2331460000000001E-2</v>
      </c>
      <c r="W3165">
        <v>7.008984E-2</v>
      </c>
      <c r="X3165">
        <v>0.99664209999999998</v>
      </c>
      <c r="Y3165">
        <v>0.15635370000000001</v>
      </c>
      <c r="Z3165">
        <v>1.1920119999999999E-2</v>
      </c>
      <c r="AA3165">
        <v>0.98762919999999998</v>
      </c>
      <c r="AB3165">
        <v>34</v>
      </c>
      <c r="AC3165">
        <v>87.805899999999994</v>
      </c>
      <c r="AD3165">
        <v>10.996758</v>
      </c>
      <c r="AE3165">
        <v>-12.4413999999999</v>
      </c>
      <c r="AF3165">
        <v>13.8273858829559</v>
      </c>
      <c r="AG3165">
        <v>10.996758</v>
      </c>
      <c r="AH3165">
        <v>86.238486782835906</v>
      </c>
      <c r="AI3165">
        <v>82.823794253457805</v>
      </c>
      <c r="AJ3165">
        <v>80.890790072877707</v>
      </c>
      <c r="AK3165">
        <v>88.029551228323797</v>
      </c>
      <c r="AL3165">
        <v>85.980852682518602</v>
      </c>
      <c r="AM3165">
        <v>87.567876116792306</v>
      </c>
      <c r="AN3165">
        <v>1.0000000068346799</v>
      </c>
    </row>
    <row r="3166" spans="1:40" x14ac:dyDescent="0.25">
      <c r="A3166" t="str">
        <f>"20190312151048964"</f>
        <v>20190312151048964</v>
      </c>
      <c r="B3166" t="str">
        <f>"1552374648954391"</f>
        <v>1552374648954391</v>
      </c>
      <c r="C3166" t="s">
        <v>40</v>
      </c>
      <c r="D3166">
        <v>5.5182789999999997</v>
      </c>
      <c r="E3166">
        <v>0.54436980000000001</v>
      </c>
      <c r="F3166" t="s">
        <v>76</v>
      </c>
      <c r="G3166">
        <v>-280.59030000000001</v>
      </c>
      <c r="H3166">
        <v>12.010899999999999</v>
      </c>
      <c r="I3166">
        <v>201.74590000000001</v>
      </c>
      <c r="J3166">
        <v>-368.01569999999998</v>
      </c>
      <c r="K3166">
        <v>1.10904</v>
      </c>
      <c r="L3166">
        <v>214.2945</v>
      </c>
      <c r="M3166">
        <v>0.99981569999999997</v>
      </c>
      <c r="N3166">
        <v>0</v>
      </c>
      <c r="O3166">
        <v>1.8065689999999999E-2</v>
      </c>
      <c r="P3166">
        <v>0.99773040000000002</v>
      </c>
      <c r="Q3166">
        <v>6.2658370000000005E-2</v>
      </c>
      <c r="R3166">
        <v>-2.4660310000000001E-2</v>
      </c>
      <c r="S3166">
        <v>2.9731749999999999</v>
      </c>
      <c r="T3166">
        <v>0.36931459999999999</v>
      </c>
      <c r="U3166">
        <v>-0.4248962</v>
      </c>
      <c r="V3166">
        <v>4.2709509999999999E-2</v>
      </c>
      <c r="W3166">
        <v>6.9115629999999997E-2</v>
      </c>
      <c r="X3166">
        <v>0.99669399999999997</v>
      </c>
      <c r="Y3166">
        <v>0.1580068</v>
      </c>
      <c r="Z3166">
        <v>1.1951979999999999E-2</v>
      </c>
      <c r="AA3166">
        <v>0.98736570000000001</v>
      </c>
      <c r="AB3166">
        <v>34</v>
      </c>
      <c r="AC3166">
        <v>87.425399999999897</v>
      </c>
      <c r="AD3166">
        <v>10.901859999999999</v>
      </c>
      <c r="AE3166">
        <v>-12.548599999999899</v>
      </c>
      <c r="AF3166">
        <v>13.9139926727819</v>
      </c>
      <c r="AG3166">
        <v>10.901859999999999</v>
      </c>
      <c r="AH3166">
        <v>85.876025412415501</v>
      </c>
      <c r="AI3166">
        <v>82.857236086033197</v>
      </c>
      <c r="AJ3166">
        <v>80.796676806302202</v>
      </c>
      <c r="AK3166">
        <v>87.676345066338499</v>
      </c>
      <c r="AL3166">
        <v>86.036806482800301</v>
      </c>
      <c r="AM3166">
        <v>87.546309575204305</v>
      </c>
      <c r="AN3166">
        <v>1.00000000109536</v>
      </c>
    </row>
    <row r="3167" spans="1:40" x14ac:dyDescent="0.25">
      <c r="A3167" t="str">
        <f>"20190312151048987"</f>
        <v>20190312151048987</v>
      </c>
      <c r="B3167" t="str">
        <f>"1552374648983672"</f>
        <v>1552374648983672</v>
      </c>
      <c r="C3167" t="s">
        <v>40</v>
      </c>
      <c r="D3167">
        <v>5.2942879999999999</v>
      </c>
      <c r="E3167">
        <v>0.54399299999999995</v>
      </c>
      <c r="F3167" t="s">
        <v>76</v>
      </c>
      <c r="G3167">
        <v>-280.62169999999998</v>
      </c>
      <c r="H3167">
        <v>11.985150000000001</v>
      </c>
      <c r="I3167">
        <v>201.66730000000001</v>
      </c>
      <c r="J3167">
        <v>-367.65519999999998</v>
      </c>
      <c r="K3167">
        <v>1.1090450000000001</v>
      </c>
      <c r="L3167">
        <v>214.30090000000001</v>
      </c>
      <c r="M3167">
        <v>0.99981889999999995</v>
      </c>
      <c r="N3167">
        <v>0</v>
      </c>
      <c r="O3167">
        <v>1.7892499999999999E-2</v>
      </c>
      <c r="P3167">
        <v>0.99762470000000003</v>
      </c>
      <c r="Q3167">
        <v>6.3971390000000003E-2</v>
      </c>
      <c r="R3167">
        <v>-2.5551540000000001E-2</v>
      </c>
      <c r="S3167">
        <v>2.9729610000000002</v>
      </c>
      <c r="T3167">
        <v>0.36998160000000002</v>
      </c>
      <c r="U3167">
        <v>-0.42955019999999999</v>
      </c>
      <c r="V3167">
        <v>4.3426729999999997E-2</v>
      </c>
      <c r="W3167">
        <v>7.0419469999999998E-2</v>
      </c>
      <c r="X3167">
        <v>0.99657169999999895</v>
      </c>
      <c r="Y3167">
        <v>0.1593465</v>
      </c>
      <c r="Z3167">
        <v>1.203419E-2</v>
      </c>
      <c r="AA3167">
        <v>0.98714939999999995</v>
      </c>
      <c r="AB3167">
        <v>35</v>
      </c>
      <c r="AC3167">
        <v>87.033500000000004</v>
      </c>
      <c r="AD3167">
        <v>10.876105000000001</v>
      </c>
      <c r="AE3167">
        <v>-12.633599999999999</v>
      </c>
      <c r="AF3167">
        <v>13.9751230800639</v>
      </c>
      <c r="AG3167">
        <v>10.876105000000001</v>
      </c>
      <c r="AH3167">
        <v>85.486100147360105</v>
      </c>
      <c r="AI3167">
        <v>82.843402336484203</v>
      </c>
      <c r="AJ3167">
        <v>80.715511332245796</v>
      </c>
      <c r="AK3167">
        <v>87.301013988833205</v>
      </c>
      <c r="AL3167">
        <v>85.961919335201699</v>
      </c>
      <c r="AM3167">
        <v>87.504850650241394</v>
      </c>
      <c r="AN3167">
        <v>0.999999967937231</v>
      </c>
    </row>
    <row r="3168" spans="1:40" x14ac:dyDescent="0.25">
      <c r="A3168" t="str">
        <f>"20190312151049008"</f>
        <v>20190312151049008</v>
      </c>
      <c r="B3168" t="str">
        <f>"1552374649004168"</f>
        <v>1552374649004168</v>
      </c>
      <c r="C3168" t="s">
        <v>40</v>
      </c>
      <c r="D3168">
        <v>5.2744759999999999</v>
      </c>
      <c r="E3168">
        <v>0.54392839999999998</v>
      </c>
      <c r="F3168" t="s">
        <v>76</v>
      </c>
      <c r="G3168">
        <v>-280.59500000000003</v>
      </c>
      <c r="H3168">
        <v>12.09717</v>
      </c>
      <c r="I3168">
        <v>201.73419999999999</v>
      </c>
      <c r="J3168">
        <v>-367.32619999999997</v>
      </c>
      <c r="K3168">
        <v>1.1090530000000001</v>
      </c>
      <c r="L3168">
        <v>214.3066</v>
      </c>
      <c r="M3168">
        <v>0.99982179999999998</v>
      </c>
      <c r="N3168">
        <v>0</v>
      </c>
      <c r="O3168">
        <v>1.773462E-2</v>
      </c>
      <c r="P3168">
        <v>0.99738510000000002</v>
      </c>
      <c r="Q3168">
        <v>6.7035230000000001E-2</v>
      </c>
      <c r="R3168">
        <v>-2.7006390000000002E-2</v>
      </c>
      <c r="S3168">
        <v>2.9720759999999999</v>
      </c>
      <c r="T3168">
        <v>0.37511339999999999</v>
      </c>
      <c r="U3168">
        <v>-0.42900090000000002</v>
      </c>
      <c r="V3168">
        <v>4.4721110000000001E-2</v>
      </c>
      <c r="W3168">
        <v>7.3475680000000002E-2</v>
      </c>
      <c r="X3168">
        <v>0.99629380000000001</v>
      </c>
      <c r="Y3168">
        <v>0.1590192</v>
      </c>
      <c r="Z3168">
        <v>1.216332E-2</v>
      </c>
      <c r="AA3168">
        <v>0.98720059999999998</v>
      </c>
      <c r="AB3168">
        <v>35</v>
      </c>
      <c r="AC3168">
        <v>86.731199999999902</v>
      </c>
      <c r="AD3168">
        <v>10.9881169999999</v>
      </c>
      <c r="AE3168">
        <v>-12.5724</v>
      </c>
      <c r="AF3168">
        <v>13.8902390789046</v>
      </c>
      <c r="AG3168">
        <v>10.9881169999999</v>
      </c>
      <c r="AH3168">
        <v>85.155899780928493</v>
      </c>
      <c r="AI3168">
        <v>82.742323774714194</v>
      </c>
      <c r="AJ3168">
        <v>80.735764132480895</v>
      </c>
      <c r="AK3168">
        <v>86.978185336177006</v>
      </c>
      <c r="AL3168">
        <v>85.786356451708301</v>
      </c>
      <c r="AM3168">
        <v>87.429862555081598</v>
      </c>
      <c r="AN3168">
        <v>0.99999999457476696</v>
      </c>
    </row>
    <row r="3169" spans="1:40" x14ac:dyDescent="0.25">
      <c r="A3169" t="str">
        <f>"20190312151049031"</f>
        <v>20190312151049031</v>
      </c>
      <c r="B3169" t="str">
        <f>"1552374649023688"</f>
        <v>1552374649023688</v>
      </c>
      <c r="C3169" t="s">
        <v>40</v>
      </c>
      <c r="D3169">
        <v>5.334956</v>
      </c>
      <c r="E3169">
        <v>0.54401669999999902</v>
      </c>
      <c r="F3169" t="s">
        <v>76</v>
      </c>
      <c r="G3169">
        <v>-280.61810000000003</v>
      </c>
      <c r="H3169">
        <v>12.379770000000001</v>
      </c>
      <c r="I3169">
        <v>201.67660000000001</v>
      </c>
      <c r="J3169">
        <v>-366.95960000000002</v>
      </c>
      <c r="K3169">
        <v>1.1090500000000001</v>
      </c>
      <c r="L3169">
        <v>214.31299999999999</v>
      </c>
      <c r="M3169">
        <v>0.99982490000000002</v>
      </c>
      <c r="N3169">
        <v>0</v>
      </c>
      <c r="O3169">
        <v>1.755903E-2</v>
      </c>
      <c r="P3169">
        <v>0.99723859999999998</v>
      </c>
      <c r="Q3169">
        <v>6.8686759999999999E-2</v>
      </c>
      <c r="R3169">
        <v>-2.8240879999999999E-2</v>
      </c>
      <c r="S3169">
        <v>2.9702449999999998</v>
      </c>
      <c r="T3169">
        <v>0.38608500000000001</v>
      </c>
      <c r="U3169">
        <v>-0.43264770000000002</v>
      </c>
      <c r="V3169">
        <v>4.5778409999999999E-2</v>
      </c>
      <c r="W3169">
        <v>7.512191E-2</v>
      </c>
      <c r="X3169">
        <v>0.99612299999999998</v>
      </c>
      <c r="Y3169">
        <v>0.16002939999999999</v>
      </c>
      <c r="Z3169">
        <v>1.2565120000000001E-2</v>
      </c>
      <c r="AA3169">
        <v>0.98703229999999997</v>
      </c>
      <c r="AB3169">
        <v>35</v>
      </c>
      <c r="AC3169">
        <v>86.341499999999996</v>
      </c>
      <c r="AD3169">
        <v>11.270720000000001</v>
      </c>
      <c r="AE3169">
        <v>-12.636399999999901</v>
      </c>
      <c r="AF3169">
        <v>13.918363938017</v>
      </c>
      <c r="AG3169">
        <v>11.270720000000001</v>
      </c>
      <c r="AH3169">
        <v>84.693406284208393</v>
      </c>
      <c r="AI3169">
        <v>82.518991370720997</v>
      </c>
      <c r="AJ3169">
        <v>80.667530887203995</v>
      </c>
      <c r="AK3169">
        <v>86.5662928168435</v>
      </c>
      <c r="AL3169">
        <v>85.691772996132997</v>
      </c>
      <c r="AM3169">
        <v>87.368733091009602</v>
      </c>
      <c r="AN3169">
        <v>0.99999999765658798</v>
      </c>
    </row>
    <row r="3170" spans="1:40" x14ac:dyDescent="0.25">
      <c r="A3170" t="str">
        <f>"20190312151049053"</f>
        <v>20190312151049053</v>
      </c>
      <c r="B3170" t="str">
        <f>"1552374649044184"</f>
        <v>1552374649044184</v>
      </c>
      <c r="C3170" t="s">
        <v>40</v>
      </c>
      <c r="D3170">
        <v>5.4062679999999999</v>
      </c>
      <c r="E3170">
        <v>0.54431039999999997</v>
      </c>
      <c r="F3170" t="s">
        <v>76</v>
      </c>
      <c r="G3170">
        <v>-280.64400000000001</v>
      </c>
      <c r="H3170">
        <v>12.37396</v>
      </c>
      <c r="I3170">
        <v>201.6121</v>
      </c>
      <c r="J3170">
        <v>-366.60849999999999</v>
      </c>
      <c r="K3170">
        <v>1.109048</v>
      </c>
      <c r="L3170">
        <v>214.31899999999999</v>
      </c>
      <c r="M3170">
        <v>0.99982789999999999</v>
      </c>
      <c r="N3170">
        <v>0</v>
      </c>
      <c r="O3170">
        <v>1.739071E-2</v>
      </c>
      <c r="P3170">
        <v>0.99714789999999998</v>
      </c>
      <c r="Q3170">
        <v>6.9435109999999994E-2</v>
      </c>
      <c r="R3170">
        <v>-2.9583189999999999E-2</v>
      </c>
      <c r="S3170">
        <v>2.9692379999999998</v>
      </c>
      <c r="T3170">
        <v>0.3875092</v>
      </c>
      <c r="U3170">
        <v>-0.43690489999999998</v>
      </c>
      <c r="V3170">
        <v>4.6951640000000003E-2</v>
      </c>
      <c r="W3170">
        <v>7.5866530000000001E-2</v>
      </c>
      <c r="X3170">
        <v>0.99601200000000001</v>
      </c>
      <c r="Y3170">
        <v>0.161276</v>
      </c>
      <c r="Z3170">
        <v>1.267281E-2</v>
      </c>
      <c r="AA3170">
        <v>0.98682800000000004</v>
      </c>
      <c r="AB3170">
        <v>35</v>
      </c>
      <c r="AC3170">
        <v>85.964499999999902</v>
      </c>
      <c r="AD3170">
        <v>11.264911999999899</v>
      </c>
      <c r="AE3170">
        <v>-12.706899999999999</v>
      </c>
      <c r="AF3170">
        <v>13.965310487653801</v>
      </c>
      <c r="AG3170">
        <v>11.264911999999899</v>
      </c>
      <c r="AH3170">
        <v>84.313648064457396</v>
      </c>
      <c r="AI3170">
        <v>82.491054864260704</v>
      </c>
      <c r="AJ3170">
        <v>80.595187145252794</v>
      </c>
      <c r="AK3170">
        <v>86.201620572478205</v>
      </c>
      <c r="AL3170">
        <v>85.648987520187504</v>
      </c>
      <c r="AM3170">
        <v>87.301095925038993</v>
      </c>
      <c r="AN3170">
        <v>1.0000000455084599</v>
      </c>
    </row>
    <row r="3171" spans="1:40" x14ac:dyDescent="0.25">
      <c r="A3171" t="str">
        <f>"20190312151049075"</f>
        <v>20190312151049075</v>
      </c>
      <c r="B3171" t="str">
        <f>"1552374649063705"</f>
        <v>1552374649063705</v>
      </c>
      <c r="C3171" t="s">
        <v>40</v>
      </c>
      <c r="D3171">
        <v>5.2695309999999997</v>
      </c>
      <c r="E3171">
        <v>0.54901440000000001</v>
      </c>
      <c r="F3171" t="s">
        <v>76</v>
      </c>
      <c r="G3171">
        <v>-280.69060000000002</v>
      </c>
      <c r="H3171">
        <v>12.2098</v>
      </c>
      <c r="I3171">
        <v>201.4956</v>
      </c>
      <c r="J3171">
        <v>-366.27839999999998</v>
      </c>
      <c r="K3171">
        <v>1.109051</v>
      </c>
      <c r="L3171">
        <v>214.3246</v>
      </c>
      <c r="M3171">
        <v>0.99983069999999996</v>
      </c>
      <c r="N3171">
        <v>0</v>
      </c>
      <c r="O3171">
        <v>1.723264E-2</v>
      </c>
      <c r="P3171">
        <v>0.99709999999999999</v>
      </c>
      <c r="Q3171">
        <v>6.9650219999999999E-2</v>
      </c>
      <c r="R3171">
        <v>-3.067278E-2</v>
      </c>
      <c r="S3171">
        <v>2.9687190000000001</v>
      </c>
      <c r="T3171">
        <v>0.38356269999999998</v>
      </c>
      <c r="U3171">
        <v>-0.4430847</v>
      </c>
      <c r="V3171">
        <v>4.7883149999999999E-2</v>
      </c>
      <c r="W3171">
        <v>7.6079530000000006E-2</v>
      </c>
      <c r="X3171">
        <v>0.99595140000000004</v>
      </c>
      <c r="Y3171">
        <v>0.16317039999999999</v>
      </c>
      <c r="Z3171">
        <v>1.2646050000000001E-2</v>
      </c>
      <c r="AA3171">
        <v>0.98651679999999997</v>
      </c>
      <c r="AB3171">
        <v>35</v>
      </c>
      <c r="AC3171">
        <v>85.587799999999902</v>
      </c>
      <c r="AD3171">
        <v>11.100749</v>
      </c>
      <c r="AE3171">
        <v>-12.829000000000001</v>
      </c>
      <c r="AF3171">
        <v>14.0705342585327</v>
      </c>
      <c r="AG3171">
        <v>11.100749</v>
      </c>
      <c r="AH3171">
        <v>83.972453672674504</v>
      </c>
      <c r="AI3171">
        <v>82.571818988028795</v>
      </c>
      <c r="AJ3171">
        <v>80.487811192993107</v>
      </c>
      <c r="AK3171">
        <v>85.863726558372804</v>
      </c>
      <c r="AL3171">
        <v>85.636748126851501</v>
      </c>
      <c r="AM3171">
        <v>87.247464598964996</v>
      </c>
      <c r="AN3171">
        <v>1.0000000410504499</v>
      </c>
    </row>
    <row r="3172" spans="1:40" x14ac:dyDescent="0.25">
      <c r="A3172" t="str">
        <f>"20190312151049097"</f>
        <v>20190312151049097</v>
      </c>
      <c r="B3172" t="str">
        <f>"1552374649093960"</f>
        <v>1552374649093960</v>
      </c>
      <c r="C3172" t="s">
        <v>40</v>
      </c>
      <c r="D3172">
        <v>5.7857139999999996</v>
      </c>
      <c r="E3172">
        <v>0.54625809999999997</v>
      </c>
      <c r="F3172" t="s">
        <v>69</v>
      </c>
      <c r="G3172">
        <v>-168.42429999999999</v>
      </c>
      <c r="H3172">
        <v>17.349710000000002</v>
      </c>
      <c r="I3172">
        <v>182.2278</v>
      </c>
      <c r="J3172">
        <v>-365.92180000000002</v>
      </c>
      <c r="K3172">
        <v>1.1090530000000001</v>
      </c>
      <c r="L3172">
        <v>214.3306</v>
      </c>
      <c r="M3172">
        <v>0.99983350000000004</v>
      </c>
      <c r="N3172">
        <v>0</v>
      </c>
      <c r="O3172">
        <v>1.706216E-2</v>
      </c>
      <c r="P3172">
        <v>0.99702630000000003</v>
      </c>
      <c r="Q3172">
        <v>7.0507559999999997E-2</v>
      </c>
      <c r="R3172">
        <v>-3.1106990000000001E-2</v>
      </c>
      <c r="S3172">
        <v>2.976807</v>
      </c>
      <c r="T3172">
        <v>0.2443486</v>
      </c>
      <c r="U3172">
        <v>-0.48291020000000001</v>
      </c>
      <c r="V3172">
        <v>4.814657E-2</v>
      </c>
      <c r="W3172">
        <v>7.6936270000000001E-2</v>
      </c>
      <c r="X3172">
        <v>0.99587289999999995</v>
      </c>
      <c r="Y3172">
        <v>0.17631569999999999</v>
      </c>
      <c r="Z3172">
        <v>8.5671359999999995E-3</v>
      </c>
      <c r="AA3172">
        <v>0.98429639999999996</v>
      </c>
      <c r="AB3172">
        <v>35</v>
      </c>
      <c r="AC3172">
        <v>197.4975</v>
      </c>
      <c r="AD3172">
        <v>16.240656999999999</v>
      </c>
      <c r="AE3172">
        <v>-32.102800000000002</v>
      </c>
      <c r="AF3172">
        <v>35.235795255786698</v>
      </c>
      <c r="AG3172">
        <v>16.240656999999999</v>
      </c>
      <c r="AH3172">
        <v>195.63215659990499</v>
      </c>
      <c r="AI3172">
        <v>85.329214522060596</v>
      </c>
      <c r="AJ3172">
        <v>79.789783354151993</v>
      </c>
      <c r="AK3172">
        <v>199.44237489317399</v>
      </c>
      <c r="AL3172">
        <v>85.587516313604596</v>
      </c>
      <c r="AM3172">
        <v>87.232127709346003</v>
      </c>
      <c r="AN3172">
        <v>1.0000000573993399</v>
      </c>
    </row>
    <row r="3173" spans="1:40" x14ac:dyDescent="0.25">
      <c r="A3173" t="str">
        <f>"20190312151049119"</f>
        <v>20190312151049119</v>
      </c>
      <c r="B3173" t="str">
        <f>"1552374649114455"</f>
        <v>1552374649114455</v>
      </c>
      <c r="C3173" t="s">
        <v>40</v>
      </c>
      <c r="D3173">
        <v>5.2298879999999999</v>
      </c>
      <c r="E3173">
        <v>0.54556700000000002</v>
      </c>
      <c r="F3173" t="s">
        <v>76</v>
      </c>
      <c r="G3173">
        <v>-280.85700000000003</v>
      </c>
      <c r="H3173">
        <v>10.64282</v>
      </c>
      <c r="I3173">
        <v>201.07839999999999</v>
      </c>
      <c r="J3173">
        <v>-365.58339999999998</v>
      </c>
      <c r="K3173">
        <v>1.1090530000000001</v>
      </c>
      <c r="L3173">
        <v>214.33619999999999</v>
      </c>
      <c r="M3173">
        <v>0.99983630000000001</v>
      </c>
      <c r="N3173">
        <v>0</v>
      </c>
      <c r="O3173">
        <v>1.6900330000000002E-2</v>
      </c>
      <c r="P3173">
        <v>0.9969652</v>
      </c>
      <c r="Q3173">
        <v>7.1101399999999995E-2</v>
      </c>
      <c r="R3173">
        <v>-3.1705659999999997E-2</v>
      </c>
      <c r="S3173">
        <v>2.9709780000000001</v>
      </c>
      <c r="T3173">
        <v>0.33297569999999999</v>
      </c>
      <c r="U3173">
        <v>-0.4628448</v>
      </c>
      <c r="V3173">
        <v>4.8583269999999998E-2</v>
      </c>
      <c r="W3173">
        <v>7.753053E-2</v>
      </c>
      <c r="X3173">
        <v>0.99580559999999996</v>
      </c>
      <c r="Y3173">
        <v>0.16946919999999999</v>
      </c>
      <c r="Z3173">
        <v>1.128844E-2</v>
      </c>
      <c r="AA3173">
        <v>0.98547079999999998</v>
      </c>
      <c r="AB3173">
        <v>35</v>
      </c>
      <c r="AC3173">
        <v>84.726399999999899</v>
      </c>
      <c r="AD3173">
        <v>9.5337669999999992</v>
      </c>
      <c r="AE3173">
        <v>-13.2578</v>
      </c>
      <c r="AF3173">
        <v>14.5085285099966</v>
      </c>
      <c r="AG3173">
        <v>9.5337669999999992</v>
      </c>
      <c r="AH3173">
        <v>83.458760184464893</v>
      </c>
      <c r="AI3173">
        <v>83.578648316062598</v>
      </c>
      <c r="AJ3173">
        <v>80.138216915496599</v>
      </c>
      <c r="AK3173">
        <v>85.2452624153606</v>
      </c>
      <c r="AL3173">
        <v>85.553365708412201</v>
      </c>
      <c r="AM3173">
        <v>87.206873612549998</v>
      </c>
      <c r="AN3173">
        <v>1.0000000550986601</v>
      </c>
    </row>
    <row r="3174" spans="1:40" x14ac:dyDescent="0.25">
      <c r="A3174" t="str">
        <f>"20190312151049153"</f>
        <v>20190312151049153</v>
      </c>
      <c r="B3174" t="str">
        <f>"1552374649143735"</f>
        <v>1552374649143735</v>
      </c>
      <c r="C3174" t="s">
        <v>40</v>
      </c>
      <c r="D3174">
        <v>5.4061669999999999</v>
      </c>
      <c r="E3174">
        <v>0.54515819999999904</v>
      </c>
      <c r="F3174" t="s">
        <v>76</v>
      </c>
      <c r="G3174">
        <v>-280.7989</v>
      </c>
      <c r="H3174">
        <v>11.286020000000001</v>
      </c>
      <c r="I3174">
        <v>201.22409999999999</v>
      </c>
      <c r="J3174">
        <v>-365.0412</v>
      </c>
      <c r="K3174">
        <v>1.1090530000000001</v>
      </c>
      <c r="L3174">
        <v>214.3451</v>
      </c>
      <c r="M3174">
        <v>0.99984059999999997</v>
      </c>
      <c r="N3174">
        <v>0</v>
      </c>
      <c r="O3174">
        <v>1.664121E-2</v>
      </c>
      <c r="P3174">
        <v>0.99690409999999996</v>
      </c>
      <c r="Q3174">
        <v>7.2037539999999997E-2</v>
      </c>
      <c r="R3174">
        <v>-3.1517089999999998E-2</v>
      </c>
      <c r="S3174">
        <v>2.969147</v>
      </c>
      <c r="T3174">
        <v>0.35639549999999998</v>
      </c>
      <c r="U3174">
        <v>-0.4591827</v>
      </c>
      <c r="V3174">
        <v>4.8135999999999998E-2</v>
      </c>
      <c r="W3174">
        <v>7.846989E-2</v>
      </c>
      <c r="X3174">
        <v>0.99575369999999996</v>
      </c>
      <c r="Y3174">
        <v>0.16796429999999901</v>
      </c>
      <c r="Z3174">
        <v>1.1965170000000001E-2</v>
      </c>
      <c r="AA3174">
        <v>0.9857205</v>
      </c>
      <c r="AB3174">
        <v>35</v>
      </c>
      <c r="AC3174">
        <v>84.2423</v>
      </c>
      <c r="AD3174">
        <v>10.176966999999999</v>
      </c>
      <c r="AE3174">
        <v>-13.121</v>
      </c>
      <c r="AF3174">
        <v>14.317110037707801</v>
      </c>
      <c r="AG3174">
        <v>10.176966999999999</v>
      </c>
      <c r="AH3174">
        <v>82.832054873857302</v>
      </c>
      <c r="AI3174">
        <v>83.096939031884901</v>
      </c>
      <c r="AJ3174">
        <v>80.193599238373096</v>
      </c>
      <c r="AK3174">
        <v>84.674078747729098</v>
      </c>
      <c r="AL3174">
        <v>85.499379686914097</v>
      </c>
      <c r="AM3174">
        <v>87.2324036680604</v>
      </c>
      <c r="AN3174">
        <v>1.00000001459815</v>
      </c>
    </row>
    <row r="3175" spans="1:40" x14ac:dyDescent="0.25">
      <c r="A3175" t="str">
        <f>"20190312151049175"</f>
        <v>20190312151049175</v>
      </c>
      <c r="B3175" t="str">
        <f>"1552374649173992"</f>
        <v>1552374649173992</v>
      </c>
      <c r="C3175" t="s">
        <v>40</v>
      </c>
      <c r="D3175">
        <v>5.0704650000000004</v>
      </c>
      <c r="E3175">
        <v>0.54513619999999996</v>
      </c>
      <c r="F3175" t="s">
        <v>76</v>
      </c>
      <c r="G3175">
        <v>-280.72579999999999</v>
      </c>
      <c r="H3175">
        <v>11.851839999999999</v>
      </c>
      <c r="I3175">
        <v>201.40710000000001</v>
      </c>
      <c r="J3175">
        <v>-364.68110000000001</v>
      </c>
      <c r="K3175">
        <v>1.1090500000000001</v>
      </c>
      <c r="L3175">
        <v>214.351</v>
      </c>
      <c r="M3175">
        <v>0.99984329999999999</v>
      </c>
      <c r="N3175">
        <v>0</v>
      </c>
      <c r="O3175">
        <v>1.6469620000000001E-2</v>
      </c>
      <c r="P3175">
        <v>0.99684510000000004</v>
      </c>
      <c r="Q3175">
        <v>7.3035080000000002E-2</v>
      </c>
      <c r="R3175">
        <v>-3.107822E-2</v>
      </c>
      <c r="S3175">
        <v>2.96759</v>
      </c>
      <c r="T3175">
        <v>0.37810559999999999</v>
      </c>
      <c r="U3175">
        <v>-0.45536799999999999</v>
      </c>
      <c r="V3175">
        <v>4.752605E-2</v>
      </c>
      <c r="W3175">
        <v>7.9478110000000005E-2</v>
      </c>
      <c r="X3175">
        <v>0.995703</v>
      </c>
      <c r="Y3175">
        <v>0.16648460000000001</v>
      </c>
      <c r="Z3175">
        <v>1.2581190000000001E-2</v>
      </c>
      <c r="AA3175">
        <v>0.98596379999999995</v>
      </c>
      <c r="AB3175">
        <v>35</v>
      </c>
      <c r="AC3175">
        <v>83.955299999999994</v>
      </c>
      <c r="AD3175">
        <v>10.742789999999999</v>
      </c>
      <c r="AE3175">
        <v>-12.9438999999999</v>
      </c>
      <c r="AF3175">
        <v>14.099390906914801</v>
      </c>
      <c r="AG3175">
        <v>10.742789999999999</v>
      </c>
      <c r="AH3175">
        <v>82.412684064443695</v>
      </c>
      <c r="AI3175">
        <v>82.678363378155197</v>
      </c>
      <c r="AJ3175">
        <v>80.291669454769206</v>
      </c>
      <c r="AK3175">
        <v>84.297395307541393</v>
      </c>
      <c r="AL3175">
        <v>85.441431785915199</v>
      </c>
      <c r="AM3175">
        <v>87.267280535461495</v>
      </c>
      <c r="AN3175">
        <v>0.99999997980338695</v>
      </c>
    </row>
    <row r="3176" spans="1:40" x14ac:dyDescent="0.25">
      <c r="A3176" t="str">
        <f>"20190312151049197"</f>
        <v>20190312151049197</v>
      </c>
      <c r="B3176" t="str">
        <f>"1552374649193512"</f>
        <v>1552374649193512</v>
      </c>
      <c r="C3176" t="s">
        <v>40</v>
      </c>
      <c r="D3176">
        <v>5.4296150000000001</v>
      </c>
      <c r="E3176">
        <v>0.54520230000000003</v>
      </c>
      <c r="F3176" t="s">
        <v>76</v>
      </c>
      <c r="G3176">
        <v>-280.68799999999999</v>
      </c>
      <c r="H3176">
        <v>12.273870000000001</v>
      </c>
      <c r="I3176">
        <v>201.50200000000001</v>
      </c>
      <c r="J3176">
        <v>-364.33539999999999</v>
      </c>
      <c r="K3176">
        <v>1.1090580000000001</v>
      </c>
      <c r="L3176">
        <v>214.35650000000001</v>
      </c>
      <c r="M3176">
        <v>0.99984600000000001</v>
      </c>
      <c r="N3176">
        <v>0</v>
      </c>
      <c r="O3176">
        <v>1.6304570000000001E-2</v>
      </c>
      <c r="P3176">
        <v>0.99680809999999997</v>
      </c>
      <c r="Q3176">
        <v>7.3633089999999998E-2</v>
      </c>
      <c r="R3176">
        <v>-3.0860990000000001E-2</v>
      </c>
      <c r="S3176">
        <v>2.9664609999999998</v>
      </c>
      <c r="T3176">
        <v>0.39431699999999997</v>
      </c>
      <c r="U3176">
        <v>-0.45379639999999999</v>
      </c>
      <c r="V3176">
        <v>4.714401E-2</v>
      </c>
      <c r="W3176">
        <v>8.0094109999999996E-2</v>
      </c>
      <c r="X3176">
        <v>0.9956718</v>
      </c>
      <c r="Y3176">
        <v>0.16574800000000001</v>
      </c>
      <c r="Z3176">
        <v>1.30513E-2</v>
      </c>
      <c r="AA3176">
        <v>0.98608180000000001</v>
      </c>
      <c r="AB3176">
        <v>36</v>
      </c>
      <c r="AC3176">
        <v>83.647400000000005</v>
      </c>
      <c r="AD3176">
        <v>11.164812</v>
      </c>
      <c r="AE3176">
        <v>-12.8545</v>
      </c>
      <c r="AF3176">
        <v>13.973454210659501</v>
      </c>
      <c r="AG3176">
        <v>11.164812</v>
      </c>
      <c r="AH3176">
        <v>81.999530258257906</v>
      </c>
      <c r="AI3176">
        <v>82.35532834624</v>
      </c>
      <c r="AJ3176">
        <v>80.329183009875905</v>
      </c>
      <c r="AK3176">
        <v>83.927548588932893</v>
      </c>
      <c r="AL3176">
        <v>85.406024701950997</v>
      </c>
      <c r="AM3176">
        <v>87.289129890585798</v>
      </c>
      <c r="AN3176">
        <v>0.99999997872540503</v>
      </c>
    </row>
    <row r="3177" spans="1:40" x14ac:dyDescent="0.25">
      <c r="A3177" t="str">
        <f>"20190312151049220"</f>
        <v>20190312151049220</v>
      </c>
      <c r="B3177" t="str">
        <f>"1552374649214008"</f>
        <v>1552374649214008</v>
      </c>
      <c r="C3177" t="s">
        <v>40</v>
      </c>
      <c r="D3177">
        <v>5.2120139999999999</v>
      </c>
      <c r="E3177">
        <v>0.54502050000000002</v>
      </c>
      <c r="F3177" t="s">
        <v>76</v>
      </c>
      <c r="G3177">
        <v>-280.66489999999999</v>
      </c>
      <c r="H3177">
        <v>12.456720000000001</v>
      </c>
      <c r="I3177">
        <v>201.5598</v>
      </c>
      <c r="J3177">
        <v>-363.97250000000003</v>
      </c>
      <c r="K3177">
        <v>1.1090530000000001</v>
      </c>
      <c r="L3177">
        <v>214.3623</v>
      </c>
      <c r="M3177">
        <v>0.99984859999999998</v>
      </c>
      <c r="N3177">
        <v>0</v>
      </c>
      <c r="O3177">
        <v>1.613158E-2</v>
      </c>
      <c r="P3177">
        <v>0.99683379999999999</v>
      </c>
      <c r="Q3177">
        <v>7.3157230000000004E-2</v>
      </c>
      <c r="R3177">
        <v>-3.1158370000000001E-2</v>
      </c>
      <c r="S3177">
        <v>2.9658199999999999</v>
      </c>
      <c r="T3177">
        <v>0.40223310000000001</v>
      </c>
      <c r="U3177">
        <v>-0.453598</v>
      </c>
      <c r="V3177">
        <v>4.7269390000000001E-2</v>
      </c>
      <c r="W3177">
        <v>7.9637819999999998E-2</v>
      </c>
      <c r="X3177">
        <v>0.99570250000000005</v>
      </c>
      <c r="Y3177">
        <v>0.16548489999999999</v>
      </c>
      <c r="Z3177">
        <v>1.327299E-2</v>
      </c>
      <c r="AA3177">
        <v>0.98612299999999997</v>
      </c>
      <c r="AB3177">
        <v>36</v>
      </c>
      <c r="AC3177">
        <v>83.307599999999994</v>
      </c>
      <c r="AD3177">
        <v>11.347667</v>
      </c>
      <c r="AE3177">
        <v>-12.8025</v>
      </c>
      <c r="AF3177">
        <v>13.8929201307479</v>
      </c>
      <c r="AG3177">
        <v>11.347667</v>
      </c>
      <c r="AH3177">
        <v>81.610935080553702</v>
      </c>
      <c r="AI3177">
        <v>82.194883717892395</v>
      </c>
      <c r="AJ3177">
        <v>80.338948980901904</v>
      </c>
      <c r="AK3177">
        <v>83.559125778245004</v>
      </c>
      <c r="AL3177">
        <v>85.432252176987106</v>
      </c>
      <c r="AM3177">
        <v>87.282014779192394</v>
      </c>
      <c r="AN3177">
        <v>1.00000002305578</v>
      </c>
    </row>
    <row r="3178" spans="1:40" x14ac:dyDescent="0.25">
      <c r="A3178" t="str">
        <f>"20190312151049244"</f>
        <v>20190312151049244</v>
      </c>
      <c r="B3178" t="str">
        <f>"1552374649233528"</f>
        <v>1552374649233528</v>
      </c>
      <c r="C3178" t="s">
        <v>40</v>
      </c>
      <c r="D3178">
        <v>5.424417</v>
      </c>
      <c r="E3178">
        <v>0.5449505</v>
      </c>
      <c r="F3178" t="s">
        <v>76</v>
      </c>
      <c r="G3178">
        <v>-280.63690000000003</v>
      </c>
      <c r="H3178">
        <v>12.54768</v>
      </c>
      <c r="I3178">
        <v>201.62989999999999</v>
      </c>
      <c r="J3178">
        <v>-363.59930000000003</v>
      </c>
      <c r="K3178">
        <v>1.10904</v>
      </c>
      <c r="L3178">
        <v>214.3681</v>
      </c>
      <c r="M3178">
        <v>0.9998513</v>
      </c>
      <c r="N3178">
        <v>0</v>
      </c>
      <c r="O3178">
        <v>1.5953760000000001E-2</v>
      </c>
      <c r="P3178">
        <v>0.99697049999999998</v>
      </c>
      <c r="Q3178">
        <v>7.1013720000000002E-2</v>
      </c>
      <c r="R3178">
        <v>-3.1733940000000002E-2</v>
      </c>
      <c r="S3178">
        <v>2.9654850000000001</v>
      </c>
      <c r="T3178">
        <v>0.40704050000000003</v>
      </c>
      <c r="U3178">
        <v>-0.45307920000000002</v>
      </c>
      <c r="V3178">
        <v>4.7669209999999997E-2</v>
      </c>
      <c r="W3178">
        <v>7.7514830000000007E-2</v>
      </c>
      <c r="X3178">
        <v>0.99585089999999998</v>
      </c>
      <c r="Y3178">
        <v>0.1651232</v>
      </c>
      <c r="Z3178">
        <v>1.338312E-2</v>
      </c>
      <c r="AA3178">
        <v>0.98618220000000001</v>
      </c>
      <c r="AB3178">
        <v>36</v>
      </c>
      <c r="AC3178">
        <v>82.962400000000002</v>
      </c>
      <c r="AD3178">
        <v>11.438639999999999</v>
      </c>
      <c r="AE3178">
        <v>-12.738200000000001</v>
      </c>
      <c r="AF3178">
        <v>13.803800550720799</v>
      </c>
      <c r="AG3178">
        <v>11.438639999999999</v>
      </c>
      <c r="AH3178">
        <v>81.239801800452099</v>
      </c>
      <c r="AI3178">
        <v>82.097193646146195</v>
      </c>
      <c r="AJ3178">
        <v>80.356729481637004</v>
      </c>
      <c r="AK3178">
        <v>83.194307445103604</v>
      </c>
      <c r="AL3178">
        <v>85.554267538128499</v>
      </c>
      <c r="AM3178">
        <v>87.259467908420106</v>
      </c>
      <c r="AN3178">
        <v>0.99999995874138004</v>
      </c>
    </row>
    <row r="3179" spans="1:40" x14ac:dyDescent="0.25">
      <c r="A3179" t="str">
        <f>"20190312151049265"</f>
        <v>20190312151049265</v>
      </c>
      <c r="B3179" t="str">
        <f>"1552374649254024"</f>
        <v>1552374649254024</v>
      </c>
      <c r="C3179" t="s">
        <v>40</v>
      </c>
      <c r="D3179">
        <v>5.3921659999999996</v>
      </c>
      <c r="E3179">
        <v>0.54482410000000003</v>
      </c>
      <c r="F3179" t="s">
        <v>76</v>
      </c>
      <c r="G3179">
        <v>-280.62389999999999</v>
      </c>
      <c r="H3179">
        <v>12.43634</v>
      </c>
      <c r="I3179">
        <v>201.66229999999999</v>
      </c>
      <c r="J3179">
        <v>-363.24290000000002</v>
      </c>
      <c r="K3179">
        <v>1.1090169999999999</v>
      </c>
      <c r="L3179">
        <v>214.37370000000001</v>
      </c>
      <c r="M3179">
        <v>0.99985380000000001</v>
      </c>
      <c r="N3179">
        <v>0</v>
      </c>
      <c r="O3179">
        <v>1.578394E-2</v>
      </c>
      <c r="P3179">
        <v>0.99722180000000005</v>
      </c>
      <c r="Q3179">
        <v>6.7263740000000002E-2</v>
      </c>
      <c r="R3179">
        <v>-3.2004249999999998E-2</v>
      </c>
      <c r="S3179">
        <v>2.9658199999999999</v>
      </c>
      <c r="T3179">
        <v>0.40487459999999997</v>
      </c>
      <c r="U3179">
        <v>-0.45414729999999998</v>
      </c>
      <c r="V3179">
        <v>4.7772790000000002E-2</v>
      </c>
      <c r="W3179">
        <v>7.3785249999999997E-2</v>
      </c>
      <c r="X3179">
        <v>0.9961293</v>
      </c>
      <c r="Y3179">
        <v>0.16530410000000001</v>
      </c>
      <c r="Z3179">
        <v>1.3299979999999999E-2</v>
      </c>
      <c r="AA3179">
        <v>0.9861529</v>
      </c>
      <c r="AB3179">
        <v>36</v>
      </c>
      <c r="AC3179">
        <v>82.619</v>
      </c>
      <c r="AD3179">
        <v>11.327323</v>
      </c>
      <c r="AE3179">
        <v>-12.711399999999999</v>
      </c>
      <c r="AF3179">
        <v>13.7612064913002</v>
      </c>
      <c r="AG3179">
        <v>11.327323</v>
      </c>
      <c r="AH3179">
        <v>80.922126785143803</v>
      </c>
      <c r="AI3179">
        <v>82.142980865739304</v>
      </c>
      <c r="AJ3179">
        <v>80.348895934301595</v>
      </c>
      <c r="AK3179">
        <v>82.861750246259106</v>
      </c>
      <c r="AL3179">
        <v>85.768571323403904</v>
      </c>
      <c r="AM3179">
        <v>87.254288554418196</v>
      </c>
      <c r="AN3179">
        <v>1.00000004245021</v>
      </c>
    </row>
    <row r="3180" spans="1:40" x14ac:dyDescent="0.25">
      <c r="A3180" t="str">
        <f>"20190312151049287"</f>
        <v>20190312151049287</v>
      </c>
      <c r="B3180" t="str">
        <f>"1552374649283737"</f>
        <v>1552374649283737</v>
      </c>
      <c r="C3180" t="s">
        <v>40</v>
      </c>
      <c r="D3180">
        <v>5.1541730000000001</v>
      </c>
      <c r="E3180">
        <v>0.54466499999999995</v>
      </c>
      <c r="F3180" t="s">
        <v>76</v>
      </c>
      <c r="G3180">
        <v>-280.59629999999999</v>
      </c>
      <c r="H3180">
        <v>12.22688</v>
      </c>
      <c r="I3180">
        <v>201.73089999999999</v>
      </c>
      <c r="J3180">
        <v>-362.89139999999998</v>
      </c>
      <c r="K3180">
        <v>1.1089800000000001</v>
      </c>
      <c r="L3180">
        <v>214.37909999999999</v>
      </c>
      <c r="M3180">
        <v>0.99985650000000004</v>
      </c>
      <c r="N3180">
        <v>0</v>
      </c>
      <c r="O3180">
        <v>1.561656E-2</v>
      </c>
      <c r="P3180">
        <v>0.99762200000000001</v>
      </c>
      <c r="Q3180">
        <v>6.0929539999999997E-2</v>
      </c>
      <c r="R3180">
        <v>-3.2227159999999998E-2</v>
      </c>
      <c r="S3180">
        <v>2.966888</v>
      </c>
      <c r="T3180">
        <v>0.39911370000000002</v>
      </c>
      <c r="U3180">
        <v>-0.45385740000000002</v>
      </c>
      <c r="V3180">
        <v>4.7832340000000001E-2</v>
      </c>
      <c r="W3180">
        <v>6.7471530000000002E-2</v>
      </c>
      <c r="X3180">
        <v>0.99657399999999996</v>
      </c>
      <c r="Y3180">
        <v>0.16504279999999999</v>
      </c>
      <c r="Z3180">
        <v>1.306818E-2</v>
      </c>
      <c r="AA3180">
        <v>0.98619990000000002</v>
      </c>
      <c r="AB3180">
        <v>36</v>
      </c>
      <c r="AC3180">
        <v>82.295099999999906</v>
      </c>
      <c r="AD3180">
        <v>11.117900000000001</v>
      </c>
      <c r="AE3180">
        <v>-12.648199999999999</v>
      </c>
      <c r="AF3180">
        <v>13.687794415567801</v>
      </c>
      <c r="AG3180">
        <v>11.117900000000001</v>
      </c>
      <c r="AH3180">
        <v>80.649534721166006</v>
      </c>
      <c r="AI3180">
        <v>82.260299375933997</v>
      </c>
      <c r="AJ3180">
        <v>80.367578418434206</v>
      </c>
      <c r="AK3180">
        <v>82.554896082021799</v>
      </c>
      <c r="AL3180">
        <v>86.131227077113607</v>
      </c>
      <c r="AM3180">
        <v>87.252096062192507</v>
      </c>
      <c r="AN3180">
        <v>1.0000000387932</v>
      </c>
    </row>
    <row r="3181" spans="1:40" x14ac:dyDescent="0.25">
      <c r="A3181" t="str">
        <f>"20190312151049309"</f>
        <v>20190312151049309</v>
      </c>
      <c r="B3181" t="str">
        <f>"1552374649304234"</f>
        <v>1552374649304234</v>
      </c>
      <c r="C3181" t="s">
        <v>40</v>
      </c>
      <c r="D3181">
        <v>5.2550739999999996</v>
      </c>
      <c r="E3181">
        <v>0.54463890000000004</v>
      </c>
      <c r="F3181" t="s">
        <v>76</v>
      </c>
      <c r="G3181">
        <v>-280.56369999999998</v>
      </c>
      <c r="H3181">
        <v>11.786899999999999</v>
      </c>
      <c r="I3181">
        <v>201.81209999999999</v>
      </c>
      <c r="J3181">
        <v>-362.54039999999998</v>
      </c>
      <c r="K3181">
        <v>1.108948</v>
      </c>
      <c r="L3181">
        <v>214.3844</v>
      </c>
      <c r="M3181">
        <v>0.99985900000000005</v>
      </c>
      <c r="N3181">
        <v>0</v>
      </c>
      <c r="O3181">
        <v>1.5449600000000001E-2</v>
      </c>
      <c r="P3181">
        <v>0.99803500000000001</v>
      </c>
      <c r="Q3181">
        <v>5.3604680000000002E-2</v>
      </c>
      <c r="R3181">
        <v>-3.2452670000000003E-2</v>
      </c>
      <c r="S3181">
        <v>2.9689939999999999</v>
      </c>
      <c r="T3181">
        <v>0.38507780000000003</v>
      </c>
      <c r="U3181">
        <v>-0.45320129999999997</v>
      </c>
      <c r="V3181">
        <v>4.7894630000000001E-2</v>
      </c>
      <c r="W3181">
        <v>6.0166539999999998E-2</v>
      </c>
      <c r="X3181">
        <v>0.99703869999999895</v>
      </c>
      <c r="Y3181">
        <v>0.1646765</v>
      </c>
      <c r="Z3181">
        <v>1.25589E-2</v>
      </c>
      <c r="AA3181">
        <v>0.98626769999999997</v>
      </c>
      <c r="AB3181">
        <v>36</v>
      </c>
      <c r="AC3181">
        <v>81.976699999999994</v>
      </c>
      <c r="AD3181">
        <v>10.677951999999999</v>
      </c>
      <c r="AE3181">
        <v>-12.5723</v>
      </c>
      <c r="AF3181">
        <v>13.6116968224944</v>
      </c>
      <c r="AG3181">
        <v>10.677951999999999</v>
      </c>
      <c r="AH3181">
        <v>80.439255646516699</v>
      </c>
      <c r="AI3181">
        <v>82.543237667237705</v>
      </c>
      <c r="AJ3181">
        <v>80.395557745921906</v>
      </c>
      <c r="AK3181">
        <v>82.278616895688501</v>
      </c>
      <c r="AL3181">
        <v>86.550628056882999</v>
      </c>
      <c r="AM3181">
        <v>87.249803520175902</v>
      </c>
      <c r="AN3181">
        <v>1.0000000387080401</v>
      </c>
    </row>
    <row r="3182" spans="1:40" x14ac:dyDescent="0.25">
      <c r="A3182" t="str">
        <f>"20190312151049332"</f>
        <v>20190312151049332</v>
      </c>
      <c r="B3182" t="str">
        <f>"1552374649323758"</f>
        <v>1552374649323758</v>
      </c>
      <c r="C3182" t="s">
        <v>40</v>
      </c>
      <c r="D3182">
        <v>5.3969259999999997</v>
      </c>
      <c r="E3182">
        <v>0.54450799999999999</v>
      </c>
      <c r="F3182" t="s">
        <v>76</v>
      </c>
      <c r="G3182">
        <v>-280.5453</v>
      </c>
      <c r="H3182">
        <v>11.175979999999999</v>
      </c>
      <c r="I3182">
        <v>201.85740000000001</v>
      </c>
      <c r="J3182">
        <v>-362.16289999999998</v>
      </c>
      <c r="K3182">
        <v>1.1089230000000001</v>
      </c>
      <c r="L3182">
        <v>214.39009999999999</v>
      </c>
      <c r="M3182">
        <v>0.99986149999999996</v>
      </c>
      <c r="N3182">
        <v>0</v>
      </c>
      <c r="O3182">
        <v>1.527035E-2</v>
      </c>
      <c r="P3182">
        <v>0.99825929999999996</v>
      </c>
      <c r="Q3182">
        <v>4.8740539999999999E-2</v>
      </c>
      <c r="R3182">
        <v>-3.3209250000000003E-2</v>
      </c>
      <c r="S3182">
        <v>2.971527</v>
      </c>
      <c r="T3182">
        <v>0.36483139999999997</v>
      </c>
      <c r="U3182">
        <v>-0.45397949999999998</v>
      </c>
      <c r="V3182">
        <v>4.8473809999999999E-2</v>
      </c>
      <c r="W3182">
        <v>5.5324720000000001E-2</v>
      </c>
      <c r="X3182">
        <v>0.99729109999999999</v>
      </c>
      <c r="Y3182">
        <v>0.16478010000000001</v>
      </c>
      <c r="Z3182">
        <v>1.1877860000000001E-2</v>
      </c>
      <c r="AA3182">
        <v>0.98625879999999999</v>
      </c>
      <c r="AB3182">
        <v>36</v>
      </c>
      <c r="AC3182">
        <v>81.617599999999896</v>
      </c>
      <c r="AD3182">
        <v>10.067057</v>
      </c>
      <c r="AE3182">
        <v>-12.532699999999901</v>
      </c>
      <c r="AF3182">
        <v>13.5758134510173</v>
      </c>
      <c r="AG3182">
        <v>10.067057</v>
      </c>
      <c r="AH3182">
        <v>80.224299898168198</v>
      </c>
      <c r="AI3182">
        <v>82.946791871789102</v>
      </c>
      <c r="AJ3182">
        <v>80.395216966829295</v>
      </c>
      <c r="AK3182">
        <v>81.985283079643693</v>
      </c>
      <c r="AL3182">
        <v>86.828507854944405</v>
      </c>
      <c r="AM3182">
        <v>87.217301274414993</v>
      </c>
      <c r="AN3182">
        <v>1.0000000365191</v>
      </c>
    </row>
    <row r="3183" spans="1:40" x14ac:dyDescent="0.25">
      <c r="A3183" t="str">
        <f>"20190312151049354"</f>
        <v>20190312151049354</v>
      </c>
      <c r="B3183" t="str">
        <f>"1552374649344249"</f>
        <v>1552374649344249</v>
      </c>
      <c r="C3183" t="s">
        <v>40</v>
      </c>
      <c r="D3183">
        <v>5.1982400000000002</v>
      </c>
      <c r="E3183">
        <v>0.53113449999999995</v>
      </c>
      <c r="F3183" t="s">
        <v>76</v>
      </c>
      <c r="G3183">
        <v>-280.53120000000001</v>
      </c>
      <c r="H3183">
        <v>10.80148</v>
      </c>
      <c r="I3183">
        <v>201.89240000000001</v>
      </c>
      <c r="J3183">
        <v>-361.7998</v>
      </c>
      <c r="K3183">
        <v>1.108924</v>
      </c>
      <c r="L3183">
        <v>214.3955</v>
      </c>
      <c r="M3183">
        <v>0.99986399999999998</v>
      </c>
      <c r="N3183">
        <v>0</v>
      </c>
      <c r="O3183">
        <v>1.509777E-2</v>
      </c>
      <c r="P3183">
        <v>0.99816939999999998</v>
      </c>
      <c r="Q3183">
        <v>4.9204560000000001E-2</v>
      </c>
      <c r="R3183">
        <v>-3.5169649999999997E-2</v>
      </c>
      <c r="S3183">
        <v>2.9728699999999999</v>
      </c>
      <c r="T3183">
        <v>0.35298279999999999</v>
      </c>
      <c r="U3183">
        <v>-0.45513920000000002</v>
      </c>
      <c r="V3183">
        <v>5.0260869999999999E-2</v>
      </c>
      <c r="W3183">
        <v>5.5809400000000002E-2</v>
      </c>
      <c r="X3183">
        <v>0.99717560000000005</v>
      </c>
      <c r="Y3183">
        <v>0.16500429999999999</v>
      </c>
      <c r="Z3183">
        <v>1.1482239999999999E-2</v>
      </c>
      <c r="AA3183">
        <v>0.98622600000000005</v>
      </c>
      <c r="AB3183">
        <v>36</v>
      </c>
      <c r="AC3183">
        <v>81.268599999999907</v>
      </c>
      <c r="AD3183">
        <v>9.6925559999999997</v>
      </c>
      <c r="AE3183">
        <v>-12.5030999999999</v>
      </c>
      <c r="AF3183">
        <v>13.540525387028801</v>
      </c>
      <c r="AG3183">
        <v>9.6925559999999997</v>
      </c>
      <c r="AH3183">
        <v>79.959493906731296</v>
      </c>
      <c r="AI3183">
        <v>83.184522800413106</v>
      </c>
      <c r="AJ3183">
        <v>80.388583087057796</v>
      </c>
      <c r="AK3183">
        <v>81.675039855457101</v>
      </c>
      <c r="AL3183">
        <v>86.800694682199406</v>
      </c>
      <c r="AM3183">
        <v>87.114549539862693</v>
      </c>
      <c r="AN3183">
        <v>1.0000000107084299</v>
      </c>
    </row>
    <row r="3184" spans="1:40" x14ac:dyDescent="0.25">
      <c r="A3184" t="str">
        <f>"20190312151049376"</f>
        <v>20190312151049376</v>
      </c>
      <c r="B3184" t="str">
        <f>"1552374649373530"</f>
        <v>1552374649373530</v>
      </c>
      <c r="C3184" t="s">
        <v>40</v>
      </c>
      <c r="D3184">
        <v>5.4716870000000002</v>
      </c>
      <c r="E3184">
        <v>0.51553199999999999</v>
      </c>
      <c r="F3184" t="s">
        <v>69</v>
      </c>
      <c r="G3184">
        <v>-168.41569999999999</v>
      </c>
      <c r="H3184">
        <v>0.75808529999999996</v>
      </c>
      <c r="I3184">
        <v>191.57419999999999</v>
      </c>
      <c r="J3184">
        <v>-361.4479</v>
      </c>
      <c r="K3184">
        <v>1.108935</v>
      </c>
      <c r="L3184">
        <v>214.4006</v>
      </c>
      <c r="M3184">
        <v>0.99986640000000004</v>
      </c>
      <c r="N3184">
        <v>0</v>
      </c>
      <c r="O3184">
        <v>1.493037E-2</v>
      </c>
      <c r="P3184">
        <v>0.99802029999999997</v>
      </c>
      <c r="Q3184">
        <v>5.1378790000000001E-2</v>
      </c>
      <c r="R3184">
        <v>-3.6276370000000002E-2</v>
      </c>
      <c r="S3184">
        <v>2.9933169999999998</v>
      </c>
      <c r="T3184">
        <v>-5.4299830000000002E-3</v>
      </c>
      <c r="U3184">
        <v>-0.35324100000000003</v>
      </c>
      <c r="V3184">
        <v>5.1199340000000003E-2</v>
      </c>
      <c r="W3184">
        <v>5.8004060000000003E-2</v>
      </c>
      <c r="X3184">
        <v>0.99700259999999996</v>
      </c>
      <c r="Y3184">
        <v>0.1320112</v>
      </c>
      <c r="Z3184">
        <v>-1.4631870000000001E-4</v>
      </c>
      <c r="AA3184">
        <v>0.99124820000000002</v>
      </c>
      <c r="AB3184">
        <v>36</v>
      </c>
      <c r="AC3184">
        <v>193.03219999999999</v>
      </c>
      <c r="AD3184">
        <v>-0.35084969999999999</v>
      </c>
      <c r="AE3184">
        <v>-22.8264</v>
      </c>
      <c r="AF3184">
        <v>25.705877769930002</v>
      </c>
      <c r="AG3184">
        <v>-0.35084969999999999</v>
      </c>
      <c r="AH3184">
        <v>192.66924101178299</v>
      </c>
      <c r="AI3184">
        <v>90.103418797729802</v>
      </c>
      <c r="AJ3184">
        <v>82.400493088707805</v>
      </c>
      <c r="AK3184">
        <v>194.37682907047099</v>
      </c>
      <c r="AL3184">
        <v>86.674745812861602</v>
      </c>
      <c r="AM3184">
        <v>87.060256952044199</v>
      </c>
      <c r="AN3184">
        <v>1.00000001389983</v>
      </c>
    </row>
    <row r="3185" spans="1:40" x14ac:dyDescent="0.25">
      <c r="A3185" t="str">
        <f>"20190312151049398"</f>
        <v>20190312151049398</v>
      </c>
      <c r="B3185" t="str">
        <f>"1552374649394026"</f>
        <v>1552374649394026</v>
      </c>
      <c r="C3185" t="s">
        <v>40</v>
      </c>
      <c r="D3185">
        <v>5.2083059999999897</v>
      </c>
      <c r="E3185">
        <v>0.51188400000000001</v>
      </c>
      <c r="F3185" t="s">
        <v>69</v>
      </c>
      <c r="G3185">
        <v>-168.4143</v>
      </c>
      <c r="H3185">
        <v>4.3458439999999996</v>
      </c>
      <c r="I3185">
        <v>199.43989999999999</v>
      </c>
      <c r="J3185">
        <v>-361.08390000000003</v>
      </c>
      <c r="K3185">
        <v>1.1089500000000001</v>
      </c>
      <c r="L3185">
        <v>214.4059</v>
      </c>
      <c r="M3185">
        <v>0.9998688</v>
      </c>
      <c r="N3185">
        <v>0</v>
      </c>
      <c r="O3185">
        <v>1.475779E-2</v>
      </c>
      <c r="P3185">
        <v>0.99787959999999998</v>
      </c>
      <c r="Q3185">
        <v>5.3533169999999998E-2</v>
      </c>
      <c r="R3185">
        <v>-3.7025839999999997E-2</v>
      </c>
      <c r="S3185">
        <v>2.9949340000000002</v>
      </c>
      <c r="T3185">
        <v>5.0221439999999999E-2</v>
      </c>
      <c r="U3185">
        <v>-0.23211670000000001</v>
      </c>
      <c r="V3185">
        <v>5.1775509999999997E-2</v>
      </c>
      <c r="W3185">
        <v>6.017844E-2</v>
      </c>
      <c r="X3185">
        <v>0.9968439</v>
      </c>
      <c r="Y3185">
        <v>9.1962070000000007E-2</v>
      </c>
      <c r="Z3185">
        <v>1.0169549999999999E-3</v>
      </c>
      <c r="AA3185">
        <v>0.99576200000000004</v>
      </c>
      <c r="AB3185">
        <v>36</v>
      </c>
      <c r="AC3185">
        <v>192.6696</v>
      </c>
      <c r="AD3185">
        <v>3.2368939999999999</v>
      </c>
      <c r="AE3185">
        <v>-14.965999999999999</v>
      </c>
      <c r="AF3185">
        <v>17.802816321015101</v>
      </c>
      <c r="AG3185">
        <v>3.2368939999999999</v>
      </c>
      <c r="AH3185">
        <v>192.37377550201299</v>
      </c>
      <c r="AI3185">
        <v>89.040129068652305</v>
      </c>
      <c r="AJ3185">
        <v>84.712744954810304</v>
      </c>
      <c r="AK3185">
        <v>193.222895259919</v>
      </c>
      <c r="AL3185">
        <v>86.549944708630704</v>
      </c>
      <c r="AM3185">
        <v>87.026761243507707</v>
      </c>
      <c r="AN3185">
        <v>0.99999995452190005</v>
      </c>
    </row>
    <row r="3186" spans="1:40" x14ac:dyDescent="0.25">
      <c r="A3186" t="str">
        <f>"20190312151049422"</f>
        <v>20190312151049422</v>
      </c>
      <c r="B3186" t="str">
        <f>"1552374649413545"</f>
        <v>1552374649413545</v>
      </c>
      <c r="C3186" t="s">
        <v>40</v>
      </c>
      <c r="D3186">
        <v>5.1999469999999999</v>
      </c>
      <c r="E3186">
        <v>0.51002040000000004</v>
      </c>
      <c r="F3186" t="s">
        <v>69</v>
      </c>
      <c r="G3186">
        <v>-168.41370000000001</v>
      </c>
      <c r="H3186">
        <v>4.5501860000000001</v>
      </c>
      <c r="I3186">
        <v>201.18539999999999</v>
      </c>
      <c r="J3186">
        <v>-360.70330000000001</v>
      </c>
      <c r="K3186">
        <v>1.108962</v>
      </c>
      <c r="L3186">
        <v>214.41139999999999</v>
      </c>
      <c r="M3186">
        <v>0.99987119999999996</v>
      </c>
      <c r="N3186">
        <v>0</v>
      </c>
      <c r="O3186">
        <v>1.457729E-2</v>
      </c>
      <c r="P3186">
        <v>0.99774890000000005</v>
      </c>
      <c r="Q3186">
        <v>5.6049950000000001E-2</v>
      </c>
      <c r="R3186">
        <v>-3.6818839999999999E-2</v>
      </c>
      <c r="S3186">
        <v>2.9958499999999999</v>
      </c>
      <c r="T3186">
        <v>5.3508640000000003E-2</v>
      </c>
      <c r="U3186">
        <v>-0.20556640000000001</v>
      </c>
      <c r="V3186">
        <v>5.1387950000000002E-2</v>
      </c>
      <c r="W3186">
        <v>6.2715660000000006E-2</v>
      </c>
      <c r="X3186">
        <v>0.99670760000000003</v>
      </c>
      <c r="Y3186">
        <v>8.2976750000000002E-2</v>
      </c>
      <c r="Z3186">
        <v>1.0001610000000001E-3</v>
      </c>
      <c r="AA3186">
        <v>0.99655099999999996</v>
      </c>
      <c r="AB3186">
        <v>37</v>
      </c>
      <c r="AC3186">
        <v>192.28960000000001</v>
      </c>
      <c r="AD3186">
        <v>3.4412239999999898</v>
      </c>
      <c r="AE3186">
        <v>-13.226000000000001</v>
      </c>
      <c r="AF3186">
        <v>16.022611695498298</v>
      </c>
      <c r="AG3186">
        <v>3.4412239999999898</v>
      </c>
      <c r="AH3186">
        <v>192.01515703942599</v>
      </c>
      <c r="AI3186">
        <v>88.976831546115093</v>
      </c>
      <c r="AJ3186">
        <v>85.230032046993102</v>
      </c>
      <c r="AK3186">
        <v>192.713223835414</v>
      </c>
      <c r="AL3186">
        <v>86.404297632877302</v>
      </c>
      <c r="AM3186">
        <v>87.048574775386598</v>
      </c>
      <c r="AN3186">
        <v>1.00000000765609</v>
      </c>
    </row>
    <row r="3187" spans="1:40" x14ac:dyDescent="0.25">
      <c r="A3187" t="str">
        <f>"20190312151049444"</f>
        <v>20190312151049444</v>
      </c>
      <c r="B3187" t="str">
        <f>"1552374649434042"</f>
        <v>1552374649434042</v>
      </c>
      <c r="C3187" t="s">
        <v>40</v>
      </c>
      <c r="D3187">
        <v>5.1668059999999896</v>
      </c>
      <c r="E3187">
        <v>0.50899369999999999</v>
      </c>
      <c r="F3187" t="s">
        <v>69</v>
      </c>
      <c r="G3187">
        <v>-168.4135</v>
      </c>
      <c r="H3187">
        <v>4.8181710000000004</v>
      </c>
      <c r="I3187">
        <v>202.21969999999999</v>
      </c>
      <c r="J3187">
        <v>-360.32060000000001</v>
      </c>
      <c r="K3187">
        <v>1.108965</v>
      </c>
      <c r="L3187">
        <v>214.41679999999999</v>
      </c>
      <c r="M3187">
        <v>0.99987360000000003</v>
      </c>
      <c r="N3187">
        <v>0</v>
      </c>
      <c r="O3187">
        <v>1.439577E-2</v>
      </c>
      <c r="P3187">
        <v>0.99773230000000002</v>
      </c>
      <c r="Q3187">
        <v>5.7021250000000002E-2</v>
      </c>
      <c r="R3187">
        <v>-3.575739E-2</v>
      </c>
      <c r="S3187">
        <v>2.996521</v>
      </c>
      <c r="T3187">
        <v>5.7802439999999997E-2</v>
      </c>
      <c r="U3187">
        <v>-0.18998719999999999</v>
      </c>
      <c r="V3187">
        <v>5.014594E-2</v>
      </c>
      <c r="W3187">
        <v>6.3707399999999997E-2</v>
      </c>
      <c r="X3187">
        <v>0.99670800000000004</v>
      </c>
      <c r="Y3187">
        <v>7.7619190000000005E-2</v>
      </c>
      <c r="Z3187">
        <v>1.02523E-3</v>
      </c>
      <c r="AA3187">
        <v>0.99698260000000005</v>
      </c>
      <c r="AB3187">
        <v>37</v>
      </c>
      <c r="AC3187">
        <v>191.90710000000001</v>
      </c>
      <c r="AD3187">
        <v>3.709206</v>
      </c>
      <c r="AE3187">
        <v>-12.197100000000001</v>
      </c>
      <c r="AF3187">
        <v>14.9529857999577</v>
      </c>
      <c r="AG3187">
        <v>3.709206</v>
      </c>
      <c r="AH3187">
        <v>191.64031785032799</v>
      </c>
      <c r="AI3187">
        <v>88.894535496455006</v>
      </c>
      <c r="AJ3187">
        <v>85.538461510824703</v>
      </c>
      <c r="AK3187">
        <v>192.25857957256099</v>
      </c>
      <c r="AL3187">
        <v>86.347361378571705</v>
      </c>
      <c r="AM3187">
        <v>87.119788170195704</v>
      </c>
      <c r="AN3187">
        <v>1.00000004268862</v>
      </c>
    </row>
    <row r="3188" spans="1:40" x14ac:dyDescent="0.25">
      <c r="A3188" t="str">
        <f>"20190312151049467"</f>
        <v>20190312151049467</v>
      </c>
      <c r="B3188" t="str">
        <f>"1552374649464297"</f>
        <v>1552374649464297</v>
      </c>
      <c r="C3188" t="s">
        <v>40</v>
      </c>
      <c r="D3188">
        <v>5.2033239999999896</v>
      </c>
      <c r="E3188">
        <v>0.5081196</v>
      </c>
      <c r="F3188" t="s">
        <v>46</v>
      </c>
      <c r="G3188">
        <v>-234.56450000000001</v>
      </c>
      <c r="H3188">
        <v>3.5490789999999999</v>
      </c>
      <c r="I3188">
        <v>206.91550000000001</v>
      </c>
      <c r="J3188">
        <v>-359.95260000000002</v>
      </c>
      <c r="K3188">
        <v>1.108967</v>
      </c>
      <c r="L3188">
        <v>214.42189999999999</v>
      </c>
      <c r="M3188">
        <v>0.99987619999999999</v>
      </c>
      <c r="N3188">
        <v>0</v>
      </c>
      <c r="O3188">
        <v>1.4221299999999999E-2</v>
      </c>
      <c r="P3188">
        <v>0.99783940000000004</v>
      </c>
      <c r="Q3188">
        <v>5.6084130000000003E-2</v>
      </c>
      <c r="R3188">
        <v>-3.4224879999999999E-2</v>
      </c>
      <c r="S3188">
        <v>2.9970699999999999</v>
      </c>
      <c r="T3188">
        <v>5.8154940000000002E-2</v>
      </c>
      <c r="U3188">
        <v>-0.17877199999999999</v>
      </c>
      <c r="V3188">
        <v>4.8440770000000001E-2</v>
      </c>
      <c r="W3188">
        <v>6.2790380000000007E-2</v>
      </c>
      <c r="X3188">
        <v>0.99685049999999997</v>
      </c>
      <c r="Y3188">
        <v>7.3716959999999998E-2</v>
      </c>
      <c r="Z3188">
        <v>9.902038000000001E-4</v>
      </c>
      <c r="AA3188">
        <v>0.99727869999999996</v>
      </c>
      <c r="AB3188">
        <v>37</v>
      </c>
      <c r="AC3188">
        <v>125.38809999999999</v>
      </c>
      <c r="AD3188">
        <v>2.4401120000000001</v>
      </c>
      <c r="AE3188">
        <v>-7.5063999999999798</v>
      </c>
      <c r="AF3188">
        <v>9.2853591701329297</v>
      </c>
      <c r="AG3188">
        <v>2.4401120000000001</v>
      </c>
      <c r="AH3188">
        <v>125.221412752155</v>
      </c>
      <c r="AI3188">
        <v>88.886709685047094</v>
      </c>
      <c r="AJ3188">
        <v>85.759191625474401</v>
      </c>
      <c r="AK3188">
        <v>125.588909753754</v>
      </c>
      <c r="AL3188">
        <v>86.4000081172519</v>
      </c>
      <c r="AM3188">
        <v>87.217967834926696</v>
      </c>
      <c r="AN3188">
        <v>1.00000002968449</v>
      </c>
    </row>
    <row r="3189" spans="1:40" x14ac:dyDescent="0.25">
      <c r="A3189" t="str">
        <f>"20190312151049489"</f>
        <v>20190312151049489</v>
      </c>
      <c r="B3189" t="str">
        <f>"1552374649484158"</f>
        <v>1552374649484158</v>
      </c>
      <c r="C3189" t="s">
        <v>40</v>
      </c>
      <c r="D3189">
        <v>5.2041430000000002</v>
      </c>
      <c r="E3189">
        <v>0.50773329999999905</v>
      </c>
      <c r="F3189" t="s">
        <v>69</v>
      </c>
      <c r="G3189">
        <v>-168.4128</v>
      </c>
      <c r="H3189">
        <v>4.3524699999999896</v>
      </c>
      <c r="I3189">
        <v>203.74959999999999</v>
      </c>
      <c r="J3189">
        <v>-359.59570000000002</v>
      </c>
      <c r="K3189">
        <v>1.108976</v>
      </c>
      <c r="L3189">
        <v>214.42689999999999</v>
      </c>
      <c r="M3189">
        <v>0.9998783</v>
      </c>
      <c r="N3189">
        <v>0</v>
      </c>
      <c r="O3189">
        <v>1.405236E-2</v>
      </c>
      <c r="P3189">
        <v>0.99778180000000005</v>
      </c>
      <c r="Q3189">
        <v>5.7815020000000002E-2</v>
      </c>
      <c r="R3189">
        <v>-3.2999840000000003E-2</v>
      </c>
      <c r="S3189">
        <v>2.9978940000000001</v>
      </c>
      <c r="T3189">
        <v>5.0766350000000002E-2</v>
      </c>
      <c r="U3189">
        <v>-0.16703799999999999</v>
      </c>
      <c r="V3189">
        <v>4.704738E-2</v>
      </c>
      <c r="W3189">
        <v>6.4540150000000004E-2</v>
      </c>
      <c r="X3189">
        <v>0.99680539999999995</v>
      </c>
      <c r="Y3189">
        <v>6.9645609999999997E-2</v>
      </c>
      <c r="Z3189">
        <v>8.2697459999999995E-4</v>
      </c>
      <c r="AA3189">
        <v>0.99757150000000006</v>
      </c>
      <c r="AB3189">
        <v>37</v>
      </c>
      <c r="AC3189">
        <v>191.18289999999999</v>
      </c>
      <c r="AD3189">
        <v>3.2434939999999899</v>
      </c>
      <c r="AE3189">
        <v>-10.677300000000001</v>
      </c>
      <c r="AF3189">
        <v>13.3590451923028</v>
      </c>
      <c r="AG3189">
        <v>3.2434939999999899</v>
      </c>
      <c r="AH3189">
        <v>190.95918528537001</v>
      </c>
      <c r="AI3189">
        <v>89.029281108757303</v>
      </c>
      <c r="AJ3189">
        <v>85.9982448926459</v>
      </c>
      <c r="AK3189">
        <v>191.45337496798101</v>
      </c>
      <c r="AL3189">
        <v>86.299549563040401</v>
      </c>
      <c r="AM3189">
        <v>87.297750054508299</v>
      </c>
      <c r="AN3189">
        <v>0.99999994619802202</v>
      </c>
    </row>
    <row r="3190" spans="1:40" x14ac:dyDescent="0.25">
      <c r="A3190" t="str">
        <f>"20190312151049510"</f>
        <v>20190312151049510</v>
      </c>
      <c r="B3190" t="str">
        <f>"1552374649503677"</f>
        <v>1552374649503677</v>
      </c>
      <c r="C3190" t="s">
        <v>40</v>
      </c>
      <c r="D3190">
        <v>5.1384379999999998</v>
      </c>
      <c r="E3190">
        <v>0.50724369999999996</v>
      </c>
      <c r="F3190" t="s">
        <v>69</v>
      </c>
      <c r="G3190">
        <v>-168.4128</v>
      </c>
      <c r="H3190">
        <v>4.843826</v>
      </c>
      <c r="I3190">
        <v>204.20859999999999</v>
      </c>
      <c r="J3190">
        <v>-359.24020000000002</v>
      </c>
      <c r="K3190">
        <v>1.108986</v>
      </c>
      <c r="L3190">
        <v>214.43170000000001</v>
      </c>
      <c r="M3190">
        <v>0.99988069999999896</v>
      </c>
      <c r="N3190">
        <v>0</v>
      </c>
      <c r="O3190">
        <v>1.388402E-2</v>
      </c>
      <c r="P3190">
        <v>0.99764350000000002</v>
      </c>
      <c r="Q3190">
        <v>6.0474180000000002E-2</v>
      </c>
      <c r="R3190">
        <v>-3.241463E-2</v>
      </c>
      <c r="S3190">
        <v>2.9979550000000001</v>
      </c>
      <c r="T3190">
        <v>5.8567050000000002E-2</v>
      </c>
      <c r="U3190">
        <v>-0.1602325</v>
      </c>
      <c r="V3190">
        <v>4.6293929999999997E-2</v>
      </c>
      <c r="W3190">
        <v>6.7219849999999998E-2</v>
      </c>
      <c r="X3190">
        <v>0.99666359999999998</v>
      </c>
      <c r="Y3190">
        <v>6.7215079999999996E-2</v>
      </c>
      <c r="Z3190">
        <v>9.270541E-4</v>
      </c>
      <c r="AA3190">
        <v>0.99773809999999996</v>
      </c>
      <c r="AB3190">
        <v>37</v>
      </c>
      <c r="AC3190">
        <v>190.82740000000001</v>
      </c>
      <c r="AD3190">
        <v>3.7348400000000002</v>
      </c>
      <c r="AE3190">
        <v>-10.223100000000001</v>
      </c>
      <c r="AF3190">
        <v>12.866712143648501</v>
      </c>
      <c r="AG3190">
        <v>3.7348400000000002</v>
      </c>
      <c r="AH3190">
        <v>190.594265388834</v>
      </c>
      <c r="AI3190">
        <v>88.879937900006297</v>
      </c>
      <c r="AJ3190">
        <v>86.137914016215603</v>
      </c>
      <c r="AK3190">
        <v>191.06458413406301</v>
      </c>
      <c r="AL3190">
        <v>86.145679879043598</v>
      </c>
      <c r="AM3190">
        <v>87.340585409335404</v>
      </c>
      <c r="AN3190">
        <v>0.99999998387691302</v>
      </c>
    </row>
    <row r="3191" spans="1:40" x14ac:dyDescent="0.25">
      <c r="A3191" t="str">
        <f>"20190312151049532"</f>
        <v>20190312151049532</v>
      </c>
      <c r="B3191" t="str">
        <f>"1552374649524173"</f>
        <v>1552374649524173</v>
      </c>
      <c r="C3191" t="s">
        <v>40</v>
      </c>
      <c r="D3191">
        <v>5.2564330000000004</v>
      </c>
      <c r="E3191">
        <v>0.50691660000000005</v>
      </c>
      <c r="F3191" t="s">
        <v>69</v>
      </c>
      <c r="G3191">
        <v>-168.4128</v>
      </c>
      <c r="H3191">
        <v>5.2478559999999996</v>
      </c>
      <c r="I3191">
        <v>204.60310000000001</v>
      </c>
      <c r="J3191">
        <v>-358.85430000000002</v>
      </c>
      <c r="K3191">
        <v>1.109002</v>
      </c>
      <c r="L3191">
        <v>214.43690000000001</v>
      </c>
      <c r="M3191">
        <v>0.99988299999999997</v>
      </c>
      <c r="N3191">
        <v>0</v>
      </c>
      <c r="O3191">
        <v>1.370177E-2</v>
      </c>
      <c r="P3191">
        <v>0.99746250000000003</v>
      </c>
      <c r="Q3191">
        <v>6.3588220000000001E-2</v>
      </c>
      <c r="R3191">
        <v>-3.2021229999999998E-2</v>
      </c>
      <c r="S3191">
        <v>2.9981080000000002</v>
      </c>
      <c r="T3191">
        <v>6.5026760000000003E-2</v>
      </c>
      <c r="U3191">
        <v>-0.1544189</v>
      </c>
      <c r="V3191">
        <v>4.5717729999999998E-2</v>
      </c>
      <c r="W3191">
        <v>7.0356189999999999E-2</v>
      </c>
      <c r="X3191">
        <v>0.99647370000000002</v>
      </c>
      <c r="Y3191">
        <v>6.5097909999999995E-2</v>
      </c>
      <c r="Z3191">
        <v>1.0023880000000001E-3</v>
      </c>
      <c r="AA3191">
        <v>0.99787840000000005</v>
      </c>
      <c r="AB3191">
        <v>37</v>
      </c>
      <c r="AC3191">
        <v>190.44149999999999</v>
      </c>
      <c r="AD3191">
        <v>4.1388539999999896</v>
      </c>
      <c r="AE3191">
        <v>-9.8337999999999894</v>
      </c>
      <c r="AF3191">
        <v>12.4364644156339</v>
      </c>
      <c r="AG3191">
        <v>4.1388539999999896</v>
      </c>
      <c r="AH3191">
        <v>190.199281979825</v>
      </c>
      <c r="AI3191">
        <v>88.756060635960196</v>
      </c>
      <c r="AJ3191">
        <v>86.258955209643503</v>
      </c>
      <c r="AK3191">
        <v>190.65036749305099</v>
      </c>
      <c r="AL3191">
        <v>85.965554033887102</v>
      </c>
      <c r="AM3191">
        <v>87.373139513823702</v>
      </c>
      <c r="AN3191">
        <v>0.99999996954967896</v>
      </c>
    </row>
    <row r="3192" spans="1:40" x14ac:dyDescent="0.25">
      <c r="A3192" t="str">
        <f>"20190312151049554"</f>
        <v>20190312151049554</v>
      </c>
      <c r="B3192" t="str">
        <f>"1552374649543693"</f>
        <v>1552374649543693</v>
      </c>
      <c r="C3192" t="s">
        <v>40</v>
      </c>
      <c r="D3192">
        <v>5.1212879999999998</v>
      </c>
      <c r="E3192">
        <v>0.50687740000000003</v>
      </c>
      <c r="F3192" t="s">
        <v>69</v>
      </c>
      <c r="G3192">
        <v>-168.41290000000001</v>
      </c>
      <c r="H3192">
        <v>5.7768629999999996</v>
      </c>
      <c r="I3192">
        <v>204.87049999999999</v>
      </c>
      <c r="J3192">
        <v>-358.50060000000002</v>
      </c>
      <c r="K3192">
        <v>1.109002</v>
      </c>
      <c r="L3192">
        <v>214.44159999999999</v>
      </c>
      <c r="M3192">
        <v>0.99988509999999997</v>
      </c>
      <c r="N3192">
        <v>0</v>
      </c>
      <c r="O3192">
        <v>1.353474E-2</v>
      </c>
      <c r="P3192">
        <v>0.99748409999999998</v>
      </c>
      <c r="Q3192">
        <v>6.3411739999999994E-2</v>
      </c>
      <c r="R3192">
        <v>-3.1690309999999999E-2</v>
      </c>
      <c r="S3192">
        <v>2.9981080000000002</v>
      </c>
      <c r="T3192">
        <v>7.3486449999999995E-2</v>
      </c>
      <c r="U3192">
        <v>-0.15060419999999999</v>
      </c>
      <c r="V3192">
        <v>4.5220879999999998E-2</v>
      </c>
      <c r="W3192">
        <v>7.0200650000000003E-2</v>
      </c>
      <c r="X3192">
        <v>0.99650729999999998</v>
      </c>
      <c r="Y3192">
        <v>6.3660120000000001E-2</v>
      </c>
      <c r="Z3192">
        <v>1.1110950000000001E-3</v>
      </c>
      <c r="AA3192">
        <v>0.99797100000000005</v>
      </c>
      <c r="AB3192">
        <v>37</v>
      </c>
      <c r="AC3192">
        <v>190.08770000000001</v>
      </c>
      <c r="AD3192">
        <v>4.6678609999999896</v>
      </c>
      <c r="AE3192">
        <v>-9.5710999999999995</v>
      </c>
      <c r="AF3192">
        <v>12.135771258827001</v>
      </c>
      <c r="AG3192">
        <v>4.6678609999999896</v>
      </c>
      <c r="AH3192">
        <v>189.826563303863</v>
      </c>
      <c r="AI3192">
        <v>88.594241556413607</v>
      </c>
      <c r="AJ3192">
        <v>86.342010969964207</v>
      </c>
      <c r="AK3192">
        <v>190.27135886968699</v>
      </c>
      <c r="AL3192">
        <v>85.974487746385407</v>
      </c>
      <c r="AM3192">
        <v>87.401735793089799</v>
      </c>
      <c r="AN3192">
        <v>0.99999992910084001</v>
      </c>
    </row>
    <row r="3193" spans="1:40" x14ac:dyDescent="0.25">
      <c r="A3193" t="str">
        <f>"20190312151049577"</f>
        <v>20190312151049577</v>
      </c>
      <c r="B3193" t="str">
        <f>"1552374649573949"</f>
        <v>1552374649573949</v>
      </c>
      <c r="C3193" t="s">
        <v>40</v>
      </c>
      <c r="D3193">
        <v>5.2558360000000004</v>
      </c>
      <c r="E3193">
        <v>0.50667109999999904</v>
      </c>
      <c r="F3193" t="s">
        <v>69</v>
      </c>
      <c r="G3193">
        <v>-168.41290000000001</v>
      </c>
      <c r="H3193">
        <v>5.8754650000000002</v>
      </c>
      <c r="I3193">
        <v>204.97409999999999</v>
      </c>
      <c r="J3193">
        <v>-358.12349999999998</v>
      </c>
      <c r="K3193">
        <v>1.1090009999999999</v>
      </c>
      <c r="L3193">
        <v>214.44659999999999</v>
      </c>
      <c r="M3193">
        <v>0.99988730000000003</v>
      </c>
      <c r="N3193">
        <v>0</v>
      </c>
      <c r="O3193">
        <v>1.335686E-2</v>
      </c>
      <c r="P3193">
        <v>0.9975136</v>
      </c>
      <c r="Q3193">
        <v>6.2856949999999995E-2</v>
      </c>
      <c r="R3193">
        <v>-3.1871400000000001E-2</v>
      </c>
      <c r="S3193">
        <v>2.9980769999999999</v>
      </c>
      <c r="T3193">
        <v>7.5177549999999996E-2</v>
      </c>
      <c r="U3193">
        <v>-0.1493225</v>
      </c>
      <c r="V3193">
        <v>4.5224750000000001E-2</v>
      </c>
      <c r="W3193">
        <v>6.966696E-2</v>
      </c>
      <c r="X3193">
        <v>0.99654469999999995</v>
      </c>
      <c r="Y3193">
        <v>6.3056669999999995E-2</v>
      </c>
      <c r="Z3193">
        <v>1.124662E-3</v>
      </c>
      <c r="AA3193">
        <v>0.99800929999999999</v>
      </c>
      <c r="AB3193">
        <v>37</v>
      </c>
      <c r="AC3193">
        <v>189.7106</v>
      </c>
      <c r="AD3193">
        <v>4.766464</v>
      </c>
      <c r="AE3193">
        <v>-9.4724999999999895</v>
      </c>
      <c r="AF3193">
        <v>11.9980972962243</v>
      </c>
      <c r="AG3193">
        <v>4.766464</v>
      </c>
      <c r="AH3193">
        <v>189.44785613458399</v>
      </c>
      <c r="AI3193">
        <v>88.561636060328993</v>
      </c>
      <c r="AJ3193">
        <v>86.376187809641905</v>
      </c>
      <c r="AK3193">
        <v>189.88723946538099</v>
      </c>
      <c r="AL3193">
        <v>86.005141472453801</v>
      </c>
      <c r="AM3193">
        <v>87.401611125259095</v>
      </c>
      <c r="AN3193">
        <v>1.00000005121314</v>
      </c>
    </row>
    <row r="3194" spans="1:40" x14ac:dyDescent="0.25">
      <c r="A3194" t="str">
        <f>"20190312151049600"</f>
        <v>20190312151049600</v>
      </c>
      <c r="B3194" t="str">
        <f>"1552374649594445"</f>
        <v>1552374649594445</v>
      </c>
      <c r="C3194" t="s">
        <v>40</v>
      </c>
      <c r="D3194">
        <v>5.2370359999999998</v>
      </c>
      <c r="E3194">
        <v>0.50654880000000002</v>
      </c>
      <c r="F3194" t="s">
        <v>69</v>
      </c>
      <c r="G3194">
        <v>-168.41290000000001</v>
      </c>
      <c r="H3194">
        <v>5.8953439999999997</v>
      </c>
      <c r="I3194">
        <v>205.06909999999999</v>
      </c>
      <c r="J3194">
        <v>-357.74349999999998</v>
      </c>
      <c r="K3194">
        <v>1.109002</v>
      </c>
      <c r="L3194">
        <v>214.45150000000001</v>
      </c>
      <c r="M3194">
        <v>0.99988960000000005</v>
      </c>
      <c r="N3194">
        <v>0</v>
      </c>
      <c r="O3194">
        <v>1.3177070000000001E-2</v>
      </c>
      <c r="P3194">
        <v>0.9974478</v>
      </c>
      <c r="Q3194">
        <v>6.3777920000000002E-2</v>
      </c>
      <c r="R3194">
        <v>-3.2098309999999998E-2</v>
      </c>
      <c r="S3194">
        <v>2.9980159999999998</v>
      </c>
      <c r="T3194">
        <v>7.5639609999999996E-2</v>
      </c>
      <c r="U3194">
        <v>-0.1481934</v>
      </c>
      <c r="V3194">
        <v>4.5272220000000002E-2</v>
      </c>
      <c r="W3194">
        <v>7.0606859999999994E-2</v>
      </c>
      <c r="X3194">
        <v>0.99647640000000004</v>
      </c>
      <c r="Y3194">
        <v>6.2503199999999995E-2</v>
      </c>
      <c r="Z3194">
        <v>1.1200959999999999E-3</v>
      </c>
      <c r="AA3194">
        <v>0.99804409999999999</v>
      </c>
      <c r="AB3194">
        <v>37</v>
      </c>
      <c r="AC3194">
        <v>189.3306</v>
      </c>
      <c r="AD3194">
        <v>4.7863419999999897</v>
      </c>
      <c r="AE3194">
        <v>-9.3824000000000094</v>
      </c>
      <c r="AF3194">
        <v>11.8688999794315</v>
      </c>
      <c r="AG3194">
        <v>4.7863419999999897</v>
      </c>
      <c r="AH3194">
        <v>189.06998804241101</v>
      </c>
      <c r="AI3194">
        <v>88.552704060689294</v>
      </c>
      <c r="AJ3194">
        <v>86.407961361170507</v>
      </c>
      <c r="AK3194">
        <v>189.50261273877001</v>
      </c>
      <c r="AL3194">
        <v>85.951156256869695</v>
      </c>
      <c r="AM3194">
        <v>87.398709440085995</v>
      </c>
      <c r="AN3194">
        <v>1.0000000591698699</v>
      </c>
    </row>
    <row r="3195" spans="1:40" x14ac:dyDescent="0.25">
      <c r="A3195" t="str">
        <f>"20190312151049622"</f>
        <v>20190312151049622</v>
      </c>
      <c r="B3195" t="str">
        <f>"1552374649613965"</f>
        <v>1552374649613965</v>
      </c>
      <c r="C3195" t="s">
        <v>40</v>
      </c>
      <c r="D3195">
        <v>5.034923</v>
      </c>
      <c r="E3195">
        <v>0.50655850000000002</v>
      </c>
      <c r="F3195" t="s">
        <v>69</v>
      </c>
      <c r="G3195">
        <v>-168.41290000000001</v>
      </c>
      <c r="H3195">
        <v>6.0047189999999997</v>
      </c>
      <c r="I3195">
        <v>205.11850000000001</v>
      </c>
      <c r="J3195">
        <v>-357.36649999999997</v>
      </c>
      <c r="K3195">
        <v>1.1090009999999999</v>
      </c>
      <c r="L3195">
        <v>214.4563</v>
      </c>
      <c r="M3195">
        <v>0.99989189999999994</v>
      </c>
      <c r="N3195">
        <v>0</v>
      </c>
      <c r="O3195">
        <v>1.2999139999999999E-2</v>
      </c>
      <c r="P3195">
        <v>0.99738499999999997</v>
      </c>
      <c r="Q3195">
        <v>6.4630199999999999E-2</v>
      </c>
      <c r="R3195">
        <v>-3.2350080000000003E-2</v>
      </c>
      <c r="S3195">
        <v>2.997925</v>
      </c>
      <c r="T3195">
        <v>7.7520969999999995E-2</v>
      </c>
      <c r="U3195">
        <v>-0.14778139999999901</v>
      </c>
      <c r="V3195">
        <v>4.53461E-2</v>
      </c>
      <c r="W3195">
        <v>7.1476789999999998E-2</v>
      </c>
      <c r="X3195">
        <v>0.99641100000000005</v>
      </c>
      <c r="Y3195">
        <v>6.2189210000000002E-2</v>
      </c>
      <c r="Z3195">
        <v>1.1393309999999999E-3</v>
      </c>
      <c r="AA3195">
        <v>0.9980637</v>
      </c>
      <c r="AB3195">
        <v>37</v>
      </c>
      <c r="AC3195">
        <v>188.95359999999999</v>
      </c>
      <c r="AD3195">
        <v>4.8957179999999996</v>
      </c>
      <c r="AE3195">
        <v>-9.3377999999999801</v>
      </c>
      <c r="AF3195">
        <v>11.7854108945806</v>
      </c>
      <c r="AG3195">
        <v>4.8957179999999996</v>
      </c>
      <c r="AH3195">
        <v>188.68988725347401</v>
      </c>
      <c r="AI3195">
        <v>88.516635505999801</v>
      </c>
      <c r="AJ3195">
        <v>86.4259967771725</v>
      </c>
      <c r="AK3195">
        <v>189.12096001347399</v>
      </c>
      <c r="AL3195">
        <v>85.901186608301799</v>
      </c>
      <c r="AM3195">
        <v>87.394299444416006</v>
      </c>
      <c r="AN3195">
        <v>1.0000000406074501</v>
      </c>
    </row>
    <row r="3196" spans="1:40" x14ac:dyDescent="0.25">
      <c r="A3196" t="str">
        <f>"20190312151049646"</f>
        <v>20190312151049646</v>
      </c>
      <c r="B3196" t="str">
        <f>"1552374649644221"</f>
        <v>1552374649644221</v>
      </c>
      <c r="C3196" t="s">
        <v>40</v>
      </c>
      <c r="D3196">
        <v>5.3953290000000003</v>
      </c>
      <c r="E3196">
        <v>0.5065615</v>
      </c>
      <c r="F3196" t="s">
        <v>69</v>
      </c>
      <c r="G3196">
        <v>-168.41299999999899</v>
      </c>
      <c r="H3196">
        <v>6.2295530000000001</v>
      </c>
      <c r="I3196">
        <v>205.0866</v>
      </c>
      <c r="J3196">
        <v>-356.96230000000003</v>
      </c>
      <c r="K3196">
        <v>1.108994</v>
      </c>
      <c r="L3196">
        <v>214.4614</v>
      </c>
      <c r="M3196">
        <v>0.99989410000000001</v>
      </c>
      <c r="N3196">
        <v>0</v>
      </c>
      <c r="O3196">
        <v>1.280863E-2</v>
      </c>
      <c r="P3196">
        <v>0.99732480000000001</v>
      </c>
      <c r="Q3196">
        <v>6.5016930000000001E-2</v>
      </c>
      <c r="R3196">
        <v>-3.3409090000000002E-2</v>
      </c>
      <c r="S3196">
        <v>2.9977719999999999</v>
      </c>
      <c r="T3196">
        <v>8.1238749999999998E-2</v>
      </c>
      <c r="U3196">
        <v>-0.14865110000000001</v>
      </c>
      <c r="V3196">
        <v>4.6214699999999997E-2</v>
      </c>
      <c r="W3196">
        <v>7.1880589999999994E-2</v>
      </c>
      <c r="X3196">
        <v>0.99634199999999995</v>
      </c>
      <c r="Y3196">
        <v>6.2287990000000001E-2</v>
      </c>
      <c r="Z3196">
        <v>1.190183E-3</v>
      </c>
      <c r="AA3196">
        <v>0.99805750000000004</v>
      </c>
      <c r="AB3196">
        <v>38</v>
      </c>
      <c r="AC3196">
        <v>188.54929999999999</v>
      </c>
      <c r="AD3196">
        <v>5.1205590000000001</v>
      </c>
      <c r="AE3196">
        <v>-9.3747999999999898</v>
      </c>
      <c r="AF3196">
        <v>11.7804796324699</v>
      </c>
      <c r="AG3196">
        <v>5.1205590000000001</v>
      </c>
      <c r="AH3196">
        <v>188.27523276179701</v>
      </c>
      <c r="AI3196">
        <v>88.445138544108104</v>
      </c>
      <c r="AJ3196">
        <v>86.419640740157305</v>
      </c>
      <c r="AK3196">
        <v>188.71291184323499</v>
      </c>
      <c r="AL3196">
        <v>85.877990738347705</v>
      </c>
      <c r="AM3196">
        <v>87.344274647314805</v>
      </c>
      <c r="AN3196">
        <v>0.99999999933941897</v>
      </c>
    </row>
    <row r="3197" spans="1:40" x14ac:dyDescent="0.25">
      <c r="A3197" t="str">
        <f>"20190312151049668"</f>
        <v>20190312151049668</v>
      </c>
      <c r="B3197" t="str">
        <f>"1552374649663741"</f>
        <v>1552374649663741</v>
      </c>
      <c r="C3197" t="s">
        <v>40</v>
      </c>
      <c r="D3197">
        <v>5.0275420000000004</v>
      </c>
      <c r="E3197">
        <v>0.50650470000000003</v>
      </c>
      <c r="F3197" t="s">
        <v>69</v>
      </c>
      <c r="G3197">
        <v>-168.41309999999999</v>
      </c>
      <c r="H3197">
        <v>6.4593239999999996</v>
      </c>
      <c r="I3197">
        <v>204.91</v>
      </c>
      <c r="J3197">
        <v>-356.5874</v>
      </c>
      <c r="K3197">
        <v>1.1089869999999999</v>
      </c>
      <c r="L3197">
        <v>214.46600000000001</v>
      </c>
      <c r="M3197">
        <v>0.99989629999999996</v>
      </c>
      <c r="N3197">
        <v>0</v>
      </c>
      <c r="O3197">
        <v>1.2632000000000001E-2</v>
      </c>
      <c r="P3197">
        <v>0.99730390000000002</v>
      </c>
      <c r="Q3197">
        <v>6.4645060000000004E-2</v>
      </c>
      <c r="R3197">
        <v>-3.4731919999999999E-2</v>
      </c>
      <c r="S3197">
        <v>2.9974059999999998</v>
      </c>
      <c r="T3197">
        <v>8.5055829999999999E-2</v>
      </c>
      <c r="U3197">
        <v>-0.15184020000000001</v>
      </c>
      <c r="V3197">
        <v>4.7360930000000002E-2</v>
      </c>
      <c r="W3197">
        <v>7.1525790000000006E-2</v>
      </c>
      <c r="X3197">
        <v>0.99631369999999997</v>
      </c>
      <c r="Y3197">
        <v>6.3173989999999999E-2</v>
      </c>
      <c r="Z3197">
        <v>1.2537539999999999E-3</v>
      </c>
      <c r="AA3197">
        <v>0.99800180000000005</v>
      </c>
      <c r="AB3197">
        <v>38</v>
      </c>
      <c r="AC3197">
        <v>188.17429999999999</v>
      </c>
      <c r="AD3197">
        <v>5.3503369999999997</v>
      </c>
      <c r="AE3197">
        <v>-9.5559999999999796</v>
      </c>
      <c r="AF3197">
        <v>11.92269825929</v>
      </c>
      <c r="AG3197">
        <v>5.3503369999999997</v>
      </c>
      <c r="AH3197">
        <v>187.88706859230399</v>
      </c>
      <c r="AI3197">
        <v>88.372138852752798</v>
      </c>
      <c r="AJ3197">
        <v>86.3690658162174</v>
      </c>
      <c r="AK3197">
        <v>188.34098699965699</v>
      </c>
      <c r="AL3197">
        <v>85.898371713639804</v>
      </c>
      <c r="AM3197">
        <v>87.278427244774406</v>
      </c>
      <c r="AN3197">
        <v>0.99999999256663896</v>
      </c>
    </row>
    <row r="3198" spans="1:40" x14ac:dyDescent="0.25">
      <c r="A3198" t="str">
        <f>"20190312151049690"</f>
        <v>20190312151049690</v>
      </c>
      <c r="B3198" t="str">
        <f>"1552374649684238"</f>
        <v>1552374649684238</v>
      </c>
      <c r="C3198" t="s">
        <v>40</v>
      </c>
      <c r="D3198">
        <v>5.228434</v>
      </c>
      <c r="E3198">
        <v>0.50618439999999998</v>
      </c>
      <c r="F3198" t="s">
        <v>69</v>
      </c>
      <c r="G3198">
        <v>-168.41319999999999</v>
      </c>
      <c r="H3198">
        <v>6.3753380000000002</v>
      </c>
      <c r="I3198">
        <v>204.7157</v>
      </c>
      <c r="J3198">
        <v>-356.22969999999998</v>
      </c>
      <c r="K3198">
        <v>1.108978</v>
      </c>
      <c r="L3198">
        <v>214.47040000000001</v>
      </c>
      <c r="M3198">
        <v>0.99989830000000002</v>
      </c>
      <c r="N3198">
        <v>0</v>
      </c>
      <c r="O3198">
        <v>1.246354E-2</v>
      </c>
      <c r="P3198">
        <v>0.9973282</v>
      </c>
      <c r="Q3198">
        <v>6.366281E-2</v>
      </c>
      <c r="R3198">
        <v>-3.5829819999999998E-2</v>
      </c>
      <c r="S3198">
        <v>2.9972530000000002</v>
      </c>
      <c r="T3198">
        <v>8.3883399999999997E-2</v>
      </c>
      <c r="U3198">
        <v>-0.155304</v>
      </c>
      <c r="V3198">
        <v>4.8290949999999999E-2</v>
      </c>
      <c r="W3198">
        <v>7.0563570000000006E-2</v>
      </c>
      <c r="X3198">
        <v>0.99633769999999999</v>
      </c>
      <c r="Y3198">
        <v>6.41592E-2</v>
      </c>
      <c r="Z3198">
        <v>1.245569E-3</v>
      </c>
      <c r="AA3198">
        <v>0.99793889999999996</v>
      </c>
      <c r="AB3198">
        <v>38</v>
      </c>
      <c r="AC3198">
        <v>187.81649999999999</v>
      </c>
      <c r="AD3198">
        <v>5.2663599999999997</v>
      </c>
      <c r="AE3198">
        <v>-9.7547000000000104</v>
      </c>
      <c r="AF3198">
        <v>12.085380575309999</v>
      </c>
      <c r="AG3198">
        <v>5.2663599999999997</v>
      </c>
      <c r="AH3198">
        <v>187.533281043817</v>
      </c>
      <c r="AI3198">
        <v>88.394755384194994</v>
      </c>
      <c r="AJ3198">
        <v>86.312733908345706</v>
      </c>
      <c r="AK3198">
        <v>187.99607035882099</v>
      </c>
      <c r="AL3198">
        <v>85.953642645853506</v>
      </c>
      <c r="AM3198">
        <v>87.225133567919698</v>
      </c>
      <c r="AN3198">
        <v>1.0000000228521599</v>
      </c>
    </row>
    <row r="3199" spans="1:40" x14ac:dyDescent="0.25">
      <c r="A3199" t="str">
        <f>"20190312151049713"</f>
        <v>20190312151049713</v>
      </c>
      <c r="B3199" t="str">
        <f>"1552374649703757"</f>
        <v>1552374649703757</v>
      </c>
      <c r="C3199" t="s">
        <v>40</v>
      </c>
      <c r="D3199">
        <v>5.2251339999999997</v>
      </c>
      <c r="E3199">
        <v>0.49157060000000002</v>
      </c>
      <c r="F3199" t="s">
        <v>69</v>
      </c>
      <c r="G3199">
        <v>-168.41309999999999</v>
      </c>
      <c r="H3199">
        <v>6.162363</v>
      </c>
      <c r="I3199">
        <v>204.6917</v>
      </c>
      <c r="J3199">
        <v>-355.82889999999998</v>
      </c>
      <c r="K3199">
        <v>1.1089709999999999</v>
      </c>
      <c r="L3199">
        <v>214.4752</v>
      </c>
      <c r="M3199">
        <v>0.99990049999999997</v>
      </c>
      <c r="N3199">
        <v>0</v>
      </c>
      <c r="O3199">
        <v>1.227462E-2</v>
      </c>
      <c r="P3199">
        <v>0.99739719999999998</v>
      </c>
      <c r="Q3199">
        <v>6.1763980000000003E-2</v>
      </c>
      <c r="R3199">
        <v>-3.7207410000000003E-2</v>
      </c>
      <c r="S3199">
        <v>2.9972530000000002</v>
      </c>
      <c r="T3199">
        <v>8.0644489999999999E-2</v>
      </c>
      <c r="U3199">
        <v>-0.15605160000000001</v>
      </c>
      <c r="V3199">
        <v>4.9480209999999997E-2</v>
      </c>
      <c r="W3199">
        <v>6.8687509999999993E-2</v>
      </c>
      <c r="X3199">
        <v>0.99641040000000003</v>
      </c>
      <c r="Y3199">
        <v>6.4221249999999994E-2</v>
      </c>
      <c r="Z3199">
        <v>1.1932399999999999E-3</v>
      </c>
      <c r="AA3199">
        <v>0.99793500000000002</v>
      </c>
      <c r="AB3199">
        <v>38</v>
      </c>
      <c r="AC3199">
        <v>187.41579999999999</v>
      </c>
      <c r="AD3199">
        <v>5.0533919999999997</v>
      </c>
      <c r="AE3199">
        <v>-9.7835000000000001</v>
      </c>
      <c r="AF3199">
        <v>12.074521519806501</v>
      </c>
      <c r="AG3199">
        <v>5.0533919999999997</v>
      </c>
      <c r="AH3199">
        <v>187.14589721306101</v>
      </c>
      <c r="AI3199">
        <v>88.456458973459803</v>
      </c>
      <c r="AJ3199">
        <v>86.308433317227298</v>
      </c>
      <c r="AK3199">
        <v>187.60308548720499</v>
      </c>
      <c r="AL3199">
        <v>86.061394284080805</v>
      </c>
      <c r="AM3199">
        <v>87.157114876281199</v>
      </c>
      <c r="AN3199">
        <v>0.99999997521990103</v>
      </c>
    </row>
    <row r="3200" spans="1:40" x14ac:dyDescent="0.25">
      <c r="A3200" t="str">
        <f>"20190312151049734"</f>
        <v>20190312151049734</v>
      </c>
      <c r="B3200" t="str">
        <f>"1552374649724256"</f>
        <v>1552374649724256</v>
      </c>
      <c r="C3200" t="s">
        <v>40</v>
      </c>
      <c r="D3200">
        <v>5.2278330000000004</v>
      </c>
      <c r="E3200">
        <v>0.49070409999999998</v>
      </c>
      <c r="F3200" t="s">
        <v>70</v>
      </c>
      <c r="G3200">
        <v>-107.39749999999999</v>
      </c>
      <c r="H3200">
        <v>5.669778</v>
      </c>
      <c r="I3200">
        <v>210.8723</v>
      </c>
      <c r="J3200">
        <v>-355.4717</v>
      </c>
      <c r="K3200">
        <v>1.108954</v>
      </c>
      <c r="L3200">
        <v>214.4794</v>
      </c>
      <c r="M3200">
        <v>0.99990239999999997</v>
      </c>
      <c r="N3200">
        <v>0</v>
      </c>
      <c r="O3200">
        <v>1.2106520000000001E-2</v>
      </c>
      <c r="P3200">
        <v>0.99753289999999994</v>
      </c>
      <c r="Q3200">
        <v>5.9189239999999997E-2</v>
      </c>
      <c r="R3200">
        <v>-3.7744350000000003E-2</v>
      </c>
      <c r="S3200">
        <v>3.0028079999999999</v>
      </c>
      <c r="T3200">
        <v>5.5127379999999997E-2</v>
      </c>
      <c r="U3200">
        <v>-4.3548580000000003E-2</v>
      </c>
      <c r="V3200">
        <v>4.985026E-2</v>
      </c>
      <c r="W3200">
        <v>6.6132709999999997E-2</v>
      </c>
      <c r="X3200">
        <v>0.99656480000000003</v>
      </c>
      <c r="Y3200">
        <v>2.6599060000000001E-2</v>
      </c>
      <c r="Z3200">
        <v>4.6636220000000002E-4</v>
      </c>
      <c r="AA3200">
        <v>0.99964609999999998</v>
      </c>
      <c r="AB3200">
        <v>38</v>
      </c>
      <c r="AC3200">
        <v>248.07419999999999</v>
      </c>
      <c r="AD3200">
        <v>4.5608240000000002</v>
      </c>
      <c r="AE3200">
        <v>-3.6071</v>
      </c>
      <c r="AF3200">
        <v>6.6079908526874798</v>
      </c>
      <c r="AG3200">
        <v>4.5608240000000002</v>
      </c>
      <c r="AH3200">
        <v>247.928564672416</v>
      </c>
      <c r="AI3200">
        <v>88.946495894827905</v>
      </c>
      <c r="AJ3200">
        <v>88.473268401638606</v>
      </c>
      <c r="AK3200">
        <v>248.05854115347901</v>
      </c>
      <c r="AL3200">
        <v>86.208107370707594</v>
      </c>
      <c r="AM3200">
        <v>87.1363319303574</v>
      </c>
      <c r="AN3200">
        <v>0.99999999217652502</v>
      </c>
    </row>
    <row r="3201" spans="1:40" x14ac:dyDescent="0.25">
      <c r="A3201" t="str">
        <f>"20190312151049756"</f>
        <v>20190312151049756</v>
      </c>
      <c r="B3201" t="str">
        <f>"1552374649753534"</f>
        <v>1552374649753534</v>
      </c>
      <c r="C3201" t="s">
        <v>40</v>
      </c>
      <c r="D3201">
        <v>5.6212939999999998</v>
      </c>
      <c r="E3201">
        <v>0.49002509999999999</v>
      </c>
      <c r="F3201" t="s">
        <v>70</v>
      </c>
      <c r="G3201">
        <v>-107.39749999999999</v>
      </c>
      <c r="H3201">
        <v>4.9017200000000001</v>
      </c>
      <c r="I3201">
        <v>211.30950000000001</v>
      </c>
      <c r="J3201">
        <v>-355.09300000000002</v>
      </c>
      <c r="K3201">
        <v>1.1089389999999999</v>
      </c>
      <c r="L3201">
        <v>214.48390000000001</v>
      </c>
      <c r="M3201">
        <v>0.99990449999999997</v>
      </c>
      <c r="N3201">
        <v>0</v>
      </c>
      <c r="O3201">
        <v>1.192816E-2</v>
      </c>
      <c r="P3201">
        <v>0.99770619999999999</v>
      </c>
      <c r="Q3201">
        <v>5.595551E-2</v>
      </c>
      <c r="R3201">
        <v>-3.8101400000000001E-2</v>
      </c>
      <c r="S3201">
        <v>3.0032350000000001</v>
      </c>
      <c r="T3201">
        <v>4.5916560000000002E-2</v>
      </c>
      <c r="U3201">
        <v>-3.8375850000000003E-2</v>
      </c>
      <c r="V3201">
        <v>5.0029909999999997E-2</v>
      </c>
      <c r="W3201">
        <v>6.2919829999999996E-2</v>
      </c>
      <c r="X3201">
        <v>0.99676379999999998</v>
      </c>
      <c r="Y3201">
        <v>2.469942E-2</v>
      </c>
      <c r="Z3201">
        <v>3.7115310000000002E-4</v>
      </c>
      <c r="AA3201">
        <v>0.99969479999999999</v>
      </c>
      <c r="AB3201">
        <v>38</v>
      </c>
      <c r="AC3201">
        <v>247.69550000000001</v>
      </c>
      <c r="AD3201">
        <v>3.79278099999999</v>
      </c>
      <c r="AE3201">
        <v>-3.1743999999999901</v>
      </c>
      <c r="AF3201">
        <v>6.1273612483326403</v>
      </c>
      <c r="AG3201">
        <v>3.79278099999999</v>
      </c>
      <c r="AH3201">
        <v>247.58197171440099</v>
      </c>
      <c r="AI3201">
        <v>89.122606384793997</v>
      </c>
      <c r="AJ3201">
        <v>88.582286564226493</v>
      </c>
      <c r="AK3201">
        <v>247.68682335072199</v>
      </c>
      <c r="AL3201">
        <v>86.392576322362103</v>
      </c>
      <c r="AM3201">
        <v>87.126601950698102</v>
      </c>
      <c r="AN3201">
        <v>0.99999998494613795</v>
      </c>
    </row>
    <row r="3202" spans="1:40" x14ac:dyDescent="0.25">
      <c r="A3202" t="str">
        <f>"20190312151049778"</f>
        <v>20190312151049778</v>
      </c>
      <c r="B3202" t="str">
        <f>"1552374649774029"</f>
        <v>1552374649774029</v>
      </c>
      <c r="C3202" t="s">
        <v>40</v>
      </c>
      <c r="D3202">
        <v>5.6072930000000003</v>
      </c>
      <c r="E3202">
        <v>0.48992370000000002</v>
      </c>
      <c r="F3202" t="s">
        <v>70</v>
      </c>
      <c r="G3202">
        <v>-107.39749999999999</v>
      </c>
      <c r="H3202">
        <v>3.702251</v>
      </c>
      <c r="I3202">
        <v>211.6919</v>
      </c>
      <c r="J3202">
        <v>-354.72019999999998</v>
      </c>
      <c r="K3202">
        <v>1.108927</v>
      </c>
      <c r="L3202">
        <v>214.48820000000001</v>
      </c>
      <c r="M3202">
        <v>0.99990639999999997</v>
      </c>
      <c r="N3202">
        <v>0</v>
      </c>
      <c r="O3202">
        <v>1.175261E-2</v>
      </c>
      <c r="P3202">
        <v>0.99788670000000002</v>
      </c>
      <c r="Q3202">
        <v>5.2522319999999997E-2</v>
      </c>
      <c r="R3202">
        <v>-3.8262930000000001E-2</v>
      </c>
      <c r="S3202">
        <v>3.0038450000000001</v>
      </c>
      <c r="T3202">
        <v>3.1450150000000003E-2</v>
      </c>
      <c r="U3202">
        <v>-3.385925E-2</v>
      </c>
      <c r="V3202">
        <v>5.0016970000000001E-2</v>
      </c>
      <c r="W3202">
        <v>5.950635E-2</v>
      </c>
      <c r="X3202">
        <v>0.99697409999999997</v>
      </c>
      <c r="Y3202">
        <v>2.3020720000000001E-2</v>
      </c>
      <c r="Z3202">
        <v>2.43551E-4</v>
      </c>
      <c r="AA3202">
        <v>0.99973489999999998</v>
      </c>
      <c r="AB3202">
        <v>38</v>
      </c>
      <c r="AC3202">
        <v>247.3227</v>
      </c>
      <c r="AD3202">
        <v>2.593324</v>
      </c>
      <c r="AE3202">
        <v>-2.7963</v>
      </c>
      <c r="AF3202">
        <v>5.7022385505763902</v>
      </c>
      <c r="AG3202">
        <v>2.593324</v>
      </c>
      <c r="AH3202">
        <v>247.245572788364</v>
      </c>
      <c r="AI3202">
        <v>89.399214420711999</v>
      </c>
      <c r="AJ3202">
        <v>88.678818428998596</v>
      </c>
      <c r="AK3202">
        <v>247.32491608672001</v>
      </c>
      <c r="AL3202">
        <v>86.588522024090494</v>
      </c>
      <c r="AM3202">
        <v>87.127948835024895</v>
      </c>
      <c r="AN3202">
        <v>1.0000000295245499</v>
      </c>
    </row>
    <row r="3203" spans="1:40" x14ac:dyDescent="0.25">
      <c r="A3203" t="str">
        <f>"20190312151049802"</f>
        <v>20190312151049802</v>
      </c>
      <c r="B3203" t="str">
        <f>"1552374649793548"</f>
        <v>1552374649793548</v>
      </c>
      <c r="C3203" t="s">
        <v>40</v>
      </c>
      <c r="D3203">
        <v>5.2427020000000004</v>
      </c>
      <c r="E3203">
        <v>0.48989440000000001</v>
      </c>
      <c r="F3203" t="s">
        <v>70</v>
      </c>
      <c r="G3203">
        <v>-107.39749999999999</v>
      </c>
      <c r="H3203">
        <v>2.644288</v>
      </c>
      <c r="I3203">
        <v>211.72569999999999</v>
      </c>
      <c r="J3203">
        <v>-354.30990000000003</v>
      </c>
      <c r="K3203">
        <v>1.1089199999999999</v>
      </c>
      <c r="L3203">
        <v>214.49279999999999</v>
      </c>
      <c r="M3203">
        <v>0.99990840000000003</v>
      </c>
      <c r="N3203">
        <v>0</v>
      </c>
      <c r="O3203">
        <v>1.155957E-2</v>
      </c>
      <c r="P3203">
        <v>0.99799179999999998</v>
      </c>
      <c r="Q3203">
        <v>5.0508789999999998E-2</v>
      </c>
      <c r="R3203">
        <v>-3.8227490000000003E-2</v>
      </c>
      <c r="S3203">
        <v>3.0040589999999998</v>
      </c>
      <c r="T3203">
        <v>1.8649579999999999E-2</v>
      </c>
      <c r="U3203">
        <v>-3.355408E-2</v>
      </c>
      <c r="V3203">
        <v>4.9789409999999999E-2</v>
      </c>
      <c r="W3203">
        <v>5.7518020000000003E-2</v>
      </c>
      <c r="X3203">
        <v>0.99710209999999999</v>
      </c>
      <c r="Y3203">
        <v>2.2726610000000001E-2</v>
      </c>
      <c r="Z3203">
        <v>1.4230410000000001E-4</v>
      </c>
      <c r="AA3203">
        <v>0.99974169999999996</v>
      </c>
      <c r="AB3203">
        <v>38</v>
      </c>
      <c r="AC3203">
        <v>246.91239999999999</v>
      </c>
      <c r="AD3203">
        <v>1.5353679999999901</v>
      </c>
      <c r="AE3203">
        <v>-2.7670999999999899</v>
      </c>
      <c r="AF3203">
        <v>5.6209697043092604</v>
      </c>
      <c r="AG3203">
        <v>1.5353679999999901</v>
      </c>
      <c r="AH3203">
        <v>246.854370792515</v>
      </c>
      <c r="AI3203">
        <v>89.643732555033196</v>
      </c>
      <c r="AJ3203">
        <v>88.695578304780597</v>
      </c>
      <c r="AK3203">
        <v>246.92313183393901</v>
      </c>
      <c r="AL3203">
        <v>86.702640223861493</v>
      </c>
      <c r="AM3203">
        <v>87.141360358093607</v>
      </c>
      <c r="AN3203">
        <v>0.99999995289863797</v>
      </c>
    </row>
    <row r="3204" spans="1:40" x14ac:dyDescent="0.25">
      <c r="A3204" t="str">
        <f>"20190312151049823"</f>
        <v>20190312151049823</v>
      </c>
      <c r="B3204" t="str">
        <f>"1552374649814045"</f>
        <v>1552374649814045</v>
      </c>
      <c r="C3204" t="s">
        <v>40</v>
      </c>
      <c r="D3204">
        <v>5.6692809999999998</v>
      </c>
      <c r="E3204">
        <v>0.48953419999999997</v>
      </c>
      <c r="F3204" t="s">
        <v>70</v>
      </c>
      <c r="G3204">
        <v>-107.39749999999999</v>
      </c>
      <c r="H3204">
        <v>2.0337700000000001</v>
      </c>
      <c r="I3204">
        <v>211.7576</v>
      </c>
      <c r="J3204">
        <v>-353.94389999999999</v>
      </c>
      <c r="K3204">
        <v>1.1089169999999999</v>
      </c>
      <c r="L3204">
        <v>214.49690000000001</v>
      </c>
      <c r="M3204">
        <v>0.99991019999999997</v>
      </c>
      <c r="N3204">
        <v>0</v>
      </c>
      <c r="O3204">
        <v>1.138788E-2</v>
      </c>
      <c r="P3204">
        <v>0.99800650000000002</v>
      </c>
      <c r="Q3204">
        <v>5.0404659999999997E-2</v>
      </c>
      <c r="R3204">
        <v>-3.7985079999999997E-2</v>
      </c>
      <c r="S3204">
        <v>3.0042110000000002</v>
      </c>
      <c r="T3204">
        <v>1.125336E-2</v>
      </c>
      <c r="U3204">
        <v>-3.3279419999999997E-2</v>
      </c>
      <c r="V3204">
        <v>4.9375670000000003E-2</v>
      </c>
      <c r="W3204">
        <v>5.7437090000000003E-2</v>
      </c>
      <c r="X3204">
        <v>0.9971274</v>
      </c>
      <c r="Y3204">
        <v>2.246341E-2</v>
      </c>
      <c r="Z3204" s="1">
        <v>8.4727940000000002E-5</v>
      </c>
      <c r="AA3204">
        <v>0.99974759999999996</v>
      </c>
      <c r="AB3204">
        <v>38</v>
      </c>
      <c r="AC3204">
        <v>246.54640000000001</v>
      </c>
      <c r="AD3204">
        <v>0.92485300000000004</v>
      </c>
      <c r="AE3204">
        <v>-2.7393000000000098</v>
      </c>
      <c r="AF3204">
        <v>5.5467552033284502</v>
      </c>
      <c r="AG3204">
        <v>0.92485300000000004</v>
      </c>
      <c r="AH3204">
        <v>246.495748348982</v>
      </c>
      <c r="AI3204">
        <v>89.785081428351504</v>
      </c>
      <c r="AJ3204">
        <v>88.710922844569296</v>
      </c>
      <c r="AK3204">
        <v>246.55988278810099</v>
      </c>
      <c r="AL3204">
        <v>86.707285051309299</v>
      </c>
      <c r="AM3204">
        <v>87.165147979416105</v>
      </c>
      <c r="AN3204">
        <v>1.0000000139631799</v>
      </c>
    </row>
    <row r="3205" spans="1:40" x14ac:dyDescent="0.25">
      <c r="A3205" t="str">
        <f>"20190312151049846"</f>
        <v>20190312151049846</v>
      </c>
      <c r="B3205" t="str">
        <f>"1552374649844304"</f>
        <v>1552374649844304</v>
      </c>
      <c r="C3205" t="s">
        <v>40</v>
      </c>
      <c r="D3205">
        <v>5.6437929999999996</v>
      </c>
      <c r="E3205">
        <v>0.48923610000000001</v>
      </c>
      <c r="F3205" t="s">
        <v>70</v>
      </c>
      <c r="G3205">
        <v>-107.39749999999999</v>
      </c>
      <c r="H3205">
        <v>1.6113660000000001</v>
      </c>
      <c r="I3205">
        <v>212.06530000000001</v>
      </c>
      <c r="J3205">
        <v>-353.54700000000003</v>
      </c>
      <c r="K3205">
        <v>1.108922</v>
      </c>
      <c r="L3205">
        <v>214.50129999999999</v>
      </c>
      <c r="M3205">
        <v>0.99991209999999997</v>
      </c>
      <c r="N3205">
        <v>0</v>
      </c>
      <c r="O3205">
        <v>1.120116E-2</v>
      </c>
      <c r="P3205">
        <v>0.99793699999999996</v>
      </c>
      <c r="Q3205">
        <v>5.1989819999999999E-2</v>
      </c>
      <c r="R3205">
        <v>-3.7667329999999999E-2</v>
      </c>
      <c r="S3205">
        <v>3.0045169999999999</v>
      </c>
      <c r="T3205">
        <v>6.1236619999999898E-3</v>
      </c>
      <c r="U3205">
        <v>-2.963257E-2</v>
      </c>
      <c r="V3205">
        <v>4.887209E-2</v>
      </c>
      <c r="W3205">
        <v>5.9047019999999999E-2</v>
      </c>
      <c r="X3205">
        <v>0.99705820000000001</v>
      </c>
      <c r="Y3205">
        <v>2.106241E-2</v>
      </c>
      <c r="Z3205" s="1">
        <v>4.4293270000000003E-5</v>
      </c>
      <c r="AA3205">
        <v>0.99977819999999995</v>
      </c>
      <c r="AB3205">
        <v>38</v>
      </c>
      <c r="AC3205">
        <v>246.14949999999999</v>
      </c>
      <c r="AD3205">
        <v>0.502444</v>
      </c>
      <c r="AE3205">
        <v>-2.4359999999999702</v>
      </c>
      <c r="AF3205">
        <v>5.1930548497517499</v>
      </c>
      <c r="AG3205">
        <v>0.502444</v>
      </c>
      <c r="AH3205">
        <v>246.10574501784001</v>
      </c>
      <c r="AI3205">
        <v>89.883052409352203</v>
      </c>
      <c r="AJ3205">
        <v>88.7911863752187</v>
      </c>
      <c r="AK3205">
        <v>246.161040783126</v>
      </c>
      <c r="AL3205">
        <v>86.614886098252001</v>
      </c>
      <c r="AM3205">
        <v>87.193819613273604</v>
      </c>
      <c r="AN3205">
        <v>1.0000000429695399</v>
      </c>
    </row>
    <row r="3206" spans="1:40" x14ac:dyDescent="0.25">
      <c r="A3206" t="str">
        <f>"20190312151049868"</f>
        <v>20190312151049868</v>
      </c>
      <c r="B3206" t="str">
        <f>"1552374649863821"</f>
        <v>1552374649863821</v>
      </c>
      <c r="C3206" t="s">
        <v>40</v>
      </c>
      <c r="D3206">
        <v>5.6296920000000004</v>
      </c>
      <c r="E3206">
        <v>0.48901420000000001</v>
      </c>
      <c r="F3206" t="s">
        <v>70</v>
      </c>
      <c r="G3206">
        <v>-107.39749999999999</v>
      </c>
      <c r="H3206">
        <v>1.4850319999999999</v>
      </c>
      <c r="I3206">
        <v>212.34389999999999</v>
      </c>
      <c r="J3206">
        <v>-353.16399999999999</v>
      </c>
      <c r="K3206">
        <v>1.1089310000000001</v>
      </c>
      <c r="L3206">
        <v>214.50540000000001</v>
      </c>
      <c r="M3206">
        <v>0.99991390000000002</v>
      </c>
      <c r="N3206">
        <v>0</v>
      </c>
      <c r="O3206">
        <v>1.102124E-2</v>
      </c>
      <c r="P3206">
        <v>0.99786249999999999</v>
      </c>
      <c r="Q3206">
        <v>5.3532929999999999E-2</v>
      </c>
      <c r="R3206">
        <v>-3.7479390000000001E-2</v>
      </c>
      <c r="S3206">
        <v>3.0050050000000001</v>
      </c>
      <c r="T3206">
        <v>4.5921800000000004E-3</v>
      </c>
      <c r="U3206">
        <v>-2.633667E-2</v>
      </c>
      <c r="V3206">
        <v>4.850467E-2</v>
      </c>
      <c r="W3206">
        <v>6.0611100000000001E-2</v>
      </c>
      <c r="X3206">
        <v>0.99698220000000004</v>
      </c>
      <c r="Y3206">
        <v>1.978446E-2</v>
      </c>
      <c r="Z3206" s="1">
        <v>3.195924E-5</v>
      </c>
      <c r="AA3206">
        <v>0.99980429999999998</v>
      </c>
      <c r="AB3206">
        <v>39</v>
      </c>
      <c r="AC3206">
        <v>245.76650000000001</v>
      </c>
      <c r="AD3206">
        <v>0.37610100000000002</v>
      </c>
      <c r="AE3206">
        <v>-2.16150000000001</v>
      </c>
      <c r="AF3206">
        <v>4.8700775899289104</v>
      </c>
      <c r="AG3206">
        <v>0.37610100000000002</v>
      </c>
      <c r="AH3206">
        <v>245.727174007754</v>
      </c>
      <c r="AI3206">
        <v>89.9123224677016</v>
      </c>
      <c r="AJ3206">
        <v>88.864601088249501</v>
      </c>
      <c r="AK3206">
        <v>245.775717176314</v>
      </c>
      <c r="AL3206">
        <v>86.525109792267401</v>
      </c>
      <c r="AM3206">
        <v>87.214671138101593</v>
      </c>
      <c r="AN3206">
        <v>0.99999995778592798</v>
      </c>
    </row>
    <row r="3207" spans="1:40" x14ac:dyDescent="0.25">
      <c r="A3207" t="str">
        <f>"20190312151049890"</f>
        <v>20190312151049890</v>
      </c>
      <c r="B3207" t="str">
        <f>"1552374649884317"</f>
        <v>1552374649884317</v>
      </c>
      <c r="C3207" t="s">
        <v>40</v>
      </c>
      <c r="D3207">
        <v>5.2433120000000004</v>
      </c>
      <c r="E3207">
        <v>0.48902230000000002</v>
      </c>
      <c r="F3207" t="s">
        <v>70</v>
      </c>
      <c r="G3207">
        <v>-107.39749999999999</v>
      </c>
      <c r="H3207">
        <v>1.6173360000000001</v>
      </c>
      <c r="I3207">
        <v>212.54750000000001</v>
      </c>
      <c r="J3207">
        <v>-352.7867</v>
      </c>
      <c r="K3207">
        <v>1.1089329999999999</v>
      </c>
      <c r="L3207">
        <v>214.5094</v>
      </c>
      <c r="M3207">
        <v>0.99991569999999996</v>
      </c>
      <c r="N3207">
        <v>0</v>
      </c>
      <c r="O3207">
        <v>1.084443E-2</v>
      </c>
      <c r="P3207">
        <v>0.99779359999999995</v>
      </c>
      <c r="Q3207">
        <v>5.4951310000000003E-2</v>
      </c>
      <c r="R3207">
        <v>-3.7263579999999998E-2</v>
      </c>
      <c r="S3207">
        <v>3.0052189999999999</v>
      </c>
      <c r="T3207">
        <v>6.2173599999999999E-3</v>
      </c>
      <c r="U3207">
        <v>-2.394104E-2</v>
      </c>
      <c r="V3207">
        <v>4.8112490000000001E-2</v>
      </c>
      <c r="W3207">
        <v>6.204892E-2</v>
      </c>
      <c r="X3207">
        <v>0.99691280000000004</v>
      </c>
      <c r="Y3207">
        <v>1.8810070000000002E-2</v>
      </c>
      <c r="Z3207" s="1">
        <v>4.1892969999999998E-5</v>
      </c>
      <c r="AA3207">
        <v>0.99982309999999996</v>
      </c>
      <c r="AB3207">
        <v>39</v>
      </c>
      <c r="AC3207">
        <v>245.38919999999999</v>
      </c>
      <c r="AD3207">
        <v>0.50840300000000005</v>
      </c>
      <c r="AE3207">
        <v>-1.96189999999998</v>
      </c>
      <c r="AF3207">
        <v>4.6229386381935402</v>
      </c>
      <c r="AG3207">
        <v>0.50840300000000005</v>
      </c>
      <c r="AH3207">
        <v>245.352440425411</v>
      </c>
      <c r="AI3207">
        <v>89.881296737596401</v>
      </c>
      <c r="AJ3207">
        <v>88.920558794332294</v>
      </c>
      <c r="AK3207">
        <v>245.39651598579701</v>
      </c>
      <c r="AL3207">
        <v>86.442573562565897</v>
      </c>
      <c r="AM3207">
        <v>87.236964582614604</v>
      </c>
      <c r="AN3207">
        <v>1.0000000054855001</v>
      </c>
    </row>
    <row r="3208" spans="1:40" x14ac:dyDescent="0.25">
      <c r="A3208" t="str">
        <f>"20190312151049912"</f>
        <v>20190312151049912</v>
      </c>
      <c r="B3208" t="str">
        <f>"1552374649903837"</f>
        <v>1552374649903837</v>
      </c>
      <c r="C3208" t="s">
        <v>40</v>
      </c>
      <c r="D3208">
        <v>5.2367520000000001</v>
      </c>
      <c r="E3208">
        <v>0.4890969</v>
      </c>
      <c r="F3208" t="s">
        <v>70</v>
      </c>
      <c r="G3208">
        <v>-107.39749999999999</v>
      </c>
      <c r="H3208">
        <v>2.0051649999999999</v>
      </c>
      <c r="I3208">
        <v>212.59309999999999</v>
      </c>
      <c r="J3208">
        <v>-352.40390000000002</v>
      </c>
      <c r="K3208">
        <v>1.1089340000000001</v>
      </c>
      <c r="L3208">
        <v>214.51339999999999</v>
      </c>
      <c r="M3208">
        <v>0.99991759999999996</v>
      </c>
      <c r="N3208">
        <v>0</v>
      </c>
      <c r="O3208">
        <v>1.0665060000000001E-2</v>
      </c>
      <c r="P3208">
        <v>0.99776240000000005</v>
      </c>
      <c r="Q3208">
        <v>5.5854590000000003E-2</v>
      </c>
      <c r="R3208">
        <v>-3.6757030000000003E-2</v>
      </c>
      <c r="S3208">
        <v>3.005188</v>
      </c>
      <c r="T3208">
        <v>1.0976430000000001E-2</v>
      </c>
      <c r="U3208">
        <v>-2.3468019999999999E-2</v>
      </c>
      <c r="V3208">
        <v>4.7427240000000002E-2</v>
      </c>
      <c r="W3208">
        <v>6.2972159999999999E-2</v>
      </c>
      <c r="X3208">
        <v>0.99688770000000004</v>
      </c>
      <c r="Y3208">
        <v>1.8473300000000002E-2</v>
      </c>
      <c r="Z3208" s="1">
        <v>7.2690399999999998E-5</v>
      </c>
      <c r="AA3208">
        <v>0.99982939999999998</v>
      </c>
      <c r="AB3208">
        <v>39</v>
      </c>
      <c r="AC3208">
        <v>245.00640000000001</v>
      </c>
      <c r="AD3208">
        <v>0.896231</v>
      </c>
      <c r="AE3208">
        <v>-1.9202999999999899</v>
      </c>
      <c r="AF3208">
        <v>4.5332047814758099</v>
      </c>
      <c r="AG3208">
        <v>0.896231</v>
      </c>
      <c r="AH3208">
        <v>244.96870661308901</v>
      </c>
      <c r="AI3208">
        <v>89.790417170190096</v>
      </c>
      <c r="AJ3208">
        <v>88.939848835080895</v>
      </c>
      <c r="AK3208">
        <v>245.01228621292799</v>
      </c>
      <c r="AL3208">
        <v>86.389571990784205</v>
      </c>
      <c r="AM3208">
        <v>87.276189400768104</v>
      </c>
      <c r="AN3208">
        <v>0.99999996122018497</v>
      </c>
    </row>
    <row r="3209" spans="1:40" x14ac:dyDescent="0.25">
      <c r="A3209" t="str">
        <f>"20190312151049934"</f>
        <v>20190312151049934</v>
      </c>
      <c r="B3209" t="str">
        <f>"1552374649924337"</f>
        <v>1552374649924337</v>
      </c>
      <c r="C3209" t="s">
        <v>40</v>
      </c>
      <c r="D3209">
        <v>5.2440040000000003</v>
      </c>
      <c r="E3209">
        <v>0.48914839999999998</v>
      </c>
      <c r="F3209" t="s">
        <v>70</v>
      </c>
      <c r="G3209">
        <v>-107.39749999999999</v>
      </c>
      <c r="H3209">
        <v>2.3016269999999999</v>
      </c>
      <c r="I3209">
        <v>212.6772</v>
      </c>
      <c r="J3209">
        <v>-352.01299999999998</v>
      </c>
      <c r="K3209">
        <v>1.1089389999999999</v>
      </c>
      <c r="L3209">
        <v>214.51750000000001</v>
      </c>
      <c r="M3209">
        <v>0.99991929999999996</v>
      </c>
      <c r="N3209">
        <v>0</v>
      </c>
      <c r="O3209">
        <v>1.048223E-2</v>
      </c>
      <c r="P3209">
        <v>0.99773250000000002</v>
      </c>
      <c r="Q3209">
        <v>5.6898999999999998E-2</v>
      </c>
      <c r="R3209">
        <v>-3.5954079999999999E-2</v>
      </c>
      <c r="S3209">
        <v>3.0050050000000001</v>
      </c>
      <c r="T3209">
        <v>1.462901E-2</v>
      </c>
      <c r="U3209">
        <v>-2.2521969999999999E-2</v>
      </c>
      <c r="V3209">
        <v>4.6442450000000003E-2</v>
      </c>
      <c r="W3209">
        <v>6.4035739999999994E-2</v>
      </c>
      <c r="X3209">
        <v>0.99686629999999998</v>
      </c>
      <c r="Y3209">
        <v>1.797607E-2</v>
      </c>
      <c r="Z3209" s="1">
        <v>9.4784659999999998E-5</v>
      </c>
      <c r="AA3209">
        <v>0.99983840000000002</v>
      </c>
      <c r="AB3209">
        <v>39</v>
      </c>
      <c r="AC3209">
        <v>244.6155</v>
      </c>
      <c r="AD3209">
        <v>1.192688</v>
      </c>
      <c r="AE3209">
        <v>-1.84030000000001</v>
      </c>
      <c r="AF3209">
        <v>4.4042761732542299</v>
      </c>
      <c r="AG3209">
        <v>1.192688</v>
      </c>
      <c r="AH3209">
        <v>244.57695514467801</v>
      </c>
      <c r="AI3209">
        <v>89.720642650211801</v>
      </c>
      <c r="AJ3209">
        <v>88.968344483390098</v>
      </c>
      <c r="AK3209">
        <v>244.619515045545</v>
      </c>
      <c r="AL3209">
        <v>86.328510045864505</v>
      </c>
      <c r="AM3209">
        <v>87.332607500583407</v>
      </c>
      <c r="AN3209">
        <v>0.99999994861751795</v>
      </c>
    </row>
    <row r="3210" spans="1:40" x14ac:dyDescent="0.25">
      <c r="A3210" t="str">
        <f>"20190312151049957"</f>
        <v>20190312151049957</v>
      </c>
      <c r="B3210" t="str">
        <f>"1552374649953613"</f>
        <v>1552374649953613</v>
      </c>
      <c r="C3210" t="s">
        <v>40</v>
      </c>
      <c r="D3210">
        <v>5.344964</v>
      </c>
      <c r="E3210">
        <v>0.48920019999999997</v>
      </c>
      <c r="F3210" t="s">
        <v>70</v>
      </c>
      <c r="G3210">
        <v>-107.39749999999999</v>
      </c>
      <c r="H3210">
        <v>2.562405</v>
      </c>
      <c r="I3210">
        <v>212.85810000000001</v>
      </c>
      <c r="J3210">
        <v>-351.62329999999997</v>
      </c>
      <c r="K3210">
        <v>1.1089389999999999</v>
      </c>
      <c r="L3210">
        <v>214.5214</v>
      </c>
      <c r="M3210">
        <v>0.99992119999999995</v>
      </c>
      <c r="N3210">
        <v>0</v>
      </c>
      <c r="O3210">
        <v>1.0300180000000001E-2</v>
      </c>
      <c r="P3210">
        <v>0.99769770000000002</v>
      </c>
      <c r="Q3210">
        <v>5.789292E-2</v>
      </c>
      <c r="R3210">
        <v>-3.5325349999999998E-2</v>
      </c>
      <c r="S3210">
        <v>3.0050659999999998</v>
      </c>
      <c r="T3210">
        <v>1.7856239999999999E-2</v>
      </c>
      <c r="U3210">
        <v>-2.0385739999999999E-2</v>
      </c>
      <c r="V3210">
        <v>4.5632640000000002E-2</v>
      </c>
      <c r="W3210">
        <v>6.5046439999999997E-2</v>
      </c>
      <c r="X3210">
        <v>0.99683829999999995</v>
      </c>
      <c r="Y3210">
        <v>1.7083000000000001E-2</v>
      </c>
      <c r="Z3210">
        <v>1.119572E-4</v>
      </c>
      <c r="AA3210">
        <v>0.99985409999999997</v>
      </c>
      <c r="AB3210">
        <v>39</v>
      </c>
      <c r="AC3210">
        <v>244.22579999999999</v>
      </c>
      <c r="AD3210">
        <v>1.4534659999999999</v>
      </c>
      <c r="AE3210">
        <v>-1.66329999999999</v>
      </c>
      <c r="AF3210">
        <v>4.1786982442833303</v>
      </c>
      <c r="AG3210">
        <v>1.4534659999999999</v>
      </c>
      <c r="AH3210">
        <v>244.18706257935801</v>
      </c>
      <c r="AI3210">
        <v>89.659014312386304</v>
      </c>
      <c r="AJ3210">
        <v>89.019610606166296</v>
      </c>
      <c r="AK3210">
        <v>244.22713938783599</v>
      </c>
      <c r="AL3210">
        <v>86.270480349209393</v>
      </c>
      <c r="AM3210">
        <v>87.378979474281905</v>
      </c>
      <c r="AN3210">
        <v>0.99999998676846602</v>
      </c>
    </row>
    <row r="3211" spans="1:40" x14ac:dyDescent="0.25">
      <c r="A3211" t="str">
        <f>"20190312151049978"</f>
        <v>20190312151049978</v>
      </c>
      <c r="B3211" t="str">
        <f>"1552374649974110"</f>
        <v>1552374649974110</v>
      </c>
      <c r="C3211" t="s">
        <v>40</v>
      </c>
      <c r="D3211">
        <v>5.1659930000000003</v>
      </c>
      <c r="E3211">
        <v>0.4891839</v>
      </c>
      <c r="F3211" t="s">
        <v>70</v>
      </c>
      <c r="G3211">
        <v>-107.39749999999999</v>
      </c>
      <c r="H3211">
        <v>2.7883149999999999</v>
      </c>
      <c r="I3211">
        <v>212.9787</v>
      </c>
      <c r="J3211">
        <v>-351.2423</v>
      </c>
      <c r="K3211">
        <v>1.1089249999999999</v>
      </c>
      <c r="L3211">
        <v>214.52520000000001</v>
      </c>
      <c r="M3211">
        <v>0.99992270000000005</v>
      </c>
      <c r="N3211">
        <v>0</v>
      </c>
      <c r="O3211">
        <v>1.012214E-2</v>
      </c>
      <c r="P3211">
        <v>0.99771330000000003</v>
      </c>
      <c r="Q3211">
        <v>5.8149300000000001E-2</v>
      </c>
      <c r="R3211">
        <v>-3.4451500000000003E-2</v>
      </c>
      <c r="S3211">
        <v>3.0050349999999999</v>
      </c>
      <c r="T3211">
        <v>2.0664220000000001E-2</v>
      </c>
      <c r="U3211">
        <v>-1.8981930000000001E-2</v>
      </c>
      <c r="V3211">
        <v>4.4581580000000003E-2</v>
      </c>
      <c r="W3211">
        <v>6.5319569999999993E-2</v>
      </c>
      <c r="X3211">
        <v>0.99686799999999998</v>
      </c>
      <c r="Y3211">
        <v>1.643783E-2</v>
      </c>
      <c r="Z3211">
        <v>1.261216E-4</v>
      </c>
      <c r="AA3211">
        <v>0.99986489999999995</v>
      </c>
      <c r="AB3211">
        <v>39</v>
      </c>
      <c r="AC3211">
        <v>243.84479999999999</v>
      </c>
      <c r="AD3211">
        <v>1.6793899999999999</v>
      </c>
      <c r="AE3211">
        <v>-1.5465</v>
      </c>
      <c r="AF3211">
        <v>4.0145259056357698</v>
      </c>
      <c r="AG3211">
        <v>1.6793899999999999</v>
      </c>
      <c r="AH3211">
        <v>243.80508901740799</v>
      </c>
      <c r="AI3211">
        <v>89.605392174051403</v>
      </c>
      <c r="AJ3211">
        <v>89.0566455886417</v>
      </c>
      <c r="AK3211">
        <v>243.84392180205199</v>
      </c>
      <c r="AL3211">
        <v>86.254797799886006</v>
      </c>
      <c r="AM3211">
        <v>87.439344521310005</v>
      </c>
      <c r="AN3211">
        <v>0.99999998646213994</v>
      </c>
    </row>
    <row r="3212" spans="1:40" x14ac:dyDescent="0.25">
      <c r="A3212" t="str">
        <f>"20190312151050001"</f>
        <v>20190312151050001</v>
      </c>
      <c r="B3212" t="str">
        <f>"1552374649993629"</f>
        <v>1552374649993629</v>
      </c>
      <c r="C3212" t="s">
        <v>40</v>
      </c>
      <c r="D3212">
        <v>5.3267870000000004</v>
      </c>
      <c r="E3212">
        <v>0.48911850000000001</v>
      </c>
      <c r="F3212" t="s">
        <v>70</v>
      </c>
      <c r="G3212">
        <v>-107.39749999999999</v>
      </c>
      <c r="H3212">
        <v>2.9304589999999999</v>
      </c>
      <c r="I3212">
        <v>213.20529999999999</v>
      </c>
      <c r="J3212">
        <v>-350.84280000000001</v>
      </c>
      <c r="K3212">
        <v>1.108914</v>
      </c>
      <c r="L3212">
        <v>214.5291</v>
      </c>
      <c r="M3212">
        <v>0.99992449999999999</v>
      </c>
      <c r="N3212">
        <v>0</v>
      </c>
      <c r="O3212">
        <v>9.9350940000000002E-3</v>
      </c>
      <c r="P3212">
        <v>0.9978089</v>
      </c>
      <c r="Q3212">
        <v>5.7199979999999997E-2</v>
      </c>
      <c r="R3212">
        <v>-3.3249500000000001E-2</v>
      </c>
      <c r="S3212">
        <v>3.0049739999999998</v>
      </c>
      <c r="T3212">
        <v>2.244794E-2</v>
      </c>
      <c r="U3212">
        <v>-1.6265870000000002E-2</v>
      </c>
      <c r="V3212">
        <v>4.3193740000000001E-2</v>
      </c>
      <c r="W3212">
        <v>6.4387410000000006E-2</v>
      </c>
      <c r="X3212">
        <v>0.99698969999999998</v>
      </c>
      <c r="Y3212">
        <v>1.534714E-2</v>
      </c>
      <c r="Z3212">
        <v>1.3154010000000001E-4</v>
      </c>
      <c r="AA3212">
        <v>0.99988220000000005</v>
      </c>
      <c r="AB3212">
        <v>39</v>
      </c>
      <c r="AC3212">
        <v>243.4453</v>
      </c>
      <c r="AD3212">
        <v>1.821545</v>
      </c>
      <c r="AE3212">
        <v>-1.3238000000000001</v>
      </c>
      <c r="AF3212">
        <v>3.74224033102794</v>
      </c>
      <c r="AG3212">
        <v>1.821545</v>
      </c>
      <c r="AH3212">
        <v>243.406505008984</v>
      </c>
      <c r="AI3212">
        <v>89.5712827783953</v>
      </c>
      <c r="AJ3212">
        <v>89.119178489923101</v>
      </c>
      <c r="AK3212">
        <v>243.44208565810999</v>
      </c>
      <c r="AL3212">
        <v>86.308319174637106</v>
      </c>
      <c r="AM3212">
        <v>87.519259880687002</v>
      </c>
      <c r="AN3212">
        <v>0.99999994982389095</v>
      </c>
    </row>
    <row r="3213" spans="1:40" x14ac:dyDescent="0.25">
      <c r="A3213" t="str">
        <f>"20190312151050023"</f>
        <v>20190312151050023</v>
      </c>
      <c r="B3213" t="str">
        <f>"1552374650014125"</f>
        <v>1552374650014125</v>
      </c>
      <c r="C3213" t="s">
        <v>40</v>
      </c>
      <c r="D3213">
        <v>5.1720280000000001</v>
      </c>
      <c r="E3213">
        <v>0.48924210000000001</v>
      </c>
      <c r="F3213" t="s">
        <v>70</v>
      </c>
      <c r="G3213">
        <v>-107.39749999999999</v>
      </c>
      <c r="H3213">
        <v>2.7736800000000001</v>
      </c>
      <c r="I3213">
        <v>213.5463</v>
      </c>
      <c r="J3213">
        <v>-350.44470000000001</v>
      </c>
      <c r="K3213">
        <v>1.1089059999999999</v>
      </c>
      <c r="L3213">
        <v>214.53290000000001</v>
      </c>
      <c r="M3213">
        <v>0.99992619999999999</v>
      </c>
      <c r="N3213">
        <v>0</v>
      </c>
      <c r="O3213">
        <v>9.7488249999999992E-3</v>
      </c>
      <c r="P3213">
        <v>0.99784110000000004</v>
      </c>
      <c r="Q3213">
        <v>5.6857400000000002E-2</v>
      </c>
      <c r="R3213">
        <v>-3.2871169999999998E-2</v>
      </c>
      <c r="S3213">
        <v>3.0050349999999999</v>
      </c>
      <c r="T3213">
        <v>2.055013E-2</v>
      </c>
      <c r="U3213">
        <v>-1.2130739999999999E-2</v>
      </c>
      <c r="V3213">
        <v>4.26297E-2</v>
      </c>
      <c r="W3213">
        <v>6.4060019999999995E-2</v>
      </c>
      <c r="X3213">
        <v>0.99703509999999995</v>
      </c>
      <c r="Y3213">
        <v>1.378503E-2</v>
      </c>
      <c r="Z3213">
        <v>1.1380240000000001E-4</v>
      </c>
      <c r="AA3213">
        <v>0.99990500000000004</v>
      </c>
      <c r="AB3213">
        <v>39</v>
      </c>
      <c r="AC3213">
        <v>243.0472</v>
      </c>
      <c r="AD3213">
        <v>1.664774</v>
      </c>
      <c r="AE3213">
        <v>-0.98660000000001002</v>
      </c>
      <c r="AF3213">
        <v>3.3558825528829002</v>
      </c>
      <c r="AG3213">
        <v>1.664774</v>
      </c>
      <c r="AH3213">
        <v>243.014629816406</v>
      </c>
      <c r="AI3213">
        <v>89.607538283200498</v>
      </c>
      <c r="AJ3213">
        <v>89.208830818306197</v>
      </c>
      <c r="AK3213">
        <v>243.04350171313899</v>
      </c>
      <c r="AL3213">
        <v>86.327116172483301</v>
      </c>
      <c r="AM3213">
        <v>87.551725981959095</v>
      </c>
      <c r="AN3213">
        <v>0.99999998405824997</v>
      </c>
    </row>
    <row r="3214" spans="1:40" x14ac:dyDescent="0.25">
      <c r="A3214" t="str">
        <f>"20190312151050047"</f>
        <v>20190312151050047</v>
      </c>
      <c r="B3214" t="str">
        <f>"1552374650044382"</f>
        <v>1552374650044382</v>
      </c>
      <c r="C3214" t="s">
        <v>40</v>
      </c>
      <c r="D3214">
        <v>5.1244630000000004</v>
      </c>
      <c r="E3214">
        <v>0.51598949999999999</v>
      </c>
      <c r="F3214" t="s">
        <v>70</v>
      </c>
      <c r="G3214">
        <v>-107.39749999999999</v>
      </c>
      <c r="H3214">
        <v>2.6810770000000002</v>
      </c>
      <c r="I3214">
        <v>213.56899999999999</v>
      </c>
      <c r="J3214">
        <v>-350.03789999999998</v>
      </c>
      <c r="K3214">
        <v>1.1089039999999999</v>
      </c>
      <c r="L3214">
        <v>214.5367</v>
      </c>
      <c r="M3214">
        <v>0.99992800000000004</v>
      </c>
      <c r="N3214">
        <v>0</v>
      </c>
      <c r="O3214">
        <v>9.5554539999999997E-3</v>
      </c>
      <c r="P3214">
        <v>0.99785449999999998</v>
      </c>
      <c r="Q3214">
        <v>5.7067519999999997E-2</v>
      </c>
      <c r="R3214">
        <v>-3.2096529999999998E-2</v>
      </c>
      <c r="S3214">
        <v>3.0050050000000001</v>
      </c>
      <c r="T3214">
        <v>1.9438739999999999E-2</v>
      </c>
      <c r="U3214">
        <v>-1.191711E-2</v>
      </c>
      <c r="V3214">
        <v>4.1662890000000001E-2</v>
      </c>
      <c r="W3214">
        <v>6.4284149999999998E-2</v>
      </c>
      <c r="X3214">
        <v>0.99706159999999999</v>
      </c>
      <c r="Y3214">
        <v>1.352069E-2</v>
      </c>
      <c r="Z3214">
        <v>1.055432E-4</v>
      </c>
      <c r="AA3214">
        <v>0.99990860000000004</v>
      </c>
      <c r="AB3214">
        <v>39</v>
      </c>
      <c r="AC3214">
        <v>242.6404</v>
      </c>
      <c r="AD3214">
        <v>1.572173</v>
      </c>
      <c r="AE3214">
        <v>-0.96769999999997902</v>
      </c>
      <c r="AF3214">
        <v>3.2861181215894399</v>
      </c>
      <c r="AG3214">
        <v>1.572173</v>
      </c>
      <c r="AH3214">
        <v>242.60988940796901</v>
      </c>
      <c r="AI3214">
        <v>89.628748212617296</v>
      </c>
      <c r="AJ3214">
        <v>89.223983874391607</v>
      </c>
      <c r="AK3214">
        <v>242.637236917168</v>
      </c>
      <c r="AL3214">
        <v>86.314248156969299</v>
      </c>
      <c r="AM3214">
        <v>87.607249258728103</v>
      </c>
      <c r="AN3214">
        <v>1.0000000412694601</v>
      </c>
    </row>
    <row r="3215" spans="1:40" x14ac:dyDescent="0.25">
      <c r="A3215" t="str">
        <f>"20190312151050070"</f>
        <v>20190312151050070</v>
      </c>
      <c r="B3215" t="str">
        <f>"1552374650063902"</f>
        <v>1552374650063902</v>
      </c>
      <c r="C3215" t="s">
        <v>40</v>
      </c>
      <c r="D3215">
        <v>5.1504399999999997</v>
      </c>
      <c r="E3215">
        <v>0.51715359999999999</v>
      </c>
      <c r="F3215" t="s">
        <v>69</v>
      </c>
      <c r="G3215">
        <v>-168.41370000000001</v>
      </c>
      <c r="H3215">
        <v>4.2693379999999896</v>
      </c>
      <c r="I3215">
        <v>201.02690000000001</v>
      </c>
      <c r="J3215">
        <v>-349.63799999999998</v>
      </c>
      <c r="K3215">
        <v>1.108911</v>
      </c>
      <c r="L3215">
        <v>214.54040000000001</v>
      </c>
      <c r="M3215">
        <v>0.99992999999999999</v>
      </c>
      <c r="N3215">
        <v>0</v>
      </c>
      <c r="O3215">
        <v>9.3580690000000001E-3</v>
      </c>
      <c r="P3215">
        <v>0.99776189999999998</v>
      </c>
      <c r="Q3215">
        <v>5.911843E-2</v>
      </c>
      <c r="R3215">
        <v>-3.1253120000000002E-2</v>
      </c>
      <c r="S3215">
        <v>2.9962460000000002</v>
      </c>
      <c r="T3215">
        <v>5.2138089999999998E-2</v>
      </c>
      <c r="U3215">
        <v>-0.22286990000000001</v>
      </c>
      <c r="V3215">
        <v>4.0623600000000003E-2</v>
      </c>
      <c r="W3215">
        <v>6.6347299999999998E-2</v>
      </c>
      <c r="X3215">
        <v>0.99696929999999995</v>
      </c>
      <c r="Y3215">
        <v>8.3493410000000004E-2</v>
      </c>
      <c r="Z3215">
        <v>8.880041E-4</v>
      </c>
      <c r="AA3215">
        <v>0.9965079</v>
      </c>
      <c r="AB3215">
        <v>39</v>
      </c>
      <c r="AC3215">
        <v>181.2243</v>
      </c>
      <c r="AD3215">
        <v>3.1604269999999901</v>
      </c>
      <c r="AE3215">
        <v>-13.513499999999899</v>
      </c>
      <c r="AF3215">
        <v>15.2042637038163</v>
      </c>
      <c r="AG3215">
        <v>3.1604269999999901</v>
      </c>
      <c r="AH3215">
        <v>181.03514691762399</v>
      </c>
      <c r="AI3215">
        <v>89.003366640803804</v>
      </c>
      <c r="AJ3215">
        <v>85.199271615406005</v>
      </c>
      <c r="AK3215">
        <v>181.6999789573</v>
      </c>
      <c r="AL3215">
        <v>86.195785286110905</v>
      </c>
      <c r="AM3215">
        <v>87.666654388629993</v>
      </c>
      <c r="AN3215">
        <v>1.0000000131183699</v>
      </c>
    </row>
    <row r="3216" spans="1:40" x14ac:dyDescent="0.25">
      <c r="A3216" t="str">
        <f>"20190312151050092"</f>
        <v>20190312151050092</v>
      </c>
      <c r="B3216" t="str">
        <f>"1552374650084397"</f>
        <v>1552374650084397</v>
      </c>
      <c r="C3216" t="s">
        <v>40</v>
      </c>
      <c r="D3216">
        <v>5.2087680000000001</v>
      </c>
      <c r="E3216">
        <v>0.51866699999999999</v>
      </c>
      <c r="F3216" t="s">
        <v>69</v>
      </c>
      <c r="G3216">
        <v>-168.41399999999999</v>
      </c>
      <c r="H3216">
        <v>4.8289869999999997</v>
      </c>
      <c r="I3216">
        <v>200.63509999999999</v>
      </c>
      <c r="J3216">
        <v>-349.25139999999999</v>
      </c>
      <c r="K3216">
        <v>1.1089089999999999</v>
      </c>
      <c r="L3216">
        <v>214.5438</v>
      </c>
      <c r="M3216">
        <v>0.99993169999999998</v>
      </c>
      <c r="N3216">
        <v>0</v>
      </c>
      <c r="O3216">
        <v>9.1542099999999994E-3</v>
      </c>
      <c r="P3216">
        <v>0.99760110000000002</v>
      </c>
      <c r="Q3216">
        <v>6.2168370000000001E-2</v>
      </c>
      <c r="R3216">
        <v>-3.045693E-2</v>
      </c>
      <c r="S3216">
        <v>2.9958800000000001</v>
      </c>
      <c r="T3216">
        <v>6.1498520000000001E-2</v>
      </c>
      <c r="U3216">
        <v>-0.22987369999999999</v>
      </c>
      <c r="V3216">
        <v>3.9625720000000003E-2</v>
      </c>
      <c r="W3216">
        <v>6.9407220000000006E-2</v>
      </c>
      <c r="X3216">
        <v>0.9968011</v>
      </c>
      <c r="Y3216">
        <v>8.5609610000000003E-2</v>
      </c>
      <c r="Z3216">
        <v>1.0649419999999999E-3</v>
      </c>
      <c r="AA3216">
        <v>0.9963282</v>
      </c>
      <c r="AB3216">
        <v>39</v>
      </c>
      <c r="AC3216">
        <v>180.8374</v>
      </c>
      <c r="AD3216">
        <v>3.720078</v>
      </c>
      <c r="AE3216">
        <v>-13.9087</v>
      </c>
      <c r="AF3216">
        <v>15.557039673158499</v>
      </c>
      <c r="AG3216">
        <v>3.720078</v>
      </c>
      <c r="AH3216">
        <v>180.626507430473</v>
      </c>
      <c r="AI3216">
        <v>88.824487142525598</v>
      </c>
      <c r="AJ3216">
        <v>85.077364630858398</v>
      </c>
      <c r="AK3216">
        <v>181.33338261403799</v>
      </c>
      <c r="AL3216">
        <v>86.020059370353493</v>
      </c>
      <c r="AM3216">
        <v>87.723526096575796</v>
      </c>
      <c r="AN3216">
        <v>0.99999999641742798</v>
      </c>
    </row>
    <row r="3217" spans="1:40" x14ac:dyDescent="0.25">
      <c r="A3217" t="str">
        <f>"20190312151050114"</f>
        <v>20190312151050114</v>
      </c>
      <c r="B3217" t="str">
        <f>"1552374650103917"</f>
        <v>1552374650103917</v>
      </c>
      <c r="C3217" t="s">
        <v>40</v>
      </c>
      <c r="D3217">
        <v>5.1404870000000003</v>
      </c>
      <c r="E3217">
        <v>0.51976699999999998</v>
      </c>
      <c r="F3217" t="s">
        <v>69</v>
      </c>
      <c r="G3217">
        <v>-168.4144</v>
      </c>
      <c r="H3217">
        <v>5.395086</v>
      </c>
      <c r="I3217">
        <v>200.08690000000001</v>
      </c>
      <c r="J3217">
        <v>-348.85169999999999</v>
      </c>
      <c r="K3217">
        <v>1.108905</v>
      </c>
      <c r="L3217">
        <v>214.54730000000001</v>
      </c>
      <c r="M3217">
        <v>0.99993370000000004</v>
      </c>
      <c r="N3217">
        <v>0</v>
      </c>
      <c r="O3217">
        <v>8.9213799999999996E-3</v>
      </c>
      <c r="P3217">
        <v>0.99753150000000002</v>
      </c>
      <c r="Q3217">
        <v>6.3531610000000002E-2</v>
      </c>
      <c r="R3217">
        <v>-2.9916580000000002E-2</v>
      </c>
      <c r="S3217">
        <v>2.9954830000000001</v>
      </c>
      <c r="T3217">
        <v>7.0999149999999997E-2</v>
      </c>
      <c r="U3217">
        <v>-0.2394714</v>
      </c>
      <c r="V3217">
        <v>3.8855979999999998E-2</v>
      </c>
      <c r="W3217">
        <v>7.0780960000000004E-2</v>
      </c>
      <c r="X3217">
        <v>0.99673480000000003</v>
      </c>
      <c r="Y3217">
        <v>8.8552790000000006E-2</v>
      </c>
      <c r="Z3217">
        <v>1.258735E-3</v>
      </c>
      <c r="AA3217">
        <v>0.99607069999999998</v>
      </c>
      <c r="AB3217">
        <v>40</v>
      </c>
      <c r="AC3217">
        <v>180.43729999999999</v>
      </c>
      <c r="AD3217">
        <v>4.286181</v>
      </c>
      <c r="AE3217">
        <v>-14.4603999999999</v>
      </c>
      <c r="AF3217">
        <v>16.060612164478101</v>
      </c>
      <c r="AG3217">
        <v>4.286181</v>
      </c>
      <c r="AH3217">
        <v>180.20007580180999</v>
      </c>
      <c r="AI3217">
        <v>88.642815691918599</v>
      </c>
      <c r="AJ3217">
        <v>84.906881845755706</v>
      </c>
      <c r="AK3217">
        <v>180.965140095104</v>
      </c>
      <c r="AL3217">
        <v>85.941155787486096</v>
      </c>
      <c r="AM3217">
        <v>87.767553683779695</v>
      </c>
      <c r="AN3217">
        <v>0.99999999650566096</v>
      </c>
    </row>
    <row r="3218" spans="1:40" x14ac:dyDescent="0.25">
      <c r="A3218" t="str">
        <f>"20190312151050136"</f>
        <v>20190312151050136</v>
      </c>
      <c r="B3218" t="str">
        <f>"1552374650124417"</f>
        <v>1552374650124417</v>
      </c>
      <c r="C3218" t="s">
        <v>40</v>
      </c>
      <c r="D3218">
        <v>4.2820879999999999</v>
      </c>
      <c r="E3218">
        <v>0.52076899999999904</v>
      </c>
      <c r="F3218" t="s">
        <v>69</v>
      </c>
      <c r="G3218">
        <v>-168.41470000000001</v>
      </c>
      <c r="H3218">
        <v>5.8199959999999997</v>
      </c>
      <c r="I3218">
        <v>199.68819999999999</v>
      </c>
      <c r="J3218">
        <v>-348.46749999999997</v>
      </c>
      <c r="K3218">
        <v>1.108878</v>
      </c>
      <c r="L3218">
        <v>214.5506</v>
      </c>
      <c r="M3218">
        <v>0.99993569999999998</v>
      </c>
      <c r="N3218">
        <v>0</v>
      </c>
      <c r="O3218">
        <v>8.666666E-3</v>
      </c>
      <c r="P3218">
        <v>0.99751659999999998</v>
      </c>
      <c r="Q3218">
        <v>6.3763680000000003E-2</v>
      </c>
      <c r="R3218">
        <v>-2.991825E-2</v>
      </c>
      <c r="S3218">
        <v>2.9950260000000002</v>
      </c>
      <c r="T3218">
        <v>7.8198669999999998E-2</v>
      </c>
      <c r="U3218">
        <v>-0.2466431</v>
      </c>
      <c r="V3218">
        <v>3.8607549999999997E-2</v>
      </c>
      <c r="W3218">
        <v>7.1022100000000005E-2</v>
      </c>
      <c r="X3218">
        <v>0.99672729999999998</v>
      </c>
      <c r="Y3218">
        <v>9.0674019999999994E-2</v>
      </c>
      <c r="Z3218">
        <v>1.4074129999999999E-3</v>
      </c>
      <c r="AA3218">
        <v>0.99587969999999904</v>
      </c>
      <c r="AB3218">
        <v>40</v>
      </c>
      <c r="AC3218">
        <v>180.052799999999</v>
      </c>
      <c r="AD3218">
        <v>4.7111179999999999</v>
      </c>
      <c r="AE3218">
        <v>-14.862399999999999</v>
      </c>
      <c r="AF3218">
        <v>16.411181654103899</v>
      </c>
      <c r="AG3218">
        <v>4.7111179999999999</v>
      </c>
      <c r="AH3218">
        <v>179.794968805336</v>
      </c>
      <c r="AI3218">
        <v>88.505248961158401</v>
      </c>
      <c r="AJ3218">
        <v>84.784653464495705</v>
      </c>
      <c r="AK3218">
        <v>180.60385467593301</v>
      </c>
      <c r="AL3218">
        <v>85.927304622466906</v>
      </c>
      <c r="AM3218">
        <v>87.781796097790604</v>
      </c>
      <c r="AN3218">
        <v>0.99999999608535095</v>
      </c>
    </row>
    <row r="3219" spans="1:40" x14ac:dyDescent="0.25">
      <c r="A3219" t="str">
        <f>"20190312151050159"</f>
        <v>20190312151050159</v>
      </c>
      <c r="B3219" t="str">
        <f>"1552374650153696"</f>
        <v>1552374650153696</v>
      </c>
      <c r="C3219" t="s">
        <v>40</v>
      </c>
      <c r="D3219">
        <v>5.1264690000000002</v>
      </c>
      <c r="E3219">
        <v>0.52139399999999902</v>
      </c>
      <c r="F3219" t="s">
        <v>69</v>
      </c>
      <c r="G3219">
        <v>-168.41480000000001</v>
      </c>
      <c r="H3219">
        <v>5.8879789999999996</v>
      </c>
      <c r="I3219">
        <v>199.2465</v>
      </c>
      <c r="J3219">
        <v>-348.06490000000002</v>
      </c>
      <c r="K3219">
        <v>1.108843</v>
      </c>
      <c r="L3219">
        <v>214.5538</v>
      </c>
      <c r="M3219">
        <v>0.99993829999999995</v>
      </c>
      <c r="N3219">
        <v>0</v>
      </c>
      <c r="O3219">
        <v>8.3591710000000003E-3</v>
      </c>
      <c r="P3219">
        <v>0.99751140000000005</v>
      </c>
      <c r="Q3219">
        <v>6.4071370000000002E-2</v>
      </c>
      <c r="R3219">
        <v>-2.942761E-2</v>
      </c>
      <c r="S3219">
        <v>2.9947509999999999</v>
      </c>
      <c r="T3219">
        <v>7.9489589999999999E-2</v>
      </c>
      <c r="U3219">
        <v>-0.25454710000000003</v>
      </c>
      <c r="V3219">
        <v>3.7816099999999998E-2</v>
      </c>
      <c r="W3219">
        <v>7.1338399999999996E-2</v>
      </c>
      <c r="X3219">
        <v>0.99673500000000004</v>
      </c>
      <c r="Y3219">
        <v>9.2983339999999998E-2</v>
      </c>
      <c r="Z3219">
        <v>1.4530529999999999E-3</v>
      </c>
      <c r="AA3219">
        <v>0.99566659999999996</v>
      </c>
      <c r="AB3219">
        <v>40</v>
      </c>
      <c r="AC3219">
        <v>179.65010000000001</v>
      </c>
      <c r="AD3219">
        <v>4.7791360000000003</v>
      </c>
      <c r="AE3219">
        <v>-15.3072999999999</v>
      </c>
      <c r="AF3219">
        <v>16.796730030171702</v>
      </c>
      <c r="AG3219">
        <v>4.7791360000000003</v>
      </c>
      <c r="AH3219">
        <v>179.38982562707901</v>
      </c>
      <c r="AI3219">
        <v>88.480583122975105</v>
      </c>
      <c r="AJ3219">
        <v>84.650844772327901</v>
      </c>
      <c r="AK3219">
        <v>180.23784236149399</v>
      </c>
      <c r="AL3219">
        <v>85.909135662016297</v>
      </c>
      <c r="AM3219">
        <v>87.827241733790004</v>
      </c>
      <c r="AN3219">
        <v>0.99999994247938295</v>
      </c>
    </row>
    <row r="3220" spans="1:40" x14ac:dyDescent="0.25">
      <c r="A3220" t="str">
        <f>"20190312151050191"</f>
        <v>20190312151050191</v>
      </c>
      <c r="B3220" t="str">
        <f>"1552374650183949"</f>
        <v>1552374650183949</v>
      </c>
      <c r="C3220" t="s">
        <v>40</v>
      </c>
      <c r="D3220">
        <v>5.3701349999999897</v>
      </c>
      <c r="E3220">
        <v>0.52196969999999998</v>
      </c>
      <c r="F3220" t="s">
        <v>69</v>
      </c>
      <c r="G3220">
        <v>-168.41489999999999</v>
      </c>
      <c r="H3220">
        <v>5.8331720000000002</v>
      </c>
      <c r="I3220">
        <v>199.06</v>
      </c>
      <c r="J3220">
        <v>-347.476</v>
      </c>
      <c r="K3220">
        <v>1.1087830000000001</v>
      </c>
      <c r="L3220">
        <v>214.5583</v>
      </c>
      <c r="M3220">
        <v>0.99994260000000001</v>
      </c>
      <c r="N3220">
        <v>0</v>
      </c>
      <c r="O3220">
        <v>7.8230799999999996E-3</v>
      </c>
      <c r="P3220">
        <v>0.99751330000000005</v>
      </c>
      <c r="Q3220">
        <v>6.3424850000000005E-2</v>
      </c>
      <c r="R3220">
        <v>-3.0738350000000001E-2</v>
      </c>
      <c r="S3220">
        <v>2.994812</v>
      </c>
      <c r="T3220">
        <v>7.8756329999999999E-2</v>
      </c>
      <c r="U3220">
        <v>-0.2582855</v>
      </c>
      <c r="V3220">
        <v>3.860123E-2</v>
      </c>
      <c r="W3220">
        <v>7.0701509999999995E-2</v>
      </c>
      <c r="X3220">
        <v>0.99675040000000004</v>
      </c>
      <c r="Y3220">
        <v>9.3682249999999995E-2</v>
      </c>
      <c r="Z3220">
        <v>1.434648E-3</v>
      </c>
      <c r="AA3220">
        <v>0.99560110000000002</v>
      </c>
      <c r="AB3220">
        <v>40</v>
      </c>
      <c r="AC3220">
        <v>179.06110000000001</v>
      </c>
      <c r="AD3220">
        <v>4.7243889999999897</v>
      </c>
      <c r="AE3220">
        <v>-15.4983</v>
      </c>
      <c r="AF3220">
        <v>16.887004467892801</v>
      </c>
      <c r="AG3220">
        <v>4.7243889999999897</v>
      </c>
      <c r="AH3220">
        <v>178.81082304088599</v>
      </c>
      <c r="AI3220">
        <v>88.493232690373802</v>
      </c>
      <c r="AJ3220">
        <v>84.604952785171307</v>
      </c>
      <c r="AK3220">
        <v>179.668587148341</v>
      </c>
      <c r="AL3220">
        <v>85.9457196248797</v>
      </c>
      <c r="AM3220">
        <v>87.782210199746899</v>
      </c>
      <c r="AN3220">
        <v>1.00000005918697</v>
      </c>
    </row>
    <row r="3221" spans="1:40" x14ac:dyDescent="0.25">
      <c r="A3221" t="str">
        <f>"20190312151050214"</f>
        <v>20190312151050214</v>
      </c>
      <c r="B3221" t="str">
        <f>"1552374650204449"</f>
        <v>1552374650204449</v>
      </c>
      <c r="C3221" t="s">
        <v>40</v>
      </c>
      <c r="D3221">
        <v>5.3656680000000003</v>
      </c>
      <c r="E3221">
        <v>0.5221633</v>
      </c>
      <c r="F3221" t="s">
        <v>69</v>
      </c>
      <c r="G3221">
        <v>-168.41489999999999</v>
      </c>
      <c r="H3221">
        <v>5.5160519999999904</v>
      </c>
      <c r="I3221">
        <v>198.6104</v>
      </c>
      <c r="J3221">
        <v>-347.07740000000001</v>
      </c>
      <c r="K3221">
        <v>1.1087320000000001</v>
      </c>
      <c r="L3221">
        <v>214.56110000000001</v>
      </c>
      <c r="M3221">
        <v>0.99994559999999999</v>
      </c>
      <c r="N3221">
        <v>0</v>
      </c>
      <c r="O3221">
        <v>7.4144459999999999E-3</v>
      </c>
      <c r="P3221">
        <v>0.99767680000000003</v>
      </c>
      <c r="Q3221">
        <v>5.998626E-2</v>
      </c>
      <c r="R3221">
        <v>-3.2296619999999998E-2</v>
      </c>
      <c r="S3221">
        <v>2.9945680000000001</v>
      </c>
      <c r="T3221">
        <v>7.3706510000000003E-2</v>
      </c>
      <c r="U3221">
        <v>-0.26670840000000001</v>
      </c>
      <c r="V3221">
        <v>3.9756270000000003E-2</v>
      </c>
      <c r="W3221">
        <v>6.7270289999999996E-2</v>
      </c>
      <c r="X3221">
        <v>0.99694240000000001</v>
      </c>
      <c r="Y3221">
        <v>9.6064780000000002E-2</v>
      </c>
      <c r="Z3221">
        <v>1.3618529999999999E-3</v>
      </c>
      <c r="AA3221">
        <v>0.99537410000000004</v>
      </c>
      <c r="AB3221">
        <v>40</v>
      </c>
      <c r="AC3221">
        <v>178.66249999999999</v>
      </c>
      <c r="AD3221">
        <v>4.4073200000000003</v>
      </c>
      <c r="AE3221">
        <v>-15.950699999999999</v>
      </c>
      <c r="AF3221">
        <v>17.264557709856099</v>
      </c>
      <c r="AG3221">
        <v>4.4073200000000003</v>
      </c>
      <c r="AH3221">
        <v>178.431597529963</v>
      </c>
      <c r="AI3221">
        <v>88.591637335388796</v>
      </c>
      <c r="AJ3221">
        <v>84.473419403163902</v>
      </c>
      <c r="AK3221">
        <v>179.31905760290499</v>
      </c>
      <c r="AL3221">
        <v>86.142783389327093</v>
      </c>
      <c r="AM3221">
        <v>87.7163573782898</v>
      </c>
      <c r="AN3221">
        <v>1.0000000009193699</v>
      </c>
    </row>
    <row r="3222" spans="1:40" x14ac:dyDescent="0.25">
      <c r="A3222" t="str">
        <f>"20190312151050236"</f>
        <v>20190312151050236</v>
      </c>
      <c r="B3222" t="str">
        <f>"1552374650223965"</f>
        <v>1552374650223965</v>
      </c>
      <c r="C3222" t="s">
        <v>40</v>
      </c>
      <c r="D3222">
        <v>5.3594749999999998</v>
      </c>
      <c r="E3222">
        <v>0.52235589999999998</v>
      </c>
      <c r="F3222" t="s">
        <v>69</v>
      </c>
      <c r="G3222">
        <v>-168.41480000000001</v>
      </c>
      <c r="H3222">
        <v>4.9340270000000004</v>
      </c>
      <c r="I3222">
        <v>198.28020000000001</v>
      </c>
      <c r="J3222">
        <v>-346.6764</v>
      </c>
      <c r="K3222">
        <v>1.1086849999999999</v>
      </c>
      <c r="L3222">
        <v>214.56370000000001</v>
      </c>
      <c r="M3222">
        <v>0.99994879999999997</v>
      </c>
      <c r="N3222">
        <v>0</v>
      </c>
      <c r="O3222">
        <v>6.9673879999999997E-3</v>
      </c>
      <c r="P3222">
        <v>0.99779830000000003</v>
      </c>
      <c r="Q3222">
        <v>5.6908210000000001E-2</v>
      </c>
      <c r="R3222">
        <v>-3.4059560000000003E-2</v>
      </c>
      <c r="S3222">
        <v>2.9942929999999999</v>
      </c>
      <c r="T3222">
        <v>6.4110520000000004E-2</v>
      </c>
      <c r="U3222">
        <v>-0.27285769999999998</v>
      </c>
      <c r="V3222">
        <v>4.1076639999999998E-2</v>
      </c>
      <c r="W3222">
        <v>6.419801E-2</v>
      </c>
      <c r="X3222">
        <v>0.99709139999999996</v>
      </c>
      <c r="Y3222">
        <v>9.7662730000000003E-2</v>
      </c>
      <c r="Z3222">
        <v>1.192111E-3</v>
      </c>
      <c r="AA3222">
        <v>0.99521890000000002</v>
      </c>
      <c r="AB3222">
        <v>40</v>
      </c>
      <c r="AC3222">
        <v>178.26159999999999</v>
      </c>
      <c r="AD3222">
        <v>3.8253419999999898</v>
      </c>
      <c r="AE3222">
        <v>-16.2835</v>
      </c>
      <c r="AF3222">
        <v>17.5171561020993</v>
      </c>
      <c r="AG3222">
        <v>3.8253419999999898</v>
      </c>
      <c r="AH3222">
        <v>178.06249802299399</v>
      </c>
      <c r="AI3222">
        <v>88.775206565722101</v>
      </c>
      <c r="AJ3222">
        <v>84.381523243620293</v>
      </c>
      <c r="AK3222">
        <v>178.96294924232501</v>
      </c>
      <c r="AL3222">
        <v>86.319193558673902</v>
      </c>
      <c r="AM3222">
        <v>87.640950429066507</v>
      </c>
      <c r="AN3222">
        <v>0.99999996739780395</v>
      </c>
    </row>
    <row r="3223" spans="1:40" x14ac:dyDescent="0.25">
      <c r="A3223" t="str">
        <f>"20190312151050260"</f>
        <v>20190312151050260</v>
      </c>
      <c r="B3223" t="str">
        <f>"1552374650254221"</f>
        <v>1552374650254221</v>
      </c>
      <c r="C3223" t="s">
        <v>40</v>
      </c>
      <c r="D3223">
        <v>5.3725209999999999</v>
      </c>
      <c r="E3223">
        <v>0.52252379999999998</v>
      </c>
      <c r="F3223" t="s">
        <v>69</v>
      </c>
      <c r="G3223">
        <v>-168.41480000000001</v>
      </c>
      <c r="H3223">
        <v>4.4236800000000001</v>
      </c>
      <c r="I3223">
        <v>197.91480000000001</v>
      </c>
      <c r="J3223">
        <v>-346.26690000000002</v>
      </c>
      <c r="K3223">
        <v>1.108643</v>
      </c>
      <c r="L3223">
        <v>214.56610000000001</v>
      </c>
      <c r="M3223">
        <v>0.99995199999999995</v>
      </c>
      <c r="N3223">
        <v>0</v>
      </c>
      <c r="O3223">
        <v>6.4791140000000002E-3</v>
      </c>
      <c r="P3223">
        <v>0.99782660000000001</v>
      </c>
      <c r="Q3223">
        <v>5.5248899999999997E-2</v>
      </c>
      <c r="R3223">
        <v>-3.5912109999999997E-2</v>
      </c>
      <c r="S3223">
        <v>2.9938959999999999</v>
      </c>
      <c r="T3223">
        <v>5.5675750000000003E-2</v>
      </c>
      <c r="U3223">
        <v>-0.27961730000000001</v>
      </c>
      <c r="V3223">
        <v>4.2445099999999999E-2</v>
      </c>
      <c r="W3223">
        <v>6.2545279999999995E-2</v>
      </c>
      <c r="X3223">
        <v>0.9971392</v>
      </c>
      <c r="Y3223">
        <v>9.9422209999999997E-2</v>
      </c>
      <c r="Z3223">
        <v>1.0425899999999999E-3</v>
      </c>
      <c r="AA3223">
        <v>0.99504479999999995</v>
      </c>
      <c r="AB3223">
        <v>40</v>
      </c>
      <c r="AC3223">
        <v>177.85210000000001</v>
      </c>
      <c r="AD3223">
        <v>3.3150369999999998</v>
      </c>
      <c r="AE3223">
        <v>-16.6512999999999</v>
      </c>
      <c r="AF3223">
        <v>17.7971762080163</v>
      </c>
      <c r="AG3223">
        <v>3.3150369999999998</v>
      </c>
      <c r="AH3223">
        <v>177.67928465003399</v>
      </c>
      <c r="AI3223">
        <v>88.936453310373196</v>
      </c>
      <c r="AJ3223">
        <v>84.280068951340198</v>
      </c>
      <c r="AK3223">
        <v>178.59915213975199</v>
      </c>
      <c r="AL3223">
        <v>86.414079011494294</v>
      </c>
      <c r="AM3223">
        <v>87.562569145205998</v>
      </c>
      <c r="AN3223">
        <v>1.0000000413704599</v>
      </c>
    </row>
    <row r="3224" spans="1:40" x14ac:dyDescent="0.25">
      <c r="A3224" t="str">
        <f>"20190312151050281"</f>
        <v>20190312151050281</v>
      </c>
      <c r="B3224" t="str">
        <f>"1552374650273742"</f>
        <v>1552374650273742</v>
      </c>
      <c r="C3224" t="s">
        <v>40</v>
      </c>
      <c r="D3224">
        <v>5.4234039999999997</v>
      </c>
      <c r="E3224">
        <v>0.52268800000000004</v>
      </c>
      <c r="F3224" t="s">
        <v>69</v>
      </c>
      <c r="G3224">
        <v>-168.41480000000001</v>
      </c>
      <c r="H3224">
        <v>4.1111630000000003</v>
      </c>
      <c r="I3224">
        <v>197.5531</v>
      </c>
      <c r="J3224">
        <v>-345.85829999999999</v>
      </c>
      <c r="K3224">
        <v>1.108611</v>
      </c>
      <c r="L3224">
        <v>214.5684</v>
      </c>
      <c r="M3224">
        <v>0.99995489999999998</v>
      </c>
      <c r="N3224">
        <v>0</v>
      </c>
      <c r="O3224">
        <v>5.970085E-3</v>
      </c>
      <c r="P3224">
        <v>0.99775389999999997</v>
      </c>
      <c r="Q3224">
        <v>5.5296619999999998E-2</v>
      </c>
      <c r="R3224">
        <v>-3.780882E-2</v>
      </c>
      <c r="S3224">
        <v>2.993439</v>
      </c>
      <c r="T3224">
        <v>5.0536159999999997E-2</v>
      </c>
      <c r="U3224">
        <v>-0.2863464</v>
      </c>
      <c r="V3224">
        <v>4.3837550000000003E-2</v>
      </c>
      <c r="W3224">
        <v>6.2597630000000001E-2</v>
      </c>
      <c r="X3224">
        <v>0.99707559999999995</v>
      </c>
      <c r="Y3224">
        <v>0.1011497</v>
      </c>
      <c r="Z3224">
        <v>9.5237689999999999E-4</v>
      </c>
      <c r="AA3224">
        <v>0.99487080000000006</v>
      </c>
      <c r="AB3224">
        <v>40</v>
      </c>
      <c r="AC3224">
        <v>177.44349999999901</v>
      </c>
      <c r="AD3224">
        <v>3.0025520000000001</v>
      </c>
      <c r="AE3224">
        <v>-17.0152999999999</v>
      </c>
      <c r="AF3224">
        <v>18.069251869459698</v>
      </c>
      <c r="AG3224">
        <v>3.0025520000000001</v>
      </c>
      <c r="AH3224">
        <v>177.28845223729201</v>
      </c>
      <c r="AI3224">
        <v>89.034732675009593</v>
      </c>
      <c r="AJ3224">
        <v>84.180504885731494</v>
      </c>
      <c r="AK3224">
        <v>178.232175766132</v>
      </c>
      <c r="AL3224">
        <v>86.411073443228702</v>
      </c>
      <c r="AM3224">
        <v>87.482547882509095</v>
      </c>
      <c r="AN3224">
        <v>0.99999997309348898</v>
      </c>
    </row>
    <row r="3225" spans="1:40" x14ac:dyDescent="0.25">
      <c r="A3225" t="str">
        <f>"20190312151050303"</f>
        <v>20190312151050303</v>
      </c>
      <c r="B3225" t="str">
        <f>"1552374650294238"</f>
        <v>1552374650294238</v>
      </c>
      <c r="C3225" t="s">
        <v>40</v>
      </c>
      <c r="D3225">
        <v>5.2311019999999999</v>
      </c>
      <c r="E3225">
        <v>0.52271449999999997</v>
      </c>
      <c r="F3225" t="s">
        <v>69</v>
      </c>
      <c r="G3225">
        <v>-168.41489999999999</v>
      </c>
      <c r="H3225">
        <v>4.1389129999999996</v>
      </c>
      <c r="I3225">
        <v>197.16650000000001</v>
      </c>
      <c r="J3225">
        <v>-345.46039999999999</v>
      </c>
      <c r="K3225">
        <v>1.108589</v>
      </c>
      <c r="L3225">
        <v>214.57040000000001</v>
      </c>
      <c r="M3225">
        <v>0.99995789999999996</v>
      </c>
      <c r="N3225">
        <v>0</v>
      </c>
      <c r="O3225">
        <v>5.4609860000000001E-3</v>
      </c>
      <c r="P3225">
        <v>0.99767209999999995</v>
      </c>
      <c r="Q3225">
        <v>5.6248010000000001E-2</v>
      </c>
      <c r="R3225">
        <v>-3.8555190000000003E-2</v>
      </c>
      <c r="S3225">
        <v>2.9927980000000001</v>
      </c>
      <c r="T3225">
        <v>5.1110269999999999E-2</v>
      </c>
      <c r="U3225">
        <v>-0.29350279999999901</v>
      </c>
      <c r="V3225">
        <v>4.4080040000000001E-2</v>
      </c>
      <c r="W3225">
        <v>6.3555120000000007E-2</v>
      </c>
      <c r="X3225">
        <v>0.99700440000000001</v>
      </c>
      <c r="Y3225">
        <v>0.1030194</v>
      </c>
      <c r="Z3225">
        <v>9.7054159999999999E-4</v>
      </c>
      <c r="AA3225">
        <v>0.99467890000000003</v>
      </c>
      <c r="AB3225">
        <v>40</v>
      </c>
      <c r="AC3225">
        <v>177.0455</v>
      </c>
      <c r="AD3225">
        <v>3.0303239999999998</v>
      </c>
      <c r="AE3225">
        <v>-17.403899999999901</v>
      </c>
      <c r="AF3225">
        <v>18.365180985199601</v>
      </c>
      <c r="AG3225">
        <v>3.0303239999999998</v>
      </c>
      <c r="AH3225">
        <v>176.89648723491601</v>
      </c>
      <c r="AI3225">
        <v>89.023836642613006</v>
      </c>
      <c r="AJ3225">
        <v>84.072855011049398</v>
      </c>
      <c r="AK3225">
        <v>177.87307253268199</v>
      </c>
      <c r="AL3225">
        <v>86.356104081216898</v>
      </c>
      <c r="AM3225">
        <v>87.468459972222107</v>
      </c>
      <c r="AN3225">
        <v>1.00000003841198</v>
      </c>
    </row>
    <row r="3226" spans="1:40" x14ac:dyDescent="0.25">
      <c r="A3226" t="str">
        <f>"20190312151050326"</f>
        <v>20190312151050326</v>
      </c>
      <c r="B3226" t="str">
        <f>"1552374650324494"</f>
        <v>1552374650324494</v>
      </c>
      <c r="C3226" t="s">
        <v>40</v>
      </c>
      <c r="D3226">
        <v>6.1088750000000003</v>
      </c>
      <c r="E3226">
        <v>0.5319931</v>
      </c>
      <c r="F3226" t="s">
        <v>69</v>
      </c>
      <c r="G3226">
        <v>-168.41499999999999</v>
      </c>
      <c r="H3226">
        <v>4.2756420000000004</v>
      </c>
      <c r="I3226">
        <v>197.0753</v>
      </c>
      <c r="J3226">
        <v>-345.05079999999998</v>
      </c>
      <c r="K3226">
        <v>1.1085830000000001</v>
      </c>
      <c r="L3226">
        <v>214.57220000000001</v>
      </c>
      <c r="M3226">
        <v>0.99996059999999998</v>
      </c>
      <c r="N3226">
        <v>0</v>
      </c>
      <c r="O3226">
        <v>4.929742E-3</v>
      </c>
      <c r="P3226">
        <v>0.99756500000000004</v>
      </c>
      <c r="Q3226">
        <v>5.8509890000000002E-2</v>
      </c>
      <c r="R3226">
        <v>-3.7961509999999997E-2</v>
      </c>
      <c r="S3226">
        <v>2.9925540000000002</v>
      </c>
      <c r="T3226">
        <v>5.353248E-2</v>
      </c>
      <c r="U3226">
        <v>-0.29571530000000001</v>
      </c>
      <c r="V3226">
        <v>4.2961480000000003E-2</v>
      </c>
      <c r="W3226">
        <v>6.5825339999999996E-2</v>
      </c>
      <c r="X3226">
        <v>0.99690590000000001</v>
      </c>
      <c r="Y3226">
        <v>0.1032257</v>
      </c>
      <c r="Z3226">
        <v>1.008936E-3</v>
      </c>
      <c r="AA3226">
        <v>0.99465749999999997</v>
      </c>
      <c r="AB3226">
        <v>40</v>
      </c>
      <c r="AC3226">
        <v>176.63579999999999</v>
      </c>
      <c r="AD3226">
        <v>3.1670589999999899</v>
      </c>
      <c r="AE3226">
        <v>-17.4969</v>
      </c>
      <c r="AF3226">
        <v>18.3616344760392</v>
      </c>
      <c r="AG3226">
        <v>3.1670589999999899</v>
      </c>
      <c r="AH3226">
        <v>176.49120879166799</v>
      </c>
      <c r="AI3226">
        <v>88.977479822214804</v>
      </c>
      <c r="AJ3226">
        <v>84.060480679192594</v>
      </c>
      <c r="AK3226">
        <v>177.47204473968699</v>
      </c>
      <c r="AL3226">
        <v>86.225756933302193</v>
      </c>
      <c r="AM3226">
        <v>87.532375551577601</v>
      </c>
      <c r="AN3226">
        <v>1.0000000188023499</v>
      </c>
    </row>
    <row r="3227" spans="1:40" x14ac:dyDescent="0.25">
      <c r="A3227" t="str">
        <f>"20190312151050347"</f>
        <v>20190312151050347</v>
      </c>
      <c r="B3227" t="str">
        <f>"1552374650344013"</f>
        <v>1552374650344013</v>
      </c>
      <c r="C3227" t="s">
        <v>40</v>
      </c>
      <c r="D3227">
        <v>5.4559410000000002</v>
      </c>
      <c r="E3227">
        <v>0.52925979999999995</v>
      </c>
      <c r="F3227" t="s">
        <v>41</v>
      </c>
      <c r="G3227">
        <v>-344.10120000000001</v>
      </c>
      <c r="H3227">
        <v>1.049169</v>
      </c>
      <c r="I3227">
        <v>214.4563</v>
      </c>
      <c r="J3227">
        <v>-344.65640000000002</v>
      </c>
      <c r="K3227">
        <v>1.1085719999999999</v>
      </c>
      <c r="L3227">
        <v>214.57380000000001</v>
      </c>
      <c r="M3227">
        <v>0.99996289999999999</v>
      </c>
      <c r="N3227">
        <v>0</v>
      </c>
      <c r="O3227">
        <v>4.414744E-3</v>
      </c>
      <c r="P3227">
        <v>0.99742140000000001</v>
      </c>
      <c r="Q3227">
        <v>6.2115570000000002E-2</v>
      </c>
      <c r="R3227">
        <v>-3.595102E-2</v>
      </c>
      <c r="S3227">
        <v>3.0044249999999999</v>
      </c>
      <c r="T3227">
        <v>-0.18811020000000001</v>
      </c>
      <c r="U3227">
        <v>-0.36576839999999999</v>
      </c>
      <c r="V3227">
        <v>4.0443809999999997E-2</v>
      </c>
      <c r="W3227">
        <v>6.9440539999999995E-2</v>
      </c>
      <c r="X3227">
        <v>0.99676589999999998</v>
      </c>
      <c r="Y3227">
        <v>0.1249826</v>
      </c>
      <c r="Z3227">
        <v>-4.169636E-3</v>
      </c>
      <c r="AA3227">
        <v>0.99215019999999998</v>
      </c>
      <c r="AB3227">
        <v>41</v>
      </c>
      <c r="AC3227">
        <v>0.55520000000001302</v>
      </c>
      <c r="AD3227">
        <v>-5.9402999999999803E-2</v>
      </c>
      <c r="AE3227">
        <v>-0.117500000000006</v>
      </c>
      <c r="AF3227">
        <v>0.118649948249318</v>
      </c>
      <c r="AG3227">
        <v>-5.9402999999999803E-2</v>
      </c>
      <c r="AH3227">
        <v>0.54866416599698697</v>
      </c>
      <c r="AI3227">
        <v>96.040689052145794</v>
      </c>
      <c r="AJ3227">
        <v>77.797550146144602</v>
      </c>
      <c r="AK3227">
        <v>0.56448108354287296</v>
      </c>
      <c r="AL3227">
        <v>86.018145571780195</v>
      </c>
      <c r="AM3227">
        <v>87.676496342327098</v>
      </c>
      <c r="AN3227">
        <v>0.99999997488280801</v>
      </c>
    </row>
    <row r="3228" spans="1:40" x14ac:dyDescent="0.25">
      <c r="A3228" t="str">
        <f>"20190312151050370"</f>
        <v>20190312151050370</v>
      </c>
      <c r="B3228" t="str">
        <f>"1552374650364510"</f>
        <v>1552374650364510</v>
      </c>
      <c r="C3228" t="s">
        <v>40</v>
      </c>
      <c r="D3228">
        <v>5.2628339999999998</v>
      </c>
      <c r="E3228">
        <v>0.52762640000000005</v>
      </c>
      <c r="F3228" t="s">
        <v>61</v>
      </c>
      <c r="G3228">
        <v>-312.21850000000001</v>
      </c>
      <c r="H3228" s="1">
        <v>1.8894489999999999E-6</v>
      </c>
      <c r="I3228">
        <v>210.9177</v>
      </c>
      <c r="J3228">
        <v>-344.25229999999999</v>
      </c>
      <c r="K3228">
        <v>1.108563</v>
      </c>
      <c r="L3228">
        <v>214.5752</v>
      </c>
      <c r="M3228">
        <v>0.99996510000000005</v>
      </c>
      <c r="N3228">
        <v>0</v>
      </c>
      <c r="O3228">
        <v>3.885814E-3</v>
      </c>
      <c r="P3228">
        <v>0.99733179999999999</v>
      </c>
      <c r="Q3228">
        <v>6.5369369999999996E-2</v>
      </c>
      <c r="R3228">
        <v>-3.2506210000000001E-2</v>
      </c>
      <c r="S3228">
        <v>3.0019529999999999</v>
      </c>
      <c r="T3228">
        <v>-0.102592</v>
      </c>
      <c r="U3228">
        <v>-0.33834839999999999</v>
      </c>
      <c r="V3228">
        <v>3.6477820000000001E-2</v>
      </c>
      <c r="W3228">
        <v>7.2706690000000004E-2</v>
      </c>
      <c r="X3228">
        <v>0.99668599999999996</v>
      </c>
      <c r="Y3228">
        <v>0.1157919</v>
      </c>
      <c r="Z3228">
        <v>-2.1041359999999999E-3</v>
      </c>
      <c r="AA3228">
        <v>0.99327129999999997</v>
      </c>
      <c r="AB3228">
        <v>41</v>
      </c>
      <c r="AC3228">
        <v>32.0337999999999</v>
      </c>
      <c r="AD3228">
        <v>-1.108561110551</v>
      </c>
      <c r="AE3228">
        <v>-3.65749999999999</v>
      </c>
      <c r="AF3228">
        <v>3.7774875718790302</v>
      </c>
      <c r="AG3228">
        <v>-1.108561110551</v>
      </c>
      <c r="AH3228">
        <v>31.981537991646501</v>
      </c>
      <c r="AI3228">
        <v>91.9715281196479</v>
      </c>
      <c r="AJ3228">
        <v>83.263740424717795</v>
      </c>
      <c r="AK3228">
        <v>32.222928054456098</v>
      </c>
      <c r="AL3228">
        <v>85.830534264435101</v>
      </c>
      <c r="AM3228">
        <v>87.903961038363406</v>
      </c>
      <c r="AN3228">
        <v>0.99999993835935197</v>
      </c>
    </row>
    <row r="3229" spans="1:40" x14ac:dyDescent="0.25">
      <c r="A3229" t="str">
        <f>"20190312151050392"</f>
        <v>20190312151050392</v>
      </c>
      <c r="B3229" t="str">
        <f>"1552374650384029"</f>
        <v>1552374650384029</v>
      </c>
      <c r="C3229" t="s">
        <v>40</v>
      </c>
      <c r="D3229">
        <v>5.2704199999999997</v>
      </c>
      <c r="E3229">
        <v>0.52634809999999999</v>
      </c>
      <c r="F3229" t="s">
        <v>61</v>
      </c>
      <c r="G3229">
        <v>-288.87729999999999</v>
      </c>
      <c r="H3229">
        <v>4.2880889999999998E-2</v>
      </c>
      <c r="I3229">
        <v>208.7698</v>
      </c>
      <c r="J3229">
        <v>-343.83800000000002</v>
      </c>
      <c r="K3229">
        <v>1.108557</v>
      </c>
      <c r="L3229">
        <v>214.57640000000001</v>
      </c>
      <c r="M3229">
        <v>0.99996700000000005</v>
      </c>
      <c r="N3229">
        <v>0</v>
      </c>
      <c r="O3229">
        <v>3.3430700000000001E-3</v>
      </c>
      <c r="P3229">
        <v>0.99726159999999997</v>
      </c>
      <c r="Q3229">
        <v>6.7964289999999997E-2</v>
      </c>
      <c r="R3229">
        <v>-2.9169489999999999E-2</v>
      </c>
      <c r="S3229">
        <v>3.0015869999999998</v>
      </c>
      <c r="T3229">
        <v>-5.7765009999999999E-2</v>
      </c>
      <c r="U3229">
        <v>-0.31468200000000002</v>
      </c>
      <c r="V3229">
        <v>3.2605339999999997E-2</v>
      </c>
      <c r="W3229">
        <v>7.5314980000000004E-2</v>
      </c>
      <c r="X3229">
        <v>0.99662660000000003</v>
      </c>
      <c r="Y3229">
        <v>0.1075711</v>
      </c>
      <c r="Z3229">
        <v>-1.09633E-3</v>
      </c>
      <c r="AA3229">
        <v>0.99419679999999999</v>
      </c>
      <c r="AB3229">
        <v>41</v>
      </c>
      <c r="AC3229">
        <v>54.960700000000003</v>
      </c>
      <c r="AD3229">
        <v>-1.0656761100000001</v>
      </c>
      <c r="AE3229">
        <v>-5.8066000000000004</v>
      </c>
      <c r="AF3229">
        <v>5.9880836038101801</v>
      </c>
      <c r="AG3229">
        <v>-1.0656761100000001</v>
      </c>
      <c r="AH3229">
        <v>54.920560246603799</v>
      </c>
      <c r="AI3229">
        <v>91.105077767185804</v>
      </c>
      <c r="AJ3229">
        <v>83.777521886705401</v>
      </c>
      <c r="AK3229">
        <v>55.256318630709401</v>
      </c>
      <c r="AL3229">
        <v>85.680679557096099</v>
      </c>
      <c r="AM3229">
        <v>88.126196616179101</v>
      </c>
      <c r="AN3229">
        <v>1.0000000171182299</v>
      </c>
    </row>
    <row r="3230" spans="1:40" x14ac:dyDescent="0.25">
      <c r="A3230" t="str">
        <f>"20190312151050414"</f>
        <v>20190312151050414</v>
      </c>
      <c r="B3230" t="str">
        <f>"1552374650404529"</f>
        <v>1552374650404529</v>
      </c>
      <c r="C3230" t="s">
        <v>40</v>
      </c>
      <c r="D3230">
        <v>5.2715079999999999</v>
      </c>
      <c r="E3230">
        <v>0.52683559999999996</v>
      </c>
      <c r="F3230" t="s">
        <v>43</v>
      </c>
      <c r="G3230">
        <v>-220.88149999999999</v>
      </c>
      <c r="H3230">
        <v>-0.05</v>
      </c>
      <c r="I3230">
        <v>202.52930000000001</v>
      </c>
      <c r="J3230">
        <v>-343.44409999999999</v>
      </c>
      <c r="K3230">
        <v>1.108557</v>
      </c>
      <c r="L3230">
        <v>214.57740000000001</v>
      </c>
      <c r="M3230">
        <v>0.99996850000000004</v>
      </c>
      <c r="N3230">
        <v>0</v>
      </c>
      <c r="O3230">
        <v>2.8281700000000001E-3</v>
      </c>
      <c r="P3230">
        <v>0.99729469999999998</v>
      </c>
      <c r="Q3230">
        <v>6.8778400000000003E-2</v>
      </c>
      <c r="R3230">
        <v>-2.594894E-2</v>
      </c>
      <c r="S3230">
        <v>3.0014949999999998</v>
      </c>
      <c r="T3230">
        <v>-2.8281569999999999E-2</v>
      </c>
      <c r="U3230">
        <v>-0.29408260000000003</v>
      </c>
      <c r="V3230">
        <v>2.8874489999999999E-2</v>
      </c>
      <c r="W3230">
        <v>7.6145599999999994E-2</v>
      </c>
      <c r="X3230">
        <v>0.99667850000000002</v>
      </c>
      <c r="Y3230">
        <v>0.1003216</v>
      </c>
      <c r="Z3230">
        <v>-4.9808640000000004E-4</v>
      </c>
      <c r="AA3230">
        <v>0.99495489999999998</v>
      </c>
      <c r="AB3230">
        <v>41</v>
      </c>
      <c r="AC3230">
        <v>122.5626</v>
      </c>
      <c r="AD3230">
        <v>-1.1585570000000001</v>
      </c>
      <c r="AE3230">
        <v>-12.0481</v>
      </c>
      <c r="AF3230">
        <v>12.3935923841941</v>
      </c>
      <c r="AG3230">
        <v>-1.1585570000000001</v>
      </c>
      <c r="AH3230">
        <v>122.51719205019999</v>
      </c>
      <c r="AI3230">
        <v>90.539038056300797</v>
      </c>
      <c r="AJ3230">
        <v>84.223723625958996</v>
      </c>
      <c r="AK3230">
        <v>123.147901867524</v>
      </c>
      <c r="AL3230">
        <v>85.632951229362703</v>
      </c>
      <c r="AM3230">
        <v>88.340564382559194</v>
      </c>
      <c r="AN3230">
        <v>0.99999996046718398</v>
      </c>
    </row>
    <row r="3231" spans="1:40" x14ac:dyDescent="0.25">
      <c r="A3231" t="str">
        <f>"20190312151050436"</f>
        <v>20190312151050436</v>
      </c>
      <c r="B3231" t="str">
        <f>"1552374650433805"</f>
        <v>1552374650433805</v>
      </c>
      <c r="C3231" t="s">
        <v>40</v>
      </c>
      <c r="D3231">
        <v>5.3287519999999997</v>
      </c>
      <c r="E3231">
        <v>0.49650549999999999</v>
      </c>
      <c r="F3231" t="s">
        <v>69</v>
      </c>
      <c r="G3231">
        <v>-168.4134</v>
      </c>
      <c r="H3231">
        <v>5.5876729999999999E-2</v>
      </c>
      <c r="I3231">
        <v>197.79</v>
      </c>
      <c r="J3231">
        <v>-343.02519999999998</v>
      </c>
      <c r="K3231">
        <v>1.1085510000000001</v>
      </c>
      <c r="L3231">
        <v>214.57820000000001</v>
      </c>
      <c r="M3231">
        <v>0.99996969999999996</v>
      </c>
      <c r="N3231">
        <v>0</v>
      </c>
      <c r="O3231">
        <v>2.2814889999999998E-3</v>
      </c>
      <c r="P3231">
        <v>0.9972472</v>
      </c>
      <c r="Q3231">
        <v>7.0235080000000005E-2</v>
      </c>
      <c r="R3231">
        <v>-2.3778090000000002E-2</v>
      </c>
      <c r="S3231">
        <v>3.0019230000000001</v>
      </c>
      <c r="T3231">
        <v>-1.805377E-2</v>
      </c>
      <c r="U3231">
        <v>-0.28791809999999901</v>
      </c>
      <c r="V3231">
        <v>2.6162210000000002E-2</v>
      </c>
      <c r="W3231">
        <v>7.7621330000000002E-2</v>
      </c>
      <c r="X3231">
        <v>0.99663959999999996</v>
      </c>
      <c r="Y3231">
        <v>9.7742190000000007E-2</v>
      </c>
      <c r="Z3231">
        <v>-3.0692890000000002E-4</v>
      </c>
      <c r="AA3231">
        <v>0.99521170000000003</v>
      </c>
      <c r="AB3231">
        <v>41</v>
      </c>
      <c r="AC3231">
        <v>174.61179999999999</v>
      </c>
      <c r="AD3231">
        <v>-1.05267427</v>
      </c>
      <c r="AE3231">
        <v>-16.7882</v>
      </c>
      <c r="AF3231">
        <v>17.185923344037501</v>
      </c>
      <c r="AG3231">
        <v>-1.05267427</v>
      </c>
      <c r="AH3231">
        <v>174.566755915226</v>
      </c>
      <c r="AI3231">
        <v>90.343839196629801</v>
      </c>
      <c r="AJ3231">
        <v>84.377405944844497</v>
      </c>
      <c r="AK3231">
        <v>175.413843111289</v>
      </c>
      <c r="AL3231">
        <v>85.548147335267203</v>
      </c>
      <c r="AM3231">
        <v>88.4963069408292</v>
      </c>
      <c r="AN3231">
        <v>1.0000000121956001</v>
      </c>
    </row>
    <row r="3232" spans="1:40" x14ac:dyDescent="0.25">
      <c r="A3232" t="str">
        <f>"20190312151050460"</f>
        <v>20190312151050460</v>
      </c>
      <c r="B3232" t="str">
        <f>"1552374650454302"</f>
        <v>1552374650454302</v>
      </c>
      <c r="C3232" t="s">
        <v>40</v>
      </c>
      <c r="D3232">
        <v>5.327032</v>
      </c>
      <c r="E3232">
        <v>0.49698130000000001</v>
      </c>
      <c r="F3232" t="s">
        <v>70</v>
      </c>
      <c r="G3232">
        <v>-109.68</v>
      </c>
      <c r="H3232">
        <v>7.6331800000000003</v>
      </c>
      <c r="I3232">
        <v>211.3811</v>
      </c>
      <c r="J3232">
        <v>-342.60890000000001</v>
      </c>
      <c r="K3232">
        <v>1.1085469999999999</v>
      </c>
      <c r="L3232">
        <v>214.5787</v>
      </c>
      <c r="M3232">
        <v>0.99997060000000004</v>
      </c>
      <c r="N3232">
        <v>0</v>
      </c>
      <c r="O3232">
        <v>1.7385160000000001E-3</v>
      </c>
      <c r="P3232">
        <v>0.9971892</v>
      </c>
      <c r="Q3232">
        <v>7.0981580000000002E-2</v>
      </c>
      <c r="R3232">
        <v>-2.3989610000000001E-2</v>
      </c>
      <c r="S3232">
        <v>3.001465</v>
      </c>
      <c r="T3232">
        <v>8.3925369999999999E-2</v>
      </c>
      <c r="U3232">
        <v>-4.1122440000000003E-2</v>
      </c>
      <c r="V3232">
        <v>2.583469E-2</v>
      </c>
      <c r="W3232">
        <v>7.8384330000000002E-2</v>
      </c>
      <c r="X3232">
        <v>0.99658840000000004</v>
      </c>
      <c r="Y3232">
        <v>1.5431179999999999E-2</v>
      </c>
      <c r="Z3232">
        <v>2.6428809999999998E-4</v>
      </c>
      <c r="AA3232">
        <v>0.99988089999999996</v>
      </c>
      <c r="AB3232">
        <v>41</v>
      </c>
      <c r="AC3232">
        <v>232.9289</v>
      </c>
      <c r="AD3232">
        <v>6.5246329999999997</v>
      </c>
      <c r="AE3232">
        <v>-3.1975999999999898</v>
      </c>
      <c r="AF3232">
        <v>3.59973315104012</v>
      </c>
      <c r="AG3232">
        <v>6.5246329999999997</v>
      </c>
      <c r="AH3232">
        <v>232.740407824367</v>
      </c>
      <c r="AI3232">
        <v>88.3943854872999</v>
      </c>
      <c r="AJ3232">
        <v>89.113892276392306</v>
      </c>
      <c r="AK3232">
        <v>232.85967093680301</v>
      </c>
      <c r="AL3232">
        <v>85.504296934328806</v>
      </c>
      <c r="AM3232">
        <v>88.515046670815295</v>
      </c>
      <c r="AN3232">
        <v>0.99999998670575196</v>
      </c>
    </row>
    <row r="3233" spans="1:40" x14ac:dyDescent="0.25">
      <c r="A3233" t="str">
        <f>"20190312151050484"</f>
        <v>20190312151050484</v>
      </c>
      <c r="B3233" t="str">
        <f>"1552374650473821"</f>
        <v>1552374650473821</v>
      </c>
      <c r="C3233" t="s">
        <v>40</v>
      </c>
      <c r="D3233">
        <v>5.2720269999999996</v>
      </c>
      <c r="E3233">
        <v>0.4977258</v>
      </c>
      <c r="F3233" t="s">
        <v>70</v>
      </c>
      <c r="G3233">
        <v>-107.39749999999999</v>
      </c>
      <c r="H3233">
        <v>6.7722860000000003</v>
      </c>
      <c r="I3233">
        <v>211.03890000000001</v>
      </c>
      <c r="J3233">
        <v>-342.17009999999999</v>
      </c>
      <c r="K3233">
        <v>1.108538</v>
      </c>
      <c r="L3233">
        <v>214.57900000000001</v>
      </c>
      <c r="M3233">
        <v>0.99997150000000001</v>
      </c>
      <c r="N3233">
        <v>0</v>
      </c>
      <c r="O3233">
        <v>1.1664679999999999E-3</v>
      </c>
      <c r="P3233">
        <v>0.99712029999999996</v>
      </c>
      <c r="Q3233">
        <v>7.1387930000000002E-2</v>
      </c>
      <c r="R3233">
        <v>-2.5595050000000001E-2</v>
      </c>
      <c r="S3233">
        <v>3.0022280000000001</v>
      </c>
      <c r="T3233">
        <v>7.2292330000000002E-2</v>
      </c>
      <c r="U3233">
        <v>-4.5181270000000003E-2</v>
      </c>
      <c r="V3233">
        <v>2.6871599999999999E-2</v>
      </c>
      <c r="W3233">
        <v>7.8805479999999997E-2</v>
      </c>
      <c r="X3233">
        <v>0.99652779999999996</v>
      </c>
      <c r="Y3233">
        <v>1.620887E-2</v>
      </c>
      <c r="Z3233">
        <v>2.2319509999999999E-4</v>
      </c>
      <c r="AA3233">
        <v>0.9998686</v>
      </c>
      <c r="AB3233">
        <v>41</v>
      </c>
      <c r="AC3233">
        <v>234.77260000000001</v>
      </c>
      <c r="AD3233">
        <v>5.663748</v>
      </c>
      <c r="AE3233">
        <v>-3.54009999999999</v>
      </c>
      <c r="AF3233">
        <v>3.81174205666724</v>
      </c>
      <c r="AG3233">
        <v>5.663748</v>
      </c>
      <c r="AH3233">
        <v>234.63178921297799</v>
      </c>
      <c r="AI3233">
        <v>88.617395102349803</v>
      </c>
      <c r="AJ3233">
        <v>89.069275637878704</v>
      </c>
      <c r="AK3233">
        <v>234.73108854218199</v>
      </c>
      <c r="AL3233">
        <v>85.480092098426894</v>
      </c>
      <c r="AM3233">
        <v>88.455380507619694</v>
      </c>
      <c r="AN3233">
        <v>1.0000000213687099</v>
      </c>
    </row>
    <row r="3234" spans="1:40" x14ac:dyDescent="0.25">
      <c r="A3234" t="str">
        <f>"20190312151050504"</f>
        <v>20190312151050504</v>
      </c>
      <c r="B3234" t="str">
        <f>"1552374650494318"</f>
        <v>1552374650494318</v>
      </c>
      <c r="C3234" t="s">
        <v>40</v>
      </c>
      <c r="D3234">
        <v>5.3926790000000002</v>
      </c>
      <c r="E3234">
        <v>0.49820759999999997</v>
      </c>
      <c r="F3234" t="s">
        <v>70</v>
      </c>
      <c r="G3234">
        <v>-107.39749999999999</v>
      </c>
      <c r="H3234">
        <v>6.3937650000000001</v>
      </c>
      <c r="I3234">
        <v>210.19409999999999</v>
      </c>
      <c r="J3234">
        <v>-341.7946</v>
      </c>
      <c r="K3234">
        <v>1.1085259999999999</v>
      </c>
      <c r="L3234">
        <v>214.57910000000001</v>
      </c>
      <c r="M3234">
        <v>0.99997159999999996</v>
      </c>
      <c r="N3234">
        <v>0</v>
      </c>
      <c r="O3234">
        <v>6.7735449999999997E-4</v>
      </c>
      <c r="P3234">
        <v>0.99710940000000003</v>
      </c>
      <c r="Q3234">
        <v>7.0671999999999999E-2</v>
      </c>
      <c r="R3234">
        <v>-2.7898969999999999E-2</v>
      </c>
      <c r="S3234">
        <v>3.0023499999999999</v>
      </c>
      <c r="T3234">
        <v>6.7589880000000005E-2</v>
      </c>
      <c r="U3234">
        <v>-5.6076050000000002E-2</v>
      </c>
      <c r="V3234">
        <v>2.8687730000000002E-2</v>
      </c>
      <c r="W3234">
        <v>7.8101950000000003E-2</v>
      </c>
      <c r="X3234">
        <v>0.99653259999999999</v>
      </c>
      <c r="Y3234">
        <v>1.9346309999999999E-2</v>
      </c>
      <c r="Z3234">
        <v>2.329647E-4</v>
      </c>
      <c r="AA3234">
        <v>0.99981279999999995</v>
      </c>
      <c r="AB3234">
        <v>41</v>
      </c>
      <c r="AC3234">
        <v>234.39709999999999</v>
      </c>
      <c r="AD3234">
        <v>5.2852389999999998</v>
      </c>
      <c r="AE3234">
        <v>-4.3850000000000096</v>
      </c>
      <c r="AF3234">
        <v>4.5414652217734099</v>
      </c>
      <c r="AG3234">
        <v>5.2852389999999998</v>
      </c>
      <c r="AH3234">
        <v>234.275006919584</v>
      </c>
      <c r="AI3234">
        <v>88.707870374216796</v>
      </c>
      <c r="AJ3234">
        <v>88.889449596873902</v>
      </c>
      <c r="AK3234">
        <v>234.37862002499</v>
      </c>
      <c r="AL3234">
        <v>85.520526206181501</v>
      </c>
      <c r="AM3234">
        <v>88.3510504071116</v>
      </c>
      <c r="AN3234">
        <v>1.0000000616545499</v>
      </c>
    </row>
    <row r="3235" spans="1:40" x14ac:dyDescent="0.25">
      <c r="A3235" t="str">
        <f>"20190312151050526"</f>
        <v>20190312151050526</v>
      </c>
      <c r="B3235" t="str">
        <f>"1552374650513838"</f>
        <v>1552374650513838</v>
      </c>
      <c r="C3235" t="s">
        <v>40</v>
      </c>
      <c r="D3235">
        <v>5.3902010000000002</v>
      </c>
      <c r="E3235">
        <v>0.49842940000000002</v>
      </c>
      <c r="F3235" t="s">
        <v>69</v>
      </c>
      <c r="G3235">
        <v>-138.9145</v>
      </c>
      <c r="H3235">
        <v>5.1669119999999999</v>
      </c>
      <c r="I3235">
        <v>210.05090000000001</v>
      </c>
      <c r="J3235">
        <v>-341.37759999999997</v>
      </c>
      <c r="K3235">
        <v>1.108509</v>
      </c>
      <c r="L3235">
        <v>214.57900000000001</v>
      </c>
      <c r="M3235">
        <v>0.99997179999999997</v>
      </c>
      <c r="N3235">
        <v>0</v>
      </c>
      <c r="O3235">
        <v>1.33805E-4</v>
      </c>
      <c r="P3235">
        <v>0.99715069999999995</v>
      </c>
      <c r="Q3235">
        <v>6.8797380000000005E-2</v>
      </c>
      <c r="R3235">
        <v>-3.0944659999999999E-2</v>
      </c>
      <c r="S3235">
        <v>3.0025629999999999</v>
      </c>
      <c r="T3235">
        <v>6.0063360000000003E-2</v>
      </c>
      <c r="U3235">
        <v>-6.7016599999999996E-2</v>
      </c>
      <c r="V3235">
        <v>3.1189560000000002E-2</v>
      </c>
      <c r="W3235">
        <v>7.6244030000000004E-2</v>
      </c>
      <c r="X3235">
        <v>0.99660130000000002</v>
      </c>
      <c r="Y3235">
        <v>2.2443500000000002E-2</v>
      </c>
      <c r="Z3235">
        <v>2.271059E-4</v>
      </c>
      <c r="AA3235">
        <v>0.99974810000000003</v>
      </c>
      <c r="AB3235">
        <v>41</v>
      </c>
      <c r="AC3235">
        <v>202.4631</v>
      </c>
      <c r="AD3235">
        <v>4.0584030000000002</v>
      </c>
      <c r="AE3235">
        <v>-4.5280999999999896</v>
      </c>
      <c r="AF3235">
        <v>4.5533626354604797</v>
      </c>
      <c r="AG3235">
        <v>4.0584030000000002</v>
      </c>
      <c r="AH3235">
        <v>202.38121455229199</v>
      </c>
      <c r="AI3235">
        <v>88.851477422114201</v>
      </c>
      <c r="AJ3235">
        <v>88.711123190113796</v>
      </c>
      <c r="AK3235">
        <v>202.47310870794999</v>
      </c>
      <c r="AL3235">
        <v>85.627295537663002</v>
      </c>
      <c r="AM3235">
        <v>88.207460627543796</v>
      </c>
      <c r="AN3235">
        <v>1.0000000459626599</v>
      </c>
    </row>
    <row r="3236" spans="1:40" x14ac:dyDescent="0.25">
      <c r="A3236" t="str">
        <f>"20190312151050548"</f>
        <v>20190312151050548</v>
      </c>
      <c r="B3236" t="str">
        <f>"1552374650544094"</f>
        <v>1552374650544094</v>
      </c>
      <c r="C3236" t="s">
        <v>40</v>
      </c>
      <c r="D3236">
        <v>5.2375309999999997</v>
      </c>
      <c r="E3236">
        <v>0.49867889999999998</v>
      </c>
      <c r="F3236" t="s">
        <v>69</v>
      </c>
      <c r="G3236">
        <v>-169.39330000000001</v>
      </c>
      <c r="H3236">
        <v>4.0158269999999998</v>
      </c>
      <c r="I3236">
        <v>210.10419999999999</v>
      </c>
      <c r="J3236">
        <v>-340.96980000000002</v>
      </c>
      <c r="K3236">
        <v>1.108493</v>
      </c>
      <c r="L3236">
        <v>214.57859999999999</v>
      </c>
      <c r="M3236">
        <v>0.99997170000000002</v>
      </c>
      <c r="N3236">
        <v>0</v>
      </c>
      <c r="O3236">
        <v>-3.9794E-4</v>
      </c>
      <c r="P3236">
        <v>0.99722270000000002</v>
      </c>
      <c r="Q3236">
        <v>6.6444600000000006E-2</v>
      </c>
      <c r="R3236">
        <v>-3.3654410000000003E-2</v>
      </c>
      <c r="S3236">
        <v>3.0026549999999999</v>
      </c>
      <c r="T3236">
        <v>5.0759079999999998E-2</v>
      </c>
      <c r="U3236">
        <v>-7.8125E-2</v>
      </c>
      <c r="V3236">
        <v>3.3366199999999999E-2</v>
      </c>
      <c r="W3236">
        <v>7.3910320000000002E-2</v>
      </c>
      <c r="X3236">
        <v>0.99670650000000005</v>
      </c>
      <c r="Y3236">
        <v>2.560842E-2</v>
      </c>
      <c r="Z3236">
        <v>2.09674E-4</v>
      </c>
      <c r="AA3236">
        <v>0.99967209999999995</v>
      </c>
      <c r="AB3236">
        <v>41</v>
      </c>
      <c r="AC3236">
        <v>171.57650000000001</v>
      </c>
      <c r="AD3236">
        <v>2.9073340000000001</v>
      </c>
      <c r="AE3236">
        <v>-4.4744000000000002</v>
      </c>
      <c r="AF3236">
        <v>4.4048566720412001</v>
      </c>
      <c r="AG3236">
        <v>2.9073340000000001</v>
      </c>
      <c r="AH3236">
        <v>171.52904983269599</v>
      </c>
      <c r="AI3236">
        <v>89.029277337580396</v>
      </c>
      <c r="AJ3236">
        <v>88.528970802419494</v>
      </c>
      <c r="AK3236">
        <v>171.61022781232001</v>
      </c>
      <c r="AL3236">
        <v>85.761385297822798</v>
      </c>
      <c r="AM3236">
        <v>88.082656456897894</v>
      </c>
      <c r="AN3236">
        <v>0.99999994292359395</v>
      </c>
    </row>
    <row r="3237" spans="1:40" x14ac:dyDescent="0.25">
      <c r="A3237" t="str">
        <f>"20190312151050571"</f>
        <v>20190312151050571</v>
      </c>
      <c r="B3237" t="str">
        <f>"1552374650564590"</f>
        <v>1552374650564590</v>
      </c>
      <c r="C3237" t="s">
        <v>40</v>
      </c>
      <c r="D3237">
        <v>5.944814</v>
      </c>
      <c r="E3237">
        <v>0.49871120000000002</v>
      </c>
      <c r="F3237" t="s">
        <v>69</v>
      </c>
      <c r="G3237">
        <v>-169.39340000000001</v>
      </c>
      <c r="H3237">
        <v>3.7830599999999999</v>
      </c>
      <c r="I3237">
        <v>209.51570000000001</v>
      </c>
      <c r="J3237">
        <v>-340.5496</v>
      </c>
      <c r="K3237">
        <v>1.108473</v>
      </c>
      <c r="L3237">
        <v>214.57810000000001</v>
      </c>
      <c r="M3237">
        <v>0.99997100000000005</v>
      </c>
      <c r="N3237">
        <v>0</v>
      </c>
      <c r="O3237">
        <v>-9.4547730000000001E-4</v>
      </c>
      <c r="P3237">
        <v>0.99726590000000004</v>
      </c>
      <c r="Q3237">
        <v>6.4523949999999997E-2</v>
      </c>
      <c r="R3237">
        <v>-3.6016769999999997E-2</v>
      </c>
      <c r="S3237">
        <v>3.0022579999999999</v>
      </c>
      <c r="T3237">
        <v>4.6800370000000001E-2</v>
      </c>
      <c r="U3237">
        <v>-8.8592530000000003E-2</v>
      </c>
      <c r="V3237">
        <v>3.5180429999999999E-2</v>
      </c>
      <c r="W3237">
        <v>7.2009000000000004E-2</v>
      </c>
      <c r="X3237">
        <v>0.99678339999999999</v>
      </c>
      <c r="Y3237">
        <v>2.8547340000000001E-2</v>
      </c>
      <c r="Z3237">
        <v>2.077069E-4</v>
      </c>
      <c r="AA3237">
        <v>0.99959240000000005</v>
      </c>
      <c r="AB3237">
        <v>41</v>
      </c>
      <c r="AC3237">
        <v>171.15619999999899</v>
      </c>
      <c r="AD3237">
        <v>2.6745869999999998</v>
      </c>
      <c r="AE3237">
        <v>-5.0623999999999896</v>
      </c>
      <c r="AF3237">
        <v>4.8993734814540497</v>
      </c>
      <c r="AG3237">
        <v>2.6745869999999998</v>
      </c>
      <c r="AH3237">
        <v>171.11916092169901</v>
      </c>
      <c r="AI3237">
        <v>89.104908459788405</v>
      </c>
      <c r="AJ3237">
        <v>88.359992220767694</v>
      </c>
      <c r="AK3237">
        <v>171.21017642265801</v>
      </c>
      <c r="AL3237">
        <v>85.870614492452304</v>
      </c>
      <c r="AM3237">
        <v>87.9786442788795</v>
      </c>
      <c r="AN3237">
        <v>1.00000005262577</v>
      </c>
    </row>
    <row r="3238" spans="1:40" x14ac:dyDescent="0.25">
      <c r="A3238" t="str">
        <f>"20190312151050593"</f>
        <v>20190312151050593</v>
      </c>
      <c r="B3238" t="str">
        <f>"1552374650584110"</f>
        <v>1552374650584110</v>
      </c>
      <c r="C3238" t="s">
        <v>40</v>
      </c>
      <c r="D3238">
        <v>5.3239650000000003</v>
      </c>
      <c r="E3238">
        <v>0.49858710000000001</v>
      </c>
      <c r="F3238" t="s">
        <v>69</v>
      </c>
      <c r="G3238">
        <v>-169.39340000000001</v>
      </c>
      <c r="H3238">
        <v>3.4912740000000002</v>
      </c>
      <c r="I3238">
        <v>209.1061</v>
      </c>
      <c r="J3238">
        <v>-340.13490000000002</v>
      </c>
      <c r="K3238">
        <v>1.1084609999999999</v>
      </c>
      <c r="L3238">
        <v>214.57730000000001</v>
      </c>
      <c r="M3238">
        <v>0.99997029999999998</v>
      </c>
      <c r="N3238">
        <v>0</v>
      </c>
      <c r="O3238">
        <v>-1.48609E-3</v>
      </c>
      <c r="P3238">
        <v>0.99729599999999996</v>
      </c>
      <c r="Q3238">
        <v>6.3051270000000006E-2</v>
      </c>
      <c r="R3238">
        <v>-3.7753160000000001E-2</v>
      </c>
      <c r="S3238">
        <v>3.0020449999999999</v>
      </c>
      <c r="T3238">
        <v>4.1794419999999999E-2</v>
      </c>
      <c r="U3238">
        <v>-9.5977779999999999E-2</v>
      </c>
      <c r="V3238">
        <v>3.6376070000000003E-2</v>
      </c>
      <c r="W3238">
        <v>7.0555019999999996E-2</v>
      </c>
      <c r="X3238">
        <v>0.99684439999999996</v>
      </c>
      <c r="Y3238">
        <v>3.046627E-2</v>
      </c>
      <c r="Z3238">
        <v>1.9132749999999999E-4</v>
      </c>
      <c r="AA3238">
        <v>0.99953579999999997</v>
      </c>
      <c r="AB3238">
        <v>41</v>
      </c>
      <c r="AC3238">
        <v>170.7415</v>
      </c>
      <c r="AD3238">
        <v>2.3828130000000001</v>
      </c>
      <c r="AE3238">
        <v>-5.4711999999999996</v>
      </c>
      <c r="AF3238">
        <v>5.21643455114702</v>
      </c>
      <c r="AG3238">
        <v>2.3828130000000001</v>
      </c>
      <c r="AH3238">
        <v>170.71622764064901</v>
      </c>
      <c r="AI3238">
        <v>89.200705246704203</v>
      </c>
      <c r="AJ3238">
        <v>88.249804832298494</v>
      </c>
      <c r="AK3238">
        <v>170.812526961793</v>
      </c>
      <c r="AL3238">
        <v>85.954133630093594</v>
      </c>
      <c r="AM3238">
        <v>87.910134306363304</v>
      </c>
      <c r="AN3238">
        <v>0.99999999356360203</v>
      </c>
    </row>
    <row r="3239" spans="1:40" x14ac:dyDescent="0.25">
      <c r="A3239" t="str">
        <f>"20190312151050615"</f>
        <v>20190312151050615</v>
      </c>
      <c r="B3239" t="str">
        <f>"1552374650604610"</f>
        <v>1552374650604610</v>
      </c>
      <c r="C3239" t="s">
        <v>40</v>
      </c>
      <c r="D3239">
        <v>5.3259759999999998</v>
      </c>
      <c r="E3239">
        <v>0.49838660000000001</v>
      </c>
      <c r="F3239" t="s">
        <v>69</v>
      </c>
      <c r="G3239">
        <v>-169.39340000000001</v>
      </c>
      <c r="H3239">
        <v>3.2413059999999998</v>
      </c>
      <c r="I3239">
        <v>208.87280000000001</v>
      </c>
      <c r="J3239">
        <v>-339.726</v>
      </c>
      <c r="K3239">
        <v>1.1084590000000001</v>
      </c>
      <c r="L3239">
        <v>214.5763</v>
      </c>
      <c r="M3239">
        <v>0.9999692</v>
      </c>
      <c r="N3239">
        <v>0</v>
      </c>
      <c r="O3239">
        <v>-2.0187069999999998E-3</v>
      </c>
      <c r="P3239">
        <v>0.99724860000000004</v>
      </c>
      <c r="Q3239">
        <v>6.3000210000000001E-2</v>
      </c>
      <c r="R3239">
        <v>-3.9070140000000003E-2</v>
      </c>
      <c r="S3239">
        <v>3.0019529999999999</v>
      </c>
      <c r="T3239">
        <v>3.7500020000000002E-2</v>
      </c>
      <c r="U3239">
        <v>-0.100296</v>
      </c>
      <c r="V3239">
        <v>3.7162229999999997E-2</v>
      </c>
      <c r="W3239">
        <v>7.0521249999999994E-2</v>
      </c>
      <c r="X3239">
        <v>0.99681779999999998</v>
      </c>
      <c r="Y3239">
        <v>3.1371629999999998E-2</v>
      </c>
      <c r="Z3239">
        <v>1.7067309999999999E-4</v>
      </c>
      <c r="AA3239">
        <v>0.99950779999999995</v>
      </c>
      <c r="AB3239">
        <v>42</v>
      </c>
      <c r="AC3239">
        <v>170.33260000000001</v>
      </c>
      <c r="AD3239">
        <v>2.1328469999999999</v>
      </c>
      <c r="AE3239">
        <v>-5.7034999999999902</v>
      </c>
      <c r="AF3239">
        <v>5.3587876017849103</v>
      </c>
      <c r="AG3239">
        <v>2.1328469999999999</v>
      </c>
      <c r="AH3239">
        <v>170.317092491366</v>
      </c>
      <c r="AI3239">
        <v>89.282888706836104</v>
      </c>
      <c r="AJ3239">
        <v>88.197863461502905</v>
      </c>
      <c r="AK3239">
        <v>170.41472247314499</v>
      </c>
      <c r="AL3239">
        <v>85.956073375294395</v>
      </c>
      <c r="AM3239">
        <v>87.864952543961607</v>
      </c>
      <c r="AN3239">
        <v>1.0000000022184801</v>
      </c>
    </row>
    <row r="3240" spans="1:40" x14ac:dyDescent="0.25">
      <c r="A3240" t="str">
        <f>"20190312151050639"</f>
        <v>20190312151050639</v>
      </c>
      <c r="B3240" t="str">
        <f>"1552374650633886"</f>
        <v>1552374650633886</v>
      </c>
      <c r="C3240" t="s">
        <v>40</v>
      </c>
      <c r="D3240">
        <v>5.3953850000000001</v>
      </c>
      <c r="E3240">
        <v>0.49795909999999899</v>
      </c>
      <c r="F3240" t="s">
        <v>69</v>
      </c>
      <c r="G3240">
        <v>-169.39349999999999</v>
      </c>
      <c r="H3240">
        <v>3.2417980000000002</v>
      </c>
      <c r="I3240">
        <v>208.75800000000001</v>
      </c>
      <c r="J3240">
        <v>-339.29930000000002</v>
      </c>
      <c r="K3240">
        <v>1.1084620000000001</v>
      </c>
      <c r="L3240">
        <v>214.57499999999999</v>
      </c>
      <c r="M3240">
        <v>0.99996779999999996</v>
      </c>
      <c r="N3240">
        <v>0</v>
      </c>
      <c r="O3240">
        <v>-2.5738720000000001E-3</v>
      </c>
      <c r="P3240">
        <v>0.99718189999999995</v>
      </c>
      <c r="Q3240">
        <v>6.3667199999999993E-2</v>
      </c>
      <c r="R3240">
        <v>-3.9686270000000003E-2</v>
      </c>
      <c r="S3240">
        <v>3.001862</v>
      </c>
      <c r="T3240">
        <v>3.7597659999999998E-2</v>
      </c>
      <c r="U3240">
        <v>-0.10253909999999999</v>
      </c>
      <c r="V3240">
        <v>3.722644E-2</v>
      </c>
      <c r="W3240">
        <v>7.1209969999999997E-2</v>
      </c>
      <c r="X3240">
        <v>0.99676640000000005</v>
      </c>
      <c r="Y3240">
        <v>3.1563760000000003E-2</v>
      </c>
      <c r="Z3240">
        <v>1.6537219999999999E-4</v>
      </c>
      <c r="AA3240">
        <v>0.99950170000000005</v>
      </c>
      <c r="AB3240">
        <v>42</v>
      </c>
      <c r="AC3240">
        <v>169.9058</v>
      </c>
      <c r="AD3240">
        <v>2.1333359999999999</v>
      </c>
      <c r="AE3240">
        <v>-5.8170000000000002</v>
      </c>
      <c r="AF3240">
        <v>5.37880532424085</v>
      </c>
      <c r="AG3240">
        <v>2.1333359999999999</v>
      </c>
      <c r="AH3240">
        <v>169.893456967796</v>
      </c>
      <c r="AI3240">
        <v>89.280940395340906</v>
      </c>
      <c r="AJ3240">
        <v>88.186628593553394</v>
      </c>
      <c r="AK3240">
        <v>169.99196860344099</v>
      </c>
      <c r="AL3240">
        <v>85.916513001044805</v>
      </c>
      <c r="AM3240">
        <v>87.861156783616494</v>
      </c>
      <c r="AN3240">
        <v>0.99999996191571605</v>
      </c>
    </row>
    <row r="3241" spans="1:40" x14ac:dyDescent="0.25">
      <c r="A3241" t="str">
        <f>"20190312151050662"</f>
        <v>20190312151050662</v>
      </c>
      <c r="B3241" t="str">
        <f>"1552374650654383"</f>
        <v>1552374650654383</v>
      </c>
      <c r="C3241" t="s">
        <v>40</v>
      </c>
      <c r="D3241">
        <v>5.4183960000000004</v>
      </c>
      <c r="E3241">
        <v>0.4976875</v>
      </c>
      <c r="F3241" t="s">
        <v>69</v>
      </c>
      <c r="G3241">
        <v>-169.39349999999999</v>
      </c>
      <c r="H3241">
        <v>3.3799670000000002</v>
      </c>
      <c r="I3241">
        <v>208.85159999999999</v>
      </c>
      <c r="J3241">
        <v>-338.85419999999999</v>
      </c>
      <c r="K3241">
        <v>1.10846</v>
      </c>
      <c r="L3241">
        <v>214.57339999999999</v>
      </c>
      <c r="M3241">
        <v>0.99996580000000002</v>
      </c>
      <c r="N3241">
        <v>0</v>
      </c>
      <c r="O3241">
        <v>-3.152775E-3</v>
      </c>
      <c r="P3241">
        <v>0.9971894</v>
      </c>
      <c r="Q3241">
        <v>6.3500139999999997E-2</v>
      </c>
      <c r="R3241">
        <v>-3.9759660000000002E-2</v>
      </c>
      <c r="S3241">
        <v>3.001862</v>
      </c>
      <c r="T3241">
        <v>4.0133120000000001E-2</v>
      </c>
      <c r="U3241">
        <v>-0.10112</v>
      </c>
      <c r="V3241">
        <v>3.6722610000000003E-2</v>
      </c>
      <c r="W3241">
        <v>7.1070129999999995E-2</v>
      </c>
      <c r="X3241">
        <v>0.99679510000000004</v>
      </c>
      <c r="Y3241">
        <v>3.0512979999999999E-2</v>
      </c>
      <c r="Z3241">
        <v>1.617658E-4</v>
      </c>
      <c r="AA3241">
        <v>0.99953440000000005</v>
      </c>
      <c r="AB3241">
        <v>42</v>
      </c>
      <c r="AC3241">
        <v>169.4607</v>
      </c>
      <c r="AD3241">
        <v>2.2715070000000002</v>
      </c>
      <c r="AE3241">
        <v>-5.7218</v>
      </c>
      <c r="AF3241">
        <v>5.1865536471675497</v>
      </c>
      <c r="AG3241">
        <v>2.2715070000000002</v>
      </c>
      <c r="AH3241">
        <v>169.44748682204801</v>
      </c>
      <c r="AI3241">
        <v>89.232334109392994</v>
      </c>
      <c r="AJ3241">
        <v>88.246802666222493</v>
      </c>
      <c r="AK3241">
        <v>169.54206225327701</v>
      </c>
      <c r="AL3241">
        <v>85.924545719596196</v>
      </c>
      <c r="AM3241">
        <v>87.890138662828804</v>
      </c>
      <c r="AN3241">
        <v>0.99999999242371895</v>
      </c>
    </row>
    <row r="3242" spans="1:40" x14ac:dyDescent="0.25">
      <c r="A3242" t="str">
        <f>"20190312151050685"</f>
        <v>20190312151050685</v>
      </c>
      <c r="B3242" t="str">
        <f>"1552374650673902"</f>
        <v>1552374650673902</v>
      </c>
      <c r="C3242" t="s">
        <v>40</v>
      </c>
      <c r="D3242">
        <v>5.3342299999999998</v>
      </c>
      <c r="E3242">
        <v>0.49738769999999999</v>
      </c>
      <c r="F3242" t="s">
        <v>69</v>
      </c>
      <c r="G3242">
        <v>-169.39340000000001</v>
      </c>
      <c r="H3242">
        <v>3.3421690000000002</v>
      </c>
      <c r="I3242">
        <v>208.98079999999999</v>
      </c>
      <c r="J3242">
        <v>-338.41559999999998</v>
      </c>
      <c r="K3242">
        <v>1.1084579999999999</v>
      </c>
      <c r="L3242">
        <v>214.57159999999999</v>
      </c>
      <c r="M3242">
        <v>0.99996359999999995</v>
      </c>
      <c r="N3242">
        <v>0</v>
      </c>
      <c r="O3242">
        <v>-3.722731E-3</v>
      </c>
      <c r="P3242">
        <v>0.99715880000000001</v>
      </c>
      <c r="Q3242">
        <v>6.3943570000000005E-2</v>
      </c>
      <c r="R3242">
        <v>-3.9818840000000001E-2</v>
      </c>
      <c r="S3242">
        <v>3.0020449999999999</v>
      </c>
      <c r="T3242">
        <v>3.95714E-2</v>
      </c>
      <c r="U3242">
        <v>-9.9075319999999995E-2</v>
      </c>
      <c r="V3242">
        <v>3.6214690000000001E-2</v>
      </c>
      <c r="W3242">
        <v>7.1539099999999994E-2</v>
      </c>
      <c r="X3242">
        <v>0.99678020000000001</v>
      </c>
      <c r="Y3242">
        <v>2.92614E-2</v>
      </c>
      <c r="Z3242">
        <v>1.437372E-4</v>
      </c>
      <c r="AA3242">
        <v>0.99957180000000001</v>
      </c>
      <c r="AB3242">
        <v>42</v>
      </c>
      <c r="AC3242">
        <v>169.022199999999</v>
      </c>
      <c r="AD3242">
        <v>2.233711</v>
      </c>
      <c r="AE3242">
        <v>-5.5907999999999998</v>
      </c>
      <c r="AF3242">
        <v>4.9606531022757299</v>
      </c>
      <c r="AG3242">
        <v>2.233711</v>
      </c>
      <c r="AH3242">
        <v>169.01235676532201</v>
      </c>
      <c r="AI3242">
        <v>89.243134150895997</v>
      </c>
      <c r="AJ3242">
        <v>88.318803921140898</v>
      </c>
      <c r="AK3242">
        <v>169.099894392046</v>
      </c>
      <c r="AL3242">
        <v>85.897607412394393</v>
      </c>
      <c r="AM3242">
        <v>87.919263800625998</v>
      </c>
      <c r="AN3242">
        <v>1.0000000568563201</v>
      </c>
    </row>
    <row r="3243" spans="1:40" x14ac:dyDescent="0.25">
      <c r="A3243" t="str">
        <f>"20190312151050708"</f>
        <v>20190312151050708</v>
      </c>
      <c r="B3243" t="str">
        <f>"1552374650704158"</f>
        <v>1552374650704158</v>
      </c>
      <c r="C3243" t="s">
        <v>40</v>
      </c>
      <c r="D3243">
        <v>5.3294949999999996</v>
      </c>
      <c r="E3243">
        <v>0.49713269999999998</v>
      </c>
      <c r="F3243" t="s">
        <v>69</v>
      </c>
      <c r="G3243">
        <v>-169.39340000000001</v>
      </c>
      <c r="H3243">
        <v>3.4438300000000002</v>
      </c>
      <c r="I3243">
        <v>209.11449999999999</v>
      </c>
      <c r="J3243">
        <v>-338.00749999999999</v>
      </c>
      <c r="K3243">
        <v>1.10846</v>
      </c>
      <c r="L3243">
        <v>214.56970000000001</v>
      </c>
      <c r="M3243">
        <v>0.9999614</v>
      </c>
      <c r="N3243">
        <v>0</v>
      </c>
      <c r="O3243">
        <v>-4.2530930000000003E-3</v>
      </c>
      <c r="P3243">
        <v>0.99717920000000004</v>
      </c>
      <c r="Q3243">
        <v>6.3625459999999995E-2</v>
      </c>
      <c r="R3243">
        <v>-3.9820429999999997E-2</v>
      </c>
      <c r="S3243">
        <v>3.002014</v>
      </c>
      <c r="T3243">
        <v>4.1479349999999998E-2</v>
      </c>
      <c r="U3243">
        <v>-9.6923830000000002E-2</v>
      </c>
      <c r="V3243">
        <v>3.5687049999999998E-2</v>
      </c>
      <c r="W3243">
        <v>7.124374E-2</v>
      </c>
      <c r="X3243">
        <v>0.99682029999999999</v>
      </c>
      <c r="Y3243">
        <v>2.8015890000000002E-2</v>
      </c>
      <c r="Z3243">
        <v>1.3474240000000001E-4</v>
      </c>
      <c r="AA3243">
        <v>0.99960740000000003</v>
      </c>
      <c r="AB3243">
        <v>42</v>
      </c>
      <c r="AC3243">
        <v>168.61409999999901</v>
      </c>
      <c r="AD3243">
        <v>2.3353700000000002</v>
      </c>
      <c r="AE3243">
        <v>-5.4552000000000103</v>
      </c>
      <c r="AF3243">
        <v>4.73709023312726</v>
      </c>
      <c r="AG3243">
        <v>2.3353700000000002</v>
      </c>
      <c r="AH3243">
        <v>168.60346713683799</v>
      </c>
      <c r="AI3243">
        <v>89.2067451564495</v>
      </c>
      <c r="AJ3243">
        <v>88.390638705962999</v>
      </c>
      <c r="AK3243">
        <v>168.686167504857</v>
      </c>
      <c r="AL3243">
        <v>85.914573242089304</v>
      </c>
      <c r="AM3243">
        <v>87.949636011927396</v>
      </c>
      <c r="AN3243">
        <v>0.99999997325948897</v>
      </c>
    </row>
    <row r="3244" spans="1:40" x14ac:dyDescent="0.25">
      <c r="A3244" t="str">
        <f>"20190312151050728"</f>
        <v>20190312151050728</v>
      </c>
      <c r="B3244" t="str">
        <f>"1552374650723678"</f>
        <v>1552374650723678</v>
      </c>
      <c r="C3244" t="s">
        <v>40</v>
      </c>
      <c r="D3244">
        <v>5.8825240000000001</v>
      </c>
      <c r="E3244">
        <v>0.49696109999999999</v>
      </c>
      <c r="F3244" t="s">
        <v>69</v>
      </c>
      <c r="G3244">
        <v>-169.39340000000001</v>
      </c>
      <c r="H3244">
        <v>3.4103979999999998</v>
      </c>
      <c r="I3244">
        <v>209.23820000000001</v>
      </c>
      <c r="J3244">
        <v>-337.61489999999998</v>
      </c>
      <c r="K3244">
        <v>1.10846</v>
      </c>
      <c r="L3244">
        <v>214.5677</v>
      </c>
      <c r="M3244">
        <v>0.99995900000000004</v>
      </c>
      <c r="N3244">
        <v>0</v>
      </c>
      <c r="O3244">
        <v>-4.7629489999999998E-3</v>
      </c>
      <c r="P3244">
        <v>0.99719449999999998</v>
      </c>
      <c r="Q3244">
        <v>6.3246380000000005E-2</v>
      </c>
      <c r="R3244">
        <v>-4.0042599999999998E-2</v>
      </c>
      <c r="S3244">
        <v>3.002075</v>
      </c>
      <c r="T3244">
        <v>4.0985229999999997E-2</v>
      </c>
      <c r="U3244">
        <v>-9.4924930000000005E-2</v>
      </c>
      <c r="V3244">
        <v>3.540037E-2</v>
      </c>
      <c r="W3244">
        <v>7.0886539999999998E-2</v>
      </c>
      <c r="X3244">
        <v>0.99685599999999996</v>
      </c>
      <c r="Y3244">
        <v>2.6840849999999999E-2</v>
      </c>
      <c r="Z3244">
        <v>1.181589E-4</v>
      </c>
      <c r="AA3244">
        <v>0.99963970000000002</v>
      </c>
      <c r="AB3244">
        <v>42</v>
      </c>
      <c r="AC3244">
        <v>168.221499999999</v>
      </c>
      <c r="AD3244">
        <v>2.3019379999999998</v>
      </c>
      <c r="AE3244">
        <v>-5.3294999999999897</v>
      </c>
      <c r="AF3244">
        <v>4.5273384577946096</v>
      </c>
      <c r="AG3244">
        <v>2.3019379999999998</v>
      </c>
      <c r="AH3244">
        <v>168.21351008416201</v>
      </c>
      <c r="AI3244">
        <v>89.216261730014907</v>
      </c>
      <c r="AJ3244">
        <v>88.458299934576701</v>
      </c>
      <c r="AK3244">
        <v>168.29016812310101</v>
      </c>
      <c r="AL3244">
        <v>85.935091224014101</v>
      </c>
      <c r="AM3244">
        <v>87.966165815210601</v>
      </c>
      <c r="AN3244">
        <v>0.99999998624265396</v>
      </c>
    </row>
    <row r="3245" spans="1:40" x14ac:dyDescent="0.25">
      <c r="A3245" t="str">
        <f>"20190312151050750"</f>
        <v>20190312151050750</v>
      </c>
      <c r="B3245" t="str">
        <f>"1552374650744175"</f>
        <v>1552374650744175</v>
      </c>
      <c r="C3245" t="s">
        <v>40</v>
      </c>
      <c r="D3245">
        <v>5.2688870000000003</v>
      </c>
      <c r="E3245">
        <v>0.496811</v>
      </c>
      <c r="F3245" t="s">
        <v>69</v>
      </c>
      <c r="G3245">
        <v>-169.39330000000001</v>
      </c>
      <c r="H3245">
        <v>3.327944</v>
      </c>
      <c r="I3245">
        <v>209.28370000000001</v>
      </c>
      <c r="J3245">
        <v>-337.19720000000001</v>
      </c>
      <c r="K3245">
        <v>1.1084560000000001</v>
      </c>
      <c r="L3245">
        <v>214.56530000000001</v>
      </c>
      <c r="M3245">
        <v>0.99995599999999996</v>
      </c>
      <c r="N3245">
        <v>0</v>
      </c>
      <c r="O3245">
        <v>-5.3051419999999997E-3</v>
      </c>
      <c r="P3245">
        <v>0.99718790000000002</v>
      </c>
      <c r="Q3245">
        <v>6.3343090000000005E-2</v>
      </c>
      <c r="R3245">
        <v>-4.0053850000000002E-2</v>
      </c>
      <c r="S3245">
        <v>3.0021360000000001</v>
      </c>
      <c r="T3245">
        <v>3.9610270000000003E-2</v>
      </c>
      <c r="U3245">
        <v>-9.4299320000000006E-2</v>
      </c>
      <c r="V3245">
        <v>3.487146E-2</v>
      </c>
      <c r="W3245">
        <v>7.1012110000000003E-2</v>
      </c>
      <c r="X3245">
        <v>0.99686569999999997</v>
      </c>
      <c r="Y3245">
        <v>2.609032E-2</v>
      </c>
      <c r="Z3245">
        <v>1.02092E-4</v>
      </c>
      <c r="AA3245">
        <v>0.99965959999999998</v>
      </c>
      <c r="AB3245">
        <v>42</v>
      </c>
      <c r="AC3245">
        <v>167.8039</v>
      </c>
      <c r="AD3245">
        <v>2.2194880000000001</v>
      </c>
      <c r="AE3245">
        <v>-5.2815999999999903</v>
      </c>
      <c r="AF3245">
        <v>4.3905081733676203</v>
      </c>
      <c r="AG3245">
        <v>2.2194880000000001</v>
      </c>
      <c r="AH3245">
        <v>167.80023218109201</v>
      </c>
      <c r="AI3245">
        <v>89.242454089939201</v>
      </c>
      <c r="AJ3245">
        <v>88.501192745030906</v>
      </c>
      <c r="AK3245">
        <v>167.872334257408</v>
      </c>
      <c r="AL3245">
        <v>85.927878395311694</v>
      </c>
      <c r="AM3245">
        <v>87.996547461493293</v>
      </c>
      <c r="AN3245">
        <v>0.99999998116283595</v>
      </c>
    </row>
    <row r="3246" spans="1:40" x14ac:dyDescent="0.25">
      <c r="A3246" t="str">
        <f>"20190312151050772"</f>
        <v>20190312151050772</v>
      </c>
      <c r="B3246" t="str">
        <f>"1552374650763693"</f>
        <v>1552374650763693</v>
      </c>
      <c r="C3246" t="s">
        <v>40</v>
      </c>
      <c r="D3246">
        <v>5.794219</v>
      </c>
      <c r="E3246">
        <v>0.49665480000000001</v>
      </c>
      <c r="F3246" t="s">
        <v>69</v>
      </c>
      <c r="G3246">
        <v>-169.39330000000001</v>
      </c>
      <c r="H3246">
        <v>3.3376579999999998</v>
      </c>
      <c r="I3246">
        <v>209.34739999999999</v>
      </c>
      <c r="J3246">
        <v>-336.77710000000002</v>
      </c>
      <c r="K3246">
        <v>1.1084620000000001</v>
      </c>
      <c r="L3246">
        <v>214.56270000000001</v>
      </c>
      <c r="M3246">
        <v>0.99995279999999998</v>
      </c>
      <c r="N3246">
        <v>0</v>
      </c>
      <c r="O3246">
        <v>-5.8502160000000001E-3</v>
      </c>
      <c r="P3246">
        <v>0.99716930000000004</v>
      </c>
      <c r="Q3246">
        <v>6.3768130000000006E-2</v>
      </c>
      <c r="R3246">
        <v>-3.9842610000000001E-2</v>
      </c>
      <c r="S3246">
        <v>3.0021360000000001</v>
      </c>
      <c r="T3246">
        <v>3.988266E-2</v>
      </c>
      <c r="U3246">
        <v>-9.3353270000000002E-2</v>
      </c>
      <c r="V3246">
        <v>3.4118019999999999E-2</v>
      </c>
      <c r="W3246">
        <v>7.1471099999999996E-2</v>
      </c>
      <c r="X3246">
        <v>0.99685900000000005</v>
      </c>
      <c r="Y3246">
        <v>2.5230789999999999E-2</v>
      </c>
      <c r="Z3246" s="1">
        <v>8.984784E-5</v>
      </c>
      <c r="AA3246">
        <v>0.99968170000000001</v>
      </c>
      <c r="AB3246">
        <v>42</v>
      </c>
      <c r="AC3246">
        <v>167.38380000000001</v>
      </c>
      <c r="AD3246">
        <v>2.229196</v>
      </c>
      <c r="AE3246">
        <v>-5.2153000000000098</v>
      </c>
      <c r="AF3246">
        <v>4.2351994486025601</v>
      </c>
      <c r="AG3246">
        <v>2.229196</v>
      </c>
      <c r="AH3246">
        <v>167.38178799832801</v>
      </c>
      <c r="AI3246">
        <v>89.237222194295498</v>
      </c>
      <c r="AJ3246">
        <v>88.550575356635605</v>
      </c>
      <c r="AK3246">
        <v>167.45019911213299</v>
      </c>
      <c r="AL3246">
        <v>85.901513338326197</v>
      </c>
      <c r="AM3246">
        <v>88.039787166746507</v>
      </c>
      <c r="AN3246">
        <v>1.0000000116524601</v>
      </c>
    </row>
    <row r="3247" spans="1:40" x14ac:dyDescent="0.25">
      <c r="A3247" t="str">
        <f>"20190312151050794"</f>
        <v>20190312151050794</v>
      </c>
      <c r="B3247" t="str">
        <f>"1552374650784190"</f>
        <v>1552374650784190</v>
      </c>
      <c r="C3247" t="s">
        <v>40</v>
      </c>
      <c r="D3247">
        <v>5.3327580000000001</v>
      </c>
      <c r="E3247">
        <v>0.49656640000000002</v>
      </c>
      <c r="F3247" t="s">
        <v>69</v>
      </c>
      <c r="G3247">
        <v>-169.39330000000001</v>
      </c>
      <c r="H3247">
        <v>3.371464</v>
      </c>
      <c r="I3247">
        <v>209.47300000000001</v>
      </c>
      <c r="J3247">
        <v>-336.35840000000002</v>
      </c>
      <c r="K3247">
        <v>1.108468</v>
      </c>
      <c r="L3247">
        <v>214.5599</v>
      </c>
      <c r="M3247">
        <v>0.99994910000000004</v>
      </c>
      <c r="N3247">
        <v>0</v>
      </c>
      <c r="O3247">
        <v>-6.3928020000000004E-3</v>
      </c>
      <c r="P3247">
        <v>0.99712719999999999</v>
      </c>
      <c r="Q3247">
        <v>6.4637819999999999E-2</v>
      </c>
      <c r="R3247">
        <v>-3.94913E-2</v>
      </c>
      <c r="S3247">
        <v>3.002319</v>
      </c>
      <c r="T3247">
        <v>4.0591479999999999E-2</v>
      </c>
      <c r="U3247">
        <v>-9.1293330000000006E-2</v>
      </c>
      <c r="V3247">
        <v>3.3227270000000003E-2</v>
      </c>
      <c r="W3247">
        <v>7.2376640000000006E-2</v>
      </c>
      <c r="X3247">
        <v>0.99682369999999998</v>
      </c>
      <c r="Y3247">
        <v>2.400128E-2</v>
      </c>
      <c r="Z3247" s="1">
        <v>7.5797140000000003E-5</v>
      </c>
      <c r="AA3247">
        <v>0.99971189999999999</v>
      </c>
      <c r="AB3247">
        <v>42</v>
      </c>
      <c r="AC3247">
        <v>166.96510000000001</v>
      </c>
      <c r="AD3247">
        <v>2.2629959999999998</v>
      </c>
      <c r="AE3247">
        <v>-5.0869000000000097</v>
      </c>
      <c r="AF3247">
        <v>4.0186511495825998</v>
      </c>
      <c r="AG3247">
        <v>2.2629959999999998</v>
      </c>
      <c r="AH3247">
        <v>166.96356527629101</v>
      </c>
      <c r="AI3247">
        <v>89.223695021797099</v>
      </c>
      <c r="AJ3247">
        <v>88.621212344969294</v>
      </c>
      <c r="AK3247">
        <v>167.027251781643</v>
      </c>
      <c r="AL3247">
        <v>85.849494777779597</v>
      </c>
      <c r="AM3247">
        <v>88.090858284387096</v>
      </c>
      <c r="AN3247">
        <v>0.99999995918551499</v>
      </c>
    </row>
    <row r="3248" spans="1:40" x14ac:dyDescent="0.25">
      <c r="A3248" t="str">
        <f>"20190312151050816"</f>
        <v>20190312151050816</v>
      </c>
      <c r="B3248" t="str">
        <f>"1552374650803710"</f>
        <v>1552374650803710</v>
      </c>
      <c r="C3248" t="s">
        <v>40</v>
      </c>
      <c r="D3248">
        <v>5.3330630000000001</v>
      </c>
      <c r="E3248">
        <v>0.49651329999999999</v>
      </c>
      <c r="F3248" t="s">
        <v>69</v>
      </c>
      <c r="G3248">
        <v>-169.39330000000001</v>
      </c>
      <c r="H3248">
        <v>3.5725169999999999</v>
      </c>
      <c r="I3248">
        <v>209.5735</v>
      </c>
      <c r="J3248">
        <v>-335.95209999999997</v>
      </c>
      <c r="K3248">
        <v>1.1084639999999999</v>
      </c>
      <c r="L3248">
        <v>214.55690000000001</v>
      </c>
      <c r="M3248">
        <v>0.99994530000000004</v>
      </c>
      <c r="N3248">
        <v>0</v>
      </c>
      <c r="O3248">
        <v>-6.9190769999999896E-3</v>
      </c>
      <c r="P3248">
        <v>0.99714360000000002</v>
      </c>
      <c r="Q3248">
        <v>6.4747830000000006E-2</v>
      </c>
      <c r="R3248">
        <v>-3.8893369999999997E-2</v>
      </c>
      <c r="S3248">
        <v>3.0021969999999998</v>
      </c>
      <c r="T3248">
        <v>4.4306640000000001E-2</v>
      </c>
      <c r="U3248">
        <v>-8.966064E-2</v>
      </c>
      <c r="V3248">
        <v>3.2105059999999998E-2</v>
      </c>
      <c r="W3248">
        <v>7.2528350000000005E-2</v>
      </c>
      <c r="X3248">
        <v>0.99684950000000005</v>
      </c>
      <c r="Y3248">
        <v>2.2933039999999998E-2</v>
      </c>
      <c r="Z3248" s="1">
        <v>6.7092970000000001E-5</v>
      </c>
      <c r="AA3248">
        <v>0.99973699999999999</v>
      </c>
      <c r="AB3248">
        <v>42</v>
      </c>
      <c r="AC3248">
        <v>166.558799999999</v>
      </c>
      <c r="AD3248">
        <v>2.4640529999999998</v>
      </c>
      <c r="AE3248">
        <v>-4.9834000000000103</v>
      </c>
      <c r="AF3248">
        <v>3.8299746141593198</v>
      </c>
      <c r="AG3248">
        <v>2.4640529999999998</v>
      </c>
      <c r="AH3248">
        <v>166.55287537237001</v>
      </c>
      <c r="AI3248">
        <v>89.152628055537207</v>
      </c>
      <c r="AJ3248">
        <v>88.682684324966004</v>
      </c>
      <c r="AK3248">
        <v>166.615127036942</v>
      </c>
      <c r="AL3248">
        <v>85.840779745908605</v>
      </c>
      <c r="AM3248">
        <v>88.155339570870098</v>
      </c>
      <c r="AN3248">
        <v>1.0000000110407801</v>
      </c>
    </row>
    <row r="3249" spans="1:40" x14ac:dyDescent="0.25">
      <c r="A3249" t="str">
        <f>"20190312151050838"</f>
        <v>20190312151050838</v>
      </c>
      <c r="B3249" t="str">
        <f>"1552374650833966"</f>
        <v>1552374650833966</v>
      </c>
      <c r="C3249" t="s">
        <v>40</v>
      </c>
      <c r="D3249">
        <v>5.3901320000000004</v>
      </c>
      <c r="E3249">
        <v>0.48645650000000001</v>
      </c>
      <c r="F3249" t="s">
        <v>69</v>
      </c>
      <c r="G3249">
        <v>-169.39330000000001</v>
      </c>
      <c r="H3249">
        <v>3.6187320000000001</v>
      </c>
      <c r="I3249">
        <v>209.7148</v>
      </c>
      <c r="J3249">
        <v>-335.52269999999999</v>
      </c>
      <c r="K3249">
        <v>1.108471</v>
      </c>
      <c r="L3249">
        <v>214.55350000000001</v>
      </c>
      <c r="M3249">
        <v>0.99994090000000002</v>
      </c>
      <c r="N3249">
        <v>0</v>
      </c>
      <c r="O3249">
        <v>-7.4748369999999998E-3</v>
      </c>
      <c r="P3249">
        <v>0.99713810000000003</v>
      </c>
      <c r="Q3249">
        <v>6.5233540000000007E-2</v>
      </c>
      <c r="R3249">
        <v>-3.8213860000000002E-2</v>
      </c>
      <c r="S3249">
        <v>3.0022280000000001</v>
      </c>
      <c r="T3249">
        <v>4.524827E-2</v>
      </c>
      <c r="U3249">
        <v>-8.7280269999999993E-2</v>
      </c>
      <c r="V3249">
        <v>3.087264E-2</v>
      </c>
      <c r="W3249">
        <v>7.3064320000000002E-2</v>
      </c>
      <c r="X3249">
        <v>0.99684930000000005</v>
      </c>
      <c r="Y3249">
        <v>2.158523E-2</v>
      </c>
      <c r="Z3249" s="1">
        <v>4.9991070000000001E-5</v>
      </c>
      <c r="AA3249">
        <v>0.99976699999999996</v>
      </c>
      <c r="AB3249">
        <v>42</v>
      </c>
      <c r="AC3249">
        <v>166.12939999999901</v>
      </c>
      <c r="AD3249">
        <v>2.5102609999999999</v>
      </c>
      <c r="AE3249">
        <v>-4.83870000000001</v>
      </c>
      <c r="AF3249">
        <v>3.59591560385494</v>
      </c>
      <c r="AG3249">
        <v>2.5102609999999999</v>
      </c>
      <c r="AH3249">
        <v>166.123031045354</v>
      </c>
      <c r="AI3249">
        <v>89.134480400460006</v>
      </c>
      <c r="AJ3249">
        <v>88.759963525163897</v>
      </c>
      <c r="AK3249">
        <v>166.18090583160799</v>
      </c>
      <c r="AL3249">
        <v>85.809989275486203</v>
      </c>
      <c r="AM3249">
        <v>88.226104227363393</v>
      </c>
      <c r="AN3249">
        <v>1.00000002083406</v>
      </c>
    </row>
    <row r="3250" spans="1:40" x14ac:dyDescent="0.25">
      <c r="A3250" t="str">
        <f>"20190312151050861"</f>
        <v>20190312151050861</v>
      </c>
      <c r="B3250" t="str">
        <f>"1552374650854465"</f>
        <v>1552374650854465</v>
      </c>
      <c r="C3250" t="s">
        <v>40</v>
      </c>
      <c r="D3250">
        <v>5.388782</v>
      </c>
      <c r="E3250">
        <v>0.48589880000000002</v>
      </c>
      <c r="F3250" t="s">
        <v>70</v>
      </c>
      <c r="G3250">
        <v>-107.39749999999999</v>
      </c>
      <c r="H3250">
        <v>5.191751</v>
      </c>
      <c r="I3250">
        <v>214.16309999999999</v>
      </c>
      <c r="J3250">
        <v>-335.08519999999999</v>
      </c>
      <c r="K3250">
        <v>1.108484</v>
      </c>
      <c r="L3250">
        <v>214.5498</v>
      </c>
      <c r="M3250">
        <v>0.99993600000000005</v>
      </c>
      <c r="N3250">
        <v>0</v>
      </c>
      <c r="O3250">
        <v>-8.0410050000000004E-3</v>
      </c>
      <c r="P3250">
        <v>0.9971122</v>
      </c>
      <c r="Q3250">
        <v>6.5806009999999998E-2</v>
      </c>
      <c r="R3250">
        <v>-3.7905179999999997E-2</v>
      </c>
      <c r="S3250">
        <v>3.004883</v>
      </c>
      <c r="T3250">
        <v>5.3785920000000001E-2</v>
      </c>
      <c r="U3250">
        <v>-5.1422120000000002E-3</v>
      </c>
      <c r="V3250">
        <v>3.0000789999999999E-2</v>
      </c>
      <c r="W3250">
        <v>7.369299E-2</v>
      </c>
      <c r="X3250">
        <v>0.99682959999999998</v>
      </c>
      <c r="Y3250">
        <v>-6.3277180000000004E-3</v>
      </c>
      <c r="Z3250">
        <v>-2.005485E-4</v>
      </c>
      <c r="AA3250">
        <v>0.99997999999999998</v>
      </c>
      <c r="AB3250">
        <v>42</v>
      </c>
      <c r="AC3250">
        <v>227.68770000000001</v>
      </c>
      <c r="AD3250">
        <v>4.0832670000000002</v>
      </c>
      <c r="AE3250">
        <v>-0.38670000000001797</v>
      </c>
      <c r="AF3250">
        <v>-1.44374409185529</v>
      </c>
      <c r="AG3250">
        <v>4.0832670000000002</v>
      </c>
      <c r="AH3250">
        <v>227.61024540292701</v>
      </c>
      <c r="AI3250">
        <v>88.972259938446001</v>
      </c>
      <c r="AJ3250">
        <v>90.363425353019295</v>
      </c>
      <c r="AK3250">
        <v>227.651446906838</v>
      </c>
      <c r="AL3250">
        <v>85.773871588477405</v>
      </c>
      <c r="AM3250">
        <v>88.276134714908807</v>
      </c>
      <c r="AN3250">
        <v>0.99999997780596095</v>
      </c>
    </row>
    <row r="3251" spans="1:40" x14ac:dyDescent="0.25">
      <c r="A3251" t="str">
        <f>"20190312151050884"</f>
        <v>20190312151050884</v>
      </c>
      <c r="B3251" t="str">
        <f>"1552374650873982"</f>
        <v>1552374650873982</v>
      </c>
      <c r="C3251" t="s">
        <v>40</v>
      </c>
      <c r="D3251">
        <v>5.7925779999999998</v>
      </c>
      <c r="E3251">
        <v>0.48596</v>
      </c>
      <c r="F3251" t="s">
        <v>70</v>
      </c>
      <c r="G3251">
        <v>-107.39749999999999</v>
      </c>
      <c r="H3251">
        <v>5.4668659999999996</v>
      </c>
      <c r="I3251">
        <v>214.57300000000001</v>
      </c>
      <c r="J3251">
        <v>-334.63569999999999</v>
      </c>
      <c r="K3251">
        <v>1.1084959999999999</v>
      </c>
      <c r="L3251">
        <v>214.54580000000001</v>
      </c>
      <c r="M3251">
        <v>0.99993069999999895</v>
      </c>
      <c r="N3251">
        <v>0</v>
      </c>
      <c r="O3251">
        <v>-8.6227960000000003E-3</v>
      </c>
      <c r="P3251">
        <v>0.99706439999999996</v>
      </c>
      <c r="Q3251">
        <v>6.6672629999999997E-2</v>
      </c>
      <c r="R3251">
        <v>-3.7654220000000002E-2</v>
      </c>
      <c r="S3251">
        <v>3.0049130000000002</v>
      </c>
      <c r="T3251">
        <v>5.7520509999999997E-2</v>
      </c>
      <c r="U3251">
        <v>3.0517579999999998E-4</v>
      </c>
      <c r="V3251">
        <v>2.9171659999999999E-2</v>
      </c>
      <c r="W3251">
        <v>7.4617890000000006E-2</v>
      </c>
      <c r="X3251">
        <v>0.99678540000000004</v>
      </c>
      <c r="Y3251">
        <v>-8.7214509999999999E-3</v>
      </c>
      <c r="Z3251">
        <v>-2.485136E-4</v>
      </c>
      <c r="AA3251">
        <v>0.99996189999999996</v>
      </c>
      <c r="AB3251">
        <v>43</v>
      </c>
      <c r="AC3251">
        <v>227.23820000000001</v>
      </c>
      <c r="AD3251">
        <v>4.3583699999999999</v>
      </c>
      <c r="AE3251">
        <v>2.7199999999964999E-2</v>
      </c>
      <c r="AF3251">
        <v>-1.9859600129479</v>
      </c>
      <c r="AG3251">
        <v>4.3583699999999999</v>
      </c>
      <c r="AH3251">
        <v>227.14595839809499</v>
      </c>
      <c r="AI3251">
        <v>88.900812369802097</v>
      </c>
      <c r="AJ3251">
        <v>90.500930012553795</v>
      </c>
      <c r="AK3251">
        <v>227.19644768970099</v>
      </c>
      <c r="AL3251">
        <v>85.720732396158994</v>
      </c>
      <c r="AM3251">
        <v>88.323675221069905</v>
      </c>
      <c r="AN3251">
        <v>0.99999997445418298</v>
      </c>
    </row>
    <row r="3252" spans="1:40" x14ac:dyDescent="0.25">
      <c r="A3252" t="str">
        <f>"20190312151050907"</f>
        <v>20190312151050907</v>
      </c>
      <c r="B3252" t="str">
        <f>"1552374650904238"</f>
        <v>1552374650904238</v>
      </c>
      <c r="C3252" t="s">
        <v>40</v>
      </c>
      <c r="D3252">
        <v>5.3325990000000001</v>
      </c>
      <c r="E3252">
        <v>0.48608590000000002</v>
      </c>
      <c r="F3252" t="s">
        <v>70</v>
      </c>
      <c r="G3252">
        <v>-107.39749999999999</v>
      </c>
      <c r="H3252">
        <v>5.6847629999999896</v>
      </c>
      <c r="I3252">
        <v>214.60230000000001</v>
      </c>
      <c r="J3252">
        <v>-334.2079</v>
      </c>
      <c r="K3252">
        <v>1.108506</v>
      </c>
      <c r="L3252">
        <v>214.54169999999999</v>
      </c>
      <c r="M3252">
        <v>0.99992539999999996</v>
      </c>
      <c r="N3252">
        <v>0</v>
      </c>
      <c r="O3252">
        <v>-9.1760680000000008E-3</v>
      </c>
      <c r="P3252">
        <v>0.99697880000000005</v>
      </c>
      <c r="Q3252">
        <v>6.8092609999999998E-2</v>
      </c>
      <c r="R3252">
        <v>-3.7377680000000003E-2</v>
      </c>
      <c r="S3252">
        <v>3.0047609999999998</v>
      </c>
      <c r="T3252">
        <v>6.0512419999999997E-2</v>
      </c>
      <c r="U3252">
        <v>7.4768070000000005E-4</v>
      </c>
      <c r="V3252">
        <v>2.8346610000000001E-2</v>
      </c>
      <c r="W3252">
        <v>7.6089030000000002E-2</v>
      </c>
      <c r="X3252">
        <v>0.99669799999999997</v>
      </c>
      <c r="Y3252">
        <v>-9.4214169999999996E-3</v>
      </c>
      <c r="Z3252">
        <v>-2.7963949999999999E-4</v>
      </c>
      <c r="AA3252">
        <v>0.99995560000000006</v>
      </c>
      <c r="AB3252">
        <v>43</v>
      </c>
      <c r="AC3252">
        <v>226.81039999999999</v>
      </c>
      <c r="AD3252">
        <v>4.5762569999999902</v>
      </c>
      <c r="AE3252">
        <v>6.0600000000022101E-2</v>
      </c>
      <c r="AF3252">
        <v>-2.1410211420288801</v>
      </c>
      <c r="AG3252">
        <v>4.5762569999999902</v>
      </c>
      <c r="AH3252">
        <v>226.70800284750999</v>
      </c>
      <c r="AI3252">
        <v>88.843653871012407</v>
      </c>
      <c r="AJ3252">
        <v>90.541082921576503</v>
      </c>
      <c r="AK3252">
        <v>226.76429316532</v>
      </c>
      <c r="AL3252">
        <v>85.636201998293302</v>
      </c>
      <c r="AM3252">
        <v>88.370917342830097</v>
      </c>
      <c r="AN3252">
        <v>0.99999998699441595</v>
      </c>
    </row>
    <row r="3253" spans="1:40" x14ac:dyDescent="0.25">
      <c r="A3253" t="str">
        <f>"20190312151050928"</f>
        <v>20190312151050928</v>
      </c>
      <c r="B3253" t="str">
        <f>"1552374650923759"</f>
        <v>1552374650923759</v>
      </c>
      <c r="C3253" t="s">
        <v>40</v>
      </c>
      <c r="D3253">
        <v>5.679856</v>
      </c>
      <c r="E3253">
        <v>0.48635080000000003</v>
      </c>
      <c r="F3253" t="s">
        <v>70</v>
      </c>
      <c r="G3253">
        <v>-107.39749999999999</v>
      </c>
      <c r="H3253">
        <v>6.1844999999999999</v>
      </c>
      <c r="I3253">
        <v>214.56700000000001</v>
      </c>
      <c r="J3253">
        <v>-333.80790000000002</v>
      </c>
      <c r="K3253">
        <v>1.1085100000000001</v>
      </c>
      <c r="L3253">
        <v>214.5377</v>
      </c>
      <c r="M3253">
        <v>0.99992009999999998</v>
      </c>
      <c r="N3253">
        <v>0</v>
      </c>
      <c r="O3253">
        <v>-9.6934329999999996E-3</v>
      </c>
      <c r="P3253">
        <v>0.99686960000000002</v>
      </c>
      <c r="Q3253">
        <v>6.9735099999999994E-2</v>
      </c>
      <c r="R3253">
        <v>-3.7258439999999997E-2</v>
      </c>
      <c r="S3253">
        <v>3.0045169999999999</v>
      </c>
      <c r="T3253">
        <v>6.7241430000000005E-2</v>
      </c>
      <c r="U3253">
        <v>3.3569339999999902E-4</v>
      </c>
      <c r="V3253">
        <v>2.771556E-2</v>
      </c>
      <c r="W3253">
        <v>7.7777739999999998E-2</v>
      </c>
      <c r="X3253">
        <v>0.99658539999999995</v>
      </c>
      <c r="Y3253">
        <v>-9.8005939999999993E-3</v>
      </c>
      <c r="Z3253">
        <v>-3.2657310000000001E-4</v>
      </c>
      <c r="AA3253">
        <v>0.9999519</v>
      </c>
      <c r="AB3253">
        <v>43</v>
      </c>
      <c r="AC3253">
        <v>226.41040000000001</v>
      </c>
      <c r="AD3253">
        <v>5.07599</v>
      </c>
      <c r="AE3253">
        <v>2.93000000000063E-2</v>
      </c>
      <c r="AF3253">
        <v>-2.22294758814868</v>
      </c>
      <c r="AG3253">
        <v>5.07599</v>
      </c>
      <c r="AH3253">
        <v>226.28573986781399</v>
      </c>
      <c r="AI3253">
        <v>88.715031655329398</v>
      </c>
      <c r="AJ3253">
        <v>90.562834485766302</v>
      </c>
      <c r="AK3253">
        <v>226.353580130696</v>
      </c>
      <c r="AL3253">
        <v>85.539158447728994</v>
      </c>
      <c r="AM3253">
        <v>88.406985082275199</v>
      </c>
      <c r="AN3253">
        <v>0.99999999429939002</v>
      </c>
    </row>
    <row r="3254" spans="1:40" x14ac:dyDescent="0.25">
      <c r="A3254" t="str">
        <f>"20190312151050951"</f>
        <v>20190312151050951</v>
      </c>
      <c r="B3254" t="str">
        <f>"1552374650944254"</f>
        <v>1552374650944254</v>
      </c>
      <c r="C3254" t="s">
        <v>40</v>
      </c>
      <c r="D3254">
        <v>5.389005</v>
      </c>
      <c r="E3254">
        <v>0.48645070000000001</v>
      </c>
      <c r="F3254" t="s">
        <v>70</v>
      </c>
      <c r="G3254">
        <v>-107.39749999999999</v>
      </c>
      <c r="H3254">
        <v>6.6929339999999904</v>
      </c>
      <c r="I3254">
        <v>214.4307</v>
      </c>
      <c r="J3254">
        <v>-333.37369999999999</v>
      </c>
      <c r="K3254">
        <v>1.108517</v>
      </c>
      <c r="L3254">
        <v>214.53309999999999</v>
      </c>
      <c r="M3254">
        <v>0.99991430000000003</v>
      </c>
      <c r="N3254">
        <v>0</v>
      </c>
      <c r="O3254">
        <v>-1.025445E-2</v>
      </c>
      <c r="P3254">
        <v>0.99680939999999996</v>
      </c>
      <c r="Q3254">
        <v>7.0740479999999994E-2</v>
      </c>
      <c r="R3254">
        <v>-3.6977240000000001E-2</v>
      </c>
      <c r="S3254">
        <v>3.004181</v>
      </c>
      <c r="T3254">
        <v>7.4098940000000002E-2</v>
      </c>
      <c r="U3254">
        <v>-1.419067E-3</v>
      </c>
      <c r="V3254">
        <v>2.6877560000000002E-2</v>
      </c>
      <c r="W3254">
        <v>7.8834489999999993E-2</v>
      </c>
      <c r="X3254">
        <v>0.99652529999999995</v>
      </c>
      <c r="Y3254">
        <v>-9.7763580000000006E-3</v>
      </c>
      <c r="Z3254">
        <v>-3.7344519999999999E-4</v>
      </c>
      <c r="AA3254">
        <v>0.99995210000000001</v>
      </c>
      <c r="AB3254">
        <v>43</v>
      </c>
      <c r="AC3254">
        <v>225.97620000000001</v>
      </c>
      <c r="AD3254">
        <v>5.5844169999999904</v>
      </c>
      <c r="AE3254">
        <v>-0.102399999999988</v>
      </c>
      <c r="AF3254">
        <v>-2.2135919310606602</v>
      </c>
      <c r="AG3254">
        <v>5.5844169999999904</v>
      </c>
      <c r="AH3254">
        <v>225.82745432222799</v>
      </c>
      <c r="AI3254">
        <v>88.583507177758605</v>
      </c>
      <c r="AJ3254">
        <v>90.561603166552601</v>
      </c>
      <c r="AK3254">
        <v>225.907336817832</v>
      </c>
      <c r="AL3254">
        <v>85.478424558612801</v>
      </c>
      <c r="AM3254">
        <v>88.455034209991496</v>
      </c>
      <c r="AN3254">
        <v>0.999999976792601</v>
      </c>
    </row>
    <row r="3255" spans="1:40" x14ac:dyDescent="0.25">
      <c r="A3255" t="str">
        <f>"20190312151050973"</f>
        <v>20190312151050973</v>
      </c>
      <c r="B3255" t="str">
        <f>"1552374650963778"</f>
        <v>1552374650963778</v>
      </c>
      <c r="C3255" t="s">
        <v>40</v>
      </c>
      <c r="D3255">
        <v>5.3779810000000001</v>
      </c>
      <c r="E3255">
        <v>0.48681479999999999</v>
      </c>
      <c r="F3255" t="s">
        <v>70</v>
      </c>
      <c r="G3255">
        <v>-107.39749999999999</v>
      </c>
      <c r="H3255">
        <v>7.049614</v>
      </c>
      <c r="I3255">
        <v>214.4263</v>
      </c>
      <c r="J3255">
        <v>-332.94920000000002</v>
      </c>
      <c r="K3255">
        <v>1.108522</v>
      </c>
      <c r="L3255">
        <v>214.5283</v>
      </c>
      <c r="M3255">
        <v>0.99990800000000002</v>
      </c>
      <c r="N3255">
        <v>0</v>
      </c>
      <c r="O3255">
        <v>-1.0802580000000001E-2</v>
      </c>
      <c r="P3255">
        <v>0.99676770000000003</v>
      </c>
      <c r="Q3255">
        <v>7.1596789999999993E-2</v>
      </c>
      <c r="R3255">
        <v>-3.6444360000000002E-2</v>
      </c>
      <c r="S3255">
        <v>3.0039060000000002</v>
      </c>
      <c r="T3255">
        <v>7.8975799999999999E-2</v>
      </c>
      <c r="U3255">
        <v>-1.419067E-3</v>
      </c>
      <c r="V3255">
        <v>2.5800340000000001E-2</v>
      </c>
      <c r="W3255">
        <v>7.9739530000000003E-2</v>
      </c>
      <c r="X3255">
        <v>0.99648179999999997</v>
      </c>
      <c r="Y3255">
        <v>-1.0323260000000001E-2</v>
      </c>
      <c r="Z3255">
        <v>-4.196483E-4</v>
      </c>
      <c r="AA3255">
        <v>0.99994669999999997</v>
      </c>
      <c r="AB3255">
        <v>43</v>
      </c>
      <c r="AC3255">
        <v>225.55170000000001</v>
      </c>
      <c r="AD3255">
        <v>5.9410920000000003</v>
      </c>
      <c r="AE3255">
        <v>-0.102000000000003</v>
      </c>
      <c r="AF3255">
        <v>-2.3330095597948302</v>
      </c>
      <c r="AG3255">
        <v>5.9410920000000003</v>
      </c>
      <c r="AH3255">
        <v>225.383267112651</v>
      </c>
      <c r="AI3255">
        <v>88.490116546902101</v>
      </c>
      <c r="AJ3255">
        <v>90.593064556577005</v>
      </c>
      <c r="AK3255">
        <v>225.47362728738599</v>
      </c>
      <c r="AL3255">
        <v>85.426405989788606</v>
      </c>
      <c r="AM3255">
        <v>88.516861620835897</v>
      </c>
      <c r="AN3255">
        <v>1.0000000139599801</v>
      </c>
    </row>
    <row r="3256" spans="1:40" x14ac:dyDescent="0.25">
      <c r="A3256" t="str">
        <f>"20190312151050995"</f>
        <v>20190312151050995</v>
      </c>
      <c r="B3256" t="str">
        <f>"1552374650984271"</f>
        <v>1552374650984271</v>
      </c>
      <c r="C3256" t="s">
        <v>40</v>
      </c>
      <c r="D3256">
        <v>5.3172730000000001</v>
      </c>
      <c r="E3256">
        <v>0.4870543</v>
      </c>
      <c r="F3256" t="s">
        <v>70</v>
      </c>
      <c r="G3256">
        <v>-107.39749999999999</v>
      </c>
      <c r="H3256">
        <v>7.5012879999999997</v>
      </c>
      <c r="I3256">
        <v>214.31399999999999</v>
      </c>
      <c r="J3256">
        <v>-332.50959999999998</v>
      </c>
      <c r="K3256">
        <v>1.1085149999999999</v>
      </c>
      <c r="L3256">
        <v>214.5231</v>
      </c>
      <c r="M3256">
        <v>0.99990140000000005</v>
      </c>
      <c r="N3256">
        <v>0</v>
      </c>
      <c r="O3256">
        <v>-1.137025E-2</v>
      </c>
      <c r="P3256">
        <v>0.99677559999999998</v>
      </c>
      <c r="Q3256">
        <v>7.150629E-2</v>
      </c>
      <c r="R3256">
        <v>-3.6412559999999997E-2</v>
      </c>
      <c r="S3256">
        <v>3.0035099999999999</v>
      </c>
      <c r="T3256">
        <v>8.5128549999999997E-2</v>
      </c>
      <c r="U3256">
        <v>-2.853394E-3</v>
      </c>
      <c r="V3256">
        <v>2.520267E-2</v>
      </c>
      <c r="W3256">
        <v>7.969532E-2</v>
      </c>
      <c r="X3256">
        <v>0.99650059999999996</v>
      </c>
      <c r="Y3256">
        <v>-1.041193E-2</v>
      </c>
      <c r="Z3256">
        <v>-4.697309E-4</v>
      </c>
      <c r="AA3256">
        <v>0.99994570000000005</v>
      </c>
      <c r="AB3256">
        <v>43</v>
      </c>
      <c r="AC3256">
        <v>225.1121</v>
      </c>
      <c r="AD3256">
        <v>6.392773</v>
      </c>
      <c r="AE3256">
        <v>-0.209099999999978</v>
      </c>
      <c r="AF3256">
        <v>-2.3486871727690399</v>
      </c>
      <c r="AG3256">
        <v>6.392773</v>
      </c>
      <c r="AH3256">
        <v>224.91853776848501</v>
      </c>
      <c r="AI3256">
        <v>88.372031140352405</v>
      </c>
      <c r="AJ3256">
        <v>90.598283150546706</v>
      </c>
      <c r="AK3256">
        <v>225.021626760581</v>
      </c>
      <c r="AL3256">
        <v>85.428946977845001</v>
      </c>
      <c r="AM3256">
        <v>88.551231320454605</v>
      </c>
      <c r="AN3256">
        <v>0.99999998220269504</v>
      </c>
    </row>
    <row r="3257" spans="1:40" x14ac:dyDescent="0.25">
      <c r="A3257" t="str">
        <f>"20190312151051018"</f>
        <v>20190312151051018</v>
      </c>
      <c r="B3257" t="str">
        <f>"1552374651014526"</f>
        <v>1552374651014526</v>
      </c>
      <c r="C3257" t="s">
        <v>40</v>
      </c>
      <c r="D3257">
        <v>5.3108279999999999</v>
      </c>
      <c r="E3257">
        <v>0.48739949999999999</v>
      </c>
      <c r="F3257" t="s">
        <v>70</v>
      </c>
      <c r="G3257">
        <v>-107.39749999999999</v>
      </c>
      <c r="H3257">
        <v>7.4254399999999903</v>
      </c>
      <c r="I3257">
        <v>214.1858</v>
      </c>
      <c r="J3257">
        <v>-332.08760000000001</v>
      </c>
      <c r="K3257">
        <v>1.1085119999999999</v>
      </c>
      <c r="L3257">
        <v>214.518</v>
      </c>
      <c r="M3257">
        <v>0.99989479999999997</v>
      </c>
      <c r="N3257">
        <v>0</v>
      </c>
      <c r="O3257">
        <v>-1.1914879999999999E-2</v>
      </c>
      <c r="P3257">
        <v>0.99677629999999995</v>
      </c>
      <c r="Q3257">
        <v>7.1461759999999999E-2</v>
      </c>
      <c r="R3257">
        <v>-3.6475680000000003E-2</v>
      </c>
      <c r="S3257">
        <v>3.0035099999999999</v>
      </c>
      <c r="T3257">
        <v>8.4282880000000004E-2</v>
      </c>
      <c r="U3257">
        <v>-4.5013429999999997E-3</v>
      </c>
      <c r="V3257">
        <v>2.4723080000000001E-2</v>
      </c>
      <c r="W3257">
        <v>7.9691049999999999E-2</v>
      </c>
      <c r="X3257">
        <v>0.99651290000000003</v>
      </c>
      <c r="Y3257">
        <v>-1.0407909999999999E-2</v>
      </c>
      <c r="Z3257">
        <v>-4.802896E-4</v>
      </c>
      <c r="AA3257">
        <v>0.99994570000000005</v>
      </c>
      <c r="AB3257">
        <v>43</v>
      </c>
      <c r="AC3257">
        <v>224.6901</v>
      </c>
      <c r="AD3257">
        <v>6.3169279999999901</v>
      </c>
      <c r="AE3257">
        <v>-0.3322</v>
      </c>
      <c r="AF3257">
        <v>-2.3432186943120499</v>
      </c>
      <c r="AG3257">
        <v>6.3169279999999901</v>
      </c>
      <c r="AH3257">
        <v>224.50066387694099</v>
      </c>
      <c r="AI3257">
        <v>88.388342654139805</v>
      </c>
      <c r="AJ3257">
        <v>90.598001201083505</v>
      </c>
      <c r="AK3257">
        <v>224.601741610331</v>
      </c>
      <c r="AL3257">
        <v>85.429192158589402</v>
      </c>
      <c r="AM3257">
        <v>88.578806540315696</v>
      </c>
      <c r="AN3257">
        <v>0.99999992700059603</v>
      </c>
    </row>
    <row r="3258" spans="1:40" x14ac:dyDescent="0.25">
      <c r="A3258" t="str">
        <f>"20190312151051040"</f>
        <v>20190312151051040</v>
      </c>
      <c r="B3258" t="str">
        <f>"1552374651034048"</f>
        <v>1552374651034048</v>
      </c>
      <c r="C3258" t="s">
        <v>40</v>
      </c>
      <c r="D3258">
        <v>5.6691419999999999</v>
      </c>
      <c r="E3258">
        <v>0.48759249999999998</v>
      </c>
      <c r="F3258" t="s">
        <v>70</v>
      </c>
      <c r="G3258">
        <v>-107.39749999999999</v>
      </c>
      <c r="H3258">
        <v>7.5164089999999897</v>
      </c>
      <c r="I3258">
        <v>213.97229999999999</v>
      </c>
      <c r="J3258">
        <v>-331.654</v>
      </c>
      <c r="K3258">
        <v>1.1085119999999999</v>
      </c>
      <c r="L3258">
        <v>214.51240000000001</v>
      </c>
      <c r="M3258">
        <v>0.99988750000000004</v>
      </c>
      <c r="N3258">
        <v>0</v>
      </c>
      <c r="O3258">
        <v>-1.247357E-2</v>
      </c>
      <c r="P3258">
        <v>0.99679150000000005</v>
      </c>
      <c r="Q3258">
        <v>7.1200760000000002E-2</v>
      </c>
      <c r="R3258">
        <v>-3.6565670000000002E-2</v>
      </c>
      <c r="S3258">
        <v>3.0032960000000002</v>
      </c>
      <c r="T3258">
        <v>8.5651160000000004E-2</v>
      </c>
      <c r="U3258">
        <v>-7.2937009999999997E-3</v>
      </c>
      <c r="V3258">
        <v>2.425561E-2</v>
      </c>
      <c r="W3258">
        <v>7.9467650000000001E-2</v>
      </c>
      <c r="X3258">
        <v>0.99654229999999999</v>
      </c>
      <c r="Y3258">
        <v>-1.0036450000000001E-2</v>
      </c>
      <c r="Z3258">
        <v>-4.987514E-4</v>
      </c>
      <c r="AA3258">
        <v>0.99994950000000005</v>
      </c>
      <c r="AB3258">
        <v>43</v>
      </c>
      <c r="AC3258">
        <v>224.25649999999999</v>
      </c>
      <c r="AD3258">
        <v>6.4078969999999904</v>
      </c>
      <c r="AE3258">
        <v>-0.54010000000002301</v>
      </c>
      <c r="AF3258">
        <v>-2.2554767178135702</v>
      </c>
      <c r="AG3258">
        <v>6.4078969999999904</v>
      </c>
      <c r="AH3258">
        <v>224.062849448311</v>
      </c>
      <c r="AI3258">
        <v>88.361946994610705</v>
      </c>
      <c r="AJ3258">
        <v>90.576735198985403</v>
      </c>
      <c r="AK3258">
        <v>224.16580654079101</v>
      </c>
      <c r="AL3258">
        <v>85.442033088411193</v>
      </c>
      <c r="AM3258">
        <v>88.605709220173594</v>
      </c>
      <c r="AN3258">
        <v>0.99999999885114199</v>
      </c>
    </row>
    <row r="3259" spans="1:40" x14ac:dyDescent="0.25">
      <c r="A3259" t="str">
        <f>"20190312151051063"</f>
        <v>20190312151051063</v>
      </c>
      <c r="B3259" t="str">
        <f>"1552374651054542"</f>
        <v>1552374651054542</v>
      </c>
      <c r="C3259" t="s">
        <v>40</v>
      </c>
      <c r="D3259">
        <v>5.3172449999999998</v>
      </c>
      <c r="E3259">
        <v>0.4877803</v>
      </c>
      <c r="F3259" t="s">
        <v>70</v>
      </c>
      <c r="G3259">
        <v>-107.39749999999999</v>
      </c>
      <c r="H3259">
        <v>7.4446580000000004</v>
      </c>
      <c r="I3259">
        <v>213.82650000000001</v>
      </c>
      <c r="J3259">
        <v>-331.21929999999998</v>
      </c>
      <c r="K3259">
        <v>1.1085160000000001</v>
      </c>
      <c r="L3259">
        <v>214.50649999999999</v>
      </c>
      <c r="M3259">
        <v>0.99987999999999999</v>
      </c>
      <c r="N3259">
        <v>0</v>
      </c>
      <c r="O3259">
        <v>-1.303439E-2</v>
      </c>
      <c r="P3259">
        <v>0.99678520000000004</v>
      </c>
      <c r="Q3259">
        <v>7.1179210000000007E-2</v>
      </c>
      <c r="R3259">
        <v>-3.6779949999999999E-2</v>
      </c>
      <c r="S3259">
        <v>3.0032649999999999</v>
      </c>
      <c r="T3259">
        <v>8.4854959999999993E-2</v>
      </c>
      <c r="U3259">
        <v>-9.1857910000000004E-3</v>
      </c>
      <c r="V3259">
        <v>2.3911040000000001E-2</v>
      </c>
      <c r="W3259">
        <v>7.9480010000000004E-2</v>
      </c>
      <c r="X3259">
        <v>0.99654969999999998</v>
      </c>
      <c r="Y3259">
        <v>-9.9672790000000008E-3</v>
      </c>
      <c r="Z3259">
        <v>-5.0898610000000004E-4</v>
      </c>
      <c r="AA3259">
        <v>0.99995020000000001</v>
      </c>
      <c r="AB3259">
        <v>43</v>
      </c>
      <c r="AC3259">
        <v>223.8218</v>
      </c>
      <c r="AD3259">
        <v>6.3361419999999997</v>
      </c>
      <c r="AE3259">
        <v>-0.67999999999997796</v>
      </c>
      <c r="AF3259">
        <v>-2.2357489530767198</v>
      </c>
      <c r="AG3259">
        <v>6.3361419999999997</v>
      </c>
      <c r="AH3259">
        <v>223.63243281505501</v>
      </c>
      <c r="AI3259">
        <v>88.377163057934396</v>
      </c>
      <c r="AJ3259">
        <v>90.572791298366297</v>
      </c>
      <c r="AK3259">
        <v>223.73334636483099</v>
      </c>
      <c r="AL3259">
        <v>85.441322932015893</v>
      </c>
      <c r="AM3259">
        <v>88.6255187658561</v>
      </c>
      <c r="AN3259">
        <v>1.00000005719678</v>
      </c>
    </row>
    <row r="3260" spans="1:40" x14ac:dyDescent="0.25">
      <c r="A3260" t="str">
        <f>"20190312151051085"</f>
        <v>20190312151051085</v>
      </c>
      <c r="B3260" t="str">
        <f>"1552374651074062"</f>
        <v>1552374651074062</v>
      </c>
      <c r="C3260" t="s">
        <v>40</v>
      </c>
      <c r="D3260">
        <v>5.3141629999999997</v>
      </c>
      <c r="E3260">
        <v>0.48779109999999998</v>
      </c>
      <c r="F3260" t="s">
        <v>70</v>
      </c>
      <c r="G3260">
        <v>-107.39749999999999</v>
      </c>
      <c r="H3260">
        <v>7.4236309999999897</v>
      </c>
      <c r="I3260">
        <v>213.66499999999999</v>
      </c>
      <c r="J3260">
        <v>-330.77480000000003</v>
      </c>
      <c r="K3260">
        <v>1.108511</v>
      </c>
      <c r="L3260">
        <v>214.50040000000001</v>
      </c>
      <c r="M3260">
        <v>0.99987219999999999</v>
      </c>
      <c r="N3260">
        <v>0</v>
      </c>
      <c r="O3260">
        <v>-1.360724E-2</v>
      </c>
      <c r="P3260">
        <v>0.99678710000000004</v>
      </c>
      <c r="Q3260">
        <v>7.0956060000000001E-2</v>
      </c>
      <c r="R3260">
        <v>-3.7160360000000003E-2</v>
      </c>
      <c r="S3260">
        <v>3.0032040000000002</v>
      </c>
      <c r="T3260">
        <v>8.4735870000000005E-2</v>
      </c>
      <c r="U3260">
        <v>-1.1291499999999999E-2</v>
      </c>
      <c r="V3260">
        <v>2.3719980000000002E-2</v>
      </c>
      <c r="W3260">
        <v>7.9290349999999996E-2</v>
      </c>
      <c r="X3260">
        <v>0.99656929999999999</v>
      </c>
      <c r="Y3260">
        <v>-9.8388499999999997E-3</v>
      </c>
      <c r="Z3260">
        <v>-5.2262909999999997E-4</v>
      </c>
      <c r="AA3260">
        <v>0.99995149999999999</v>
      </c>
      <c r="AB3260">
        <v>43</v>
      </c>
      <c r="AC3260">
        <v>223.37729999999999</v>
      </c>
      <c r="AD3260">
        <v>6.3151199999999896</v>
      </c>
      <c r="AE3260">
        <v>-0.83540000000002101</v>
      </c>
      <c r="AF3260">
        <v>-2.2025725274845902</v>
      </c>
      <c r="AG3260">
        <v>6.3151199999999896</v>
      </c>
      <c r="AH3260">
        <v>223.18960272140799</v>
      </c>
      <c r="AI3260">
        <v>88.379334874949905</v>
      </c>
      <c r="AJ3260">
        <v>90.565411702888994</v>
      </c>
      <c r="AK3260">
        <v>223.28979114436299</v>
      </c>
      <c r="AL3260">
        <v>85.452223716290604</v>
      </c>
      <c r="AM3260">
        <v>88.636524134956304</v>
      </c>
      <c r="AN3260">
        <v>0.99999998337840601</v>
      </c>
    </row>
    <row r="3261" spans="1:40" x14ac:dyDescent="0.25">
      <c r="A3261" t="str">
        <f>"20190312151051108"</f>
        <v>20190312151051108</v>
      </c>
      <c r="B3261" t="str">
        <f>"1552374651103850"</f>
        <v>1552374651103850</v>
      </c>
      <c r="C3261" t="s">
        <v>40</v>
      </c>
      <c r="D3261">
        <v>5.6250410000000004</v>
      </c>
      <c r="E3261">
        <v>0.48297970000000001</v>
      </c>
      <c r="F3261" t="s">
        <v>70</v>
      </c>
      <c r="G3261">
        <v>-107.39749999999999</v>
      </c>
      <c r="H3261">
        <v>7.3071989999999998</v>
      </c>
      <c r="I3261">
        <v>213.5641</v>
      </c>
      <c r="J3261">
        <v>-330.33960000000002</v>
      </c>
      <c r="K3261">
        <v>1.108509</v>
      </c>
      <c r="L3261">
        <v>214.494</v>
      </c>
      <c r="M3261">
        <v>0.99986410000000003</v>
      </c>
      <c r="N3261">
        <v>0</v>
      </c>
      <c r="O3261">
        <v>-1.416746E-2</v>
      </c>
      <c r="P3261">
        <v>0.99677689999999997</v>
      </c>
      <c r="Q3261">
        <v>7.0937979999999998E-2</v>
      </c>
      <c r="R3261">
        <v>-3.746443E-2</v>
      </c>
      <c r="S3261">
        <v>3.0032960000000002</v>
      </c>
      <c r="T3261">
        <v>8.3341719999999994E-2</v>
      </c>
      <c r="U3261">
        <v>-1.2588500000000001E-2</v>
      </c>
      <c r="V3261">
        <v>2.346589E-2</v>
      </c>
      <c r="W3261">
        <v>7.9306039999999994E-2</v>
      </c>
      <c r="X3261">
        <v>0.99657410000000002</v>
      </c>
      <c r="Y3261">
        <v>-9.9674489999999998E-3</v>
      </c>
      <c r="Z3261">
        <v>-5.3134370000000001E-4</v>
      </c>
      <c r="AA3261">
        <v>0.99995020000000001</v>
      </c>
      <c r="AB3261">
        <v>43</v>
      </c>
      <c r="AC3261">
        <v>222.94210000000001</v>
      </c>
      <c r="AD3261">
        <v>6.19869</v>
      </c>
      <c r="AE3261">
        <v>-0.92990000000003203</v>
      </c>
      <c r="AF3261">
        <v>-2.2271071870363199</v>
      </c>
      <c r="AG3261">
        <v>6.19869</v>
      </c>
      <c r="AH3261">
        <v>222.760692590432</v>
      </c>
      <c r="AI3261">
        <v>88.406139747023303</v>
      </c>
      <c r="AJ3261">
        <v>90.572810173816407</v>
      </c>
      <c r="AK3261">
        <v>222.858048828189</v>
      </c>
      <c r="AL3261">
        <v>85.451322056079704</v>
      </c>
      <c r="AM3261">
        <v>88.651130848078097</v>
      </c>
      <c r="AN3261">
        <v>1.0000000163823899</v>
      </c>
    </row>
    <row r="3262" spans="1:40" x14ac:dyDescent="0.25">
      <c r="A3262" t="str">
        <f>"20190312151051129"</f>
        <v>20190312151051129</v>
      </c>
      <c r="B3262" t="str">
        <f>"1552374651124346"</f>
        <v>1552374651124346</v>
      </c>
      <c r="C3262" t="s">
        <v>40</v>
      </c>
      <c r="D3262">
        <v>5.7325910000000002</v>
      </c>
      <c r="E3262">
        <v>0.48309619999999998</v>
      </c>
      <c r="F3262" t="s">
        <v>70</v>
      </c>
      <c r="G3262">
        <v>-107.39749999999999</v>
      </c>
      <c r="H3262">
        <v>2.1473599999999999</v>
      </c>
      <c r="I3262">
        <v>216.41669999999999</v>
      </c>
      <c r="J3262">
        <v>-329.93389999999999</v>
      </c>
      <c r="K3262">
        <v>1.108511</v>
      </c>
      <c r="L3262">
        <v>214.4879</v>
      </c>
      <c r="M3262">
        <v>0.99985639999999998</v>
      </c>
      <c r="N3262">
        <v>0</v>
      </c>
      <c r="O3262">
        <v>-1.468976E-2</v>
      </c>
      <c r="P3262">
        <v>0.99672530000000004</v>
      </c>
      <c r="Q3262">
        <v>7.1237999999999996E-2</v>
      </c>
      <c r="R3262">
        <v>-3.8258809999999997E-2</v>
      </c>
      <c r="S3262">
        <v>3.009674</v>
      </c>
      <c r="T3262">
        <v>1.4024969999999999E-2</v>
      </c>
      <c r="U3262">
        <v>2.5955200000000001E-2</v>
      </c>
      <c r="V3262">
        <v>2.374099E-2</v>
      </c>
      <c r="W3262">
        <v>7.9635419999999998E-2</v>
      </c>
      <c r="X3262">
        <v>0.99654129999999996</v>
      </c>
      <c r="Y3262">
        <v>-2.3311999999999999E-2</v>
      </c>
      <c r="Z3262">
        <v>-1.2276910000000001E-4</v>
      </c>
      <c r="AA3262">
        <v>0.99972819999999996</v>
      </c>
      <c r="AB3262">
        <v>43</v>
      </c>
      <c r="AC3262">
        <v>222.53639999999999</v>
      </c>
      <c r="AD3262">
        <v>1.0388489999999999</v>
      </c>
      <c r="AE3262">
        <v>1.9287999999999901</v>
      </c>
      <c r="AF3262">
        <v>-5.1976016090874104</v>
      </c>
      <c r="AG3262">
        <v>1.0388489999999999</v>
      </c>
      <c r="AH3262">
        <v>222.479203944933</v>
      </c>
      <c r="AI3262">
        <v>89.732536824179604</v>
      </c>
      <c r="AJ3262">
        <v>91.338311487918205</v>
      </c>
      <c r="AK3262">
        <v>222.54233407983901</v>
      </c>
      <c r="AL3262">
        <v>85.432390013339898</v>
      </c>
      <c r="AM3262">
        <v>88.635278561874301</v>
      </c>
      <c r="AN3262">
        <v>0.99999999866522304</v>
      </c>
    </row>
    <row r="3263" spans="1:40" x14ac:dyDescent="0.25">
      <c r="A3263" t="str">
        <f>"20190312151051152"</f>
        <v>20190312151051152</v>
      </c>
      <c r="B3263" t="str">
        <f>"1552374651143866"</f>
        <v>1552374651143866</v>
      </c>
      <c r="C3263" t="s">
        <v>40</v>
      </c>
      <c r="D3263">
        <v>5.5615620000000003</v>
      </c>
      <c r="E3263">
        <v>0.48273909999999998</v>
      </c>
      <c r="F3263" t="s">
        <v>70</v>
      </c>
      <c r="G3263">
        <v>-107.39749999999999</v>
      </c>
      <c r="H3263">
        <v>2.205921</v>
      </c>
      <c r="I3263">
        <v>216.1678</v>
      </c>
      <c r="J3263">
        <v>-329.48750000000001</v>
      </c>
      <c r="K3263">
        <v>1.108517</v>
      </c>
      <c r="L3263">
        <v>214.48099999999999</v>
      </c>
      <c r="M3263">
        <v>0.9998475</v>
      </c>
      <c r="N3263">
        <v>0</v>
      </c>
      <c r="O3263">
        <v>-1.526404E-2</v>
      </c>
      <c r="P3263">
        <v>0.99666449999999995</v>
      </c>
      <c r="Q3263">
        <v>7.161708E-2</v>
      </c>
      <c r="R3263">
        <v>-3.9126889999999998E-2</v>
      </c>
      <c r="S3263">
        <v>3.009674</v>
      </c>
      <c r="T3263">
        <v>1.484251E-2</v>
      </c>
      <c r="U3263">
        <v>2.2720339999999999E-2</v>
      </c>
      <c r="V3263">
        <v>2.4038009999999999E-2</v>
      </c>
      <c r="W3263">
        <v>8.0044669999999998E-2</v>
      </c>
      <c r="X3263">
        <v>0.99650139999999998</v>
      </c>
      <c r="Y3263">
        <v>-2.2811700000000001E-2</v>
      </c>
      <c r="Z3263">
        <v>-1.3152420000000001E-4</v>
      </c>
      <c r="AA3263">
        <v>0.99973979999999996</v>
      </c>
      <c r="AB3263">
        <v>43</v>
      </c>
      <c r="AC3263">
        <v>222.09</v>
      </c>
      <c r="AD3263">
        <v>1.097404</v>
      </c>
      <c r="AE3263">
        <v>1.6868000000000001</v>
      </c>
      <c r="AF3263">
        <v>-5.0765921926092199</v>
      </c>
      <c r="AG3263">
        <v>1.097404</v>
      </c>
      <c r="AH3263">
        <v>222.032954993343</v>
      </c>
      <c r="AI3263">
        <v>89.716890325991201</v>
      </c>
      <c r="AJ3263">
        <v>91.309790420045502</v>
      </c>
      <c r="AK3263">
        <v>222.093694613118</v>
      </c>
      <c r="AL3263">
        <v>85.408866662762307</v>
      </c>
      <c r="AM3263">
        <v>88.618156007817404</v>
      </c>
      <c r="AN3263">
        <v>1.00000000766106</v>
      </c>
    </row>
    <row r="3264" spans="1:40" x14ac:dyDescent="0.25">
      <c r="A3264" t="str">
        <f>"20190312151051174"</f>
        <v>20190312151051174</v>
      </c>
      <c r="B3264" t="str">
        <f>"1552374651164361"</f>
        <v>1552374651164361</v>
      </c>
      <c r="C3264" t="s">
        <v>40</v>
      </c>
      <c r="D3264">
        <v>5.5822849999999997</v>
      </c>
      <c r="E3264">
        <v>0.4824273</v>
      </c>
      <c r="F3264" t="s">
        <v>70</v>
      </c>
      <c r="G3264">
        <v>-107.39749999999999</v>
      </c>
      <c r="H3264">
        <v>2.2277239999999998</v>
      </c>
      <c r="I3264">
        <v>216.17320000000001</v>
      </c>
      <c r="J3264">
        <v>-329.0487</v>
      </c>
      <c r="K3264">
        <v>1.1085179999999999</v>
      </c>
      <c r="L3264">
        <v>214.47380000000001</v>
      </c>
      <c r="M3264">
        <v>0.99983849999999996</v>
      </c>
      <c r="N3264">
        <v>0</v>
      </c>
      <c r="O3264">
        <v>-1.5828169999999999E-2</v>
      </c>
      <c r="P3264">
        <v>0.99660760000000004</v>
      </c>
      <c r="Q3264">
        <v>7.2156620000000005E-2</v>
      </c>
      <c r="R3264">
        <v>-3.9583640000000003E-2</v>
      </c>
      <c r="S3264">
        <v>3.0098569999999998</v>
      </c>
      <c r="T3264">
        <v>1.516867E-2</v>
      </c>
      <c r="U3264">
        <v>2.293396E-2</v>
      </c>
      <c r="V3264">
        <v>2.3934199999999999E-2</v>
      </c>
      <c r="W3264">
        <v>8.0611719999999998E-2</v>
      </c>
      <c r="X3264">
        <v>0.99645819999999996</v>
      </c>
      <c r="Y3264">
        <v>-2.3446229999999998E-2</v>
      </c>
      <c r="Z3264">
        <v>-1.388479E-4</v>
      </c>
      <c r="AA3264">
        <v>0.99972510000000003</v>
      </c>
      <c r="AB3264">
        <v>43</v>
      </c>
      <c r="AC3264">
        <v>221.65119999999999</v>
      </c>
      <c r="AD3264">
        <v>1.1192059999999999</v>
      </c>
      <c r="AE3264">
        <v>1.69939999999999</v>
      </c>
      <c r="AF3264">
        <v>-5.2075142879082801</v>
      </c>
      <c r="AG3264">
        <v>1.1192059999999999</v>
      </c>
      <c r="AH3264">
        <v>221.590882186979</v>
      </c>
      <c r="AI3264">
        <v>89.710694165443599</v>
      </c>
      <c r="AJ3264">
        <v>91.346236263443302</v>
      </c>
      <c r="AK3264">
        <v>221.65488917579199</v>
      </c>
      <c r="AL3264">
        <v>85.376271815787803</v>
      </c>
      <c r="AM3264">
        <v>88.624061682505001</v>
      </c>
      <c r="AN3264">
        <v>1.0000000198391099</v>
      </c>
    </row>
    <row r="3265" spans="1:40" x14ac:dyDescent="0.25">
      <c r="A3265" t="str">
        <f>"20190312151051196"</f>
        <v>20190312151051196</v>
      </c>
      <c r="B3265" t="str">
        <f>"1552374651183882"</f>
        <v>1552374651183882</v>
      </c>
      <c r="C3265" t="s">
        <v>40</v>
      </c>
      <c r="D3265">
        <v>5.5935969999999999</v>
      </c>
      <c r="E3265">
        <v>0.48253849999999998</v>
      </c>
      <c r="F3265" t="s">
        <v>70</v>
      </c>
      <c r="G3265">
        <v>-107.39749999999999</v>
      </c>
      <c r="H3265">
        <v>2.4726810000000001</v>
      </c>
      <c r="I3265">
        <v>216.2346</v>
      </c>
      <c r="J3265">
        <v>-328.62450000000001</v>
      </c>
      <c r="K3265">
        <v>1.108519</v>
      </c>
      <c r="L3265">
        <v>214.46680000000001</v>
      </c>
      <c r="M3265">
        <v>0.99982939999999998</v>
      </c>
      <c r="N3265">
        <v>0</v>
      </c>
      <c r="O3265">
        <v>-1.6373470000000001E-2</v>
      </c>
      <c r="P3265">
        <v>0.99652779999999996</v>
      </c>
      <c r="Q3265">
        <v>7.2605080000000002E-2</v>
      </c>
      <c r="R3265">
        <v>-4.0756920000000002E-2</v>
      </c>
      <c r="S3265">
        <v>3.0098569999999998</v>
      </c>
      <c r="T3265">
        <v>1.8525E-2</v>
      </c>
      <c r="U3265">
        <v>2.3910520000000001E-2</v>
      </c>
      <c r="V3265">
        <v>2.456591E-2</v>
      </c>
      <c r="W3265">
        <v>8.1086039999999998E-2</v>
      </c>
      <c r="X3265">
        <v>0.99640430000000002</v>
      </c>
      <c r="Y3265">
        <v>-2.431554E-2</v>
      </c>
      <c r="Z3265">
        <v>-1.75600999999999E-4</v>
      </c>
      <c r="AA3265">
        <v>0.99970429999999999</v>
      </c>
      <c r="AB3265">
        <v>44</v>
      </c>
      <c r="AC3265">
        <v>221.227</v>
      </c>
      <c r="AD3265">
        <v>1.3641620000000001</v>
      </c>
      <c r="AE3265">
        <v>1.76779999999999</v>
      </c>
      <c r="AF3265">
        <v>-5.3897440888363999</v>
      </c>
      <c r="AG3265">
        <v>1.3641620000000001</v>
      </c>
      <c r="AH3265">
        <v>221.15998652746299</v>
      </c>
      <c r="AI3265">
        <v>89.646696782600898</v>
      </c>
      <c r="AJ3265">
        <v>91.396041301040697</v>
      </c>
      <c r="AK3265">
        <v>221.22985765970401</v>
      </c>
      <c r="AL3265">
        <v>85.349005835522206</v>
      </c>
      <c r="AM3265">
        <v>88.587683854339105</v>
      </c>
      <c r="AN3265">
        <v>0.99999997943774899</v>
      </c>
    </row>
    <row r="3266" spans="1:40" x14ac:dyDescent="0.25">
      <c r="A3266" t="str">
        <f>"20190312151051230"</f>
        <v>20190312151051230</v>
      </c>
      <c r="B3266" t="str">
        <f>"1552374651223899"</f>
        <v>1552374651223899</v>
      </c>
      <c r="C3266" t="s">
        <v>40</v>
      </c>
      <c r="D3266">
        <v>5.3013110000000001</v>
      </c>
      <c r="E3266">
        <v>0.48233819999999999</v>
      </c>
      <c r="F3266" t="s">
        <v>70</v>
      </c>
      <c r="G3266">
        <v>-107.39749999999999</v>
      </c>
      <c r="H3266">
        <v>2.6055359999999999</v>
      </c>
      <c r="I3266">
        <v>215.89779999999999</v>
      </c>
      <c r="J3266">
        <v>-327.95530000000002</v>
      </c>
      <c r="K3266">
        <v>1.108519</v>
      </c>
      <c r="L3266">
        <v>214.45509999999999</v>
      </c>
      <c r="M3266">
        <v>0.99981450000000005</v>
      </c>
      <c r="N3266">
        <v>0</v>
      </c>
      <c r="O3266">
        <v>-1.7233099999999901E-2</v>
      </c>
      <c r="P3266">
        <v>0.99646000000000001</v>
      </c>
      <c r="Q3266">
        <v>7.2995130000000005E-2</v>
      </c>
      <c r="R3266">
        <v>-4.1706989999999999E-2</v>
      </c>
      <c r="S3266">
        <v>3.0097960000000001</v>
      </c>
      <c r="T3266">
        <v>2.0367619999999999E-2</v>
      </c>
      <c r="U3266">
        <v>1.9470210000000002E-2</v>
      </c>
      <c r="V3266">
        <v>2.4660999999999999E-2</v>
      </c>
      <c r="W3266">
        <v>8.1521850000000007E-2</v>
      </c>
      <c r="X3266">
        <v>0.99636639999999999</v>
      </c>
      <c r="Y3266">
        <v>-2.3700289999999999E-2</v>
      </c>
      <c r="Z3266">
        <v>-1.968068E-4</v>
      </c>
      <c r="AA3266">
        <v>0.99971909999999997</v>
      </c>
      <c r="AB3266">
        <v>44</v>
      </c>
      <c r="AC3266">
        <v>220.55779999999999</v>
      </c>
      <c r="AD3266">
        <v>1.4970169999999901</v>
      </c>
      <c r="AE3266">
        <v>1.4427000000000001</v>
      </c>
      <c r="AF3266">
        <v>-5.2432794368923004</v>
      </c>
      <c r="AG3266">
        <v>1.4970169999999901</v>
      </c>
      <c r="AH3266">
        <v>220.490024116234</v>
      </c>
      <c r="AI3266">
        <v>89.611106226790994</v>
      </c>
      <c r="AJ3266">
        <v>91.362243823888207</v>
      </c>
      <c r="AK3266">
        <v>220.557438718193</v>
      </c>
      <c r="AL3266">
        <v>85.323952868960802</v>
      </c>
      <c r="AM3266">
        <v>88.582165364347105</v>
      </c>
      <c r="AN3266">
        <v>0.999999989998691</v>
      </c>
    </row>
    <row r="3267" spans="1:40" x14ac:dyDescent="0.25">
      <c r="A3267" t="str">
        <f>"20190312151051252"</f>
        <v>20190312151051252</v>
      </c>
      <c r="B3267" t="str">
        <f>"1552374651244397"</f>
        <v>1552374651244397</v>
      </c>
      <c r="C3267" t="s">
        <v>40</v>
      </c>
      <c r="D3267">
        <v>5.5943550000000002</v>
      </c>
      <c r="E3267">
        <v>0.48212680000000002</v>
      </c>
      <c r="F3267" t="s">
        <v>70</v>
      </c>
      <c r="G3267">
        <v>-107.39749999999999</v>
      </c>
      <c r="H3267">
        <v>2.6180690000000002</v>
      </c>
      <c r="I3267">
        <v>215.7912</v>
      </c>
      <c r="J3267">
        <v>-327.52569999999997</v>
      </c>
      <c r="K3267">
        <v>1.1085210000000001</v>
      </c>
      <c r="L3267">
        <v>214.44730000000001</v>
      </c>
      <c r="M3267">
        <v>0.99980480000000005</v>
      </c>
      <c r="N3267">
        <v>0</v>
      </c>
      <c r="O3267">
        <v>-1.7784709999999999E-2</v>
      </c>
      <c r="P3267">
        <v>0.99643559999999998</v>
      </c>
      <c r="Q3267">
        <v>7.2787240000000003E-2</v>
      </c>
      <c r="R3267">
        <v>-4.2644389999999997E-2</v>
      </c>
      <c r="S3267">
        <v>3.0099490000000002</v>
      </c>
      <c r="T3267">
        <v>2.060151E-2</v>
      </c>
      <c r="U3267">
        <v>1.823425E-2</v>
      </c>
      <c r="V3267">
        <v>2.5048549999999999E-2</v>
      </c>
      <c r="W3267">
        <v>8.1341250000000004E-2</v>
      </c>
      <c r="X3267">
        <v>0.99637149999999997</v>
      </c>
      <c r="Y3267">
        <v>-2.3841000000000001E-2</v>
      </c>
      <c r="Z3267">
        <v>-2.0331360000000001E-4</v>
      </c>
      <c r="AA3267">
        <v>0.99971569999999998</v>
      </c>
      <c r="AB3267">
        <v>44</v>
      </c>
      <c r="AC3267">
        <v>220.12819999999999</v>
      </c>
      <c r="AD3267">
        <v>1.5095479999999999</v>
      </c>
      <c r="AE3267">
        <v>1.3438999999999901</v>
      </c>
      <c r="AF3267">
        <v>-5.2585013417508204</v>
      </c>
      <c r="AG3267">
        <v>1.5095479999999999</v>
      </c>
      <c r="AH3267">
        <v>220.05913186507499</v>
      </c>
      <c r="AI3267">
        <v>89.607084286147696</v>
      </c>
      <c r="AJ3267">
        <v>91.368871193012296</v>
      </c>
      <c r="AK3267">
        <v>220.12712710780599</v>
      </c>
      <c r="AL3267">
        <v>85.334335001120905</v>
      </c>
      <c r="AM3267">
        <v>88.559900634551596</v>
      </c>
      <c r="AN3267">
        <v>0.99999999741045698</v>
      </c>
    </row>
    <row r="3268" spans="1:40" x14ac:dyDescent="0.25">
      <c r="A3268" t="str">
        <f>"20190312151051274"</f>
        <v>20190312151051274</v>
      </c>
      <c r="B3268" t="str">
        <f>"1552374651263914"</f>
        <v>1552374651263914</v>
      </c>
      <c r="C3268" t="s">
        <v>40</v>
      </c>
      <c r="D3268">
        <v>5.2966509999999998</v>
      </c>
      <c r="E3268">
        <v>0.48227579999999998</v>
      </c>
      <c r="F3268" t="s">
        <v>70</v>
      </c>
      <c r="G3268">
        <v>-107.39749999999999</v>
      </c>
      <c r="H3268">
        <v>2.4821080000000002</v>
      </c>
      <c r="I3268">
        <v>215.70259999999999</v>
      </c>
      <c r="J3268">
        <v>-327.08859999999999</v>
      </c>
      <c r="K3268">
        <v>1.1085240000000001</v>
      </c>
      <c r="L3268">
        <v>214.4391</v>
      </c>
      <c r="M3268">
        <v>0.99979439999999997</v>
      </c>
      <c r="N3268">
        <v>0</v>
      </c>
      <c r="O3268">
        <v>-1.8345529999999999E-2</v>
      </c>
      <c r="P3268">
        <v>0.99639080000000002</v>
      </c>
      <c r="Q3268">
        <v>7.2561669999999995E-2</v>
      </c>
      <c r="R3268">
        <v>-4.4051510000000002E-2</v>
      </c>
      <c r="S3268">
        <v>3.0101010000000001</v>
      </c>
      <c r="T3268">
        <v>1.8783569999999999E-2</v>
      </c>
      <c r="U3268">
        <v>1.716614E-2</v>
      </c>
      <c r="V3268">
        <v>2.5897079999999999E-2</v>
      </c>
      <c r="W3268">
        <v>8.1146399999999994E-2</v>
      </c>
      <c r="X3268">
        <v>0.99636570000000002</v>
      </c>
      <c r="Y3268">
        <v>-2.4046890000000001E-2</v>
      </c>
      <c r="Z3268">
        <v>-1.895054E-4</v>
      </c>
      <c r="AA3268">
        <v>0.99971080000000001</v>
      </c>
      <c r="AB3268">
        <v>44</v>
      </c>
      <c r="AC3268">
        <v>219.69110000000001</v>
      </c>
      <c r="AD3268">
        <v>1.3735839999999999</v>
      </c>
      <c r="AE3268">
        <v>1.2634999999999901</v>
      </c>
      <c r="AF3268">
        <v>-5.2935804214969897</v>
      </c>
      <c r="AG3268">
        <v>1.3735839999999999</v>
      </c>
      <c r="AH3268">
        <v>219.622359091736</v>
      </c>
      <c r="AI3268">
        <v>89.641763752451297</v>
      </c>
      <c r="AJ3268">
        <v>91.380738752669899</v>
      </c>
      <c r="AK3268">
        <v>219.69043980042301</v>
      </c>
      <c r="AL3268">
        <v>85.345536135831196</v>
      </c>
      <c r="AM3268">
        <v>88.511129607839905</v>
      </c>
      <c r="AN3268">
        <v>1.0000000025609801</v>
      </c>
    </row>
    <row r="3269" spans="1:40" x14ac:dyDescent="0.25">
      <c r="A3269" t="str">
        <f>"20190312151051299"</f>
        <v>20190312151051299</v>
      </c>
      <c r="B3269" t="str">
        <f>"1552374651294170"</f>
        <v>1552374651294170</v>
      </c>
      <c r="C3269" t="s">
        <v>40</v>
      </c>
      <c r="D3269">
        <v>5.6078749999999999</v>
      </c>
      <c r="E3269">
        <v>0.53772449999999905</v>
      </c>
      <c r="F3269" t="s">
        <v>70</v>
      </c>
      <c r="G3269">
        <v>-107.39749999999999</v>
      </c>
      <c r="H3269">
        <v>2.3442270000000001</v>
      </c>
      <c r="I3269">
        <v>215.2944</v>
      </c>
      <c r="J3269">
        <v>-326.62549999999999</v>
      </c>
      <c r="K3269">
        <v>1.1085199999999999</v>
      </c>
      <c r="L3269">
        <v>214.43020000000001</v>
      </c>
      <c r="M3269">
        <v>0.99978290000000003</v>
      </c>
      <c r="N3269">
        <v>0</v>
      </c>
      <c r="O3269">
        <v>-1.893895E-2</v>
      </c>
      <c r="P3269">
        <v>0.9963708</v>
      </c>
      <c r="Q3269">
        <v>7.1935949999999999E-2</v>
      </c>
      <c r="R3269">
        <v>-4.5504410000000002E-2</v>
      </c>
      <c r="S3269">
        <v>3.010132</v>
      </c>
      <c r="T3269">
        <v>1.6931890000000002E-2</v>
      </c>
      <c r="U3269">
        <v>1.171875E-2</v>
      </c>
      <c r="V3269">
        <v>2.6757800000000002E-2</v>
      </c>
      <c r="W3269">
        <v>8.0562759999999997E-2</v>
      </c>
      <c r="X3269">
        <v>0.99639029999999995</v>
      </c>
      <c r="Y3269">
        <v>-2.2831239999999999E-2</v>
      </c>
      <c r="Z3269">
        <v>-1.7074169999999999E-4</v>
      </c>
      <c r="AA3269">
        <v>0.9997393</v>
      </c>
      <c r="AB3269">
        <v>44</v>
      </c>
      <c r="AC3269">
        <v>219.22799999999901</v>
      </c>
      <c r="AD3269">
        <v>1.2357070000000001</v>
      </c>
      <c r="AE3269">
        <v>0.86419999999998198</v>
      </c>
      <c r="AF3269">
        <v>-5.0159904348348103</v>
      </c>
      <c r="AG3269">
        <v>1.2357070000000001</v>
      </c>
      <c r="AH3269">
        <v>219.165345954949</v>
      </c>
      <c r="AI3269">
        <v>89.677040591250801</v>
      </c>
      <c r="AJ3269">
        <v>91.311087374911807</v>
      </c>
      <c r="AK3269">
        <v>219.226221058031</v>
      </c>
      <c r="AL3269">
        <v>85.379086004867204</v>
      </c>
      <c r="AM3269">
        <v>88.461706601488999</v>
      </c>
      <c r="AN3269">
        <v>0.99999998404687296</v>
      </c>
    </row>
    <row r="3270" spans="1:40" x14ac:dyDescent="0.25">
      <c r="A3270" t="str">
        <f>"20190312151051320"</f>
        <v>20190312151051320</v>
      </c>
      <c r="B3270" t="str">
        <f>"1552374651313690"</f>
        <v>1552374651313690</v>
      </c>
      <c r="C3270" t="s">
        <v>40</v>
      </c>
      <c r="D3270">
        <v>5.3141439999999998</v>
      </c>
      <c r="E3270">
        <v>0.537153199999999</v>
      </c>
      <c r="F3270" t="s">
        <v>61</v>
      </c>
      <c r="G3270">
        <v>-306.82819999999998</v>
      </c>
      <c r="H3270" s="1">
        <v>1.442041E-6</v>
      </c>
      <c r="I3270">
        <v>211.58019999999999</v>
      </c>
      <c r="J3270">
        <v>-326.197</v>
      </c>
      <c r="K3270">
        <v>1.108519</v>
      </c>
      <c r="L3270">
        <v>214.42169999999999</v>
      </c>
      <c r="M3270">
        <v>0.99977199999999999</v>
      </c>
      <c r="N3270">
        <v>0</v>
      </c>
      <c r="O3270">
        <v>-1.9487930000000001E-2</v>
      </c>
      <c r="P3270">
        <v>0.99635459999999998</v>
      </c>
      <c r="Q3270">
        <v>7.115494E-2</v>
      </c>
      <c r="R3270">
        <v>-4.7062960000000001E-2</v>
      </c>
      <c r="S3270">
        <v>3.0033259999999999</v>
      </c>
      <c r="T3270">
        <v>-0.16816679999999901</v>
      </c>
      <c r="U3270">
        <v>-0.43235780000000001</v>
      </c>
      <c r="V3270">
        <v>2.7768049999999999E-2</v>
      </c>
      <c r="W3270">
        <v>7.9828419999999997E-2</v>
      </c>
      <c r="X3270">
        <v>0.99642180000000002</v>
      </c>
      <c r="Y3270">
        <v>0.123015</v>
      </c>
      <c r="Z3270">
        <v>-2.3393419999999999E-3</v>
      </c>
      <c r="AA3270">
        <v>0.99240209999999995</v>
      </c>
      <c r="AB3270">
        <v>44</v>
      </c>
      <c r="AC3270">
        <v>19.3688</v>
      </c>
      <c r="AD3270">
        <v>-1.1085175579590001</v>
      </c>
      <c r="AE3270">
        <v>-2.8414999999999901</v>
      </c>
      <c r="AF3270">
        <v>2.4556142035707098</v>
      </c>
      <c r="AG3270">
        <v>-1.1085175579590001</v>
      </c>
      <c r="AH3270">
        <v>19.358425619118801</v>
      </c>
      <c r="AI3270">
        <v>93.251339917758202</v>
      </c>
      <c r="AJ3270">
        <v>82.770647135270295</v>
      </c>
      <c r="AK3270">
        <v>19.545012016983701</v>
      </c>
      <c r="AL3270">
        <v>85.421296719071805</v>
      </c>
      <c r="AM3270">
        <v>88.403707746335499</v>
      </c>
      <c r="AN3270">
        <v>1.00000002237786</v>
      </c>
    </row>
    <row r="3271" spans="1:40" x14ac:dyDescent="0.25">
      <c r="A3271" t="str">
        <f>"20190312151051341"</f>
        <v>20190312151051341</v>
      </c>
      <c r="B3271" t="str">
        <f>"1552374651334186"</f>
        <v>1552374651334186</v>
      </c>
      <c r="C3271" t="s">
        <v>40</v>
      </c>
      <c r="D3271">
        <v>5.314368</v>
      </c>
      <c r="E3271">
        <v>0.5368735</v>
      </c>
      <c r="F3271" t="s">
        <v>69</v>
      </c>
      <c r="G3271">
        <v>-168.41589999999999</v>
      </c>
      <c r="H3271">
        <v>1.4522740000000001</v>
      </c>
      <c r="I3271">
        <v>191.46430000000001</v>
      </c>
      <c r="J3271">
        <v>-325.76179999999999</v>
      </c>
      <c r="K3271">
        <v>1.1085210000000001</v>
      </c>
      <c r="L3271">
        <v>214.4128</v>
      </c>
      <c r="M3271">
        <v>0.99976039999999999</v>
      </c>
      <c r="N3271">
        <v>0</v>
      </c>
      <c r="O3271">
        <v>-2.0044920000000001E-2</v>
      </c>
      <c r="P3271">
        <v>0.99636670000000005</v>
      </c>
      <c r="Q3271">
        <v>7.0250240000000005E-2</v>
      </c>
      <c r="R3271">
        <v>-4.8151850000000003E-2</v>
      </c>
      <c r="S3271">
        <v>2.98996</v>
      </c>
      <c r="T3271">
        <v>6.5147879999999997E-3</v>
      </c>
      <c r="U3271">
        <v>-0.43504330000000002</v>
      </c>
      <c r="V3271">
        <v>2.8299990000000001E-2</v>
      </c>
      <c r="W3271">
        <v>7.8973790000000002E-2</v>
      </c>
      <c r="X3271">
        <v>0.99647490000000005</v>
      </c>
      <c r="Y3271">
        <v>0.1241193</v>
      </c>
      <c r="Z3271" s="1">
        <v>9.1082019999999994E-5</v>
      </c>
      <c r="AA3271">
        <v>0.99226729999999996</v>
      </c>
      <c r="AB3271">
        <v>44</v>
      </c>
      <c r="AC3271">
        <v>157.3459</v>
      </c>
      <c r="AD3271">
        <v>0.34375299999999998</v>
      </c>
      <c r="AE3271">
        <v>-22.948499999999999</v>
      </c>
      <c r="AF3271">
        <v>19.789688397713199</v>
      </c>
      <c r="AG3271">
        <v>0.34375299999999998</v>
      </c>
      <c r="AH3271">
        <v>157.773564964439</v>
      </c>
      <c r="AI3271">
        <v>89.876136185814403</v>
      </c>
      <c r="AJ3271">
        <v>82.850673104100693</v>
      </c>
      <c r="AK3271">
        <v>159.01021267387699</v>
      </c>
      <c r="AL3271">
        <v>85.470418343683804</v>
      </c>
      <c r="AM3271">
        <v>88.373231220043095</v>
      </c>
      <c r="AN3271">
        <v>0.99999998763548703</v>
      </c>
    </row>
    <row r="3272" spans="1:40" x14ac:dyDescent="0.25">
      <c r="A3272" t="str">
        <f>"20190312151051364"</f>
        <v>20190312151051364</v>
      </c>
      <c r="B3272" t="str">
        <f>"1552374651353706"</f>
        <v>1552374651353706</v>
      </c>
      <c r="C3272" t="s">
        <v>40</v>
      </c>
      <c r="D3272">
        <v>5.5280509999999996</v>
      </c>
      <c r="E3272">
        <v>0.53614510000000004</v>
      </c>
      <c r="F3272" t="s">
        <v>69</v>
      </c>
      <c r="G3272">
        <v>-168.4169</v>
      </c>
      <c r="H3272">
        <v>4.1366209999999999</v>
      </c>
      <c r="I3272">
        <v>191.40989999999999</v>
      </c>
      <c r="J3272">
        <v>-325.33420000000001</v>
      </c>
      <c r="K3272">
        <v>1.1085229999999999</v>
      </c>
      <c r="L3272">
        <v>214.40389999999999</v>
      </c>
      <c r="M3272">
        <v>0.99974879999999999</v>
      </c>
      <c r="N3272">
        <v>0</v>
      </c>
      <c r="O3272">
        <v>-2.0591089999999999E-2</v>
      </c>
      <c r="P3272">
        <v>0.99634480000000003</v>
      </c>
      <c r="Q3272">
        <v>6.9419880000000003E-2</v>
      </c>
      <c r="R3272">
        <v>-4.9780240000000003E-2</v>
      </c>
      <c r="S3272">
        <v>2.9858090000000002</v>
      </c>
      <c r="T3272">
        <v>5.7462449999999998E-2</v>
      </c>
      <c r="U3272">
        <v>-0.43650820000000001</v>
      </c>
      <c r="V3272">
        <v>2.9382740000000001E-2</v>
      </c>
      <c r="W3272">
        <v>7.8199409999999997E-2</v>
      </c>
      <c r="X3272">
        <v>0.99650470000000002</v>
      </c>
      <c r="Y3272">
        <v>0.1242318</v>
      </c>
      <c r="Z3272">
        <v>7.950085E-4</v>
      </c>
      <c r="AA3272">
        <v>0.99225289999999999</v>
      </c>
      <c r="AB3272">
        <v>44</v>
      </c>
      <c r="AC3272">
        <v>156.91730000000001</v>
      </c>
      <c r="AD3272">
        <v>3.028098</v>
      </c>
      <c r="AE3272">
        <v>-22.994</v>
      </c>
      <c r="AF3272">
        <v>19.750699276288199</v>
      </c>
      <c r="AG3272">
        <v>3.028098</v>
      </c>
      <c r="AH3272">
        <v>157.300172351909</v>
      </c>
      <c r="AI3272">
        <v>88.905756855042796</v>
      </c>
      <c r="AJ3272">
        <v>82.843361677585406</v>
      </c>
      <c r="AK3272">
        <v>158.56419432312001</v>
      </c>
      <c r="AL3272">
        <v>85.514924999650702</v>
      </c>
      <c r="AM3272">
        <v>88.311077349123707</v>
      </c>
      <c r="AN3272">
        <v>1.00000005512817</v>
      </c>
    </row>
    <row r="3273" spans="1:40" x14ac:dyDescent="0.25">
      <c r="A3273" t="str">
        <f>"20190312151051386"</f>
        <v>20190312151051386</v>
      </c>
      <c r="B3273" t="str">
        <f>"1552374651383963"</f>
        <v>1552374651383963</v>
      </c>
      <c r="C3273" t="s">
        <v>40</v>
      </c>
      <c r="D3273">
        <v>5.0906859999999998</v>
      </c>
      <c r="E3273">
        <v>0.53572589999999998</v>
      </c>
      <c r="F3273" t="s">
        <v>69</v>
      </c>
      <c r="G3273">
        <v>-168.4171</v>
      </c>
      <c r="H3273">
        <v>4.8373339999999896</v>
      </c>
      <c r="I3273">
        <v>191.4804</v>
      </c>
      <c r="J3273">
        <v>-324.8818</v>
      </c>
      <c r="K3273">
        <v>1.108533</v>
      </c>
      <c r="L3273">
        <v>214.39410000000001</v>
      </c>
      <c r="M3273">
        <v>0.99973610000000002</v>
      </c>
      <c r="N3273">
        <v>0</v>
      </c>
      <c r="O3273">
        <v>-2.116738E-2</v>
      </c>
      <c r="P3273">
        <v>0.99626689999999996</v>
      </c>
      <c r="Q3273">
        <v>6.9362569999999998E-2</v>
      </c>
      <c r="R3273">
        <v>-5.1393710000000002E-2</v>
      </c>
      <c r="S3273">
        <v>2.9842529999999998</v>
      </c>
      <c r="T3273">
        <v>7.0915220000000001E-2</v>
      </c>
      <c r="U3273">
        <v>-0.43595889999999998</v>
      </c>
      <c r="V3273">
        <v>3.0422870000000001E-2</v>
      </c>
      <c r="W3273">
        <v>7.8214149999999996E-2</v>
      </c>
      <c r="X3273">
        <v>0.99647229999999998</v>
      </c>
      <c r="Y3273">
        <v>0.12354560000000001</v>
      </c>
      <c r="Z3273">
        <v>9.5988499999999995E-4</v>
      </c>
      <c r="AA3273">
        <v>0.99233839999999995</v>
      </c>
      <c r="AB3273">
        <v>44</v>
      </c>
      <c r="AC3273">
        <v>156.46469999999999</v>
      </c>
      <c r="AD3273">
        <v>3.7288009999999998</v>
      </c>
      <c r="AE3273">
        <v>-22.913699999999999</v>
      </c>
      <c r="AF3273">
        <v>19.585596004807499</v>
      </c>
      <c r="AG3273">
        <v>3.7288009999999998</v>
      </c>
      <c r="AH3273">
        <v>156.82748383032899</v>
      </c>
      <c r="AI3273">
        <v>88.648461292410104</v>
      </c>
      <c r="AJ3273">
        <v>82.881400993295998</v>
      </c>
      <c r="AK3273">
        <v>158.08971886974001</v>
      </c>
      <c r="AL3273">
        <v>85.514077727472596</v>
      </c>
      <c r="AM3273">
        <v>88.251270242694304</v>
      </c>
      <c r="AN3273">
        <v>1.0000000244732701</v>
      </c>
    </row>
    <row r="3274" spans="1:40" x14ac:dyDescent="0.25">
      <c r="A3274" t="str">
        <f>"20190312151051408"</f>
        <v>20190312151051408</v>
      </c>
      <c r="B3274" t="str">
        <f>"1552374651404458"</f>
        <v>1552374651404458</v>
      </c>
      <c r="C3274" t="s">
        <v>40</v>
      </c>
      <c r="D3274">
        <v>5.1110899999999999</v>
      </c>
      <c r="E3274">
        <v>0.53589529999999996</v>
      </c>
      <c r="F3274" t="s">
        <v>69</v>
      </c>
      <c r="G3274">
        <v>-168.41730000000001</v>
      </c>
      <c r="H3274">
        <v>5.4282769999999996</v>
      </c>
      <c r="I3274">
        <v>191.44749999999999</v>
      </c>
      <c r="J3274">
        <v>-324.46010000000001</v>
      </c>
      <c r="K3274">
        <v>1.1085529999999999</v>
      </c>
      <c r="L3274">
        <v>214.38480000000001</v>
      </c>
      <c r="M3274">
        <v>0.9997239</v>
      </c>
      <c r="N3274">
        <v>0</v>
      </c>
      <c r="O3274">
        <v>-2.170091E-2</v>
      </c>
      <c r="P3274">
        <v>0.9961314</v>
      </c>
      <c r="Q3274">
        <v>7.0324819999999996E-2</v>
      </c>
      <c r="R3274">
        <v>-5.2695150000000003E-2</v>
      </c>
      <c r="S3274">
        <v>2.9829409999999998</v>
      </c>
      <c r="T3274">
        <v>8.2355020000000001E-2</v>
      </c>
      <c r="U3274">
        <v>-0.43746950000000001</v>
      </c>
      <c r="V3274">
        <v>3.119657E-2</v>
      </c>
      <c r="W3274">
        <v>7.9258499999999996E-2</v>
      </c>
      <c r="X3274">
        <v>0.99636579999999997</v>
      </c>
      <c r="Y3274">
        <v>0.1235607</v>
      </c>
      <c r="Z3274">
        <v>1.100693E-3</v>
      </c>
      <c r="AA3274">
        <v>0.99233640000000001</v>
      </c>
      <c r="AB3274">
        <v>44</v>
      </c>
      <c r="AC3274">
        <v>156.0428</v>
      </c>
      <c r="AD3274">
        <v>4.3197239999999901</v>
      </c>
      <c r="AE3274">
        <v>-22.9373</v>
      </c>
      <c r="AF3274">
        <v>19.530838953732001</v>
      </c>
      <c r="AG3274">
        <v>4.3197239999999901</v>
      </c>
      <c r="AH3274">
        <v>156.38651928080699</v>
      </c>
      <c r="AI3274">
        <v>88.429963039524907</v>
      </c>
      <c r="AJ3274">
        <v>82.881287950920907</v>
      </c>
      <c r="AK3274">
        <v>157.66057559973299</v>
      </c>
      <c r="AL3274">
        <v>85.454054294577602</v>
      </c>
      <c r="AM3274">
        <v>88.206634507599603</v>
      </c>
      <c r="AN3274">
        <v>0.99999997160582599</v>
      </c>
    </row>
    <row r="3275" spans="1:40" x14ac:dyDescent="0.25">
      <c r="A3275" t="str">
        <f>"20190312151051431"</f>
        <v>20190312151051431</v>
      </c>
      <c r="B3275" t="str">
        <f>"1552374651423978"</f>
        <v>1552374651423978</v>
      </c>
      <c r="C3275" t="s">
        <v>40</v>
      </c>
      <c r="D3275">
        <v>5.2614700000000001</v>
      </c>
      <c r="E3275">
        <v>0.53592309999999999</v>
      </c>
      <c r="F3275" t="s">
        <v>69</v>
      </c>
      <c r="G3275">
        <v>-168.41749999999999</v>
      </c>
      <c r="H3275">
        <v>5.9357470000000001</v>
      </c>
      <c r="I3275">
        <v>191.215</v>
      </c>
      <c r="J3275">
        <v>-323.99900000000002</v>
      </c>
      <c r="K3275">
        <v>1.108579</v>
      </c>
      <c r="L3275">
        <v>214.37440000000001</v>
      </c>
      <c r="M3275">
        <v>0.99971030000000005</v>
      </c>
      <c r="N3275">
        <v>0</v>
      </c>
      <c r="O3275">
        <v>-2.2276529999999999E-2</v>
      </c>
      <c r="P3275">
        <v>0.99599629999999995</v>
      </c>
      <c r="Q3275">
        <v>7.1264800000000003E-2</v>
      </c>
      <c r="R3275">
        <v>-5.3969749999999997E-2</v>
      </c>
      <c r="S3275">
        <v>2.9816889999999998</v>
      </c>
      <c r="T3275">
        <v>9.2239500000000002E-2</v>
      </c>
      <c r="U3275">
        <v>-0.44273380000000001</v>
      </c>
      <c r="V3275">
        <v>3.1901150000000003E-2</v>
      </c>
      <c r="W3275">
        <v>8.0308480000000002E-2</v>
      </c>
      <c r="X3275">
        <v>0.99625949999999996</v>
      </c>
      <c r="Y3275">
        <v>0.1247537</v>
      </c>
      <c r="Z3275">
        <v>1.2337579999999999E-3</v>
      </c>
      <c r="AA3275">
        <v>0.99218700000000004</v>
      </c>
      <c r="AB3275">
        <v>44</v>
      </c>
      <c r="AC3275">
        <v>155.58150000000001</v>
      </c>
      <c r="AD3275">
        <v>4.8271680000000003</v>
      </c>
      <c r="AE3275">
        <v>-23.159400000000002</v>
      </c>
      <c r="AF3275">
        <v>19.669168454748402</v>
      </c>
      <c r="AG3275">
        <v>4.8271680000000003</v>
      </c>
      <c r="AH3275">
        <v>155.911986112449</v>
      </c>
      <c r="AI3275">
        <v>88.240576987241298</v>
      </c>
      <c r="AJ3275">
        <v>82.809801193177506</v>
      </c>
      <c r="AK3275">
        <v>157.22189781366399</v>
      </c>
      <c r="AL3275">
        <v>85.393702902369299</v>
      </c>
      <c r="AM3275">
        <v>88.165962849047304</v>
      </c>
      <c r="AN3275">
        <v>1.00000006333573</v>
      </c>
    </row>
    <row r="3276" spans="1:40" x14ac:dyDescent="0.25">
      <c r="A3276" t="str">
        <f>"20190312151051453"</f>
        <v>20190312151051453</v>
      </c>
      <c r="B3276" t="str">
        <f>"1552374651444478"</f>
        <v>1552374651444478</v>
      </c>
      <c r="C3276" t="s">
        <v>40</v>
      </c>
      <c r="D3276">
        <v>5.1996289999999998</v>
      </c>
      <c r="E3276">
        <v>0.53571559999999996</v>
      </c>
      <c r="F3276" t="s">
        <v>69</v>
      </c>
      <c r="G3276">
        <v>-168.4177</v>
      </c>
      <c r="H3276">
        <v>6.3634969999999997</v>
      </c>
      <c r="I3276">
        <v>191.04990000000001</v>
      </c>
      <c r="J3276">
        <v>-323.56509999999997</v>
      </c>
      <c r="K3276">
        <v>1.108608</v>
      </c>
      <c r="L3276">
        <v>214.36429999999999</v>
      </c>
      <c r="M3276">
        <v>0.99969710000000001</v>
      </c>
      <c r="N3276">
        <v>0</v>
      </c>
      <c r="O3276">
        <v>-2.2803549999999999E-2</v>
      </c>
      <c r="P3276">
        <v>0.99591110000000005</v>
      </c>
      <c r="Q3276">
        <v>7.1353410000000006E-2</v>
      </c>
      <c r="R3276">
        <v>-5.5405950000000002E-2</v>
      </c>
      <c r="S3276">
        <v>2.9806520000000001</v>
      </c>
      <c r="T3276">
        <v>0.10067520000000001</v>
      </c>
      <c r="U3276">
        <v>-0.44685360000000002</v>
      </c>
      <c r="V3276">
        <v>3.2812569999999999E-2</v>
      </c>
      <c r="W3276">
        <v>8.0522839999999998E-2</v>
      </c>
      <c r="X3276">
        <v>0.99621249999999995</v>
      </c>
      <c r="Y3276">
        <v>0.1256129</v>
      </c>
      <c r="Z3276">
        <v>1.343606E-3</v>
      </c>
      <c r="AA3276">
        <v>0.99207840000000003</v>
      </c>
      <c r="AB3276">
        <v>44</v>
      </c>
      <c r="AC3276">
        <v>155.14739999999901</v>
      </c>
      <c r="AD3276">
        <v>5.2548890000000004</v>
      </c>
      <c r="AE3276">
        <v>-23.3143999999999</v>
      </c>
      <c r="AF3276">
        <v>19.748119118595501</v>
      </c>
      <c r="AG3276">
        <v>5.2548890000000004</v>
      </c>
      <c r="AH3276">
        <v>155.464316956364</v>
      </c>
      <c r="AI3276">
        <v>88.079488589227296</v>
      </c>
      <c r="AJ3276">
        <v>82.760677453045105</v>
      </c>
      <c r="AK3276">
        <v>156.80164512476699</v>
      </c>
      <c r="AL3276">
        <v>85.381380637149107</v>
      </c>
      <c r="AM3276">
        <v>88.113512568581299</v>
      </c>
      <c r="AN3276">
        <v>0.99999996883395903</v>
      </c>
    </row>
    <row r="3277" spans="1:40" x14ac:dyDescent="0.25">
      <c r="A3277" t="str">
        <f>"20190312151051475"</f>
        <v>20190312151051475</v>
      </c>
      <c r="B3277" t="str">
        <f>"1552374651463994"</f>
        <v>1552374651463994</v>
      </c>
      <c r="C3277" t="s">
        <v>40</v>
      </c>
      <c r="D3277">
        <v>5.4683849999999996</v>
      </c>
      <c r="E3277">
        <v>0.5356687</v>
      </c>
      <c r="F3277" t="s">
        <v>69</v>
      </c>
      <c r="G3277">
        <v>-169.71629999999999</v>
      </c>
      <c r="H3277">
        <v>6.6196190000000001</v>
      </c>
      <c r="I3277">
        <v>191.15649999999999</v>
      </c>
      <c r="J3277">
        <v>-323.12130000000002</v>
      </c>
      <c r="K3277">
        <v>1.108646</v>
      </c>
      <c r="L3277">
        <v>214.35380000000001</v>
      </c>
      <c r="M3277">
        <v>0.99968389999999996</v>
      </c>
      <c r="N3277">
        <v>0</v>
      </c>
      <c r="O3277">
        <v>-2.3319090000000001E-2</v>
      </c>
      <c r="P3277">
        <v>0.99580990000000003</v>
      </c>
      <c r="Q3277">
        <v>7.1277309999999997E-2</v>
      </c>
      <c r="R3277">
        <v>-5.7293730000000001E-2</v>
      </c>
      <c r="S3277">
        <v>2.9796749999999999</v>
      </c>
      <c r="T3277">
        <v>0.1067355</v>
      </c>
      <c r="U3277">
        <v>-0.44947809999999999</v>
      </c>
      <c r="V3277">
        <v>3.4185510000000002E-2</v>
      </c>
      <c r="W3277">
        <v>8.0605060000000006E-2</v>
      </c>
      <c r="X3277">
        <v>0.99615969999999998</v>
      </c>
      <c r="Y3277">
        <v>0.12599639999999901</v>
      </c>
      <c r="Z3277">
        <v>1.4132929999999999E-3</v>
      </c>
      <c r="AA3277">
        <v>0.99202970000000001</v>
      </c>
      <c r="AB3277">
        <v>44</v>
      </c>
      <c r="AC3277">
        <v>153.405</v>
      </c>
      <c r="AD3277">
        <v>5.5109729999999999</v>
      </c>
      <c r="AE3277">
        <v>-23.197299999999998</v>
      </c>
      <c r="AF3277">
        <v>19.5888530856597</v>
      </c>
      <c r="AG3277">
        <v>5.5109729999999999</v>
      </c>
      <c r="AH3277">
        <v>153.71030773653999</v>
      </c>
      <c r="AI3277">
        <v>87.963114758226993</v>
      </c>
      <c r="AJ3277">
        <v>82.737370128014405</v>
      </c>
      <c r="AK3277">
        <v>155.051451760634</v>
      </c>
      <c r="AL3277">
        <v>85.376654496298201</v>
      </c>
      <c r="AM3277">
        <v>88.0345349377601</v>
      </c>
      <c r="AN3277">
        <v>0.99999998634782605</v>
      </c>
    </row>
    <row r="3278" spans="1:40" x14ac:dyDescent="0.25">
      <c r="A3278" t="str">
        <f>"20190312151051499"</f>
        <v>20190312151051499</v>
      </c>
      <c r="B3278" t="str">
        <f>"1552374651494250"</f>
        <v>1552374651494250</v>
      </c>
      <c r="C3278" t="s">
        <v>40</v>
      </c>
      <c r="D3278">
        <v>5.2412869999999998</v>
      </c>
      <c r="E3278">
        <v>0.53515429999999997</v>
      </c>
      <c r="F3278" t="s">
        <v>69</v>
      </c>
      <c r="G3278">
        <v>-168.4178</v>
      </c>
      <c r="H3278">
        <v>6.3864650000000003</v>
      </c>
      <c r="I3278">
        <v>190.73750000000001</v>
      </c>
      <c r="J3278">
        <v>-322.66930000000002</v>
      </c>
      <c r="K3278">
        <v>1.1087049999999901</v>
      </c>
      <c r="L3278">
        <v>214.34289999999999</v>
      </c>
      <c r="M3278">
        <v>0.99967050000000002</v>
      </c>
      <c r="N3278">
        <v>0</v>
      </c>
      <c r="O3278">
        <v>-2.3803709999999999E-2</v>
      </c>
      <c r="P3278">
        <v>0.99575130000000001</v>
      </c>
      <c r="Q3278">
        <v>7.0502699999999904E-2</v>
      </c>
      <c r="R3278">
        <v>-5.923693E-2</v>
      </c>
      <c r="S3278">
        <v>2.979187</v>
      </c>
      <c r="T3278">
        <v>0.1016377</v>
      </c>
      <c r="U3278">
        <v>-0.45478819999999998</v>
      </c>
      <c r="V3278">
        <v>3.5640789999999999E-2</v>
      </c>
      <c r="W3278">
        <v>8.002853E-2</v>
      </c>
      <c r="X3278">
        <v>0.99615520000000002</v>
      </c>
      <c r="Y3278">
        <v>0.1272732</v>
      </c>
      <c r="Z3278">
        <v>1.351108E-3</v>
      </c>
      <c r="AA3278">
        <v>0.99186680000000005</v>
      </c>
      <c r="AB3278">
        <v>44</v>
      </c>
      <c r="AC3278">
        <v>154.25149999999999</v>
      </c>
      <c r="AD3278">
        <v>5.2777599999999998</v>
      </c>
      <c r="AE3278">
        <v>-23.6053999999999</v>
      </c>
      <c r="AF3278">
        <v>19.904015285840501</v>
      </c>
      <c r="AG3278">
        <v>5.2777599999999998</v>
      </c>
      <c r="AH3278">
        <v>154.59287266569001</v>
      </c>
      <c r="AI3278">
        <v>88.060691959316699</v>
      </c>
      <c r="AJ3278">
        <v>82.663461866115</v>
      </c>
      <c r="AK3278">
        <v>155.95826638606499</v>
      </c>
      <c r="AL3278">
        <v>85.409794389852394</v>
      </c>
      <c r="AM3278">
        <v>87.950925547775498</v>
      </c>
      <c r="AN3278">
        <v>1.0000000070064099</v>
      </c>
    </row>
    <row r="3279" spans="1:40" x14ac:dyDescent="0.25">
      <c r="A3279" t="str">
        <f>"20190312151051521"</f>
        <v>20190312151051521</v>
      </c>
      <c r="B3279" t="str">
        <f>"1552374651513769"</f>
        <v>1552374651513769</v>
      </c>
      <c r="C3279" t="s">
        <v>40</v>
      </c>
      <c r="D3279">
        <v>5.1811949999999998</v>
      </c>
      <c r="E3279">
        <v>0.53504649999999998</v>
      </c>
      <c r="F3279" t="s">
        <v>69</v>
      </c>
      <c r="G3279">
        <v>-168.41759999999999</v>
      </c>
      <c r="H3279">
        <v>5.6016199999999996</v>
      </c>
      <c r="I3279">
        <v>190.7193</v>
      </c>
      <c r="J3279">
        <v>-322.21140000000003</v>
      </c>
      <c r="K3279">
        <v>1.1087819999999999</v>
      </c>
      <c r="L3279">
        <v>214.33170000000001</v>
      </c>
      <c r="M3279">
        <v>0.99965780000000004</v>
      </c>
      <c r="N3279">
        <v>0</v>
      </c>
      <c r="O3279">
        <v>-2.4230939999999999E-2</v>
      </c>
      <c r="P3279">
        <v>0.99565369999999997</v>
      </c>
      <c r="Q3279">
        <v>6.9517750000000003E-2</v>
      </c>
      <c r="R3279">
        <v>-6.1977079999999997E-2</v>
      </c>
      <c r="S3279">
        <v>2.9795229999999999</v>
      </c>
      <c r="T3279">
        <v>8.6785669999999995E-2</v>
      </c>
      <c r="U3279">
        <v>-0.4563141</v>
      </c>
      <c r="V3279">
        <v>3.7947929999999998E-2</v>
      </c>
      <c r="W3279">
        <v>7.9288440000000002E-2</v>
      </c>
      <c r="X3279">
        <v>0.99612920000000005</v>
      </c>
      <c r="Y3279">
        <v>0.12734500000000001</v>
      </c>
      <c r="Z3279">
        <v>1.1422730000000001E-3</v>
      </c>
      <c r="AA3279">
        <v>0.99185780000000001</v>
      </c>
      <c r="AB3279">
        <v>44</v>
      </c>
      <c r="AC3279">
        <v>153.7938</v>
      </c>
      <c r="AD3279">
        <v>4.4928379999999999</v>
      </c>
      <c r="AE3279">
        <v>-23.612400000000001</v>
      </c>
      <c r="AF3279">
        <v>19.862156639014501</v>
      </c>
      <c r="AG3279">
        <v>4.4928379999999999</v>
      </c>
      <c r="AH3279">
        <v>154.192257696372</v>
      </c>
      <c r="AI3279">
        <v>88.344663137558001</v>
      </c>
      <c r="AJ3279">
        <v>82.659908601761998</v>
      </c>
      <c r="AK3279">
        <v>155.531164700684</v>
      </c>
      <c r="AL3279">
        <v>85.452333766750598</v>
      </c>
      <c r="AM3279">
        <v>87.818349926488096</v>
      </c>
      <c r="AN3279">
        <v>1.00000004260077</v>
      </c>
    </row>
    <row r="3280" spans="1:40" x14ac:dyDescent="0.25">
      <c r="A3280" t="str">
        <f>"20190312151051543"</f>
        <v>20190312151051543</v>
      </c>
      <c r="B3280" t="str">
        <f>"1552374651534266"</f>
        <v>1552374651534266</v>
      </c>
      <c r="C3280" t="s">
        <v>40</v>
      </c>
      <c r="D3280">
        <v>5.3924649999999996</v>
      </c>
      <c r="E3280">
        <v>0.53589319999999996</v>
      </c>
      <c r="F3280" t="s">
        <v>69</v>
      </c>
      <c r="G3280">
        <v>-168.41759999999999</v>
      </c>
      <c r="H3280">
        <v>5.4700379999999997</v>
      </c>
      <c r="I3280">
        <v>190.3845</v>
      </c>
      <c r="J3280">
        <v>-321.78219999999999</v>
      </c>
      <c r="K3280">
        <v>1.108851</v>
      </c>
      <c r="L3280">
        <v>214.321</v>
      </c>
      <c r="M3280">
        <v>0.99964699999999995</v>
      </c>
      <c r="N3280">
        <v>0</v>
      </c>
      <c r="O3280">
        <v>-2.4575739999999999E-2</v>
      </c>
      <c r="P3280">
        <v>0.99552229999999997</v>
      </c>
      <c r="Q3280">
        <v>6.8926860000000006E-2</v>
      </c>
      <c r="R3280">
        <v>-6.4686830000000001E-2</v>
      </c>
      <c r="S3280">
        <v>2.9782709999999999</v>
      </c>
      <c r="T3280">
        <v>8.4457989999999997E-2</v>
      </c>
      <c r="U3280">
        <v>-0.46374510000000002</v>
      </c>
      <c r="V3280">
        <v>4.0307460000000003E-2</v>
      </c>
      <c r="W3280">
        <v>7.893907E-2</v>
      </c>
      <c r="X3280">
        <v>0.99606419999999996</v>
      </c>
      <c r="Y3280">
        <v>0.1294836</v>
      </c>
      <c r="Z3280">
        <v>1.132332E-3</v>
      </c>
      <c r="AA3280">
        <v>0.99158089999999999</v>
      </c>
      <c r="AB3280">
        <v>44</v>
      </c>
      <c r="AC3280">
        <v>153.3646</v>
      </c>
      <c r="AD3280">
        <v>4.3611869999999904</v>
      </c>
      <c r="AE3280">
        <v>-23.936499999999899</v>
      </c>
      <c r="AF3280">
        <v>20.144127020318699</v>
      </c>
      <c r="AG3280">
        <v>4.3611869999999904</v>
      </c>
      <c r="AH3280">
        <v>153.78516119762801</v>
      </c>
      <c r="AI3280">
        <v>88.389338541109595</v>
      </c>
      <c r="AJ3280">
        <v>82.537384860676994</v>
      </c>
      <c r="AK3280">
        <v>155.160180491131</v>
      </c>
      <c r="AL3280">
        <v>85.472413845352094</v>
      </c>
      <c r="AM3280">
        <v>87.682691576028205</v>
      </c>
      <c r="AN3280">
        <v>0.99999997931287798</v>
      </c>
    </row>
    <row r="3281" spans="1:40" x14ac:dyDescent="0.25">
      <c r="A3281" t="str">
        <f>"20190312151051565"</f>
        <v>20190312151051565</v>
      </c>
      <c r="B3281" t="str">
        <f>"1552374651553793"</f>
        <v>1552374651553793</v>
      </c>
      <c r="C3281" t="s">
        <v>40</v>
      </c>
      <c r="D3281">
        <v>5.5433919999999999</v>
      </c>
      <c r="E3281">
        <v>0.53688499999999995</v>
      </c>
      <c r="F3281" t="s">
        <v>69</v>
      </c>
      <c r="G3281">
        <v>-168.4177</v>
      </c>
      <c r="H3281">
        <v>5.0261659999999999</v>
      </c>
      <c r="I3281">
        <v>189.6671</v>
      </c>
      <c r="J3281">
        <v>-321.35079999999999</v>
      </c>
      <c r="K3281">
        <v>1.1089469999999999</v>
      </c>
      <c r="L3281">
        <v>214.31010000000001</v>
      </c>
      <c r="M3281">
        <v>0.99963749999999996</v>
      </c>
      <c r="N3281">
        <v>0</v>
      </c>
      <c r="O3281">
        <v>-2.4849420000000001E-2</v>
      </c>
      <c r="P3281">
        <v>0.99533179999999999</v>
      </c>
      <c r="Q3281">
        <v>6.8515820000000005E-2</v>
      </c>
      <c r="R3281">
        <v>-6.7974510000000002E-2</v>
      </c>
      <c r="S3281">
        <v>2.9771730000000001</v>
      </c>
      <c r="T3281">
        <v>7.6045160000000001E-2</v>
      </c>
      <c r="U3281">
        <v>-0.47859190000000001</v>
      </c>
      <c r="V3281">
        <v>4.3315279999999998E-2</v>
      </c>
      <c r="W3281">
        <v>7.8787430000000006E-2</v>
      </c>
      <c r="X3281">
        <v>0.99595</v>
      </c>
      <c r="Y3281">
        <v>0.13409670000000001</v>
      </c>
      <c r="Z3281">
        <v>1.071158E-3</v>
      </c>
      <c r="AA3281">
        <v>0.99096770000000001</v>
      </c>
      <c r="AB3281">
        <v>44</v>
      </c>
      <c r="AC3281">
        <v>152.9331</v>
      </c>
      <c r="AD3281">
        <v>3.9172189999999998</v>
      </c>
      <c r="AE3281">
        <v>-24.643000000000001</v>
      </c>
      <c r="AF3281">
        <v>20.821571907034699</v>
      </c>
      <c r="AG3281">
        <v>3.9172189999999998</v>
      </c>
      <c r="AH3281">
        <v>153.40017232947801</v>
      </c>
      <c r="AI3281">
        <v>88.550501611604901</v>
      </c>
      <c r="AJ3281">
        <v>82.270271157683894</v>
      </c>
      <c r="AK3281">
        <v>154.85637000810499</v>
      </c>
      <c r="AL3281">
        <v>85.481129586121099</v>
      </c>
      <c r="AM3281">
        <v>87.5096945239532</v>
      </c>
      <c r="AN3281">
        <v>1.0000000375537399</v>
      </c>
    </row>
    <row r="3282" spans="1:40" x14ac:dyDescent="0.25">
      <c r="A3282" t="str">
        <f>"20190312151051586"</f>
        <v>20190312151051586</v>
      </c>
      <c r="B3282" t="str">
        <f>"1552374651584042"</f>
        <v>1552374651584042</v>
      </c>
      <c r="C3282" t="s">
        <v>40</v>
      </c>
      <c r="D3282">
        <v>5.16031</v>
      </c>
      <c r="E3282">
        <v>0.53807139999999998</v>
      </c>
      <c r="F3282" t="s">
        <v>69</v>
      </c>
      <c r="G3282">
        <v>-168.4179</v>
      </c>
      <c r="H3282">
        <v>4.5996990000000002</v>
      </c>
      <c r="I3282">
        <v>188.80170000000001</v>
      </c>
      <c r="J3282">
        <v>-320.90719999999999</v>
      </c>
      <c r="K3282">
        <v>1.1090580000000001</v>
      </c>
      <c r="L3282">
        <v>214.2989</v>
      </c>
      <c r="M3282">
        <v>0.99962949999999995</v>
      </c>
      <c r="N3282">
        <v>0</v>
      </c>
      <c r="O3282">
        <v>-2.5047179999999999E-2</v>
      </c>
      <c r="P3282">
        <v>0.99513289999999999</v>
      </c>
      <c r="Q3282">
        <v>6.8827819999999998E-2</v>
      </c>
      <c r="R3282">
        <v>-7.0521760000000003E-2</v>
      </c>
      <c r="S3282">
        <v>2.9754640000000001</v>
      </c>
      <c r="T3282">
        <v>6.7916749999999998E-2</v>
      </c>
      <c r="U3282">
        <v>-0.49629210000000001</v>
      </c>
      <c r="V3282">
        <v>4.5657049999999998E-2</v>
      </c>
      <c r="W3282">
        <v>7.9395880000000002E-2</v>
      </c>
      <c r="X3282">
        <v>0.99579700000000004</v>
      </c>
      <c r="Y3282">
        <v>0.1397341</v>
      </c>
      <c r="Z3282">
        <v>1.0162000000000001E-3</v>
      </c>
      <c r="AA3282">
        <v>0.99018850000000003</v>
      </c>
      <c r="AB3282">
        <v>44</v>
      </c>
      <c r="AC3282">
        <v>152.48929999999999</v>
      </c>
      <c r="AD3282">
        <v>3.4906410000000001</v>
      </c>
      <c r="AE3282">
        <v>-25.4971999999999</v>
      </c>
      <c r="AF3282">
        <v>21.6585157372343</v>
      </c>
      <c r="AG3282">
        <v>3.4906410000000001</v>
      </c>
      <c r="AH3282">
        <v>153.00213067068799</v>
      </c>
      <c r="AI3282">
        <v>88.705958418117902</v>
      </c>
      <c r="AJ3282">
        <v>81.942916264852101</v>
      </c>
      <c r="AK3282">
        <v>154.56690418165601</v>
      </c>
      <c r="AL3282">
        <v>85.446158102648894</v>
      </c>
      <c r="AM3282">
        <v>87.3748409658253</v>
      </c>
      <c r="AN3282">
        <v>0.99999996859233797</v>
      </c>
    </row>
    <row r="3283" spans="1:40" x14ac:dyDescent="0.25">
      <c r="A3283" t="str">
        <f>"20190312151051609"</f>
        <v>20190312151051609</v>
      </c>
      <c r="B3283" t="str">
        <f>"1552374651604540"</f>
        <v>1552374651604540</v>
      </c>
      <c r="C3283" t="s">
        <v>40</v>
      </c>
      <c r="D3283">
        <v>5.1498889999999999</v>
      </c>
      <c r="E3283">
        <v>0.53838909999999995</v>
      </c>
      <c r="F3283" t="s">
        <v>69</v>
      </c>
      <c r="G3283">
        <v>-168.41810000000001</v>
      </c>
      <c r="H3283">
        <v>4.4740039999999999</v>
      </c>
      <c r="I3283">
        <v>187.97229999999999</v>
      </c>
      <c r="J3283">
        <v>-320.4674</v>
      </c>
      <c r="K3283">
        <v>1.1091789999999999</v>
      </c>
      <c r="L3283">
        <v>214.2877</v>
      </c>
      <c r="M3283">
        <v>0.99962300000000004</v>
      </c>
      <c r="N3283">
        <v>0</v>
      </c>
      <c r="O3283">
        <v>-2.517287E-2</v>
      </c>
      <c r="P3283">
        <v>0.99500509999999998</v>
      </c>
      <c r="Q3283">
        <v>6.8458690000000003E-2</v>
      </c>
      <c r="R3283">
        <v>-7.2651969999999996E-2</v>
      </c>
      <c r="S3283">
        <v>2.9737849999999999</v>
      </c>
      <c r="T3283">
        <v>6.5622570000000005E-2</v>
      </c>
      <c r="U3283">
        <v>-0.51341250000000005</v>
      </c>
      <c r="V3283">
        <v>4.7650419999999999E-2</v>
      </c>
      <c r="W3283">
        <v>7.9347379999999995E-2</v>
      </c>
      <c r="X3283">
        <v>0.99570749999999997</v>
      </c>
      <c r="Y3283">
        <v>0.1452396</v>
      </c>
      <c r="Z3283">
        <v>1.039508E-3</v>
      </c>
      <c r="AA3283">
        <v>0.98939600000000005</v>
      </c>
      <c r="AB3283">
        <v>44</v>
      </c>
      <c r="AC3283">
        <v>152.04929999999999</v>
      </c>
      <c r="AD3283">
        <v>3.3648250000000002</v>
      </c>
      <c r="AE3283">
        <v>-26.3154</v>
      </c>
      <c r="AF3283">
        <v>22.4686291698007</v>
      </c>
      <c r="AG3283">
        <v>3.3648250000000002</v>
      </c>
      <c r="AH3283">
        <v>152.59103072112401</v>
      </c>
      <c r="AI3283">
        <v>88.750232011690898</v>
      </c>
      <c r="AJ3283">
        <v>81.623539482735595</v>
      </c>
      <c r="AK3283">
        <v>154.27308255358599</v>
      </c>
      <c r="AL3283">
        <v>85.448945874152798</v>
      </c>
      <c r="AM3283">
        <v>87.260152581113005</v>
      </c>
      <c r="AN3283">
        <v>0.999999997397645</v>
      </c>
    </row>
    <row r="3284" spans="1:40" x14ac:dyDescent="0.25">
      <c r="A3284" t="str">
        <f>"20190312151051631"</f>
        <v>20190312151051631</v>
      </c>
      <c r="B3284" t="str">
        <f>"1552374651624058"</f>
        <v>1552374651624058</v>
      </c>
      <c r="C3284" t="s">
        <v>40</v>
      </c>
      <c r="D3284">
        <v>4.9562229999999996</v>
      </c>
      <c r="E3284">
        <v>0.56116519999999903</v>
      </c>
      <c r="F3284" t="s">
        <v>69</v>
      </c>
      <c r="G3284">
        <v>-168.41820000000001</v>
      </c>
      <c r="H3284">
        <v>4.377313</v>
      </c>
      <c r="I3284">
        <v>187.55889999999999</v>
      </c>
      <c r="J3284">
        <v>-320.02379999999999</v>
      </c>
      <c r="K3284">
        <v>1.1093120000000001</v>
      </c>
      <c r="L3284">
        <v>214.2764</v>
      </c>
      <c r="M3284">
        <v>0.99961789999999995</v>
      </c>
      <c r="N3284">
        <v>0</v>
      </c>
      <c r="O3284">
        <v>-2.5227079999999999E-2</v>
      </c>
      <c r="P3284">
        <v>0.99487979999999998</v>
      </c>
      <c r="Q3284">
        <v>6.8401530000000002E-2</v>
      </c>
      <c r="R3284">
        <v>-7.4403759999999999E-2</v>
      </c>
      <c r="S3284">
        <v>2.9725039999999998</v>
      </c>
      <c r="T3284">
        <v>6.3891409999999996E-2</v>
      </c>
      <c r="U3284">
        <v>-0.52253720000000003</v>
      </c>
      <c r="V3284">
        <v>4.9335499999999997E-2</v>
      </c>
      <c r="W3284">
        <v>7.9630690000000004E-2</v>
      </c>
      <c r="X3284">
        <v>0.99560280000000001</v>
      </c>
      <c r="Y3284">
        <v>0.14820520000000001</v>
      </c>
      <c r="Z3284">
        <v>1.04273E-3</v>
      </c>
      <c r="AA3284">
        <v>0.9889561</v>
      </c>
      <c r="AB3284">
        <v>44</v>
      </c>
      <c r="AC3284">
        <v>151.60559999999899</v>
      </c>
      <c r="AD3284">
        <v>3.2680009999999999</v>
      </c>
      <c r="AE3284">
        <v>-26.717500000000001</v>
      </c>
      <c r="AF3284">
        <v>22.8738768633436</v>
      </c>
      <c r="AG3284">
        <v>3.2680009999999999</v>
      </c>
      <c r="AH3284">
        <v>152.162818336463</v>
      </c>
      <c r="AI3284">
        <v>88.783313757922002</v>
      </c>
      <c r="AJ3284">
        <v>81.451023445700699</v>
      </c>
      <c r="AK3284">
        <v>153.90717123445199</v>
      </c>
      <c r="AL3284">
        <v>85.432661831739793</v>
      </c>
      <c r="AM3284">
        <v>87.163120042221607</v>
      </c>
      <c r="AN3284">
        <v>0.99999998685898295</v>
      </c>
    </row>
    <row r="3285" spans="1:40" x14ac:dyDescent="0.25">
      <c r="A3285" t="str">
        <f>"20190312151051655"</f>
        <v>20190312151051655</v>
      </c>
      <c r="B3285" t="str">
        <f>"1552374651644555"</f>
        <v>1552374651644555</v>
      </c>
      <c r="C3285" t="s">
        <v>40</v>
      </c>
      <c r="D3285">
        <v>4.730378</v>
      </c>
      <c r="E3285">
        <v>0.5572085</v>
      </c>
      <c r="F3285" t="s">
        <v>61</v>
      </c>
      <c r="G3285">
        <v>-307.99779999999998</v>
      </c>
      <c r="H3285" s="1">
        <v>1.2345889999999999E-6</v>
      </c>
      <c r="I3285">
        <v>211.42920000000001</v>
      </c>
      <c r="J3285">
        <v>-319.56659999999999</v>
      </c>
      <c r="K3285">
        <v>1.109456</v>
      </c>
      <c r="L3285">
        <v>214.26490000000001</v>
      </c>
      <c r="M3285">
        <v>0.99961449999999996</v>
      </c>
      <c r="N3285">
        <v>0</v>
      </c>
      <c r="O3285">
        <v>-2.5202200000000001E-2</v>
      </c>
      <c r="P3285">
        <v>0.9947973</v>
      </c>
      <c r="Q3285">
        <v>6.8524680000000004E-2</v>
      </c>
      <c r="R3285">
        <v>-7.538562E-2</v>
      </c>
      <c r="S3285">
        <v>2.9815369999999999</v>
      </c>
      <c r="T3285">
        <v>-0.2750242</v>
      </c>
      <c r="U3285">
        <v>-0.70590209999999998</v>
      </c>
      <c r="V3285">
        <v>5.032681E-2</v>
      </c>
      <c r="W3285">
        <v>8.0109319999999998E-2</v>
      </c>
      <c r="X3285">
        <v>0.99551480000000003</v>
      </c>
      <c r="Y3285">
        <v>0.20506759999999999</v>
      </c>
      <c r="Z3285">
        <v>-7.0233939999999996E-3</v>
      </c>
      <c r="AA3285">
        <v>0.9787226</v>
      </c>
      <c r="AB3285">
        <v>44</v>
      </c>
      <c r="AC3285">
        <v>11.5688</v>
      </c>
      <c r="AD3285">
        <v>-1.1094547654109901</v>
      </c>
      <c r="AE3285">
        <v>-2.8357000000000001</v>
      </c>
      <c r="AF3285">
        <v>2.5213458202401098</v>
      </c>
      <c r="AG3285">
        <v>-1.1094547654109901</v>
      </c>
      <c r="AH3285">
        <v>11.536508710079</v>
      </c>
      <c r="AI3285">
        <v>95.367261935953493</v>
      </c>
      <c r="AJ3285">
        <v>77.671650703970201</v>
      </c>
      <c r="AK3285">
        <v>11.860822393049499</v>
      </c>
      <c r="AL3285">
        <v>85.405150540127806</v>
      </c>
      <c r="AM3285">
        <v>87.105958504511193</v>
      </c>
      <c r="AN3285">
        <v>1.00000000398733</v>
      </c>
    </row>
    <row r="3286" spans="1:40" x14ac:dyDescent="0.25">
      <c r="A3286" t="str">
        <f>"20190312151051677"</f>
        <v>20190312151051677</v>
      </c>
      <c r="B3286" t="str">
        <f>"1552374651673835"</f>
        <v>1552374651673835</v>
      </c>
      <c r="C3286" t="s">
        <v>40</v>
      </c>
      <c r="D3286">
        <v>5.5754159999999997</v>
      </c>
      <c r="E3286">
        <v>0.54936439999999997</v>
      </c>
      <c r="F3286" t="s">
        <v>61</v>
      </c>
      <c r="G3286">
        <v>-306.39280000000002</v>
      </c>
      <c r="H3286" s="1">
        <v>1.5192899999999999E-6</v>
      </c>
      <c r="I3286">
        <v>211.2715</v>
      </c>
      <c r="J3286">
        <v>-319.12310000000002</v>
      </c>
      <c r="K3286">
        <v>1.1095950000000001</v>
      </c>
      <c r="L3286">
        <v>214.25370000000001</v>
      </c>
      <c r="M3286">
        <v>0.99961330000000004</v>
      </c>
      <c r="N3286">
        <v>0</v>
      </c>
      <c r="O3286">
        <v>-2.5094189999999999E-2</v>
      </c>
      <c r="P3286">
        <v>0.99469019999999997</v>
      </c>
      <c r="Q3286">
        <v>6.934601E-2</v>
      </c>
      <c r="R3286">
        <v>-7.6042570000000004E-2</v>
      </c>
      <c r="S3286">
        <v>2.9816590000000001</v>
      </c>
      <c r="T3286">
        <v>-0.25110549999999998</v>
      </c>
      <c r="U3286">
        <v>-0.67749019999999904</v>
      </c>
      <c r="V3286">
        <v>5.1076200000000002E-2</v>
      </c>
      <c r="W3286">
        <v>8.1267110000000004E-2</v>
      </c>
      <c r="X3286">
        <v>0.99538280000000001</v>
      </c>
      <c r="Y3286">
        <v>0.1964534</v>
      </c>
      <c r="Z3286">
        <v>-6.0726030000000002E-3</v>
      </c>
      <c r="AA3286">
        <v>0.98049439999999999</v>
      </c>
      <c r="AB3286">
        <v>44</v>
      </c>
      <c r="AC3286">
        <v>12.7303</v>
      </c>
      <c r="AD3286">
        <v>-1.1095934807100001</v>
      </c>
      <c r="AE3286">
        <v>-2.9822000000000002</v>
      </c>
      <c r="AF3286">
        <v>2.64274838214545</v>
      </c>
      <c r="AG3286">
        <v>-1.1095934807100001</v>
      </c>
      <c r="AH3286">
        <v>12.7095982762549</v>
      </c>
      <c r="AI3286">
        <v>94.885500348307403</v>
      </c>
      <c r="AJ3286">
        <v>78.253681045236306</v>
      </c>
      <c r="AK3286">
        <v>13.0287837132846</v>
      </c>
      <c r="AL3286">
        <v>85.338597125666098</v>
      </c>
      <c r="AM3286">
        <v>87.062550950466502</v>
      </c>
      <c r="AN3286">
        <v>1.0000000199550101</v>
      </c>
    </row>
    <row r="3287" spans="1:40" x14ac:dyDescent="0.25">
      <c r="A3287" t="str">
        <f>"20190312151051701"</f>
        <v>20190312151051701</v>
      </c>
      <c r="B3287" t="str">
        <f>"1552374651694332"</f>
        <v>1552374651694332</v>
      </c>
      <c r="C3287" t="s">
        <v>40</v>
      </c>
      <c r="D3287">
        <v>5.4716389999999997</v>
      </c>
      <c r="E3287">
        <v>0.54905680000000001</v>
      </c>
      <c r="F3287" t="s">
        <v>69</v>
      </c>
      <c r="G3287">
        <v>-168.4194</v>
      </c>
      <c r="H3287">
        <v>3.0507240000000002</v>
      </c>
      <c r="I3287">
        <v>182.7903</v>
      </c>
      <c r="J3287">
        <v>-318.6671</v>
      </c>
      <c r="K3287">
        <v>1.109723</v>
      </c>
      <c r="L3287">
        <v>214.2424</v>
      </c>
      <c r="M3287">
        <v>0.99961469999999997</v>
      </c>
      <c r="N3287">
        <v>0</v>
      </c>
      <c r="O3287">
        <v>-2.48898E-2</v>
      </c>
      <c r="P3287">
        <v>0.99467470000000002</v>
      </c>
      <c r="Q3287">
        <v>6.9252999999999995E-2</v>
      </c>
      <c r="R3287">
        <v>-7.6331220000000005E-2</v>
      </c>
      <c r="S3287">
        <v>2.9660030000000002</v>
      </c>
      <c r="T3287">
        <v>3.820407E-2</v>
      </c>
      <c r="U3287">
        <v>-0.61923219999999901</v>
      </c>
      <c r="V3287">
        <v>5.1549449999999997E-2</v>
      </c>
      <c r="W3287">
        <v>8.1496189999999996E-2</v>
      </c>
      <c r="X3287">
        <v>0.99533959999999999</v>
      </c>
      <c r="Y3287">
        <v>0.17992820000000001</v>
      </c>
      <c r="Z3287">
        <v>8.2943060000000002E-4</v>
      </c>
      <c r="AA3287">
        <v>0.98367939999999998</v>
      </c>
      <c r="AB3287">
        <v>44</v>
      </c>
      <c r="AC3287">
        <v>150.24770000000001</v>
      </c>
      <c r="AD3287">
        <v>1.941001</v>
      </c>
      <c r="AE3287">
        <v>-31.452100000000002</v>
      </c>
      <c r="AF3287">
        <v>27.698008697475899</v>
      </c>
      <c r="AG3287">
        <v>1.941001</v>
      </c>
      <c r="AH3287">
        <v>150.95990560690799</v>
      </c>
      <c r="AI3287">
        <v>89.275440931971403</v>
      </c>
      <c r="AJ3287">
        <v>79.603054423753605</v>
      </c>
      <c r="AK3287">
        <v>153.49215052091199</v>
      </c>
      <c r="AL3287">
        <v>85.325427785784896</v>
      </c>
      <c r="AM3287">
        <v>87.035253705365704</v>
      </c>
      <c r="AN3287">
        <v>0.99999994705398698</v>
      </c>
    </row>
    <row r="3288" spans="1:40" x14ac:dyDescent="0.25">
      <c r="A3288" t="str">
        <f>"20190312151051723"</f>
        <v>20190312151051723</v>
      </c>
      <c r="B3288" t="str">
        <f>"1552374651713850"</f>
        <v>1552374651713850</v>
      </c>
      <c r="C3288" t="s">
        <v>40</v>
      </c>
      <c r="D3288">
        <v>4.8212489999999999</v>
      </c>
      <c r="E3288">
        <v>0.54812190000000005</v>
      </c>
      <c r="F3288" t="s">
        <v>69</v>
      </c>
      <c r="G3288">
        <v>-168.41900000000001</v>
      </c>
      <c r="H3288">
        <v>2.2984559999999998</v>
      </c>
      <c r="I3288">
        <v>182.96469999999999</v>
      </c>
      <c r="J3288">
        <v>-318.23390000000001</v>
      </c>
      <c r="K3288">
        <v>1.1098380000000001</v>
      </c>
      <c r="L3288">
        <v>214.23179999999999</v>
      </c>
      <c r="M3288">
        <v>0.99961809999999995</v>
      </c>
      <c r="N3288">
        <v>0</v>
      </c>
      <c r="O3288">
        <v>-2.461897E-2</v>
      </c>
      <c r="P3288">
        <v>0.99470930000000002</v>
      </c>
      <c r="Q3288">
        <v>6.8831379999999998E-2</v>
      </c>
      <c r="R3288">
        <v>-7.6262750000000004E-2</v>
      </c>
      <c r="S3288">
        <v>2.967041</v>
      </c>
      <c r="T3288">
        <v>2.3475289999999999E-2</v>
      </c>
      <c r="U3288">
        <v>-0.61766049999999995</v>
      </c>
      <c r="V3288">
        <v>5.1731840000000001E-2</v>
      </c>
      <c r="W3288">
        <v>8.1352670000000002E-2</v>
      </c>
      <c r="X3288">
        <v>0.99534199999999995</v>
      </c>
      <c r="Y3288">
        <v>0.17963409999999999</v>
      </c>
      <c r="Z3288">
        <v>5.1049139999999999E-4</v>
      </c>
      <c r="AA3288">
        <v>0.98373339999999998</v>
      </c>
      <c r="AB3288">
        <v>44</v>
      </c>
      <c r="AC3288">
        <v>149.81489999999999</v>
      </c>
      <c r="AD3288">
        <v>1.188618</v>
      </c>
      <c r="AE3288">
        <v>-31.267099999999999</v>
      </c>
      <c r="AF3288">
        <v>27.567379695038898</v>
      </c>
      <c r="AG3288">
        <v>1.188618</v>
      </c>
      <c r="AH3288">
        <v>150.530229559746</v>
      </c>
      <c r="AI3288">
        <v>89.554990635097099</v>
      </c>
      <c r="AJ3288">
        <v>79.622127095242206</v>
      </c>
      <c r="AK3288">
        <v>153.03830647034101</v>
      </c>
      <c r="AL3288">
        <v>85.333678840407998</v>
      </c>
      <c r="AM3288">
        <v>87.024789944673003</v>
      </c>
      <c r="AN3288">
        <v>1.0000000685749499</v>
      </c>
    </row>
    <row r="3289" spans="1:40" x14ac:dyDescent="0.25">
      <c r="A3289" t="str">
        <f>"20190312151051745"</f>
        <v>20190312151051745</v>
      </c>
      <c r="B3289" t="str">
        <f>"1552374651734346"</f>
        <v>1552374651734346</v>
      </c>
      <c r="C3289" t="s">
        <v>40</v>
      </c>
      <c r="D3289">
        <v>5.4339269999999997</v>
      </c>
      <c r="E3289">
        <v>0.5502667</v>
      </c>
      <c r="F3289" t="s">
        <v>75</v>
      </c>
      <c r="G3289">
        <v>-235.9787</v>
      </c>
      <c r="H3289">
        <v>1.9010689999999999</v>
      </c>
      <c r="I3289">
        <v>197.3186</v>
      </c>
      <c r="J3289">
        <v>-317.79480000000001</v>
      </c>
      <c r="K3289">
        <v>1.1099410000000001</v>
      </c>
      <c r="L3289">
        <v>214.22130000000001</v>
      </c>
      <c r="M3289">
        <v>0.99962320000000005</v>
      </c>
      <c r="N3289">
        <v>0</v>
      </c>
      <c r="O3289">
        <v>-2.4279180000000001E-2</v>
      </c>
      <c r="P3289">
        <v>0.99470060000000005</v>
      </c>
      <c r="Q3289">
        <v>6.8754220000000005E-2</v>
      </c>
      <c r="R3289">
        <v>-7.6443499999999998E-2</v>
      </c>
      <c r="S3289">
        <v>2.9671940000000001</v>
      </c>
      <c r="T3289">
        <v>2.8545620000000001E-2</v>
      </c>
      <c r="U3289">
        <v>-0.61010739999999997</v>
      </c>
      <c r="V3289">
        <v>5.2234419999999997E-2</v>
      </c>
      <c r="W3289">
        <v>8.1528980000000001E-2</v>
      </c>
      <c r="X3289">
        <v>0.9953012</v>
      </c>
      <c r="Y3289">
        <v>0.177554399999999</v>
      </c>
      <c r="Z3289">
        <v>6.1420110000000002E-4</v>
      </c>
      <c r="AA3289">
        <v>0.98411079999999995</v>
      </c>
      <c r="AB3289">
        <v>44</v>
      </c>
      <c r="AC3289">
        <v>81.816100000000006</v>
      </c>
      <c r="AD3289">
        <v>0.79112799999999905</v>
      </c>
      <c r="AE3289">
        <v>-16.902699999999999</v>
      </c>
      <c r="AF3289">
        <v>14.9097888388761</v>
      </c>
      <c r="AG3289">
        <v>0.79112799999999905</v>
      </c>
      <c r="AH3289">
        <v>82.195024694995197</v>
      </c>
      <c r="AI3289">
        <v>89.4573986834002</v>
      </c>
      <c r="AJ3289">
        <v>79.718610848602907</v>
      </c>
      <c r="AK3289">
        <v>83.540108758267294</v>
      </c>
      <c r="AL3289">
        <v>85.323542769910603</v>
      </c>
      <c r="AM3289">
        <v>86.9958152515064</v>
      </c>
      <c r="AN3289">
        <v>0.99999994396700598</v>
      </c>
    </row>
    <row r="3290" spans="1:40" x14ac:dyDescent="0.25">
      <c r="A3290" t="str">
        <f>"20190312151051766"</f>
        <v>20190312151051766</v>
      </c>
      <c r="B3290" t="str">
        <f>"1552374651753866"</f>
        <v>1552374651753866</v>
      </c>
      <c r="C3290" t="s">
        <v>40</v>
      </c>
      <c r="D3290">
        <v>5.4909670000000004</v>
      </c>
      <c r="E3290">
        <v>0.58281729999999998</v>
      </c>
      <c r="F3290" t="s">
        <v>69</v>
      </c>
      <c r="G3290">
        <v>-168.41929999999999</v>
      </c>
      <c r="H3290">
        <v>2.6437970000000002</v>
      </c>
      <c r="I3290">
        <v>182.6113</v>
      </c>
      <c r="J3290">
        <v>-317.37189999999998</v>
      </c>
      <c r="K3290">
        <v>1.1100300000000001</v>
      </c>
      <c r="L3290">
        <v>214.21119999999999</v>
      </c>
      <c r="M3290">
        <v>0.99962989999999996</v>
      </c>
      <c r="N3290">
        <v>0</v>
      </c>
      <c r="O3290">
        <v>-2.3894289999999999E-2</v>
      </c>
      <c r="P3290">
        <v>0.99469070000000004</v>
      </c>
      <c r="Q3290">
        <v>6.8210729999999997E-2</v>
      </c>
      <c r="R3290">
        <v>-7.7062899999999906E-2</v>
      </c>
      <c r="S3290">
        <v>2.9656069999999999</v>
      </c>
      <c r="T3290">
        <v>3.045285E-2</v>
      </c>
      <c r="U3290">
        <v>-0.62756350000000005</v>
      </c>
      <c r="V3290">
        <v>5.32223E-2</v>
      </c>
      <c r="W3290">
        <v>8.1204380000000007E-2</v>
      </c>
      <c r="X3290">
        <v>0.99527540000000003</v>
      </c>
      <c r="Y3290">
        <v>0.18358350000000001</v>
      </c>
      <c r="Z3290">
        <v>6.8971210000000002E-4</v>
      </c>
      <c r="AA3290">
        <v>0.98300390000000004</v>
      </c>
      <c r="AB3290">
        <v>44</v>
      </c>
      <c r="AC3290">
        <v>148.95259999999999</v>
      </c>
      <c r="AD3290">
        <v>1.5337670000000001</v>
      </c>
      <c r="AE3290">
        <v>-31.599899999999899</v>
      </c>
      <c r="AF3290">
        <v>28.0286149392929</v>
      </c>
      <c r="AG3290">
        <v>1.5337670000000001</v>
      </c>
      <c r="AH3290">
        <v>149.65000268923399</v>
      </c>
      <c r="AI3290">
        <v>89.422829920318307</v>
      </c>
      <c r="AJ3290">
        <v>79.391722318734594</v>
      </c>
      <c r="AK3290">
        <v>152.25990608664301</v>
      </c>
      <c r="AL3290">
        <v>85.342202849938801</v>
      </c>
      <c r="AM3290">
        <v>86.939026652583095</v>
      </c>
      <c r="AN3290">
        <v>0.99999994319681496</v>
      </c>
    </row>
    <row r="3291" spans="1:40" x14ac:dyDescent="0.25">
      <c r="A3291" t="str">
        <f>"20190312151051788"</f>
        <v>20190312151051788</v>
      </c>
      <c r="B3291" t="str">
        <f>"1552374651784123"</f>
        <v>1552374651784123</v>
      </c>
      <c r="C3291" t="s">
        <v>40</v>
      </c>
      <c r="D3291">
        <v>5.472817</v>
      </c>
      <c r="E3291">
        <v>0.58211230000000003</v>
      </c>
      <c r="F3291" t="s">
        <v>77</v>
      </c>
      <c r="G3291">
        <v>-253.96010000000001</v>
      </c>
      <c r="H3291">
        <v>2.1197330000000001</v>
      </c>
      <c r="I3291">
        <v>195.0711</v>
      </c>
      <c r="J3291">
        <v>-316.95030000000003</v>
      </c>
      <c r="K3291">
        <v>1.110114</v>
      </c>
      <c r="L3291">
        <v>214.20150000000001</v>
      </c>
      <c r="M3291">
        <v>0.99963769999999996</v>
      </c>
      <c r="N3291">
        <v>0</v>
      </c>
      <c r="O3291">
        <v>-2.345796E-2</v>
      </c>
      <c r="P3291">
        <v>0.99463020000000002</v>
      </c>
      <c r="Q3291">
        <v>6.8113010000000002E-2</v>
      </c>
      <c r="R3291">
        <v>-7.7920310000000007E-2</v>
      </c>
      <c r="S3291">
        <v>2.9439389999999999</v>
      </c>
      <c r="T3291">
        <v>4.6876189999999998E-2</v>
      </c>
      <c r="U3291">
        <v>-0.88859560000000004</v>
      </c>
      <c r="V3291">
        <v>5.4502120000000001E-2</v>
      </c>
      <c r="W3291">
        <v>8.1302280000000005E-2</v>
      </c>
      <c r="X3291">
        <v>0.99519820000000003</v>
      </c>
      <c r="Y3291">
        <v>0.26639580000000002</v>
      </c>
      <c r="Z3291">
        <v>1.7095070000000001E-3</v>
      </c>
      <c r="AA3291">
        <v>0.9638622</v>
      </c>
      <c r="AB3291">
        <v>44</v>
      </c>
      <c r="AC3291">
        <v>62.990200000000002</v>
      </c>
      <c r="AD3291">
        <v>1.009619</v>
      </c>
      <c r="AE3291">
        <v>-19.130400000000002</v>
      </c>
      <c r="AF3291">
        <v>17.6432347219558</v>
      </c>
      <c r="AG3291">
        <v>1.009619</v>
      </c>
      <c r="AH3291">
        <v>63.4067490629727</v>
      </c>
      <c r="AI3291">
        <v>89.121145619902293</v>
      </c>
      <c r="AJ3291">
        <v>74.4505165508414</v>
      </c>
      <c r="AK3291">
        <v>65.823391653073998</v>
      </c>
      <c r="AL3291">
        <v>85.336575247542896</v>
      </c>
      <c r="AM3291">
        <v>86.865322774933205</v>
      </c>
      <c r="AN3291">
        <v>0.99999999955046603</v>
      </c>
    </row>
    <row r="3292" spans="1:40" x14ac:dyDescent="0.25">
      <c r="A3292" t="str">
        <f>"20190312151051811"</f>
        <v>20190312151051811</v>
      </c>
      <c r="B3292" t="str">
        <f>"1552374651804618"</f>
        <v>1552374651804618</v>
      </c>
      <c r="C3292" t="s">
        <v>40</v>
      </c>
      <c r="D3292">
        <v>5.4843989999999998</v>
      </c>
      <c r="E3292">
        <v>0.58231199999999905</v>
      </c>
      <c r="F3292" t="s">
        <v>77</v>
      </c>
      <c r="G3292">
        <v>-253.57929999999999</v>
      </c>
      <c r="H3292">
        <v>1.862792</v>
      </c>
      <c r="I3292">
        <v>195.1473</v>
      </c>
      <c r="J3292">
        <v>-316.49299999999999</v>
      </c>
      <c r="K3292">
        <v>1.1102030000000001</v>
      </c>
      <c r="L3292">
        <v>214.19120000000001</v>
      </c>
      <c r="M3292">
        <v>0.99964750000000002</v>
      </c>
      <c r="N3292">
        <v>0</v>
      </c>
      <c r="O3292">
        <v>-2.293251E-2</v>
      </c>
      <c r="P3292">
        <v>0.99458780000000002</v>
      </c>
      <c r="Q3292">
        <v>6.8091299999999993E-2</v>
      </c>
      <c r="R3292">
        <v>-7.8479069999999998E-2</v>
      </c>
      <c r="S3292">
        <v>2.944458</v>
      </c>
      <c r="T3292">
        <v>3.497219E-2</v>
      </c>
      <c r="U3292">
        <v>-0.88533019999999996</v>
      </c>
      <c r="V3292">
        <v>5.5570960000000003E-2</v>
      </c>
      <c r="W3292">
        <v>8.1468150000000003E-2</v>
      </c>
      <c r="X3292">
        <v>0.9951255</v>
      </c>
      <c r="Y3292">
        <v>0.26588779999999901</v>
      </c>
      <c r="Z3292">
        <v>1.2785450000000001E-3</v>
      </c>
      <c r="AA3292">
        <v>0.9640031</v>
      </c>
      <c r="AB3292">
        <v>44</v>
      </c>
      <c r="AC3292">
        <v>62.913699999999999</v>
      </c>
      <c r="AD3292">
        <v>0.75258899999999895</v>
      </c>
      <c r="AE3292">
        <v>-19.043900000000001</v>
      </c>
      <c r="AF3292">
        <v>17.593686410356799</v>
      </c>
      <c r="AG3292">
        <v>0.75258899999999895</v>
      </c>
      <c r="AH3292">
        <v>63.325614214819197</v>
      </c>
      <c r="AI3292">
        <v>89.343951159798394</v>
      </c>
      <c r="AJ3292">
        <v>74.473169207754097</v>
      </c>
      <c r="AK3292">
        <v>65.728514416446401</v>
      </c>
      <c r="AL3292">
        <v>85.327039854650394</v>
      </c>
      <c r="AM3292">
        <v>86.803741895034094</v>
      </c>
      <c r="AN3292">
        <v>0.99999997590499601</v>
      </c>
    </row>
    <row r="3293" spans="1:40" x14ac:dyDescent="0.25">
      <c r="A3293" t="str">
        <f>"20190312151051833"</f>
        <v>20190312151051833</v>
      </c>
      <c r="B3293" t="str">
        <f>"1552374651824142"</f>
        <v>1552374651824142</v>
      </c>
      <c r="C3293" t="s">
        <v>40</v>
      </c>
      <c r="D3293">
        <v>5.3462420000000002</v>
      </c>
      <c r="E3293">
        <v>0.5818025</v>
      </c>
      <c r="F3293" t="s">
        <v>77</v>
      </c>
      <c r="G3293">
        <v>-253.4067</v>
      </c>
      <c r="H3293">
        <v>1.7672540000000001</v>
      </c>
      <c r="I3293">
        <v>195.1473</v>
      </c>
      <c r="J3293">
        <v>-316.05930000000001</v>
      </c>
      <c r="K3293">
        <v>1.1102749999999999</v>
      </c>
      <c r="L3293">
        <v>214.18170000000001</v>
      </c>
      <c r="M3293">
        <v>0.99965780000000004</v>
      </c>
      <c r="N3293">
        <v>0</v>
      </c>
      <c r="O3293">
        <v>-2.2391029999999999E-2</v>
      </c>
      <c r="P3293">
        <v>0.99455729999999998</v>
      </c>
      <c r="Q3293">
        <v>6.8165260000000005E-2</v>
      </c>
      <c r="R3293">
        <v>-7.879891E-2</v>
      </c>
      <c r="S3293">
        <v>2.9440919999999999</v>
      </c>
      <c r="T3293">
        <v>3.0663010000000001E-2</v>
      </c>
      <c r="U3293">
        <v>-0.88873289999999905</v>
      </c>
      <c r="V3293">
        <v>5.6418240000000001E-2</v>
      </c>
      <c r="W3293">
        <v>8.1697699999999998E-2</v>
      </c>
      <c r="X3293">
        <v>0.99505900000000003</v>
      </c>
      <c r="Y3293">
        <v>0.26746760000000003</v>
      </c>
      <c r="Z3293">
        <v>1.13452E-3</v>
      </c>
      <c r="AA3293">
        <v>0.96356620000000004</v>
      </c>
      <c r="AB3293">
        <v>44</v>
      </c>
      <c r="AC3293">
        <v>62.6526</v>
      </c>
      <c r="AD3293">
        <v>0.65697899999999998</v>
      </c>
      <c r="AE3293">
        <v>-19.034400000000002</v>
      </c>
      <c r="AF3293">
        <v>17.6248682041509</v>
      </c>
      <c r="AG3293">
        <v>0.65697899999999998</v>
      </c>
      <c r="AH3293">
        <v>63.056780590391597</v>
      </c>
      <c r="AI3293">
        <v>89.425098740233395</v>
      </c>
      <c r="AJ3293">
        <v>74.383902432513693</v>
      </c>
      <c r="AK3293">
        <v>65.476905692350101</v>
      </c>
      <c r="AL3293">
        <v>85.313843604333201</v>
      </c>
      <c r="AM3293">
        <v>86.754896112058503</v>
      </c>
      <c r="AN3293">
        <v>0.99999997273549301</v>
      </c>
    </row>
    <row r="3294" spans="1:40" x14ac:dyDescent="0.25">
      <c r="A3294" t="str">
        <f>"20190312151051856"</f>
        <v>20190312151051856</v>
      </c>
      <c r="B3294" t="str">
        <f>"1552374651844639"</f>
        <v>1552374651844639</v>
      </c>
      <c r="C3294" t="s">
        <v>40</v>
      </c>
      <c r="D3294">
        <v>5.499352</v>
      </c>
      <c r="E3294">
        <v>0.58793039999999996</v>
      </c>
      <c r="F3294" t="s">
        <v>69</v>
      </c>
      <c r="G3294">
        <v>-163.85849999999999</v>
      </c>
      <c r="H3294">
        <v>2.5547049999999998</v>
      </c>
      <c r="I3294">
        <v>168.398</v>
      </c>
      <c r="J3294">
        <v>-315.61779999999999</v>
      </c>
      <c r="K3294">
        <v>1.1103430000000001</v>
      </c>
      <c r="L3294">
        <v>214.1722</v>
      </c>
      <c r="M3294">
        <v>0.99966900000000003</v>
      </c>
      <c r="N3294">
        <v>0</v>
      </c>
      <c r="O3294">
        <v>-2.1803630000000001E-2</v>
      </c>
      <c r="P3294">
        <v>0.9944733</v>
      </c>
      <c r="Q3294">
        <v>6.8896730000000003E-2</v>
      </c>
      <c r="R3294">
        <v>-7.9222829999999994E-2</v>
      </c>
      <c r="S3294">
        <v>2.944366</v>
      </c>
      <c r="T3294">
        <v>2.7943490000000001E-2</v>
      </c>
      <c r="U3294">
        <v>-0.88569639999999905</v>
      </c>
      <c r="V3294">
        <v>5.7416469999999997E-2</v>
      </c>
      <c r="W3294">
        <v>8.256877E-2</v>
      </c>
      <c r="X3294">
        <v>0.99492999999999998</v>
      </c>
      <c r="Y3294">
        <v>0.2671</v>
      </c>
      <c r="Z3294">
        <v>1.0376980000000001E-3</v>
      </c>
      <c r="AA3294">
        <v>0.96366830000000003</v>
      </c>
      <c r="AB3294">
        <v>44</v>
      </c>
      <c r="AC3294">
        <v>151.7593</v>
      </c>
      <c r="AD3294">
        <v>1.4443619999999899</v>
      </c>
      <c r="AE3294">
        <v>-45.7742</v>
      </c>
      <c r="AF3294">
        <v>42.450579379056798</v>
      </c>
      <c r="AG3294">
        <v>1.4443619999999899</v>
      </c>
      <c r="AH3294">
        <v>152.70867358770701</v>
      </c>
      <c r="AI3294">
        <v>89.477892850630496</v>
      </c>
      <c r="AJ3294">
        <v>74.464916326440203</v>
      </c>
      <c r="AK3294">
        <v>158.505762860917</v>
      </c>
      <c r="AL3294">
        <v>85.263765800666704</v>
      </c>
      <c r="AM3294">
        <v>86.697177964842496</v>
      </c>
      <c r="AN3294">
        <v>0.99999997885328595</v>
      </c>
    </row>
    <row r="3295" spans="1:40" x14ac:dyDescent="0.25">
      <c r="A3295" t="str">
        <f>"20190312151051877"</f>
        <v>20190312151051877</v>
      </c>
      <c r="B3295" t="str">
        <f>"1552374651873914"</f>
        <v>1552374651873914</v>
      </c>
      <c r="C3295" t="s">
        <v>40</v>
      </c>
      <c r="D3295">
        <v>5.4968789999999998</v>
      </c>
      <c r="E3295">
        <v>0.58904369999999995</v>
      </c>
      <c r="F3295" t="s">
        <v>61</v>
      </c>
      <c r="G3295">
        <v>-306.64940000000001</v>
      </c>
      <c r="H3295" s="1">
        <v>1.4737759999999999E-6</v>
      </c>
      <c r="I3295">
        <v>211.3509</v>
      </c>
      <c r="J3295">
        <v>-315.20249999999999</v>
      </c>
      <c r="K3295">
        <v>1.110401</v>
      </c>
      <c r="L3295">
        <v>214.1636</v>
      </c>
      <c r="M3295">
        <v>0.99967989999999995</v>
      </c>
      <c r="N3295">
        <v>0</v>
      </c>
      <c r="O3295">
        <v>-2.1221340000000002E-2</v>
      </c>
      <c r="P3295">
        <v>0.99440870000000003</v>
      </c>
      <c r="Q3295">
        <v>6.9601250000000003E-2</v>
      </c>
      <c r="R3295">
        <v>-7.9417210000000002E-2</v>
      </c>
      <c r="S3295">
        <v>2.9677120000000001</v>
      </c>
      <c r="T3295">
        <v>-0.36741950000000001</v>
      </c>
      <c r="U3295">
        <v>-0.93359380000000003</v>
      </c>
      <c r="V3295">
        <v>5.818106E-2</v>
      </c>
      <c r="W3295">
        <v>8.3387530000000001E-2</v>
      </c>
      <c r="X3295">
        <v>0.99481730000000002</v>
      </c>
      <c r="Y3295">
        <v>0.27799099999999999</v>
      </c>
      <c r="Z3295">
        <v>-1.418869E-2</v>
      </c>
      <c r="AA3295">
        <v>0.96047890000000002</v>
      </c>
      <c r="AB3295">
        <v>44</v>
      </c>
      <c r="AC3295">
        <v>8.5530999999999704</v>
      </c>
      <c r="AD3295">
        <v>-1.1103995262240001</v>
      </c>
      <c r="AE3295">
        <v>-2.8127</v>
      </c>
      <c r="AF3295">
        <v>2.59113113879063</v>
      </c>
      <c r="AG3295">
        <v>-1.1103995262240001</v>
      </c>
      <c r="AH3295">
        <v>8.4818633523430798</v>
      </c>
      <c r="AI3295">
        <v>97.1364469709236</v>
      </c>
      <c r="AJ3295">
        <v>73.012570675476994</v>
      </c>
      <c r="AK3295">
        <v>8.9380620726234294</v>
      </c>
      <c r="AL3295">
        <v>85.216692010023195</v>
      </c>
      <c r="AM3295">
        <v>86.6529167704239</v>
      </c>
      <c r="AN3295">
        <v>0.99999998814075697</v>
      </c>
    </row>
    <row r="3296" spans="1:40" x14ac:dyDescent="0.25">
      <c r="A3296" t="str">
        <f>"20190312151051900"</f>
        <v>20190312151051900</v>
      </c>
      <c r="B3296" t="str">
        <f>"1552374651894411"</f>
        <v>1552374651894411</v>
      </c>
      <c r="C3296" t="s">
        <v>40</v>
      </c>
      <c r="D3296">
        <v>5.5297219999999996</v>
      </c>
      <c r="E3296">
        <v>0.58975010000000005</v>
      </c>
      <c r="F3296" t="s">
        <v>61</v>
      </c>
      <c r="G3296">
        <v>-306.04829999999998</v>
      </c>
      <c r="H3296" s="1">
        <v>1.580388E-6</v>
      </c>
      <c r="I3296">
        <v>211.2534</v>
      </c>
      <c r="J3296">
        <v>-314.75599999999997</v>
      </c>
      <c r="K3296">
        <v>1.1104670000000001</v>
      </c>
      <c r="L3296">
        <v>214.15469999999999</v>
      </c>
      <c r="M3296">
        <v>0.99969240000000004</v>
      </c>
      <c r="N3296">
        <v>0</v>
      </c>
      <c r="O3296">
        <v>-2.0564180000000001E-2</v>
      </c>
      <c r="P3296">
        <v>0.99438910000000003</v>
      </c>
      <c r="Q3296">
        <v>6.9871310000000006E-2</v>
      </c>
      <c r="R3296">
        <v>-7.9427230000000001E-2</v>
      </c>
      <c r="S3296">
        <v>2.966736</v>
      </c>
      <c r="T3296">
        <v>-0.3598635</v>
      </c>
      <c r="U3296">
        <v>-0.94316100000000003</v>
      </c>
      <c r="V3296">
        <v>5.883567E-2</v>
      </c>
      <c r="W3296">
        <v>8.3764829999999998E-2</v>
      </c>
      <c r="X3296">
        <v>0.9947471</v>
      </c>
      <c r="Y3296">
        <v>0.28157130000000002</v>
      </c>
      <c r="Z3296">
        <v>-1.418532E-2</v>
      </c>
      <c r="AA3296">
        <v>0.9594355</v>
      </c>
      <c r="AB3296">
        <v>44</v>
      </c>
      <c r="AC3296">
        <v>8.7076999999999796</v>
      </c>
      <c r="AD3296">
        <v>-1.1104654196120001</v>
      </c>
      <c r="AE3296">
        <v>-2.9012999999999902</v>
      </c>
      <c r="AF3296">
        <v>2.6823382038086399</v>
      </c>
      <c r="AG3296">
        <v>-1.1104654196120001</v>
      </c>
      <c r="AH3296">
        <v>8.6390676574997904</v>
      </c>
      <c r="AI3296">
        <v>96.998550710890299</v>
      </c>
      <c r="AJ3296">
        <v>72.750989651708295</v>
      </c>
      <c r="AK3296">
        <v>9.1138115889360094</v>
      </c>
      <c r="AL3296">
        <v>85.194998413375899</v>
      </c>
      <c r="AM3296">
        <v>86.615106642916899</v>
      </c>
      <c r="AN3296">
        <v>0.99999998788384303</v>
      </c>
    </row>
    <row r="3297" spans="1:40" x14ac:dyDescent="0.25">
      <c r="A3297" t="str">
        <f>"20190312151051923"</f>
        <v>20190312151051923</v>
      </c>
      <c r="B3297" t="str">
        <f>"1552374651913930"</f>
        <v>1552374651913930</v>
      </c>
      <c r="C3297" t="s">
        <v>40</v>
      </c>
      <c r="D3297">
        <v>5.5820030000000003</v>
      </c>
      <c r="E3297">
        <v>0.58964309999999998</v>
      </c>
      <c r="F3297" t="s">
        <v>61</v>
      </c>
      <c r="G3297">
        <v>-305.71710000000002</v>
      </c>
      <c r="H3297" s="1">
        <v>1.6391389999999999E-6</v>
      </c>
      <c r="I3297">
        <v>211.26419999999999</v>
      </c>
      <c r="J3297">
        <v>-314.2962</v>
      </c>
      <c r="K3297">
        <v>1.11052</v>
      </c>
      <c r="L3297">
        <v>214.14580000000001</v>
      </c>
      <c r="M3297">
        <v>0.99970539999999997</v>
      </c>
      <c r="N3297">
        <v>0</v>
      </c>
      <c r="O3297">
        <v>-1.9858130000000002E-2</v>
      </c>
      <c r="P3297">
        <v>0.99437089999999995</v>
      </c>
      <c r="Q3297">
        <v>7.0330630000000005E-2</v>
      </c>
      <c r="R3297">
        <v>-7.9248669999999993E-2</v>
      </c>
      <c r="S3297">
        <v>2.9667659999999998</v>
      </c>
      <c r="T3297">
        <v>-0.36448140000000001</v>
      </c>
      <c r="U3297">
        <v>-0.94871519999999998</v>
      </c>
      <c r="V3297">
        <v>5.935087E-2</v>
      </c>
      <c r="W3297">
        <v>8.4318840000000006E-2</v>
      </c>
      <c r="X3297">
        <v>0.99466969999999999</v>
      </c>
      <c r="Y3297">
        <v>0.2838118</v>
      </c>
      <c r="Z3297">
        <v>-1.4580030000000001E-2</v>
      </c>
      <c r="AA3297">
        <v>0.95876910000000004</v>
      </c>
      <c r="AB3297">
        <v>44</v>
      </c>
      <c r="AC3297">
        <v>8.5790999999999809</v>
      </c>
      <c r="AD3297">
        <v>-1.1105183608609901</v>
      </c>
      <c r="AE3297">
        <v>-2.8816000000000201</v>
      </c>
      <c r="AF3297">
        <v>2.6704409043219401</v>
      </c>
      <c r="AG3297">
        <v>-1.1105183608609901</v>
      </c>
      <c r="AH3297">
        <v>8.5065521081093802</v>
      </c>
      <c r="AI3297">
        <v>97.099926767823902</v>
      </c>
      <c r="AJ3297">
        <v>72.571490977100495</v>
      </c>
      <c r="AK3297">
        <v>8.9847612334032192</v>
      </c>
      <c r="AL3297">
        <v>85.1631433515482</v>
      </c>
      <c r="AM3297">
        <v>86.585271266272997</v>
      </c>
      <c r="AN3297">
        <v>1.0000000023233899</v>
      </c>
    </row>
    <row r="3298" spans="1:40" x14ac:dyDescent="0.25">
      <c r="A3298" t="str">
        <f>"20190312151051946"</f>
        <v>20190312151051946</v>
      </c>
      <c r="B3298" t="str">
        <f>"1552374651934426"</f>
        <v>1552374651934426</v>
      </c>
      <c r="C3298" t="s">
        <v>40</v>
      </c>
      <c r="D3298">
        <v>5.1543269999999897</v>
      </c>
      <c r="E3298">
        <v>0.58644629999999998</v>
      </c>
      <c r="F3298" t="s">
        <v>61</v>
      </c>
      <c r="G3298">
        <v>-305.21969999999999</v>
      </c>
      <c r="H3298" s="1">
        <v>1.7273759999999999E-6</v>
      </c>
      <c r="I3298">
        <v>211.24959999999999</v>
      </c>
      <c r="J3298">
        <v>-313.86259999999999</v>
      </c>
      <c r="K3298">
        <v>1.1105640000000001</v>
      </c>
      <c r="L3298">
        <v>214.1378</v>
      </c>
      <c r="M3298">
        <v>0.99971779999999999</v>
      </c>
      <c r="N3298">
        <v>0</v>
      </c>
      <c r="O3298">
        <v>-1.917044E-2</v>
      </c>
      <c r="P3298">
        <v>0.99438950000000004</v>
      </c>
      <c r="Q3298">
        <v>7.0830829999999997E-2</v>
      </c>
      <c r="R3298">
        <v>-7.8566830000000004E-2</v>
      </c>
      <c r="S3298">
        <v>2.9671940000000001</v>
      </c>
      <c r="T3298">
        <v>-0.36303770000000002</v>
      </c>
      <c r="U3298">
        <v>-0.94680790000000004</v>
      </c>
      <c r="V3298">
        <v>5.9345130000000003E-2</v>
      </c>
      <c r="W3298">
        <v>8.489613E-2</v>
      </c>
      <c r="X3298">
        <v>0.99462090000000003</v>
      </c>
      <c r="Y3298">
        <v>0.28388079999999999</v>
      </c>
      <c r="Z3298">
        <v>-1.460785E-2</v>
      </c>
      <c r="AA3298">
        <v>0.9587483</v>
      </c>
      <c r="AB3298">
        <v>44</v>
      </c>
      <c r="AC3298">
        <v>8.6428999999999903</v>
      </c>
      <c r="AD3298">
        <v>-1.1105622726240001</v>
      </c>
      <c r="AE3298">
        <v>-2.8882000000000101</v>
      </c>
      <c r="AF3298">
        <v>2.6821290853780502</v>
      </c>
      <c r="AG3298">
        <v>-1.1105622726240001</v>
      </c>
      <c r="AH3298">
        <v>8.5694102219305694</v>
      </c>
      <c r="AI3298">
        <v>97.050519057594997</v>
      </c>
      <c r="AJ3298">
        <v>72.620466441566904</v>
      </c>
      <c r="AK3298">
        <v>9.0477597527639304</v>
      </c>
      <c r="AL3298">
        <v>85.129947866943894</v>
      </c>
      <c r="AM3298">
        <v>86.5854336060939</v>
      </c>
      <c r="AN3298">
        <v>0.99999996603025099</v>
      </c>
    </row>
    <row r="3299" spans="1:40" x14ac:dyDescent="0.25">
      <c r="A3299" t="str">
        <f>"20190312151051966"</f>
        <v>20190312151051966</v>
      </c>
      <c r="B3299" t="str">
        <f>"1552374651963707"</f>
        <v>1552374651963707</v>
      </c>
      <c r="C3299" t="s">
        <v>40</v>
      </c>
      <c r="D3299">
        <v>5.2712580000000004</v>
      </c>
      <c r="E3299">
        <v>0.50709899999999997</v>
      </c>
      <c r="F3299" t="s">
        <v>61</v>
      </c>
      <c r="G3299">
        <v>-303.23860000000002</v>
      </c>
      <c r="H3299" s="1">
        <v>2.0787819999999998E-6</v>
      </c>
      <c r="I3299">
        <v>210.84399999999999</v>
      </c>
      <c r="J3299">
        <v>-313.44929999999999</v>
      </c>
      <c r="K3299">
        <v>1.1106039999999999</v>
      </c>
      <c r="L3299">
        <v>214.13040000000001</v>
      </c>
      <c r="M3299">
        <v>0.9997298</v>
      </c>
      <c r="N3299">
        <v>0</v>
      </c>
      <c r="O3299">
        <v>-1.8492629999999999E-2</v>
      </c>
      <c r="P3299">
        <v>0.99446860000000004</v>
      </c>
      <c r="Q3299">
        <v>7.0758299999999996E-2</v>
      </c>
      <c r="R3299">
        <v>-7.7626879999999995E-2</v>
      </c>
      <c r="S3299">
        <v>2.9663390000000001</v>
      </c>
      <c r="T3299">
        <v>-0.31008059999999998</v>
      </c>
      <c r="U3299">
        <v>-0.91966250000000005</v>
      </c>
      <c r="V3299">
        <v>5.9072079999999999E-2</v>
      </c>
      <c r="W3299">
        <v>8.4887560000000001E-2</v>
      </c>
      <c r="X3299">
        <v>0.99463789999999996</v>
      </c>
      <c r="Y3299">
        <v>0.27712769999999998</v>
      </c>
      <c r="Z3299">
        <v>-1.2233590000000001E-2</v>
      </c>
      <c r="AA3299">
        <v>0.96075520000000003</v>
      </c>
      <c r="AB3299">
        <v>44</v>
      </c>
      <c r="AC3299">
        <v>10.2106999999999</v>
      </c>
      <c r="AD3299">
        <v>-1.1106019212180001</v>
      </c>
      <c r="AE3299">
        <v>-3.28639999999998</v>
      </c>
      <c r="AF3299">
        <v>3.0641486414289898</v>
      </c>
      <c r="AG3299">
        <v>-1.1106019212180001</v>
      </c>
      <c r="AH3299">
        <v>10.1608093837652</v>
      </c>
      <c r="AI3299">
        <v>95.974122364849606</v>
      </c>
      <c r="AJ3299">
        <v>73.218505616993895</v>
      </c>
      <c r="AK3299">
        <v>10.6707305681193</v>
      </c>
      <c r="AL3299">
        <v>85.130440740370304</v>
      </c>
      <c r="AM3299">
        <v>86.601165241631904</v>
      </c>
      <c r="AN3299">
        <v>0.99999998029734405</v>
      </c>
    </row>
    <row r="3300" spans="1:40" x14ac:dyDescent="0.25">
      <c r="A3300" t="str">
        <f>"20190312151051990"</f>
        <v>20190312151051990</v>
      </c>
      <c r="B3300" t="str">
        <f>"1552374651984204"</f>
        <v>1552374651984204</v>
      </c>
      <c r="C3300" t="s">
        <v>40</v>
      </c>
      <c r="D3300">
        <v>5.333215</v>
      </c>
      <c r="E3300">
        <v>0.5037355</v>
      </c>
      <c r="F3300" t="s">
        <v>69</v>
      </c>
      <c r="G3300">
        <v>-168.4136</v>
      </c>
      <c r="H3300">
        <v>3.161851</v>
      </c>
      <c r="I3300">
        <v>200.1558</v>
      </c>
      <c r="J3300">
        <v>-312.9907</v>
      </c>
      <c r="K3300">
        <v>1.1106510000000001</v>
      </c>
      <c r="L3300">
        <v>214.12260000000001</v>
      </c>
      <c r="M3300">
        <v>0.99974300000000005</v>
      </c>
      <c r="N3300">
        <v>0</v>
      </c>
      <c r="O3300">
        <v>-1.7710320000000002E-2</v>
      </c>
      <c r="P3300">
        <v>0.99456750000000005</v>
      </c>
      <c r="Q3300">
        <v>7.0532339999999999E-2</v>
      </c>
      <c r="R3300">
        <v>-7.6556769999999996E-2</v>
      </c>
      <c r="S3300">
        <v>2.9911799999999999</v>
      </c>
      <c r="T3300">
        <v>4.230511E-2</v>
      </c>
      <c r="U3300">
        <v>-0.28820800000000002</v>
      </c>
      <c r="V3300">
        <v>5.8771990000000003E-2</v>
      </c>
      <c r="W3300">
        <v>8.4724140000000003E-2</v>
      </c>
      <c r="X3300">
        <v>0.99466960000000004</v>
      </c>
      <c r="Y3300">
        <v>7.825696E-2</v>
      </c>
      <c r="Z3300">
        <v>3.0224629999999999E-4</v>
      </c>
      <c r="AA3300">
        <v>0.99693319999999996</v>
      </c>
      <c r="AB3300">
        <v>44</v>
      </c>
      <c r="AC3300">
        <v>144.5771</v>
      </c>
      <c r="AD3300">
        <v>2.0512000000000001</v>
      </c>
      <c r="AE3300">
        <v>-13.966799999999999</v>
      </c>
      <c r="AF3300">
        <v>11.401572081476001</v>
      </c>
      <c r="AG3300">
        <v>2.0512000000000001</v>
      </c>
      <c r="AH3300">
        <v>144.77292970160201</v>
      </c>
      <c r="AI3300">
        <v>89.190770438717706</v>
      </c>
      <c r="AJ3300">
        <v>85.496973200651794</v>
      </c>
      <c r="AK3300">
        <v>145.235685841167</v>
      </c>
      <c r="AL3300">
        <v>85.139837819582397</v>
      </c>
      <c r="AM3300">
        <v>86.618498893383403</v>
      </c>
      <c r="AN3300">
        <v>0.99999996993572904</v>
      </c>
    </row>
    <row r="3301" spans="1:40" x14ac:dyDescent="0.25">
      <c r="A3301" t="str">
        <f>"20190312151052012"</f>
        <v>20190312151052012</v>
      </c>
      <c r="B3301" t="str">
        <f>"1552374652003723"</f>
        <v>1552374652003723</v>
      </c>
      <c r="C3301" t="s">
        <v>40</v>
      </c>
      <c r="D3301">
        <v>5.8875279999999997</v>
      </c>
      <c r="E3301">
        <v>0.50279189999999996</v>
      </c>
      <c r="F3301" t="s">
        <v>69</v>
      </c>
      <c r="G3301">
        <v>-168.41299999999899</v>
      </c>
      <c r="H3301">
        <v>2.660736</v>
      </c>
      <c r="I3301">
        <v>201.649</v>
      </c>
      <c r="J3301">
        <v>-312.56349999999998</v>
      </c>
      <c r="K3301">
        <v>1.1106929999999999</v>
      </c>
      <c r="L3301">
        <v>214.1156</v>
      </c>
      <c r="M3301">
        <v>0.99975559999999997</v>
      </c>
      <c r="N3301">
        <v>0</v>
      </c>
      <c r="O3301">
        <v>-1.6948910000000001E-2</v>
      </c>
      <c r="P3301">
        <v>0.99465389999999998</v>
      </c>
      <c r="Q3301">
        <v>7.0430259999999995E-2</v>
      </c>
      <c r="R3301">
        <v>-7.5521099999999994E-2</v>
      </c>
      <c r="S3301">
        <v>2.9942630000000001</v>
      </c>
      <c r="T3301">
        <v>3.210354E-2</v>
      </c>
      <c r="U3301">
        <v>-0.25833129999999999</v>
      </c>
      <c r="V3301">
        <v>5.8485639999999998E-2</v>
      </c>
      <c r="W3301">
        <v>8.4673300000000007E-2</v>
      </c>
      <c r="X3301">
        <v>0.99469079999999999</v>
      </c>
      <c r="Y3301">
        <v>6.9052929999999998E-2</v>
      </c>
      <c r="Z3301">
        <v>1.8812749999999999E-4</v>
      </c>
      <c r="AA3301">
        <v>0.99761299999999997</v>
      </c>
      <c r="AB3301">
        <v>44</v>
      </c>
      <c r="AC3301">
        <v>144.15049999999999</v>
      </c>
      <c r="AD3301">
        <v>1.5500430000000001</v>
      </c>
      <c r="AE3301">
        <v>-12.4666</v>
      </c>
      <c r="AF3301">
        <v>10.0202188933273</v>
      </c>
      <c r="AG3301">
        <v>1.5500430000000001</v>
      </c>
      <c r="AH3301">
        <v>144.32454240233099</v>
      </c>
      <c r="AI3301">
        <v>89.386145601624506</v>
      </c>
      <c r="AJ3301">
        <v>86.028420178247401</v>
      </c>
      <c r="AK3301">
        <v>144.680271494127</v>
      </c>
      <c r="AL3301">
        <v>85.142761206934594</v>
      </c>
      <c r="AM3301">
        <v>86.635007909399306</v>
      </c>
      <c r="AN3301">
        <v>0.99999996271186897</v>
      </c>
    </row>
    <row r="3302" spans="1:40" x14ac:dyDescent="0.25">
      <c r="A3302" t="str">
        <f>"20190312151052033"</f>
        <v>20190312151052033</v>
      </c>
      <c r="B3302" t="str">
        <f>"1552374652024219"</f>
        <v>1552374652024219</v>
      </c>
      <c r="C3302" t="s">
        <v>40</v>
      </c>
      <c r="D3302">
        <v>5.3511600000000001</v>
      </c>
      <c r="E3302">
        <v>0.50210719999999998</v>
      </c>
      <c r="F3302" t="s">
        <v>69</v>
      </c>
      <c r="G3302">
        <v>-168.4127</v>
      </c>
      <c r="H3302">
        <v>2.2958449999999999</v>
      </c>
      <c r="I3302">
        <v>202.1969</v>
      </c>
      <c r="J3302">
        <v>-312.14179999999999</v>
      </c>
      <c r="K3302">
        <v>1.110746</v>
      </c>
      <c r="L3302">
        <v>214.10910000000001</v>
      </c>
      <c r="M3302">
        <v>0.9997682</v>
      </c>
      <c r="N3302">
        <v>0</v>
      </c>
      <c r="O3302">
        <v>-1.6162639999999999E-2</v>
      </c>
      <c r="P3302">
        <v>0.99469160000000001</v>
      </c>
      <c r="Q3302">
        <v>7.0905850000000006E-2</v>
      </c>
      <c r="R3302">
        <v>-7.4574189999999999E-2</v>
      </c>
      <c r="S3302">
        <v>2.9955750000000001</v>
      </c>
      <c r="T3302">
        <v>2.4629120000000001E-2</v>
      </c>
      <c r="U3302">
        <v>-0.2476807</v>
      </c>
      <c r="V3302">
        <v>5.831194E-2</v>
      </c>
      <c r="W3302">
        <v>8.5193069999999996E-2</v>
      </c>
      <c r="X3302">
        <v>0.99465669999999995</v>
      </c>
      <c r="Y3302">
        <v>6.6279249999999998E-2</v>
      </c>
      <c r="Z3302">
        <v>1.3935489999999999E-4</v>
      </c>
      <c r="AA3302">
        <v>0.9978011</v>
      </c>
      <c r="AB3302">
        <v>44</v>
      </c>
      <c r="AC3302">
        <v>143.72909999999999</v>
      </c>
      <c r="AD3302">
        <v>1.1850989999999999</v>
      </c>
      <c r="AE3302">
        <v>-11.9122</v>
      </c>
      <c r="AF3302">
        <v>9.5867196191281892</v>
      </c>
      <c r="AG3302">
        <v>1.1850989999999999</v>
      </c>
      <c r="AH3302">
        <v>143.89315782130001</v>
      </c>
      <c r="AI3302">
        <v>89.529168384524894</v>
      </c>
      <c r="AJ3302">
        <v>86.188366161808005</v>
      </c>
      <c r="AK3302">
        <v>144.21702576492601</v>
      </c>
      <c r="AL3302">
        <v>85.1128729890047</v>
      </c>
      <c r="AM3302">
        <v>86.644864179521306</v>
      </c>
      <c r="AN3302">
        <v>1.00000004618873</v>
      </c>
    </row>
    <row r="3303" spans="1:40" x14ac:dyDescent="0.25">
      <c r="A3303" t="str">
        <f>"20190312151052056"</f>
        <v>20190312151052056</v>
      </c>
      <c r="B3303" t="str">
        <f>"1552374652043740"</f>
        <v>1552374652043740</v>
      </c>
      <c r="C3303" t="s">
        <v>40</v>
      </c>
      <c r="D3303">
        <v>5.3002019999999996</v>
      </c>
      <c r="E3303">
        <v>0.50115739999999998</v>
      </c>
      <c r="F3303" t="s">
        <v>69</v>
      </c>
      <c r="G3303">
        <v>-168.41239999999999</v>
      </c>
      <c r="H3303">
        <v>2.034319</v>
      </c>
      <c r="I3303">
        <v>202.61590000000001</v>
      </c>
      <c r="J3303">
        <v>-311.70830000000001</v>
      </c>
      <c r="K3303">
        <v>1.110798</v>
      </c>
      <c r="L3303">
        <v>214.1028</v>
      </c>
      <c r="M3303">
        <v>0.99978080000000003</v>
      </c>
      <c r="N3303">
        <v>0</v>
      </c>
      <c r="O3303">
        <v>-1.531682E-2</v>
      </c>
      <c r="P3303">
        <v>0.99476659999999995</v>
      </c>
      <c r="Q3303">
        <v>7.1138099999999996E-2</v>
      </c>
      <c r="R3303">
        <v>-7.3341030000000001E-2</v>
      </c>
      <c r="S3303">
        <v>2.9966430000000002</v>
      </c>
      <c r="T3303">
        <v>1.9256470000000001E-2</v>
      </c>
      <c r="U3303">
        <v>-0.239624</v>
      </c>
      <c r="V3303">
        <v>5.7910660000000003E-2</v>
      </c>
      <c r="W3303">
        <v>8.5465310000000003E-2</v>
      </c>
      <c r="X3303">
        <v>0.99465669999999995</v>
      </c>
      <c r="Y3303">
        <v>6.4429719999999996E-2</v>
      </c>
      <c r="Z3303">
        <v>1.084208E-4</v>
      </c>
      <c r="AA3303">
        <v>0.99792219999999998</v>
      </c>
      <c r="AB3303">
        <v>44</v>
      </c>
      <c r="AC3303">
        <v>143.29589999999999</v>
      </c>
      <c r="AD3303">
        <v>0.92352099999999904</v>
      </c>
      <c r="AE3303">
        <v>-11.486899999999901</v>
      </c>
      <c r="AF3303">
        <v>9.2901076561032703</v>
      </c>
      <c r="AG3303">
        <v>0.92352099999999904</v>
      </c>
      <c r="AH3303">
        <v>143.44912705093799</v>
      </c>
      <c r="AI3303">
        <v>89.631907748074795</v>
      </c>
      <c r="AJ3303">
        <v>86.294563268471506</v>
      </c>
      <c r="AK3303">
        <v>143.752603604162</v>
      </c>
      <c r="AL3303">
        <v>85.097217252025203</v>
      </c>
      <c r="AM3303">
        <v>86.667900710215505</v>
      </c>
      <c r="AN3303">
        <v>0.99999995730495905</v>
      </c>
    </row>
    <row r="3304" spans="1:40" x14ac:dyDescent="0.25">
      <c r="A3304" t="str">
        <f>"20190312151052078"</f>
        <v>20190312151052078</v>
      </c>
      <c r="B3304" t="str">
        <f>"1552374652073994"</f>
        <v>1552374652073994</v>
      </c>
      <c r="C3304" t="s">
        <v>40</v>
      </c>
      <c r="D3304">
        <v>5.1786390000000004</v>
      </c>
      <c r="E3304">
        <v>0.50024060000000004</v>
      </c>
      <c r="F3304" t="s">
        <v>69</v>
      </c>
      <c r="G3304">
        <v>-168.41210000000001</v>
      </c>
      <c r="H3304">
        <v>1.6436329999999999</v>
      </c>
      <c r="I3304">
        <v>203.1816</v>
      </c>
      <c r="J3304">
        <v>-311.27960000000002</v>
      </c>
      <c r="K3304">
        <v>1.110846</v>
      </c>
      <c r="L3304">
        <v>214.09700000000001</v>
      </c>
      <c r="M3304">
        <v>0.9997935</v>
      </c>
      <c r="N3304">
        <v>0</v>
      </c>
      <c r="O3304">
        <v>-1.4442740000000001E-2</v>
      </c>
      <c r="P3304">
        <v>0.9948205</v>
      </c>
      <c r="Q3304">
        <v>7.1374499999999994E-2</v>
      </c>
      <c r="R3304">
        <v>-7.2374220000000003E-2</v>
      </c>
      <c r="S3304">
        <v>2.998138</v>
      </c>
      <c r="T3304">
        <v>1.1149050000000001E-2</v>
      </c>
      <c r="U3304">
        <v>-0.22850039999999999</v>
      </c>
      <c r="V3304">
        <v>5.7804370000000001E-2</v>
      </c>
      <c r="W3304">
        <v>8.5736580000000007E-2</v>
      </c>
      <c r="X3304">
        <v>0.99463959999999996</v>
      </c>
      <c r="Y3304">
        <v>6.1582999999999999E-2</v>
      </c>
      <c r="Z3304" s="1">
        <v>6.071049E-5</v>
      </c>
      <c r="AA3304">
        <v>0.99810189999999999</v>
      </c>
      <c r="AB3304">
        <v>44</v>
      </c>
      <c r="AC3304">
        <v>142.86750000000001</v>
      </c>
      <c r="AD3304">
        <v>0.53278700000000001</v>
      </c>
      <c r="AE3304">
        <v>-10.9154</v>
      </c>
      <c r="AF3304">
        <v>8.85052986729686</v>
      </c>
      <c r="AG3304">
        <v>0.53278700000000001</v>
      </c>
      <c r="AH3304">
        <v>143.00828270515501</v>
      </c>
      <c r="AI3304">
        <v>89.786949312358402</v>
      </c>
      <c r="AJ3304">
        <v>86.458582251301195</v>
      </c>
      <c r="AK3304">
        <v>143.282883357353</v>
      </c>
      <c r="AL3304">
        <v>85.081617675544393</v>
      </c>
      <c r="AM3304">
        <v>86.673945694685003</v>
      </c>
      <c r="AN3304">
        <v>1.0000000201146699</v>
      </c>
    </row>
    <row r="3305" spans="1:40" x14ac:dyDescent="0.25">
      <c r="A3305" t="str">
        <f>"20190312151052103"</f>
        <v>20190312151052103</v>
      </c>
      <c r="B3305" t="str">
        <f>"1552374652094490"</f>
        <v>1552374652094490</v>
      </c>
      <c r="C3305" t="s">
        <v>40</v>
      </c>
      <c r="D3305">
        <v>5.2282359999999999</v>
      </c>
      <c r="E3305">
        <v>0.49992910000000002</v>
      </c>
      <c r="F3305" t="s">
        <v>69</v>
      </c>
      <c r="G3305">
        <v>-168.4118</v>
      </c>
      <c r="H3305">
        <v>1.0998589999999999</v>
      </c>
      <c r="I3305">
        <v>203.70339999999999</v>
      </c>
      <c r="J3305">
        <v>-310.81849999999997</v>
      </c>
      <c r="K3305">
        <v>1.1108929999999999</v>
      </c>
      <c r="L3305">
        <v>214.09119999999999</v>
      </c>
      <c r="M3305">
        <v>0.99980670000000005</v>
      </c>
      <c r="N3305">
        <v>0</v>
      </c>
      <c r="O3305">
        <v>-1.3464230000000001E-2</v>
      </c>
      <c r="P3305">
        <v>0.99488810000000005</v>
      </c>
      <c r="Q3305">
        <v>7.1686E-2</v>
      </c>
      <c r="R3305">
        <v>-7.1124950000000006E-2</v>
      </c>
      <c r="S3305">
        <v>2.9997560000000001</v>
      </c>
      <c r="T3305">
        <v>-2.2995470000000001E-4</v>
      </c>
      <c r="U3305">
        <v>-0.21823119999999999</v>
      </c>
      <c r="V3305">
        <v>5.7519590000000002E-2</v>
      </c>
      <c r="W3305">
        <v>8.6078619999999995E-2</v>
      </c>
      <c r="X3305">
        <v>0.99462649999999997</v>
      </c>
      <c r="Y3305">
        <v>5.912121E-2</v>
      </c>
      <c r="Z3305" s="1">
        <v>-1.232328E-6</v>
      </c>
      <c r="AA3305">
        <v>0.99825079999999999</v>
      </c>
      <c r="AB3305">
        <v>44</v>
      </c>
      <c r="AC3305">
        <v>142.40669999999901</v>
      </c>
      <c r="AD3305">
        <v>-1.10340000000002E-2</v>
      </c>
      <c r="AE3305">
        <v>-10.3878</v>
      </c>
      <c r="AF3305">
        <v>8.46926474320904</v>
      </c>
      <c r="AG3305">
        <v>-1.10340000000002E-2</v>
      </c>
      <c r="AH3305">
        <v>142.53366586508901</v>
      </c>
      <c r="AI3305">
        <v>90.004427645402899</v>
      </c>
      <c r="AJ3305">
        <v>86.599517451272902</v>
      </c>
      <c r="AK3305">
        <v>142.78506389668601</v>
      </c>
      <c r="AL3305">
        <v>85.061947178089497</v>
      </c>
      <c r="AM3305">
        <v>86.690251878943599</v>
      </c>
      <c r="AN3305">
        <v>0.99999995327855995</v>
      </c>
    </row>
    <row r="3306" spans="1:40" x14ac:dyDescent="0.25">
      <c r="A3306" t="str">
        <f>"20190312151052124"</f>
        <v>20190312151052124</v>
      </c>
      <c r="B3306" t="str">
        <f>"1552374652114011"</f>
        <v>1552374652114011</v>
      </c>
      <c r="C3306" t="s">
        <v>40</v>
      </c>
      <c r="D3306">
        <v>5.2282390000000003</v>
      </c>
      <c r="E3306">
        <v>0.4999595</v>
      </c>
      <c r="F3306" t="s">
        <v>69</v>
      </c>
      <c r="G3306">
        <v>-168.41159999999999</v>
      </c>
      <c r="H3306">
        <v>0.85184289999999996</v>
      </c>
      <c r="I3306">
        <v>204.0078</v>
      </c>
      <c r="J3306">
        <v>-310.38749999999999</v>
      </c>
      <c r="K3306">
        <v>1.110932</v>
      </c>
      <c r="L3306">
        <v>214.08609999999999</v>
      </c>
      <c r="M3306">
        <v>0.99981869999999995</v>
      </c>
      <c r="N3306">
        <v>0</v>
      </c>
      <c r="O3306">
        <v>-1.2524449999999999E-2</v>
      </c>
      <c r="P3306">
        <v>0.99493969999999998</v>
      </c>
      <c r="Q3306">
        <v>7.2401549999999995E-2</v>
      </c>
      <c r="R3306">
        <v>-6.9666099999999995E-2</v>
      </c>
      <c r="S3306">
        <v>3.00061</v>
      </c>
      <c r="T3306">
        <v>-5.4576399999999997E-3</v>
      </c>
      <c r="U3306">
        <v>-0.2124634</v>
      </c>
      <c r="V3306">
        <v>5.6987599999999999E-2</v>
      </c>
      <c r="W3306">
        <v>8.6817820000000004E-2</v>
      </c>
      <c r="X3306">
        <v>0.9945929</v>
      </c>
      <c r="Y3306">
        <v>5.8129819999999999E-2</v>
      </c>
      <c r="Z3306" s="1">
        <v>-3.00475E-5</v>
      </c>
      <c r="AA3306">
        <v>0.998309</v>
      </c>
      <c r="AB3306">
        <v>43</v>
      </c>
      <c r="AC3306">
        <v>141.9759</v>
      </c>
      <c r="AD3306">
        <v>-0.25908910000000002</v>
      </c>
      <c r="AE3306">
        <v>-10.078299999999899</v>
      </c>
      <c r="AF3306">
        <v>8.2991288784016692</v>
      </c>
      <c r="AG3306">
        <v>-0.25908910000000002</v>
      </c>
      <c r="AH3306">
        <v>142.090529304044</v>
      </c>
      <c r="AI3306">
        <v>90.104295757819202</v>
      </c>
      <c r="AJ3306">
        <v>86.657303977330301</v>
      </c>
      <c r="AK3306">
        <v>142.332923756963</v>
      </c>
      <c r="AL3306">
        <v>85.019435110222602</v>
      </c>
      <c r="AM3306">
        <v>86.720685586829902</v>
      </c>
      <c r="AN3306">
        <v>0.99999997857686096</v>
      </c>
    </row>
    <row r="3307" spans="1:40" x14ac:dyDescent="0.25">
      <c r="A3307" t="str">
        <f>"20190312151052147"</f>
        <v>20190312151052147</v>
      </c>
      <c r="B3307" t="str">
        <f>"1552374652134507"</f>
        <v>1552374652134507</v>
      </c>
      <c r="C3307" t="s">
        <v>40</v>
      </c>
      <c r="D3307">
        <v>5.2926029999999997</v>
      </c>
      <c r="E3307">
        <v>0.50014650000000005</v>
      </c>
      <c r="F3307" t="s">
        <v>69</v>
      </c>
      <c r="G3307">
        <v>-168.41149999999999</v>
      </c>
      <c r="H3307">
        <v>0.89714240000000001</v>
      </c>
      <c r="I3307">
        <v>204.23310000000001</v>
      </c>
      <c r="J3307">
        <v>-309.95350000000002</v>
      </c>
      <c r="K3307">
        <v>1.1109659999999999</v>
      </c>
      <c r="L3307">
        <v>214.08150000000001</v>
      </c>
      <c r="M3307">
        <v>0.99983010000000005</v>
      </c>
      <c r="N3307">
        <v>0</v>
      </c>
      <c r="O3307">
        <v>-1.1558860000000001E-2</v>
      </c>
      <c r="P3307">
        <v>0.99500699999999997</v>
      </c>
      <c r="Q3307">
        <v>7.2746850000000002E-2</v>
      </c>
      <c r="R3307">
        <v>-6.8331879999999998E-2</v>
      </c>
      <c r="S3307">
        <v>3.001007</v>
      </c>
      <c r="T3307">
        <v>-4.5182699999999996E-3</v>
      </c>
      <c r="U3307">
        <v>-0.20826720000000001</v>
      </c>
      <c r="V3307">
        <v>5.6607709999999999E-2</v>
      </c>
      <c r="W3307">
        <v>8.7184059999999994E-2</v>
      </c>
      <c r="X3307">
        <v>0.99458259999999998</v>
      </c>
      <c r="Y3307">
        <v>5.76956E-2</v>
      </c>
      <c r="Z3307" s="1">
        <v>-2.5998920000000001E-5</v>
      </c>
      <c r="AA3307">
        <v>0.99833419999999895</v>
      </c>
      <c r="AB3307">
        <v>43</v>
      </c>
      <c r="AC3307">
        <v>141.542</v>
      </c>
      <c r="AD3307">
        <v>-0.213823599999999</v>
      </c>
      <c r="AE3307">
        <v>-9.8483999999999892</v>
      </c>
      <c r="AF3307">
        <v>8.2114904472669004</v>
      </c>
      <c r="AG3307">
        <v>-0.213823599999999</v>
      </c>
      <c r="AH3307">
        <v>141.646068531541</v>
      </c>
      <c r="AI3307">
        <v>90.086346524966899</v>
      </c>
      <c r="AJ3307">
        <v>86.682168778991496</v>
      </c>
      <c r="AK3307">
        <v>141.884047821943</v>
      </c>
      <c r="AL3307">
        <v>84.998371445125997</v>
      </c>
      <c r="AM3307">
        <v>86.7424652128594</v>
      </c>
      <c r="AN3307">
        <v>1.0000000206861399</v>
      </c>
    </row>
    <row r="3308" spans="1:40" x14ac:dyDescent="0.25">
      <c r="A3308" t="str">
        <f>"20190312151052168"</f>
        <v>20190312151052168</v>
      </c>
      <c r="B3308" t="str">
        <f>"1552374652163787"</f>
        <v>1552374652163787</v>
      </c>
      <c r="C3308" t="s">
        <v>40</v>
      </c>
      <c r="D3308">
        <v>5.3506650000000002</v>
      </c>
      <c r="E3308">
        <v>0.50565159999999998</v>
      </c>
      <c r="F3308" t="s">
        <v>69</v>
      </c>
      <c r="G3308">
        <v>-168.41149999999999</v>
      </c>
      <c r="H3308">
        <v>0.87654109999999996</v>
      </c>
      <c r="I3308">
        <v>204.37039999999999</v>
      </c>
      <c r="J3308">
        <v>-309.5401</v>
      </c>
      <c r="K3308">
        <v>1.110997</v>
      </c>
      <c r="L3308">
        <v>214.07749999999999</v>
      </c>
      <c r="M3308">
        <v>0.99984010000000001</v>
      </c>
      <c r="N3308">
        <v>0</v>
      </c>
      <c r="O3308">
        <v>-1.062719E-2</v>
      </c>
      <c r="P3308">
        <v>0.99502069999999998</v>
      </c>
      <c r="Q3308">
        <v>7.3330839999999994E-2</v>
      </c>
      <c r="R3308">
        <v>-6.7501080000000005E-2</v>
      </c>
      <c r="S3308">
        <v>3.0012819999999998</v>
      </c>
      <c r="T3308">
        <v>-4.9700739999999997E-3</v>
      </c>
      <c r="U3308">
        <v>-0.2059174</v>
      </c>
      <c r="V3308">
        <v>5.6698810000000002E-2</v>
      </c>
      <c r="W3308">
        <v>8.7783979999999998E-2</v>
      </c>
      <c r="X3308">
        <v>0.99452459999999998</v>
      </c>
      <c r="Y3308">
        <v>5.7841599999999903E-2</v>
      </c>
      <c r="Z3308" s="1">
        <v>-3.0258359999999999E-5</v>
      </c>
      <c r="AA3308">
        <v>0.99832580000000004</v>
      </c>
      <c r="AB3308">
        <v>43</v>
      </c>
      <c r="AC3308">
        <v>141.12860000000001</v>
      </c>
      <c r="AD3308">
        <v>-0.23445589999999999</v>
      </c>
      <c r="AE3308">
        <v>-9.7070999999999898</v>
      </c>
      <c r="AF3308">
        <v>8.2065736042987698</v>
      </c>
      <c r="AG3308">
        <v>-0.23445589999999999</v>
      </c>
      <c r="AH3308">
        <v>141.22341073406301</v>
      </c>
      <c r="AI3308">
        <v>90.094960866493096</v>
      </c>
      <c r="AJ3308">
        <v>86.674249449104806</v>
      </c>
      <c r="AK3308">
        <v>141.46184842300701</v>
      </c>
      <c r="AL3308">
        <v>84.963866065889803</v>
      </c>
      <c r="AM3308">
        <v>86.737044238375702</v>
      </c>
      <c r="AN3308">
        <v>0.99999998110260802</v>
      </c>
    </row>
    <row r="3309" spans="1:40" x14ac:dyDescent="0.25">
      <c r="A3309" t="str">
        <f>"20190312151052191"</f>
        <v>20190312151052191</v>
      </c>
      <c r="B3309" t="str">
        <f>"1552374652184282"</f>
        <v>1552374652184282</v>
      </c>
      <c r="C3309" t="s">
        <v>40</v>
      </c>
      <c r="D3309">
        <v>5.2627110000000004</v>
      </c>
      <c r="E3309">
        <v>0.50363210000000003</v>
      </c>
      <c r="F3309" t="s">
        <v>61</v>
      </c>
      <c r="G3309">
        <v>-282.05450000000002</v>
      </c>
      <c r="H3309" s="1">
        <v>6.5130039999999901E-6</v>
      </c>
      <c r="I3309">
        <v>211.82149999999999</v>
      </c>
      <c r="J3309">
        <v>-309.1028</v>
      </c>
      <c r="K3309">
        <v>1.111022</v>
      </c>
      <c r="L3309">
        <v>214.0737</v>
      </c>
      <c r="M3309">
        <v>0.99985000000000002</v>
      </c>
      <c r="N3309">
        <v>0</v>
      </c>
      <c r="O3309">
        <v>-9.6340450000000008E-3</v>
      </c>
      <c r="P3309">
        <v>0.99504999999999999</v>
      </c>
      <c r="Q3309">
        <v>7.3785539999999997E-2</v>
      </c>
      <c r="R3309">
        <v>-6.6566849999999997E-2</v>
      </c>
      <c r="S3309">
        <v>3.0072019999999999</v>
      </c>
      <c r="T3309">
        <v>-0.12155349999999999</v>
      </c>
      <c r="U3309">
        <v>-0.2468262</v>
      </c>
      <c r="V3309">
        <v>5.6748380000000001E-2</v>
      </c>
      <c r="W3309">
        <v>8.8253750000000006E-2</v>
      </c>
      <c r="X3309">
        <v>0.99448020000000004</v>
      </c>
      <c r="Y3309">
        <v>7.2146009999999997E-2</v>
      </c>
      <c r="Z3309">
        <v>-1.06646E-3</v>
      </c>
      <c r="AA3309">
        <v>0.99739350000000004</v>
      </c>
      <c r="AB3309">
        <v>43</v>
      </c>
      <c r="AC3309">
        <v>27.048299999999902</v>
      </c>
      <c r="AD3309">
        <v>-1.1110154869960001</v>
      </c>
      <c r="AE3309">
        <v>-2.25220000000001</v>
      </c>
      <c r="AF3309">
        <v>1.98815265565337</v>
      </c>
      <c r="AG3309">
        <v>-1.1110154869960001</v>
      </c>
      <c r="AH3309">
        <v>27.023465114501601</v>
      </c>
      <c r="AI3309">
        <v>92.347936342553695</v>
      </c>
      <c r="AJ3309">
        <v>85.792253369057406</v>
      </c>
      <c r="AK3309">
        <v>27.119269407364499</v>
      </c>
      <c r="AL3309">
        <v>84.936845377071904</v>
      </c>
      <c r="AM3309">
        <v>86.734052219200294</v>
      </c>
      <c r="AN3309">
        <v>0.99999998560686298</v>
      </c>
    </row>
    <row r="3310" spans="1:40" x14ac:dyDescent="0.25">
      <c r="A3310" t="str">
        <f>"20190312151052212"</f>
        <v>20190312151052212</v>
      </c>
      <c r="B3310" t="str">
        <f>"1552374652203808"</f>
        <v>1552374652203808</v>
      </c>
      <c r="C3310" t="s">
        <v>40</v>
      </c>
      <c r="D3310">
        <v>5.5072260000000002</v>
      </c>
      <c r="E3310">
        <v>0.50146020000000002</v>
      </c>
      <c r="F3310" t="s">
        <v>61</v>
      </c>
      <c r="G3310">
        <v>-284.45890000000003</v>
      </c>
      <c r="H3310" s="1">
        <v>5.4004930000000002E-6</v>
      </c>
      <c r="I3310">
        <v>212.20939999999999</v>
      </c>
      <c r="J3310">
        <v>-308.67599999999999</v>
      </c>
      <c r="K3310">
        <v>1.1110450000000001</v>
      </c>
      <c r="L3310">
        <v>214.0703</v>
      </c>
      <c r="M3310">
        <v>0.99985889999999999</v>
      </c>
      <c r="N3310">
        <v>0</v>
      </c>
      <c r="O3310">
        <v>-8.6606059999999995E-3</v>
      </c>
      <c r="P3310">
        <v>0.99509190000000003</v>
      </c>
      <c r="Q3310">
        <v>7.4221670000000003E-2</v>
      </c>
      <c r="R3310">
        <v>-6.5446530000000003E-2</v>
      </c>
      <c r="S3310">
        <v>3.0097960000000001</v>
      </c>
      <c r="T3310">
        <v>-0.13569049999999999</v>
      </c>
      <c r="U3310">
        <v>-0.2276917</v>
      </c>
      <c r="V3310">
        <v>5.6592599999999903E-2</v>
      </c>
      <c r="W3310">
        <v>8.8701180000000004E-2</v>
      </c>
      <c r="X3310">
        <v>0.99444929999999998</v>
      </c>
      <c r="Y3310">
        <v>6.673635E-2</v>
      </c>
      <c r="Z3310">
        <v>-1.1117340000000001E-3</v>
      </c>
      <c r="AA3310">
        <v>0.99777000000000005</v>
      </c>
      <c r="AB3310">
        <v>43</v>
      </c>
      <c r="AC3310">
        <v>24.217099999999899</v>
      </c>
      <c r="AD3310">
        <v>-1.1110395995069999</v>
      </c>
      <c r="AE3310">
        <v>-1.86090000000001</v>
      </c>
      <c r="AF3310">
        <v>1.64762610615158</v>
      </c>
      <c r="AG3310">
        <v>-1.1110395995069999</v>
      </c>
      <c r="AH3310">
        <v>24.181710418344402</v>
      </c>
      <c r="AI3310">
        <v>92.624553884994299</v>
      </c>
      <c r="AJ3310">
        <v>86.102163916393394</v>
      </c>
      <c r="AK3310">
        <v>24.263227310768301</v>
      </c>
      <c r="AL3310">
        <v>84.911108745797407</v>
      </c>
      <c r="AM3310">
        <v>86.742897260749203</v>
      </c>
      <c r="AN3310">
        <v>1.0000000159893201</v>
      </c>
    </row>
    <row r="3311" spans="1:40" x14ac:dyDescent="0.25">
      <c r="A3311" t="str">
        <f>"20190312151052235"</f>
        <v>20190312151052235</v>
      </c>
      <c r="B3311" t="str">
        <f>"1552374652224299"</f>
        <v>1552374652224299</v>
      </c>
      <c r="C3311" t="s">
        <v>40</v>
      </c>
      <c r="D3311">
        <v>5.2904299999999997</v>
      </c>
      <c r="E3311">
        <v>0.50155839999999996</v>
      </c>
      <c r="F3311" t="s">
        <v>61</v>
      </c>
      <c r="G3311">
        <v>-287.92950000000002</v>
      </c>
      <c r="H3311" s="1">
        <v>3.8093640000000002E-6</v>
      </c>
      <c r="I3311">
        <v>212.6463</v>
      </c>
      <c r="J3311">
        <v>-308.23750000000001</v>
      </c>
      <c r="K3311">
        <v>1.1110640000000001</v>
      </c>
      <c r="L3311">
        <v>214.06739999999999</v>
      </c>
      <c r="M3311">
        <v>0.99986699999999995</v>
      </c>
      <c r="N3311">
        <v>0</v>
      </c>
      <c r="O3311">
        <v>-7.6595319999999897E-3</v>
      </c>
      <c r="P3311">
        <v>0.99512</v>
      </c>
      <c r="Q3311">
        <v>7.5098139999999994E-2</v>
      </c>
      <c r="R3311">
        <v>-6.400546E-2</v>
      </c>
      <c r="S3311">
        <v>3.0132140000000001</v>
      </c>
      <c r="T3311">
        <v>-0.16136729999999999</v>
      </c>
      <c r="U3311">
        <v>-0.20683289999999999</v>
      </c>
      <c r="V3311">
        <v>5.6143390000000001E-2</v>
      </c>
      <c r="W3311">
        <v>8.9586460000000007E-2</v>
      </c>
      <c r="X3311">
        <v>0.99439540000000004</v>
      </c>
      <c r="Y3311">
        <v>6.0760729999999999E-2</v>
      </c>
      <c r="Z3311">
        <v>-1.214464E-3</v>
      </c>
      <c r="AA3311">
        <v>0.99815160000000003</v>
      </c>
      <c r="AB3311">
        <v>43</v>
      </c>
      <c r="AC3311">
        <v>20.308</v>
      </c>
      <c r="AD3311">
        <v>-1.111060190636</v>
      </c>
      <c r="AE3311">
        <v>-1.42109999999999</v>
      </c>
      <c r="AF3311">
        <v>1.2617341380728899</v>
      </c>
      <c r="AG3311">
        <v>-1.111060190636</v>
      </c>
      <c r="AH3311">
        <v>20.257948910404401</v>
      </c>
      <c r="AI3311">
        <v>93.133219356600407</v>
      </c>
      <c r="AJ3311">
        <v>86.436027196717106</v>
      </c>
      <c r="AK3311">
        <v>20.3275901630997</v>
      </c>
      <c r="AL3311">
        <v>84.860183174148801</v>
      </c>
      <c r="AM3311">
        <v>86.768521091249497</v>
      </c>
      <c r="AN3311">
        <v>1.00000001279859</v>
      </c>
    </row>
    <row r="3312" spans="1:40" x14ac:dyDescent="0.25">
      <c r="A3312" t="str">
        <f>"20190312151052269"</f>
        <v>20190312151052269</v>
      </c>
      <c r="B3312" t="str">
        <f>"1552374652264316"</f>
        <v>1552374652264316</v>
      </c>
      <c r="C3312" t="s">
        <v>40</v>
      </c>
      <c r="D3312">
        <v>5.2345259999999998</v>
      </c>
      <c r="E3312">
        <v>0.50175130000000001</v>
      </c>
      <c r="F3312" t="s">
        <v>61</v>
      </c>
      <c r="G3312">
        <v>-288.48349999999999</v>
      </c>
      <c r="H3312" s="1">
        <v>3.5526979999999998E-6</v>
      </c>
      <c r="I3312">
        <v>212.73840000000001</v>
      </c>
      <c r="J3312">
        <v>-307.601</v>
      </c>
      <c r="K3312">
        <v>1.111076</v>
      </c>
      <c r="L3312">
        <v>214.06389999999999</v>
      </c>
      <c r="M3312">
        <v>0.99987680000000001</v>
      </c>
      <c r="N3312">
        <v>0</v>
      </c>
      <c r="O3312">
        <v>-6.2051149999999998E-3</v>
      </c>
      <c r="P3312">
        <v>0.99513660000000004</v>
      </c>
      <c r="Q3312">
        <v>7.5861890000000001E-2</v>
      </c>
      <c r="R3312">
        <v>-6.2835050000000003E-2</v>
      </c>
      <c r="S3312">
        <v>3.0144959999999998</v>
      </c>
      <c r="T3312">
        <v>-0.1695497</v>
      </c>
      <c r="U3312">
        <v>-0.2028046</v>
      </c>
      <c r="V3312">
        <v>5.6415859999999998E-2</v>
      </c>
      <c r="W3312">
        <v>9.0361979999999995E-2</v>
      </c>
      <c r="X3312">
        <v>0.99430980000000002</v>
      </c>
      <c r="Y3312">
        <v>6.0845690000000001E-2</v>
      </c>
      <c r="Z3312">
        <v>-1.359496E-3</v>
      </c>
      <c r="AA3312">
        <v>0.99814619999999998</v>
      </c>
      <c r="AB3312">
        <v>43</v>
      </c>
      <c r="AC3312">
        <v>19.1175</v>
      </c>
      <c r="AD3312">
        <v>-1.1110724473019999</v>
      </c>
      <c r="AE3312">
        <v>-1.3254999999999699</v>
      </c>
      <c r="AF3312">
        <v>1.2027926087090599</v>
      </c>
      <c r="AG3312">
        <v>-1.1110724473019999</v>
      </c>
      <c r="AH3312">
        <v>19.061282124609502</v>
      </c>
      <c r="AI3312">
        <v>93.329360253762403</v>
      </c>
      <c r="AJ3312">
        <v>86.389346240485693</v>
      </c>
      <c r="AK3312">
        <v>19.131483692507398</v>
      </c>
      <c r="AL3312">
        <v>84.815568169142907</v>
      </c>
      <c r="AM3312">
        <v>86.7525929027058</v>
      </c>
      <c r="AN3312">
        <v>1.0000000075325499</v>
      </c>
    </row>
    <row r="3313" spans="1:40" x14ac:dyDescent="0.25">
      <c r="A3313" t="str">
        <f>"20190312151052290"</f>
        <v>20190312151052290</v>
      </c>
      <c r="B3313" t="str">
        <f>"1552374652283844"</f>
        <v>1552374652283844</v>
      </c>
      <c r="C3313" t="s">
        <v>40</v>
      </c>
      <c r="D3313">
        <v>5.1850709999999998</v>
      </c>
      <c r="E3313">
        <v>0.50207970000000002</v>
      </c>
      <c r="F3313" t="s">
        <v>61</v>
      </c>
      <c r="G3313">
        <v>-282.61610000000002</v>
      </c>
      <c r="H3313" s="1">
        <v>6.1955719999999997E-6</v>
      </c>
      <c r="I3313">
        <v>212.39510000000001</v>
      </c>
      <c r="J3313">
        <v>-307.16390000000001</v>
      </c>
      <c r="K3313">
        <v>1.111089</v>
      </c>
      <c r="L3313">
        <v>214.06200000000001</v>
      </c>
      <c r="M3313">
        <v>0.99988239999999995</v>
      </c>
      <c r="N3313">
        <v>0</v>
      </c>
      <c r="O3313">
        <v>-5.2062419999999998E-3</v>
      </c>
      <c r="P3313">
        <v>0.99516519999999997</v>
      </c>
      <c r="Q3313">
        <v>7.6082259999999999E-2</v>
      </c>
      <c r="R3313">
        <v>-6.2109280000000003E-2</v>
      </c>
      <c r="S3313">
        <v>3.0121769999999999</v>
      </c>
      <c r="T3313">
        <v>-0.13395019999999999</v>
      </c>
      <c r="U3313">
        <v>-0.20118710000000001</v>
      </c>
      <c r="V3313">
        <v>5.6682320000000001E-2</v>
      </c>
      <c r="W3313">
        <v>9.0588959999999996E-2</v>
      </c>
      <c r="X3313">
        <v>0.99427399999999999</v>
      </c>
      <c r="Y3313">
        <v>6.139141E-2</v>
      </c>
      <c r="Z3313">
        <v>-1.131674E-3</v>
      </c>
      <c r="AA3313">
        <v>0.99811320000000003</v>
      </c>
      <c r="AB3313">
        <v>43</v>
      </c>
      <c r="AC3313">
        <v>24.547799999999899</v>
      </c>
      <c r="AD3313">
        <v>-1.1110828044279999</v>
      </c>
      <c r="AE3313">
        <v>-1.6668999999999901</v>
      </c>
      <c r="AF3313">
        <v>1.53593017789541</v>
      </c>
      <c r="AG3313">
        <v>-1.1110828044279999</v>
      </c>
      <c r="AH3313">
        <v>24.506172300876301</v>
      </c>
      <c r="AI3313">
        <v>92.590872841809897</v>
      </c>
      <c r="AJ3313">
        <v>86.413664412323797</v>
      </c>
      <c r="AK3313">
        <v>24.579382973335601</v>
      </c>
      <c r="AL3313">
        <v>84.802509660451904</v>
      </c>
      <c r="AM3313">
        <v>86.737170779581504</v>
      </c>
      <c r="AN3313">
        <v>1.00000001607523</v>
      </c>
    </row>
    <row r="3314" spans="1:40" x14ac:dyDescent="0.25">
      <c r="A3314" t="str">
        <f>"20190312151052313"</f>
        <v>20190312151052313</v>
      </c>
      <c r="B3314" t="str">
        <f>"1552374652304218"</f>
        <v>1552374652304218</v>
      </c>
      <c r="C3314" t="s">
        <v>40</v>
      </c>
      <c r="D3314">
        <v>5.1729390000000004</v>
      </c>
      <c r="E3314">
        <v>0.50234279999999998</v>
      </c>
      <c r="F3314" t="s">
        <v>52</v>
      </c>
      <c r="G3314">
        <v>-279.44600000000003</v>
      </c>
      <c r="H3314" s="1">
        <v>3.595271E-6</v>
      </c>
      <c r="I3314">
        <v>212.20529999999999</v>
      </c>
      <c r="J3314">
        <v>-306.73610000000002</v>
      </c>
      <c r="K3314">
        <v>1.1110899999999999</v>
      </c>
      <c r="L3314">
        <v>214.06059999999999</v>
      </c>
      <c r="M3314">
        <v>0.99988710000000003</v>
      </c>
      <c r="N3314">
        <v>0</v>
      </c>
      <c r="O3314">
        <v>-4.2278919999999996E-3</v>
      </c>
      <c r="P3314">
        <v>0.99520419999999998</v>
      </c>
      <c r="Q3314">
        <v>7.6141459999999994E-2</v>
      </c>
      <c r="R3314">
        <v>-6.1412050000000003E-2</v>
      </c>
      <c r="S3314">
        <v>3.0112000000000001</v>
      </c>
      <c r="T3314">
        <v>-0.12070500000000001</v>
      </c>
      <c r="U3314">
        <v>-0.20170589999999999</v>
      </c>
      <c r="V3314">
        <v>5.6957649999999999E-2</v>
      </c>
      <c r="W3314">
        <v>9.0653070000000002E-2</v>
      </c>
      <c r="X3314">
        <v>0.99425240000000004</v>
      </c>
      <c r="Y3314">
        <v>6.2569349999999996E-2</v>
      </c>
      <c r="Z3314">
        <v>-1.0829220000000001E-3</v>
      </c>
      <c r="AA3314">
        <v>0.99804000000000004</v>
      </c>
      <c r="AB3314">
        <v>43</v>
      </c>
      <c r="AC3314">
        <v>27.290099999999999</v>
      </c>
      <c r="AD3314">
        <v>-1.1110864047290001</v>
      </c>
      <c r="AE3314">
        <v>-1.8552999999999999</v>
      </c>
      <c r="AF3314">
        <v>1.7370257381095799</v>
      </c>
      <c r="AG3314">
        <v>-1.1110864047290001</v>
      </c>
      <c r="AH3314">
        <v>27.2527339746769</v>
      </c>
      <c r="AI3314">
        <v>92.329917476889193</v>
      </c>
      <c r="AJ3314">
        <v>86.353033818516096</v>
      </c>
      <c r="AK3314">
        <v>27.330628981202299</v>
      </c>
      <c r="AL3314">
        <v>84.798821136553698</v>
      </c>
      <c r="AM3314">
        <v>86.721285257625894</v>
      </c>
      <c r="AN3314">
        <v>0.99999999394985295</v>
      </c>
    </row>
    <row r="3315" spans="1:40" x14ac:dyDescent="0.25">
      <c r="A3315" t="str">
        <f>"20190312151052336"</f>
        <v>20190312151052336</v>
      </c>
      <c r="B3315" t="str">
        <f>"1552374652323738"</f>
        <v>1552374652323738</v>
      </c>
      <c r="C3315" t="s">
        <v>40</v>
      </c>
      <c r="D3315">
        <v>5.1404379999999996</v>
      </c>
      <c r="E3315">
        <v>0.50245320000000004</v>
      </c>
      <c r="F3315" t="s">
        <v>52</v>
      </c>
      <c r="G3315">
        <v>-277.55040000000002</v>
      </c>
      <c r="H3315" s="1">
        <v>2.5910880000000002E-6</v>
      </c>
      <c r="I3315">
        <v>212.1018</v>
      </c>
      <c r="J3315">
        <v>-306.291</v>
      </c>
      <c r="K3315">
        <v>1.1110990000000001</v>
      </c>
      <c r="L3315">
        <v>214.05950000000001</v>
      </c>
      <c r="M3315">
        <v>0.99989070000000002</v>
      </c>
      <c r="N3315">
        <v>0</v>
      </c>
      <c r="O3315">
        <v>-3.2093859999999998E-3</v>
      </c>
      <c r="P3315">
        <v>0.99518720000000005</v>
      </c>
      <c r="Q3315">
        <v>7.6798039999999998E-2</v>
      </c>
      <c r="R3315">
        <v>-6.0864590000000003E-2</v>
      </c>
      <c r="S3315">
        <v>3.0108030000000001</v>
      </c>
      <c r="T3315">
        <v>-0.11462029999999999</v>
      </c>
      <c r="U3315">
        <v>-0.2020721</v>
      </c>
      <c r="V3315">
        <v>5.7421489999999999E-2</v>
      </c>
      <c r="W3315">
        <v>9.1314080000000006E-2</v>
      </c>
      <c r="X3315">
        <v>0.99416519999999997</v>
      </c>
      <c r="Y3315">
        <v>6.3718540000000004E-2</v>
      </c>
      <c r="Z3315">
        <v>-1.089064E-3</v>
      </c>
      <c r="AA3315">
        <v>0.9979673</v>
      </c>
      <c r="AB3315">
        <v>43</v>
      </c>
      <c r="AC3315">
        <v>28.740599999999901</v>
      </c>
      <c r="AD3315">
        <v>-1.1110964089119999</v>
      </c>
      <c r="AE3315">
        <v>-1.95770000000001</v>
      </c>
      <c r="AF3315">
        <v>1.8626696238141001</v>
      </c>
      <c r="AG3315">
        <v>-1.1110964089119999</v>
      </c>
      <c r="AH3315">
        <v>28.704033999281801</v>
      </c>
      <c r="AI3315">
        <v>92.212091519755603</v>
      </c>
      <c r="AJ3315">
        <v>86.287153172441506</v>
      </c>
      <c r="AK3315">
        <v>28.785858354221499</v>
      </c>
      <c r="AL3315">
        <v>84.760790172890395</v>
      </c>
      <c r="AM3315">
        <v>86.694354421763194</v>
      </c>
      <c r="AN3315">
        <v>0.99999996680555203</v>
      </c>
    </row>
    <row r="3316" spans="1:40" x14ac:dyDescent="0.25">
      <c r="A3316" t="str">
        <f>"20190312151052358"</f>
        <v>20190312151052358</v>
      </c>
      <c r="B3316" t="str">
        <f>"1552374652353994"</f>
        <v>1552374652353994</v>
      </c>
      <c r="C3316" t="s">
        <v>40</v>
      </c>
      <c r="D3316">
        <v>5.2063509999999997</v>
      </c>
      <c r="E3316">
        <v>0.50286819999999999</v>
      </c>
      <c r="F3316" t="s">
        <v>52</v>
      </c>
      <c r="G3316">
        <v>-274.46679999999998</v>
      </c>
      <c r="H3316" s="1">
        <v>9.5738179999999998E-7</v>
      </c>
      <c r="I3316">
        <v>211.9357</v>
      </c>
      <c r="J3316">
        <v>-305.86770000000001</v>
      </c>
      <c r="K3316">
        <v>1.111103</v>
      </c>
      <c r="L3316">
        <v>214.059</v>
      </c>
      <c r="M3316">
        <v>0.99989349999999999</v>
      </c>
      <c r="N3316">
        <v>0</v>
      </c>
      <c r="O3316">
        <v>-2.2406010000000001E-3</v>
      </c>
      <c r="P3316">
        <v>0.99516610000000005</v>
      </c>
      <c r="Q3316">
        <v>7.7756790000000006E-2</v>
      </c>
      <c r="R3316">
        <v>-5.999049E-2</v>
      </c>
      <c r="S3316">
        <v>3.0103759999999999</v>
      </c>
      <c r="T3316">
        <v>-0.105103</v>
      </c>
      <c r="U3316">
        <v>-0.2008972</v>
      </c>
      <c r="V3316">
        <v>5.750856E-2</v>
      </c>
      <c r="W3316">
        <v>9.2274659999999994E-2</v>
      </c>
      <c r="X3316">
        <v>0.9940715</v>
      </c>
      <c r="Y3316">
        <v>6.4313140000000005E-2</v>
      </c>
      <c r="Z3316">
        <v>-1.0429899999999999E-3</v>
      </c>
      <c r="AA3316">
        <v>0.99792919999999996</v>
      </c>
      <c r="AB3316">
        <v>43</v>
      </c>
      <c r="AC3316">
        <v>31.4009</v>
      </c>
      <c r="AD3316">
        <v>-1.1111020426181999</v>
      </c>
      <c r="AE3316">
        <v>-2.1233000000000199</v>
      </c>
      <c r="AF3316">
        <v>2.0503749646563199</v>
      </c>
      <c r="AG3316">
        <v>-1.1111020426181999</v>
      </c>
      <c r="AH3316">
        <v>31.3664852845993</v>
      </c>
      <c r="AI3316">
        <v>92.024435957954395</v>
      </c>
      <c r="AJ3316">
        <v>86.259991192164705</v>
      </c>
      <c r="AK3316">
        <v>31.453060015740601</v>
      </c>
      <c r="AL3316">
        <v>84.705519797440701</v>
      </c>
      <c r="AM3316">
        <v>86.689041745564595</v>
      </c>
      <c r="AN3316">
        <v>0.99999999723181898</v>
      </c>
    </row>
    <row r="3317" spans="1:40" x14ac:dyDescent="0.25">
      <c r="A3317" t="str">
        <f>"20190312151052381"</f>
        <v>20190312151052381</v>
      </c>
      <c r="B3317" t="str">
        <f>"1552374652374492"</f>
        <v>1552374652374492</v>
      </c>
      <c r="C3317" t="s">
        <v>40</v>
      </c>
      <c r="D3317">
        <v>5.1008620000000002</v>
      </c>
      <c r="E3317">
        <v>0.50337989999999999</v>
      </c>
      <c r="F3317" t="s">
        <v>52</v>
      </c>
      <c r="G3317">
        <v>-275.7439</v>
      </c>
      <c r="H3317" s="1">
        <v>1.6324400000000001E-6</v>
      </c>
      <c r="I3317">
        <v>212.03980000000001</v>
      </c>
      <c r="J3317">
        <v>-305.43520000000001</v>
      </c>
      <c r="K3317">
        <v>1.111119</v>
      </c>
      <c r="L3317">
        <v>214.05889999999999</v>
      </c>
      <c r="M3317">
        <v>0.99989499999999998</v>
      </c>
      <c r="N3317">
        <v>0</v>
      </c>
      <c r="O3317">
        <v>-1.2495339999999901E-3</v>
      </c>
      <c r="P3317">
        <v>0.99514179999999997</v>
      </c>
      <c r="Q3317">
        <v>7.9009330000000003E-2</v>
      </c>
      <c r="R3317">
        <v>-5.8741710000000003E-2</v>
      </c>
      <c r="S3317">
        <v>3.0110779999999999</v>
      </c>
      <c r="T3317">
        <v>-0.11106190000000001</v>
      </c>
      <c r="U3317">
        <v>-0.20182800000000001</v>
      </c>
      <c r="V3317">
        <v>5.7242649999999999E-2</v>
      </c>
      <c r="W3317">
        <v>9.3527109999999997E-2</v>
      </c>
      <c r="X3317">
        <v>0.99396980000000001</v>
      </c>
      <c r="Y3317">
        <v>6.5587969999999995E-2</v>
      </c>
      <c r="Z3317">
        <v>-1.1617979999999999E-3</v>
      </c>
      <c r="AA3317">
        <v>0.99784609999999996</v>
      </c>
      <c r="AB3317">
        <v>43</v>
      </c>
      <c r="AC3317">
        <v>29.691299999999998</v>
      </c>
      <c r="AD3317">
        <v>-1.1111173675599999</v>
      </c>
      <c r="AE3317">
        <v>-2.0190999999999799</v>
      </c>
      <c r="AF3317">
        <v>1.9792352458064399</v>
      </c>
      <c r="AG3317">
        <v>-1.1111173675599999</v>
      </c>
      <c r="AH3317">
        <v>29.6524649584873</v>
      </c>
      <c r="AI3317">
        <v>92.141185174182795</v>
      </c>
      <c r="AJ3317">
        <v>86.181300152909103</v>
      </c>
      <c r="AK3317">
        <v>29.739210347234401</v>
      </c>
      <c r="AL3317">
        <v>84.633448036173405</v>
      </c>
      <c r="AM3317">
        <v>86.703980779819105</v>
      </c>
      <c r="AN3317">
        <v>1.000000002298</v>
      </c>
    </row>
    <row r="3318" spans="1:40" x14ac:dyDescent="0.25">
      <c r="A3318" t="str">
        <f>"20190312151052403"</f>
        <v>20190312151052403</v>
      </c>
      <c r="B3318" t="str">
        <f>"1552374652394010"</f>
        <v>1552374652394010</v>
      </c>
      <c r="C3318" t="s">
        <v>40</v>
      </c>
      <c r="D3318">
        <v>5.2357740000000002</v>
      </c>
      <c r="E3318">
        <v>0.50375409999999998</v>
      </c>
      <c r="F3318" t="s">
        <v>52</v>
      </c>
      <c r="G3318">
        <v>-273.87610000000001</v>
      </c>
      <c r="H3318" s="1">
        <v>6.4291699999999996E-7</v>
      </c>
      <c r="I3318">
        <v>211.9391</v>
      </c>
      <c r="J3318">
        <v>-305.02089999999998</v>
      </c>
      <c r="K3318">
        <v>1.1111260000000001</v>
      </c>
      <c r="L3318">
        <v>214.0591</v>
      </c>
      <c r="M3318">
        <v>0.9998958</v>
      </c>
      <c r="N3318">
        <v>0</v>
      </c>
      <c r="O3318">
        <v>-2.9971879999999998E-4</v>
      </c>
      <c r="P3318">
        <v>0.99511939999999999</v>
      </c>
      <c r="Q3318">
        <v>7.9957280000000006E-2</v>
      </c>
      <c r="R3318">
        <v>-5.7832040000000001E-2</v>
      </c>
      <c r="S3318">
        <v>3.011139</v>
      </c>
      <c r="T3318">
        <v>-0.1060147</v>
      </c>
      <c r="U3318">
        <v>-0.2022552</v>
      </c>
      <c r="V3318">
        <v>5.7275489999999998E-2</v>
      </c>
      <c r="W3318">
        <v>9.4475139999999999E-2</v>
      </c>
      <c r="X3318">
        <v>0.99387820000000004</v>
      </c>
      <c r="Y3318">
        <v>6.6677990000000006E-2</v>
      </c>
      <c r="Z3318">
        <v>-1.1615620000000001E-3</v>
      </c>
      <c r="AA3318">
        <v>0.99777389999999999</v>
      </c>
      <c r="AB3318">
        <v>43</v>
      </c>
      <c r="AC3318">
        <v>31.144799999999901</v>
      </c>
      <c r="AD3318">
        <v>-1.111125357083</v>
      </c>
      <c r="AE3318">
        <v>-2.12</v>
      </c>
      <c r="AF3318">
        <v>2.1079936020352301</v>
      </c>
      <c r="AG3318">
        <v>-1.111125357083</v>
      </c>
      <c r="AH3318">
        <v>31.106025387034901</v>
      </c>
      <c r="AI3318">
        <v>92.041091310907603</v>
      </c>
      <c r="AJ3318">
        <v>86.123106373786896</v>
      </c>
      <c r="AK3318">
        <v>31.1971641654211</v>
      </c>
      <c r="AL3318">
        <v>84.578888074486699</v>
      </c>
      <c r="AM3318">
        <v>86.701790754460106</v>
      </c>
      <c r="AN3318">
        <v>0.99999995513399798</v>
      </c>
    </row>
    <row r="3319" spans="1:40" x14ac:dyDescent="0.25">
      <c r="A3319" t="str">
        <f>"20190312151052424"</f>
        <v>20190312151052424</v>
      </c>
      <c r="B3319" t="str">
        <f>"1552374652413801"</f>
        <v>1552374652413801</v>
      </c>
      <c r="C3319" t="s">
        <v>40</v>
      </c>
      <c r="D3319">
        <v>5.1670170000000004</v>
      </c>
      <c r="E3319">
        <v>0.50415120000000002</v>
      </c>
      <c r="F3319" t="s">
        <v>52</v>
      </c>
      <c r="G3319">
        <v>-273.27969999999999</v>
      </c>
      <c r="H3319" s="1">
        <v>3.2602369999999998E-7</v>
      </c>
      <c r="I3319">
        <v>211.9272</v>
      </c>
      <c r="J3319">
        <v>-304.59840000000003</v>
      </c>
      <c r="K3319">
        <v>1.1111359999999999</v>
      </c>
      <c r="L3319">
        <v>214.0598</v>
      </c>
      <c r="M3319">
        <v>0.99989570000000005</v>
      </c>
      <c r="N3319">
        <v>0</v>
      </c>
      <c r="O3319">
        <v>6.6928319999999997E-4</v>
      </c>
      <c r="P3319">
        <v>0.99511499999999997</v>
      </c>
      <c r="Q3319">
        <v>8.0413940000000003E-2</v>
      </c>
      <c r="R3319">
        <v>-5.7273940000000002E-2</v>
      </c>
      <c r="S3319">
        <v>3.011444</v>
      </c>
      <c r="T3319">
        <v>-0.1054177</v>
      </c>
      <c r="U3319">
        <v>-0.20227049999999999</v>
      </c>
      <c r="V3319">
        <v>5.7680519999999999E-2</v>
      </c>
      <c r="W3319">
        <v>9.4932730000000007E-2</v>
      </c>
      <c r="X3319">
        <v>0.99381120000000001</v>
      </c>
      <c r="Y3319">
        <v>6.7642450000000007E-2</v>
      </c>
      <c r="Z3319">
        <v>-1.20564E-3</v>
      </c>
      <c r="AA3319">
        <v>0.99770890000000001</v>
      </c>
      <c r="AB3319">
        <v>43</v>
      </c>
      <c r="AC3319">
        <v>31.3187</v>
      </c>
      <c r="AD3319">
        <v>-1.1111356739763001</v>
      </c>
      <c r="AE3319">
        <v>-2.1325999999999898</v>
      </c>
      <c r="AF3319">
        <v>2.1508679534531598</v>
      </c>
      <c r="AG3319">
        <v>-1.1111356739763001</v>
      </c>
      <c r="AH3319">
        <v>31.2780771047996</v>
      </c>
      <c r="AI3319">
        <v>92.029754571229304</v>
      </c>
      <c r="AJ3319">
        <v>86.066191849913196</v>
      </c>
      <c r="AK3319">
        <v>31.371626716078399</v>
      </c>
      <c r="AL3319">
        <v>84.552551882734704</v>
      </c>
      <c r="AM3319">
        <v>86.678295713858802</v>
      </c>
      <c r="AN3319">
        <v>0.99999998342908103</v>
      </c>
    </row>
    <row r="3320" spans="1:40" x14ac:dyDescent="0.25">
      <c r="A3320" t="str">
        <f>"20190312151052446"</f>
        <v>20190312151052446</v>
      </c>
      <c r="B3320" t="str">
        <f>"1552374652444058"</f>
        <v>1552374652444058</v>
      </c>
      <c r="C3320" t="s">
        <v>40</v>
      </c>
      <c r="D3320">
        <v>5.3138120000000004</v>
      </c>
      <c r="E3320">
        <v>0.5044942</v>
      </c>
      <c r="F3320" t="s">
        <v>52</v>
      </c>
      <c r="G3320">
        <v>-272.19959999999998</v>
      </c>
      <c r="H3320" s="1">
        <v>-2.4625109999999999E-7</v>
      </c>
      <c r="I3320">
        <v>211.87100000000001</v>
      </c>
      <c r="J3320">
        <v>-304.17079999999999</v>
      </c>
      <c r="K3320">
        <v>1.111148</v>
      </c>
      <c r="L3320">
        <v>214.06100000000001</v>
      </c>
      <c r="M3320">
        <v>0.99989439999999996</v>
      </c>
      <c r="N3320">
        <v>0</v>
      </c>
      <c r="O3320">
        <v>1.6506779999999901E-3</v>
      </c>
      <c r="P3320">
        <v>0.99511719999999904</v>
      </c>
      <c r="Q3320">
        <v>8.1065100000000001E-2</v>
      </c>
      <c r="R3320">
        <v>-5.6308700000000003E-2</v>
      </c>
      <c r="S3320">
        <v>3.0113530000000002</v>
      </c>
      <c r="T3320">
        <v>-0.1032763</v>
      </c>
      <c r="U3320">
        <v>-0.2034454</v>
      </c>
      <c r="V3320">
        <v>5.7690079999999998E-2</v>
      </c>
      <c r="W3320">
        <v>9.5583509999999997E-2</v>
      </c>
      <c r="X3320">
        <v>0.99374830000000003</v>
      </c>
      <c r="Y3320">
        <v>6.9011489999999995E-2</v>
      </c>
      <c r="Z3320">
        <v>-1.23824E-3</v>
      </c>
      <c r="AA3320">
        <v>0.99761509999999998</v>
      </c>
      <c r="AB3320">
        <v>43</v>
      </c>
      <c r="AC3320">
        <v>31.9712</v>
      </c>
      <c r="AD3320">
        <v>-1.1111482462511</v>
      </c>
      <c r="AE3320">
        <v>-2.1899999999999902</v>
      </c>
      <c r="AF3320">
        <v>2.24008354368359</v>
      </c>
      <c r="AG3320">
        <v>-1.1111482462511</v>
      </c>
      <c r="AH3320">
        <v>31.929154392780099</v>
      </c>
      <c r="AI3320">
        <v>91.988230097303301</v>
      </c>
      <c r="AJ3320">
        <v>85.986822264162797</v>
      </c>
      <c r="AK3320">
        <v>32.026918755100702</v>
      </c>
      <c r="AL3320">
        <v>84.515094792499994</v>
      </c>
      <c r="AM3320">
        <v>86.677536592589803</v>
      </c>
      <c r="AN3320">
        <v>1.0000000182336</v>
      </c>
    </row>
    <row r="3321" spans="1:40" x14ac:dyDescent="0.25">
      <c r="A3321" t="str">
        <f>"20190312151052469"</f>
        <v>20190312151052469</v>
      </c>
      <c r="B3321" t="str">
        <f>"1552374652464554"</f>
        <v>1552374652464554</v>
      </c>
      <c r="C3321" t="s">
        <v>40</v>
      </c>
      <c r="D3321">
        <v>5.1806340000000004</v>
      </c>
      <c r="E3321">
        <v>0.50466029999999995</v>
      </c>
      <c r="F3321" t="s">
        <v>52</v>
      </c>
      <c r="G3321">
        <v>-267.57420000000002</v>
      </c>
      <c r="H3321" s="1">
        <v>2.6262139999999999E-6</v>
      </c>
      <c r="I3321">
        <v>211.58789999999999</v>
      </c>
      <c r="J3321">
        <v>-303.74669999999998</v>
      </c>
      <c r="K3321">
        <v>1.111157</v>
      </c>
      <c r="L3321">
        <v>214.0625</v>
      </c>
      <c r="M3321">
        <v>0.99989240000000001</v>
      </c>
      <c r="N3321">
        <v>0</v>
      </c>
      <c r="O3321">
        <v>2.623008E-3</v>
      </c>
      <c r="P3321">
        <v>0.99509069999999999</v>
      </c>
      <c r="Q3321">
        <v>8.1962960000000001E-2</v>
      </c>
      <c r="R3321">
        <v>-5.5469440000000002E-2</v>
      </c>
      <c r="S3321">
        <v>3.0106199999999999</v>
      </c>
      <c r="T3321">
        <v>-9.1408489999999995E-2</v>
      </c>
      <c r="U3321">
        <v>-0.2034454</v>
      </c>
      <c r="V3321">
        <v>5.7816239999999998E-2</v>
      </c>
      <c r="W3321">
        <v>9.6480090000000004E-2</v>
      </c>
      <c r="X3321">
        <v>0.99365429999999999</v>
      </c>
      <c r="Y3321">
        <v>7.0005919999999999E-2</v>
      </c>
      <c r="Z3321">
        <v>-1.140847E-3</v>
      </c>
      <c r="AA3321">
        <v>0.99754589999999999</v>
      </c>
      <c r="AB3321">
        <v>43</v>
      </c>
      <c r="AC3321">
        <v>36.1724999999999</v>
      </c>
      <c r="AD3321">
        <v>-1.1111543737859999</v>
      </c>
      <c r="AE3321">
        <v>-2.4746000000000001</v>
      </c>
      <c r="AF3321">
        <v>2.5670711002264901</v>
      </c>
      <c r="AG3321">
        <v>-1.1111543737859999</v>
      </c>
      <c r="AH3321">
        <v>36.131948380577299</v>
      </c>
      <c r="AI3321">
        <v>91.757017757081897</v>
      </c>
      <c r="AJ3321">
        <v>85.936128064074595</v>
      </c>
      <c r="AK3321">
        <v>36.240063629258401</v>
      </c>
      <c r="AL3321">
        <v>84.463485899749799</v>
      </c>
      <c r="AM3321">
        <v>86.669972884858495</v>
      </c>
      <c r="AN3321">
        <v>0.999999996641317</v>
      </c>
    </row>
    <row r="3322" spans="1:40" x14ac:dyDescent="0.25">
      <c r="A3322" t="str">
        <f>"20190312151052492"</f>
        <v>20190312151052492</v>
      </c>
      <c r="B3322" t="str">
        <f>"1552374652484073"</f>
        <v>1552374652484073</v>
      </c>
      <c r="C3322" t="s">
        <v>40</v>
      </c>
      <c r="D3322">
        <v>5.1056910000000002</v>
      </c>
      <c r="E3322">
        <v>0.50413949999999996</v>
      </c>
      <c r="F3322" t="s">
        <v>52</v>
      </c>
      <c r="G3322">
        <v>-266.9203</v>
      </c>
      <c r="H3322" s="1">
        <v>2.2781939999999999E-6</v>
      </c>
      <c r="I3322">
        <v>211.58930000000001</v>
      </c>
      <c r="J3322">
        <v>-303.30119999999999</v>
      </c>
      <c r="K3322">
        <v>1.111157</v>
      </c>
      <c r="L3322">
        <v>214.06450000000001</v>
      </c>
      <c r="M3322">
        <v>0.99988909999999998</v>
      </c>
      <c r="N3322">
        <v>0</v>
      </c>
      <c r="O3322">
        <v>3.6434229999999998E-3</v>
      </c>
      <c r="P3322">
        <v>0.99506570000000005</v>
      </c>
      <c r="Q3322">
        <v>8.2850679999999996E-2</v>
      </c>
      <c r="R3322">
        <v>-5.4587740000000003E-2</v>
      </c>
      <c r="S3322">
        <v>3.0109859999999999</v>
      </c>
      <c r="T3322">
        <v>-9.0849879999999994E-2</v>
      </c>
      <c r="U3322">
        <v>-0.20220949999999999</v>
      </c>
      <c r="V3322">
        <v>5.7948029999999998E-2</v>
      </c>
      <c r="W3322">
        <v>9.7365679999999996E-2</v>
      </c>
      <c r="X3322">
        <v>0.99356029999999995</v>
      </c>
      <c r="Y3322">
        <v>7.0607829999999996E-2</v>
      </c>
      <c r="Z3322">
        <v>-1.1735770000000001E-3</v>
      </c>
      <c r="AA3322">
        <v>0.99750349999999999</v>
      </c>
      <c r="AB3322">
        <v>43</v>
      </c>
      <c r="AC3322">
        <v>36.380899999999997</v>
      </c>
      <c r="AD3322">
        <v>-1.1111547218060001</v>
      </c>
      <c r="AE3322">
        <v>-2.4752000000000001</v>
      </c>
      <c r="AF3322">
        <v>2.6053292674928401</v>
      </c>
      <c r="AG3322">
        <v>-1.1111547218060001</v>
      </c>
      <c r="AH3322">
        <v>36.3378984621854</v>
      </c>
      <c r="AI3322">
        <v>91.746985741990699</v>
      </c>
      <c r="AJ3322">
        <v>85.899064563137898</v>
      </c>
      <c r="AK3322">
        <v>36.448117510455099</v>
      </c>
      <c r="AL3322">
        <v>84.412505660349098</v>
      </c>
      <c r="AM3322">
        <v>86.662084296718305</v>
      </c>
      <c r="AN3322">
        <v>1.0000000597794101</v>
      </c>
    </row>
    <row r="3323" spans="1:40" x14ac:dyDescent="0.25">
      <c r="A3323" t="str">
        <f>"20190312151052514"</f>
        <v>20190312151052514</v>
      </c>
      <c r="B3323" t="str">
        <f>"1552374652504574"</f>
        <v>1552374652504574</v>
      </c>
      <c r="C3323" t="s">
        <v>40</v>
      </c>
      <c r="D3323">
        <v>4.9531320000000001</v>
      </c>
      <c r="E3323">
        <v>0.50359989999999999</v>
      </c>
      <c r="F3323" t="s">
        <v>52</v>
      </c>
      <c r="G3323">
        <v>-263.77569999999997</v>
      </c>
      <c r="H3323" s="1">
        <v>6.0866969999999998E-7</v>
      </c>
      <c r="I3323">
        <v>211.49979999999999</v>
      </c>
      <c r="J3323">
        <v>-302.88150000000002</v>
      </c>
      <c r="K3323">
        <v>1.1111580000000001</v>
      </c>
      <c r="L3323">
        <v>214.0668</v>
      </c>
      <c r="M3323">
        <v>0.99988520000000003</v>
      </c>
      <c r="N3323">
        <v>0</v>
      </c>
      <c r="O3323">
        <v>4.6031580000000004E-3</v>
      </c>
      <c r="P3323">
        <v>0.99499519999999997</v>
      </c>
      <c r="Q3323">
        <v>8.3696329999999999E-2</v>
      </c>
      <c r="R3323">
        <v>-5.458644E-2</v>
      </c>
      <c r="S3323">
        <v>3.0111690000000002</v>
      </c>
      <c r="T3323">
        <v>-8.4651110000000002E-2</v>
      </c>
      <c r="U3323">
        <v>-0.1953888</v>
      </c>
      <c r="V3323">
        <v>5.8899409999999999E-2</v>
      </c>
      <c r="W3323">
        <v>9.8211329999999999E-2</v>
      </c>
      <c r="X3323">
        <v>0.99342109999999995</v>
      </c>
      <c r="Y3323">
        <v>6.9316059999999999E-2</v>
      </c>
      <c r="Z3323">
        <v>-1.1023669999999999E-3</v>
      </c>
      <c r="AA3323">
        <v>0.99759410000000004</v>
      </c>
      <c r="AB3323">
        <v>43</v>
      </c>
      <c r="AC3323">
        <v>39.105800000000002</v>
      </c>
      <c r="AD3323">
        <v>-1.1111573913302999</v>
      </c>
      <c r="AE3323">
        <v>-2.5670000000000002</v>
      </c>
      <c r="AF3323">
        <v>2.74479519583396</v>
      </c>
      <c r="AG3323">
        <v>-1.1111573913302999</v>
      </c>
      <c r="AH3323">
        <v>39.062166029799101</v>
      </c>
      <c r="AI3323">
        <v>91.625383478037193</v>
      </c>
      <c r="AJ3323">
        <v>85.980583565995204</v>
      </c>
      <c r="AK3323">
        <v>39.174243915549603</v>
      </c>
      <c r="AL3323">
        <v>84.363820056921895</v>
      </c>
      <c r="AM3323">
        <v>86.606935721641193</v>
      </c>
      <c r="AN3323">
        <v>1.0000000438819601</v>
      </c>
    </row>
    <row r="3324" spans="1:40" x14ac:dyDescent="0.25">
      <c r="A3324" t="str">
        <f>"20190312151052537"</f>
        <v>20190312151052537</v>
      </c>
      <c r="B3324" t="str">
        <f>"1552374652533850"</f>
        <v>1552374652533850</v>
      </c>
      <c r="C3324" t="s">
        <v>40</v>
      </c>
      <c r="D3324">
        <v>5.2686440000000001</v>
      </c>
      <c r="E3324">
        <v>0.50285939999999996</v>
      </c>
      <c r="F3324" t="s">
        <v>52</v>
      </c>
      <c r="G3324">
        <v>-261.81290000000001</v>
      </c>
      <c r="H3324" s="1">
        <v>-4.3407529999999998E-7</v>
      </c>
      <c r="I3324">
        <v>211.4597</v>
      </c>
      <c r="J3324">
        <v>-302.4357</v>
      </c>
      <c r="K3324">
        <v>1.1111580000000001</v>
      </c>
      <c r="L3324">
        <v>214.06970000000001</v>
      </c>
      <c r="M3324">
        <v>0.99988010000000005</v>
      </c>
      <c r="N3324">
        <v>0</v>
      </c>
      <c r="O3324">
        <v>5.6212390000000001E-3</v>
      </c>
      <c r="P3324">
        <v>0.99500789999999995</v>
      </c>
      <c r="Q3324">
        <v>8.4170999999999996E-2</v>
      </c>
      <c r="R3324">
        <v>-5.3616619999999997E-2</v>
      </c>
      <c r="S3324">
        <v>3.0114749999999999</v>
      </c>
      <c r="T3324">
        <v>-8.1478949999999994E-2</v>
      </c>
      <c r="U3324">
        <v>-0.1911774</v>
      </c>
      <c r="V3324">
        <v>5.8941800000000003E-2</v>
      </c>
      <c r="W3324">
        <v>9.8683950000000006E-2</v>
      </c>
      <c r="X3324">
        <v>0.99337169999999997</v>
      </c>
      <c r="Y3324">
        <v>6.8937789999999999E-2</v>
      </c>
      <c r="Z3324">
        <v>-1.083419E-3</v>
      </c>
      <c r="AA3324">
        <v>0.99762030000000002</v>
      </c>
      <c r="AB3324">
        <v>43</v>
      </c>
      <c r="AC3324">
        <v>40.622799999999899</v>
      </c>
      <c r="AD3324">
        <v>-1.1111584340753</v>
      </c>
      <c r="AE3324">
        <v>-2.6100000000000101</v>
      </c>
      <c r="AF3324">
        <v>2.8362196872431502</v>
      </c>
      <c r="AG3324">
        <v>-1.1111584340753</v>
      </c>
      <c r="AH3324">
        <v>40.577250384600099</v>
      </c>
      <c r="AI3324">
        <v>91.5647671105</v>
      </c>
      <c r="AJ3324">
        <v>86.0017115697554</v>
      </c>
      <c r="AK3324">
        <v>40.691424943769803</v>
      </c>
      <c r="AL3324">
        <v>84.336608468611502</v>
      </c>
      <c r="AM3324">
        <v>86.604330977539206</v>
      </c>
      <c r="AN3324">
        <v>0.99999999606786605</v>
      </c>
    </row>
    <row r="3325" spans="1:40" x14ac:dyDescent="0.25">
      <c r="A3325" t="str">
        <f>"20190312151052560"</f>
        <v>20190312151052560</v>
      </c>
      <c r="B3325" t="str">
        <f>"1552374652554346"</f>
        <v>1552374652554346</v>
      </c>
      <c r="C3325" t="s">
        <v>40</v>
      </c>
      <c r="D3325">
        <v>5.3407580000000001</v>
      </c>
      <c r="E3325">
        <v>0.50245580000000001</v>
      </c>
      <c r="F3325" t="s">
        <v>52</v>
      </c>
      <c r="G3325">
        <v>-263.24990000000003</v>
      </c>
      <c r="H3325" s="1">
        <v>3.2027479999999999E-7</v>
      </c>
      <c r="I3325">
        <v>211.6968</v>
      </c>
      <c r="J3325">
        <v>-302.01929999999999</v>
      </c>
      <c r="K3325">
        <v>1.1111580000000001</v>
      </c>
      <c r="L3325">
        <v>214.0729</v>
      </c>
      <c r="M3325">
        <v>0.99987420000000005</v>
      </c>
      <c r="N3325">
        <v>0</v>
      </c>
      <c r="O3325">
        <v>6.5709039999999998E-3</v>
      </c>
      <c r="P3325">
        <v>0.99494819999999995</v>
      </c>
      <c r="Q3325">
        <v>8.5293430000000003E-2</v>
      </c>
      <c r="R3325">
        <v>-5.2947340000000002E-2</v>
      </c>
      <c r="S3325">
        <v>3.0124209999999998</v>
      </c>
      <c r="T3325">
        <v>-8.542073E-2</v>
      </c>
      <c r="U3325">
        <v>-0.18241879999999999</v>
      </c>
      <c r="V3325">
        <v>5.9214490000000002E-2</v>
      </c>
      <c r="W3325">
        <v>9.9803740000000002E-2</v>
      </c>
      <c r="X3325">
        <v>0.9932436</v>
      </c>
      <c r="Y3325">
        <v>6.6973660000000004E-2</v>
      </c>
      <c r="Z3325">
        <v>-1.1346450000000001E-3</v>
      </c>
      <c r="AA3325">
        <v>0.99775409999999998</v>
      </c>
      <c r="AB3325">
        <v>43</v>
      </c>
      <c r="AC3325">
        <v>38.769399999999898</v>
      </c>
      <c r="AD3325">
        <v>-1.1111576797251901</v>
      </c>
      <c r="AE3325">
        <v>-2.3761000000000001</v>
      </c>
      <c r="AF3325">
        <v>2.6286740435943901</v>
      </c>
      <c r="AG3325">
        <v>-1.1111576797251901</v>
      </c>
      <c r="AH3325">
        <v>38.721260122587097</v>
      </c>
      <c r="AI3325">
        <v>91.639954361420806</v>
      </c>
      <c r="AJ3325">
        <v>86.116314586376404</v>
      </c>
      <c r="AK3325">
        <v>38.826287281914297</v>
      </c>
      <c r="AL3325">
        <v>84.272130905007103</v>
      </c>
      <c r="AM3325">
        <v>86.588219247872104</v>
      </c>
      <c r="AN3325">
        <v>0.99999999564245301</v>
      </c>
    </row>
    <row r="3326" spans="1:40" x14ac:dyDescent="0.25">
      <c r="A3326" t="str">
        <f>"20190312151052581"</f>
        <v>20190312151052581</v>
      </c>
      <c r="B3326" t="str">
        <f>"1552374652573865"</f>
        <v>1552374652573865</v>
      </c>
      <c r="C3326" t="s">
        <v>40</v>
      </c>
      <c r="D3326">
        <v>5.3029590000000004</v>
      </c>
      <c r="E3326">
        <v>0.5021293</v>
      </c>
      <c r="F3326" t="s">
        <v>52</v>
      </c>
      <c r="G3326">
        <v>-262.64429999999999</v>
      </c>
      <c r="H3326" s="1">
        <v>-4.6841540000000002E-9</v>
      </c>
      <c r="I3326">
        <v>211.75739999999999</v>
      </c>
      <c r="J3326">
        <v>-301.60129999999998</v>
      </c>
      <c r="K3326">
        <v>1.1111610000000001</v>
      </c>
      <c r="L3326">
        <v>214.07650000000001</v>
      </c>
      <c r="M3326">
        <v>0.99986750000000002</v>
      </c>
      <c r="N3326">
        <v>0</v>
      </c>
      <c r="O3326">
        <v>7.5234940000000004E-3</v>
      </c>
      <c r="P3326">
        <v>0.99498059999999999</v>
      </c>
      <c r="Q3326">
        <v>8.5763829999999999E-2</v>
      </c>
      <c r="R3326">
        <v>-5.1560639999999998E-2</v>
      </c>
      <c r="S3326">
        <v>3.0130309999999998</v>
      </c>
      <c r="T3326">
        <v>-8.5027340000000007E-2</v>
      </c>
      <c r="U3326">
        <v>-0.17718510000000001</v>
      </c>
      <c r="V3326">
        <v>5.8774680000000003E-2</v>
      </c>
      <c r="W3326">
        <v>0.1002706</v>
      </c>
      <c r="X3326">
        <v>0.99322270000000001</v>
      </c>
      <c r="Y3326">
        <v>6.6185240000000006E-2</v>
      </c>
      <c r="Z3326">
        <v>-1.144997E-3</v>
      </c>
      <c r="AA3326">
        <v>0.99780670000000005</v>
      </c>
      <c r="AB3326">
        <v>43</v>
      </c>
      <c r="AC3326">
        <v>38.957000000000001</v>
      </c>
      <c r="AD3326">
        <v>-1.11116100468415</v>
      </c>
      <c r="AE3326">
        <v>-2.3191000000000201</v>
      </c>
      <c r="AF3326">
        <v>2.6100417542752901</v>
      </c>
      <c r="AG3326">
        <v>-1.11116100468415</v>
      </c>
      <c r="AH3326">
        <v>38.906906813836898</v>
      </c>
      <c r="AI3326">
        <v>91.632226323937601</v>
      </c>
      <c r="AJ3326">
        <v>86.162104331631298</v>
      </c>
      <c r="AK3326">
        <v>39.010183216154999</v>
      </c>
      <c r="AL3326">
        <v>84.245246929591701</v>
      </c>
      <c r="AM3326">
        <v>86.613429633904303</v>
      </c>
      <c r="AN3326">
        <v>0.999999994014376</v>
      </c>
    </row>
    <row r="3327" spans="1:40" x14ac:dyDescent="0.25">
      <c r="A3327" t="str">
        <f>"20190312151052604"</f>
        <v>20190312151052604</v>
      </c>
      <c r="B3327" t="str">
        <f>"1552374652594362"</f>
        <v>1552374652594362</v>
      </c>
      <c r="C3327" t="s">
        <v>40</v>
      </c>
      <c r="D3327">
        <v>5.2814699999999997</v>
      </c>
      <c r="E3327">
        <v>0.50180519999999995</v>
      </c>
      <c r="F3327" t="s">
        <v>52</v>
      </c>
      <c r="G3327">
        <v>-263.12240000000003</v>
      </c>
      <c r="H3327" s="1">
        <v>2.4348699999999999E-7</v>
      </c>
      <c r="I3327">
        <v>211.9007</v>
      </c>
      <c r="J3327">
        <v>-301.16800000000001</v>
      </c>
      <c r="K3327">
        <v>1.1111660000000001</v>
      </c>
      <c r="L3327">
        <v>214.0806</v>
      </c>
      <c r="M3327">
        <v>0.99985959999999996</v>
      </c>
      <c r="N3327">
        <v>0</v>
      </c>
      <c r="O3327">
        <v>8.5108909999999996E-3</v>
      </c>
      <c r="P3327">
        <v>0.995008</v>
      </c>
      <c r="Q3327">
        <v>8.6093260000000005E-2</v>
      </c>
      <c r="R3327">
        <v>-5.046921E-2</v>
      </c>
      <c r="S3327">
        <v>3.0137939999999999</v>
      </c>
      <c r="T3327">
        <v>-8.7029579999999995E-2</v>
      </c>
      <c r="U3327">
        <v>-0.17041020000000001</v>
      </c>
      <c r="V3327">
        <v>5.8665559999999999E-2</v>
      </c>
      <c r="W3327">
        <v>0.1005979</v>
      </c>
      <c r="X3327">
        <v>0.99319610000000003</v>
      </c>
      <c r="Y3327">
        <v>6.4918879999999998E-2</v>
      </c>
      <c r="Z3327">
        <v>-1.181952E-3</v>
      </c>
      <c r="AA3327">
        <v>0.99788980000000005</v>
      </c>
      <c r="AB3327">
        <v>43</v>
      </c>
      <c r="AC3327">
        <v>38.045599999999901</v>
      </c>
      <c r="AD3327">
        <v>-1.111165756513</v>
      </c>
      <c r="AE3327">
        <v>-2.1798999999999999</v>
      </c>
      <c r="AF3327">
        <v>2.5015299007307399</v>
      </c>
      <c r="AG3327">
        <v>-1.111165756513</v>
      </c>
      <c r="AH3327">
        <v>37.993364664272299</v>
      </c>
      <c r="AI3327">
        <v>91.671595401435198</v>
      </c>
      <c r="AJ3327">
        <v>86.233012447266702</v>
      </c>
      <c r="AK3327">
        <v>38.091837704356998</v>
      </c>
      <c r="AL3327">
        <v>84.226398980474301</v>
      </c>
      <c r="AM3327">
        <v>86.619612163701106</v>
      </c>
      <c r="AN3327">
        <v>1.00000003923486</v>
      </c>
    </row>
    <row r="3328" spans="1:40" x14ac:dyDescent="0.25">
      <c r="A3328" t="str">
        <f>"20190312151052625"</f>
        <v>20190312151052625</v>
      </c>
      <c r="B3328" t="str">
        <f>"1552374652613881"</f>
        <v>1552374652613881</v>
      </c>
      <c r="C3328" t="s">
        <v>40</v>
      </c>
      <c r="D3328">
        <v>5.2853059999999896</v>
      </c>
      <c r="E3328">
        <v>0.50153539999999996</v>
      </c>
      <c r="F3328" t="s">
        <v>52</v>
      </c>
      <c r="G3328">
        <v>-262.6309</v>
      </c>
      <c r="H3328" s="1">
        <v>-2.1325770000000001E-8</v>
      </c>
      <c r="I3328">
        <v>211.9753</v>
      </c>
      <c r="J3328">
        <v>-300.75580000000002</v>
      </c>
      <c r="K3328">
        <v>1.111165</v>
      </c>
      <c r="L3328">
        <v>214.0849</v>
      </c>
      <c r="M3328">
        <v>0.99985119999999905</v>
      </c>
      <c r="N3328">
        <v>0</v>
      </c>
      <c r="O3328">
        <v>9.4501350000000001E-3</v>
      </c>
      <c r="P3328">
        <v>0.99498949999999997</v>
      </c>
      <c r="Q3328">
        <v>8.6930049999999995E-2</v>
      </c>
      <c r="R3328">
        <v>-4.9386140000000002E-2</v>
      </c>
      <c r="S3328">
        <v>3.0142519999999999</v>
      </c>
      <c r="T3328">
        <v>-8.6911799999999997E-2</v>
      </c>
      <c r="U3328">
        <v>-0.16467290000000001</v>
      </c>
      <c r="V3328">
        <v>5.8514919999999998E-2</v>
      </c>
      <c r="W3328">
        <v>0.10143149999999999</v>
      </c>
      <c r="X3328">
        <v>0.99312020000000001</v>
      </c>
      <c r="Y3328">
        <v>6.3954269999999994E-2</v>
      </c>
      <c r="Z3328">
        <v>-1.1934039999999999E-3</v>
      </c>
      <c r="AA3328">
        <v>0.99795210000000001</v>
      </c>
      <c r="AB3328">
        <v>43</v>
      </c>
      <c r="AC3328">
        <v>38.124899999999997</v>
      </c>
      <c r="AD3328">
        <v>-1.11116502132577</v>
      </c>
      <c r="AE3328">
        <v>-2.1095999999999999</v>
      </c>
      <c r="AF3328">
        <v>2.4677389247064099</v>
      </c>
      <c r="AG3328">
        <v>-1.11116502132577</v>
      </c>
      <c r="AH3328">
        <v>38.071018303265802</v>
      </c>
      <c r="AI3328">
        <v>91.668297500381897</v>
      </c>
      <c r="AJ3328">
        <v>86.291312686689693</v>
      </c>
      <c r="AK3328">
        <v>38.167091292797302</v>
      </c>
      <c r="AL3328">
        <v>84.178391653307301</v>
      </c>
      <c r="AM3328">
        <v>86.628015097534401</v>
      </c>
      <c r="AN3328">
        <v>1.00000003835144</v>
      </c>
    </row>
    <row r="3329" spans="1:40" x14ac:dyDescent="0.25">
      <c r="A3329" t="str">
        <f>"20190312151052649"</f>
        <v>20190312151052649</v>
      </c>
      <c r="B3329" t="str">
        <f>"1552374652644138"</f>
        <v>1552374652644138</v>
      </c>
      <c r="C3329" t="s">
        <v>40</v>
      </c>
      <c r="D3329">
        <v>5.6821089999999996</v>
      </c>
      <c r="E3329">
        <v>0.50108649999999999</v>
      </c>
      <c r="F3329" t="s">
        <v>52</v>
      </c>
      <c r="G3329">
        <v>-261.24849999999998</v>
      </c>
      <c r="H3329" s="1">
        <v>-7.5807240000000004E-7</v>
      </c>
      <c r="I3329">
        <v>212.00139999999999</v>
      </c>
      <c r="J3329">
        <v>-300.31209999999999</v>
      </c>
      <c r="K3329">
        <v>1.1111719999999901</v>
      </c>
      <c r="L3329">
        <v>214.09</v>
      </c>
      <c r="M3329">
        <v>0.99984130000000004</v>
      </c>
      <c r="N3329">
        <v>0</v>
      </c>
      <c r="O3329">
        <v>1.04609E-2</v>
      </c>
      <c r="P3329">
        <v>0.99496300000000004</v>
      </c>
      <c r="Q3329">
        <v>8.7921860000000004E-2</v>
      </c>
      <c r="R3329">
        <v>-4.8151329999999999E-2</v>
      </c>
      <c r="S3329">
        <v>3.014618</v>
      </c>
      <c r="T3329">
        <v>-8.4787959999999996E-2</v>
      </c>
      <c r="U3329">
        <v>-0.15898129999999999</v>
      </c>
      <c r="V3329">
        <v>5.8282800000000003E-2</v>
      </c>
      <c r="W3329">
        <v>0.1024195</v>
      </c>
      <c r="X3329">
        <v>0.99303240000000004</v>
      </c>
      <c r="Y3329">
        <v>6.3079209999999997E-2</v>
      </c>
      <c r="Z3329">
        <v>-1.1802830000000001E-3</v>
      </c>
      <c r="AA3329">
        <v>0.9980078</v>
      </c>
      <c r="AB3329">
        <v>43</v>
      </c>
      <c r="AC3329">
        <v>39.063600000000001</v>
      </c>
      <c r="AD3329">
        <v>-1.11117275807239</v>
      </c>
      <c r="AE3329">
        <v>-2.0886000000000098</v>
      </c>
      <c r="AF3329">
        <v>2.49515545027245</v>
      </c>
      <c r="AG3329">
        <v>-1.11117275807239</v>
      </c>
      <c r="AH3329">
        <v>39.008138506726198</v>
      </c>
      <c r="AI3329">
        <v>91.628341137424499</v>
      </c>
      <c r="AJ3329">
        <v>86.340061789960799</v>
      </c>
      <c r="AK3329">
        <v>39.103649131241497</v>
      </c>
      <c r="AL3329">
        <v>84.121486798898204</v>
      </c>
      <c r="AM3329">
        <v>86.641064301250296</v>
      </c>
      <c r="AN3329">
        <v>0.99999999310292498</v>
      </c>
    </row>
    <row r="3330" spans="1:40" x14ac:dyDescent="0.25">
      <c r="A3330" t="str">
        <f>"20190312151052692"</f>
        <v>20190312151052692</v>
      </c>
      <c r="B3330" t="str">
        <f>"1552374652684153"</f>
        <v>1552374652684153</v>
      </c>
      <c r="C3330" t="s">
        <v>40</v>
      </c>
      <c r="D3330">
        <v>5.2994669999999999</v>
      </c>
      <c r="E3330">
        <v>0.50080499999999994</v>
      </c>
      <c r="F3330" t="s">
        <v>52</v>
      </c>
      <c r="G3330">
        <v>-260.0779</v>
      </c>
      <c r="H3330" s="1">
        <v>-1.3838249999999901E-6</v>
      </c>
      <c r="I3330">
        <v>212.0652</v>
      </c>
      <c r="J3330">
        <v>-299.47550000000001</v>
      </c>
      <c r="K3330">
        <v>1.1111759999999999</v>
      </c>
      <c r="L3330">
        <v>214.10079999999999</v>
      </c>
      <c r="M3330">
        <v>0.99981940000000002</v>
      </c>
      <c r="N3330">
        <v>0</v>
      </c>
      <c r="O3330">
        <v>1.2367939999999999E-2</v>
      </c>
      <c r="P3330">
        <v>0.99491850000000004</v>
      </c>
      <c r="Q3330">
        <v>8.9467119999999997E-2</v>
      </c>
      <c r="R3330">
        <v>-4.6184530000000001E-2</v>
      </c>
      <c r="S3330">
        <v>3.0151979999999998</v>
      </c>
      <c r="T3330">
        <v>-8.3272579999999999E-2</v>
      </c>
      <c r="U3330">
        <v>-0.15173339999999999</v>
      </c>
      <c r="V3330">
        <v>5.8209070000000002E-2</v>
      </c>
      <c r="W3330">
        <v>0.1039582</v>
      </c>
      <c r="X3330">
        <v>0.9928768</v>
      </c>
      <c r="Y3330">
        <v>6.2580510000000006E-2</v>
      </c>
      <c r="Z3330">
        <v>-1.2047990000000001E-3</v>
      </c>
      <c r="AA3330">
        <v>0.99803920000000002</v>
      </c>
      <c r="AB3330">
        <v>43</v>
      </c>
      <c r="AC3330">
        <v>39.397599999999997</v>
      </c>
      <c r="AD3330">
        <v>-1.1111773838250001</v>
      </c>
      <c r="AE3330">
        <v>-2.0355999999999801</v>
      </c>
      <c r="AF3330">
        <v>2.5207622907526499</v>
      </c>
      <c r="AG3330">
        <v>-1.1111773838250001</v>
      </c>
      <c r="AH3330">
        <v>39.338197923217201</v>
      </c>
      <c r="AI3330">
        <v>91.614681085906895</v>
      </c>
      <c r="AJ3330">
        <v>86.333542175918595</v>
      </c>
      <c r="AK3330">
        <v>39.434537826010001</v>
      </c>
      <c r="AL3330">
        <v>84.032852495848502</v>
      </c>
      <c r="AM3330">
        <v>86.644779239660807</v>
      </c>
      <c r="AN3330">
        <v>0.99999997157787202</v>
      </c>
    </row>
    <row r="3331" spans="1:40" x14ac:dyDescent="0.25">
      <c r="A3331" t="str">
        <f>"20190312151052715"</f>
        <v>20190312151052715</v>
      </c>
      <c r="B3331" t="str">
        <f>"1552374652704649"</f>
        <v>1552374652704649</v>
      </c>
      <c r="C3331" t="s">
        <v>40</v>
      </c>
      <c r="D3331">
        <v>5.3905440000000002</v>
      </c>
      <c r="E3331">
        <v>0.50061369999999905</v>
      </c>
      <c r="F3331" t="s">
        <v>52</v>
      </c>
      <c r="G3331">
        <v>-256.32040000000001</v>
      </c>
      <c r="H3331" s="1">
        <v>1.938687E-6</v>
      </c>
      <c r="I3331">
        <v>212.05250000000001</v>
      </c>
      <c r="J3331">
        <v>-299.05340000000001</v>
      </c>
      <c r="K3331">
        <v>1.1111850000000001</v>
      </c>
      <c r="L3331">
        <v>214.10679999999999</v>
      </c>
      <c r="M3331">
        <v>0.99980709999999995</v>
      </c>
      <c r="N3331">
        <v>0</v>
      </c>
      <c r="O3331">
        <v>1.3330669999999999E-2</v>
      </c>
      <c r="P3331">
        <v>0.99490140000000005</v>
      </c>
      <c r="Q3331">
        <v>9.0028490000000003E-2</v>
      </c>
      <c r="R3331">
        <v>-4.545569E-2</v>
      </c>
      <c r="S3331">
        <v>3.015625</v>
      </c>
      <c r="T3331">
        <v>-7.7647450000000007E-2</v>
      </c>
      <c r="U3331">
        <v>-0.14312739999999999</v>
      </c>
      <c r="V3331">
        <v>5.8436490000000001E-2</v>
      </c>
      <c r="W3331">
        <v>0.10451680000000001</v>
      </c>
      <c r="X3331">
        <v>0.99280480000000004</v>
      </c>
      <c r="Y3331">
        <v>6.0696939999999998E-2</v>
      </c>
      <c r="Z3331">
        <v>-1.123904E-3</v>
      </c>
      <c r="AA3331">
        <v>0.99815560000000003</v>
      </c>
      <c r="AB3331">
        <v>43</v>
      </c>
      <c r="AC3331">
        <v>42.732999999999997</v>
      </c>
      <c r="AD3331">
        <v>-1.111183061313</v>
      </c>
      <c r="AE3331">
        <v>-2.05429999999998</v>
      </c>
      <c r="AF3331">
        <v>2.6220673844752902</v>
      </c>
      <c r="AG3331">
        <v>-1.111183061313</v>
      </c>
      <c r="AH3331">
        <v>42.673027090903901</v>
      </c>
      <c r="AI3331">
        <v>91.4888081082361</v>
      </c>
      <c r="AJ3331">
        <v>86.483850323309198</v>
      </c>
      <c r="AK3331">
        <v>42.767946014106101</v>
      </c>
      <c r="AL3331">
        <v>84.000671803312699</v>
      </c>
      <c r="AM3331">
        <v>86.631456966161494</v>
      </c>
      <c r="AN3331">
        <v>0.99999997787439898</v>
      </c>
    </row>
    <row r="3332" spans="1:40" x14ac:dyDescent="0.25">
      <c r="A3332" t="str">
        <f>"20190312151052737"</f>
        <v>20190312151052737</v>
      </c>
      <c r="B3332" t="str">
        <f>"1552374652734906"</f>
        <v>1552374652734906</v>
      </c>
      <c r="C3332" t="s">
        <v>40</v>
      </c>
      <c r="D3332">
        <v>5.3519489999999896</v>
      </c>
      <c r="E3332">
        <v>0.47649849999999999</v>
      </c>
      <c r="F3332" t="s">
        <v>52</v>
      </c>
      <c r="G3332">
        <v>-256.96690000000001</v>
      </c>
      <c r="H3332" s="1">
        <v>2.2779370000000002E-6</v>
      </c>
      <c r="I3332">
        <v>212.16139999999999</v>
      </c>
      <c r="J3332">
        <v>-298.62920000000003</v>
      </c>
      <c r="K3332">
        <v>1.1111869999999999</v>
      </c>
      <c r="L3332">
        <v>214.11320000000001</v>
      </c>
      <c r="M3332">
        <v>0.99979390000000001</v>
      </c>
      <c r="N3332">
        <v>0</v>
      </c>
      <c r="O3332">
        <v>1.429829E-2</v>
      </c>
      <c r="P3332">
        <v>0.99491079999999998</v>
      </c>
      <c r="Q3332">
        <v>9.0496380000000001E-2</v>
      </c>
      <c r="R3332">
        <v>-4.4309179999999997E-2</v>
      </c>
      <c r="S3332">
        <v>3.0162049999999998</v>
      </c>
      <c r="T3332">
        <v>-7.9634899999999995E-2</v>
      </c>
      <c r="U3332">
        <v>-0.1394196</v>
      </c>
      <c r="V3332">
        <v>5.8251459999999998E-2</v>
      </c>
      <c r="W3332">
        <v>0.10498150000000001</v>
      </c>
      <c r="X3332">
        <v>0.9927667</v>
      </c>
      <c r="Y3332">
        <v>6.0428019999999999E-2</v>
      </c>
      <c r="Z3332">
        <v>-1.1744590000000001E-3</v>
      </c>
      <c r="AA3332">
        <v>0.9981719</v>
      </c>
      <c r="AB3332">
        <v>42</v>
      </c>
      <c r="AC3332">
        <v>41.662300000000002</v>
      </c>
      <c r="AD3332">
        <v>-1.111184722063</v>
      </c>
      <c r="AE3332">
        <v>-1.95180000000002</v>
      </c>
      <c r="AF3332">
        <v>2.5455551332951298</v>
      </c>
      <c r="AG3332">
        <v>-1.111184722063</v>
      </c>
      <c r="AH3332">
        <v>41.600601886977998</v>
      </c>
      <c r="AI3332">
        <v>91.527196341553307</v>
      </c>
      <c r="AJ3332">
        <v>86.498417472470905</v>
      </c>
      <c r="AK3332">
        <v>41.693220789260501</v>
      </c>
      <c r="AL3332">
        <v>83.973899509951394</v>
      </c>
      <c r="AM3332">
        <v>86.641969912317094</v>
      </c>
      <c r="AN3332">
        <v>1.00000003428163</v>
      </c>
    </row>
    <row r="3333" spans="1:40" x14ac:dyDescent="0.25">
      <c r="A3333" t="str">
        <f>"20190312151052761"</f>
        <v>20190312151052761</v>
      </c>
      <c r="B3333" t="str">
        <f>"1552374652754426"</f>
        <v>1552374652754426</v>
      </c>
      <c r="C3333" t="s">
        <v>40</v>
      </c>
      <c r="D3333">
        <v>5.3149480000000002</v>
      </c>
      <c r="E3333">
        <v>0.47624830000000001</v>
      </c>
      <c r="F3333" t="s">
        <v>43</v>
      </c>
      <c r="G3333">
        <v>-111.0167</v>
      </c>
      <c r="H3333">
        <v>-0.05</v>
      </c>
      <c r="I3333">
        <v>217.58600000000001</v>
      </c>
      <c r="J3333">
        <v>-298.2054</v>
      </c>
      <c r="K3333">
        <v>1.111189</v>
      </c>
      <c r="L3333">
        <v>214.12010000000001</v>
      </c>
      <c r="M3333">
        <v>0.99977959999999999</v>
      </c>
      <c r="N3333">
        <v>0</v>
      </c>
      <c r="O3333">
        <v>1.5265549999999999E-2</v>
      </c>
      <c r="P3333">
        <v>0.99492729999999996</v>
      </c>
      <c r="Q3333">
        <v>9.0501739999999997E-2</v>
      </c>
      <c r="R3333">
        <v>-4.3924499999999998E-2</v>
      </c>
      <c r="S3333">
        <v>3.0195620000000001</v>
      </c>
      <c r="T3333">
        <v>-1.8688920000000001E-2</v>
      </c>
      <c r="U3333">
        <v>5.5892940000000002E-2</v>
      </c>
      <c r="V3333">
        <v>5.8829449999999998E-2</v>
      </c>
      <c r="W3333">
        <v>0.1049853</v>
      </c>
      <c r="X3333">
        <v>0.99273219999999995</v>
      </c>
      <c r="Y3333">
        <v>-3.240663E-3</v>
      </c>
      <c r="Z3333" s="1">
        <v>-8.4449819999999994E-5</v>
      </c>
      <c r="AA3333">
        <v>0.99999479999999996</v>
      </c>
      <c r="AB3333">
        <v>42</v>
      </c>
      <c r="AC3333">
        <v>187.18870000000001</v>
      </c>
      <c r="AD3333">
        <v>-1.161189</v>
      </c>
      <c r="AE3333">
        <v>3.4658999999999698</v>
      </c>
      <c r="AF3333">
        <v>-0.60763739508764703</v>
      </c>
      <c r="AG3333">
        <v>-1.161189</v>
      </c>
      <c r="AH3333">
        <v>187.212595952051</v>
      </c>
      <c r="AI3333">
        <v>90.355371522922198</v>
      </c>
      <c r="AJ3333">
        <v>90.185964709169795</v>
      </c>
      <c r="AK3333">
        <v>187.21718314888599</v>
      </c>
      <c r="AL3333">
        <v>83.973680484698406</v>
      </c>
      <c r="AM3333">
        <v>86.608610245439706</v>
      </c>
      <c r="AN3333">
        <v>1.0000000191601099</v>
      </c>
    </row>
    <row r="3334" spans="1:40" x14ac:dyDescent="0.25">
      <c r="A3334" t="str">
        <f>"20190312151052783"</f>
        <v>20190312151052783</v>
      </c>
      <c r="B3334" t="str">
        <f>"1552374652773946"</f>
        <v>1552374652773946</v>
      </c>
      <c r="C3334" t="s">
        <v>40</v>
      </c>
      <c r="D3334">
        <v>5.3384090000000004</v>
      </c>
      <c r="E3334">
        <v>0.47621720000000001</v>
      </c>
      <c r="F3334" t="s">
        <v>52</v>
      </c>
      <c r="G3334">
        <v>-231.71619999999999</v>
      </c>
      <c r="H3334" s="1">
        <v>-6.5886709999999898E-7</v>
      </c>
      <c r="I3334">
        <v>215.42519999999999</v>
      </c>
      <c r="J3334">
        <v>-297.76490000000001</v>
      </c>
      <c r="K3334">
        <v>1.1111879999999901</v>
      </c>
      <c r="L3334">
        <v>214.1277</v>
      </c>
      <c r="M3334">
        <v>0.99976370000000003</v>
      </c>
      <c r="N3334">
        <v>0</v>
      </c>
      <c r="O3334">
        <v>1.6271500000000001E-2</v>
      </c>
      <c r="P3334">
        <v>0.99491130000000005</v>
      </c>
      <c r="Q3334">
        <v>9.0993180000000007E-2</v>
      </c>
      <c r="R3334">
        <v>-4.3262589999999997E-2</v>
      </c>
      <c r="S3334">
        <v>3.0225219999999999</v>
      </c>
      <c r="T3334">
        <v>-5.0513389999999998E-2</v>
      </c>
      <c r="U3334">
        <v>5.9326169999999998E-2</v>
      </c>
      <c r="V3334">
        <v>5.9166870000000003E-2</v>
      </c>
      <c r="W3334">
        <v>0.1054742</v>
      </c>
      <c r="X3334">
        <v>0.99266030000000005</v>
      </c>
      <c r="Y3334">
        <v>-3.3534060000000002E-3</v>
      </c>
      <c r="Z3334">
        <v>-2.4388099999999999E-4</v>
      </c>
      <c r="AA3334">
        <v>0.9999943</v>
      </c>
      <c r="AB3334">
        <v>42</v>
      </c>
      <c r="AC3334">
        <v>66.048699999999997</v>
      </c>
      <c r="AD3334">
        <v>-1.1111886588670901</v>
      </c>
      <c r="AE3334">
        <v>1.2974999999999799</v>
      </c>
      <c r="AF3334">
        <v>-0.222442160596936</v>
      </c>
      <c r="AG3334">
        <v>-1.1111886588670901</v>
      </c>
      <c r="AH3334">
        <v>66.042383092943496</v>
      </c>
      <c r="AI3334">
        <v>90.963927247205206</v>
      </c>
      <c r="AJ3334">
        <v>90.192981358270799</v>
      </c>
      <c r="AK3334">
        <v>66.052105078835496</v>
      </c>
      <c r="AL3334">
        <v>83.945512059313302</v>
      </c>
      <c r="AM3334">
        <v>86.588958042197305</v>
      </c>
      <c r="AN3334">
        <v>0.99999999828366304</v>
      </c>
    </row>
    <row r="3335" spans="1:40" x14ac:dyDescent="0.25">
      <c r="A3335" t="str">
        <f>"20190312151052805"</f>
        <v>20190312151052805</v>
      </c>
      <c r="B3335" t="str">
        <f>"1552374652794442"</f>
        <v>1552374652794442</v>
      </c>
      <c r="C3335" t="s">
        <v>40</v>
      </c>
      <c r="D3335">
        <v>5.3485329999999998</v>
      </c>
      <c r="E3335">
        <v>0.47621720000000001</v>
      </c>
      <c r="F3335" t="s">
        <v>52</v>
      </c>
      <c r="G3335">
        <v>-221.66300000000001</v>
      </c>
      <c r="H3335" s="1">
        <v>-6.9863099999999998E-7</v>
      </c>
      <c r="I3335">
        <v>215.68700000000001</v>
      </c>
      <c r="J3335">
        <v>-297.36500000000001</v>
      </c>
      <c r="K3335">
        <v>1.111189</v>
      </c>
      <c r="L3335">
        <v>214.13499999999999</v>
      </c>
      <c r="M3335">
        <v>0.99974859999999999</v>
      </c>
      <c r="N3335">
        <v>0</v>
      </c>
      <c r="O3335">
        <v>1.7184169999999999E-2</v>
      </c>
      <c r="P3335">
        <v>0.99488129999999997</v>
      </c>
      <c r="Q3335">
        <v>9.136851E-2</v>
      </c>
      <c r="R3335">
        <v>-4.3167490000000003E-2</v>
      </c>
      <c r="S3335">
        <v>3.0220639999999999</v>
      </c>
      <c r="T3335">
        <v>-4.4126150000000003E-2</v>
      </c>
      <c r="U3335">
        <v>6.1920169999999997E-2</v>
      </c>
      <c r="V3335">
        <v>5.9977999999999997E-2</v>
      </c>
      <c r="W3335">
        <v>0.10584789999999999</v>
      </c>
      <c r="X3335">
        <v>0.9925718</v>
      </c>
      <c r="Y3335">
        <v>-3.30117E-3</v>
      </c>
      <c r="Z3335">
        <v>-2.267808E-4</v>
      </c>
      <c r="AA3335">
        <v>0.99999450000000001</v>
      </c>
      <c r="AB3335">
        <v>42</v>
      </c>
      <c r="AC3335">
        <v>75.701999999999998</v>
      </c>
      <c r="AD3335">
        <v>-1.1111896986309999</v>
      </c>
      <c r="AE3335">
        <v>1.55200000000002</v>
      </c>
      <c r="AF3335">
        <v>-0.25070580638990903</v>
      </c>
      <c r="AG3335">
        <v>-1.1111896986309999</v>
      </c>
      <c r="AH3335">
        <v>75.701188676568407</v>
      </c>
      <c r="AI3335">
        <v>90.840958511165098</v>
      </c>
      <c r="AJ3335">
        <v>90.189750416622701</v>
      </c>
      <c r="AK3335">
        <v>75.7097587038363</v>
      </c>
      <c r="AL3335">
        <v>83.923979850851495</v>
      </c>
      <c r="AM3335">
        <v>86.542000553705805</v>
      </c>
      <c r="AN3335">
        <v>0.99999995828682398</v>
      </c>
    </row>
    <row r="3336" spans="1:40" x14ac:dyDescent="0.25">
      <c r="A3336" t="str">
        <f>"20190312151052826"</f>
        <v>20190312151052826</v>
      </c>
      <c r="B3336" t="str">
        <f>"1552374652813962"</f>
        <v>1552374652813962</v>
      </c>
      <c r="C3336" t="s">
        <v>40</v>
      </c>
      <c r="D3336">
        <v>5.1178939999999997</v>
      </c>
      <c r="E3336">
        <v>0.47782980000000003</v>
      </c>
      <c r="F3336" t="s">
        <v>52</v>
      </c>
      <c r="G3336">
        <v>-218.93100000000001</v>
      </c>
      <c r="H3336" s="1">
        <v>3.1661320000000001E-6</v>
      </c>
      <c r="I3336">
        <v>215.75319999999999</v>
      </c>
      <c r="J3336">
        <v>-296.95339999999999</v>
      </c>
      <c r="K3336">
        <v>1.111192</v>
      </c>
      <c r="L3336">
        <v>214.1429</v>
      </c>
      <c r="M3336">
        <v>0.99973190000000001</v>
      </c>
      <c r="N3336">
        <v>0</v>
      </c>
      <c r="O3336">
        <v>1.8124020000000001E-2</v>
      </c>
      <c r="P3336">
        <v>0.99485109999999999</v>
      </c>
      <c r="Q3336">
        <v>9.1740950000000002E-2</v>
      </c>
      <c r="R3336">
        <v>-4.306782E-2</v>
      </c>
      <c r="S3336">
        <v>3.0220639999999999</v>
      </c>
      <c r="T3336">
        <v>-4.2814020000000001E-2</v>
      </c>
      <c r="U3336">
        <v>6.2347409999999999E-2</v>
      </c>
      <c r="V3336">
        <v>6.0811650000000002E-2</v>
      </c>
      <c r="W3336">
        <v>0.1062186</v>
      </c>
      <c r="X3336">
        <v>0.99248150000000002</v>
      </c>
      <c r="Y3336">
        <v>-2.5024840000000001E-3</v>
      </c>
      <c r="Z3336">
        <v>-2.390057E-4</v>
      </c>
      <c r="AA3336">
        <v>0.99999680000000002</v>
      </c>
      <c r="AB3336">
        <v>42</v>
      </c>
      <c r="AC3336">
        <v>78.022400000000005</v>
      </c>
      <c r="AD3336">
        <v>-1.111188833868</v>
      </c>
      <c r="AE3336">
        <v>1.6102999999999901</v>
      </c>
      <c r="AF3336">
        <v>-0.195769379813162</v>
      </c>
      <c r="AG3336">
        <v>-1.111188833868</v>
      </c>
      <c r="AH3336">
        <v>78.022951185941906</v>
      </c>
      <c r="AI3336">
        <v>90.815938453137306</v>
      </c>
      <c r="AJ3336">
        <v>90.143762002226595</v>
      </c>
      <c r="AK3336">
        <v>78.031109040167195</v>
      </c>
      <c r="AL3336">
        <v>83.902620070037102</v>
      </c>
      <c r="AM3336">
        <v>86.493737786958704</v>
      </c>
      <c r="AN3336">
        <v>0.99999998780196597</v>
      </c>
    </row>
    <row r="3337" spans="1:40" x14ac:dyDescent="0.25">
      <c r="A3337" t="str">
        <f>"20190312151052849"</f>
        <v>20190312151052849</v>
      </c>
      <c r="B3337" t="str">
        <f>"1552374652844218"</f>
        <v>1552374652844218</v>
      </c>
      <c r="C3337" t="s">
        <v>40</v>
      </c>
      <c r="D3337">
        <v>5.3679230000000002</v>
      </c>
      <c r="E3337">
        <v>0.47736990000000001</v>
      </c>
      <c r="F3337" t="s">
        <v>52</v>
      </c>
      <c r="G3337">
        <v>-273.61790000000002</v>
      </c>
      <c r="H3337" s="1">
        <v>3.920658E-7</v>
      </c>
      <c r="I3337">
        <v>214.53370000000001</v>
      </c>
      <c r="J3337">
        <v>-296.53410000000002</v>
      </c>
      <c r="K3337">
        <v>1.1111949999999999</v>
      </c>
      <c r="L3337">
        <v>214.15129999999999</v>
      </c>
      <c r="M3337">
        <v>0.99971410000000005</v>
      </c>
      <c r="N3337">
        <v>0</v>
      </c>
      <c r="O3337">
        <v>1.908193E-2</v>
      </c>
      <c r="P3337">
        <v>0.99481609999999998</v>
      </c>
      <c r="Q3337">
        <v>9.2093120000000001E-2</v>
      </c>
      <c r="R3337">
        <v>-4.3133100000000001E-2</v>
      </c>
      <c r="S3337">
        <v>3.0310359999999998</v>
      </c>
      <c r="T3337">
        <v>-0.14433170000000001</v>
      </c>
      <c r="U3337">
        <v>5.0765989999999997E-2</v>
      </c>
      <c r="V3337">
        <v>6.1827809999999997E-2</v>
      </c>
      <c r="W3337">
        <v>0.10657</v>
      </c>
      <c r="X3337">
        <v>0.99238099999999996</v>
      </c>
      <c r="Y3337">
        <v>2.313673E-3</v>
      </c>
      <c r="Z3337">
        <v>-9.6313200000000001E-4</v>
      </c>
      <c r="AA3337">
        <v>0.99999680000000002</v>
      </c>
      <c r="AB3337">
        <v>42</v>
      </c>
      <c r="AC3337">
        <v>22.9162</v>
      </c>
      <c r="AD3337">
        <v>-1.1111946079342001</v>
      </c>
      <c r="AE3337">
        <v>0.382400000000018</v>
      </c>
      <c r="AF3337">
        <v>5.4871382405937502E-2</v>
      </c>
      <c r="AG3337">
        <v>-1.1111946079342001</v>
      </c>
      <c r="AH3337">
        <v>22.8655770614048</v>
      </c>
      <c r="AI3337">
        <v>92.782196553082699</v>
      </c>
      <c r="AJ3337">
        <v>89.862505434062598</v>
      </c>
      <c r="AK3337">
        <v>22.892627168508898</v>
      </c>
      <c r="AL3337">
        <v>83.882371145440601</v>
      </c>
      <c r="AM3337">
        <v>86.434938066214201</v>
      </c>
      <c r="AN3337">
        <v>0.99999994607519604</v>
      </c>
    </row>
    <row r="3338" spans="1:40" x14ac:dyDescent="0.25">
      <c r="A3338" t="str">
        <f>"20190312151052871"</f>
        <v>20190312151052871</v>
      </c>
      <c r="B3338" t="str">
        <f>"1552374652864718"</f>
        <v>1552374652864718</v>
      </c>
      <c r="C3338" t="s">
        <v>40</v>
      </c>
      <c r="D3338">
        <v>5.3909580000000004</v>
      </c>
      <c r="E3338">
        <v>0.4773539</v>
      </c>
      <c r="F3338" t="s">
        <v>52</v>
      </c>
      <c r="G3338">
        <v>-260.03590000000003</v>
      </c>
      <c r="H3338" s="1">
        <v>-1.5259329999999999E-6</v>
      </c>
      <c r="I3338">
        <v>214.80529999999999</v>
      </c>
      <c r="J3338">
        <v>-296.10730000000001</v>
      </c>
      <c r="K3338">
        <v>1.111192</v>
      </c>
      <c r="L3338">
        <v>214.16030000000001</v>
      </c>
      <c r="M3338">
        <v>0.999695</v>
      </c>
      <c r="N3338">
        <v>0</v>
      </c>
      <c r="O3338">
        <v>2.0056879999999999E-2</v>
      </c>
      <c r="P3338">
        <v>0.9948342</v>
      </c>
      <c r="Q3338">
        <v>9.1963840000000005E-2</v>
      </c>
      <c r="R3338">
        <v>-4.2982109999999997E-2</v>
      </c>
      <c r="S3338">
        <v>3.0265200000000001</v>
      </c>
      <c r="T3338">
        <v>-9.2143180000000005E-2</v>
      </c>
      <c r="U3338">
        <v>5.4229739999999999E-2</v>
      </c>
      <c r="V3338">
        <v>6.2647540000000002E-2</v>
      </c>
      <c r="W3338">
        <v>0.1064396</v>
      </c>
      <c r="X3338">
        <v>0.99234370000000005</v>
      </c>
      <c r="Y3338">
        <v>2.1337650000000001E-3</v>
      </c>
      <c r="Z3338">
        <v>-6.4292329999999999E-4</v>
      </c>
      <c r="AA3338">
        <v>0.99999749999999998</v>
      </c>
      <c r="AB3338">
        <v>42</v>
      </c>
      <c r="AC3338">
        <v>36.071399999999898</v>
      </c>
      <c r="AD3338">
        <v>-1.1111935259329999</v>
      </c>
      <c r="AE3338">
        <v>0.64499999999998103</v>
      </c>
      <c r="AF3338">
        <v>7.8610060340597504E-2</v>
      </c>
      <c r="AG3338">
        <v>-1.1111935259329999</v>
      </c>
      <c r="AH3338">
        <v>36.0428876615563</v>
      </c>
      <c r="AI3338">
        <v>91.765851529126905</v>
      </c>
      <c r="AJ3338">
        <v>89.875037272665793</v>
      </c>
      <c r="AK3338">
        <v>36.060098191452902</v>
      </c>
      <c r="AL3338">
        <v>83.889885958131302</v>
      </c>
      <c r="AM3338">
        <v>86.387660416302296</v>
      </c>
      <c r="AN3338">
        <v>1.00000006082294</v>
      </c>
    </row>
    <row r="3339" spans="1:40" x14ac:dyDescent="0.25">
      <c r="A3339" t="str">
        <f>"20190312151052893"</f>
        <v>20190312151052893</v>
      </c>
      <c r="B3339" t="str">
        <f>"1552374652884238"</f>
        <v>1552374652884238</v>
      </c>
      <c r="C3339" t="s">
        <v>40</v>
      </c>
      <c r="D3339">
        <v>5.3370559999999996</v>
      </c>
      <c r="E3339">
        <v>0.47716429999999999</v>
      </c>
      <c r="F3339" t="s">
        <v>52</v>
      </c>
      <c r="G3339">
        <v>-253.26159999999999</v>
      </c>
      <c r="H3339" s="1">
        <v>1.8471909999999999E-7</v>
      </c>
      <c r="I3339">
        <v>214.94</v>
      </c>
      <c r="J3339">
        <v>-295.69200000000001</v>
      </c>
      <c r="K3339">
        <v>1.111194</v>
      </c>
      <c r="L3339">
        <v>214.1694</v>
      </c>
      <c r="M3339">
        <v>0.99967569999999994</v>
      </c>
      <c r="N3339">
        <v>0</v>
      </c>
      <c r="O3339">
        <v>2.100585E-2</v>
      </c>
      <c r="P3339">
        <v>0.99478109999999997</v>
      </c>
      <c r="Q3339">
        <v>9.2529680000000003E-2</v>
      </c>
      <c r="R3339">
        <v>-4.3002560000000002E-2</v>
      </c>
      <c r="S3339">
        <v>3.0251769999999998</v>
      </c>
      <c r="T3339">
        <v>-7.8457120000000005E-2</v>
      </c>
      <c r="U3339">
        <v>5.5053709999999999E-2</v>
      </c>
      <c r="V3339">
        <v>6.360905E-2</v>
      </c>
      <c r="W3339">
        <v>0.1070038</v>
      </c>
      <c r="X3339">
        <v>0.99222180000000004</v>
      </c>
      <c r="Y3339">
        <v>2.8050689999999999E-3</v>
      </c>
      <c r="Z3339">
        <v>-5.8100980000000001E-4</v>
      </c>
      <c r="AA3339">
        <v>0.99999590000000005</v>
      </c>
      <c r="AB3339">
        <v>42</v>
      </c>
      <c r="AC3339">
        <v>42.430399999999999</v>
      </c>
      <c r="AD3339">
        <v>-1.11119381528089</v>
      </c>
      <c r="AE3339">
        <v>0.77060000000000095</v>
      </c>
      <c r="AF3339">
        <v>0.12086618933648501</v>
      </c>
      <c r="AG3339">
        <v>-1.11119381528089</v>
      </c>
      <c r="AH3339">
        <v>42.408148908882701</v>
      </c>
      <c r="AI3339">
        <v>91.500935425131402</v>
      </c>
      <c r="AJ3339">
        <v>89.836703464725801</v>
      </c>
      <c r="AK3339">
        <v>42.422876543308703</v>
      </c>
      <c r="AL3339">
        <v>83.857373704427602</v>
      </c>
      <c r="AM3339">
        <v>86.331919314162107</v>
      </c>
      <c r="AN3339">
        <v>1.00000001242579</v>
      </c>
    </row>
    <row r="3340" spans="1:40" x14ac:dyDescent="0.25">
      <c r="A3340" t="str">
        <f>"20190312151052915"</f>
        <v>20190312151052915</v>
      </c>
      <c r="B3340" t="str">
        <f>"1552374652904730"</f>
        <v>1552374652904730</v>
      </c>
      <c r="C3340" t="s">
        <v>40</v>
      </c>
      <c r="D3340">
        <v>5.3902109999999999</v>
      </c>
      <c r="E3340">
        <v>0.47704220000000003</v>
      </c>
      <c r="F3340" t="s">
        <v>52</v>
      </c>
      <c r="G3340">
        <v>-249.40479999999999</v>
      </c>
      <c r="H3340" s="1">
        <v>3.4498270000000001E-6</v>
      </c>
      <c r="I3340">
        <v>215.03219999999999</v>
      </c>
      <c r="J3340">
        <v>-295.27019999999999</v>
      </c>
      <c r="K3340">
        <v>1.1112</v>
      </c>
      <c r="L3340">
        <v>214.17910000000001</v>
      </c>
      <c r="M3340">
        <v>0.99965490000000001</v>
      </c>
      <c r="N3340">
        <v>0</v>
      </c>
      <c r="O3340">
        <v>2.1970199999999999E-2</v>
      </c>
      <c r="P3340">
        <v>0.9947473</v>
      </c>
      <c r="Q3340">
        <v>9.2916410000000005E-2</v>
      </c>
      <c r="R3340">
        <v>-4.294833E-2</v>
      </c>
      <c r="S3340">
        <v>3.0249329999999999</v>
      </c>
      <c r="T3340">
        <v>-7.2618009999999997E-2</v>
      </c>
      <c r="U3340">
        <v>5.6381229999999997E-2</v>
      </c>
      <c r="V3340">
        <v>6.4511899999999997E-2</v>
      </c>
      <c r="W3340">
        <v>0.1073887</v>
      </c>
      <c r="X3340">
        <v>0.9921219</v>
      </c>
      <c r="Y3340">
        <v>3.3302739999999998E-3</v>
      </c>
      <c r="Z3340">
        <v>-5.6726620000000004E-4</v>
      </c>
      <c r="AA3340">
        <v>0.9999943</v>
      </c>
      <c r="AB3340">
        <v>42</v>
      </c>
      <c r="AC3340">
        <v>45.865400000000001</v>
      </c>
      <c r="AD3340">
        <v>-1.1111965501729999</v>
      </c>
      <c r="AE3340">
        <v>0.85309999999998298</v>
      </c>
      <c r="AF3340">
        <v>0.154791651665067</v>
      </c>
      <c r="AG3340">
        <v>-1.1111965501729999</v>
      </c>
      <c r="AH3340">
        <v>45.846170969797697</v>
      </c>
      <c r="AI3340">
        <v>91.388426682936</v>
      </c>
      <c r="AJ3340">
        <v>89.806551464249296</v>
      </c>
      <c r="AK3340">
        <v>45.8598965417549</v>
      </c>
      <c r="AL3340">
        <v>83.835192618951197</v>
      </c>
      <c r="AM3340">
        <v>86.279627193824297</v>
      </c>
      <c r="AN3340">
        <v>0.99999999129445405</v>
      </c>
    </row>
    <row r="3341" spans="1:40" x14ac:dyDescent="0.25">
      <c r="A3341" t="str">
        <f>"20190312151052938"</f>
        <v>20190312151052938</v>
      </c>
      <c r="B3341" t="str">
        <f>"1552374652934011"</f>
        <v>1552374652934011</v>
      </c>
      <c r="C3341" t="s">
        <v>40</v>
      </c>
      <c r="D3341">
        <v>5.3931060000000004</v>
      </c>
      <c r="E3341">
        <v>0.47825620000000002</v>
      </c>
      <c r="F3341" t="s">
        <v>52</v>
      </c>
      <c r="G3341">
        <v>-244.74979999999999</v>
      </c>
      <c r="H3341" s="1">
        <v>9.6773560000000004E-7</v>
      </c>
      <c r="I3341">
        <v>215.14449999999999</v>
      </c>
      <c r="J3341">
        <v>-294.8408</v>
      </c>
      <c r="K3341">
        <v>1.1112010000000001</v>
      </c>
      <c r="L3341">
        <v>214.1893</v>
      </c>
      <c r="M3341">
        <v>0.99963279999999999</v>
      </c>
      <c r="N3341">
        <v>0</v>
      </c>
      <c r="O3341">
        <v>2.2952009999999998E-2</v>
      </c>
      <c r="P3341">
        <v>0.99474790000000002</v>
      </c>
      <c r="Q3341">
        <v>9.312455E-2</v>
      </c>
      <c r="R3341">
        <v>-4.2479169999999997E-2</v>
      </c>
      <c r="S3341">
        <v>3.024597</v>
      </c>
      <c r="T3341">
        <v>-6.6526169999999996E-2</v>
      </c>
      <c r="U3341">
        <v>5.7800289999999997E-2</v>
      </c>
      <c r="V3341">
        <v>6.5018640000000003E-2</v>
      </c>
      <c r="W3341">
        <v>0.1075945</v>
      </c>
      <c r="X3341">
        <v>0.99206649999999996</v>
      </c>
      <c r="Y3341">
        <v>3.8421660000000002E-3</v>
      </c>
      <c r="Z3341">
        <v>-5.4696040000000001E-4</v>
      </c>
      <c r="AA3341">
        <v>0.99999249999999995</v>
      </c>
      <c r="AB3341">
        <v>42</v>
      </c>
      <c r="AC3341">
        <v>50.091000000000001</v>
      </c>
      <c r="AD3341">
        <v>-1.1112000322644</v>
      </c>
      <c r="AE3341">
        <v>0.95519999999998995</v>
      </c>
      <c r="AF3341">
        <v>0.19476428599838999</v>
      </c>
      <c r="AG3341">
        <v>-1.1112000322644</v>
      </c>
      <c r="AH3341">
        <v>50.0750940584823</v>
      </c>
      <c r="AI3341">
        <v>91.271213655392501</v>
      </c>
      <c r="AJ3341">
        <v>89.777152384298802</v>
      </c>
      <c r="AK3341">
        <v>50.087800347037202</v>
      </c>
      <c r="AL3341">
        <v>83.823332298576204</v>
      </c>
      <c r="AM3341">
        <v>86.250277974354503</v>
      </c>
      <c r="AN3341">
        <v>0.999999970199974</v>
      </c>
    </row>
    <row r="3342" spans="1:40" x14ac:dyDescent="0.25">
      <c r="A3342" t="str">
        <f>"20190312151052962"</f>
        <v>20190312151052962</v>
      </c>
      <c r="B3342" t="str">
        <f>"1552374652954506"</f>
        <v>1552374652954506</v>
      </c>
      <c r="C3342" t="s">
        <v>40</v>
      </c>
      <c r="D3342">
        <v>5.3826769999999904</v>
      </c>
      <c r="E3342">
        <v>0.47743659999999999</v>
      </c>
      <c r="F3342" t="s">
        <v>41</v>
      </c>
      <c r="G3342">
        <v>-293.74579999999997</v>
      </c>
      <c r="H3342">
        <v>1.038027</v>
      </c>
      <c r="I3342">
        <v>214.20769999999999</v>
      </c>
      <c r="J3342">
        <v>-294.40440000000001</v>
      </c>
      <c r="K3342">
        <v>1.1112</v>
      </c>
      <c r="L3342">
        <v>214.2003</v>
      </c>
      <c r="M3342">
        <v>0.99960950000000004</v>
      </c>
      <c r="N3342">
        <v>0</v>
      </c>
      <c r="O3342">
        <v>2.3950030000000001E-2</v>
      </c>
      <c r="P3342">
        <v>0.99472890000000003</v>
      </c>
      <c r="Q3342">
        <v>9.3652440000000003E-2</v>
      </c>
      <c r="R3342">
        <v>-4.1759530000000003E-2</v>
      </c>
      <c r="S3342">
        <v>3.0369869999999999</v>
      </c>
      <c r="T3342">
        <v>-0.20300599999999999</v>
      </c>
      <c r="U3342">
        <v>5.1086430000000002E-2</v>
      </c>
      <c r="V3342">
        <v>6.5289539999999993E-2</v>
      </c>
      <c r="W3342">
        <v>0.1081193</v>
      </c>
      <c r="X3342">
        <v>0.99199170000000003</v>
      </c>
      <c r="Y3342">
        <v>7.0657289999999998E-3</v>
      </c>
      <c r="Z3342">
        <v>-1.8348749999999999E-3</v>
      </c>
      <c r="AA3342">
        <v>0.99997340000000001</v>
      </c>
      <c r="AB3342">
        <v>42</v>
      </c>
      <c r="AC3342">
        <v>0.65860000000003505</v>
      </c>
      <c r="AD3342">
        <v>-7.3172999999999905E-2</v>
      </c>
      <c r="AE3342">
        <v>7.3999999999898496E-3</v>
      </c>
      <c r="AF3342">
        <v>8.2751119268589506E-3</v>
      </c>
      <c r="AG3342">
        <v>-7.3172999999999905E-2</v>
      </c>
      <c r="AH3342">
        <v>0.65055876726652195</v>
      </c>
      <c r="AI3342">
        <v>96.416979447055297</v>
      </c>
      <c r="AJ3342">
        <v>89.271236599038602</v>
      </c>
      <c r="AK3342">
        <v>0.65471327699515802</v>
      </c>
      <c r="AL3342">
        <v>83.793087344448097</v>
      </c>
      <c r="AM3342">
        <v>86.234416515372004</v>
      </c>
      <c r="AN3342">
        <v>1.00000001996739</v>
      </c>
    </row>
    <row r="3343" spans="1:40" x14ac:dyDescent="0.25">
      <c r="A3343" t="str">
        <f>"20190312151052983"</f>
        <v>20190312151052983</v>
      </c>
      <c r="B3343" t="str">
        <f>"1552374652974043"</f>
        <v>1552374652974043</v>
      </c>
      <c r="C3343" t="s">
        <v>40</v>
      </c>
      <c r="D3343">
        <v>5.3865489999999996</v>
      </c>
      <c r="E3343">
        <v>0.4778211</v>
      </c>
      <c r="F3343" t="s">
        <v>41</v>
      </c>
      <c r="G3343">
        <v>-293.36669999999998</v>
      </c>
      <c r="H3343">
        <v>1.0417879999999999</v>
      </c>
      <c r="I3343">
        <v>214.2208</v>
      </c>
      <c r="J3343">
        <v>-293.99849999999998</v>
      </c>
      <c r="K3343">
        <v>1.111191</v>
      </c>
      <c r="L3343">
        <v>214.21080000000001</v>
      </c>
      <c r="M3343">
        <v>0.99958689999999994</v>
      </c>
      <c r="N3343">
        <v>0</v>
      </c>
      <c r="O3343">
        <v>2.4878620000000001E-2</v>
      </c>
      <c r="P3343">
        <v>0.9947298</v>
      </c>
      <c r="Q3343">
        <v>9.4012330000000005E-2</v>
      </c>
      <c r="R3343">
        <v>-4.0924040000000002E-2</v>
      </c>
      <c r="S3343">
        <v>3.0375369999999999</v>
      </c>
      <c r="T3343">
        <v>-0.20314360000000001</v>
      </c>
      <c r="U3343">
        <v>5.9951780000000003E-2</v>
      </c>
      <c r="V3343">
        <v>6.5376589999999998E-2</v>
      </c>
      <c r="W3343">
        <v>0.10847619999999999</v>
      </c>
      <c r="X3343">
        <v>0.99194700000000002</v>
      </c>
      <c r="Y3343">
        <v>5.0824340000000003E-3</v>
      </c>
      <c r="Z3343">
        <v>-1.8314939999999999E-3</v>
      </c>
      <c r="AA3343">
        <v>0.99998540000000002</v>
      </c>
      <c r="AB3343">
        <v>42</v>
      </c>
      <c r="AC3343">
        <v>0.63179999999999803</v>
      </c>
      <c r="AD3343">
        <v>-6.9403000000000103E-2</v>
      </c>
      <c r="AE3343">
        <v>9.9999999999908998E-3</v>
      </c>
      <c r="AF3343">
        <v>5.6548164651271096E-3</v>
      </c>
      <c r="AG3343">
        <v>-6.9403000000000103E-2</v>
      </c>
      <c r="AH3343">
        <v>0.62432145200615896</v>
      </c>
      <c r="AI3343">
        <v>96.343011339353197</v>
      </c>
      <c r="AJ3343">
        <v>89.481055381596093</v>
      </c>
      <c r="AK3343">
        <v>0.62819266852879896</v>
      </c>
      <c r="AL3343">
        <v>83.772517485048596</v>
      </c>
      <c r="AM3343">
        <v>86.229240944346898</v>
      </c>
      <c r="AN3343">
        <v>1.0000000176477299</v>
      </c>
    </row>
    <row r="3344" spans="1:40" x14ac:dyDescent="0.25">
      <c r="A3344" t="str">
        <f>"20190312151053005"</f>
        <v>20190312151053005</v>
      </c>
      <c r="B3344" t="str">
        <f>"1552374652994522"</f>
        <v>1552374652994522</v>
      </c>
      <c r="C3344" t="s">
        <v>40</v>
      </c>
      <c r="D3344">
        <v>5.3476990000000004</v>
      </c>
      <c r="E3344">
        <v>0.47795969999999999</v>
      </c>
      <c r="F3344" t="s">
        <v>50</v>
      </c>
      <c r="G3344">
        <v>-208.21539999999999</v>
      </c>
      <c r="H3344" s="1">
        <v>5.7523279999999999E-6</v>
      </c>
      <c r="I3344">
        <v>215.84979999999999</v>
      </c>
      <c r="J3344">
        <v>-293.58139999999997</v>
      </c>
      <c r="K3344">
        <v>1.111189</v>
      </c>
      <c r="L3344">
        <v>214.22200000000001</v>
      </c>
      <c r="M3344">
        <v>0.99956270000000003</v>
      </c>
      <c r="N3344">
        <v>0</v>
      </c>
      <c r="O3344">
        <v>2.5833720000000001E-2</v>
      </c>
      <c r="P3344">
        <v>0.99475480000000005</v>
      </c>
      <c r="Q3344">
        <v>9.4215779999999999E-2</v>
      </c>
      <c r="R3344">
        <v>-3.9829969999999999E-2</v>
      </c>
      <c r="S3344">
        <v>3.021973</v>
      </c>
      <c r="T3344">
        <v>-3.9144869999999998E-2</v>
      </c>
      <c r="U3344">
        <v>5.7739260000000001E-2</v>
      </c>
      <c r="V3344">
        <v>6.5232830000000006E-2</v>
      </c>
      <c r="W3344">
        <v>0.1086763</v>
      </c>
      <c r="X3344">
        <v>0.99193450000000005</v>
      </c>
      <c r="Y3344">
        <v>6.7323369999999997E-3</v>
      </c>
      <c r="Z3344">
        <v>-3.7817409999999998E-4</v>
      </c>
      <c r="AA3344">
        <v>0.99997729999999996</v>
      </c>
      <c r="AB3344">
        <v>42</v>
      </c>
      <c r="AC3344">
        <v>85.3659999999999</v>
      </c>
      <c r="AD3344">
        <v>-1.1111832476719901</v>
      </c>
      <c r="AE3344">
        <v>1.6277999999999699</v>
      </c>
      <c r="AF3344">
        <v>0.578195112376933</v>
      </c>
      <c r="AG3344">
        <v>-1.1111832476719901</v>
      </c>
      <c r="AH3344">
        <v>85.365101476414793</v>
      </c>
      <c r="AI3344">
        <v>90.7457503560519</v>
      </c>
      <c r="AJ3344">
        <v>89.6119300215571</v>
      </c>
      <c r="AK3344">
        <v>85.374291141282598</v>
      </c>
      <c r="AL3344">
        <v>83.760984033359904</v>
      </c>
      <c r="AM3344">
        <v>86.237461543131701</v>
      </c>
      <c r="AN3344">
        <v>0.99999995629087302</v>
      </c>
    </row>
    <row r="3345" spans="1:40" x14ac:dyDescent="0.25">
      <c r="A3345" t="str">
        <f>"20190312151053026"</f>
        <v>20190312151053026</v>
      </c>
      <c r="B3345" t="str">
        <f>"1552374653014042"</f>
        <v>1552374653014042</v>
      </c>
      <c r="C3345" t="s">
        <v>40</v>
      </c>
      <c r="D3345">
        <v>5.3983400000000001</v>
      </c>
      <c r="E3345">
        <v>0.47443079999999999</v>
      </c>
      <c r="F3345" t="s">
        <v>52</v>
      </c>
      <c r="G3345">
        <v>-210.12950000000001</v>
      </c>
      <c r="H3345" s="1">
        <v>-1.5233150000000001E-6</v>
      </c>
      <c r="I3345">
        <v>215.8852</v>
      </c>
      <c r="J3345">
        <v>-293.19110000000001</v>
      </c>
      <c r="K3345">
        <v>1.111194</v>
      </c>
      <c r="L3345">
        <v>214.2329</v>
      </c>
      <c r="M3345">
        <v>0.99953930000000002</v>
      </c>
      <c r="N3345">
        <v>0</v>
      </c>
      <c r="O3345">
        <v>2.6727319999999999E-2</v>
      </c>
      <c r="P3345">
        <v>0.9947471</v>
      </c>
      <c r="Q3345">
        <v>9.4789910000000005E-2</v>
      </c>
      <c r="R3345">
        <v>-3.8643230000000001E-2</v>
      </c>
      <c r="S3345">
        <v>3.0220340000000001</v>
      </c>
      <c r="T3345">
        <v>-4.0239450000000003E-2</v>
      </c>
      <c r="U3345">
        <v>6.0226439999999999E-2</v>
      </c>
      <c r="V3345">
        <v>6.4933179999999993E-2</v>
      </c>
      <c r="W3345">
        <v>0.1092465</v>
      </c>
      <c r="X3345">
        <v>0.99189159999999998</v>
      </c>
      <c r="Y3345">
        <v>6.8037769999999996E-3</v>
      </c>
      <c r="Z3345">
        <v>-4.0110489999999998E-4</v>
      </c>
      <c r="AA3345">
        <v>0.9999768</v>
      </c>
      <c r="AB3345">
        <v>42</v>
      </c>
      <c r="AC3345">
        <v>83.061599999999999</v>
      </c>
      <c r="AD3345">
        <v>-1.1111955233149999</v>
      </c>
      <c r="AE3345">
        <v>1.6522999999999901</v>
      </c>
      <c r="AF3345">
        <v>0.56843228569354098</v>
      </c>
      <c r="AG3345">
        <v>-1.1111955233149999</v>
      </c>
      <c r="AH3345">
        <v>83.061227574223906</v>
      </c>
      <c r="AI3345">
        <v>90.766440940214395</v>
      </c>
      <c r="AJ3345">
        <v>89.607900539959999</v>
      </c>
      <c r="AK3345">
        <v>83.070604890607797</v>
      </c>
      <c r="AL3345">
        <v>83.728118764503805</v>
      </c>
      <c r="AM3345">
        <v>86.254534105260205</v>
      </c>
      <c r="AN3345">
        <v>1.0000000308888599</v>
      </c>
    </row>
    <row r="3346" spans="1:40" x14ac:dyDescent="0.25">
      <c r="A3346" t="str">
        <f>"20190312151053050"</f>
        <v>20190312151053050</v>
      </c>
      <c r="B3346" t="str">
        <f>"1552374653044298"</f>
        <v>1552374653044298</v>
      </c>
      <c r="C3346" t="s">
        <v>40</v>
      </c>
      <c r="D3346">
        <v>5.2752939999999997</v>
      </c>
      <c r="E3346">
        <v>0.47769240000000002</v>
      </c>
      <c r="F3346" t="s">
        <v>52</v>
      </c>
      <c r="G3346">
        <v>-266.50279999999998</v>
      </c>
      <c r="H3346" s="1">
        <v>1.9045360000000001E-6</v>
      </c>
      <c r="I3346">
        <v>215.05459999999999</v>
      </c>
      <c r="J3346">
        <v>-292.75330000000002</v>
      </c>
      <c r="K3346">
        <v>1.111199</v>
      </c>
      <c r="L3346">
        <v>214.24549999999999</v>
      </c>
      <c r="M3346">
        <v>0.99951199999999996</v>
      </c>
      <c r="N3346">
        <v>0</v>
      </c>
      <c r="O3346">
        <v>2.772993E-2</v>
      </c>
      <c r="P3346">
        <v>0.99472640000000001</v>
      </c>
      <c r="Q3346">
        <v>9.545729E-2</v>
      </c>
      <c r="R3346">
        <v>-3.7516939999999999E-2</v>
      </c>
      <c r="S3346">
        <v>3.0315249999999998</v>
      </c>
      <c r="T3346">
        <v>-0.12622059999999999</v>
      </c>
      <c r="U3346">
        <v>9.3338009999999999E-2</v>
      </c>
      <c r="V3346">
        <v>6.4801780000000003E-2</v>
      </c>
      <c r="W3346">
        <v>0.10990999999999999</v>
      </c>
      <c r="X3346">
        <v>0.99182680000000001</v>
      </c>
      <c r="Y3346">
        <v>-3.0643910000000001E-3</v>
      </c>
      <c r="Z3346">
        <v>-1.0899239999999999E-3</v>
      </c>
      <c r="AA3346">
        <v>0.99999470000000001</v>
      </c>
      <c r="AB3346">
        <v>42</v>
      </c>
      <c r="AC3346">
        <v>26.250499999999999</v>
      </c>
      <c r="AD3346">
        <v>-1.111197095464</v>
      </c>
      <c r="AE3346">
        <v>0.80910000000000004</v>
      </c>
      <c r="AF3346">
        <v>-8.0644618566578993E-2</v>
      </c>
      <c r="AG3346">
        <v>-1.111197095464</v>
      </c>
      <c r="AH3346">
        <v>26.215910951821801</v>
      </c>
      <c r="AI3346">
        <v>92.427095369114397</v>
      </c>
      <c r="AJ3346">
        <v>90.176251045338304</v>
      </c>
      <c r="AK3346">
        <v>26.239574111889102</v>
      </c>
      <c r="AL3346">
        <v>83.689872128186096</v>
      </c>
      <c r="AM3346">
        <v>86.261848471042001</v>
      </c>
      <c r="AN3346">
        <v>0.99999993999470205</v>
      </c>
    </row>
    <row r="3347" spans="1:40" x14ac:dyDescent="0.25">
      <c r="A3347" t="str">
        <f>"20190312151053072"</f>
        <v>20190312151053072</v>
      </c>
      <c r="B3347" t="str">
        <f>"1552374653063838"</f>
        <v>1552374653063838</v>
      </c>
      <c r="C3347" t="s">
        <v>40</v>
      </c>
      <c r="D3347">
        <v>5.2947850000000001</v>
      </c>
      <c r="E3347">
        <v>0.47751280000000002</v>
      </c>
      <c r="F3347" t="s">
        <v>52</v>
      </c>
      <c r="G3347">
        <v>-238.15110000000001</v>
      </c>
      <c r="H3347" s="1">
        <v>2.7617059999999999E-6</v>
      </c>
      <c r="I3347">
        <v>215.51159999999999</v>
      </c>
      <c r="J3347">
        <v>-292.33850000000001</v>
      </c>
      <c r="K3347">
        <v>1.111202</v>
      </c>
      <c r="L3347">
        <v>214.2578</v>
      </c>
      <c r="M3347">
        <v>0.99948510000000002</v>
      </c>
      <c r="N3347">
        <v>0</v>
      </c>
      <c r="O3347">
        <v>2.8679969999999999E-2</v>
      </c>
      <c r="P3347">
        <v>0.9947262</v>
      </c>
      <c r="Q3347">
        <v>9.5978450000000007E-2</v>
      </c>
      <c r="R3347">
        <v>-3.6168119999999998E-2</v>
      </c>
      <c r="S3347">
        <v>3.0244140000000002</v>
      </c>
      <c r="T3347">
        <v>-6.1549189999999997E-2</v>
      </c>
      <c r="U3347">
        <v>7.012939E-2</v>
      </c>
      <c r="V3347">
        <v>6.4396759999999997E-2</v>
      </c>
      <c r="W3347">
        <v>0.1104271</v>
      </c>
      <c r="X3347">
        <v>0.99179580000000001</v>
      </c>
      <c r="Y3347">
        <v>5.4961690000000004E-3</v>
      </c>
      <c r="Z3347">
        <v>-6.3938530000000001E-4</v>
      </c>
      <c r="AA3347">
        <v>0.99998469999999995</v>
      </c>
      <c r="AB3347">
        <v>42</v>
      </c>
      <c r="AC3347">
        <v>54.187399999999997</v>
      </c>
      <c r="AD3347">
        <v>-1.1111992382939999</v>
      </c>
      <c r="AE3347">
        <v>1.25379999999998</v>
      </c>
      <c r="AF3347">
        <v>0.300843296005876</v>
      </c>
      <c r="AG3347">
        <v>-1.1111992382939999</v>
      </c>
      <c r="AH3347">
        <v>54.1782969005301</v>
      </c>
      <c r="AI3347">
        <v>91.174956096752496</v>
      </c>
      <c r="AJ3347">
        <v>89.681849098571504</v>
      </c>
      <c r="AK3347">
        <v>54.190526159818099</v>
      </c>
      <c r="AL3347">
        <v>83.660063397339002</v>
      </c>
      <c r="AM3347">
        <v>86.285031014694397</v>
      </c>
      <c r="AN3347">
        <v>0.99999999800527295</v>
      </c>
    </row>
    <row r="3348" spans="1:40" x14ac:dyDescent="0.25">
      <c r="A3348" t="str">
        <f>"20190312151053094"</f>
        <v>20190312151053094</v>
      </c>
      <c r="B3348" t="str">
        <f>"1552374653084314"</f>
        <v>1552374653084314</v>
      </c>
      <c r="C3348" t="s">
        <v>40</v>
      </c>
      <c r="D3348">
        <v>5.255878</v>
      </c>
      <c r="E3348">
        <v>0.47182819999999998</v>
      </c>
      <c r="F3348" t="s">
        <v>52</v>
      </c>
      <c r="G3348">
        <v>-236.1413</v>
      </c>
      <c r="H3348" s="1">
        <v>1.6854040000000001E-6</v>
      </c>
      <c r="I3348">
        <v>215.6661</v>
      </c>
      <c r="J3348">
        <v>-291.9169</v>
      </c>
      <c r="K3348">
        <v>1.1112040000000001</v>
      </c>
      <c r="L3348">
        <v>214.27080000000001</v>
      </c>
      <c r="M3348">
        <v>0.99945709999999999</v>
      </c>
      <c r="N3348">
        <v>0</v>
      </c>
      <c r="O3348">
        <v>2.9642640000000001E-2</v>
      </c>
      <c r="P3348">
        <v>0.99474530000000005</v>
      </c>
      <c r="Q3348">
        <v>9.6153649999999993E-2</v>
      </c>
      <c r="R3348">
        <v>-3.5163409999999999E-2</v>
      </c>
      <c r="S3348">
        <v>3.0244450000000001</v>
      </c>
      <c r="T3348">
        <v>-5.9803009999999997E-2</v>
      </c>
      <c r="U3348">
        <v>7.5790410000000002E-2</v>
      </c>
      <c r="V3348">
        <v>6.4350180000000007E-2</v>
      </c>
      <c r="W3348">
        <v>0.11059910000000001</v>
      </c>
      <c r="X3348">
        <v>0.99177969999999904</v>
      </c>
      <c r="Y3348">
        <v>4.5893059999999996E-3</v>
      </c>
      <c r="Z3348">
        <v>-6.312841E-4</v>
      </c>
      <c r="AA3348">
        <v>0.99998929999999997</v>
      </c>
      <c r="AB3348">
        <v>42</v>
      </c>
      <c r="AC3348">
        <v>55.775599999999997</v>
      </c>
      <c r="AD3348">
        <v>-1.1112023145959999</v>
      </c>
      <c r="AE3348">
        <v>1.39529999999999</v>
      </c>
      <c r="AF3348">
        <v>0.25871768107036802</v>
      </c>
      <c r="AG3348">
        <v>-1.1112023145959999</v>
      </c>
      <c r="AH3348">
        <v>55.770327325962803</v>
      </c>
      <c r="AI3348">
        <v>91.141433052323706</v>
      </c>
      <c r="AJ3348">
        <v>89.734207676580496</v>
      </c>
      <c r="AK3348">
        <v>55.781996338133197</v>
      </c>
      <c r="AL3348">
        <v>83.650148054317796</v>
      </c>
      <c r="AM3348">
        <v>86.287650545492397</v>
      </c>
      <c r="AN3348">
        <v>1.00000003995946</v>
      </c>
    </row>
    <row r="3349" spans="1:40" x14ac:dyDescent="0.25">
      <c r="A3349" t="str">
        <f>"20190312151053117"</f>
        <v>20190312151053117</v>
      </c>
      <c r="B3349" t="str">
        <f>"1552374653103834"</f>
        <v>1552374653103834</v>
      </c>
      <c r="C3349" t="s">
        <v>40</v>
      </c>
      <c r="D3349">
        <v>5.1650049999999998</v>
      </c>
      <c r="E3349">
        <v>0.46960489999999999</v>
      </c>
      <c r="F3349" t="s">
        <v>52</v>
      </c>
      <c r="G3349">
        <v>-250.422</v>
      </c>
      <c r="H3349" s="1">
        <v>-1.371694E-6</v>
      </c>
      <c r="I3349">
        <v>215.97720000000001</v>
      </c>
      <c r="J3349">
        <v>-291.4991</v>
      </c>
      <c r="K3349">
        <v>1.111202</v>
      </c>
      <c r="L3349">
        <v>214.28399999999999</v>
      </c>
      <c r="M3349">
        <v>0.9994286</v>
      </c>
      <c r="N3349">
        <v>0</v>
      </c>
      <c r="O3349">
        <v>3.058808E-2</v>
      </c>
      <c r="P3349">
        <v>0.99480659999999999</v>
      </c>
      <c r="Q3349">
        <v>9.5848219999999998E-2</v>
      </c>
      <c r="R3349">
        <v>-3.4255550000000003E-2</v>
      </c>
      <c r="S3349">
        <v>3.0280459999999998</v>
      </c>
      <c r="T3349">
        <v>-8.1089019999999998E-2</v>
      </c>
      <c r="U3349">
        <v>0.124527</v>
      </c>
      <c r="V3349">
        <v>6.4386360000000004E-2</v>
      </c>
      <c r="W3349">
        <v>0.1102906</v>
      </c>
      <c r="X3349">
        <v>0.99181169999999996</v>
      </c>
      <c r="Y3349">
        <v>-1.051235E-2</v>
      </c>
      <c r="Z3349">
        <v>-6.7782369999999897E-4</v>
      </c>
      <c r="AA3349">
        <v>0.99994450000000001</v>
      </c>
      <c r="AB3349">
        <v>42</v>
      </c>
      <c r="AC3349">
        <v>41.077100000000002</v>
      </c>
      <c r="AD3349">
        <v>-1.111203371694</v>
      </c>
      <c r="AE3349">
        <v>1.69319999999999</v>
      </c>
      <c r="AF3349">
        <v>-0.435489811446163</v>
      </c>
      <c r="AG3349">
        <v>-1.111203371694</v>
      </c>
      <c r="AH3349">
        <v>41.079661354082603</v>
      </c>
      <c r="AI3349">
        <v>91.549383928229801</v>
      </c>
      <c r="AJ3349">
        <v>90.607375833614995</v>
      </c>
      <c r="AK3349">
        <v>41.096995039482501</v>
      </c>
      <c r="AL3349">
        <v>83.667932565303502</v>
      </c>
      <c r="AM3349">
        <v>86.285688677455994</v>
      </c>
      <c r="AN3349">
        <v>1.00000003402964</v>
      </c>
    </row>
    <row r="3350" spans="1:40" x14ac:dyDescent="0.25">
      <c r="A3350" t="str">
        <f>"20190312151053140"</f>
        <v>20190312151053140</v>
      </c>
      <c r="B3350" t="str">
        <f>"1552374653134091"</f>
        <v>1552374653134091</v>
      </c>
      <c r="C3350" t="s">
        <v>40</v>
      </c>
      <c r="D3350">
        <v>5.253012</v>
      </c>
      <c r="E3350">
        <v>0.46819939999999999</v>
      </c>
      <c r="F3350" t="s">
        <v>52</v>
      </c>
      <c r="G3350">
        <v>-261.5847</v>
      </c>
      <c r="H3350" s="1">
        <v>-7.4163290000000004E-7</v>
      </c>
      <c r="I3350">
        <v>215.71799999999999</v>
      </c>
      <c r="J3350">
        <v>-291.07339999999999</v>
      </c>
      <c r="K3350">
        <v>1.1111850000000001</v>
      </c>
      <c r="L3350">
        <v>214.2979</v>
      </c>
      <c r="M3350">
        <v>0.99939940000000005</v>
      </c>
      <c r="N3350">
        <v>0</v>
      </c>
      <c r="O3350">
        <v>3.1529540000000002E-2</v>
      </c>
      <c r="P3350">
        <v>0.99482720000000002</v>
      </c>
      <c r="Q3350">
        <v>9.5967520000000001E-2</v>
      </c>
      <c r="R3350">
        <v>-3.3306290000000002E-2</v>
      </c>
      <c r="S3350">
        <v>3.0315249999999998</v>
      </c>
      <c r="T3350">
        <v>-0.1126095</v>
      </c>
      <c r="U3350">
        <v>0.1453247</v>
      </c>
      <c r="V3350">
        <v>6.4377569999999995E-2</v>
      </c>
      <c r="W3350">
        <v>0.1104048</v>
      </c>
      <c r="X3350">
        <v>0.99179949999999995</v>
      </c>
      <c r="Y3350">
        <v>-1.6372830000000001E-2</v>
      </c>
      <c r="Z3350">
        <v>-8.660664E-4</v>
      </c>
      <c r="AA3350">
        <v>0.99986560000000002</v>
      </c>
      <c r="AB3350">
        <v>42</v>
      </c>
      <c r="AC3350">
        <v>29.488699999999898</v>
      </c>
      <c r="AD3350">
        <v>-1.1111857416328901</v>
      </c>
      <c r="AE3350">
        <v>1.4200999999999899</v>
      </c>
      <c r="AF3350">
        <v>-0.48884003940889298</v>
      </c>
      <c r="AG3350">
        <v>-1.1111857416328901</v>
      </c>
      <c r="AH3350">
        <v>29.4770574717835</v>
      </c>
      <c r="AI3350">
        <v>92.158539098112101</v>
      </c>
      <c r="AJ3350">
        <v>90.950091573071504</v>
      </c>
      <c r="AK3350">
        <v>29.502044260209601</v>
      </c>
      <c r="AL3350">
        <v>83.661348774232096</v>
      </c>
      <c r="AM3350">
        <v>86.286148779355003</v>
      </c>
      <c r="AN3350">
        <v>0.99999996979119699</v>
      </c>
    </row>
    <row r="3351" spans="1:40" x14ac:dyDescent="0.25">
      <c r="A3351" t="str">
        <f>"20190312151053162"</f>
        <v>20190312151053162</v>
      </c>
      <c r="B3351" t="str">
        <f>"1552374653154586"</f>
        <v>1552374653154586</v>
      </c>
      <c r="C3351" t="s">
        <v>40</v>
      </c>
      <c r="D3351">
        <v>5.1759110000000002</v>
      </c>
      <c r="E3351">
        <v>0.46706150000000002</v>
      </c>
      <c r="F3351" t="s">
        <v>52</v>
      </c>
      <c r="G3351">
        <v>-264.68180000000001</v>
      </c>
      <c r="H3351" s="1">
        <v>9.0777919999999995E-7</v>
      </c>
      <c r="I3351">
        <v>215.68809999999999</v>
      </c>
      <c r="J3351">
        <v>-290.65339999999998</v>
      </c>
      <c r="K3351">
        <v>1.111167</v>
      </c>
      <c r="L3351">
        <v>214.31200000000001</v>
      </c>
      <c r="M3351">
        <v>0.99937089999999995</v>
      </c>
      <c r="N3351">
        <v>0</v>
      </c>
      <c r="O3351">
        <v>3.2422199999999998E-2</v>
      </c>
      <c r="P3351">
        <v>0.99487130000000001</v>
      </c>
      <c r="Q3351">
        <v>9.5874280000000006E-2</v>
      </c>
      <c r="R3351">
        <v>-3.2242020000000003E-2</v>
      </c>
      <c r="S3351">
        <v>3.0332949999999999</v>
      </c>
      <c r="T3351">
        <v>-0.12771299999999999</v>
      </c>
      <c r="U3351">
        <v>0.15978999999999999</v>
      </c>
      <c r="V3351">
        <v>6.4209429999999998E-2</v>
      </c>
      <c r="W3351">
        <v>0.11030479999999999</v>
      </c>
      <c r="X3351">
        <v>0.99182150000000002</v>
      </c>
      <c r="Y3351">
        <v>-2.0208230000000001E-2</v>
      </c>
      <c r="Z3351">
        <v>-9.3827899999999998E-4</v>
      </c>
      <c r="AA3351">
        <v>0.9997954</v>
      </c>
      <c r="AB3351">
        <v>42</v>
      </c>
      <c r="AC3351">
        <v>25.971599999999899</v>
      </c>
      <c r="AD3351">
        <v>-1.1111660922208</v>
      </c>
      <c r="AE3351">
        <v>1.3760999999999699</v>
      </c>
      <c r="AF3351">
        <v>-0.53226141677874295</v>
      </c>
      <c r="AG3351">
        <v>-1.1111660922208</v>
      </c>
      <c r="AH3351">
        <v>25.955186767646399</v>
      </c>
      <c r="AI3351">
        <v>92.450874965792593</v>
      </c>
      <c r="AJ3351">
        <v>91.174796359976696</v>
      </c>
      <c r="AK3351">
        <v>25.984412874715801</v>
      </c>
      <c r="AL3351">
        <v>83.667113397143297</v>
      </c>
      <c r="AM3351">
        <v>86.295903433720497</v>
      </c>
      <c r="AN3351">
        <v>0.99999994383310598</v>
      </c>
    </row>
    <row r="3352" spans="1:40" x14ac:dyDescent="0.25">
      <c r="A3352" t="str">
        <f>"20190312151053182"</f>
        <v>20190312151053182</v>
      </c>
      <c r="B3352" t="str">
        <f>"1552374653174106"</f>
        <v>1552374653174106</v>
      </c>
      <c r="C3352" t="s">
        <v>40</v>
      </c>
      <c r="D3352">
        <v>5.251798</v>
      </c>
      <c r="E3352">
        <v>0.46636840000000002</v>
      </c>
      <c r="F3352" t="s">
        <v>52</v>
      </c>
      <c r="G3352">
        <v>-264.97250000000003</v>
      </c>
      <c r="H3352" s="1">
        <v>1.059062E-6</v>
      </c>
      <c r="I3352">
        <v>215.76609999999999</v>
      </c>
      <c r="J3352">
        <v>-290.26260000000002</v>
      </c>
      <c r="K3352">
        <v>1.1111340000000001</v>
      </c>
      <c r="L3352">
        <v>214.3253</v>
      </c>
      <c r="M3352">
        <v>0.99934480000000003</v>
      </c>
      <c r="N3352">
        <v>0</v>
      </c>
      <c r="O3352">
        <v>3.3219539999999999E-2</v>
      </c>
      <c r="P3352">
        <v>0.99487820000000005</v>
      </c>
      <c r="Q3352">
        <v>9.6389920000000004E-2</v>
      </c>
      <c r="R3352">
        <v>-3.0436899999999999E-2</v>
      </c>
      <c r="S3352">
        <v>3.0336910000000001</v>
      </c>
      <c r="T3352">
        <v>-0.1312622</v>
      </c>
      <c r="U3352">
        <v>0.171783399999999</v>
      </c>
      <c r="V3352">
        <v>6.3205070000000002E-2</v>
      </c>
      <c r="W3352">
        <v>0.11081100000000001</v>
      </c>
      <c r="X3352">
        <v>0.99182959999999998</v>
      </c>
      <c r="Y3352">
        <v>-2.334282E-2</v>
      </c>
      <c r="Z3352">
        <v>-9.3077980000000002E-4</v>
      </c>
      <c r="AA3352">
        <v>0.99972709999999998</v>
      </c>
      <c r="AB3352">
        <v>42</v>
      </c>
      <c r="AC3352">
        <v>25.290099999999899</v>
      </c>
      <c r="AD3352">
        <v>-1.111132940938</v>
      </c>
      <c r="AE3352">
        <v>1.4407999999999901</v>
      </c>
      <c r="AF3352">
        <v>-0.59864057715734798</v>
      </c>
      <c r="AG3352">
        <v>-1.111132940938</v>
      </c>
      <c r="AH3352">
        <v>25.2753747263341</v>
      </c>
      <c r="AI3352">
        <v>92.516459212032402</v>
      </c>
      <c r="AJ3352">
        <v>91.356781745270496</v>
      </c>
      <c r="AK3352">
        <v>25.306867734069002</v>
      </c>
      <c r="AL3352">
        <v>83.637931460814301</v>
      </c>
      <c r="AM3352">
        <v>86.353714836398296</v>
      </c>
      <c r="AN3352">
        <v>0.99999995701543098</v>
      </c>
    </row>
    <row r="3353" spans="1:40" x14ac:dyDescent="0.25">
      <c r="A3353" t="str">
        <f>"20190312151053206"</f>
        <v>20190312151053206</v>
      </c>
      <c r="B3353" t="str">
        <f>"1552374653194602"</f>
        <v>1552374653194602</v>
      </c>
      <c r="C3353" t="s">
        <v>40</v>
      </c>
      <c r="D3353">
        <v>5.1760320000000002</v>
      </c>
      <c r="E3353">
        <v>0.46574979999999999</v>
      </c>
      <c r="F3353" t="s">
        <v>52</v>
      </c>
      <c r="G3353">
        <v>-264.91129999999998</v>
      </c>
      <c r="H3353" s="1">
        <v>1.0226740000000001E-6</v>
      </c>
      <c r="I3353">
        <v>215.85400000000001</v>
      </c>
      <c r="J3353">
        <v>-289.83969999999999</v>
      </c>
      <c r="K3353">
        <v>1.111097</v>
      </c>
      <c r="L3353">
        <v>214.34010000000001</v>
      </c>
      <c r="M3353">
        <v>0.99931760000000003</v>
      </c>
      <c r="N3353">
        <v>0</v>
      </c>
      <c r="O3353">
        <v>3.4027300000000003E-2</v>
      </c>
      <c r="P3353">
        <v>0.99487650000000005</v>
      </c>
      <c r="Q3353">
        <v>9.697915E-2</v>
      </c>
      <c r="R3353">
        <v>-2.8566890000000001E-2</v>
      </c>
      <c r="S3353">
        <v>3.0339360000000002</v>
      </c>
      <c r="T3353">
        <v>-0.1329756</v>
      </c>
      <c r="U3353">
        <v>0.1829529</v>
      </c>
      <c r="V3353">
        <v>6.2149120000000002E-2</v>
      </c>
      <c r="W3353">
        <v>0.11138770000000001</v>
      </c>
      <c r="X3353">
        <v>0.99183180000000004</v>
      </c>
      <c r="Y3353">
        <v>-2.6196339999999999E-2</v>
      </c>
      <c r="Z3353">
        <v>-9.1559680000000002E-4</v>
      </c>
      <c r="AA3353">
        <v>0.9996564</v>
      </c>
      <c r="AB3353">
        <v>42</v>
      </c>
      <c r="AC3353">
        <v>24.9284</v>
      </c>
      <c r="AD3353">
        <v>-1.1110959773260001</v>
      </c>
      <c r="AE3353">
        <v>1.5139</v>
      </c>
      <c r="AF3353">
        <v>-0.66337636174321102</v>
      </c>
      <c r="AG3353">
        <v>-1.1110959773260001</v>
      </c>
      <c r="AH3353">
        <v>24.916163315005601</v>
      </c>
      <c r="AI3353">
        <v>92.552417677280204</v>
      </c>
      <c r="AJ3353">
        <v>91.525101927268096</v>
      </c>
      <c r="AK3353">
        <v>24.949745425718799</v>
      </c>
      <c r="AL3353">
        <v>83.604683596755507</v>
      </c>
      <c r="AM3353">
        <v>86.414480006470299</v>
      </c>
      <c r="AN3353">
        <v>1.00000002615965</v>
      </c>
    </row>
    <row r="3354" spans="1:40" x14ac:dyDescent="0.25">
      <c r="A3354" t="str">
        <f>"20190312151053228"</f>
        <v>20190312151053228</v>
      </c>
      <c r="B3354" t="str">
        <f>"1552374653223883"</f>
        <v>1552374653223883</v>
      </c>
      <c r="C3354" t="s">
        <v>40</v>
      </c>
      <c r="D3354">
        <v>5.1216850000000003</v>
      </c>
      <c r="E3354">
        <v>0.46500380000000002</v>
      </c>
      <c r="F3354" t="s">
        <v>52</v>
      </c>
      <c r="G3354">
        <v>-264.59190000000001</v>
      </c>
      <c r="H3354" s="1">
        <v>8.486875E-7</v>
      </c>
      <c r="I3354">
        <v>215.94579999999999</v>
      </c>
      <c r="J3354">
        <v>-289.42689999999999</v>
      </c>
      <c r="K3354">
        <v>1.1110420000000001</v>
      </c>
      <c r="L3354">
        <v>214.35489999999999</v>
      </c>
      <c r="M3354">
        <v>0.99929310000000005</v>
      </c>
      <c r="N3354">
        <v>0</v>
      </c>
      <c r="O3354">
        <v>3.4737079999999997E-2</v>
      </c>
      <c r="P3354">
        <v>0.99489130000000003</v>
      </c>
      <c r="Q3354">
        <v>9.7476209999999994E-2</v>
      </c>
      <c r="R3354">
        <v>-2.6257369999999999E-2</v>
      </c>
      <c r="S3354">
        <v>3.0339969999999998</v>
      </c>
      <c r="T3354">
        <v>-0.1335192</v>
      </c>
      <c r="U3354">
        <v>0.19294739999999999</v>
      </c>
      <c r="V3354">
        <v>6.0561999999999998E-2</v>
      </c>
      <c r="W3354">
        <v>0.1118701</v>
      </c>
      <c r="X3354">
        <v>0.99187559999999997</v>
      </c>
      <c r="Y3354">
        <v>-2.876372E-2</v>
      </c>
      <c r="Z3354">
        <v>-8.9395729999999904E-4</v>
      </c>
      <c r="AA3354">
        <v>0.99958590000000003</v>
      </c>
      <c r="AB3354">
        <v>42</v>
      </c>
      <c r="AC3354">
        <v>24.834999999999901</v>
      </c>
      <c r="AD3354">
        <v>-1.1110411513125</v>
      </c>
      <c r="AE3354">
        <v>1.5909</v>
      </c>
      <c r="AF3354">
        <v>-0.72570865181925304</v>
      </c>
      <c r="AG3354">
        <v>-1.1110411513125</v>
      </c>
      <c r="AH3354">
        <v>24.8257944817782</v>
      </c>
      <c r="AI3354">
        <v>92.561384034952496</v>
      </c>
      <c r="AJ3354">
        <v>91.674395776237205</v>
      </c>
      <c r="AK3354">
        <v>24.861237642939699</v>
      </c>
      <c r="AL3354">
        <v>83.576869726358296</v>
      </c>
      <c r="AM3354">
        <v>86.505968559962199</v>
      </c>
      <c r="AN3354">
        <v>0.99999994049668295</v>
      </c>
    </row>
    <row r="3355" spans="1:40" x14ac:dyDescent="0.25">
      <c r="A3355" t="str">
        <f>"20190312151053251"</f>
        <v>20190312151053251</v>
      </c>
      <c r="B3355" t="str">
        <f>"1552374653244378"</f>
        <v>1552374653244378</v>
      </c>
      <c r="C3355" t="s">
        <v>40</v>
      </c>
      <c r="D3355">
        <v>5.1254379999999999</v>
      </c>
      <c r="E3355">
        <v>0.46458100000000002</v>
      </c>
      <c r="F3355" t="s">
        <v>52</v>
      </c>
      <c r="G3355">
        <v>-266.29680000000002</v>
      </c>
      <c r="H3355" s="1">
        <v>1.7568939999999999E-6</v>
      </c>
      <c r="I3355">
        <v>215.92400000000001</v>
      </c>
      <c r="J3355">
        <v>-288.99669999999998</v>
      </c>
      <c r="K3355">
        <v>1.1109629999999999</v>
      </c>
      <c r="L3355">
        <v>214.37039999999999</v>
      </c>
      <c r="M3355">
        <v>0.99927109999999997</v>
      </c>
      <c r="N3355">
        <v>0</v>
      </c>
      <c r="O3355">
        <v>3.5369089999999999E-2</v>
      </c>
      <c r="P3355">
        <v>0.99490789999999996</v>
      </c>
      <c r="Q3355">
        <v>9.7763210000000003E-2</v>
      </c>
      <c r="R3355">
        <v>-2.4505869999999999E-2</v>
      </c>
      <c r="S3355">
        <v>3.0350649999999999</v>
      </c>
      <c r="T3355">
        <v>-0.14578740000000001</v>
      </c>
      <c r="U3355">
        <v>0.2059021</v>
      </c>
      <c r="V3355">
        <v>5.9462279999999999E-2</v>
      </c>
      <c r="W3355">
        <v>0.11213969999999999</v>
      </c>
      <c r="X3355">
        <v>0.99191180000000001</v>
      </c>
      <c r="Y3355">
        <v>-3.2354969999999997E-2</v>
      </c>
      <c r="Z3355">
        <v>-9.1967090000000002E-4</v>
      </c>
      <c r="AA3355">
        <v>0.99947600000000003</v>
      </c>
      <c r="AB3355">
        <v>42</v>
      </c>
      <c r="AC3355">
        <v>22.6998999999999</v>
      </c>
      <c r="AD3355">
        <v>-1.1109612431060001</v>
      </c>
      <c r="AE3355">
        <v>1.5536000000000101</v>
      </c>
      <c r="AF3355">
        <v>-0.74788708508208201</v>
      </c>
      <c r="AG3355">
        <v>-1.1109612431060001</v>
      </c>
      <c r="AH3355">
        <v>22.686562711621399</v>
      </c>
      <c r="AI3355">
        <v>92.802015689713599</v>
      </c>
      <c r="AJ3355">
        <v>91.888133575540493</v>
      </c>
      <c r="AK3355">
        <v>22.726057679325901</v>
      </c>
      <c r="AL3355">
        <v>83.561325659008205</v>
      </c>
      <c r="AM3355">
        <v>86.5693871813708</v>
      </c>
      <c r="AN3355">
        <v>1.00000004701906</v>
      </c>
    </row>
    <row r="3356" spans="1:40" x14ac:dyDescent="0.25">
      <c r="A3356" t="str">
        <f>"20190312151053272"</f>
        <v>20190312151053272</v>
      </c>
      <c r="B3356" t="str">
        <f>"1552374653263898"</f>
        <v>1552374653263898</v>
      </c>
      <c r="C3356" t="s">
        <v>40</v>
      </c>
      <c r="D3356">
        <v>5.2426909999999998</v>
      </c>
      <c r="E3356">
        <v>0.46453030000000001</v>
      </c>
      <c r="F3356" t="s">
        <v>52</v>
      </c>
      <c r="G3356">
        <v>-266.28429999999997</v>
      </c>
      <c r="H3356" s="1">
        <v>1.7478959999999999E-6</v>
      </c>
      <c r="I3356">
        <v>215.9776</v>
      </c>
      <c r="J3356">
        <v>-288.59660000000002</v>
      </c>
      <c r="K3356">
        <v>1.110868</v>
      </c>
      <c r="L3356">
        <v>214.38499999999999</v>
      </c>
      <c r="M3356">
        <v>0.99925459999999999</v>
      </c>
      <c r="N3356">
        <v>0</v>
      </c>
      <c r="O3356">
        <v>3.5833459999999998E-2</v>
      </c>
      <c r="P3356">
        <v>0.99493949999999998</v>
      </c>
      <c r="Q3356">
        <v>9.7721059999999998E-2</v>
      </c>
      <c r="R3356">
        <v>-2.336682E-2</v>
      </c>
      <c r="S3356">
        <v>3.0352480000000002</v>
      </c>
      <c r="T3356">
        <v>-0.14846670000000001</v>
      </c>
      <c r="U3356">
        <v>0.21478269999999999</v>
      </c>
      <c r="V3356">
        <v>5.8813230000000001E-2</v>
      </c>
      <c r="W3356">
        <v>0.1120795</v>
      </c>
      <c r="X3356">
        <v>0.99195719999999998</v>
      </c>
      <c r="Y3356">
        <v>-3.4794449999999998E-2</v>
      </c>
      <c r="Z3356">
        <v>-8.9947729999999997E-4</v>
      </c>
      <c r="AA3356">
        <v>0.99939409999999895</v>
      </c>
      <c r="AB3356">
        <v>42</v>
      </c>
      <c r="AC3356">
        <v>22.3123</v>
      </c>
      <c r="AD3356">
        <v>-1.110866252104</v>
      </c>
      <c r="AE3356">
        <v>1.5926</v>
      </c>
      <c r="AF3356">
        <v>-0.79001928188398496</v>
      </c>
      <c r="AG3356">
        <v>-1.110866252104</v>
      </c>
      <c r="AH3356">
        <v>22.300045471564399</v>
      </c>
      <c r="AI3356">
        <v>92.850019938994095</v>
      </c>
      <c r="AJ3356">
        <v>92.028957665105693</v>
      </c>
      <c r="AK3356">
        <v>22.341669193004599</v>
      </c>
      <c r="AL3356">
        <v>83.564796110289095</v>
      </c>
      <c r="AM3356">
        <v>86.606900389409205</v>
      </c>
      <c r="AN3356">
        <v>0.99999994848756002</v>
      </c>
    </row>
    <row r="3357" spans="1:40" x14ac:dyDescent="0.25">
      <c r="A3357" t="str">
        <f>"20190312151053296"</f>
        <v>20190312151053296</v>
      </c>
      <c r="B3357" t="str">
        <f>"1552374653284394"</f>
        <v>1552374653284394</v>
      </c>
      <c r="C3357" t="s">
        <v>40</v>
      </c>
      <c r="D3357">
        <v>5.1782300000000001</v>
      </c>
      <c r="E3357">
        <v>0.464314</v>
      </c>
      <c r="F3357" t="s">
        <v>52</v>
      </c>
      <c r="G3357">
        <v>-266.529</v>
      </c>
      <c r="H3357" s="1">
        <v>1.8783319999999999E-6</v>
      </c>
      <c r="I3357">
        <v>215.9727</v>
      </c>
      <c r="J3357">
        <v>-288.1669</v>
      </c>
      <c r="K3357">
        <v>1.1107530000000001</v>
      </c>
      <c r="L3357">
        <v>214.4008</v>
      </c>
      <c r="M3357">
        <v>0.9992415</v>
      </c>
      <c r="N3357">
        <v>0</v>
      </c>
      <c r="O3357">
        <v>3.6196220000000001E-2</v>
      </c>
      <c r="P3357">
        <v>0.99493319999999996</v>
      </c>
      <c r="Q3357">
        <v>9.8109379999999996E-2</v>
      </c>
      <c r="R3357">
        <v>-2.1966389999999999E-2</v>
      </c>
      <c r="S3357">
        <v>3.035431</v>
      </c>
      <c r="T3357">
        <v>-0.1528013</v>
      </c>
      <c r="U3357">
        <v>0.21838379999999999</v>
      </c>
      <c r="V3357">
        <v>5.7806759999999999E-2</v>
      </c>
      <c r="W3357">
        <v>0.1124458</v>
      </c>
      <c r="X3357">
        <v>0.99197489999999999</v>
      </c>
      <c r="Y3357">
        <v>-3.5606489999999998E-2</v>
      </c>
      <c r="Z3357">
        <v>-9.2340939999999995E-4</v>
      </c>
      <c r="AA3357">
        <v>0.99936539999999996</v>
      </c>
      <c r="AB3357">
        <v>42</v>
      </c>
      <c r="AC3357">
        <v>21.637899999999998</v>
      </c>
      <c r="AD3357">
        <v>-1.1107511216679999</v>
      </c>
      <c r="AE3357">
        <v>1.5718999999999901</v>
      </c>
      <c r="AF3357">
        <v>-0.78551966582344701</v>
      </c>
      <c r="AG3357">
        <v>-1.1107511216679999</v>
      </c>
      <c r="AH3357">
        <v>21.623937597256599</v>
      </c>
      <c r="AI3357">
        <v>92.938578005058503</v>
      </c>
      <c r="AJ3357">
        <v>92.080434234915103</v>
      </c>
      <c r="AK3357">
        <v>21.666690712006101</v>
      </c>
      <c r="AL3357">
        <v>83.543675100713003</v>
      </c>
      <c r="AM3357">
        <v>86.664893618403696</v>
      </c>
      <c r="AN3357">
        <v>0.99999994083467203</v>
      </c>
    </row>
    <row r="3358" spans="1:40" x14ac:dyDescent="0.25">
      <c r="A3358" t="str">
        <f>"20190312151053329"</f>
        <v>20190312151053329</v>
      </c>
      <c r="B3358" t="str">
        <f>"1552374653324410"</f>
        <v>1552374653324410</v>
      </c>
      <c r="C3358" t="s">
        <v>40</v>
      </c>
      <c r="D3358">
        <v>5.134099</v>
      </c>
      <c r="E3358">
        <v>0.46413219999999999</v>
      </c>
      <c r="F3358" t="s">
        <v>52</v>
      </c>
      <c r="G3358">
        <v>-265.95909999999998</v>
      </c>
      <c r="H3358" s="1">
        <v>1.5721729999999901E-6</v>
      </c>
      <c r="I3358">
        <v>216.0393</v>
      </c>
      <c r="J3358">
        <v>-287.56540000000001</v>
      </c>
      <c r="K3358">
        <v>1.110576</v>
      </c>
      <c r="L3358">
        <v>214.4229</v>
      </c>
      <c r="M3358">
        <v>0.99923209999999996</v>
      </c>
      <c r="N3358">
        <v>0</v>
      </c>
      <c r="O3358">
        <v>3.6460039999999999E-2</v>
      </c>
      <c r="P3358">
        <v>0.99494939999999998</v>
      </c>
      <c r="Q3358">
        <v>9.7886710000000002E-2</v>
      </c>
      <c r="R3358">
        <v>-2.2229769999999999E-2</v>
      </c>
      <c r="S3358">
        <v>3.0351870000000001</v>
      </c>
      <c r="T3358">
        <v>-0.1518091</v>
      </c>
      <c r="U3358">
        <v>0.223938</v>
      </c>
      <c r="V3358">
        <v>5.838107E-2</v>
      </c>
      <c r="W3358">
        <v>0.11219510000000001</v>
      </c>
      <c r="X3358">
        <v>0.99196969999999995</v>
      </c>
      <c r="Y3358">
        <v>-3.7165860000000002E-2</v>
      </c>
      <c r="Z3358">
        <v>-8.9165360000000005E-4</v>
      </c>
      <c r="AA3358">
        <v>0.99930870000000005</v>
      </c>
      <c r="AB3358">
        <v>42</v>
      </c>
      <c r="AC3358">
        <v>21.606300000000001</v>
      </c>
      <c r="AD3358">
        <v>-1.110574427827</v>
      </c>
      <c r="AE3358">
        <v>1.6163999999999901</v>
      </c>
      <c r="AF3358">
        <v>-0.825309047897124</v>
      </c>
      <c r="AG3358">
        <v>-1.110574427827</v>
      </c>
      <c r="AH3358">
        <v>21.5941369340858</v>
      </c>
      <c r="AI3358">
        <v>92.941952042104901</v>
      </c>
      <c r="AJ3358">
        <v>92.188729357803197</v>
      </c>
      <c r="AK3358">
        <v>21.638420933892899</v>
      </c>
      <c r="AL3358">
        <v>83.558130931136304</v>
      </c>
      <c r="AM3358">
        <v>86.631817639272299</v>
      </c>
      <c r="AN3358">
        <v>0.99999998775822196</v>
      </c>
    </row>
    <row r="3359" spans="1:40" x14ac:dyDescent="0.25">
      <c r="A3359" t="str">
        <f>"20190312151053352"</f>
        <v>20190312151053352</v>
      </c>
      <c r="B3359" t="str">
        <f>"1552374653343929"</f>
        <v>1552374653343929</v>
      </c>
      <c r="C3359" t="s">
        <v>40</v>
      </c>
      <c r="D3359">
        <v>5.2365779999999997</v>
      </c>
      <c r="E3359">
        <v>0.46400160000000001</v>
      </c>
      <c r="F3359" t="s">
        <v>52</v>
      </c>
      <c r="G3359">
        <v>-265.32979999999998</v>
      </c>
      <c r="H3359" s="1">
        <v>1.2361229999999999E-6</v>
      </c>
      <c r="I3359">
        <v>216.06540000000001</v>
      </c>
      <c r="J3359">
        <v>-287.12580000000003</v>
      </c>
      <c r="K3359">
        <v>1.1104560000000001</v>
      </c>
      <c r="L3359">
        <v>214.43899999999999</v>
      </c>
      <c r="M3359">
        <v>0.99923059999999997</v>
      </c>
      <c r="N3359">
        <v>0</v>
      </c>
      <c r="O3359">
        <v>3.650072E-2</v>
      </c>
      <c r="P3359">
        <v>0.99494700000000003</v>
      </c>
      <c r="Q3359">
        <v>9.7656370000000006E-2</v>
      </c>
      <c r="R3359">
        <v>-2.3319340000000001E-2</v>
      </c>
      <c r="S3359">
        <v>3.0351560000000002</v>
      </c>
      <c r="T3359">
        <v>-0.15159310000000001</v>
      </c>
      <c r="U3359">
        <v>0.22419739999999999</v>
      </c>
      <c r="V3359">
        <v>5.9544090000000001E-2</v>
      </c>
      <c r="W3359">
        <v>0.111944</v>
      </c>
      <c r="X3359">
        <v>0.9919289</v>
      </c>
      <c r="Y3359">
        <v>-3.7210859999999998E-2</v>
      </c>
      <c r="Z3359">
        <v>-8.9129580000000001E-4</v>
      </c>
      <c r="AA3359">
        <v>0.99930699999999995</v>
      </c>
      <c r="AB3359">
        <v>42</v>
      </c>
      <c r="AC3359">
        <v>21.795999999999999</v>
      </c>
      <c r="AD3359">
        <v>-1.1104547638769999</v>
      </c>
      <c r="AE3359">
        <v>1.6263999999999801</v>
      </c>
      <c r="AF3359">
        <v>-0.827528285380559</v>
      </c>
      <c r="AG3359">
        <v>-1.1104547638769999</v>
      </c>
      <c r="AH3359">
        <v>21.784611233889699</v>
      </c>
      <c r="AI3359">
        <v>92.915985651858406</v>
      </c>
      <c r="AJ3359">
        <v>92.175438952517197</v>
      </c>
      <c r="AK3359">
        <v>21.828586748972899</v>
      </c>
      <c r="AL3359">
        <v>83.572608866547398</v>
      </c>
      <c r="AM3359">
        <v>86.564737616854998</v>
      </c>
      <c r="AN3359">
        <v>0.99999995022256705</v>
      </c>
    </row>
    <row r="3360" spans="1:40" x14ac:dyDescent="0.25">
      <c r="A3360" t="str">
        <f>"20190312151053374"</f>
        <v>20190312151053374</v>
      </c>
      <c r="B3360" t="str">
        <f>"1552374653364426"</f>
        <v>1552374653364426</v>
      </c>
      <c r="C3360" t="s">
        <v>40</v>
      </c>
      <c r="D3360">
        <v>5.2378489999999998</v>
      </c>
      <c r="E3360">
        <v>0.46399249999999997</v>
      </c>
      <c r="F3360" t="s">
        <v>52</v>
      </c>
      <c r="G3360">
        <v>-264.9821</v>
      </c>
      <c r="H3360" s="1">
        <v>1.0513260000000001E-6</v>
      </c>
      <c r="I3360">
        <v>216.05959999999999</v>
      </c>
      <c r="J3360">
        <v>-286.721</v>
      </c>
      <c r="K3360">
        <v>1.110352</v>
      </c>
      <c r="L3360">
        <v>214.4538</v>
      </c>
      <c r="M3360">
        <v>0.9992335</v>
      </c>
      <c r="N3360">
        <v>0</v>
      </c>
      <c r="O3360">
        <v>3.6424930000000001E-2</v>
      </c>
      <c r="P3360">
        <v>0.9949247</v>
      </c>
      <c r="Q3360">
        <v>9.7653519999999994E-2</v>
      </c>
      <c r="R3360">
        <v>-2.427087E-2</v>
      </c>
      <c r="S3360">
        <v>3.0353699999999999</v>
      </c>
      <c r="T3360">
        <v>-0.1522162</v>
      </c>
      <c r="U3360">
        <v>0.22213749999999999</v>
      </c>
      <c r="V3360">
        <v>6.0448599999999998E-2</v>
      </c>
      <c r="W3360">
        <v>0.1119227</v>
      </c>
      <c r="X3360">
        <v>0.99187669999999994</v>
      </c>
      <c r="Y3360">
        <v>-3.6607599999999997E-2</v>
      </c>
      <c r="Z3360">
        <v>-9.0622719999999997E-4</v>
      </c>
      <c r="AA3360">
        <v>0.99932929999999998</v>
      </c>
      <c r="AB3360">
        <v>41</v>
      </c>
      <c r="AC3360">
        <v>21.738900000000001</v>
      </c>
      <c r="AD3360">
        <v>-1.110350948674</v>
      </c>
      <c r="AE3360">
        <v>1.6057999999999799</v>
      </c>
      <c r="AF3360">
        <v>-0.81071129181488</v>
      </c>
      <c r="AG3360">
        <v>-1.110350948674</v>
      </c>
      <c r="AH3360">
        <v>21.726594745714301</v>
      </c>
      <c r="AI3360">
        <v>92.923559646690805</v>
      </c>
      <c r="AJ3360">
        <v>92.136956828751906</v>
      </c>
      <c r="AK3360">
        <v>21.770049409048099</v>
      </c>
      <c r="AL3360">
        <v>83.573837667226996</v>
      </c>
      <c r="AM3360">
        <v>86.512498693870597</v>
      </c>
      <c r="AN3360">
        <v>1.0000000560100599</v>
      </c>
    </row>
    <row r="3361" spans="1:40" x14ac:dyDescent="0.25">
      <c r="A3361" t="str">
        <f>"20190312151053395"</f>
        <v>20190312151053395</v>
      </c>
      <c r="B3361" t="str">
        <f>"1552374653383947"</f>
        <v>1552374653383947</v>
      </c>
      <c r="C3361" t="s">
        <v>40</v>
      </c>
      <c r="D3361">
        <v>5.046678</v>
      </c>
      <c r="E3361">
        <v>0.46393469999999998</v>
      </c>
      <c r="F3361" t="s">
        <v>52</v>
      </c>
      <c r="G3361">
        <v>-264.64210000000003</v>
      </c>
      <c r="H3361" s="1">
        <v>8.7096749999999995E-7</v>
      </c>
      <c r="I3361">
        <v>216.04689999999999</v>
      </c>
      <c r="J3361">
        <v>-286.3184</v>
      </c>
      <c r="K3361">
        <v>1.1102459999999901</v>
      </c>
      <c r="L3361">
        <v>214.4684</v>
      </c>
      <c r="M3361">
        <v>0.99924020000000002</v>
      </c>
      <c r="N3361">
        <v>0</v>
      </c>
      <c r="O3361">
        <v>3.6242509999999999E-2</v>
      </c>
      <c r="P3361">
        <v>0.9948205</v>
      </c>
      <c r="Q3361">
        <v>9.8449949999999994E-2</v>
      </c>
      <c r="R3361">
        <v>-2.5291149999999998E-2</v>
      </c>
      <c r="S3361">
        <v>3.0356450000000001</v>
      </c>
      <c r="T3361">
        <v>-0.15266260000000001</v>
      </c>
      <c r="U3361">
        <v>0.21903990000000001</v>
      </c>
      <c r="V3361">
        <v>6.1313609999999998E-2</v>
      </c>
      <c r="W3361">
        <v>0.1126978</v>
      </c>
      <c r="X3361">
        <v>0.99173579999999995</v>
      </c>
      <c r="Y3361">
        <v>-3.5769910000000002E-2</v>
      </c>
      <c r="Z3361">
        <v>-9.2071799999999995E-4</v>
      </c>
      <c r="AA3361">
        <v>0.99935960000000001</v>
      </c>
      <c r="AB3361">
        <v>41</v>
      </c>
      <c r="AC3361">
        <v>21.676299999999902</v>
      </c>
      <c r="AD3361">
        <v>-1.1102451290324999</v>
      </c>
      <c r="AE3361">
        <v>1.57849999999999</v>
      </c>
      <c r="AF3361">
        <v>-0.78971766606479898</v>
      </c>
      <c r="AG3361">
        <v>-1.1102451290324999</v>
      </c>
      <c r="AH3361">
        <v>21.662740316858098</v>
      </c>
      <c r="AI3361">
        <v>92.931975959234293</v>
      </c>
      <c r="AJ3361">
        <v>92.087799618749301</v>
      </c>
      <c r="AK3361">
        <v>21.705543445725201</v>
      </c>
      <c r="AL3361">
        <v>83.529144745661497</v>
      </c>
      <c r="AM3361">
        <v>86.4622176391088</v>
      </c>
      <c r="AN3361">
        <v>1.0000000249488501</v>
      </c>
    </row>
    <row r="3362" spans="1:40" x14ac:dyDescent="0.25">
      <c r="A3362" t="str">
        <f>"20190312151053418"</f>
        <v>20190312151053418</v>
      </c>
      <c r="B3362" t="str">
        <f>"1552374653414202"</f>
        <v>1552374653414202</v>
      </c>
      <c r="C3362" t="s">
        <v>40</v>
      </c>
      <c r="D3362">
        <v>5.2341240000000004</v>
      </c>
      <c r="E3362">
        <v>0.46393590000000001</v>
      </c>
      <c r="F3362" t="s">
        <v>52</v>
      </c>
      <c r="G3362">
        <v>-263.75170000000003</v>
      </c>
      <c r="H3362" s="1">
        <v>3.9581450000000001E-7</v>
      </c>
      <c r="I3362">
        <v>216.0779</v>
      </c>
      <c r="J3362">
        <v>-285.91109999999998</v>
      </c>
      <c r="K3362">
        <v>1.1101350000000001</v>
      </c>
      <c r="L3362">
        <v>214.483</v>
      </c>
      <c r="M3362">
        <v>0.99925039999999998</v>
      </c>
      <c r="N3362">
        <v>0</v>
      </c>
      <c r="O3362">
        <v>3.596034E-2</v>
      </c>
      <c r="P3362">
        <v>0.99471480000000001</v>
      </c>
      <c r="Q3362">
        <v>9.9177509999999997E-2</v>
      </c>
      <c r="R3362">
        <v>-2.6582310000000001E-2</v>
      </c>
      <c r="S3362">
        <v>3.0359189999999998</v>
      </c>
      <c r="T3362">
        <v>-0.14936289999999999</v>
      </c>
      <c r="U3362">
        <v>0.2165222</v>
      </c>
      <c r="V3362">
        <v>6.2351120000000003E-2</v>
      </c>
      <c r="W3362">
        <v>0.1134038</v>
      </c>
      <c r="X3362">
        <v>0.99159059999999999</v>
      </c>
      <c r="Y3362">
        <v>-3.5221410000000002E-2</v>
      </c>
      <c r="Z3362">
        <v>-9.0041869999999997E-4</v>
      </c>
      <c r="AA3362">
        <v>0.99937909999999996</v>
      </c>
      <c r="AB3362">
        <v>41</v>
      </c>
      <c r="AC3362">
        <v>22.159399999999899</v>
      </c>
      <c r="AD3362">
        <v>-1.1101346041855</v>
      </c>
      <c r="AE3362">
        <v>1.59489999999999</v>
      </c>
      <c r="AF3362">
        <v>-0.794941944326786</v>
      </c>
      <c r="AG3362">
        <v>-1.1101346041855</v>
      </c>
      <c r="AH3362">
        <v>22.147125878569099</v>
      </c>
      <c r="AI3362">
        <v>92.867731241775303</v>
      </c>
      <c r="AJ3362">
        <v>92.055674110624196</v>
      </c>
      <c r="AK3362">
        <v>22.189175654256399</v>
      </c>
      <c r="AL3362">
        <v>83.488432774005503</v>
      </c>
      <c r="AM3362">
        <v>86.401984038990705</v>
      </c>
      <c r="AN3362">
        <v>1.00000000101402</v>
      </c>
    </row>
    <row r="3363" spans="1:40" x14ac:dyDescent="0.25">
      <c r="A3363" t="str">
        <f>"20190312151053441"</f>
        <v>20190312151053441</v>
      </c>
      <c r="B3363" t="str">
        <f>"1552374653434703"</f>
        <v>1552374653434703</v>
      </c>
      <c r="C3363" t="s">
        <v>40</v>
      </c>
      <c r="D3363">
        <v>5.234807</v>
      </c>
      <c r="E3363">
        <v>0.46384890000000001</v>
      </c>
      <c r="F3363" t="s">
        <v>52</v>
      </c>
      <c r="G3363">
        <v>-263.18180000000001</v>
      </c>
      <c r="H3363" s="1">
        <v>9.266937E-8</v>
      </c>
      <c r="I3363">
        <v>216.07429999999999</v>
      </c>
      <c r="J3363">
        <v>-285.48</v>
      </c>
      <c r="K3363">
        <v>1.110015</v>
      </c>
      <c r="L3363">
        <v>214.4982</v>
      </c>
      <c r="M3363">
        <v>0.99926440000000005</v>
      </c>
      <c r="N3363">
        <v>0</v>
      </c>
      <c r="O3363">
        <v>3.556575E-2</v>
      </c>
      <c r="P3363">
        <v>0.99460680000000001</v>
      </c>
      <c r="Q3363">
        <v>9.9767430000000004E-2</v>
      </c>
      <c r="R3363">
        <v>-2.834677E-2</v>
      </c>
      <c r="S3363">
        <v>3.0364070000000001</v>
      </c>
      <c r="T3363">
        <v>-0.14830270000000001</v>
      </c>
      <c r="U3363">
        <v>0.21258540000000001</v>
      </c>
      <c r="V3363">
        <v>6.3751950000000002E-2</v>
      </c>
      <c r="W3363">
        <v>0.1139699</v>
      </c>
      <c r="X3363">
        <v>0.9914366</v>
      </c>
      <c r="Y3363">
        <v>-3.4315930000000001E-2</v>
      </c>
      <c r="Z3363">
        <v>-8.9679769999999998E-4</v>
      </c>
      <c r="AA3363">
        <v>0.99941060000000004</v>
      </c>
      <c r="AB3363">
        <v>41</v>
      </c>
      <c r="AC3363">
        <v>22.298200000000001</v>
      </c>
      <c r="AD3363">
        <v>-1.11001490733062</v>
      </c>
      <c r="AE3363">
        <v>1.5760999999999901</v>
      </c>
      <c r="AF3363">
        <v>-0.78004544057485403</v>
      </c>
      <c r="AG3363">
        <v>-1.11001490733062</v>
      </c>
      <c r="AH3363">
        <v>22.285200514943199</v>
      </c>
      <c r="AI3363">
        <v>92.849775682755407</v>
      </c>
      <c r="AJ3363">
        <v>92.004696893470694</v>
      </c>
      <c r="AK3363">
        <v>22.3264588767472</v>
      </c>
      <c r="AL3363">
        <v>83.455785902672403</v>
      </c>
      <c r="AM3363">
        <v>86.320797844870498</v>
      </c>
      <c r="AN3363">
        <v>0.99999999052718602</v>
      </c>
    </row>
    <row r="3364" spans="1:40" x14ac:dyDescent="0.25">
      <c r="A3364" t="str">
        <f>"20190312151053463"</f>
        <v>20190312151053463</v>
      </c>
      <c r="B3364" t="str">
        <f>"1552374653454222"</f>
        <v>1552374653454222</v>
      </c>
      <c r="C3364" t="s">
        <v>40</v>
      </c>
      <c r="D3364">
        <v>5.2876589999999997</v>
      </c>
      <c r="E3364">
        <v>0.46382400000000001</v>
      </c>
      <c r="F3364" t="s">
        <v>52</v>
      </c>
      <c r="G3364">
        <v>-262.512</v>
      </c>
      <c r="H3364" s="1">
        <v>-2.6364530000000001E-7</v>
      </c>
      <c r="I3364">
        <v>216.07140000000001</v>
      </c>
      <c r="J3364">
        <v>-285.0865</v>
      </c>
      <c r="K3364">
        <v>1.10992</v>
      </c>
      <c r="L3364">
        <v>214.5119</v>
      </c>
      <c r="M3364">
        <v>0.99927940000000004</v>
      </c>
      <c r="N3364">
        <v>0</v>
      </c>
      <c r="O3364">
        <v>3.5145589999999997E-2</v>
      </c>
      <c r="P3364">
        <v>0.99444540000000003</v>
      </c>
      <c r="Q3364">
        <v>0.1006792</v>
      </c>
      <c r="R3364">
        <v>-3.0697660000000002E-2</v>
      </c>
      <c r="S3364">
        <v>3.0368650000000001</v>
      </c>
      <c r="T3364">
        <v>-0.14676800000000001</v>
      </c>
      <c r="U3364">
        <v>0.20800779999999999</v>
      </c>
      <c r="V3364">
        <v>6.5705890000000003E-2</v>
      </c>
      <c r="W3364">
        <v>0.11486</v>
      </c>
      <c r="X3364">
        <v>0.99120629999999998</v>
      </c>
      <c r="Y3364">
        <v>-3.3227100000000002E-2</v>
      </c>
      <c r="Z3364">
        <v>-8.9346589999999995E-4</v>
      </c>
      <c r="AA3364">
        <v>0.99944739999999999</v>
      </c>
      <c r="AB3364">
        <v>41</v>
      </c>
      <c r="AC3364">
        <v>22.5745</v>
      </c>
      <c r="AD3364">
        <v>-1.1099202636453001</v>
      </c>
      <c r="AE3364">
        <v>1.5595000000000101</v>
      </c>
      <c r="AF3364">
        <v>-0.76322445445305098</v>
      </c>
      <c r="AG3364">
        <v>-1.1099202636453001</v>
      </c>
      <c r="AH3364">
        <v>22.5610858826177</v>
      </c>
      <c r="AI3364">
        <v>92.814857706347794</v>
      </c>
      <c r="AJ3364">
        <v>91.937533951793299</v>
      </c>
      <c r="AK3364">
        <v>22.601261707311298</v>
      </c>
      <c r="AL3364">
        <v>83.4044499102923</v>
      </c>
      <c r="AM3364">
        <v>86.207479277919802</v>
      </c>
      <c r="AN3364">
        <v>1.0000000063701899</v>
      </c>
    </row>
    <row r="3365" spans="1:40" x14ac:dyDescent="0.25">
      <c r="A3365" t="str">
        <f>"20190312151053486"</f>
        <v>20190312151053486</v>
      </c>
      <c r="B3365" t="str">
        <f>"1552374653474714"</f>
        <v>1552374653474714</v>
      </c>
      <c r="C3365" t="s">
        <v>40</v>
      </c>
      <c r="D3365">
        <v>5.3303520000000004</v>
      </c>
      <c r="E3365">
        <v>0.46408500000000003</v>
      </c>
      <c r="F3365" t="s">
        <v>52</v>
      </c>
      <c r="G3365">
        <v>-261.76900000000001</v>
      </c>
      <c r="H3365" s="1">
        <v>-6.5823999999999899E-7</v>
      </c>
      <c r="I3365">
        <v>216.05369999999999</v>
      </c>
      <c r="J3365">
        <v>-284.65089999999998</v>
      </c>
      <c r="K3365">
        <v>1.109829</v>
      </c>
      <c r="L3365">
        <v>214.52680000000001</v>
      </c>
      <c r="M3365">
        <v>0.99929769999999896</v>
      </c>
      <c r="N3365">
        <v>0</v>
      </c>
      <c r="O3365">
        <v>3.4619299999999999E-2</v>
      </c>
      <c r="P3365">
        <v>0.99426170000000003</v>
      </c>
      <c r="Q3365">
        <v>0.1015543</v>
      </c>
      <c r="R3365">
        <v>-3.3623819999999999E-2</v>
      </c>
      <c r="S3365">
        <v>3.037598</v>
      </c>
      <c r="T3365">
        <v>-0.14459069999999999</v>
      </c>
      <c r="U3365">
        <v>0.20085140000000001</v>
      </c>
      <c r="V3365">
        <v>6.812783E-2</v>
      </c>
      <c r="W3365">
        <v>0.1157112</v>
      </c>
      <c r="X3365">
        <v>0.99094369999999998</v>
      </c>
      <c r="Y3365">
        <v>-3.139438E-2</v>
      </c>
      <c r="Z3365">
        <v>-8.9866209999999998E-4</v>
      </c>
      <c r="AA3365">
        <v>0.99950669999999997</v>
      </c>
      <c r="AB3365">
        <v>41</v>
      </c>
      <c r="AC3365">
        <v>22.881899999999899</v>
      </c>
      <c r="AD3365">
        <v>-1.10982965824</v>
      </c>
      <c r="AE3365">
        <v>1.5268999999999799</v>
      </c>
      <c r="AF3365">
        <v>-0.73203326512731803</v>
      </c>
      <c r="AG3365">
        <v>-1.10982965824</v>
      </c>
      <c r="AH3365">
        <v>22.867489633748601</v>
      </c>
      <c r="AI3365">
        <v>92.777139943720499</v>
      </c>
      <c r="AJ3365">
        <v>91.833524316699794</v>
      </c>
      <c r="AK3365">
        <v>22.9061056646729</v>
      </c>
      <c r="AL3365">
        <v>83.355352000576403</v>
      </c>
      <c r="AM3365">
        <v>86.067077795469501</v>
      </c>
      <c r="AN3365">
        <v>0.99999994979781803</v>
      </c>
    </row>
    <row r="3366" spans="1:40" x14ac:dyDescent="0.25">
      <c r="A3366" t="str">
        <f>"20190312151053506"</f>
        <v>20190312151053506</v>
      </c>
      <c r="B3366" t="str">
        <f>"1552374653503995"</f>
        <v>1552374653503995</v>
      </c>
      <c r="C3366" t="s">
        <v>40</v>
      </c>
      <c r="D3366">
        <v>5.2637939999999999</v>
      </c>
      <c r="E3366">
        <v>0.50533090000000003</v>
      </c>
      <c r="F3366" t="s">
        <v>52</v>
      </c>
      <c r="G3366">
        <v>-260.84269999999998</v>
      </c>
      <c r="H3366" s="1">
        <v>-1.1494650000000001E-6</v>
      </c>
      <c r="I3366">
        <v>216.01400000000001</v>
      </c>
      <c r="J3366">
        <v>-284.26639999999998</v>
      </c>
      <c r="K3366">
        <v>1.109766</v>
      </c>
      <c r="L3366">
        <v>214.53970000000001</v>
      </c>
      <c r="M3366">
        <v>0.99931550000000002</v>
      </c>
      <c r="N3366">
        <v>0</v>
      </c>
      <c r="O3366">
        <v>3.4110670000000003E-2</v>
      </c>
      <c r="P3366">
        <v>0.99409320000000001</v>
      </c>
      <c r="Q3366">
        <v>0.1021948</v>
      </c>
      <c r="R3366">
        <v>-3.6544670000000001E-2</v>
      </c>
      <c r="S3366">
        <v>3.038208</v>
      </c>
      <c r="T3366">
        <v>-0.14162729999999901</v>
      </c>
      <c r="U3366">
        <v>0.18978880000000001</v>
      </c>
      <c r="V3366">
        <v>7.0555779999999998E-2</v>
      </c>
      <c r="W3366">
        <v>0.11633250000000001</v>
      </c>
      <c r="X3366">
        <v>0.9907011</v>
      </c>
      <c r="Y3366">
        <v>-2.8268049999999999E-2</v>
      </c>
      <c r="Z3366">
        <v>-9.2931920000000002E-4</v>
      </c>
      <c r="AA3366">
        <v>0.99959989999999999</v>
      </c>
      <c r="AB3366">
        <v>41</v>
      </c>
      <c r="AC3366">
        <v>23.4237</v>
      </c>
      <c r="AD3366">
        <v>-1.1097671494650001</v>
      </c>
      <c r="AE3366">
        <v>1.47429999999999</v>
      </c>
      <c r="AF3366">
        <v>-0.67285748008550195</v>
      </c>
      <c r="AG3366">
        <v>-1.1097671494650001</v>
      </c>
      <c r="AH3366">
        <v>23.4080245846251</v>
      </c>
      <c r="AI3366">
        <v>92.713223602324703</v>
      </c>
      <c r="AJ3366">
        <v>91.6464986604812</v>
      </c>
      <c r="AK3366">
        <v>23.4439743914924</v>
      </c>
      <c r="AL3366">
        <v>83.319512556350006</v>
      </c>
      <c r="AM3366">
        <v>85.9263853385348</v>
      </c>
      <c r="AN3366">
        <v>1.00000001909443</v>
      </c>
    </row>
    <row r="3367" spans="1:40" x14ac:dyDescent="0.25">
      <c r="A3367" t="str">
        <f>"20190312151053530"</f>
        <v>20190312151053530</v>
      </c>
      <c r="B3367" t="str">
        <f>"1552374653524490"</f>
        <v>1552374653524490</v>
      </c>
      <c r="C3367" t="s">
        <v>40</v>
      </c>
      <c r="D3367">
        <v>5.2908200000000001</v>
      </c>
      <c r="E3367">
        <v>0.50736990000000004</v>
      </c>
      <c r="F3367" t="s">
        <v>52</v>
      </c>
      <c r="G3367">
        <v>-246.71250000000001</v>
      </c>
      <c r="H3367" s="1">
        <v>2.1192770000000002E-6</v>
      </c>
      <c r="I3367">
        <v>212.69399999999999</v>
      </c>
      <c r="J3367">
        <v>-283.84570000000002</v>
      </c>
      <c r="K3367">
        <v>1.1097140000000001</v>
      </c>
      <c r="L3367">
        <v>214.55350000000001</v>
      </c>
      <c r="M3367">
        <v>0.99933539999999998</v>
      </c>
      <c r="N3367">
        <v>0</v>
      </c>
      <c r="O3367">
        <v>3.3518979999999997E-2</v>
      </c>
      <c r="P3367">
        <v>0.99393529999999997</v>
      </c>
      <c r="Q3367">
        <v>0.1027967</v>
      </c>
      <c r="R3367">
        <v>-3.9058349999999999E-2</v>
      </c>
      <c r="S3367">
        <v>3.0215450000000001</v>
      </c>
      <c r="T3367">
        <v>-8.9290259999999996E-2</v>
      </c>
      <c r="U3367">
        <v>-0.14849849999999901</v>
      </c>
      <c r="V3367">
        <v>7.2492959999999995E-2</v>
      </c>
      <c r="W3367">
        <v>0.11691600000000001</v>
      </c>
      <c r="X3367">
        <v>0.9904925</v>
      </c>
      <c r="Y3367">
        <v>8.2491199999999903E-2</v>
      </c>
      <c r="Z3367">
        <v>-2.2077350000000002E-3</v>
      </c>
      <c r="AA3367">
        <v>0.99658939999999996</v>
      </c>
      <c r="AB3367">
        <v>41</v>
      </c>
      <c r="AC3367">
        <v>37.133200000000002</v>
      </c>
      <c r="AD3367">
        <v>-1.109711880723</v>
      </c>
      <c r="AE3367">
        <v>-1.8594999999999899</v>
      </c>
      <c r="AF3367">
        <v>3.1004875393118998</v>
      </c>
      <c r="AG3367">
        <v>-1.109711880723</v>
      </c>
      <c r="AH3367">
        <v>37.017018057278698</v>
      </c>
      <c r="AI3367">
        <v>91.711134785804106</v>
      </c>
      <c r="AJ3367">
        <v>85.212170547242494</v>
      </c>
      <c r="AK3367">
        <v>37.163209082270399</v>
      </c>
      <c r="AL3367">
        <v>83.285850544450696</v>
      </c>
      <c r="AM3367">
        <v>85.814054007653596</v>
      </c>
      <c r="AN3367">
        <v>0.99999998643090504</v>
      </c>
    </row>
    <row r="3368" spans="1:40" x14ac:dyDescent="0.25">
      <c r="A3368" t="str">
        <f>"20190312151053552"</f>
        <v>20190312151053552</v>
      </c>
      <c r="B3368" t="str">
        <f>"1552374653544010"</f>
        <v>1552374653544010</v>
      </c>
      <c r="C3368" t="s">
        <v>40</v>
      </c>
      <c r="D3368">
        <v>5.2514099999999999</v>
      </c>
      <c r="E3368">
        <v>0.50832529999999998</v>
      </c>
      <c r="F3368" t="s">
        <v>52</v>
      </c>
      <c r="G3368">
        <v>-233.17509999999999</v>
      </c>
      <c r="H3368" s="1">
        <v>2.8202420000000002E-7</v>
      </c>
      <c r="I3368">
        <v>211.66079999999999</v>
      </c>
      <c r="J3368">
        <v>-283.4348</v>
      </c>
      <c r="K3368">
        <v>1.109672</v>
      </c>
      <c r="L3368">
        <v>214.5668</v>
      </c>
      <c r="M3368">
        <v>0.99935549999999995</v>
      </c>
      <c r="N3368">
        <v>0</v>
      </c>
      <c r="O3368">
        <v>3.2918940000000001E-2</v>
      </c>
      <c r="P3368">
        <v>0.99370630000000004</v>
      </c>
      <c r="Q3368">
        <v>0.10418330000000001</v>
      </c>
      <c r="R3368">
        <v>-4.116069E-2</v>
      </c>
      <c r="S3368">
        <v>3.018402</v>
      </c>
      <c r="T3368">
        <v>-6.6104650000000001E-2</v>
      </c>
      <c r="U3368">
        <v>-0.17231749999999901</v>
      </c>
      <c r="V3368">
        <v>7.4005849999999998E-2</v>
      </c>
      <c r="W3368">
        <v>0.1182859</v>
      </c>
      <c r="X3368">
        <v>0.99021789999999998</v>
      </c>
      <c r="Y3368">
        <v>8.9804750000000003E-2</v>
      </c>
      <c r="Z3368">
        <v>-1.7028849999999999E-3</v>
      </c>
      <c r="AA3368">
        <v>0.99595789999999995</v>
      </c>
      <c r="AB3368">
        <v>41</v>
      </c>
      <c r="AC3368">
        <v>50.259700000000002</v>
      </c>
      <c r="AD3368">
        <v>-1.1096717179758</v>
      </c>
      <c r="AE3368">
        <v>-2.9060000000000001</v>
      </c>
      <c r="AF3368">
        <v>4.5568763523214999</v>
      </c>
      <c r="AG3368">
        <v>-1.1096717179758</v>
      </c>
      <c r="AH3368">
        <v>50.112435671892598</v>
      </c>
      <c r="AI3368">
        <v>91.263319159281906</v>
      </c>
      <c r="AJ3368">
        <v>84.804209894426805</v>
      </c>
      <c r="AK3368">
        <v>50.331428574813998</v>
      </c>
      <c r="AL3368">
        <v>83.206812382539994</v>
      </c>
      <c r="AM3368">
        <v>85.725835218138599</v>
      </c>
      <c r="AN3368">
        <v>0.99999995472671999</v>
      </c>
    </row>
    <row r="3369" spans="1:40" x14ac:dyDescent="0.25">
      <c r="A3369" t="str">
        <f>"20190312151053575"</f>
        <v>20190312151053575</v>
      </c>
      <c r="B3369" t="str">
        <f>"1552374653564507"</f>
        <v>1552374653564507</v>
      </c>
      <c r="C3369" t="s">
        <v>40</v>
      </c>
      <c r="D3369">
        <v>5.2961410000000004</v>
      </c>
      <c r="E3369">
        <v>0.50872489999999904</v>
      </c>
      <c r="F3369" t="s">
        <v>52</v>
      </c>
      <c r="G3369">
        <v>-222.22739999999999</v>
      </c>
      <c r="H3369" s="1">
        <v>-1.8402260000000001E-7</v>
      </c>
      <c r="I3369">
        <v>210.78579999999999</v>
      </c>
      <c r="J3369">
        <v>-283.02050000000003</v>
      </c>
      <c r="K3369">
        <v>1.10964</v>
      </c>
      <c r="L3369">
        <v>214.57990000000001</v>
      </c>
      <c r="M3369">
        <v>0.99937560000000003</v>
      </c>
      <c r="N3369">
        <v>0</v>
      </c>
      <c r="O3369">
        <v>3.2302629999999999E-2</v>
      </c>
      <c r="P3369">
        <v>0.9935157</v>
      </c>
      <c r="Q3369">
        <v>0.10528800000000001</v>
      </c>
      <c r="R3369">
        <v>-4.2908420000000003E-2</v>
      </c>
      <c r="S3369">
        <v>3.0169980000000001</v>
      </c>
      <c r="T3369">
        <v>-5.4697280000000001E-2</v>
      </c>
      <c r="U3369">
        <v>-0.1863708</v>
      </c>
      <c r="V3369">
        <v>7.5147270000000002E-2</v>
      </c>
      <c r="W3369">
        <v>0.1193763</v>
      </c>
      <c r="X3369">
        <v>0.99000109999999997</v>
      </c>
      <c r="Y3369">
        <v>9.3847730000000004E-2</v>
      </c>
      <c r="Z3369">
        <v>-1.4349969999999999E-3</v>
      </c>
      <c r="AA3369">
        <v>0.99558550000000001</v>
      </c>
      <c r="AB3369">
        <v>41</v>
      </c>
      <c r="AC3369">
        <v>60.793100000000003</v>
      </c>
      <c r="AD3369">
        <v>-1.1096401840226</v>
      </c>
      <c r="AE3369">
        <v>-3.79410000000001</v>
      </c>
      <c r="AF3369">
        <v>5.7541882266421096</v>
      </c>
      <c r="AG3369">
        <v>-1.1096401840226</v>
      </c>
      <c r="AH3369">
        <v>60.618678168932497</v>
      </c>
      <c r="AI3369">
        <v>91.044004587527596</v>
      </c>
      <c r="AJ3369">
        <v>84.5774835607547</v>
      </c>
      <c r="AK3369">
        <v>60.901281812735498</v>
      </c>
      <c r="AL3369">
        <v>83.143891511035406</v>
      </c>
      <c r="AM3369">
        <v>85.659216372418697</v>
      </c>
      <c r="AN3369">
        <v>0.99999999559567598</v>
      </c>
    </row>
    <row r="3370" spans="1:40" x14ac:dyDescent="0.25">
      <c r="A3370" t="str">
        <f>"20190312151053597"</f>
        <v>20190312151053597</v>
      </c>
      <c r="B3370" t="str">
        <f>"1552374653593787"</f>
        <v>1552374653593787</v>
      </c>
      <c r="C3370" t="s">
        <v>40</v>
      </c>
      <c r="D3370">
        <v>5.2341170000000004</v>
      </c>
      <c r="E3370">
        <v>0.50892250000000006</v>
      </c>
      <c r="F3370" t="s">
        <v>52</v>
      </c>
      <c r="G3370">
        <v>-217.12639999999999</v>
      </c>
      <c r="H3370" s="1">
        <v>2.4430920000000002E-6</v>
      </c>
      <c r="I3370">
        <v>210.32579999999999</v>
      </c>
      <c r="J3370">
        <v>-282.60090000000002</v>
      </c>
      <c r="K3370">
        <v>1.109612</v>
      </c>
      <c r="L3370">
        <v>214.59299999999999</v>
      </c>
      <c r="M3370">
        <v>0.99939579999999995</v>
      </c>
      <c r="N3370">
        <v>0</v>
      </c>
      <c r="O3370">
        <v>3.1672970000000002E-2</v>
      </c>
      <c r="P3370">
        <v>0.99326930000000002</v>
      </c>
      <c r="Q3370">
        <v>0.1068192</v>
      </c>
      <c r="R3370">
        <v>-4.4791780000000003E-2</v>
      </c>
      <c r="S3370">
        <v>3.0165410000000001</v>
      </c>
      <c r="T3370">
        <v>-5.0797700000000001E-2</v>
      </c>
      <c r="U3370">
        <v>-0.1947479</v>
      </c>
      <c r="V3370">
        <v>7.6408160000000003E-2</v>
      </c>
      <c r="W3370">
        <v>0.120893899999999</v>
      </c>
      <c r="X3370">
        <v>0.98972039999999994</v>
      </c>
      <c r="Y3370">
        <v>9.5985929999999997E-2</v>
      </c>
      <c r="Z3370">
        <v>-1.3401859999999999E-3</v>
      </c>
      <c r="AA3370">
        <v>0.99538179999999998</v>
      </c>
      <c r="AB3370">
        <v>41</v>
      </c>
      <c r="AC3370">
        <v>65.474500000000006</v>
      </c>
      <c r="AD3370">
        <v>-1.109609556908</v>
      </c>
      <c r="AE3370">
        <v>-4.2671999999999999</v>
      </c>
      <c r="AF3370">
        <v>6.3372305641007403</v>
      </c>
      <c r="AG3370">
        <v>-1.109609556908</v>
      </c>
      <c r="AH3370">
        <v>65.287803180219399</v>
      </c>
      <c r="AI3370">
        <v>90.9691321486454</v>
      </c>
      <c r="AJ3370">
        <v>84.455892109505697</v>
      </c>
      <c r="AK3370">
        <v>65.604031649666396</v>
      </c>
      <c r="AL3370">
        <v>83.056305159843006</v>
      </c>
      <c r="AM3370">
        <v>85.585421360375705</v>
      </c>
      <c r="AN3370">
        <v>1.00000000607397</v>
      </c>
    </row>
    <row r="3371" spans="1:40" x14ac:dyDescent="0.25">
      <c r="A3371" t="str">
        <f>"20190312151053620"</f>
        <v>20190312151053620</v>
      </c>
      <c r="B3371" t="str">
        <f>"1552374653614283"</f>
        <v>1552374653614283</v>
      </c>
      <c r="C3371" t="s">
        <v>40</v>
      </c>
      <c r="D3371">
        <v>5.2663190000000002</v>
      </c>
      <c r="E3371">
        <v>0.50894949999999906</v>
      </c>
      <c r="F3371" t="s">
        <v>52</v>
      </c>
      <c r="G3371">
        <v>-213.3818</v>
      </c>
      <c r="H3371" s="1">
        <v>4.664256E-7</v>
      </c>
      <c r="I3371">
        <v>209.95869999999999</v>
      </c>
      <c r="J3371">
        <v>-282.21010000000001</v>
      </c>
      <c r="K3371">
        <v>1.10959599999999</v>
      </c>
      <c r="L3371">
        <v>214.60489999999999</v>
      </c>
      <c r="M3371">
        <v>0.99941429999999998</v>
      </c>
      <c r="N3371">
        <v>0</v>
      </c>
      <c r="O3371">
        <v>3.1085970000000001E-2</v>
      </c>
      <c r="P3371">
        <v>0.99304899999999996</v>
      </c>
      <c r="Q3371">
        <v>0.108047699999999</v>
      </c>
      <c r="R3371">
        <v>-4.6684530000000002E-2</v>
      </c>
      <c r="S3371">
        <v>3.0164179999999998</v>
      </c>
      <c r="T3371">
        <v>-4.8354510000000003E-2</v>
      </c>
      <c r="U3371">
        <v>-0.20195009999999999</v>
      </c>
      <c r="V3371">
        <v>7.7719449999999995E-2</v>
      </c>
      <c r="W3371">
        <v>0.1221103</v>
      </c>
      <c r="X3371">
        <v>0.98946889999999998</v>
      </c>
      <c r="Y3371">
        <v>9.7771670000000005E-2</v>
      </c>
      <c r="Z3371">
        <v>-1.280588E-3</v>
      </c>
      <c r="AA3371">
        <v>0.99520799999999998</v>
      </c>
      <c r="AB3371">
        <v>41</v>
      </c>
      <c r="AC3371">
        <v>68.828299999999999</v>
      </c>
      <c r="AD3371">
        <v>-1.1095955335744001</v>
      </c>
      <c r="AE3371">
        <v>-4.6461999999999897</v>
      </c>
      <c r="AF3371">
        <v>6.7820130043967897</v>
      </c>
      <c r="AG3371">
        <v>-1.1095955335744001</v>
      </c>
      <c r="AH3371">
        <v>68.632826735477806</v>
      </c>
      <c r="AI3371">
        <v>90.921738891403507</v>
      </c>
      <c r="AJ3371">
        <v>84.356588190534097</v>
      </c>
      <c r="AK3371">
        <v>68.976023430914395</v>
      </c>
      <c r="AL3371">
        <v>82.9860901142806</v>
      </c>
      <c r="AM3371">
        <v>85.508830519527606</v>
      </c>
      <c r="AN3371">
        <v>0.99999997117079997</v>
      </c>
    </row>
    <row r="3372" spans="1:40" x14ac:dyDescent="0.25">
      <c r="A3372" t="str">
        <f>"20190312151053641"</f>
        <v>20190312151053641</v>
      </c>
      <c r="B3372" t="str">
        <f>"1552374653633807"</f>
        <v>1552374653633807</v>
      </c>
      <c r="C3372" t="s">
        <v>40</v>
      </c>
      <c r="D3372">
        <v>5.2297219999999998</v>
      </c>
      <c r="E3372">
        <v>0.50911379999999995</v>
      </c>
      <c r="F3372" t="s">
        <v>50</v>
      </c>
      <c r="G3372">
        <v>-209.85820000000001</v>
      </c>
      <c r="H3372">
        <v>7.0666510000000002E-3</v>
      </c>
      <c r="I3372">
        <v>209.6163</v>
      </c>
      <c r="J3372">
        <v>-281.79000000000002</v>
      </c>
      <c r="K3372">
        <v>1.109588</v>
      </c>
      <c r="L3372">
        <v>214.6173</v>
      </c>
      <c r="M3372">
        <v>0.99943380000000004</v>
      </c>
      <c r="N3372">
        <v>0</v>
      </c>
      <c r="O3372">
        <v>3.0454450000000001E-2</v>
      </c>
      <c r="P3372">
        <v>0.99262189999999995</v>
      </c>
      <c r="Q3372">
        <v>0.11126469999999999</v>
      </c>
      <c r="R3372">
        <v>-4.8192209999999999E-2</v>
      </c>
      <c r="S3372">
        <v>3.0162049999999998</v>
      </c>
      <c r="T3372">
        <v>-4.5962210000000003E-2</v>
      </c>
      <c r="U3372">
        <v>-0.20796200000000001</v>
      </c>
      <c r="V3372">
        <v>7.8597630000000002E-2</v>
      </c>
      <c r="W3372">
        <v>0.1253128</v>
      </c>
      <c r="X3372">
        <v>0.98899910000000002</v>
      </c>
      <c r="Y3372">
        <v>9.9123470000000005E-2</v>
      </c>
      <c r="Z3372">
        <v>-1.2179199999999999E-3</v>
      </c>
      <c r="AA3372">
        <v>0.99507440000000003</v>
      </c>
      <c r="AB3372">
        <v>41</v>
      </c>
      <c r="AC3372">
        <v>71.931799999999996</v>
      </c>
      <c r="AD3372">
        <v>-1.1025213490000001</v>
      </c>
      <c r="AE3372">
        <v>-5.0010000000000003</v>
      </c>
      <c r="AF3372">
        <v>7.1878668916963901</v>
      </c>
      <c r="AG3372">
        <v>-1.1025213490000001</v>
      </c>
      <c r="AH3372">
        <v>71.7293396557357</v>
      </c>
      <c r="AI3372">
        <v>90.8762122120024</v>
      </c>
      <c r="AJ3372">
        <v>84.277597121190695</v>
      </c>
      <c r="AK3372">
        <v>72.097012082510304</v>
      </c>
      <c r="AL3372">
        <v>82.801180440853898</v>
      </c>
      <c r="AM3372">
        <v>85.456145917702301</v>
      </c>
      <c r="AN3372">
        <v>1.0000000525431301</v>
      </c>
    </row>
    <row r="3373" spans="1:40" x14ac:dyDescent="0.25">
      <c r="A3373" t="str">
        <f>"20190312151053665"</f>
        <v>20190312151053665</v>
      </c>
      <c r="B3373" t="str">
        <f>"1552374653654299"</f>
        <v>1552374653654299</v>
      </c>
      <c r="C3373" t="s">
        <v>40</v>
      </c>
      <c r="D3373">
        <v>5.2270089999999998</v>
      </c>
      <c r="E3373">
        <v>0.50909529999999903</v>
      </c>
      <c r="F3373" t="s">
        <v>52</v>
      </c>
      <c r="G3373">
        <v>-218.97669999999999</v>
      </c>
      <c r="H3373" s="1">
        <v>3.4349619999999999E-6</v>
      </c>
      <c r="I3373">
        <v>210.15960000000001</v>
      </c>
      <c r="J3373">
        <v>-281.37490000000003</v>
      </c>
      <c r="K3373">
        <v>1.109583</v>
      </c>
      <c r="L3373">
        <v>214.6294</v>
      </c>
      <c r="M3373">
        <v>0.99945249999999997</v>
      </c>
      <c r="N3373">
        <v>0</v>
      </c>
      <c r="O3373">
        <v>2.9830990000000002E-2</v>
      </c>
      <c r="P3373">
        <v>0.99206430000000001</v>
      </c>
      <c r="Q3373">
        <v>0.11530029999999999</v>
      </c>
      <c r="R3373">
        <v>-5.0145290000000002E-2</v>
      </c>
      <c r="S3373">
        <v>3.0178829999999999</v>
      </c>
      <c r="T3373">
        <v>-5.3310280000000002E-2</v>
      </c>
      <c r="U3373">
        <v>-0.21417240000000001</v>
      </c>
      <c r="V3373">
        <v>7.99261E-2</v>
      </c>
      <c r="W3373">
        <v>0.1293329</v>
      </c>
      <c r="X3373">
        <v>0.9883748</v>
      </c>
      <c r="Y3373">
        <v>0.10049710000000001</v>
      </c>
      <c r="Z3373">
        <v>-1.4128369999999999E-3</v>
      </c>
      <c r="AA3373">
        <v>0.9949363</v>
      </c>
      <c r="AB3373">
        <v>41</v>
      </c>
      <c r="AC3373">
        <v>62.398200000000003</v>
      </c>
      <c r="AD3373">
        <v>-1.109579565038</v>
      </c>
      <c r="AE3373">
        <v>-4.4697999999999896</v>
      </c>
      <c r="AF3373">
        <v>6.3274105042609001</v>
      </c>
      <c r="AG3373">
        <v>-1.109579565038</v>
      </c>
      <c r="AH3373">
        <v>62.217498980856298</v>
      </c>
      <c r="AI3373">
        <v>91.016456155455103</v>
      </c>
      <c r="AJ3373">
        <v>84.193084221754205</v>
      </c>
      <c r="AK3373">
        <v>62.548257129463202</v>
      </c>
      <c r="AL3373">
        <v>82.568954851730695</v>
      </c>
      <c r="AM3373">
        <v>85.376768973725206</v>
      </c>
      <c r="AN3373">
        <v>0.99999996287932902</v>
      </c>
    </row>
    <row r="3374" spans="1:40" x14ac:dyDescent="0.25">
      <c r="A3374" t="str">
        <f>"20190312151053687"</f>
        <v>20190312151053687</v>
      </c>
      <c r="B3374" t="str">
        <f>"1552374653684554"</f>
        <v>1552374653684554</v>
      </c>
      <c r="C3374" t="s">
        <v>40</v>
      </c>
      <c r="D3374">
        <v>5.2273699999999996</v>
      </c>
      <c r="E3374">
        <v>0.50900140000000005</v>
      </c>
      <c r="F3374" t="s">
        <v>52</v>
      </c>
      <c r="G3374">
        <v>-222.7201</v>
      </c>
      <c r="H3374" s="1">
        <v>9.695233E-8</v>
      </c>
      <c r="I3374">
        <v>210.3562</v>
      </c>
      <c r="J3374">
        <v>-280.96449999999999</v>
      </c>
      <c r="K3374">
        <v>1.1095900000000001</v>
      </c>
      <c r="L3374">
        <v>214.64109999999999</v>
      </c>
      <c r="M3374">
        <v>0.99947070000000005</v>
      </c>
      <c r="N3374">
        <v>0</v>
      </c>
      <c r="O3374">
        <v>2.9214879999999999E-2</v>
      </c>
      <c r="P3374">
        <v>0.99142350000000001</v>
      </c>
      <c r="Q3374">
        <v>0.1198174</v>
      </c>
      <c r="R3374">
        <v>-5.2184729999999999E-2</v>
      </c>
      <c r="S3374">
        <v>3.0195310000000002</v>
      </c>
      <c r="T3374">
        <v>-5.7121039999999998E-2</v>
      </c>
      <c r="U3374">
        <v>-0.21998599999999999</v>
      </c>
      <c r="V3374">
        <v>8.1346150000000006E-2</v>
      </c>
      <c r="W3374">
        <v>0.1338329</v>
      </c>
      <c r="X3374">
        <v>0.98765959999999997</v>
      </c>
      <c r="Y3374">
        <v>0.10174809999999999</v>
      </c>
      <c r="Z3374">
        <v>-1.513061E-3</v>
      </c>
      <c r="AA3374">
        <v>0.99480900000000005</v>
      </c>
      <c r="AB3374">
        <v>41</v>
      </c>
      <c r="AC3374">
        <v>58.244399999999899</v>
      </c>
      <c r="AD3374">
        <v>-1.1095899030476699</v>
      </c>
      <c r="AE3374">
        <v>-4.2848999999999897</v>
      </c>
      <c r="AF3374">
        <v>5.9826884927812101</v>
      </c>
      <c r="AG3374">
        <v>-1.1095899030476699</v>
      </c>
      <c r="AH3374">
        <v>58.073375060288903</v>
      </c>
      <c r="AI3374">
        <v>91.088838161439796</v>
      </c>
      <c r="AJ3374">
        <v>84.118168409111306</v>
      </c>
      <c r="AK3374">
        <v>58.391271969769498</v>
      </c>
      <c r="AL3374">
        <v>82.308862142927595</v>
      </c>
      <c r="AM3374">
        <v>85.291601679573205</v>
      </c>
      <c r="AN3374">
        <v>0.99999996335719499</v>
      </c>
    </row>
    <row r="3375" spans="1:40" x14ac:dyDescent="0.25">
      <c r="A3375" t="str">
        <f>"20190312151053708"</f>
        <v>20190312151053708</v>
      </c>
      <c r="B3375" t="str">
        <f>"1552374653704075"</f>
        <v>1552374653704075</v>
      </c>
      <c r="C3375" t="s">
        <v>40</v>
      </c>
      <c r="D3375">
        <v>5.2711360000000003</v>
      </c>
      <c r="E3375">
        <v>0.50890670000000005</v>
      </c>
      <c r="F3375" t="s">
        <v>52</v>
      </c>
      <c r="G3375">
        <v>-220.1918</v>
      </c>
      <c r="H3375" s="1">
        <v>-1.2374260000000001E-6</v>
      </c>
      <c r="I3375">
        <v>210.1027</v>
      </c>
      <c r="J3375">
        <v>-280.56560000000002</v>
      </c>
      <c r="K3375">
        <v>1.1095950000000001</v>
      </c>
      <c r="L3375">
        <v>214.65219999999999</v>
      </c>
      <c r="M3375">
        <v>0.9994883</v>
      </c>
      <c r="N3375">
        <v>0</v>
      </c>
      <c r="O3375">
        <v>2.8615209999999999E-2</v>
      </c>
      <c r="P3375">
        <v>0.99076039999999999</v>
      </c>
      <c r="Q3375">
        <v>0.1238993</v>
      </c>
      <c r="R3375">
        <v>-5.5166350000000003E-2</v>
      </c>
      <c r="S3375">
        <v>3.0207519999999999</v>
      </c>
      <c r="T3375">
        <v>-5.5153010000000002E-2</v>
      </c>
      <c r="U3375">
        <v>-0.22558590000000001</v>
      </c>
      <c r="V3375">
        <v>8.3723220000000001E-2</v>
      </c>
      <c r="W3375">
        <v>0.13789660000000001</v>
      </c>
      <c r="X3375">
        <v>0.98690169999999999</v>
      </c>
      <c r="Y3375">
        <v>0.1029577</v>
      </c>
      <c r="Z3375">
        <v>-1.460345E-3</v>
      </c>
      <c r="AA3375">
        <v>0.99468460000000003</v>
      </c>
      <c r="AB3375">
        <v>41</v>
      </c>
      <c r="AC3375">
        <v>60.373800000000003</v>
      </c>
      <c r="AD3375">
        <v>-1.109596237426</v>
      </c>
      <c r="AE3375">
        <v>-4.5494999999999903</v>
      </c>
      <c r="AF3375">
        <v>6.27331504753493</v>
      </c>
      <c r="AG3375">
        <v>-1.109596237426</v>
      </c>
      <c r="AH3375">
        <v>60.198654697670896</v>
      </c>
      <c r="AI3375">
        <v>91.050283922486798</v>
      </c>
      <c r="AJ3375">
        <v>84.050668323420197</v>
      </c>
      <c r="AK3375">
        <v>60.534814056914001</v>
      </c>
      <c r="AL3375">
        <v>82.073850280389493</v>
      </c>
      <c r="AM3375">
        <v>85.150956963099006</v>
      </c>
      <c r="AN3375">
        <v>1.0000000076608</v>
      </c>
    </row>
    <row r="3376" spans="1:40" x14ac:dyDescent="0.25">
      <c r="A3376" t="str">
        <f>"20190312151053731"</f>
        <v>20190312151053731</v>
      </c>
      <c r="B3376" t="str">
        <f>"1552374653724574"</f>
        <v>1552374653724574</v>
      </c>
      <c r="C3376" t="s">
        <v>40</v>
      </c>
      <c r="D3376">
        <v>5.2369510000000004</v>
      </c>
      <c r="E3376">
        <v>0.50890619999999998</v>
      </c>
      <c r="F3376" t="s">
        <v>52</v>
      </c>
      <c r="G3376">
        <v>-221.0949</v>
      </c>
      <c r="H3376" s="1">
        <v>-7.5473699999999896E-7</v>
      </c>
      <c r="I3376">
        <v>210.0547</v>
      </c>
      <c r="J3376">
        <v>-280.16410000000002</v>
      </c>
      <c r="K3376">
        <v>1.109599</v>
      </c>
      <c r="L3376">
        <v>214.66319999999999</v>
      </c>
      <c r="M3376">
        <v>0.99950519999999998</v>
      </c>
      <c r="N3376">
        <v>0</v>
      </c>
      <c r="O3376">
        <v>2.801124E-2</v>
      </c>
      <c r="P3376">
        <v>0.98999230000000005</v>
      </c>
      <c r="Q3376">
        <v>0.1287826</v>
      </c>
      <c r="R3376">
        <v>-5.7709829999999997E-2</v>
      </c>
      <c r="S3376">
        <v>3.0220340000000001</v>
      </c>
      <c r="T3376">
        <v>-5.638468E-2</v>
      </c>
      <c r="U3376">
        <v>-0.23362730000000001</v>
      </c>
      <c r="V3376">
        <v>8.5656620000000003E-2</v>
      </c>
      <c r="W3376">
        <v>0.14276129999999901</v>
      </c>
      <c r="X3376">
        <v>0.98604369999999997</v>
      </c>
      <c r="Y3376">
        <v>0.10495549999999999</v>
      </c>
      <c r="Z3376">
        <v>-1.499528E-3</v>
      </c>
      <c r="AA3376">
        <v>0.99447580000000002</v>
      </c>
      <c r="AB3376">
        <v>41</v>
      </c>
      <c r="AC3376">
        <v>59.069200000000002</v>
      </c>
      <c r="AD3376">
        <v>-1.109599754737</v>
      </c>
      <c r="AE3376">
        <v>-4.6084999999999896</v>
      </c>
      <c r="AF3376">
        <v>6.2592669022876697</v>
      </c>
      <c r="AG3376">
        <v>-1.109599754737</v>
      </c>
      <c r="AH3376">
        <v>58.8962571847634</v>
      </c>
      <c r="AI3376">
        <v>91.073276544663798</v>
      </c>
      <c r="AJ3376">
        <v>83.9335965387925</v>
      </c>
      <c r="AK3376">
        <v>59.238321584457303</v>
      </c>
      <c r="AL3376">
        <v>81.792337655507694</v>
      </c>
      <c r="AM3376">
        <v>85.035236889346194</v>
      </c>
      <c r="AN3376">
        <v>1.0000000118186001</v>
      </c>
    </row>
    <row r="3377" spans="1:40" x14ac:dyDescent="0.25">
      <c r="A3377" t="str">
        <f>"20190312151053753"</f>
        <v>20190312151053753</v>
      </c>
      <c r="B3377" t="str">
        <f>"1552374653744091"</f>
        <v>1552374653744091</v>
      </c>
      <c r="C3377" t="s">
        <v>40</v>
      </c>
      <c r="D3377">
        <v>5.2452930000000002</v>
      </c>
      <c r="E3377">
        <v>0.50876120000000002</v>
      </c>
      <c r="F3377" t="s">
        <v>52</v>
      </c>
      <c r="G3377">
        <v>-217.0153</v>
      </c>
      <c r="H3377">
        <v>3.516474E-2</v>
      </c>
      <c r="I3377">
        <v>209.6163</v>
      </c>
      <c r="J3377">
        <v>-279.74160000000001</v>
      </c>
      <c r="K3377">
        <v>1.1096159999999999</v>
      </c>
      <c r="L3377">
        <v>214.67439999999999</v>
      </c>
      <c r="M3377">
        <v>0.99952300000000005</v>
      </c>
      <c r="N3377">
        <v>0</v>
      </c>
      <c r="O3377">
        <v>2.7374869999999999E-2</v>
      </c>
      <c r="P3377">
        <v>0.98899789999999999</v>
      </c>
      <c r="Q3377">
        <v>0.13508239999999999</v>
      </c>
      <c r="R3377">
        <v>-6.0302229999999998E-2</v>
      </c>
      <c r="S3377">
        <v>3.0229189999999999</v>
      </c>
      <c r="T3377">
        <v>-5.1432970000000001E-2</v>
      </c>
      <c r="U3377">
        <v>-0.24159240000000001</v>
      </c>
      <c r="V3377">
        <v>8.7603520000000004E-2</v>
      </c>
      <c r="W3377">
        <v>0.14904010000000001</v>
      </c>
      <c r="X3377">
        <v>0.98494300000000001</v>
      </c>
      <c r="Y3377">
        <v>0.10690769999999999</v>
      </c>
      <c r="Z3377">
        <v>-1.37309E-3</v>
      </c>
      <c r="AA3377">
        <v>0.99426800000000004</v>
      </c>
      <c r="AB3377">
        <v>41</v>
      </c>
      <c r="AC3377">
        <v>62.726300000000002</v>
      </c>
      <c r="AD3377">
        <v>-1.07445126</v>
      </c>
      <c r="AE3377">
        <v>-5.0580999999999898</v>
      </c>
      <c r="AF3377">
        <v>6.7715298493794904</v>
      </c>
      <c r="AG3377">
        <v>-1.07445126</v>
      </c>
      <c r="AH3377">
        <v>62.546075728195703</v>
      </c>
      <c r="AI3377">
        <v>90.978445481716705</v>
      </c>
      <c r="AJ3377">
        <v>83.820958707556201</v>
      </c>
      <c r="AK3377">
        <v>62.920741023992598</v>
      </c>
      <c r="AL3377">
        <v>81.428697121844706</v>
      </c>
      <c r="AM3377">
        <v>84.917331429712505</v>
      </c>
      <c r="AN3377">
        <v>1.0000000206866999</v>
      </c>
    </row>
    <row r="3378" spans="1:40" x14ac:dyDescent="0.25">
      <c r="A3378" t="str">
        <f>"20190312151053776"</f>
        <v>20190312151053776</v>
      </c>
      <c r="B3378" t="str">
        <f>"1552374653764587"</f>
        <v>1552374653764587</v>
      </c>
      <c r="C3378" t="s">
        <v>40</v>
      </c>
      <c r="D3378">
        <v>5.221101</v>
      </c>
      <c r="E3378">
        <v>0.5086524</v>
      </c>
      <c r="F3378" t="s">
        <v>50</v>
      </c>
      <c r="G3378">
        <v>-207.78899999999999</v>
      </c>
      <c r="H3378">
        <v>8.0000779999999994E-2</v>
      </c>
      <c r="I3378">
        <v>208.7533</v>
      </c>
      <c r="J3378">
        <v>-279.33300000000003</v>
      </c>
      <c r="K3378">
        <v>1.109639</v>
      </c>
      <c r="L3378">
        <v>214.68510000000001</v>
      </c>
      <c r="M3378">
        <v>0.99953970000000003</v>
      </c>
      <c r="N3378">
        <v>0</v>
      </c>
      <c r="O3378">
        <v>2.6759140000000001E-2</v>
      </c>
      <c r="P3378">
        <v>0.98783650000000001</v>
      </c>
      <c r="Q3378">
        <v>0.1421888</v>
      </c>
      <c r="R3378">
        <v>-6.2940159999999995E-2</v>
      </c>
      <c r="S3378">
        <v>3.0240779999999998</v>
      </c>
      <c r="T3378">
        <v>-4.3273449999999998E-2</v>
      </c>
      <c r="U3378">
        <v>-0.24885560000000001</v>
      </c>
      <c r="V3378">
        <v>8.9614429999999995E-2</v>
      </c>
      <c r="W3378">
        <v>0.15612309999999999</v>
      </c>
      <c r="X3378">
        <v>0.98366399999999998</v>
      </c>
      <c r="Y3378">
        <v>0.10864269999999999</v>
      </c>
      <c r="Z3378">
        <v>-1.158325E-3</v>
      </c>
      <c r="AA3378">
        <v>0.99408019999999997</v>
      </c>
      <c r="AB3378">
        <v>41</v>
      </c>
      <c r="AC3378">
        <v>71.543999999999897</v>
      </c>
      <c r="AD3378">
        <v>-1.02963822</v>
      </c>
      <c r="AE3378">
        <v>-5.9318000000000097</v>
      </c>
      <c r="AF3378">
        <v>7.8427136911618103</v>
      </c>
      <c r="AG3378">
        <v>-1.02963822</v>
      </c>
      <c r="AH3378">
        <v>71.344953385173298</v>
      </c>
      <c r="AI3378">
        <v>90.821875411707495</v>
      </c>
      <c r="AJ3378">
        <v>83.726852380797297</v>
      </c>
      <c r="AK3378">
        <v>71.782105614409005</v>
      </c>
      <c r="AL3378">
        <v>81.018061979569296</v>
      </c>
      <c r="AM3378">
        <v>84.794570167967294</v>
      </c>
      <c r="AN3378">
        <v>1.0000000166569101</v>
      </c>
    </row>
    <row r="3379" spans="1:40" x14ac:dyDescent="0.25">
      <c r="A3379" t="str">
        <f>"20190312151053799"</f>
        <v>20190312151053799</v>
      </c>
      <c r="B3379" t="str">
        <f>"1552374653793866"</f>
        <v>1552374653793866</v>
      </c>
      <c r="C3379" t="s">
        <v>40</v>
      </c>
      <c r="D3379">
        <v>5.2444689999999996</v>
      </c>
      <c r="E3379">
        <v>0.5067469</v>
      </c>
      <c r="F3379" t="s">
        <v>50</v>
      </c>
      <c r="G3379">
        <v>-179.93170000000001</v>
      </c>
      <c r="H3379">
        <v>7.6114420000000002E-2</v>
      </c>
      <c r="I3379">
        <v>206.24780000000001</v>
      </c>
      <c r="J3379">
        <v>-278.92070000000001</v>
      </c>
      <c r="K3379">
        <v>1.1096680000000001</v>
      </c>
      <c r="L3379">
        <v>214.69550000000001</v>
      </c>
      <c r="M3379">
        <v>0.99955609999999995</v>
      </c>
      <c r="N3379">
        <v>0</v>
      </c>
      <c r="O3379">
        <v>2.6137179999999999E-2</v>
      </c>
      <c r="P3379">
        <v>0.98658319999999999</v>
      </c>
      <c r="Q3379">
        <v>0.14943689999999901</v>
      </c>
      <c r="R3379">
        <v>-6.5745120000000004E-2</v>
      </c>
      <c r="S3379">
        <v>3.0251160000000001</v>
      </c>
      <c r="T3379">
        <v>-3.145361E-2</v>
      </c>
      <c r="U3379">
        <v>-0.25677489999999997</v>
      </c>
      <c r="V3379">
        <v>9.1785050000000007E-2</v>
      </c>
      <c r="W3379">
        <v>0.16334570000000001</v>
      </c>
      <c r="X3379">
        <v>0.98229</v>
      </c>
      <c r="Y3379">
        <v>0.1105868</v>
      </c>
      <c r="Z3379">
        <v>-8.4521119999999997E-4</v>
      </c>
      <c r="AA3379">
        <v>0.99386609999999997</v>
      </c>
      <c r="AB3379">
        <v>41</v>
      </c>
      <c r="AC3379">
        <v>98.988999999999905</v>
      </c>
      <c r="AD3379">
        <v>-1.03355358</v>
      </c>
      <c r="AE3379">
        <v>-8.4476999999999904</v>
      </c>
      <c r="AF3379">
        <v>11.031177337962101</v>
      </c>
      <c r="AG3379">
        <v>-1.03355358</v>
      </c>
      <c r="AH3379">
        <v>98.723668710253605</v>
      </c>
      <c r="AI3379">
        <v>90.596107100648894</v>
      </c>
      <c r="AJ3379">
        <v>83.624335198225296</v>
      </c>
      <c r="AK3379">
        <v>99.343433955527303</v>
      </c>
      <c r="AL3379">
        <v>80.598853512802606</v>
      </c>
      <c r="AM3379">
        <v>84.661789785306397</v>
      </c>
      <c r="AN3379">
        <v>0.99999997860599599</v>
      </c>
    </row>
    <row r="3380" spans="1:40" x14ac:dyDescent="0.25">
      <c r="A3380" t="str">
        <f>"20190312151053821"</f>
        <v>20190312151053821</v>
      </c>
      <c r="B3380" t="str">
        <f>"1552374653814180"</f>
        <v>1552374653814180</v>
      </c>
      <c r="C3380" t="s">
        <v>40</v>
      </c>
      <c r="D3380">
        <v>5.2220789999999999</v>
      </c>
      <c r="E3380">
        <v>0.50630189999999997</v>
      </c>
      <c r="F3380" t="s">
        <v>41</v>
      </c>
      <c r="G3380">
        <v>-277.84480000000002</v>
      </c>
      <c r="H3380">
        <v>1.034538</v>
      </c>
      <c r="I3380">
        <v>214.60730000000001</v>
      </c>
      <c r="J3380">
        <v>-278.52719999999999</v>
      </c>
      <c r="K3380">
        <v>1.1096809999999999</v>
      </c>
      <c r="L3380">
        <v>214.70529999999999</v>
      </c>
      <c r="M3380">
        <v>0.9995716</v>
      </c>
      <c r="N3380">
        <v>0</v>
      </c>
      <c r="O3380">
        <v>2.5543360000000001E-2</v>
      </c>
      <c r="P3380">
        <v>0.98595869999999997</v>
      </c>
      <c r="Q3380">
        <v>0.1527192</v>
      </c>
      <c r="R3380">
        <v>-6.7545980000000005E-2</v>
      </c>
      <c r="S3380">
        <v>3.0564269999999998</v>
      </c>
      <c r="T3380">
        <v>-0.21348230000000001</v>
      </c>
      <c r="U3380">
        <v>-0.25035099999999999</v>
      </c>
      <c r="V3380">
        <v>9.2990320000000001E-2</v>
      </c>
      <c r="W3380">
        <v>0.16661519999999999</v>
      </c>
      <c r="X3380">
        <v>0.98162729999999998</v>
      </c>
      <c r="Y3380">
        <v>0.10675</v>
      </c>
      <c r="Z3380">
        <v>-5.4968339999999999E-3</v>
      </c>
      <c r="AA3380">
        <v>0.99427069999999995</v>
      </c>
      <c r="AB3380">
        <v>41</v>
      </c>
      <c r="AC3380">
        <v>0.68239999999997203</v>
      </c>
      <c r="AD3380">
        <v>-7.5142999999999904E-2</v>
      </c>
      <c r="AE3380">
        <v>-9.7999999999984697E-2</v>
      </c>
      <c r="AF3380">
        <v>0.11404567104062401</v>
      </c>
      <c r="AG3380">
        <v>-7.5142999999999904E-2</v>
      </c>
      <c r="AH3380">
        <v>0.67169376265302305</v>
      </c>
      <c r="AI3380">
        <v>96.293854306864603</v>
      </c>
      <c r="AJ3380">
        <v>80.363749805753699</v>
      </c>
      <c r="AK3380">
        <v>0.68543810538886896</v>
      </c>
      <c r="AL3380">
        <v>80.408922318135794</v>
      </c>
      <c r="AM3380">
        <v>84.588475079648205</v>
      </c>
      <c r="AN3380">
        <v>0.99999999029501596</v>
      </c>
    </row>
    <row r="3381" spans="1:40" x14ac:dyDescent="0.25">
      <c r="A3381" t="str">
        <f>"20190312151053842"</f>
        <v>20190312151053842</v>
      </c>
      <c r="B3381" t="str">
        <f>"1552374653834677"</f>
        <v>1552374653834677</v>
      </c>
      <c r="C3381" t="s">
        <v>40</v>
      </c>
      <c r="D3381">
        <v>5.182334</v>
      </c>
      <c r="E3381">
        <v>0.50587660000000001</v>
      </c>
      <c r="F3381" t="s">
        <v>41</v>
      </c>
      <c r="G3381">
        <v>-277.47899999999998</v>
      </c>
      <c r="H3381">
        <v>1.038157</v>
      </c>
      <c r="I3381">
        <v>214.6182</v>
      </c>
      <c r="J3381">
        <v>-278.12799999999999</v>
      </c>
      <c r="K3381">
        <v>1.109704</v>
      </c>
      <c r="L3381">
        <v>214.7149</v>
      </c>
      <c r="M3381">
        <v>0.9995868</v>
      </c>
      <c r="N3381">
        <v>0</v>
      </c>
      <c r="O3381">
        <v>2.4941209999999998E-2</v>
      </c>
      <c r="P3381">
        <v>0.98489899999999997</v>
      </c>
      <c r="Q3381">
        <v>0.15834790000000001</v>
      </c>
      <c r="R3381">
        <v>-7.0001010000000002E-2</v>
      </c>
      <c r="S3381">
        <v>3.0577390000000002</v>
      </c>
      <c r="T3381">
        <v>-0.2087417</v>
      </c>
      <c r="U3381">
        <v>-0.2533417</v>
      </c>
      <c r="V3381">
        <v>9.483511E-2</v>
      </c>
      <c r="W3381">
        <v>0.1722226</v>
      </c>
      <c r="X3381">
        <v>0.98048239999999998</v>
      </c>
      <c r="Y3381">
        <v>0.1070972</v>
      </c>
      <c r="Z3381">
        <v>-5.3433650000000001E-3</v>
      </c>
      <c r="AA3381">
        <v>0.99423419999999896</v>
      </c>
      <c r="AB3381">
        <v>41</v>
      </c>
      <c r="AC3381">
        <v>0.64899999999994396</v>
      </c>
      <c r="AD3381">
        <v>-7.1546999999999999E-2</v>
      </c>
      <c r="AE3381">
        <v>-9.6699999999998398E-2</v>
      </c>
      <c r="AF3381">
        <v>0.111532365303448</v>
      </c>
      <c r="AG3381">
        <v>-7.1546999999999999E-2</v>
      </c>
      <c r="AH3381">
        <v>0.63879120733090999</v>
      </c>
      <c r="AI3381">
        <v>96.296239332624396</v>
      </c>
      <c r="AJ3381">
        <v>80.096043737089602</v>
      </c>
      <c r="AK3381">
        <v>0.65238995108942599</v>
      </c>
      <c r="AL3381">
        <v>80.082929363839298</v>
      </c>
      <c r="AM3381">
        <v>84.4753709846173</v>
      </c>
      <c r="AN3381">
        <v>1.0000000293746101</v>
      </c>
    </row>
    <row r="3382" spans="1:40" x14ac:dyDescent="0.25">
      <c r="A3382" t="str">
        <f>"20190312151053864"</f>
        <v>20190312151053864</v>
      </c>
      <c r="B3382" t="str">
        <f>"1552374653854195"</f>
        <v>1552374653854195</v>
      </c>
      <c r="C3382" t="s">
        <v>40</v>
      </c>
      <c r="D3382">
        <v>5.2491190000000003</v>
      </c>
      <c r="E3382">
        <v>0.50577399999999995</v>
      </c>
      <c r="F3382" t="s">
        <v>41</v>
      </c>
      <c r="G3382">
        <v>-277.11149999999998</v>
      </c>
      <c r="H3382">
        <v>1.043042</v>
      </c>
      <c r="I3382">
        <v>214.62899999999999</v>
      </c>
      <c r="J3382">
        <v>-277.72239999999999</v>
      </c>
      <c r="K3382">
        <v>1.109715</v>
      </c>
      <c r="L3382">
        <v>214.72450000000001</v>
      </c>
      <c r="M3382">
        <v>0.99960199999999999</v>
      </c>
      <c r="N3382">
        <v>0</v>
      </c>
      <c r="O3382">
        <v>2.4328570000000001E-2</v>
      </c>
      <c r="P3382">
        <v>0.98418530000000004</v>
      </c>
      <c r="Q3382">
        <v>0.16179279999999999</v>
      </c>
      <c r="R3382">
        <v>-7.2130260000000002E-2</v>
      </c>
      <c r="S3382">
        <v>3.0599370000000001</v>
      </c>
      <c r="T3382">
        <v>-0.20070350000000001</v>
      </c>
      <c r="U3382">
        <v>-0.2584381</v>
      </c>
      <c r="V3382">
        <v>9.6349840000000006E-2</v>
      </c>
      <c r="W3382">
        <v>0.17565229999999901</v>
      </c>
      <c r="X3382">
        <v>0.97972599999999999</v>
      </c>
      <c r="Y3382">
        <v>0.1080962</v>
      </c>
      <c r="Z3382">
        <v>-5.1266219999999999E-3</v>
      </c>
      <c r="AA3382">
        <v>0.99412719999999999</v>
      </c>
      <c r="AB3382">
        <v>41</v>
      </c>
      <c r="AC3382">
        <v>0.61090000000001499</v>
      </c>
      <c r="AD3382">
        <v>-6.6672999999999899E-2</v>
      </c>
      <c r="AE3382">
        <v>-9.5499999999986998E-2</v>
      </c>
      <c r="AF3382">
        <v>0.10906742161704901</v>
      </c>
      <c r="AG3382">
        <v>-6.6672999999999899E-2</v>
      </c>
      <c r="AH3382">
        <v>0.60140291709013705</v>
      </c>
      <c r="AI3382">
        <v>96.225387407521396</v>
      </c>
      <c r="AJ3382">
        <v>79.720845166496005</v>
      </c>
      <c r="AK3382">
        <v>0.61483856423594496</v>
      </c>
      <c r="AL3382">
        <v>79.883380130287506</v>
      </c>
      <c r="AM3382">
        <v>84.383383901506093</v>
      </c>
      <c r="AN3382">
        <v>1.00000002861965</v>
      </c>
    </row>
    <row r="3383" spans="1:40" x14ac:dyDescent="0.25">
      <c r="A3383" t="str">
        <f>"20190312151053886"</f>
        <v>20190312151053886</v>
      </c>
      <c r="B3383" t="str">
        <f>"1552374653874691"</f>
        <v>1552374653874691</v>
      </c>
      <c r="C3383" t="s">
        <v>40</v>
      </c>
      <c r="D3383">
        <v>5.1750579999999999</v>
      </c>
      <c r="E3383">
        <v>0.50550929999999905</v>
      </c>
      <c r="F3383" t="s">
        <v>41</v>
      </c>
      <c r="G3383">
        <v>-276.74619999999999</v>
      </c>
      <c r="H3383">
        <v>1.0454760000000001</v>
      </c>
      <c r="I3383">
        <v>214.6397</v>
      </c>
      <c r="J3383">
        <v>-277.32659999999998</v>
      </c>
      <c r="K3383">
        <v>1.1097189999999999</v>
      </c>
      <c r="L3383">
        <v>214.73349999999999</v>
      </c>
      <c r="M3383">
        <v>0.99961630000000001</v>
      </c>
      <c r="N3383">
        <v>0</v>
      </c>
      <c r="O3383">
        <v>2.3730910000000001E-2</v>
      </c>
      <c r="P3383">
        <v>0.98375179999999995</v>
      </c>
      <c r="Q3383">
        <v>0.16375580000000001</v>
      </c>
      <c r="R3383">
        <v>-7.3599730000000002E-2</v>
      </c>
      <c r="S3383">
        <v>3.0619510000000001</v>
      </c>
      <c r="T3383">
        <v>-0.20160510000000001</v>
      </c>
      <c r="U3383">
        <v>-0.26507570000000003</v>
      </c>
      <c r="V3383">
        <v>9.7224640000000001E-2</v>
      </c>
      <c r="W3383">
        <v>0.17760519999999999</v>
      </c>
      <c r="X3383">
        <v>0.97928740000000003</v>
      </c>
      <c r="Y3383">
        <v>0.1095822</v>
      </c>
      <c r="Z3383">
        <v>-5.155298E-3</v>
      </c>
      <c r="AA3383">
        <v>0.99396439999999997</v>
      </c>
      <c r="AB3383">
        <v>41</v>
      </c>
      <c r="AC3383">
        <v>0.58039999999999703</v>
      </c>
      <c r="AD3383">
        <v>-6.4242999999999995E-2</v>
      </c>
      <c r="AE3383">
        <v>-9.3799999999987393E-2</v>
      </c>
      <c r="AF3383">
        <v>0.10627944312932899</v>
      </c>
      <c r="AG3383">
        <v>-6.4242999999999995E-2</v>
      </c>
      <c r="AH3383">
        <v>0.57119039581232101</v>
      </c>
      <c r="AI3383">
        <v>96.309809782704406</v>
      </c>
      <c r="AJ3383">
        <v>79.4597049441455</v>
      </c>
      <c r="AK3383">
        <v>0.58453481619927194</v>
      </c>
      <c r="AL3383">
        <v>79.769699812480198</v>
      </c>
      <c r="AM3383">
        <v>84.330197104345203</v>
      </c>
      <c r="AN3383">
        <v>1.00000002474446</v>
      </c>
    </row>
    <row r="3384" spans="1:40" x14ac:dyDescent="0.25">
      <c r="A3384" t="str">
        <f>"20190312151053909"</f>
        <v>20190312151053909</v>
      </c>
      <c r="B3384" t="str">
        <f>"1552374653903972"</f>
        <v>1552374653903972</v>
      </c>
      <c r="C3384" t="s">
        <v>40</v>
      </c>
      <c r="D3384">
        <v>5.1470010000000004</v>
      </c>
      <c r="E3384">
        <v>0.50484519999999999</v>
      </c>
      <c r="F3384" t="s">
        <v>41</v>
      </c>
      <c r="G3384">
        <v>-276.3827</v>
      </c>
      <c r="H3384">
        <v>1.0462359999999999</v>
      </c>
      <c r="I3384">
        <v>214.65100000000001</v>
      </c>
      <c r="J3384">
        <v>-276.90890000000002</v>
      </c>
      <c r="K3384">
        <v>1.1097220000000001</v>
      </c>
      <c r="L3384">
        <v>214.74289999999999</v>
      </c>
      <c r="M3384">
        <v>0.99963120000000005</v>
      </c>
      <c r="N3384">
        <v>0</v>
      </c>
      <c r="O3384">
        <v>2.309957E-2</v>
      </c>
      <c r="P3384">
        <v>0.98349019999999998</v>
      </c>
      <c r="Q3384">
        <v>0.16439860000000001</v>
      </c>
      <c r="R3384">
        <v>-7.5633049999999993E-2</v>
      </c>
      <c r="S3384">
        <v>3.0638429999999999</v>
      </c>
      <c r="T3384">
        <v>-0.20616570000000001</v>
      </c>
      <c r="U3384">
        <v>-0.26756289999999999</v>
      </c>
      <c r="V3384">
        <v>9.8632369999999997E-2</v>
      </c>
      <c r="W3384">
        <v>0.1782396</v>
      </c>
      <c r="X3384">
        <v>0.97903130000000005</v>
      </c>
      <c r="Y3384">
        <v>0.109691</v>
      </c>
      <c r="Z3384">
        <v>-5.2295199999999997E-3</v>
      </c>
      <c r="AA3384">
        <v>0.99395199999999995</v>
      </c>
      <c r="AB3384">
        <v>41</v>
      </c>
      <c r="AC3384">
        <v>0.52620000000001699</v>
      </c>
      <c r="AD3384">
        <v>-6.3485999999999695E-2</v>
      </c>
      <c r="AE3384">
        <v>-9.1900000000009599E-2</v>
      </c>
      <c r="AF3384">
        <v>0.102582669578131</v>
      </c>
      <c r="AG3384">
        <v>-6.3485999999999695E-2</v>
      </c>
      <c r="AH3384">
        <v>0.51663869237113003</v>
      </c>
      <c r="AI3384">
        <v>96.8726955375937</v>
      </c>
      <c r="AJ3384">
        <v>78.769540411518705</v>
      </c>
      <c r="AK3384">
        <v>0.53053672328004498</v>
      </c>
      <c r="AL3384">
        <v>79.732761679364202</v>
      </c>
      <c r="AM3384">
        <v>84.247155272350895</v>
      </c>
      <c r="AN3384">
        <v>0.99999999289983299</v>
      </c>
    </row>
    <row r="3385" spans="1:40" x14ac:dyDescent="0.25">
      <c r="A3385" t="str">
        <f>"20190312151053931"</f>
        <v>20190312151053931</v>
      </c>
      <c r="B3385" t="str">
        <f>"1552374653924074"</f>
        <v>1552374653924074</v>
      </c>
      <c r="C3385" t="s">
        <v>40</v>
      </c>
      <c r="D3385">
        <v>5.1611370000000001</v>
      </c>
      <c r="E3385">
        <v>0.5044225</v>
      </c>
      <c r="F3385" t="s">
        <v>41</v>
      </c>
      <c r="G3385">
        <v>-276.02120000000002</v>
      </c>
      <c r="H3385">
        <v>1.045423</v>
      </c>
      <c r="I3385">
        <v>214.6651</v>
      </c>
      <c r="J3385">
        <v>-276.50819999999999</v>
      </c>
      <c r="K3385">
        <v>1.1097220000000001</v>
      </c>
      <c r="L3385">
        <v>214.7516</v>
      </c>
      <c r="M3385">
        <v>0.99964489999999995</v>
      </c>
      <c r="N3385">
        <v>0</v>
      </c>
      <c r="O3385">
        <v>2.2493869999999999E-2</v>
      </c>
      <c r="P3385">
        <v>0.98339169999999998</v>
      </c>
      <c r="Q3385">
        <v>0.1643801</v>
      </c>
      <c r="R3385">
        <v>-7.6941289999999996E-2</v>
      </c>
      <c r="S3385">
        <v>3.0668639999999998</v>
      </c>
      <c r="T3385">
        <v>-0.22219800000000001</v>
      </c>
      <c r="U3385">
        <v>-0.26826480000000003</v>
      </c>
      <c r="V3385">
        <v>9.9343059999999997E-2</v>
      </c>
      <c r="W3385">
        <v>0.17821670000000001</v>
      </c>
      <c r="X3385">
        <v>0.97896360000000004</v>
      </c>
      <c r="Y3385">
        <v>0.10918509999999999</v>
      </c>
      <c r="Z3385">
        <v>-5.5675689999999996E-3</v>
      </c>
      <c r="AA3385">
        <v>0.9940059</v>
      </c>
      <c r="AB3385">
        <v>41</v>
      </c>
      <c r="AC3385">
        <v>0.48699999999996602</v>
      </c>
      <c r="AD3385">
        <v>-6.4298999999999801E-2</v>
      </c>
      <c r="AE3385">
        <v>-8.6500000000000896E-2</v>
      </c>
      <c r="AF3385">
        <v>9.5814571727831296E-2</v>
      </c>
      <c r="AG3385">
        <v>-6.4298999999999801E-2</v>
      </c>
      <c r="AH3385">
        <v>0.476872173475612</v>
      </c>
      <c r="AI3385">
        <v>97.530436373819697</v>
      </c>
      <c r="AJ3385">
        <v>78.639228405154299</v>
      </c>
      <c r="AK3385">
        <v>0.49063414413567102</v>
      </c>
      <c r="AL3385">
        <v>79.734094998409304</v>
      </c>
      <c r="AM3385">
        <v>84.205586536271298</v>
      </c>
      <c r="AN3385">
        <v>0.99999998292700598</v>
      </c>
    </row>
    <row r="3386" spans="1:40" x14ac:dyDescent="0.25">
      <c r="A3386" t="str">
        <f>"20190312151053954"</f>
        <v>20190312151053954</v>
      </c>
      <c r="B3386" t="str">
        <f>"1552374653944575"</f>
        <v>1552374653944575</v>
      </c>
      <c r="C3386" t="s">
        <v>40</v>
      </c>
      <c r="D3386">
        <v>5.1576879999999896</v>
      </c>
      <c r="E3386">
        <v>0.50410529999999998</v>
      </c>
      <c r="F3386" t="s">
        <v>41</v>
      </c>
      <c r="G3386">
        <v>-275.65879999999999</v>
      </c>
      <c r="H3386">
        <v>1.045725</v>
      </c>
      <c r="I3386">
        <v>214.67699999999999</v>
      </c>
      <c r="J3386">
        <v>-276.09100000000001</v>
      </c>
      <c r="K3386">
        <v>1.10972</v>
      </c>
      <c r="L3386">
        <v>214.7604</v>
      </c>
      <c r="M3386">
        <v>0.99965910000000002</v>
      </c>
      <c r="N3386">
        <v>0</v>
      </c>
      <c r="O3386">
        <v>2.1862599999999999E-2</v>
      </c>
      <c r="P3386">
        <v>0.98334029999999994</v>
      </c>
      <c r="Q3386">
        <v>0.16406080000000001</v>
      </c>
      <c r="R3386">
        <v>-7.8270190000000003E-2</v>
      </c>
      <c r="S3386">
        <v>3.068298</v>
      </c>
      <c r="T3386">
        <v>-0.23121349999999999</v>
      </c>
      <c r="U3386">
        <v>-0.26907350000000002</v>
      </c>
      <c r="V3386">
        <v>0.1000501</v>
      </c>
      <c r="W3386">
        <v>0.17789379999999999</v>
      </c>
      <c r="X3386">
        <v>0.97895030000000005</v>
      </c>
      <c r="Y3386">
        <v>0.1087521</v>
      </c>
      <c r="Z3386">
        <v>-5.7263969999999898E-3</v>
      </c>
      <c r="AA3386">
        <v>0.99405239999999995</v>
      </c>
      <c r="AB3386">
        <v>41</v>
      </c>
      <c r="AC3386">
        <v>0.43220000000002201</v>
      </c>
      <c r="AD3386">
        <v>-6.3994999999999996E-2</v>
      </c>
      <c r="AE3386">
        <v>-8.3399999999983196E-2</v>
      </c>
      <c r="AF3386">
        <v>9.0908500107878695E-2</v>
      </c>
      <c r="AG3386">
        <v>-6.3994999999999996E-2</v>
      </c>
      <c r="AH3386">
        <v>0.421366688489269</v>
      </c>
      <c r="AI3386">
        <v>98.444396495893599</v>
      </c>
      <c r="AJ3386">
        <v>77.825230024609297</v>
      </c>
      <c r="AK3386">
        <v>0.43578618792393697</v>
      </c>
      <c r="AL3386">
        <v>79.7528959848254</v>
      </c>
      <c r="AM3386">
        <v>84.164551655334904</v>
      </c>
      <c r="AN3386">
        <v>0.99999995822926901</v>
      </c>
    </row>
    <row r="3387" spans="1:40" x14ac:dyDescent="0.25">
      <c r="A3387" t="str">
        <f>"20190312151053976"</f>
        <v>20190312151053976</v>
      </c>
      <c r="B3387" t="str">
        <f>"1552374653964087"</f>
        <v>1552374653964087</v>
      </c>
      <c r="C3387" t="s">
        <v>40</v>
      </c>
      <c r="D3387">
        <v>5.1361470000000002</v>
      </c>
      <c r="E3387">
        <v>0.5038878</v>
      </c>
      <c r="F3387" t="s">
        <v>41</v>
      </c>
      <c r="G3387">
        <v>-275.2955</v>
      </c>
      <c r="H3387">
        <v>1.0473079999999999</v>
      </c>
      <c r="I3387">
        <v>214.69</v>
      </c>
      <c r="J3387">
        <v>-275.69380000000001</v>
      </c>
      <c r="K3387">
        <v>1.1097140000000001</v>
      </c>
      <c r="L3387">
        <v>214.76859999999999</v>
      </c>
      <c r="M3387">
        <v>0.99967209999999995</v>
      </c>
      <c r="N3387">
        <v>0</v>
      </c>
      <c r="O3387">
        <v>2.1261550000000001E-2</v>
      </c>
      <c r="P3387">
        <v>0.98353889999999999</v>
      </c>
      <c r="Q3387">
        <v>0.16247809999999999</v>
      </c>
      <c r="R3387">
        <v>-7.9072500000000004E-2</v>
      </c>
      <c r="S3387">
        <v>3.0694270000000001</v>
      </c>
      <c r="T3387">
        <v>-0.24087729999999999</v>
      </c>
      <c r="U3387">
        <v>-0.27085880000000001</v>
      </c>
      <c r="V3387">
        <v>0.1002633</v>
      </c>
      <c r="W3387">
        <v>0.17631229999999901</v>
      </c>
      <c r="X3387">
        <v>0.97921460000000005</v>
      </c>
      <c r="Y3387">
        <v>0.1086674</v>
      </c>
      <c r="Z3387">
        <v>-5.9123609999999997E-3</v>
      </c>
      <c r="AA3387">
        <v>0.99406059999999996</v>
      </c>
      <c r="AB3387">
        <v>41</v>
      </c>
      <c r="AC3387">
        <v>0.39830000000000598</v>
      </c>
      <c r="AD3387">
        <v>-6.2405999999999899E-2</v>
      </c>
      <c r="AE3387">
        <v>-7.8599999999994397E-2</v>
      </c>
      <c r="AF3387">
        <v>8.5042128176758797E-2</v>
      </c>
      <c r="AG3387">
        <v>-6.2405999999999899E-2</v>
      </c>
      <c r="AH3387">
        <v>0.38738519341100303</v>
      </c>
      <c r="AI3387">
        <v>98.942091002978998</v>
      </c>
      <c r="AJ3387">
        <v>77.618346493236302</v>
      </c>
      <c r="AK3387">
        <v>0.40148967667290297</v>
      </c>
      <c r="AL3387">
        <v>79.844965041449797</v>
      </c>
      <c r="AM3387">
        <v>84.153770240949399</v>
      </c>
      <c r="AN3387">
        <v>0.99999999465567002</v>
      </c>
    </row>
    <row r="3388" spans="1:40" x14ac:dyDescent="0.25">
      <c r="A3388" t="str">
        <f>"20190312151054000"</f>
        <v>20190312151054000</v>
      </c>
      <c r="B3388" t="str">
        <f>"1552374653994343"</f>
        <v>1552374653994343</v>
      </c>
      <c r="C3388" t="s">
        <v>40</v>
      </c>
      <c r="D3388">
        <v>5.3679800000000002</v>
      </c>
      <c r="E3388">
        <v>0.50368069999999998</v>
      </c>
      <c r="F3388" t="s">
        <v>41</v>
      </c>
      <c r="G3388">
        <v>-274.9341</v>
      </c>
      <c r="H3388">
        <v>1.047086</v>
      </c>
      <c r="I3388">
        <v>214.7012</v>
      </c>
      <c r="J3388">
        <v>-275.28769999999997</v>
      </c>
      <c r="K3388">
        <v>1.10971</v>
      </c>
      <c r="L3388">
        <v>214.7766</v>
      </c>
      <c r="M3388">
        <v>0.99968489999999999</v>
      </c>
      <c r="N3388">
        <v>0</v>
      </c>
      <c r="O3388">
        <v>2.0646910000000001E-2</v>
      </c>
      <c r="P3388">
        <v>0.98373160000000004</v>
      </c>
      <c r="Q3388">
        <v>0.160804799999999</v>
      </c>
      <c r="R3388">
        <v>-8.0089850000000004E-2</v>
      </c>
      <c r="S3388">
        <v>3.07016</v>
      </c>
      <c r="T3388">
        <v>-0.25312709999999999</v>
      </c>
      <c r="U3388">
        <v>-0.27189639999999998</v>
      </c>
      <c r="V3388">
        <v>0.10067760000000001</v>
      </c>
      <c r="W3388">
        <v>0.17463919999999999</v>
      </c>
      <c r="X3388">
        <v>0.97947189999999995</v>
      </c>
      <c r="Y3388">
        <v>0.108331</v>
      </c>
      <c r="Z3388">
        <v>-6.146154E-3</v>
      </c>
      <c r="AA3388">
        <v>0.99409590000000003</v>
      </c>
      <c r="AB3388">
        <v>41</v>
      </c>
      <c r="AC3388">
        <v>0.35359999999997099</v>
      </c>
      <c r="AD3388">
        <v>-6.2623999999999999E-2</v>
      </c>
      <c r="AE3388">
        <v>-7.5400000000001896E-2</v>
      </c>
      <c r="AF3388">
        <v>8.0276969856375197E-2</v>
      </c>
      <c r="AG3388">
        <v>-6.2623999999999999E-2</v>
      </c>
      <c r="AH3388">
        <v>0.34171562352401103</v>
      </c>
      <c r="AI3388">
        <v>100.115517674896</v>
      </c>
      <c r="AJ3388">
        <v>76.779612217414794</v>
      </c>
      <c r="AK3388">
        <v>0.35656096901613399</v>
      </c>
      <c r="AL3388">
        <v>79.9423376959965</v>
      </c>
      <c r="AM3388">
        <v>84.131312570133602</v>
      </c>
      <c r="AN3388">
        <v>1.0000000161039999</v>
      </c>
    </row>
    <row r="3389" spans="1:40" x14ac:dyDescent="0.25">
      <c r="A3389" t="str">
        <f>"20190312151054021"</f>
        <v>20190312151054021</v>
      </c>
      <c r="B3389" t="str">
        <f>"1552374654014165"</f>
        <v>1552374654014165</v>
      </c>
      <c r="C3389" t="s">
        <v>40</v>
      </c>
      <c r="D3389">
        <v>5.1499290000000002</v>
      </c>
      <c r="E3389">
        <v>0.50020370000000003</v>
      </c>
      <c r="F3389" t="s">
        <v>41</v>
      </c>
      <c r="G3389">
        <v>-274.22590000000002</v>
      </c>
      <c r="H3389">
        <v>1.0185660000000001</v>
      </c>
      <c r="I3389">
        <v>214.68199999999999</v>
      </c>
      <c r="J3389">
        <v>-274.87580000000003</v>
      </c>
      <c r="K3389">
        <v>1.109702</v>
      </c>
      <c r="L3389">
        <v>214.78450000000001</v>
      </c>
      <c r="M3389">
        <v>0.99969759999999996</v>
      </c>
      <c r="N3389">
        <v>0</v>
      </c>
      <c r="O3389">
        <v>2.00234E-2</v>
      </c>
      <c r="P3389">
        <v>0.98382619999999998</v>
      </c>
      <c r="Q3389">
        <v>0.15977189999999999</v>
      </c>
      <c r="R3389">
        <v>-8.0988909999999997E-2</v>
      </c>
      <c r="S3389">
        <v>3.0704349999999998</v>
      </c>
      <c r="T3389">
        <v>-0.2635845</v>
      </c>
      <c r="U3389">
        <v>-0.27340700000000001</v>
      </c>
      <c r="V3389">
        <v>0.1009639</v>
      </c>
      <c r="W3389">
        <v>0.1736057</v>
      </c>
      <c r="X3389">
        <v>0.97962610000000006</v>
      </c>
      <c r="Y3389">
        <v>0.1081549</v>
      </c>
      <c r="Z3389">
        <v>-6.3375849999999997E-3</v>
      </c>
      <c r="AA3389">
        <v>0.99411389999999999</v>
      </c>
      <c r="AB3389">
        <v>40</v>
      </c>
      <c r="AC3389">
        <v>0.64990000000000203</v>
      </c>
      <c r="AD3389">
        <v>-9.1135999999999801E-2</v>
      </c>
      <c r="AE3389">
        <v>-0.102499999999992</v>
      </c>
      <c r="AF3389">
        <v>0.11331966951009199</v>
      </c>
      <c r="AG3389">
        <v>-9.1135999999999801E-2</v>
      </c>
      <c r="AH3389">
        <v>0.63552303296300805</v>
      </c>
      <c r="AI3389">
        <v>98.035707151001205</v>
      </c>
      <c r="AJ3389">
        <v>79.889883540353694</v>
      </c>
      <c r="AK3389">
        <v>0.65194834413500702</v>
      </c>
      <c r="AL3389">
        <v>80.002471043867899</v>
      </c>
      <c r="AM3389">
        <v>84.115660459110799</v>
      </c>
      <c r="AN3389">
        <v>0.99999997198845403</v>
      </c>
    </row>
    <row r="3390" spans="1:40" x14ac:dyDescent="0.25">
      <c r="A3390" t="str">
        <f>"20190312151054043"</f>
        <v>20190312151054043</v>
      </c>
      <c r="B3390" t="str">
        <f>"1552374654034661"</f>
        <v>1552374654034661</v>
      </c>
      <c r="C3390" t="s">
        <v>40</v>
      </c>
      <c r="D3390">
        <v>5.0205449999999896</v>
      </c>
      <c r="E3390">
        <v>0.51804700000000004</v>
      </c>
      <c r="F3390" t="s">
        <v>41</v>
      </c>
      <c r="G3390">
        <v>-273.8766</v>
      </c>
      <c r="H3390">
        <v>0.99557150000000005</v>
      </c>
      <c r="I3390">
        <v>214.7038</v>
      </c>
      <c r="J3390">
        <v>-274.49400000000003</v>
      </c>
      <c r="K3390">
        <v>1.1096900000000001</v>
      </c>
      <c r="L3390">
        <v>214.79169999999999</v>
      </c>
      <c r="M3390">
        <v>0.99970910000000002</v>
      </c>
      <c r="N3390">
        <v>0</v>
      </c>
      <c r="O3390">
        <v>1.944512E-2</v>
      </c>
      <c r="P3390">
        <v>0.98382060000000005</v>
      </c>
      <c r="Q3390">
        <v>0.15914629999999999</v>
      </c>
      <c r="R3390">
        <v>-8.2281229999999997E-2</v>
      </c>
      <c r="S3390">
        <v>3.0861209999999999</v>
      </c>
      <c r="T3390">
        <v>-0.35256340000000003</v>
      </c>
      <c r="U3390">
        <v>-0.248642</v>
      </c>
      <c r="V3390">
        <v>0.10168629999999999</v>
      </c>
      <c r="W3390">
        <v>0.17297689999999999</v>
      </c>
      <c r="X3390">
        <v>0.9796627</v>
      </c>
      <c r="Y3390">
        <v>9.8911490000000005E-2</v>
      </c>
      <c r="Z3390">
        <v>-7.8338119999999904E-3</v>
      </c>
      <c r="AA3390">
        <v>0.99506539999999999</v>
      </c>
      <c r="AB3390">
        <v>40</v>
      </c>
      <c r="AC3390">
        <v>0.61740000000003104</v>
      </c>
      <c r="AD3390">
        <v>-0.1141185</v>
      </c>
      <c r="AE3390">
        <v>-8.78999999999905E-2</v>
      </c>
      <c r="AF3390">
        <v>9.6653473359503098E-2</v>
      </c>
      <c r="AG3390">
        <v>-0.1141185</v>
      </c>
      <c r="AH3390">
        <v>0.59562859269011004</v>
      </c>
      <c r="AI3390">
        <v>100.709274580051</v>
      </c>
      <c r="AJ3390">
        <v>80.782876215679707</v>
      </c>
      <c r="AK3390">
        <v>0.61411590631142898</v>
      </c>
      <c r="AL3390">
        <v>80.039052952472304</v>
      </c>
      <c r="AM3390">
        <v>84.074076221098593</v>
      </c>
      <c r="AN3390">
        <v>1.00000005865629</v>
      </c>
    </row>
    <row r="3391" spans="1:40" x14ac:dyDescent="0.25">
      <c r="A3391" t="str">
        <f>"20190312151054065"</f>
        <v>20190312151054065</v>
      </c>
      <c r="B3391" t="str">
        <f>"1552374654054181"</f>
        <v>1552374654054181</v>
      </c>
      <c r="C3391" t="s">
        <v>40</v>
      </c>
      <c r="D3391">
        <v>5.240875</v>
      </c>
      <c r="E3391">
        <v>0.53663969999999905</v>
      </c>
      <c r="F3391" t="s">
        <v>41</v>
      </c>
      <c r="G3391">
        <v>-273.49650000000003</v>
      </c>
      <c r="H3391">
        <v>1.0285599999999999</v>
      </c>
      <c r="I3391">
        <v>214.66290000000001</v>
      </c>
      <c r="J3391">
        <v>-274.07799999999997</v>
      </c>
      <c r="K3391">
        <v>1.1096980000000001</v>
      </c>
      <c r="L3391">
        <v>214.79920000000001</v>
      </c>
      <c r="M3391">
        <v>0.99972119999999998</v>
      </c>
      <c r="N3391">
        <v>0</v>
      </c>
      <c r="O3391">
        <v>1.8814930000000001E-2</v>
      </c>
      <c r="P3391">
        <v>0.98380639999999997</v>
      </c>
      <c r="Q3391">
        <v>0.15844079999999999</v>
      </c>
      <c r="R3391">
        <v>-8.3796079999999995E-2</v>
      </c>
      <c r="S3391">
        <v>3.056549</v>
      </c>
      <c r="T3391">
        <v>-0.24865080000000001</v>
      </c>
      <c r="U3391">
        <v>-0.39437870000000003</v>
      </c>
      <c r="V3391">
        <v>0.1025802</v>
      </c>
      <c r="W3391">
        <v>0.17226859999999999</v>
      </c>
      <c r="X3391">
        <v>0.97969419999999996</v>
      </c>
      <c r="Y3391">
        <v>0.14607000000000001</v>
      </c>
      <c r="Z3391">
        <v>-7.4295899999999998E-3</v>
      </c>
      <c r="AA3391">
        <v>0.98924639999999997</v>
      </c>
      <c r="AB3391">
        <v>40</v>
      </c>
      <c r="AC3391">
        <v>0.58149999999994795</v>
      </c>
      <c r="AD3391">
        <v>-8.1137999999999696E-2</v>
      </c>
      <c r="AE3391">
        <v>-0.136300000000005</v>
      </c>
      <c r="AF3391">
        <v>0.144550146123198</v>
      </c>
      <c r="AG3391">
        <v>-8.1137999999999696E-2</v>
      </c>
      <c r="AH3391">
        <v>0.56834335838247196</v>
      </c>
      <c r="AI3391">
        <v>97.877288136727003</v>
      </c>
      <c r="AJ3391">
        <v>75.730178295857598</v>
      </c>
      <c r="AK3391">
        <v>0.59202389546850598</v>
      </c>
      <c r="AL3391">
        <v>80.080252940766201</v>
      </c>
      <c r="AM3391">
        <v>84.022549211519703</v>
      </c>
      <c r="AN3391">
        <v>0.99999994674581805</v>
      </c>
    </row>
    <row r="3392" spans="1:40" x14ac:dyDescent="0.25">
      <c r="A3392" t="str">
        <f>"20190312151054087"</f>
        <v>20190312151054087</v>
      </c>
      <c r="B3392" t="str">
        <f>"1552374654084437"</f>
        <v>1552374654084437</v>
      </c>
      <c r="C3392" t="s">
        <v>40</v>
      </c>
      <c r="D3392">
        <v>5.3528739999999999</v>
      </c>
      <c r="E3392">
        <v>0.549486699999999</v>
      </c>
      <c r="F3392" t="s">
        <v>52</v>
      </c>
      <c r="G3392">
        <v>-252.4495</v>
      </c>
      <c r="H3392" s="1">
        <v>-7.0429279999999998E-8</v>
      </c>
      <c r="I3392">
        <v>210.89109999999999</v>
      </c>
      <c r="J3392">
        <v>-273.69139999999999</v>
      </c>
      <c r="K3392">
        <v>1.1097030000000001</v>
      </c>
      <c r="L3392">
        <v>214.80590000000001</v>
      </c>
      <c r="M3392">
        <v>0.99973210000000001</v>
      </c>
      <c r="N3392">
        <v>0</v>
      </c>
      <c r="O3392">
        <v>1.8229140000000001E-2</v>
      </c>
      <c r="P3392">
        <v>0.98362320000000003</v>
      </c>
      <c r="Q3392">
        <v>0.15843640000000001</v>
      </c>
      <c r="R3392">
        <v>-8.5928749999999998E-2</v>
      </c>
      <c r="S3392">
        <v>3.0278320000000001</v>
      </c>
      <c r="T3392">
        <v>-0.15534999999999999</v>
      </c>
      <c r="U3392">
        <v>-0.54710389999999998</v>
      </c>
      <c r="V3392">
        <v>0.1041333</v>
      </c>
      <c r="W3392">
        <v>0.17225689999999999</v>
      </c>
      <c r="X3392">
        <v>0.97953250000000003</v>
      </c>
      <c r="Y3392">
        <v>0.1954507</v>
      </c>
      <c r="Z3392">
        <v>-5.8981800000000003E-3</v>
      </c>
      <c r="AA3392">
        <v>0.98069580000000001</v>
      </c>
      <c r="AB3392">
        <v>40</v>
      </c>
      <c r="AC3392">
        <v>21.241899999999902</v>
      </c>
      <c r="AD3392">
        <v>-1.1097030704292801</v>
      </c>
      <c r="AE3392">
        <v>-3.9148000000000098</v>
      </c>
      <c r="AF3392">
        <v>4.2900866610012898</v>
      </c>
      <c r="AG3392">
        <v>-1.1097030704292801</v>
      </c>
      <c r="AH3392">
        <v>21.111275807659201</v>
      </c>
      <c r="AI3392">
        <v>92.948792755541305</v>
      </c>
      <c r="AJ3392">
        <v>78.513163960486295</v>
      </c>
      <c r="AK3392">
        <v>21.571329367715801</v>
      </c>
      <c r="AL3392">
        <v>80.080934520877406</v>
      </c>
      <c r="AM3392">
        <v>83.931724480704901</v>
      </c>
      <c r="AN3392">
        <v>1.00000005116137</v>
      </c>
    </row>
    <row r="3393" spans="1:40" x14ac:dyDescent="0.25">
      <c r="A3393" t="str">
        <f>"20190312151054110"</f>
        <v>20190312151054110</v>
      </c>
      <c r="B3393" t="str">
        <f>"1552374654103956"</f>
        <v>1552374654103956</v>
      </c>
      <c r="C3393" t="s">
        <v>40</v>
      </c>
      <c r="D3393">
        <v>5.2064649999999997</v>
      </c>
      <c r="E3393">
        <v>0.55313650000000003</v>
      </c>
      <c r="F3393" t="s">
        <v>52</v>
      </c>
      <c r="G3393">
        <v>-241.53280000000001</v>
      </c>
      <c r="H3393">
        <v>8.0001310000000006E-2</v>
      </c>
      <c r="I3393">
        <v>207.80199999999999</v>
      </c>
      <c r="J3393">
        <v>-273.27440000000001</v>
      </c>
      <c r="K3393">
        <v>1.109712</v>
      </c>
      <c r="L3393">
        <v>214.81290000000001</v>
      </c>
      <c r="M3393">
        <v>0.99974350000000001</v>
      </c>
      <c r="N3393">
        <v>0</v>
      </c>
      <c r="O3393">
        <v>1.759734E-2</v>
      </c>
      <c r="P3393">
        <v>0.98332949999999997</v>
      </c>
      <c r="Q3393">
        <v>0.1592124</v>
      </c>
      <c r="R3393">
        <v>-8.7834659999999995E-2</v>
      </c>
      <c r="S3393">
        <v>3.0082089999999999</v>
      </c>
      <c r="T3393">
        <v>-9.6321340000000005E-2</v>
      </c>
      <c r="U3393">
        <v>-0.65516660000000004</v>
      </c>
      <c r="V3393">
        <v>0.1054142</v>
      </c>
      <c r="W3393">
        <v>0.17302429999999999</v>
      </c>
      <c r="X3393">
        <v>0.97926009999999997</v>
      </c>
      <c r="Y3393">
        <v>0.2298462</v>
      </c>
      <c r="Z3393">
        <v>-4.1933389999999999E-3</v>
      </c>
      <c r="AA3393">
        <v>0.97321789999999997</v>
      </c>
      <c r="AB3393">
        <v>40</v>
      </c>
      <c r="AC3393">
        <v>31.741599999999998</v>
      </c>
      <c r="AD3393">
        <v>-1.0297106899999999</v>
      </c>
      <c r="AE3393">
        <v>-7.0108999999999897</v>
      </c>
      <c r="AF3393">
        <v>7.5608519107818601</v>
      </c>
      <c r="AG3393">
        <v>-1.0297106899999999</v>
      </c>
      <c r="AH3393">
        <v>31.5816083677548</v>
      </c>
      <c r="AI3393">
        <v>91.816167070834794</v>
      </c>
      <c r="AJ3393">
        <v>76.536407627262804</v>
      </c>
      <c r="AK3393">
        <v>32.490379696398101</v>
      </c>
      <c r="AL3393">
        <v>80.036294489417898</v>
      </c>
      <c r="AM3393">
        <v>83.855952791675904</v>
      </c>
      <c r="AN3393">
        <v>0.99999995270206798</v>
      </c>
    </row>
    <row r="3394" spans="1:40" x14ac:dyDescent="0.25">
      <c r="A3394" t="str">
        <f>"20190312151054132"</f>
        <v>20190312151054132</v>
      </c>
      <c r="B3394" t="str">
        <f>"1552374654124452"</f>
        <v>1552374654124452</v>
      </c>
      <c r="C3394" t="s">
        <v>40</v>
      </c>
      <c r="D3394">
        <v>5.2134080000000003</v>
      </c>
      <c r="E3394">
        <v>0.55497549999999995</v>
      </c>
      <c r="F3394" t="s">
        <v>52</v>
      </c>
      <c r="G3394">
        <v>-233.46100000000001</v>
      </c>
      <c r="H3394">
        <v>8.0000840000000004E-2</v>
      </c>
      <c r="I3394">
        <v>205.6602</v>
      </c>
      <c r="J3394">
        <v>-272.88709999999998</v>
      </c>
      <c r="K3394">
        <v>1.1097129999999999</v>
      </c>
      <c r="L3394">
        <v>214.8192</v>
      </c>
      <c r="M3394">
        <v>0.99975369999999997</v>
      </c>
      <c r="N3394">
        <v>0</v>
      </c>
      <c r="O3394">
        <v>1.7010359999999999E-2</v>
      </c>
      <c r="P3394">
        <v>0.9831664</v>
      </c>
      <c r="Q3394">
        <v>0.15941179999999999</v>
      </c>
      <c r="R3394">
        <v>-8.9286950000000004E-2</v>
      </c>
      <c r="S3394">
        <v>3.0018310000000001</v>
      </c>
      <c r="T3394">
        <v>-7.7637670000000006E-2</v>
      </c>
      <c r="U3394">
        <v>-0.69009399999999999</v>
      </c>
      <c r="V3394">
        <v>0.10628700000000001</v>
      </c>
      <c r="W3394">
        <v>0.1732187</v>
      </c>
      <c r="X3394">
        <v>0.97913139999999999</v>
      </c>
      <c r="Y3394">
        <v>0.24051210000000001</v>
      </c>
      <c r="Z3394">
        <v>-3.5041500000000001E-3</v>
      </c>
      <c r="AA3394">
        <v>0.97063980000000005</v>
      </c>
      <c r="AB3394">
        <v>40</v>
      </c>
      <c r="AC3394">
        <v>39.426099999999899</v>
      </c>
      <c r="AD3394">
        <v>-1.0297121600000001</v>
      </c>
      <c r="AE3394">
        <v>-9.15899999999999</v>
      </c>
      <c r="AF3394">
        <v>9.8220380431523395</v>
      </c>
      <c r="AG3394">
        <v>-1.0297121600000001</v>
      </c>
      <c r="AH3394">
        <v>39.239185179284398</v>
      </c>
      <c r="AI3394">
        <v>91.458237760558802</v>
      </c>
      <c r="AJ3394">
        <v>75.9469342361363</v>
      </c>
      <c r="AK3394">
        <v>40.462901428194101</v>
      </c>
      <c r="AL3394">
        <v>80.024985616608703</v>
      </c>
      <c r="AM3394">
        <v>83.804667793895604</v>
      </c>
      <c r="AN3394">
        <v>0.999999971432324</v>
      </c>
    </row>
    <row r="3395" spans="1:40" x14ac:dyDescent="0.25">
      <c r="A3395" t="str">
        <f>"20190312151054154"</f>
        <v>20190312151054154</v>
      </c>
      <c r="B3395" t="str">
        <f>"1552374654143973"</f>
        <v>1552374654143973</v>
      </c>
      <c r="C3395" t="s">
        <v>40</v>
      </c>
      <c r="D3395">
        <v>5.2319490000000002</v>
      </c>
      <c r="E3395">
        <v>0.55653889999999995</v>
      </c>
      <c r="F3395" t="s">
        <v>43</v>
      </c>
      <c r="G3395">
        <v>-218.43430000000001</v>
      </c>
      <c r="H3395">
        <v>-0.05</v>
      </c>
      <c r="I3395">
        <v>201.92779999999999</v>
      </c>
      <c r="J3395">
        <v>-272.4785</v>
      </c>
      <c r="K3395">
        <v>1.1097129999999999</v>
      </c>
      <c r="L3395">
        <v>214.82560000000001</v>
      </c>
      <c r="M3395">
        <v>0.99976410000000004</v>
      </c>
      <c r="N3395">
        <v>0</v>
      </c>
      <c r="O3395">
        <v>1.6390720000000001E-2</v>
      </c>
      <c r="P3395">
        <v>0.98305759999999998</v>
      </c>
      <c r="Q3395">
        <v>0.15937319999999999</v>
      </c>
      <c r="R3395">
        <v>-9.0544719999999995E-2</v>
      </c>
      <c r="S3395">
        <v>2.9973139999999998</v>
      </c>
      <c r="T3395">
        <v>-6.3835500000000003E-2</v>
      </c>
      <c r="U3395">
        <v>-0.70959469999999902</v>
      </c>
      <c r="V3395">
        <v>0.1069339</v>
      </c>
      <c r="W3395">
        <v>0.173176</v>
      </c>
      <c r="X3395">
        <v>0.97906850000000001</v>
      </c>
      <c r="Y3395">
        <v>0.2462396</v>
      </c>
      <c r="Z3395">
        <v>-2.9305989999999999E-3</v>
      </c>
      <c r="AA3395">
        <v>0.96920450000000002</v>
      </c>
      <c r="AB3395">
        <v>40</v>
      </c>
      <c r="AC3395">
        <v>54.044199999999897</v>
      </c>
      <c r="AD3395">
        <v>-1.159713</v>
      </c>
      <c r="AE3395">
        <v>-12.8978</v>
      </c>
      <c r="AF3395">
        <v>13.775978688015799</v>
      </c>
      <c r="AG3395">
        <v>-1.159713</v>
      </c>
      <c r="AH3395">
        <v>53.802073361150597</v>
      </c>
      <c r="AI3395">
        <v>91.196249681581307</v>
      </c>
      <c r="AJ3395">
        <v>75.638017069836394</v>
      </c>
      <c r="AK3395">
        <v>55.5498480737226</v>
      </c>
      <c r="AL3395">
        <v>80.0274695406642</v>
      </c>
      <c r="AM3395">
        <v>83.766859438256404</v>
      </c>
      <c r="AN3395">
        <v>0.999999956818729</v>
      </c>
    </row>
    <row r="3396" spans="1:40" x14ac:dyDescent="0.25">
      <c r="A3396" t="str">
        <f>"20190312151054177"</f>
        <v>20190312151054177</v>
      </c>
      <c r="B3396" t="str">
        <f>"1552374654174228"</f>
        <v>1552374654174228</v>
      </c>
      <c r="C3396" t="s">
        <v>40</v>
      </c>
      <c r="D3396">
        <v>5.1488480000000001</v>
      </c>
      <c r="E3396">
        <v>0.55853619999999904</v>
      </c>
      <c r="F3396" t="s">
        <v>43</v>
      </c>
      <c r="G3396">
        <v>-210.17850000000001</v>
      </c>
      <c r="H3396">
        <v>-0.05</v>
      </c>
      <c r="I3396">
        <v>199.7167</v>
      </c>
      <c r="J3396">
        <v>-272.07850000000002</v>
      </c>
      <c r="K3396">
        <v>1.1097129999999999</v>
      </c>
      <c r="L3396">
        <v>214.83160000000001</v>
      </c>
      <c r="M3396">
        <v>0.99977389999999999</v>
      </c>
      <c r="N3396">
        <v>0</v>
      </c>
      <c r="O3396">
        <v>1.5783950000000001E-2</v>
      </c>
      <c r="P3396">
        <v>0.98297489999999998</v>
      </c>
      <c r="Q3396">
        <v>0.1590618</v>
      </c>
      <c r="R3396">
        <v>-9.1978969999999993E-2</v>
      </c>
      <c r="S3396">
        <v>2.9938959999999999</v>
      </c>
      <c r="T3396">
        <v>-5.5731299999999998E-2</v>
      </c>
      <c r="U3396">
        <v>-0.726074199999999</v>
      </c>
      <c r="V3396">
        <v>0.10777009999999999</v>
      </c>
      <c r="W3396">
        <v>0.17286089999999901</v>
      </c>
      <c r="X3396">
        <v>0.97903249999999997</v>
      </c>
      <c r="Y3396">
        <v>0.25095410000000001</v>
      </c>
      <c r="Z3396">
        <v>-2.5919440000000001E-3</v>
      </c>
      <c r="AA3396">
        <v>0.96799550000000001</v>
      </c>
      <c r="AB3396">
        <v>40</v>
      </c>
      <c r="AC3396">
        <v>61.9</v>
      </c>
      <c r="AD3396">
        <v>-1.159713</v>
      </c>
      <c r="AE3396">
        <v>-15.1149</v>
      </c>
      <c r="AF3396">
        <v>16.084814148326998</v>
      </c>
      <c r="AG3396">
        <v>-1.159713</v>
      </c>
      <c r="AH3396">
        <v>61.633273670259598</v>
      </c>
      <c r="AI3396">
        <v>91.043043082040199</v>
      </c>
      <c r="AJ3396">
        <v>75.373408695341695</v>
      </c>
      <c r="AK3396">
        <v>63.708136087486601</v>
      </c>
      <c r="AL3396">
        <v>80.045799927620195</v>
      </c>
      <c r="AM3396">
        <v>83.718276627862906</v>
      </c>
      <c r="AN3396">
        <v>0.999999960629534</v>
      </c>
    </row>
    <row r="3397" spans="1:40" x14ac:dyDescent="0.25">
      <c r="A3397" t="str">
        <f>"20190312151054200"</f>
        <v>20190312151054200</v>
      </c>
      <c r="B3397" t="str">
        <f>"1552374654194724"</f>
        <v>1552374654194724</v>
      </c>
      <c r="C3397" t="s">
        <v>40</v>
      </c>
      <c r="D3397">
        <v>5.2105169999999896</v>
      </c>
      <c r="E3397">
        <v>0.558894</v>
      </c>
      <c r="F3397" t="s">
        <v>78</v>
      </c>
      <c r="G3397">
        <v>-210.95590000000001</v>
      </c>
      <c r="H3397">
        <v>0.15362600000000001</v>
      </c>
      <c r="I3397">
        <v>199.57599999999999</v>
      </c>
      <c r="J3397">
        <v>-271.66699999999997</v>
      </c>
      <c r="K3397">
        <v>1.109718</v>
      </c>
      <c r="L3397">
        <v>214.83750000000001</v>
      </c>
      <c r="M3397">
        <v>0.99978350000000005</v>
      </c>
      <c r="N3397">
        <v>0</v>
      </c>
      <c r="O3397">
        <v>1.515972E-2</v>
      </c>
      <c r="P3397">
        <v>0.98293790000000003</v>
      </c>
      <c r="Q3397">
        <v>0.15857750000000001</v>
      </c>
      <c r="R3397">
        <v>-9.319993E-2</v>
      </c>
      <c r="S3397">
        <v>2.989716</v>
      </c>
      <c r="T3397">
        <v>-4.676545E-2</v>
      </c>
      <c r="U3397">
        <v>-0.74620059999999999</v>
      </c>
      <c r="V3397">
        <v>0.1083766</v>
      </c>
      <c r="W3397">
        <v>0.17237339999999901</v>
      </c>
      <c r="X3397">
        <v>0.97905149999999996</v>
      </c>
      <c r="Y3397">
        <v>0.25681130000000002</v>
      </c>
      <c r="Z3397">
        <v>-2.2117370000000001E-3</v>
      </c>
      <c r="AA3397">
        <v>0.96645899999999996</v>
      </c>
      <c r="AB3397">
        <v>40</v>
      </c>
      <c r="AC3397">
        <v>60.711100000000002</v>
      </c>
      <c r="AD3397">
        <v>-0.95609200000000005</v>
      </c>
      <c r="AE3397">
        <v>-15.2615</v>
      </c>
      <c r="AF3397">
        <v>16.176429223437999</v>
      </c>
      <c r="AG3397">
        <v>-0.95609200000000005</v>
      </c>
      <c r="AH3397">
        <v>60.458635435389503</v>
      </c>
      <c r="AI3397">
        <v>90.875217500378497</v>
      </c>
      <c r="AJ3397">
        <v>75.020704122178302</v>
      </c>
      <c r="AK3397">
        <v>62.592631938932698</v>
      </c>
      <c r="AL3397">
        <v>80.074157268332897</v>
      </c>
      <c r="AM3397">
        <v>83.683331418184196</v>
      </c>
      <c r="AN3397">
        <v>0.99999995805368402</v>
      </c>
    </row>
    <row r="3398" spans="1:40" x14ac:dyDescent="0.25">
      <c r="A3398" t="str">
        <f>"20190312151054223"</f>
        <v>20190312151054223</v>
      </c>
      <c r="B3398" t="str">
        <f>"1552374654214245"</f>
        <v>1552374654214245</v>
      </c>
      <c r="C3398" t="s">
        <v>40</v>
      </c>
      <c r="D3398">
        <v>4.532826</v>
      </c>
      <c r="E3398">
        <v>0.55949040000000005</v>
      </c>
      <c r="F3398" t="s">
        <v>78</v>
      </c>
      <c r="G3398">
        <v>-211.07599999999999</v>
      </c>
      <c r="H3398">
        <v>0.19778870000000001</v>
      </c>
      <c r="I3398">
        <v>199.57599999999999</v>
      </c>
      <c r="J3398">
        <v>-271.26670000000001</v>
      </c>
      <c r="K3398">
        <v>1.1097159999999999</v>
      </c>
      <c r="L3398">
        <v>214.84299999999999</v>
      </c>
      <c r="M3398">
        <v>0.99979249999999997</v>
      </c>
      <c r="N3398">
        <v>0</v>
      </c>
      <c r="O3398">
        <v>1.4552239999999999E-2</v>
      </c>
      <c r="P3398">
        <v>0.98297820000000002</v>
      </c>
      <c r="Q3398">
        <v>0.15791849999999999</v>
      </c>
      <c r="R3398">
        <v>-9.3893470000000007E-2</v>
      </c>
      <c r="S3398">
        <v>2.9880070000000001</v>
      </c>
      <c r="T3398">
        <v>-4.4971230000000001E-2</v>
      </c>
      <c r="U3398">
        <v>-0.75260930000000004</v>
      </c>
      <c r="V3398">
        <v>0.10847270000000001</v>
      </c>
      <c r="W3398">
        <v>0.17171339999999999</v>
      </c>
      <c r="X3398">
        <v>0.9791569</v>
      </c>
      <c r="Y3398">
        <v>0.25830609999999998</v>
      </c>
      <c r="Z3398">
        <v>-2.1295889999999999E-3</v>
      </c>
      <c r="AA3398">
        <v>0.96606080000000005</v>
      </c>
      <c r="AB3398">
        <v>40</v>
      </c>
      <c r="AC3398">
        <v>60.1907</v>
      </c>
      <c r="AD3398">
        <v>-0.9119273</v>
      </c>
      <c r="AE3398">
        <v>-15.2669999999999</v>
      </c>
      <c r="AF3398">
        <v>16.137901161696199</v>
      </c>
      <c r="AG3398">
        <v>-0.9119273</v>
      </c>
      <c r="AH3398">
        <v>59.949204470805903</v>
      </c>
      <c r="AI3398">
        <v>90.841543684381094</v>
      </c>
      <c r="AJ3398">
        <v>74.933534108567102</v>
      </c>
      <c r="AK3398">
        <v>62.090019987012802</v>
      </c>
      <c r="AL3398">
        <v>80.112545553058695</v>
      </c>
      <c r="AM3398">
        <v>83.6784506564385</v>
      </c>
      <c r="AN3398">
        <v>1.0000000266012199</v>
      </c>
    </row>
    <row r="3399" spans="1:40" x14ac:dyDescent="0.25">
      <c r="A3399" t="str">
        <f>"20190312151054244"</f>
        <v>20190312151054244</v>
      </c>
      <c r="B3399" t="str">
        <f>"1552374654234742"</f>
        <v>1552374654234742</v>
      </c>
      <c r="C3399" t="s">
        <v>40</v>
      </c>
      <c r="D3399">
        <v>5.1629120000000004</v>
      </c>
      <c r="E3399">
        <v>0.55978669999999997</v>
      </c>
      <c r="F3399" t="s">
        <v>78</v>
      </c>
      <c r="G3399">
        <v>-211.22970000000001</v>
      </c>
      <c r="H3399">
        <v>0.26430979999999998</v>
      </c>
      <c r="I3399">
        <v>199.57599999999999</v>
      </c>
      <c r="J3399">
        <v>-270.8732</v>
      </c>
      <c r="K3399">
        <v>1.1097170000000001</v>
      </c>
      <c r="L3399">
        <v>214.84809999999999</v>
      </c>
      <c r="M3399">
        <v>0.9998011</v>
      </c>
      <c r="N3399">
        <v>0</v>
      </c>
      <c r="O3399">
        <v>1.3954950000000001E-2</v>
      </c>
      <c r="P3399">
        <v>0.98292650000000004</v>
      </c>
      <c r="Q3399">
        <v>0.15780449999999999</v>
      </c>
      <c r="R3399">
        <v>-9.462081E-2</v>
      </c>
      <c r="S3399">
        <v>2.986145</v>
      </c>
      <c r="T3399">
        <v>-4.2049169999999997E-2</v>
      </c>
      <c r="U3399">
        <v>-0.75935359999999996</v>
      </c>
      <c r="V3399">
        <v>0.1086125</v>
      </c>
      <c r="W3399">
        <v>0.17159730000000001</v>
      </c>
      <c r="X3399">
        <v>0.97916170000000002</v>
      </c>
      <c r="Y3399">
        <v>0.25992520000000002</v>
      </c>
      <c r="Z3399">
        <v>-1.994825E-3</v>
      </c>
      <c r="AA3399">
        <v>0.96562669999999995</v>
      </c>
      <c r="AB3399">
        <v>40</v>
      </c>
      <c r="AC3399">
        <v>59.643499999999896</v>
      </c>
      <c r="AD3399">
        <v>-0.84540720000000003</v>
      </c>
      <c r="AE3399">
        <v>-15.272099999999901</v>
      </c>
      <c r="AF3399">
        <v>16.099983492196699</v>
      </c>
      <c r="AG3399">
        <v>-0.84540720000000003</v>
      </c>
      <c r="AH3399">
        <v>59.4133456364697</v>
      </c>
      <c r="AI3399">
        <v>90.786846612625197</v>
      </c>
      <c r="AJ3399">
        <v>74.837963796497107</v>
      </c>
      <c r="AK3399">
        <v>61.561918598281402</v>
      </c>
      <c r="AL3399">
        <v>80.119297267741402</v>
      </c>
      <c r="AM3399">
        <v>83.670400281929702</v>
      </c>
      <c r="AN3399">
        <v>0.99999997163521404</v>
      </c>
    </row>
    <row r="3400" spans="1:40" x14ac:dyDescent="0.25">
      <c r="A3400" t="str">
        <f>"20190312151054265"</f>
        <v>20190312151054265</v>
      </c>
      <c r="B3400" t="str">
        <f>"1552374654254261"</f>
        <v>1552374654254261</v>
      </c>
      <c r="C3400" t="s">
        <v>40</v>
      </c>
      <c r="D3400">
        <v>5.1321289999999999</v>
      </c>
      <c r="E3400">
        <v>0.56039930000000004</v>
      </c>
      <c r="F3400" t="s">
        <v>78</v>
      </c>
      <c r="G3400">
        <v>-211.17089999999999</v>
      </c>
      <c r="H3400">
        <v>0.3200365</v>
      </c>
      <c r="I3400">
        <v>199.57599999999999</v>
      </c>
      <c r="J3400">
        <v>-270.48219999999998</v>
      </c>
      <c r="K3400">
        <v>1.10972</v>
      </c>
      <c r="L3400">
        <v>214.85300000000001</v>
      </c>
      <c r="M3400">
        <v>0.99980919999999895</v>
      </c>
      <c r="N3400">
        <v>0</v>
      </c>
      <c r="O3400">
        <v>1.336129E-2</v>
      </c>
      <c r="P3400">
        <v>0.98286770000000001</v>
      </c>
      <c r="Q3400">
        <v>0.15780189999999999</v>
      </c>
      <c r="R3400">
        <v>-9.5235710000000001E-2</v>
      </c>
      <c r="S3400">
        <v>2.9849549999999998</v>
      </c>
      <c r="T3400">
        <v>-3.9481879999999997E-2</v>
      </c>
      <c r="U3400">
        <v>-0.7635651</v>
      </c>
      <c r="V3400">
        <v>0.1086433</v>
      </c>
      <c r="W3400">
        <v>0.17159269999999999</v>
      </c>
      <c r="X3400">
        <v>0.97915909999999995</v>
      </c>
      <c r="Y3400">
        <v>0.26072590000000001</v>
      </c>
      <c r="Z3400">
        <v>-1.8709219999999999E-3</v>
      </c>
      <c r="AA3400">
        <v>0.96541109999999997</v>
      </c>
      <c r="AB3400">
        <v>40</v>
      </c>
      <c r="AC3400">
        <v>59.311299999999903</v>
      </c>
      <c r="AD3400">
        <v>-0.78968349999999998</v>
      </c>
      <c r="AE3400">
        <v>-15.2769999999999</v>
      </c>
      <c r="AF3400">
        <v>16.0655212273752</v>
      </c>
      <c r="AG3400">
        <v>-0.78968349999999998</v>
      </c>
      <c r="AH3400">
        <v>59.092039863708798</v>
      </c>
      <c r="AI3400">
        <v>90.738818427592406</v>
      </c>
      <c r="AJ3400">
        <v>74.790456865498697</v>
      </c>
      <c r="AK3400">
        <v>61.242091306482699</v>
      </c>
      <c r="AL3400">
        <v>80.119564902069797</v>
      </c>
      <c r="AM3400">
        <v>83.668603252236593</v>
      </c>
      <c r="AN3400">
        <v>0.99999998222049402</v>
      </c>
    </row>
    <row r="3401" spans="1:40" x14ac:dyDescent="0.25">
      <c r="A3401" t="str">
        <f>"20190312151054288"</f>
        <v>20190312151054288</v>
      </c>
      <c r="B3401" t="str">
        <f>"1552374654284517"</f>
        <v>1552374654284517</v>
      </c>
      <c r="C3401" t="s">
        <v>40</v>
      </c>
      <c r="D3401">
        <v>5.1317949999999897</v>
      </c>
      <c r="E3401">
        <v>0.56093939999999998</v>
      </c>
      <c r="F3401" t="s">
        <v>78</v>
      </c>
      <c r="G3401">
        <v>-211.28450000000001</v>
      </c>
      <c r="H3401">
        <v>0.37827139999999998</v>
      </c>
      <c r="I3401">
        <v>199.57599999999999</v>
      </c>
      <c r="J3401">
        <v>-270.08019999999999</v>
      </c>
      <c r="K3401">
        <v>1.109723</v>
      </c>
      <c r="L3401">
        <v>214.8578</v>
      </c>
      <c r="M3401">
        <v>0.99981739999999997</v>
      </c>
      <c r="N3401">
        <v>0</v>
      </c>
      <c r="O3401">
        <v>1.275095E-2</v>
      </c>
      <c r="P3401">
        <v>0.982738</v>
      </c>
      <c r="Q3401">
        <v>0.1582625</v>
      </c>
      <c r="R3401">
        <v>-9.5809179999999994E-2</v>
      </c>
      <c r="S3401">
        <v>2.9836119999999999</v>
      </c>
      <c r="T3401">
        <v>-3.6865589999999997E-2</v>
      </c>
      <c r="U3401">
        <v>-0.76997380000000004</v>
      </c>
      <c r="V3401">
        <v>0.1086162</v>
      </c>
      <c r="W3401">
        <v>0.1720497</v>
      </c>
      <c r="X3401">
        <v>0.97908189999999995</v>
      </c>
      <c r="Y3401">
        <v>0.26218859999999999</v>
      </c>
      <c r="Z3401">
        <v>-1.748721E-3</v>
      </c>
      <c r="AA3401">
        <v>0.96501510000000001</v>
      </c>
      <c r="AB3401">
        <v>40</v>
      </c>
      <c r="AC3401">
        <v>58.795699999999897</v>
      </c>
      <c r="AD3401">
        <v>-0.73145159999999998</v>
      </c>
      <c r="AE3401">
        <v>-15.2818</v>
      </c>
      <c r="AF3401">
        <v>16.0280107255277</v>
      </c>
      <c r="AG3401">
        <v>-0.73145159999999998</v>
      </c>
      <c r="AH3401">
        <v>58.587548264742402</v>
      </c>
      <c r="AI3401">
        <v>90.689937076840806</v>
      </c>
      <c r="AJ3401">
        <v>74.699753237592304</v>
      </c>
      <c r="AK3401">
        <v>60.744818387532398</v>
      </c>
      <c r="AL3401">
        <v>80.092985347562504</v>
      </c>
      <c r="AM3401">
        <v>83.669674684609106</v>
      </c>
      <c r="AN3401">
        <v>0.999999972540069</v>
      </c>
    </row>
    <row r="3402" spans="1:40" x14ac:dyDescent="0.25">
      <c r="A3402" t="str">
        <f>"20190312151054311"</f>
        <v>20190312151054311</v>
      </c>
      <c r="B3402" t="str">
        <f>"1552374654304037"</f>
        <v>1552374654304037</v>
      </c>
      <c r="C3402" t="s">
        <v>40</v>
      </c>
      <c r="D3402">
        <v>5.1334980000000003</v>
      </c>
      <c r="E3402">
        <v>0.56129010000000001</v>
      </c>
      <c r="F3402" t="s">
        <v>78</v>
      </c>
      <c r="G3402">
        <v>-211.34610000000001</v>
      </c>
      <c r="H3402">
        <v>0.46792479999999997</v>
      </c>
      <c r="I3402">
        <v>199.57599999999999</v>
      </c>
      <c r="J3402">
        <v>-269.6696</v>
      </c>
      <c r="K3402">
        <v>1.1097300000000001</v>
      </c>
      <c r="L3402">
        <v>214.86250000000001</v>
      </c>
      <c r="M3402">
        <v>0.99982510000000002</v>
      </c>
      <c r="N3402">
        <v>0</v>
      </c>
      <c r="O3402">
        <v>1.212714E-2</v>
      </c>
      <c r="P3402">
        <v>0.98258529999999999</v>
      </c>
      <c r="Q3402">
        <v>0.15872320000000001</v>
      </c>
      <c r="R3402">
        <v>-9.6609669999999995E-2</v>
      </c>
      <c r="S3402">
        <v>2.9823</v>
      </c>
      <c r="T3402">
        <v>-3.2588119999999998E-2</v>
      </c>
      <c r="U3402">
        <v>-0.77595519999999996</v>
      </c>
      <c r="V3402">
        <v>0.10880280000000001</v>
      </c>
      <c r="W3402">
        <v>0.1725063</v>
      </c>
      <c r="X3402">
        <v>0.97898079999999998</v>
      </c>
      <c r="Y3402">
        <v>0.26350689999999999</v>
      </c>
      <c r="Z3402">
        <v>-1.5464820000000001E-3</v>
      </c>
      <c r="AA3402">
        <v>0.96465630000000002</v>
      </c>
      <c r="AB3402">
        <v>40</v>
      </c>
      <c r="AC3402">
        <v>58.323500000000003</v>
      </c>
      <c r="AD3402">
        <v>-0.64180519999999897</v>
      </c>
      <c r="AE3402">
        <v>-15.2865</v>
      </c>
      <c r="AF3402">
        <v>15.9909326825839</v>
      </c>
      <c r="AG3402">
        <v>-0.64180519999999897</v>
      </c>
      <c r="AH3402">
        <v>58.127223558427097</v>
      </c>
      <c r="AI3402">
        <v>90.609941346764202</v>
      </c>
      <c r="AJ3402">
        <v>74.618299828915497</v>
      </c>
      <c r="AK3402">
        <v>60.290098362708299</v>
      </c>
      <c r="AL3402">
        <v>80.066426674550399</v>
      </c>
      <c r="AM3402">
        <v>83.658238335998206</v>
      </c>
      <c r="AN3402">
        <v>0.99999993979808299</v>
      </c>
    </row>
    <row r="3403" spans="1:40" x14ac:dyDescent="0.25">
      <c r="A3403" t="str">
        <f>"20190312151054333"</f>
        <v>20190312151054333</v>
      </c>
      <c r="B3403" t="str">
        <f>"1552374654324533"</f>
        <v>1552374654324533</v>
      </c>
      <c r="C3403" t="s">
        <v>40</v>
      </c>
      <c r="D3403">
        <v>5.1415230000000003</v>
      </c>
      <c r="E3403">
        <v>0.56151309999999999</v>
      </c>
      <c r="F3403" t="s">
        <v>78</v>
      </c>
      <c r="G3403">
        <v>-211.18289999999999</v>
      </c>
      <c r="H3403">
        <v>0.53471820000000003</v>
      </c>
      <c r="I3403">
        <v>199.5334</v>
      </c>
      <c r="J3403">
        <v>-269.27980000000002</v>
      </c>
      <c r="K3403">
        <v>1.1097319999999999</v>
      </c>
      <c r="L3403">
        <v>214.86670000000001</v>
      </c>
      <c r="M3403">
        <v>0.9998321</v>
      </c>
      <c r="N3403">
        <v>0</v>
      </c>
      <c r="O3403">
        <v>1.15348E-2</v>
      </c>
      <c r="P3403">
        <v>0.98250179999999998</v>
      </c>
      <c r="Q3403">
        <v>0.15875939999999999</v>
      </c>
      <c r="R3403">
        <v>-9.7394449999999994E-2</v>
      </c>
      <c r="S3403">
        <v>2.9810789999999998</v>
      </c>
      <c r="T3403">
        <v>-2.9308440000000002E-2</v>
      </c>
      <c r="U3403">
        <v>-0.78132630000000003</v>
      </c>
      <c r="V3403">
        <v>0.1090047</v>
      </c>
      <c r="W3403">
        <v>0.17253959999999999</v>
      </c>
      <c r="X3403">
        <v>0.9789525</v>
      </c>
      <c r="Y3403">
        <v>0.26466139999999999</v>
      </c>
      <c r="Z3403">
        <v>-1.39094E-3</v>
      </c>
      <c r="AA3403">
        <v>0.96434039999999999</v>
      </c>
      <c r="AB3403">
        <v>40</v>
      </c>
      <c r="AC3403">
        <v>58.096899999999998</v>
      </c>
      <c r="AD3403">
        <v>-0.57501379999999902</v>
      </c>
      <c r="AE3403">
        <v>-15.333299999999999</v>
      </c>
      <c r="AF3403">
        <v>16.001018365115801</v>
      </c>
      <c r="AG3403">
        <v>-0.57501379999999902</v>
      </c>
      <c r="AH3403">
        <v>57.910846124617699</v>
      </c>
      <c r="AI3403">
        <v>90.548342824347998</v>
      </c>
      <c r="AJ3403">
        <v>74.554292879312101</v>
      </c>
      <c r="AK3403">
        <v>60.083519607793598</v>
      </c>
      <c r="AL3403">
        <v>80.064489960982499</v>
      </c>
      <c r="AM3403">
        <v>83.646384218942302</v>
      </c>
      <c r="AN3403">
        <v>0.99999996772324895</v>
      </c>
    </row>
    <row r="3404" spans="1:40" x14ac:dyDescent="0.25">
      <c r="A3404" t="str">
        <f>"20190312151054366"</f>
        <v>20190312151054366</v>
      </c>
      <c r="B3404" t="str">
        <f>"1552374654364549"</f>
        <v>1552374654364549</v>
      </c>
      <c r="C3404" t="s">
        <v>40</v>
      </c>
      <c r="D3404">
        <v>5.0618299999999996</v>
      </c>
      <c r="E3404">
        <v>0.56178890000000004</v>
      </c>
      <c r="F3404" t="s">
        <v>69</v>
      </c>
      <c r="G3404">
        <v>-168.41659999999999</v>
      </c>
      <c r="H3404">
        <v>0.1546874</v>
      </c>
      <c r="I3404">
        <v>188.2704</v>
      </c>
      <c r="J3404">
        <v>-268.68900000000002</v>
      </c>
      <c r="K3404">
        <v>1.109721</v>
      </c>
      <c r="L3404">
        <v>214.87260000000001</v>
      </c>
      <c r="M3404">
        <v>0.99984220000000001</v>
      </c>
      <c r="N3404">
        <v>0</v>
      </c>
      <c r="O3404">
        <v>1.0636659999999999E-2</v>
      </c>
      <c r="P3404">
        <v>0.9823499</v>
      </c>
      <c r="Q3404">
        <v>0.15883889999999901</v>
      </c>
      <c r="R3404">
        <v>-9.8790279999999994E-2</v>
      </c>
      <c r="S3404">
        <v>2.9801030000000002</v>
      </c>
      <c r="T3404">
        <v>-2.8216720000000001E-2</v>
      </c>
      <c r="U3404">
        <v>-0.78581239999999997</v>
      </c>
      <c r="V3404">
        <v>0.10951660000000001</v>
      </c>
      <c r="W3404">
        <v>0.172614299999999</v>
      </c>
      <c r="X3404">
        <v>0.97888229999999998</v>
      </c>
      <c r="Y3404">
        <v>0.2652313</v>
      </c>
      <c r="Z3404">
        <v>-1.333589E-3</v>
      </c>
      <c r="AA3404">
        <v>0.96418389999999998</v>
      </c>
      <c r="AB3404">
        <v>40</v>
      </c>
      <c r="AC3404">
        <v>100.2724</v>
      </c>
      <c r="AD3404">
        <v>-0.95503360000000004</v>
      </c>
      <c r="AE3404">
        <v>-26.6022</v>
      </c>
      <c r="AF3404">
        <v>27.665021598950101</v>
      </c>
      <c r="AG3404">
        <v>-0.95503360000000004</v>
      </c>
      <c r="AH3404">
        <v>99.9752663414572</v>
      </c>
      <c r="AI3404">
        <v>90.527490518942599</v>
      </c>
      <c r="AJ3404">
        <v>74.532240508997702</v>
      </c>
      <c r="AK3404">
        <v>103.73677934702199</v>
      </c>
      <c r="AL3404">
        <v>80.060145795443404</v>
      </c>
      <c r="AM3404">
        <v>83.616338547121401</v>
      </c>
      <c r="AN3404">
        <v>1.00000006974666</v>
      </c>
    </row>
    <row r="3405" spans="1:40" x14ac:dyDescent="0.25">
      <c r="A3405" t="str">
        <f>"20190312151054390"</f>
        <v>20190312151054390</v>
      </c>
      <c r="B3405" t="str">
        <f>"1552374654384069"</f>
        <v>1552374654384069</v>
      </c>
      <c r="C3405" t="s">
        <v>40</v>
      </c>
      <c r="D3405">
        <v>5.0944739999999999</v>
      </c>
      <c r="E3405">
        <v>0.56196369999999995</v>
      </c>
      <c r="F3405" t="s">
        <v>69</v>
      </c>
      <c r="G3405">
        <v>-168.41659999999999</v>
      </c>
      <c r="H3405">
        <v>0.22165489999999999</v>
      </c>
      <c r="I3405">
        <v>188.221</v>
      </c>
      <c r="J3405">
        <v>-268.26400000000001</v>
      </c>
      <c r="K3405">
        <v>1.109723</v>
      </c>
      <c r="L3405">
        <v>214.87649999999999</v>
      </c>
      <c r="M3405">
        <v>0.99984870000000003</v>
      </c>
      <c r="N3405">
        <v>0</v>
      </c>
      <c r="O3405">
        <v>9.990858E-3</v>
      </c>
      <c r="P3405">
        <v>0.98228559999999998</v>
      </c>
      <c r="Q3405">
        <v>0.158765299999999</v>
      </c>
      <c r="R3405">
        <v>-9.954093E-2</v>
      </c>
      <c r="S3405">
        <v>2.9785460000000001</v>
      </c>
      <c r="T3405">
        <v>-2.637863E-2</v>
      </c>
      <c r="U3405">
        <v>-0.79167180000000004</v>
      </c>
      <c r="V3405">
        <v>0.10963249999999999</v>
      </c>
      <c r="W3405">
        <v>0.1725382</v>
      </c>
      <c r="X3405">
        <v>0.97888269999999999</v>
      </c>
      <c r="Y3405">
        <v>0.26650639999999998</v>
      </c>
      <c r="Z3405">
        <v>-1.246966E-3</v>
      </c>
      <c r="AA3405">
        <v>0.96383229999999998</v>
      </c>
      <c r="AB3405">
        <v>40</v>
      </c>
      <c r="AC3405">
        <v>99.847399999999993</v>
      </c>
      <c r="AD3405">
        <v>-0.88806810000000003</v>
      </c>
      <c r="AE3405">
        <v>-26.6555</v>
      </c>
      <c r="AF3405">
        <v>27.649789904846301</v>
      </c>
      <c r="AG3405">
        <v>-0.88806810000000003</v>
      </c>
      <c r="AH3405">
        <v>99.568724658031201</v>
      </c>
      <c r="AI3405">
        <v>90.492384381372304</v>
      </c>
      <c r="AJ3405">
        <v>74.480263903948995</v>
      </c>
      <c r="AK3405">
        <v>103.34036228289099</v>
      </c>
      <c r="AL3405">
        <v>80.064572000710001</v>
      </c>
      <c r="AM3405">
        <v>83.609641247905202</v>
      </c>
      <c r="AN3405">
        <v>1.00000002793738</v>
      </c>
    </row>
    <row r="3406" spans="1:40" x14ac:dyDescent="0.25">
      <c r="A3406" t="str">
        <f>"20190312151054413"</f>
        <v>20190312151054413</v>
      </c>
      <c r="B3406" t="str">
        <f>"1552374654404565"</f>
        <v>1552374654404565</v>
      </c>
      <c r="C3406" t="s">
        <v>40</v>
      </c>
      <c r="D3406">
        <v>5.0371990000000002</v>
      </c>
      <c r="E3406">
        <v>0.56206769999999995</v>
      </c>
      <c r="F3406" t="s">
        <v>69</v>
      </c>
      <c r="G3406">
        <v>-168.41659999999999</v>
      </c>
      <c r="H3406">
        <v>0.21951319999999999</v>
      </c>
      <c r="I3406">
        <v>188.20519999999999</v>
      </c>
      <c r="J3406">
        <v>-267.86590000000001</v>
      </c>
      <c r="K3406">
        <v>1.109729</v>
      </c>
      <c r="L3406">
        <v>214.87989999999999</v>
      </c>
      <c r="M3406">
        <v>0.99985469999999999</v>
      </c>
      <c r="N3406">
        <v>0</v>
      </c>
      <c r="O3406">
        <v>9.3854609999999995E-3</v>
      </c>
      <c r="P3406">
        <v>0.98226150000000001</v>
      </c>
      <c r="Q3406">
        <v>0.15877179999999999</v>
      </c>
      <c r="R3406">
        <v>-9.9769960000000005E-2</v>
      </c>
      <c r="S3406">
        <v>2.9777830000000001</v>
      </c>
      <c r="T3406">
        <v>-2.654803E-2</v>
      </c>
      <c r="U3406">
        <v>-0.79542539999999995</v>
      </c>
      <c r="V3406">
        <v>0.10926660000000001</v>
      </c>
      <c r="W3406">
        <v>0.17254340000000001</v>
      </c>
      <c r="X3406">
        <v>0.97892270000000003</v>
      </c>
      <c r="Y3406">
        <v>0.26711839999999998</v>
      </c>
      <c r="Z3406">
        <v>-1.252457E-3</v>
      </c>
      <c r="AA3406">
        <v>0.96366289999999999</v>
      </c>
      <c r="AB3406">
        <v>40</v>
      </c>
      <c r="AC3406">
        <v>99.449299999999994</v>
      </c>
      <c r="AD3406">
        <v>-0.8902158</v>
      </c>
      <c r="AE3406">
        <v>-26.674700000000001</v>
      </c>
      <c r="AF3406">
        <v>27.6049334456855</v>
      </c>
      <c r="AG3406">
        <v>-0.8902158</v>
      </c>
      <c r="AH3406">
        <v>99.1871249174838</v>
      </c>
      <c r="AI3406">
        <v>90.495395156328698</v>
      </c>
      <c r="AJ3406">
        <v>74.447494888226302</v>
      </c>
      <c r="AK3406">
        <v>102.96072350225499</v>
      </c>
      <c r="AL3406">
        <v>80.064269583773395</v>
      </c>
      <c r="AM3406">
        <v>83.631051714399405</v>
      </c>
      <c r="AN3406">
        <v>1.0000000336671999</v>
      </c>
    </row>
    <row r="3407" spans="1:40" x14ac:dyDescent="0.25">
      <c r="A3407" t="str">
        <f>"20190312151054433"</f>
        <v>20190312151054433</v>
      </c>
      <c r="B3407" t="str">
        <f>"1552374654424085"</f>
        <v>1552374654424085</v>
      </c>
      <c r="C3407" t="s">
        <v>40</v>
      </c>
      <c r="D3407">
        <v>5.0684950000000004</v>
      </c>
      <c r="E3407">
        <v>0.56220059999999905</v>
      </c>
      <c r="F3407" t="s">
        <v>69</v>
      </c>
      <c r="G3407">
        <v>-168.41659999999999</v>
      </c>
      <c r="H3407">
        <v>0.2282739</v>
      </c>
      <c r="I3407">
        <v>188.26769999999999</v>
      </c>
      <c r="J3407">
        <v>-267.48930000000001</v>
      </c>
      <c r="K3407">
        <v>1.1097319999999999</v>
      </c>
      <c r="L3407">
        <v>214.88290000000001</v>
      </c>
      <c r="M3407">
        <v>0.99985999999999997</v>
      </c>
      <c r="N3407">
        <v>0</v>
      </c>
      <c r="O3407">
        <v>8.8127869999999903E-3</v>
      </c>
      <c r="P3407">
        <v>0.98222339999999997</v>
      </c>
      <c r="Q3407">
        <v>0.15861520000000001</v>
      </c>
      <c r="R3407">
        <v>-0.1003933</v>
      </c>
      <c r="S3407">
        <v>2.977509</v>
      </c>
      <c r="T3407">
        <v>-2.6389719999999998E-2</v>
      </c>
      <c r="U3407">
        <v>-0.79676819999999904</v>
      </c>
      <c r="V3407">
        <v>0.1093269</v>
      </c>
      <c r="W3407">
        <v>0.17238510000000001</v>
      </c>
      <c r="X3407">
        <v>0.97894380000000003</v>
      </c>
      <c r="Y3407">
        <v>0.26699430000000002</v>
      </c>
      <c r="Z3407">
        <v>-1.239497E-3</v>
      </c>
      <c r="AA3407">
        <v>0.96369729999999998</v>
      </c>
      <c r="AB3407">
        <v>40</v>
      </c>
      <c r="AC3407">
        <v>99.072699999999998</v>
      </c>
      <c r="AD3407">
        <v>-0.88145809999999902</v>
      </c>
      <c r="AE3407">
        <v>-26.615200000000002</v>
      </c>
      <c r="AF3407">
        <v>27.485331932320701</v>
      </c>
      <c r="AG3407">
        <v>-0.88145809999999902</v>
      </c>
      <c r="AH3407">
        <v>98.826977694400398</v>
      </c>
      <c r="AI3407">
        <v>90.492334228956494</v>
      </c>
      <c r="AJ3407">
        <v>74.4579171370236</v>
      </c>
      <c r="AK3407">
        <v>102.58163558854601</v>
      </c>
      <c r="AL3407">
        <v>80.073476926967601</v>
      </c>
      <c r="AM3407">
        <v>83.627702064789304</v>
      </c>
      <c r="AN3407">
        <v>0.99999997866202905</v>
      </c>
    </row>
    <row r="3408" spans="1:40" x14ac:dyDescent="0.25">
      <c r="A3408" t="str">
        <f>"20190312151054456"</f>
        <v>20190312151054456</v>
      </c>
      <c r="B3408" t="str">
        <f>"1552374654444581"</f>
        <v>1552374654444581</v>
      </c>
      <c r="C3408" t="s">
        <v>40</v>
      </c>
      <c r="D3408">
        <v>5.0375930000000002</v>
      </c>
      <c r="E3408">
        <v>0.56230500000000005</v>
      </c>
      <c r="F3408" t="s">
        <v>69</v>
      </c>
      <c r="G3408">
        <v>-168.41659999999999</v>
      </c>
      <c r="H3408">
        <v>0.2102985</v>
      </c>
      <c r="I3408">
        <v>188.2713</v>
      </c>
      <c r="J3408">
        <v>-267.0917</v>
      </c>
      <c r="K3408">
        <v>1.1097319999999999</v>
      </c>
      <c r="L3408">
        <v>214.88579999999999</v>
      </c>
      <c r="M3408">
        <v>0.99986520000000001</v>
      </c>
      <c r="N3408">
        <v>0</v>
      </c>
      <c r="O3408">
        <v>8.2078689999999996E-3</v>
      </c>
      <c r="P3408">
        <v>0.98221499999999995</v>
      </c>
      <c r="Q3408">
        <v>0.15817779999999901</v>
      </c>
      <c r="R3408">
        <v>-0.1011614</v>
      </c>
      <c r="S3408">
        <v>2.9769290000000002</v>
      </c>
      <c r="T3408">
        <v>-2.70251E-2</v>
      </c>
      <c r="U3408">
        <v>-0.79962159999999904</v>
      </c>
      <c r="V3408">
        <v>0.1095001</v>
      </c>
      <c r="W3408">
        <v>0.17194589999999901</v>
      </c>
      <c r="X3408">
        <v>0.97900169999999997</v>
      </c>
      <c r="Y3408">
        <v>0.26731939999999998</v>
      </c>
      <c r="Z3408">
        <v>-1.265473E-3</v>
      </c>
      <c r="AA3408">
        <v>0.96360710000000005</v>
      </c>
      <c r="AB3408">
        <v>40</v>
      </c>
      <c r="AC3408">
        <v>98.6751</v>
      </c>
      <c r="AD3408">
        <v>-0.899433499999999</v>
      </c>
      <c r="AE3408">
        <v>-26.6144999999999</v>
      </c>
      <c r="AF3408">
        <v>27.421473688263401</v>
      </c>
      <c r="AG3408">
        <v>-0.899433499999999</v>
      </c>
      <c r="AH3408">
        <v>98.445680340637097</v>
      </c>
      <c r="AI3408">
        <v>90.504263654742104</v>
      </c>
      <c r="AJ3408">
        <v>74.435129696588703</v>
      </c>
      <c r="AK3408">
        <v>102.19734917104201</v>
      </c>
      <c r="AL3408">
        <v>80.099022860885796</v>
      </c>
      <c r="AM3408">
        <v>83.618064403244404</v>
      </c>
      <c r="AN3408">
        <v>0.99999999651485405</v>
      </c>
    </row>
    <row r="3409" spans="1:40" x14ac:dyDescent="0.25">
      <c r="A3409" t="str">
        <f>"20190312151054478"</f>
        <v>20190312151054478</v>
      </c>
      <c r="B3409" t="str">
        <f>"1552374654474838"</f>
        <v>1552374654474838</v>
      </c>
      <c r="C3409" t="s">
        <v>40</v>
      </c>
      <c r="D3409">
        <v>4.9916140000000002</v>
      </c>
      <c r="E3409">
        <v>0.56215199999999999</v>
      </c>
      <c r="F3409" t="s">
        <v>69</v>
      </c>
      <c r="G3409">
        <v>-168.41659999999999</v>
      </c>
      <c r="H3409">
        <v>0.16591239999999999</v>
      </c>
      <c r="I3409">
        <v>188.27510000000001</v>
      </c>
      <c r="J3409">
        <v>-266.69639999999998</v>
      </c>
      <c r="K3409">
        <v>1.1097349999999999</v>
      </c>
      <c r="L3409">
        <v>214.88849999999999</v>
      </c>
      <c r="M3409">
        <v>0.99986989999999998</v>
      </c>
      <c r="N3409">
        <v>0</v>
      </c>
      <c r="O3409">
        <v>7.6063459999999999E-3</v>
      </c>
      <c r="P3409">
        <v>0.98219869999999998</v>
      </c>
      <c r="Q3409">
        <v>0.1575221</v>
      </c>
      <c r="R3409">
        <v>-0.102336</v>
      </c>
      <c r="S3409">
        <v>2.9762270000000002</v>
      </c>
      <c r="T3409">
        <v>-2.846634E-2</v>
      </c>
      <c r="U3409">
        <v>-0.8026276</v>
      </c>
      <c r="V3409">
        <v>0.11008270000000001</v>
      </c>
      <c r="W3409">
        <v>0.17128779999999999</v>
      </c>
      <c r="X3409">
        <v>0.97905169999999997</v>
      </c>
      <c r="Y3409">
        <v>0.26770300000000002</v>
      </c>
      <c r="Z3409">
        <v>-1.3292359999999999E-3</v>
      </c>
      <c r="AA3409">
        <v>0.96350060000000004</v>
      </c>
      <c r="AB3409">
        <v>40</v>
      </c>
      <c r="AC3409">
        <v>98.279799999999994</v>
      </c>
      <c r="AD3409">
        <v>-0.94382259999999996</v>
      </c>
      <c r="AE3409">
        <v>-26.613399999999899</v>
      </c>
      <c r="AF3409">
        <v>27.357905025407</v>
      </c>
      <c r="AG3409">
        <v>-0.94382259999999996</v>
      </c>
      <c r="AH3409">
        <v>98.066078781708399</v>
      </c>
      <c r="AI3409">
        <v>90.531137916219194</v>
      </c>
      <c r="AJ3409">
        <v>74.412269629478402</v>
      </c>
      <c r="AK3409">
        <v>101.815036100272</v>
      </c>
      <c r="AL3409">
        <v>80.137296807564596</v>
      </c>
      <c r="AM3409">
        <v>83.584716325205406</v>
      </c>
      <c r="AN3409">
        <v>0.99999997127050899</v>
      </c>
    </row>
    <row r="3410" spans="1:40" x14ac:dyDescent="0.25">
      <c r="A3410" t="str">
        <f>"20190312151054501"</f>
        <v>20190312151054501</v>
      </c>
      <c r="B3410" t="str">
        <f>"1552374654494357"</f>
        <v>1552374654494357</v>
      </c>
      <c r="C3410" t="s">
        <v>40</v>
      </c>
      <c r="D3410">
        <v>5.1208130000000001</v>
      </c>
      <c r="E3410">
        <v>0.52161610000000003</v>
      </c>
      <c r="F3410" t="s">
        <v>69</v>
      </c>
      <c r="G3410">
        <v>-168.41650000000001</v>
      </c>
      <c r="H3410">
        <v>7.7713729999999995E-2</v>
      </c>
      <c r="I3410">
        <v>188.30709999999999</v>
      </c>
      <c r="J3410">
        <v>-266.29790000000003</v>
      </c>
      <c r="K3410">
        <v>1.109731</v>
      </c>
      <c r="L3410">
        <v>214.89099999999999</v>
      </c>
      <c r="M3410">
        <v>0.9998745</v>
      </c>
      <c r="N3410">
        <v>0</v>
      </c>
      <c r="O3410">
        <v>6.9995190000000001E-3</v>
      </c>
      <c r="P3410">
        <v>0.98215870000000005</v>
      </c>
      <c r="Q3410">
        <v>0.1573261</v>
      </c>
      <c r="R3410">
        <v>-0.1030201</v>
      </c>
      <c r="S3410">
        <v>2.9755250000000002</v>
      </c>
      <c r="T3410">
        <v>-3.1244520000000001E-2</v>
      </c>
      <c r="U3410">
        <v>-0.80477909999999997</v>
      </c>
      <c r="V3410">
        <v>0.1101702</v>
      </c>
      <c r="W3410">
        <v>0.17108999999999999</v>
      </c>
      <c r="X3410">
        <v>0.97907639999999996</v>
      </c>
      <c r="Y3410">
        <v>0.26782220000000001</v>
      </c>
      <c r="Z3410">
        <v>-1.453506E-3</v>
      </c>
      <c r="AA3410">
        <v>0.96346719999999997</v>
      </c>
      <c r="AB3410">
        <v>40</v>
      </c>
      <c r="AC3410">
        <v>97.881399999999999</v>
      </c>
      <c r="AD3410">
        <v>-1.0320172700000001</v>
      </c>
      <c r="AE3410">
        <v>-26.5839</v>
      </c>
      <c r="AF3410">
        <v>27.2656177650716</v>
      </c>
      <c r="AG3410">
        <v>-1.0320172700000001</v>
      </c>
      <c r="AH3410">
        <v>97.682795335301194</v>
      </c>
      <c r="AI3410">
        <v>90.583022385525993</v>
      </c>
      <c r="AJ3410">
        <v>74.4043034861226</v>
      </c>
      <c r="AK3410">
        <v>101.421927985396</v>
      </c>
      <c r="AL3410">
        <v>80.148799296412903</v>
      </c>
      <c r="AM3410">
        <v>83.5798202735008</v>
      </c>
      <c r="AN3410">
        <v>0.99999992905249702</v>
      </c>
    </row>
    <row r="3411" spans="1:40" x14ac:dyDescent="0.25">
      <c r="A3411" t="str">
        <f>"20190312151054523"</f>
        <v>20190312151054523</v>
      </c>
      <c r="B3411" t="str">
        <f>"1552374654513877"</f>
        <v>1552374654513877</v>
      </c>
      <c r="C3411" t="s">
        <v>40</v>
      </c>
      <c r="D3411">
        <v>5.0315979999999998</v>
      </c>
      <c r="E3411">
        <v>0.50652889999999995</v>
      </c>
      <c r="F3411" t="s">
        <v>50</v>
      </c>
      <c r="G3411">
        <v>-184.1001</v>
      </c>
      <c r="H3411" s="1">
        <v>5.8503739999999996E-6</v>
      </c>
      <c r="I3411">
        <v>201.63759999999999</v>
      </c>
      <c r="J3411">
        <v>-265.90480000000002</v>
      </c>
      <c r="K3411">
        <v>1.109731</v>
      </c>
      <c r="L3411">
        <v>214.8931</v>
      </c>
      <c r="M3411">
        <v>0.99987839999999995</v>
      </c>
      <c r="N3411">
        <v>0</v>
      </c>
      <c r="O3411">
        <v>6.4010949999999999E-3</v>
      </c>
      <c r="P3411">
        <v>0.98213989999999995</v>
      </c>
      <c r="Q3411">
        <v>0.15690129999999999</v>
      </c>
      <c r="R3411">
        <v>-0.103842</v>
      </c>
      <c r="S3411">
        <v>3.0100709999999999</v>
      </c>
      <c r="T3411">
        <v>-4.0637970000000002E-2</v>
      </c>
      <c r="U3411">
        <v>-0.4853363</v>
      </c>
      <c r="V3411">
        <v>0.1104036</v>
      </c>
      <c r="W3411">
        <v>0.17066339999999999</v>
      </c>
      <c r="X3411">
        <v>0.97912469999999996</v>
      </c>
      <c r="Y3411">
        <v>0.1654832</v>
      </c>
      <c r="Z3411">
        <v>-1.1957300000000001E-3</v>
      </c>
      <c r="AA3411">
        <v>0.98621190000000003</v>
      </c>
      <c r="AB3411">
        <v>40</v>
      </c>
      <c r="AC3411">
        <v>81.804699999999997</v>
      </c>
      <c r="AD3411">
        <v>-1.1097251496259899</v>
      </c>
      <c r="AE3411">
        <v>-13.2555</v>
      </c>
      <c r="AF3411">
        <v>13.776450649160401</v>
      </c>
      <c r="AG3411">
        <v>-1.1097251496259899</v>
      </c>
      <c r="AH3411">
        <v>81.703514687888998</v>
      </c>
      <c r="AI3411">
        <v>90.767332797825702</v>
      </c>
      <c r="AJ3411">
        <v>80.429089474640705</v>
      </c>
      <c r="AK3411">
        <v>82.864264883908604</v>
      </c>
      <c r="AL3411">
        <v>80.173607877221201</v>
      </c>
      <c r="AM3411">
        <v>83.566647499250493</v>
      </c>
      <c r="AN3411">
        <v>1.0000000645713001</v>
      </c>
    </row>
    <row r="3412" spans="1:40" x14ac:dyDescent="0.25">
      <c r="A3412" t="str">
        <f>"20190312151054546"</f>
        <v>20190312151054546</v>
      </c>
      <c r="B3412" t="str">
        <f>"1552374654534372"</f>
        <v>1552374654534372</v>
      </c>
      <c r="C3412" t="s">
        <v>40</v>
      </c>
      <c r="D3412">
        <v>5.0179</v>
      </c>
      <c r="E3412">
        <v>0.50028149999999905</v>
      </c>
      <c r="F3412" t="s">
        <v>52</v>
      </c>
      <c r="G3412">
        <v>-238.38560000000001</v>
      </c>
      <c r="H3412" s="1">
        <v>3.059742E-6</v>
      </c>
      <c r="I3412">
        <v>211.54750000000001</v>
      </c>
      <c r="J3412">
        <v>-265.50380000000001</v>
      </c>
      <c r="K3412">
        <v>1.1097269999999999</v>
      </c>
      <c r="L3412">
        <v>214.89510000000001</v>
      </c>
      <c r="M3412">
        <v>0.99988220000000005</v>
      </c>
      <c r="N3412">
        <v>0</v>
      </c>
      <c r="O3412">
        <v>5.7906299999999997E-3</v>
      </c>
      <c r="P3412">
        <v>0.98213600000000001</v>
      </c>
      <c r="Q3412">
        <v>0.156458399999999</v>
      </c>
      <c r="R3412">
        <v>-0.1045466</v>
      </c>
      <c r="S3412">
        <v>3.0350950000000001</v>
      </c>
      <c r="T3412">
        <v>-0.12239220000000001</v>
      </c>
      <c r="U3412">
        <v>-0.36898799999999998</v>
      </c>
      <c r="V3412">
        <v>0.1105077</v>
      </c>
      <c r="W3412">
        <v>0.17021889999999901</v>
      </c>
      <c r="X3412">
        <v>0.97919029999999996</v>
      </c>
      <c r="Y3412">
        <v>0.1263262</v>
      </c>
      <c r="Z3412">
        <v>-2.7693349999999999E-3</v>
      </c>
      <c r="AA3412">
        <v>0.99198489999999995</v>
      </c>
      <c r="AB3412">
        <v>40</v>
      </c>
      <c r="AC3412">
        <v>27.118200000000002</v>
      </c>
      <c r="AD3412">
        <v>-1.1097239402579999</v>
      </c>
      <c r="AE3412">
        <v>-3.3475999999999999</v>
      </c>
      <c r="AF3412">
        <v>3.4988200518550401</v>
      </c>
      <c r="AG3412">
        <v>-1.1097239402579999</v>
      </c>
      <c r="AH3412">
        <v>27.053734700882</v>
      </c>
      <c r="AI3412">
        <v>92.329533841103796</v>
      </c>
      <c r="AJ3412">
        <v>82.630923483074994</v>
      </c>
      <c r="AK3412">
        <v>27.3016078325902</v>
      </c>
      <c r="AL3412">
        <v>80.199453738228698</v>
      </c>
      <c r="AM3412">
        <v>83.561060169746</v>
      </c>
      <c r="AN3412">
        <v>1.00000003464529</v>
      </c>
    </row>
    <row r="3413" spans="1:40" x14ac:dyDescent="0.25">
      <c r="A3413" t="str">
        <f>"20190312151054568"</f>
        <v>20190312151054568</v>
      </c>
      <c r="B3413" t="str">
        <f>"1552374654564629"</f>
        <v>1552374654564629</v>
      </c>
      <c r="C3413" t="s">
        <v>40</v>
      </c>
      <c r="D3413">
        <v>4.9435079999999996</v>
      </c>
      <c r="E3413">
        <v>0.49762390000000001</v>
      </c>
      <c r="F3413" t="s">
        <v>52</v>
      </c>
      <c r="G3413">
        <v>-245.85820000000001</v>
      </c>
      <c r="H3413" s="1">
        <v>1.65910999999999E-6</v>
      </c>
      <c r="I3413">
        <v>212.82159999999999</v>
      </c>
      <c r="J3413">
        <v>-265.11340000000001</v>
      </c>
      <c r="K3413">
        <v>1.1097300000000001</v>
      </c>
      <c r="L3413">
        <v>214.89680000000001</v>
      </c>
      <c r="M3413">
        <v>0.99988560000000004</v>
      </c>
      <c r="N3413">
        <v>0</v>
      </c>
      <c r="O3413">
        <v>5.1957230000000002E-3</v>
      </c>
      <c r="P3413">
        <v>0.98211130000000002</v>
      </c>
      <c r="Q3413">
        <v>0.15624950000000001</v>
      </c>
      <c r="R3413">
        <v>-0.1050881</v>
      </c>
      <c r="S3413">
        <v>3.0477910000000001</v>
      </c>
      <c r="T3413">
        <v>-0.17216090000000001</v>
      </c>
      <c r="U3413">
        <v>-0.32168580000000002</v>
      </c>
      <c r="V3413">
        <v>0.1104644</v>
      </c>
      <c r="W3413">
        <v>0.17000889999999999</v>
      </c>
      <c r="X3413">
        <v>0.97923170000000004</v>
      </c>
      <c r="Y3413">
        <v>0.1099488</v>
      </c>
      <c r="Z3413">
        <v>-3.3867929999999999E-3</v>
      </c>
      <c r="AA3413">
        <v>0.99393149999999997</v>
      </c>
      <c r="AB3413">
        <v>40</v>
      </c>
      <c r="AC3413">
        <v>19.255199999999999</v>
      </c>
      <c r="AD3413">
        <v>-1.1097283408899901</v>
      </c>
      <c r="AE3413">
        <v>-2.0752000000000201</v>
      </c>
      <c r="AF3413">
        <v>2.1681080286398502</v>
      </c>
      <c r="AG3413">
        <v>-1.1097283408899901</v>
      </c>
      <c r="AH3413">
        <v>19.181177576668201</v>
      </c>
      <c r="AI3413">
        <v>93.2902543983773</v>
      </c>
      <c r="AJ3413">
        <v>83.551052231398401</v>
      </c>
      <c r="AK3413">
        <v>19.3351949212338</v>
      </c>
      <c r="AL3413">
        <v>80.211664130807307</v>
      </c>
      <c r="AM3413">
        <v>83.563831786169203</v>
      </c>
      <c r="AN3413">
        <v>1.00000006601572</v>
      </c>
    </row>
    <row r="3414" spans="1:40" x14ac:dyDescent="0.25">
      <c r="A3414" t="str">
        <f>"20190312151054590"</f>
        <v>20190312151054590</v>
      </c>
      <c r="B3414" t="str">
        <f>"1552374654584149"</f>
        <v>1552374654584149</v>
      </c>
      <c r="C3414" t="s">
        <v>40</v>
      </c>
      <c r="D3414">
        <v>4.974335</v>
      </c>
      <c r="E3414">
        <v>0.4960561</v>
      </c>
      <c r="F3414" t="s">
        <v>41</v>
      </c>
      <c r="G3414">
        <v>-264.19959999999998</v>
      </c>
      <c r="H3414">
        <v>1.0474889999999999</v>
      </c>
      <c r="I3414">
        <v>214.80609999999999</v>
      </c>
      <c r="J3414">
        <v>-264.70370000000003</v>
      </c>
      <c r="K3414">
        <v>1.109728</v>
      </c>
      <c r="L3414">
        <v>214.89840000000001</v>
      </c>
      <c r="M3414">
        <v>0.99988860000000002</v>
      </c>
      <c r="N3414">
        <v>0</v>
      </c>
      <c r="O3414">
        <v>4.5716719999999997E-3</v>
      </c>
      <c r="P3414">
        <v>0.98212860000000002</v>
      </c>
      <c r="Q3414">
        <v>0.1559277</v>
      </c>
      <c r="R3414">
        <v>-0.10540389999999999</v>
      </c>
      <c r="S3414">
        <v>3.0553279999999998</v>
      </c>
      <c r="T3414">
        <v>-0.20815439999999999</v>
      </c>
      <c r="U3414">
        <v>-0.30299379999999998</v>
      </c>
      <c r="V3414">
        <v>0.1101668</v>
      </c>
      <c r="W3414">
        <v>0.16968649999999999</v>
      </c>
      <c r="X3414">
        <v>0.97932110000000006</v>
      </c>
      <c r="Y3414">
        <v>0.1029868</v>
      </c>
      <c r="Z3414">
        <v>-3.805943E-3</v>
      </c>
      <c r="AA3414">
        <v>0.99467550000000005</v>
      </c>
      <c r="AB3414">
        <v>40</v>
      </c>
      <c r="AC3414">
        <v>0.50410000000004995</v>
      </c>
      <c r="AD3414">
        <v>-6.22390000000001E-2</v>
      </c>
      <c r="AE3414">
        <v>-9.2300000000022905E-2</v>
      </c>
      <c r="AF3414">
        <v>9.3228790338053397E-2</v>
      </c>
      <c r="AG3414">
        <v>-6.22390000000001E-2</v>
      </c>
      <c r="AH3414">
        <v>0.49635189056178902</v>
      </c>
      <c r="AI3414">
        <v>97.025584962447297</v>
      </c>
      <c r="AJ3414">
        <v>79.362190211374099</v>
      </c>
      <c r="AK3414">
        <v>0.50885213936187701</v>
      </c>
      <c r="AL3414">
        <v>80.230408231096305</v>
      </c>
      <c r="AM3414">
        <v>83.581607508154903</v>
      </c>
      <c r="AN3414">
        <v>1.0000000245048399</v>
      </c>
    </row>
    <row r="3415" spans="1:40" x14ac:dyDescent="0.25">
      <c r="A3415" t="str">
        <f>"20190312151054614"</f>
        <v>20190312151054614</v>
      </c>
      <c r="B3415" t="str">
        <f>"1552374654604645"</f>
        <v>1552374654604645</v>
      </c>
      <c r="C3415" t="s">
        <v>40</v>
      </c>
      <c r="D3415">
        <v>4.860061</v>
      </c>
      <c r="E3415">
        <v>0.4950022</v>
      </c>
      <c r="F3415" t="s">
        <v>52</v>
      </c>
      <c r="G3415">
        <v>-247.97210000000001</v>
      </c>
      <c r="H3415" s="1">
        <v>2.7631150000000001E-6</v>
      </c>
      <c r="I3415">
        <v>213.2997</v>
      </c>
      <c r="J3415">
        <v>-264.30590000000001</v>
      </c>
      <c r="K3415">
        <v>1.109729</v>
      </c>
      <c r="L3415">
        <v>214.89959999999999</v>
      </c>
      <c r="M3415">
        <v>0.99989119999999998</v>
      </c>
      <c r="N3415">
        <v>0</v>
      </c>
      <c r="O3415">
        <v>3.9656789999999997E-3</v>
      </c>
      <c r="P3415">
        <v>0.98219749999999995</v>
      </c>
      <c r="Q3415">
        <v>0.1551836</v>
      </c>
      <c r="R3415">
        <v>-0.1058612</v>
      </c>
      <c r="S3415">
        <v>3.0554199999999998</v>
      </c>
      <c r="T3415">
        <v>-0.20265130000000001</v>
      </c>
      <c r="U3415">
        <v>-0.29194639999999999</v>
      </c>
      <c r="V3415">
        <v>0.11002770000000001</v>
      </c>
      <c r="W3415">
        <v>0.16894210000000001</v>
      </c>
      <c r="X3415">
        <v>0.97946540000000004</v>
      </c>
      <c r="Y3415">
        <v>9.8840620000000004E-2</v>
      </c>
      <c r="Z3415">
        <v>-3.528977E-3</v>
      </c>
      <c r="AA3415">
        <v>0.99509700000000001</v>
      </c>
      <c r="AB3415">
        <v>40</v>
      </c>
      <c r="AC3415">
        <v>16.333799999999901</v>
      </c>
      <c r="AD3415">
        <v>-1.1097262368850001</v>
      </c>
      <c r="AE3415">
        <v>-1.5998999999999901</v>
      </c>
      <c r="AF3415">
        <v>1.65709226508329</v>
      </c>
      <c r="AG3415">
        <v>-1.1097262368850001</v>
      </c>
      <c r="AH3415">
        <v>16.2530167033152</v>
      </c>
      <c r="AI3415">
        <v>93.885906085205093</v>
      </c>
      <c r="AJ3415">
        <v>84.178468618020503</v>
      </c>
      <c r="AK3415">
        <v>16.374919818248699</v>
      </c>
      <c r="AL3415">
        <v>80.273683768719096</v>
      </c>
      <c r="AM3415">
        <v>83.590580614641098</v>
      </c>
      <c r="AN3415">
        <v>0.99999999885842905</v>
      </c>
    </row>
    <row r="3416" spans="1:40" x14ac:dyDescent="0.25">
      <c r="A3416" t="str">
        <f>"20190312151054635"</f>
        <v>20190312151054635</v>
      </c>
      <c r="B3416" t="str">
        <f>"1552374654624165"</f>
        <v>1552374654624165</v>
      </c>
      <c r="C3416" t="s">
        <v>40</v>
      </c>
      <c r="D3416">
        <v>4.90449</v>
      </c>
      <c r="E3416">
        <v>0.49416660000000001</v>
      </c>
      <c r="F3416" t="s">
        <v>52</v>
      </c>
      <c r="G3416">
        <v>-247.4521</v>
      </c>
      <c r="H3416" s="1">
        <v>2.4851769999999999E-6</v>
      </c>
      <c r="I3416">
        <v>213.32749999999999</v>
      </c>
      <c r="J3416">
        <v>-263.92160000000001</v>
      </c>
      <c r="K3416">
        <v>1.109729</v>
      </c>
      <c r="L3416">
        <v>214.9006</v>
      </c>
      <c r="M3416">
        <v>0.99989340000000004</v>
      </c>
      <c r="N3416">
        <v>0</v>
      </c>
      <c r="O3416">
        <v>3.3799500000000001E-3</v>
      </c>
      <c r="P3416">
        <v>0.98218369999999999</v>
      </c>
      <c r="Q3416">
        <v>0.15511079999999999</v>
      </c>
      <c r="R3416">
        <v>-0.1060928</v>
      </c>
      <c r="S3416">
        <v>3.05545</v>
      </c>
      <c r="T3416">
        <v>-0.20118369999999999</v>
      </c>
      <c r="U3416">
        <v>-0.28501890000000002</v>
      </c>
      <c r="V3416">
        <v>0.1096838</v>
      </c>
      <c r="W3416">
        <v>0.16886880000000001</v>
      </c>
      <c r="X3416">
        <v>0.97951659999999996</v>
      </c>
      <c r="Y3416">
        <v>9.603064E-2</v>
      </c>
      <c r="Z3416">
        <v>-3.3731529999999998E-3</v>
      </c>
      <c r="AA3416">
        <v>0.9953727</v>
      </c>
      <c r="AB3416">
        <v>40</v>
      </c>
      <c r="AC3416">
        <v>16.4695</v>
      </c>
      <c r="AD3416">
        <v>-1.109726514823</v>
      </c>
      <c r="AE3416">
        <v>-1.5731000000000099</v>
      </c>
      <c r="AF3416">
        <v>1.62146755055335</v>
      </c>
      <c r="AG3416">
        <v>-1.109726514823</v>
      </c>
      <c r="AH3416">
        <v>16.390346356605502</v>
      </c>
      <c r="AI3416">
        <v>93.854603610208102</v>
      </c>
      <c r="AJ3416">
        <v>84.350214587977206</v>
      </c>
      <c r="AK3416">
        <v>16.507698314564902</v>
      </c>
      <c r="AL3416">
        <v>80.277944669982503</v>
      </c>
      <c r="AM3416">
        <v>83.610779032548393</v>
      </c>
      <c r="AN3416">
        <v>0.99999998863571904</v>
      </c>
    </row>
    <row r="3417" spans="1:40" x14ac:dyDescent="0.25">
      <c r="A3417" t="str">
        <f>"20190312151054658"</f>
        <v>20190312151054658</v>
      </c>
      <c r="B3417" t="str">
        <f>"1552374654654421"</f>
        <v>1552374654654421</v>
      </c>
      <c r="C3417" t="s">
        <v>40</v>
      </c>
      <c r="D3417">
        <v>4.8837699999999904</v>
      </c>
      <c r="E3417">
        <v>0.49358400000000002</v>
      </c>
      <c r="F3417" t="s">
        <v>52</v>
      </c>
      <c r="G3417">
        <v>-246.83449999999999</v>
      </c>
      <c r="H3417" s="1">
        <v>2.156091E-6</v>
      </c>
      <c r="I3417">
        <v>213.3381</v>
      </c>
      <c r="J3417">
        <v>-263.52199999999999</v>
      </c>
      <c r="K3417">
        <v>1.1097269999999999</v>
      </c>
      <c r="L3417">
        <v>214.9014</v>
      </c>
      <c r="M3417">
        <v>0.99989530000000004</v>
      </c>
      <c r="N3417">
        <v>0</v>
      </c>
      <c r="O3417">
        <v>2.7706789999999999E-3</v>
      </c>
      <c r="P3417">
        <v>0.98222200000000004</v>
      </c>
      <c r="Q3417">
        <v>0.15474789999999999</v>
      </c>
      <c r="R3417">
        <v>-0.1062699</v>
      </c>
      <c r="S3417">
        <v>3.0555729999999999</v>
      </c>
      <c r="T3417">
        <v>-0.19844519999999999</v>
      </c>
      <c r="U3417">
        <v>-0.27941890000000003</v>
      </c>
      <c r="V3417">
        <v>0.1092615</v>
      </c>
      <c r="W3417">
        <v>0.16850589999999999</v>
      </c>
      <c r="X3417">
        <v>0.97962629999999995</v>
      </c>
      <c r="Y3417">
        <v>9.3623440000000002E-2</v>
      </c>
      <c r="Z3417">
        <v>-3.2101059999999999E-3</v>
      </c>
      <c r="AA3417">
        <v>0.99560249999999995</v>
      </c>
      <c r="AB3417">
        <v>39</v>
      </c>
      <c r="AC3417">
        <v>16.6875</v>
      </c>
      <c r="AD3417">
        <v>-1.1097248439089999</v>
      </c>
      <c r="AE3417">
        <v>-1.5632999999999899</v>
      </c>
      <c r="AF3417">
        <v>1.6025092468823501</v>
      </c>
      <c r="AG3417">
        <v>-1.1097248439089999</v>
      </c>
      <c r="AH3417">
        <v>16.610287491394299</v>
      </c>
      <c r="AI3417">
        <v>93.804608745095393</v>
      </c>
      <c r="AJ3417">
        <v>84.4893352611588</v>
      </c>
      <c r="AK3417">
        <v>16.724269062123501</v>
      </c>
      <c r="AL3417">
        <v>80.2990397254557</v>
      </c>
      <c r="AM3417">
        <v>83.6358831753804</v>
      </c>
      <c r="AN3417">
        <v>1.0000000006843699</v>
      </c>
    </row>
    <row r="3418" spans="1:40" x14ac:dyDescent="0.25">
      <c r="A3418" t="str">
        <f>"20190312151054680"</f>
        <v>20190312151054680</v>
      </c>
      <c r="B3418" t="str">
        <f>"1552374654673941"</f>
        <v>1552374654673941</v>
      </c>
      <c r="C3418" t="s">
        <v>40</v>
      </c>
      <c r="D3418">
        <v>4.8689229999999997</v>
      </c>
      <c r="E3418">
        <v>0.4933323</v>
      </c>
      <c r="F3418" t="s">
        <v>41</v>
      </c>
      <c r="G3418">
        <v>-262.44420000000002</v>
      </c>
      <c r="H3418">
        <v>1.033245</v>
      </c>
      <c r="I3418">
        <v>214.80420000000001</v>
      </c>
      <c r="J3418">
        <v>-263.1275</v>
      </c>
      <c r="K3418">
        <v>1.1097300000000001</v>
      </c>
      <c r="L3418">
        <v>214.90190000000001</v>
      </c>
      <c r="M3418">
        <v>0.99989680000000003</v>
      </c>
      <c r="N3418">
        <v>0</v>
      </c>
      <c r="O3418">
        <v>2.1693329999999999E-3</v>
      </c>
      <c r="P3418">
        <v>0.98239460000000001</v>
      </c>
      <c r="Q3418">
        <v>0.15384110000000001</v>
      </c>
      <c r="R3418">
        <v>-0.1059895</v>
      </c>
      <c r="S3418">
        <v>3.0586549999999999</v>
      </c>
      <c r="T3418">
        <v>-0.2170839</v>
      </c>
      <c r="U3418">
        <v>-0.27555849999999998</v>
      </c>
      <c r="V3418">
        <v>0.1083892</v>
      </c>
      <c r="W3418">
        <v>0.16760249999999999</v>
      </c>
      <c r="X3418">
        <v>0.97987809999999997</v>
      </c>
      <c r="Y3418">
        <v>9.1654459999999993E-2</v>
      </c>
      <c r="Z3418">
        <v>-3.3953820000000002E-3</v>
      </c>
      <c r="AA3418">
        <v>0.99578509999999998</v>
      </c>
      <c r="AB3418">
        <v>39</v>
      </c>
      <c r="AC3418">
        <v>0.68329999999997404</v>
      </c>
      <c r="AD3418">
        <v>-7.64849999999999E-2</v>
      </c>
      <c r="AE3418">
        <v>-9.7700000000003201E-2</v>
      </c>
      <c r="AF3418">
        <v>9.7979200484315604E-2</v>
      </c>
      <c r="AG3418">
        <v>-7.64849999999999E-2</v>
      </c>
      <c r="AH3418">
        <v>0.67480097444229303</v>
      </c>
      <c r="AI3418">
        <v>96.400019647595101</v>
      </c>
      <c r="AJ3418">
        <v>81.738547978832003</v>
      </c>
      <c r="AK3418">
        <v>0.68615321471287605</v>
      </c>
      <c r="AL3418">
        <v>80.351547056158395</v>
      </c>
      <c r="AM3418">
        <v>83.687889132504694</v>
      </c>
      <c r="AN3418">
        <v>0.99999995377124895</v>
      </c>
    </row>
    <row r="3419" spans="1:40" x14ac:dyDescent="0.25">
      <c r="A3419" t="str">
        <f>"20190312151054713"</f>
        <v>20190312151054713</v>
      </c>
      <c r="B3419" t="str">
        <f>"1552374654704201"</f>
        <v>1552374654704201</v>
      </c>
      <c r="C3419" t="s">
        <v>40</v>
      </c>
      <c r="D3419">
        <v>4.8294180000000004</v>
      </c>
      <c r="E3419">
        <v>0.49302259999999998</v>
      </c>
      <c r="F3419" t="s">
        <v>41</v>
      </c>
      <c r="G3419">
        <v>-262.09280000000001</v>
      </c>
      <c r="H3419">
        <v>1.031744</v>
      </c>
      <c r="I3419">
        <v>214.80969999999999</v>
      </c>
      <c r="J3419">
        <v>-262.54250000000002</v>
      </c>
      <c r="K3419">
        <v>1.109728</v>
      </c>
      <c r="L3419">
        <v>214.9023</v>
      </c>
      <c r="M3419">
        <v>0.99989839999999997</v>
      </c>
      <c r="N3419">
        <v>0</v>
      </c>
      <c r="O3419">
        <v>1.2770329999999999E-3</v>
      </c>
      <c r="P3419">
        <v>0.98258049999999997</v>
      </c>
      <c r="Q3419">
        <v>0.15261659999999999</v>
      </c>
      <c r="R3419">
        <v>-0.1060381</v>
      </c>
      <c r="S3419">
        <v>3.0604550000000001</v>
      </c>
      <c r="T3419">
        <v>-0.230652</v>
      </c>
      <c r="U3419">
        <v>-0.2729492</v>
      </c>
      <c r="V3419">
        <v>0.1075588</v>
      </c>
      <c r="W3419">
        <v>0.16638020000000001</v>
      </c>
      <c r="X3419">
        <v>0.98017790000000005</v>
      </c>
      <c r="Y3419">
        <v>8.9848880000000006E-2</v>
      </c>
      <c r="Z3419">
        <v>-3.4702079999999998E-3</v>
      </c>
      <c r="AA3419">
        <v>0.99594939999999998</v>
      </c>
      <c r="AB3419">
        <v>39</v>
      </c>
      <c r="AC3419">
        <v>0.44970000000000698</v>
      </c>
      <c r="AD3419">
        <v>-7.7983999999999998E-2</v>
      </c>
      <c r="AE3419">
        <v>-9.2600000000004401E-2</v>
      </c>
      <c r="AF3419">
        <v>9.0561653062108199E-2</v>
      </c>
      <c r="AG3419">
        <v>-7.7983999999999998E-2</v>
      </c>
      <c r="AH3419">
        <v>0.43697508394344597</v>
      </c>
      <c r="AI3419">
        <v>99.912338865087605</v>
      </c>
      <c r="AJ3419">
        <v>78.2913925467019</v>
      </c>
      <c r="AK3419">
        <v>0.45302333411064299</v>
      </c>
      <c r="AL3419">
        <v>80.422577433735896</v>
      </c>
      <c r="AM3419">
        <v>83.737762822589204</v>
      </c>
      <c r="AN3419">
        <v>0.99999999102894499</v>
      </c>
    </row>
    <row r="3420" spans="1:40" x14ac:dyDescent="0.25">
      <c r="A3420" t="str">
        <f>"20190312151054735"</f>
        <v>20190312151054735</v>
      </c>
      <c r="B3420" t="str">
        <f>"1552374654724693"</f>
        <v>1552374654724693</v>
      </c>
      <c r="C3420" t="s">
        <v>40</v>
      </c>
      <c r="D3420">
        <v>4.8377109999999997</v>
      </c>
      <c r="E3420">
        <v>0.49348940000000002</v>
      </c>
      <c r="F3420" t="s">
        <v>41</v>
      </c>
      <c r="G3420">
        <v>-261.73390000000001</v>
      </c>
      <c r="H3420">
        <v>1.0449360000000001</v>
      </c>
      <c r="I3420">
        <v>214.8306</v>
      </c>
      <c r="J3420">
        <v>-262.15309999999999</v>
      </c>
      <c r="K3420">
        <v>1.109728</v>
      </c>
      <c r="L3420">
        <v>214.90219999999999</v>
      </c>
      <c r="M3420">
        <v>0.99989899999999998</v>
      </c>
      <c r="N3420">
        <v>0</v>
      </c>
      <c r="O3420">
        <v>6.8302E-4</v>
      </c>
      <c r="P3420">
        <v>0.98268699999999998</v>
      </c>
      <c r="Q3420">
        <v>0.15181229999999901</v>
      </c>
      <c r="R3420">
        <v>-0.1062051</v>
      </c>
      <c r="S3420">
        <v>3.0620419999999999</v>
      </c>
      <c r="T3420">
        <v>-0.2454258</v>
      </c>
      <c r="U3420">
        <v>-0.27108759999999998</v>
      </c>
      <c r="V3420">
        <v>0.1071406</v>
      </c>
      <c r="W3420">
        <v>0.165577</v>
      </c>
      <c r="X3420">
        <v>0.98035969999999995</v>
      </c>
      <c r="Y3420">
        <v>8.8583079999999995E-2</v>
      </c>
      <c r="Z3420">
        <v>-3.592001E-3</v>
      </c>
      <c r="AA3420">
        <v>0.99606229999999996</v>
      </c>
      <c r="AB3420">
        <v>39</v>
      </c>
      <c r="AC3420">
        <v>0.41919999999998903</v>
      </c>
      <c r="AD3420">
        <v>-6.4791999999999905E-2</v>
      </c>
      <c r="AE3420">
        <v>-7.1599999999989394E-2</v>
      </c>
      <c r="AF3420">
        <v>7.0255564928096301E-2</v>
      </c>
      <c r="AG3420">
        <v>-6.4791999999999905E-2</v>
      </c>
      <c r="AH3420">
        <v>0.40964239115572698</v>
      </c>
      <c r="AI3420">
        <v>98.8605881072438</v>
      </c>
      <c r="AJ3420">
        <v>80.268188322409898</v>
      </c>
      <c r="AK3420">
        <v>0.42064324111905999</v>
      </c>
      <c r="AL3420">
        <v>80.469244761026204</v>
      </c>
      <c r="AM3420">
        <v>83.763066422580394</v>
      </c>
      <c r="AN3420">
        <v>0.999999996240724</v>
      </c>
    </row>
    <row r="3421" spans="1:40" x14ac:dyDescent="0.25">
      <c r="A3421" t="str">
        <f>"20190312151054757"</f>
        <v>20190312151054757</v>
      </c>
      <c r="B3421" t="str">
        <f>"1552374654753974"</f>
        <v>1552374654753974</v>
      </c>
      <c r="C3421" t="s">
        <v>40</v>
      </c>
      <c r="D3421">
        <v>4.854876</v>
      </c>
      <c r="E3421">
        <v>0.49342340000000001</v>
      </c>
      <c r="F3421" t="s">
        <v>41</v>
      </c>
      <c r="G3421">
        <v>-261.38080000000002</v>
      </c>
      <c r="H3421">
        <v>1.046394</v>
      </c>
      <c r="I3421">
        <v>214.83279999999999</v>
      </c>
      <c r="J3421">
        <v>-261.767</v>
      </c>
      <c r="K3421">
        <v>1.1097250000000001</v>
      </c>
      <c r="L3421">
        <v>214.90190000000001</v>
      </c>
      <c r="M3421">
        <v>0.99989939999999999</v>
      </c>
      <c r="N3421">
        <v>0</v>
      </c>
      <c r="O3421" s="1">
        <v>9.3653510000000001E-5</v>
      </c>
      <c r="P3421">
        <v>0.98271269999999999</v>
      </c>
      <c r="Q3421">
        <v>0.15150839999999999</v>
      </c>
      <c r="R3421">
        <v>-0.1064027</v>
      </c>
      <c r="S3421">
        <v>3.06189</v>
      </c>
      <c r="T3421">
        <v>-0.2510635</v>
      </c>
      <c r="U3421">
        <v>-0.2755127</v>
      </c>
      <c r="V3421">
        <v>0.10675809999999999</v>
      </c>
      <c r="W3421">
        <v>0.1652737</v>
      </c>
      <c r="X3421">
        <v>0.98045260000000001</v>
      </c>
      <c r="Y3421">
        <v>8.9414480000000005E-2</v>
      </c>
      <c r="Z3421">
        <v>-3.659996E-3</v>
      </c>
      <c r="AA3421">
        <v>0.99598779999999998</v>
      </c>
      <c r="AB3421">
        <v>39</v>
      </c>
      <c r="AC3421">
        <v>0.38619999999997301</v>
      </c>
      <c r="AD3421">
        <v>-6.3330999999999998E-2</v>
      </c>
      <c r="AE3421">
        <v>-6.9100000000020104E-2</v>
      </c>
      <c r="AF3421">
        <v>6.7380446453426293E-2</v>
      </c>
      <c r="AG3421">
        <v>-6.3330999999999998E-2</v>
      </c>
      <c r="AH3421">
        <v>0.37638607025669402</v>
      </c>
      <c r="AI3421">
        <v>99.404390555973293</v>
      </c>
      <c r="AJ3421">
        <v>79.8504509655763</v>
      </c>
      <c r="AK3421">
        <v>0.38757891326611199</v>
      </c>
      <c r="AL3421">
        <v>80.486865323637701</v>
      </c>
      <c r="AM3421">
        <v>83.785742457634896</v>
      </c>
      <c r="AN3421">
        <v>0.99999999433703002</v>
      </c>
    </row>
    <row r="3422" spans="1:40" x14ac:dyDescent="0.25">
      <c r="A3422" t="str">
        <f>"20190312151054781"</f>
        <v>20190312151054781</v>
      </c>
      <c r="B3422" t="str">
        <f>"1552374654774469"</f>
        <v>1552374654774469</v>
      </c>
      <c r="C3422" t="s">
        <v>40</v>
      </c>
      <c r="D3422">
        <v>5.0946809999999996</v>
      </c>
      <c r="E3422">
        <v>0.49335499999999999</v>
      </c>
      <c r="F3422" t="s">
        <v>41</v>
      </c>
      <c r="G3422">
        <v>-261.02870000000001</v>
      </c>
      <c r="H3422">
        <v>1.0470710000000001</v>
      </c>
      <c r="I3422">
        <v>214.83539999999999</v>
      </c>
      <c r="J3422">
        <v>-261.36360000000002</v>
      </c>
      <c r="K3422">
        <v>1.109715</v>
      </c>
      <c r="L3422">
        <v>214.9014</v>
      </c>
      <c r="M3422">
        <v>0.99989919999999999</v>
      </c>
      <c r="N3422">
        <v>0</v>
      </c>
      <c r="O3422">
        <v>-5.2217019999999895E-4</v>
      </c>
      <c r="P3422">
        <v>0.98269779999999995</v>
      </c>
      <c r="Q3422">
        <v>0.15126099999999901</v>
      </c>
      <c r="R3422">
        <v>-0.1068905</v>
      </c>
      <c r="S3422">
        <v>3.0630190000000002</v>
      </c>
      <c r="T3422">
        <v>-0.25994430000000002</v>
      </c>
      <c r="U3422">
        <v>-0.27532960000000001</v>
      </c>
      <c r="V3422">
        <v>0.1066397</v>
      </c>
      <c r="W3422">
        <v>0.1650249</v>
      </c>
      <c r="X3422">
        <v>0.98050740000000003</v>
      </c>
      <c r="Y3422">
        <v>8.8692839999999995E-2</v>
      </c>
      <c r="Z3422">
        <v>-3.7050569999999999E-3</v>
      </c>
      <c r="AA3422">
        <v>0.9960521</v>
      </c>
      <c r="AB3422">
        <v>39</v>
      </c>
      <c r="AC3422">
        <v>0.33490000000000397</v>
      </c>
      <c r="AD3422">
        <v>-6.2644000000000102E-2</v>
      </c>
      <c r="AE3422">
        <v>-6.6000000000002501E-2</v>
      </c>
      <c r="AF3422">
        <v>6.3680302882834605E-2</v>
      </c>
      <c r="AG3422">
        <v>-6.2644000000000102E-2</v>
      </c>
      <c r="AH3422">
        <v>0.32402116871391401</v>
      </c>
      <c r="AI3422">
        <v>100.741605186838</v>
      </c>
      <c r="AJ3422">
        <v>78.881292093817905</v>
      </c>
      <c r="AK3422">
        <v>0.33610886552719799</v>
      </c>
      <c r="AL3422">
        <v>80.501319059768903</v>
      </c>
      <c r="AM3422">
        <v>83.792924764379293</v>
      </c>
      <c r="AN3422">
        <v>1.0000000023454201</v>
      </c>
    </row>
    <row r="3423" spans="1:40" x14ac:dyDescent="0.25">
      <c r="A3423" t="str">
        <f>"20190312151054802"</f>
        <v>20190312151054802</v>
      </c>
      <c r="B3423" t="str">
        <f>"1552374654793989"</f>
        <v>1552374654793989</v>
      </c>
      <c r="C3423" t="s">
        <v>40</v>
      </c>
      <c r="D3423">
        <v>4.8126150000000001</v>
      </c>
      <c r="E3423">
        <v>0.4932262</v>
      </c>
      <c r="F3423" t="s">
        <v>41</v>
      </c>
      <c r="G3423">
        <v>-260.34050000000002</v>
      </c>
      <c r="H3423">
        <v>1.0223519999999999</v>
      </c>
      <c r="I3423">
        <v>214.80889999999999</v>
      </c>
      <c r="J3423">
        <v>-260.97089999999997</v>
      </c>
      <c r="K3423">
        <v>1.1097159999999999</v>
      </c>
      <c r="L3423">
        <v>214.9006</v>
      </c>
      <c r="M3423">
        <v>0.99989870000000003</v>
      </c>
      <c r="N3423">
        <v>0</v>
      </c>
      <c r="O3423">
        <v>-1.119809E-3</v>
      </c>
      <c r="P3423">
        <v>0.98271850000000005</v>
      </c>
      <c r="Q3423">
        <v>0.15082590000000001</v>
      </c>
      <c r="R3423">
        <v>-0.1073119</v>
      </c>
      <c r="S3423">
        <v>3.0630799999999998</v>
      </c>
      <c r="T3423">
        <v>-0.26160990000000001</v>
      </c>
      <c r="U3423">
        <v>-0.27622989999999997</v>
      </c>
      <c r="V3423">
        <v>0.1064725</v>
      </c>
      <c r="W3423">
        <v>0.1645894</v>
      </c>
      <c r="X3423">
        <v>0.98059870000000005</v>
      </c>
      <c r="Y3423">
        <v>8.838538E-2</v>
      </c>
      <c r="Z3423">
        <v>-3.6646579999999999E-3</v>
      </c>
      <c r="AA3423">
        <v>0.99607959999999995</v>
      </c>
      <c r="AB3423">
        <v>39</v>
      </c>
      <c r="AC3423">
        <v>0.630399999999951</v>
      </c>
      <c r="AD3423">
        <v>-8.7363999999999706E-2</v>
      </c>
      <c r="AE3423">
        <v>-9.1700000000003001E-2</v>
      </c>
      <c r="AF3423">
        <v>8.9314137469832994E-2</v>
      </c>
      <c r="AG3423">
        <v>-8.7363999999999706E-2</v>
      </c>
      <c r="AH3423">
        <v>0.61886282606563103</v>
      </c>
      <c r="AI3423">
        <v>97.953933381556695</v>
      </c>
      <c r="AJ3423">
        <v>81.787788495103598</v>
      </c>
      <c r="AK3423">
        <v>0.63134830413482501</v>
      </c>
      <c r="AL3423">
        <v>80.526616681561293</v>
      </c>
      <c r="AM3423">
        <v>83.803153555309805</v>
      </c>
      <c r="AN3423">
        <v>0.99999993714514801</v>
      </c>
    </row>
    <row r="3424" spans="1:40" x14ac:dyDescent="0.25">
      <c r="A3424" t="str">
        <f>"20190312151054826"</f>
        <v>20190312151054826</v>
      </c>
      <c r="B3424" t="str">
        <f>"1552374654814486"</f>
        <v>1552374654814486</v>
      </c>
      <c r="C3424" t="s">
        <v>40</v>
      </c>
      <c r="D3424">
        <v>4.7769089999999998</v>
      </c>
      <c r="E3424">
        <v>0.49339699999999997</v>
      </c>
      <c r="F3424" t="s">
        <v>41</v>
      </c>
      <c r="G3424">
        <v>-259.988</v>
      </c>
      <c r="H3424">
        <v>1.0261910000000001</v>
      </c>
      <c r="I3424">
        <v>214.81180000000001</v>
      </c>
      <c r="J3424">
        <v>-260.57130000000001</v>
      </c>
      <c r="K3424">
        <v>1.10972</v>
      </c>
      <c r="L3424">
        <v>214.89959999999999</v>
      </c>
      <c r="M3424">
        <v>0.99989779999999995</v>
      </c>
      <c r="N3424">
        <v>0</v>
      </c>
      <c r="O3424">
        <v>-1.7264960000000001E-3</v>
      </c>
      <c r="P3424">
        <v>0.98269989999999996</v>
      </c>
      <c r="Q3424">
        <v>0.1504366</v>
      </c>
      <c r="R3424">
        <v>-0.1080274</v>
      </c>
      <c r="S3424">
        <v>3.0624690000000001</v>
      </c>
      <c r="T3424">
        <v>-0.2602738</v>
      </c>
      <c r="U3424">
        <v>-0.27674870000000001</v>
      </c>
      <c r="V3424">
        <v>0.1065902</v>
      </c>
      <c r="W3424">
        <v>0.16419900000000001</v>
      </c>
      <c r="X3424">
        <v>0.98065139999999995</v>
      </c>
      <c r="Y3424">
        <v>8.7972880000000003E-2</v>
      </c>
      <c r="Z3424">
        <v>-3.5778730000000001E-3</v>
      </c>
      <c r="AA3424">
        <v>0.99611649999999996</v>
      </c>
      <c r="AB3424">
        <v>39</v>
      </c>
      <c r="AC3424">
        <v>0.58330000000000803</v>
      </c>
      <c r="AD3424">
        <v>-8.3528999999999895E-2</v>
      </c>
      <c r="AE3424">
        <v>-8.7799999999987194E-2</v>
      </c>
      <c r="AF3424">
        <v>8.5086536108138003E-2</v>
      </c>
      <c r="AG3424">
        <v>-8.3528999999999895E-2</v>
      </c>
      <c r="AH3424">
        <v>0.57198128776087098</v>
      </c>
      <c r="AI3424">
        <v>98.219242913194293</v>
      </c>
      <c r="AJ3424">
        <v>81.538867616332993</v>
      </c>
      <c r="AK3424">
        <v>0.584276823103968</v>
      </c>
      <c r="AL3424">
        <v>80.549293843812904</v>
      </c>
      <c r="AM3424">
        <v>83.796687420186203</v>
      </c>
      <c r="AN3424">
        <v>0.99999997532949902</v>
      </c>
    </row>
    <row r="3425" spans="1:40" x14ac:dyDescent="0.25">
      <c r="A3425" t="str">
        <f>"20190312151054847"</f>
        <v>20190312151054847</v>
      </c>
      <c r="B3425" t="str">
        <f>"1552374654844742"</f>
        <v>1552374654844742</v>
      </c>
      <c r="C3425" t="s">
        <v>40</v>
      </c>
      <c r="D3425">
        <v>4.9544519999999999</v>
      </c>
      <c r="E3425">
        <v>0.49348130000000001</v>
      </c>
      <c r="F3425" t="s">
        <v>41</v>
      </c>
      <c r="G3425">
        <v>-259.63630000000001</v>
      </c>
      <c r="H3425">
        <v>1.0290629999999901</v>
      </c>
      <c r="I3425">
        <v>214.81389999999999</v>
      </c>
      <c r="J3425">
        <v>-260.1977</v>
      </c>
      <c r="K3425">
        <v>1.1097250000000001</v>
      </c>
      <c r="L3425">
        <v>214.89840000000001</v>
      </c>
      <c r="M3425">
        <v>0.99989680000000003</v>
      </c>
      <c r="N3425">
        <v>0</v>
      </c>
      <c r="O3425">
        <v>-2.290968E-3</v>
      </c>
      <c r="P3425">
        <v>0.9826916</v>
      </c>
      <c r="Q3425">
        <v>0.14979999999999999</v>
      </c>
      <c r="R3425">
        <v>-0.1089823</v>
      </c>
      <c r="S3425">
        <v>3.0625</v>
      </c>
      <c r="T3425">
        <v>-0.264266099999999</v>
      </c>
      <c r="U3425">
        <v>-0.27976990000000002</v>
      </c>
      <c r="V3425">
        <v>0.10698829999999999</v>
      </c>
      <c r="W3425">
        <v>0.16356119999999999</v>
      </c>
      <c r="X3425">
        <v>0.98071470000000005</v>
      </c>
      <c r="Y3425">
        <v>8.8375430000000005E-2</v>
      </c>
      <c r="Z3425">
        <v>-3.601136E-3</v>
      </c>
      <c r="AA3425">
        <v>0.99608079999999999</v>
      </c>
      <c r="AB3425">
        <v>39</v>
      </c>
      <c r="AC3425">
        <v>0.56139999999999102</v>
      </c>
      <c r="AD3425">
        <v>-8.0662000000000206E-2</v>
      </c>
      <c r="AE3425">
        <v>-8.4500000000019698E-2</v>
      </c>
      <c r="AF3425">
        <v>8.1566937487618896E-2</v>
      </c>
      <c r="AG3425">
        <v>-8.0662000000000206E-2</v>
      </c>
      <c r="AH3425">
        <v>0.55047979848915496</v>
      </c>
      <c r="AI3425">
        <v>98.247457126097203</v>
      </c>
      <c r="AJ3425">
        <v>81.5715669446882</v>
      </c>
      <c r="AK3425">
        <v>0.56230555046146402</v>
      </c>
      <c r="AL3425">
        <v>80.586338559093406</v>
      </c>
      <c r="AM3425">
        <v>83.774099238744597</v>
      </c>
      <c r="AN3425">
        <v>1.0000000426391999</v>
      </c>
    </row>
    <row r="3426" spans="1:40" x14ac:dyDescent="0.25">
      <c r="A3426" t="str">
        <f>"20190312151054870"</f>
        <v>20190312151054870</v>
      </c>
      <c r="B3426" t="str">
        <f>"1552374654864265"</f>
        <v>1552374654864265</v>
      </c>
      <c r="C3426" t="s">
        <v>40</v>
      </c>
      <c r="D3426">
        <v>5.0115489999999996</v>
      </c>
      <c r="E3426">
        <v>0.49348209999999998</v>
      </c>
      <c r="F3426" t="s">
        <v>41</v>
      </c>
      <c r="G3426">
        <v>-259.28550000000001</v>
      </c>
      <c r="H3426">
        <v>1.030667</v>
      </c>
      <c r="I3426">
        <v>214.81399999999999</v>
      </c>
      <c r="J3426">
        <v>-259.79840000000002</v>
      </c>
      <c r="K3426">
        <v>1.1097349999999999</v>
      </c>
      <c r="L3426">
        <v>214.89689999999999</v>
      </c>
      <c r="M3426">
        <v>0.99989530000000004</v>
      </c>
      <c r="N3426">
        <v>0</v>
      </c>
      <c r="O3426">
        <v>-2.8885439999999998E-3</v>
      </c>
      <c r="P3426">
        <v>0.98272170000000003</v>
      </c>
      <c r="Q3426">
        <v>0.14954239999999999</v>
      </c>
      <c r="R3426">
        <v>-0.1090666</v>
      </c>
      <c r="S3426">
        <v>3.0619510000000001</v>
      </c>
      <c r="T3426">
        <v>-0.26538260000000002</v>
      </c>
      <c r="U3426">
        <v>-0.28295900000000002</v>
      </c>
      <c r="V3426">
        <v>0.10648249999999999</v>
      </c>
      <c r="W3426">
        <v>0.16330430000000001</v>
      </c>
      <c r="X3426">
        <v>0.98081249999999998</v>
      </c>
      <c r="Y3426">
        <v>8.8822890000000002E-2</v>
      </c>
      <c r="Z3426">
        <v>-3.5844919999999999E-3</v>
      </c>
      <c r="AA3426">
        <v>0.99604099999999995</v>
      </c>
      <c r="AB3426">
        <v>39</v>
      </c>
      <c r="AC3426">
        <v>0.51290000000000102</v>
      </c>
      <c r="AD3426">
        <v>-7.9068000000000097E-2</v>
      </c>
      <c r="AE3426">
        <v>-8.2899999999966598E-2</v>
      </c>
      <c r="AF3426">
        <v>7.9575023525854396E-2</v>
      </c>
      <c r="AG3426">
        <v>-7.9068000000000097E-2</v>
      </c>
      <c r="AH3426">
        <v>0.50152215508728903</v>
      </c>
      <c r="AI3426">
        <v>98.850355538657894</v>
      </c>
      <c r="AJ3426">
        <v>80.984206534658099</v>
      </c>
      <c r="AK3426">
        <v>0.51391478382757105</v>
      </c>
      <c r="AL3426">
        <v>80.601257938243194</v>
      </c>
      <c r="AM3426">
        <v>83.8039164915036</v>
      </c>
      <c r="AN3426">
        <v>0.999999988680494</v>
      </c>
    </row>
    <row r="3427" spans="1:40" x14ac:dyDescent="0.25">
      <c r="A3427" t="str">
        <f>"20190312151054892"</f>
        <v>20190312151054892</v>
      </c>
      <c r="B3427" t="str">
        <f>"1552374654884757"</f>
        <v>1552374654884757</v>
      </c>
      <c r="C3427" t="s">
        <v>40</v>
      </c>
      <c r="D3427">
        <v>4.9964040000000001</v>
      </c>
      <c r="E3427">
        <v>0.49349530000000003</v>
      </c>
      <c r="F3427" t="s">
        <v>41</v>
      </c>
      <c r="G3427">
        <v>-258.93349999999998</v>
      </c>
      <c r="H3427">
        <v>1.0351399999999999</v>
      </c>
      <c r="I3427">
        <v>214.81649999999999</v>
      </c>
      <c r="J3427">
        <v>-259.41149999999999</v>
      </c>
      <c r="K3427">
        <v>1.109737</v>
      </c>
      <c r="L3427">
        <v>214.89519999999999</v>
      </c>
      <c r="M3427">
        <v>0.99989360000000005</v>
      </c>
      <c r="N3427">
        <v>0</v>
      </c>
      <c r="O3427">
        <v>-3.4605759999999999E-3</v>
      </c>
      <c r="P3427">
        <v>0.98261670000000001</v>
      </c>
      <c r="Q3427">
        <v>0.14964849999999999</v>
      </c>
      <c r="R3427">
        <v>-0.1098648</v>
      </c>
      <c r="S3427">
        <v>3.0614620000000001</v>
      </c>
      <c r="T3427">
        <v>-0.26411519999999999</v>
      </c>
      <c r="U3427">
        <v>-0.28378300000000001</v>
      </c>
      <c r="V3427">
        <v>0.1067162</v>
      </c>
      <c r="W3427">
        <v>0.16340869999999999</v>
      </c>
      <c r="X3427">
        <v>0.98076969999999997</v>
      </c>
      <c r="Y3427">
        <v>8.8539530000000005E-2</v>
      </c>
      <c r="Z3427">
        <v>-3.5066279999999999E-3</v>
      </c>
      <c r="AA3427">
        <v>0.99606649999999997</v>
      </c>
      <c r="AB3427">
        <v>39</v>
      </c>
      <c r="AC3427">
        <v>0.47800000000000797</v>
      </c>
      <c r="AD3427">
        <v>-7.4596999999999997E-2</v>
      </c>
      <c r="AE3427">
        <v>-7.8699999999997702E-2</v>
      </c>
      <c r="AF3427">
        <v>7.5260616258816304E-2</v>
      </c>
      <c r="AG3427">
        <v>-7.4596999999999997E-2</v>
      </c>
      <c r="AH3427">
        <v>0.467191399737169</v>
      </c>
      <c r="AI3427">
        <v>98.958322644175695</v>
      </c>
      <c r="AJ3427">
        <v>80.848749837774406</v>
      </c>
      <c r="AK3427">
        <v>0.47905811417513</v>
      </c>
      <c r="AL3427">
        <v>80.595194707446794</v>
      </c>
      <c r="AM3427">
        <v>83.790155036376603</v>
      </c>
      <c r="AN3427">
        <v>0.99999997750810898</v>
      </c>
    </row>
    <row r="3428" spans="1:40" x14ac:dyDescent="0.25">
      <c r="A3428" t="str">
        <f>"20190312151054914"</f>
        <v>20190312151054914</v>
      </c>
      <c r="B3428" t="str">
        <f>"1552374654904277"</f>
        <v>1552374654904277</v>
      </c>
      <c r="C3428" t="s">
        <v>40</v>
      </c>
      <c r="D3428">
        <v>4.7263780000000004</v>
      </c>
      <c r="E3428">
        <v>0.49347150000000001</v>
      </c>
      <c r="F3428" t="s">
        <v>41</v>
      </c>
      <c r="G3428">
        <v>-258.5822</v>
      </c>
      <c r="H3428">
        <v>1.038724</v>
      </c>
      <c r="I3428">
        <v>214.81739999999999</v>
      </c>
      <c r="J3428">
        <v>-259.02089999999998</v>
      </c>
      <c r="K3428">
        <v>1.109742</v>
      </c>
      <c r="L3428">
        <v>214.89330000000001</v>
      </c>
      <c r="M3428">
        <v>0.99989150000000004</v>
      </c>
      <c r="N3428">
        <v>0</v>
      </c>
      <c r="O3428">
        <v>-4.027442E-3</v>
      </c>
      <c r="P3428">
        <v>0.98255550000000003</v>
      </c>
      <c r="Q3428">
        <v>0.14951529999999999</v>
      </c>
      <c r="R3428">
        <v>-0.1105903</v>
      </c>
      <c r="S3428">
        <v>3.0609440000000001</v>
      </c>
      <c r="T3428">
        <v>-0.262216</v>
      </c>
      <c r="U3428">
        <v>-0.28646850000000001</v>
      </c>
      <c r="V3428">
        <v>0.106881</v>
      </c>
      <c r="W3428">
        <v>0.16327559999999999</v>
      </c>
      <c r="X3428">
        <v>0.98077389999999998</v>
      </c>
      <c r="Y3428">
        <v>8.8862049999999998E-2</v>
      </c>
      <c r="Z3428">
        <v>-3.4473400000000001E-3</v>
      </c>
      <c r="AA3428">
        <v>0.99603799999999998</v>
      </c>
      <c r="AB3428">
        <v>39</v>
      </c>
      <c r="AC3428">
        <v>0.43869999999998199</v>
      </c>
      <c r="AD3428">
        <v>-7.1017999999999998E-2</v>
      </c>
      <c r="AE3428">
        <v>-7.5900000000018494E-2</v>
      </c>
      <c r="AF3428">
        <v>7.2292916227708601E-2</v>
      </c>
      <c r="AG3428">
        <v>-7.1017999999999998E-2</v>
      </c>
      <c r="AH3428">
        <v>0.428109162194594</v>
      </c>
      <c r="AI3428">
        <v>99.2897066835977</v>
      </c>
      <c r="AJ3428">
        <v>80.415136459575393</v>
      </c>
      <c r="AK3428">
        <v>0.43994008321095701</v>
      </c>
      <c r="AL3428">
        <v>80.602924391320002</v>
      </c>
      <c r="AM3428">
        <v>83.780666798309596</v>
      </c>
      <c r="AN3428">
        <v>0.99999995631878302</v>
      </c>
    </row>
    <row r="3429" spans="1:40" x14ac:dyDescent="0.25">
      <c r="A3429" t="str">
        <f>"20190312151054936"</f>
        <v>20190312151054936</v>
      </c>
      <c r="B3429" t="str">
        <f>"1552374654924774"</f>
        <v>1552374654924774</v>
      </c>
      <c r="C3429" t="s">
        <v>40</v>
      </c>
      <c r="D3429">
        <v>4.7597610000000001</v>
      </c>
      <c r="E3429">
        <v>0.4935138</v>
      </c>
      <c r="F3429" t="s">
        <v>41</v>
      </c>
      <c r="G3429">
        <v>-258.23110000000003</v>
      </c>
      <c r="H3429">
        <v>1.042449</v>
      </c>
      <c r="I3429">
        <v>214.81870000000001</v>
      </c>
      <c r="J3429">
        <v>-258.6388</v>
      </c>
      <c r="K3429">
        <v>1.109747</v>
      </c>
      <c r="L3429">
        <v>214.8913</v>
      </c>
      <c r="M3429">
        <v>0.99988909999999998</v>
      </c>
      <c r="N3429">
        <v>0</v>
      </c>
      <c r="O3429">
        <v>-4.569587E-3</v>
      </c>
      <c r="P3429">
        <v>0.98259189999999996</v>
      </c>
      <c r="Q3429">
        <v>0.14901929999999999</v>
      </c>
      <c r="R3429">
        <v>-0.11093409999999999</v>
      </c>
      <c r="S3429">
        <v>3.0605319999999998</v>
      </c>
      <c r="T3429">
        <v>-0.26091419999999999</v>
      </c>
      <c r="U3429">
        <v>-0.28819270000000002</v>
      </c>
      <c r="V3429">
        <v>0.1066868</v>
      </c>
      <c r="W3429">
        <v>0.16278210000000001</v>
      </c>
      <c r="X3429">
        <v>0.98087709999999995</v>
      </c>
      <c r="Y3429">
        <v>8.8895509999999997E-2</v>
      </c>
      <c r="Z3429">
        <v>-3.3860439999999999E-3</v>
      </c>
      <c r="AA3429">
        <v>0.99603520000000001</v>
      </c>
      <c r="AB3429">
        <v>39</v>
      </c>
      <c r="AC3429">
        <v>0.40769999999997703</v>
      </c>
      <c r="AD3429">
        <v>-6.7297999999999997E-2</v>
      </c>
      <c r="AE3429">
        <v>-7.2599999999994197E-2</v>
      </c>
      <c r="AF3429">
        <v>6.8915975769366006E-2</v>
      </c>
      <c r="AG3429">
        <v>-6.7297999999999997E-2</v>
      </c>
      <c r="AH3429">
        <v>0.39752886339569299</v>
      </c>
      <c r="AI3429">
        <v>99.469914413856898</v>
      </c>
      <c r="AJ3429">
        <v>80.164900667079195</v>
      </c>
      <c r="AK3429">
        <v>0.409032553414658</v>
      </c>
      <c r="AL3429">
        <v>80.631583553016696</v>
      </c>
      <c r="AM3429">
        <v>83.792526916802501</v>
      </c>
      <c r="AN3429">
        <v>0.99999998533952905</v>
      </c>
    </row>
    <row r="3430" spans="1:40" x14ac:dyDescent="0.25">
      <c r="A3430" t="str">
        <f>"20190312151054959"</f>
        <v>20190312151054959</v>
      </c>
      <c r="B3430" t="str">
        <f>"1552374654954053"</f>
        <v>1552374654954053</v>
      </c>
      <c r="C3430" t="s">
        <v>40</v>
      </c>
      <c r="D3430">
        <v>4.7313850000000004</v>
      </c>
      <c r="E3430">
        <v>0.49341010000000002</v>
      </c>
      <c r="F3430" t="s">
        <v>41</v>
      </c>
      <c r="G3430">
        <v>-257.88040000000001</v>
      </c>
      <c r="H3430">
        <v>1.0448519999999999</v>
      </c>
      <c r="I3430">
        <v>214.81960000000001</v>
      </c>
      <c r="J3430">
        <v>-258.23829999999998</v>
      </c>
      <c r="K3430">
        <v>1.1097619999999999</v>
      </c>
      <c r="L3430">
        <v>214.88890000000001</v>
      </c>
      <c r="M3430">
        <v>0.99988650000000001</v>
      </c>
      <c r="N3430">
        <v>0</v>
      </c>
      <c r="O3430">
        <v>-5.1200239999999999E-3</v>
      </c>
      <c r="P3430">
        <v>0.98253550000000001</v>
      </c>
      <c r="Q3430">
        <v>0.14904790000000001</v>
      </c>
      <c r="R3430">
        <v>-0.11139499999999999</v>
      </c>
      <c r="S3430">
        <v>3.0601349999999998</v>
      </c>
      <c r="T3430">
        <v>-0.26185269999999999</v>
      </c>
      <c r="U3430">
        <v>-0.28958129999999999</v>
      </c>
      <c r="V3430">
        <v>0.10660119999999999</v>
      </c>
      <c r="W3430">
        <v>0.16281219999999999</v>
      </c>
      <c r="X3430">
        <v>0.98088149999999996</v>
      </c>
      <c r="Y3430">
        <v>8.8807299999999895E-2</v>
      </c>
      <c r="Z3430">
        <v>-3.347877E-3</v>
      </c>
      <c r="AA3430">
        <v>0.99604320000000002</v>
      </c>
      <c r="AB3430">
        <v>39</v>
      </c>
      <c r="AC3430">
        <v>0.35789999999997202</v>
      </c>
      <c r="AD3430">
        <v>-6.4909999999999995E-2</v>
      </c>
      <c r="AE3430">
        <v>-6.9299999999998294E-2</v>
      </c>
      <c r="AF3430">
        <v>6.5393220219375298E-2</v>
      </c>
      <c r="AG3430">
        <v>-6.4909999999999995E-2</v>
      </c>
      <c r="AH3430">
        <v>0.34724120465074299</v>
      </c>
      <c r="AI3430">
        <v>100.409262338167</v>
      </c>
      <c r="AJ3430">
        <v>79.334844008916804</v>
      </c>
      <c r="AK3430">
        <v>0.35925761725808802</v>
      </c>
      <c r="AL3430">
        <v>80.629836457726498</v>
      </c>
      <c r="AM3430">
        <v>83.797496244167604</v>
      </c>
      <c r="AN3430">
        <v>1.0000000726762599</v>
      </c>
    </row>
    <row r="3431" spans="1:40" x14ac:dyDescent="0.25">
      <c r="A3431" t="str">
        <f>"20190312151054982"</f>
        <v>20190312151054982</v>
      </c>
      <c r="B3431" t="str">
        <f>"1552374654974549"</f>
        <v>1552374654974549</v>
      </c>
      <c r="C3431" t="s">
        <v>40</v>
      </c>
      <c r="D3431">
        <v>4.7096939999999998</v>
      </c>
      <c r="E3431">
        <v>0.49331720000000001</v>
      </c>
      <c r="F3431" t="s">
        <v>41</v>
      </c>
      <c r="G3431">
        <v>-257.19720000000001</v>
      </c>
      <c r="H3431">
        <v>1.0180389999999999</v>
      </c>
      <c r="I3431">
        <v>214.7903</v>
      </c>
      <c r="J3431">
        <v>-257.85219999999998</v>
      </c>
      <c r="K3431">
        <v>1.109782</v>
      </c>
      <c r="L3431">
        <v>214.88640000000001</v>
      </c>
      <c r="M3431">
        <v>0.99988370000000004</v>
      </c>
      <c r="N3431">
        <v>0</v>
      </c>
      <c r="O3431">
        <v>-5.6316819999999998E-3</v>
      </c>
      <c r="P3431">
        <v>0.98249880000000001</v>
      </c>
      <c r="Q3431">
        <v>0.1487858</v>
      </c>
      <c r="R3431">
        <v>-0.112067</v>
      </c>
      <c r="S3431">
        <v>3.0613100000000002</v>
      </c>
      <c r="T3431">
        <v>-0.26966519999999999</v>
      </c>
      <c r="U3431">
        <v>-0.29035949999999999</v>
      </c>
      <c r="V3431">
        <v>0.1067636</v>
      </c>
      <c r="W3431">
        <v>0.162552</v>
      </c>
      <c r="X3431">
        <v>0.98090690000000003</v>
      </c>
      <c r="Y3431">
        <v>8.8497800000000001E-2</v>
      </c>
      <c r="Z3431">
        <v>-3.3875760000000002E-3</v>
      </c>
      <c r="AA3431">
        <v>0.99607060000000003</v>
      </c>
      <c r="AB3431">
        <v>39</v>
      </c>
      <c r="AC3431">
        <v>0.65499999999997205</v>
      </c>
      <c r="AD3431">
        <v>-9.1743000000000102E-2</v>
      </c>
      <c r="AE3431">
        <v>-9.6100000000006902E-2</v>
      </c>
      <c r="AF3431">
        <v>9.0668075028536702E-2</v>
      </c>
      <c r="AG3431">
        <v>-9.1743000000000102E-2</v>
      </c>
      <c r="AH3431">
        <v>0.64317863778326401</v>
      </c>
      <c r="AI3431">
        <v>98.039475799815705</v>
      </c>
      <c r="AJ3431">
        <v>81.975959751533097</v>
      </c>
      <c r="AK3431">
        <v>0.65598493731115104</v>
      </c>
      <c r="AL3431">
        <v>80.644945252025593</v>
      </c>
      <c r="AM3431">
        <v>83.788280544674706</v>
      </c>
      <c r="AN3431">
        <v>0.99999998272828405</v>
      </c>
    </row>
    <row r="3432" spans="1:40" x14ac:dyDescent="0.25">
      <c r="A3432" t="str">
        <f>"20190312151055004"</f>
        <v>20190312151055004</v>
      </c>
      <c r="B3432" t="str">
        <f>"1552374654994070"</f>
        <v>1552374654994070</v>
      </c>
      <c r="C3432" t="s">
        <v>40</v>
      </c>
      <c r="D3432">
        <v>4.7501009999999999</v>
      </c>
      <c r="E3432">
        <v>0.49329139999999999</v>
      </c>
      <c r="F3432" t="s">
        <v>41</v>
      </c>
      <c r="G3432">
        <v>-256.84840000000003</v>
      </c>
      <c r="H3432">
        <v>1.019455</v>
      </c>
      <c r="I3432">
        <v>214.79050000000001</v>
      </c>
      <c r="J3432">
        <v>-257.4597</v>
      </c>
      <c r="K3432">
        <v>1.1097969999999999</v>
      </c>
      <c r="L3432">
        <v>214.88380000000001</v>
      </c>
      <c r="M3432">
        <v>0.99988089999999996</v>
      </c>
      <c r="N3432">
        <v>0</v>
      </c>
      <c r="O3432">
        <v>-6.1354629999999999E-3</v>
      </c>
      <c r="P3432">
        <v>0.98248740000000001</v>
      </c>
      <c r="Q3432">
        <v>0.14850070000000001</v>
      </c>
      <c r="R3432">
        <v>-0.1125456</v>
      </c>
      <c r="S3432">
        <v>3.06189</v>
      </c>
      <c r="T3432">
        <v>-0.27565479999999998</v>
      </c>
      <c r="U3432">
        <v>-0.2916107</v>
      </c>
      <c r="V3432">
        <v>0.1067398</v>
      </c>
      <c r="W3432">
        <v>0.16226969999999999</v>
      </c>
      <c r="X3432">
        <v>0.9809563</v>
      </c>
      <c r="Y3432">
        <v>8.8370009999999999E-2</v>
      </c>
      <c r="Z3432">
        <v>-3.410915E-3</v>
      </c>
      <c r="AA3432">
        <v>0.99608189999999996</v>
      </c>
      <c r="AB3432">
        <v>39</v>
      </c>
      <c r="AC3432">
        <v>0.61129999999997098</v>
      </c>
      <c r="AD3432">
        <v>-9.0341999999999895E-2</v>
      </c>
      <c r="AE3432">
        <v>-9.3299999999999203E-2</v>
      </c>
      <c r="AF3432">
        <v>8.7675929127625396E-2</v>
      </c>
      <c r="AG3432">
        <v>-9.0341999999999895E-2</v>
      </c>
      <c r="AH3432">
        <v>0.59907451414357105</v>
      </c>
      <c r="AI3432">
        <v>98.486665410231893</v>
      </c>
      <c r="AJ3432">
        <v>81.673742162117094</v>
      </c>
      <c r="AK3432">
        <v>0.61215930852086897</v>
      </c>
      <c r="AL3432">
        <v>80.661338134759106</v>
      </c>
      <c r="AM3432">
        <v>83.789964757994198</v>
      </c>
      <c r="AN3432">
        <v>1.0000000514759</v>
      </c>
    </row>
    <row r="3433" spans="1:40" x14ac:dyDescent="0.25">
      <c r="A3433" t="str">
        <f>"20190312151055027"</f>
        <v>20190312151055027</v>
      </c>
      <c r="B3433" t="str">
        <f>"1552374655024326"</f>
        <v>1552374655024326</v>
      </c>
      <c r="C3433" t="s">
        <v>40</v>
      </c>
      <c r="D3433">
        <v>4.740043</v>
      </c>
      <c r="E3433">
        <v>0.49329070000000003</v>
      </c>
      <c r="F3433" t="s">
        <v>41</v>
      </c>
      <c r="G3433">
        <v>-256.49950000000001</v>
      </c>
      <c r="H3433">
        <v>1.0216259999999999</v>
      </c>
      <c r="I3433">
        <v>214.7919</v>
      </c>
      <c r="J3433">
        <v>-257.0634</v>
      </c>
      <c r="K3433">
        <v>1.1098159999999999</v>
      </c>
      <c r="L3433">
        <v>214.88079999999999</v>
      </c>
      <c r="M3433">
        <v>0.99987780000000004</v>
      </c>
      <c r="N3433">
        <v>0</v>
      </c>
      <c r="O3433">
        <v>-6.6272049999999997E-3</v>
      </c>
      <c r="P3433">
        <v>0.98245990000000005</v>
      </c>
      <c r="Q3433">
        <v>0.1484326</v>
      </c>
      <c r="R3433">
        <v>-0.11287510000000001</v>
      </c>
      <c r="S3433">
        <v>3.0623779999999998</v>
      </c>
      <c r="T3433">
        <v>-0.2811844</v>
      </c>
      <c r="U3433">
        <v>-0.29298400000000002</v>
      </c>
      <c r="V3433">
        <v>0.1065794</v>
      </c>
      <c r="W3433">
        <v>0.16220379999999901</v>
      </c>
      <c r="X3433">
        <v>0.98098459999999998</v>
      </c>
      <c r="Y3433">
        <v>8.8296990000000006E-2</v>
      </c>
      <c r="Z3433">
        <v>-3.4301449999999999E-3</v>
      </c>
      <c r="AA3433">
        <v>0.99608830000000004</v>
      </c>
      <c r="AB3433">
        <v>39</v>
      </c>
      <c r="AC3433">
        <v>0.56389999999998897</v>
      </c>
      <c r="AD3433">
        <v>-8.8189999999999893E-2</v>
      </c>
      <c r="AE3433">
        <v>-8.8899999999995302E-2</v>
      </c>
      <c r="AF3433">
        <v>8.3175556950058294E-2</v>
      </c>
      <c r="AG3433">
        <v>-8.8189999999999893E-2</v>
      </c>
      <c r="AH3433">
        <v>0.55131926476777204</v>
      </c>
      <c r="AI3433">
        <v>98.988116548385193</v>
      </c>
      <c r="AJ3433">
        <v>81.420691425004506</v>
      </c>
      <c r="AK3433">
        <v>0.56448966427918701</v>
      </c>
      <c r="AL3433">
        <v>80.665164261043103</v>
      </c>
      <c r="AM3433">
        <v>83.799401440361393</v>
      </c>
      <c r="AN3433">
        <v>1.0000000133379801</v>
      </c>
    </row>
    <row r="3434" spans="1:40" x14ac:dyDescent="0.25">
      <c r="A3434" t="str">
        <f>"20190312151055049"</f>
        <v>20190312151055049</v>
      </c>
      <c r="B3434" t="str">
        <f>"1552374655044823"</f>
        <v>1552374655044823</v>
      </c>
      <c r="C3434" t="s">
        <v>40</v>
      </c>
      <c r="D3434">
        <v>4.7246169999999896</v>
      </c>
      <c r="E3434">
        <v>0.49331599999999998</v>
      </c>
      <c r="F3434" t="s">
        <v>41</v>
      </c>
      <c r="G3434">
        <v>-256.1506</v>
      </c>
      <c r="H3434">
        <v>1.024243</v>
      </c>
      <c r="I3434">
        <v>214.79310000000001</v>
      </c>
      <c r="J3434">
        <v>-256.67500000000001</v>
      </c>
      <c r="K3434">
        <v>1.1098410000000001</v>
      </c>
      <c r="L3434">
        <v>214.87780000000001</v>
      </c>
      <c r="M3434">
        <v>0.99987470000000001</v>
      </c>
      <c r="N3434">
        <v>0</v>
      </c>
      <c r="O3434">
        <v>-7.0915369999999898E-3</v>
      </c>
      <c r="P3434">
        <v>0.98247169999999895</v>
      </c>
      <c r="Q3434">
        <v>0.148176</v>
      </c>
      <c r="R3434">
        <v>-0.1131099</v>
      </c>
      <c r="S3434">
        <v>3.0631870000000001</v>
      </c>
      <c r="T3434">
        <v>-0.28726639999999998</v>
      </c>
      <c r="U3434">
        <v>-0.29399109999999901</v>
      </c>
      <c r="V3434">
        <v>0.1063508</v>
      </c>
      <c r="W3434">
        <v>0.1619507</v>
      </c>
      <c r="X3434">
        <v>0.98105120000000001</v>
      </c>
      <c r="Y3434">
        <v>8.8122130000000007E-2</v>
      </c>
      <c r="Z3434">
        <v>-3.4515359999999998E-3</v>
      </c>
      <c r="AA3434">
        <v>0.99610370000000004</v>
      </c>
      <c r="AB3434">
        <v>39</v>
      </c>
      <c r="AC3434">
        <v>0.52440000000001397</v>
      </c>
      <c r="AD3434">
        <v>-8.5597999999999994E-2</v>
      </c>
      <c r="AE3434">
        <v>-8.4699999999997999E-2</v>
      </c>
      <c r="AF3434">
        <v>7.8929163104633396E-2</v>
      </c>
      <c r="AG3434">
        <v>-8.5597999999999994E-2</v>
      </c>
      <c r="AH3434">
        <v>0.51170034052237101</v>
      </c>
      <c r="AI3434">
        <v>99.387583249602002</v>
      </c>
      <c r="AJ3434">
        <v>81.231302627325604</v>
      </c>
      <c r="AK3434">
        <v>0.52478001951590003</v>
      </c>
      <c r="AL3434">
        <v>80.679859905831506</v>
      </c>
      <c r="AM3434">
        <v>83.813014493669698</v>
      </c>
      <c r="AN3434">
        <v>0.99999998945628399</v>
      </c>
    </row>
    <row r="3435" spans="1:40" x14ac:dyDescent="0.25">
      <c r="A3435" t="str">
        <f>"20190312151055071"</f>
        <v>20190312151055071</v>
      </c>
      <c r="B3435" t="str">
        <f>"1552374655064345"</f>
        <v>1552374655064345</v>
      </c>
      <c r="C3435" t="s">
        <v>40</v>
      </c>
      <c r="D3435">
        <v>4.7234400000000001</v>
      </c>
      <c r="E3435">
        <v>0.49332160000000003</v>
      </c>
      <c r="F3435" t="s">
        <v>41</v>
      </c>
      <c r="G3435">
        <v>-255.8021</v>
      </c>
      <c r="H3435">
        <v>1.0267850000000001</v>
      </c>
      <c r="I3435">
        <v>214.7937</v>
      </c>
      <c r="J3435">
        <v>-256.29969999999997</v>
      </c>
      <c r="K3435">
        <v>1.109858</v>
      </c>
      <c r="L3435">
        <v>214.87469999999999</v>
      </c>
      <c r="M3435">
        <v>0.99987139999999997</v>
      </c>
      <c r="N3435">
        <v>0</v>
      </c>
      <c r="O3435">
        <v>-7.5257279999999998E-3</v>
      </c>
      <c r="P3435">
        <v>0.9823807</v>
      </c>
      <c r="Q3435">
        <v>0.14856539999999999</v>
      </c>
      <c r="R3435">
        <v>-0.1133878</v>
      </c>
      <c r="S3435">
        <v>3.0635379999999999</v>
      </c>
      <c r="T3435">
        <v>-0.29150619999999999</v>
      </c>
      <c r="U3435">
        <v>-0.29498289999999999</v>
      </c>
      <c r="V3435">
        <v>0.1061967</v>
      </c>
      <c r="W3435">
        <v>0.16234119999999999</v>
      </c>
      <c r="X3435">
        <v>0.98100330000000002</v>
      </c>
      <c r="Y3435">
        <v>8.7990460000000006E-2</v>
      </c>
      <c r="Z3435">
        <v>-3.4544430000000002E-3</v>
      </c>
      <c r="AA3435">
        <v>0.99611530000000004</v>
      </c>
      <c r="AB3435">
        <v>39</v>
      </c>
      <c r="AC3435">
        <v>0.49759999999997701</v>
      </c>
      <c r="AD3435">
        <v>-8.3072999999999897E-2</v>
      </c>
      <c r="AE3435">
        <v>-8.0999999999988803E-2</v>
      </c>
      <c r="AF3435">
        <v>7.5210418343733404E-2</v>
      </c>
      <c r="AG3435">
        <v>-8.3072999999999897E-2</v>
      </c>
      <c r="AH3435">
        <v>0.485026144934535</v>
      </c>
      <c r="AI3435">
        <v>99.606417191717895</v>
      </c>
      <c r="AJ3435">
        <v>81.185648751000002</v>
      </c>
      <c r="AK3435">
        <v>0.49780326598616897</v>
      </c>
      <c r="AL3435">
        <v>80.657185381654102</v>
      </c>
      <c r="AM3435">
        <v>83.821610596472496</v>
      </c>
      <c r="AN3435">
        <v>0.99999993945960797</v>
      </c>
    </row>
    <row r="3436" spans="1:40" x14ac:dyDescent="0.25">
      <c r="A3436" t="str">
        <f>"20190312151055092"</f>
        <v>20190312151055092</v>
      </c>
      <c r="B3436" t="str">
        <f>"1552374655084842"</f>
        <v>1552374655084842</v>
      </c>
      <c r="C3436" t="s">
        <v>40</v>
      </c>
      <c r="D3436">
        <v>4.702515</v>
      </c>
      <c r="E3436">
        <v>0.49333890000000002</v>
      </c>
      <c r="F3436" t="s">
        <v>41</v>
      </c>
      <c r="G3436">
        <v>-255.45400000000001</v>
      </c>
      <c r="H3436">
        <v>1.0287790000000001</v>
      </c>
      <c r="I3436">
        <v>214.7927</v>
      </c>
      <c r="J3436">
        <v>-255.91970000000001</v>
      </c>
      <c r="K3436">
        <v>1.1098730000000001</v>
      </c>
      <c r="L3436">
        <v>214.87139999999999</v>
      </c>
      <c r="M3436">
        <v>0.99986819999999998</v>
      </c>
      <c r="N3436">
        <v>0</v>
      </c>
      <c r="O3436">
        <v>-7.9539729999999996E-3</v>
      </c>
      <c r="P3436">
        <v>0.98229469999999997</v>
      </c>
      <c r="Q3436">
        <v>0.14905299999999999</v>
      </c>
      <c r="R3436">
        <v>-0.1134937</v>
      </c>
      <c r="S3436">
        <v>3.0640719999999999</v>
      </c>
      <c r="T3436">
        <v>-0.29391630000000002</v>
      </c>
      <c r="U3436">
        <v>-0.29620360000000001</v>
      </c>
      <c r="V3436">
        <v>0.1058772</v>
      </c>
      <c r="W3436">
        <v>0.16283010000000001</v>
      </c>
      <c r="X3436">
        <v>0.98095690000000002</v>
      </c>
      <c r="Y3436">
        <v>8.7936819999999999E-2</v>
      </c>
      <c r="Z3436">
        <v>-3.4387609999999998E-3</v>
      </c>
      <c r="AA3436">
        <v>0.99612009999999995</v>
      </c>
      <c r="AB3436">
        <v>39</v>
      </c>
      <c r="AC3436">
        <v>0.465699999999998</v>
      </c>
      <c r="AD3436">
        <v>-8.1093999999999694E-2</v>
      </c>
      <c r="AE3436">
        <v>-7.8699999999997702E-2</v>
      </c>
      <c r="AF3436">
        <v>7.2845448085624903E-2</v>
      </c>
      <c r="AG3436">
        <v>-8.1093999999999694E-2</v>
      </c>
      <c r="AH3436">
        <v>0.452957848634991</v>
      </c>
      <c r="AI3436">
        <v>100.024108369752</v>
      </c>
      <c r="AJ3436">
        <v>80.863824582787302</v>
      </c>
      <c r="AK3436">
        <v>0.46589001790426399</v>
      </c>
      <c r="AL3436">
        <v>80.628796601083494</v>
      </c>
      <c r="AM3436">
        <v>83.839766453507906</v>
      </c>
      <c r="AN3436">
        <v>1.0000000313017201</v>
      </c>
    </row>
    <row r="3437" spans="1:40" x14ac:dyDescent="0.25">
      <c r="A3437" t="str">
        <f>"20190312151055115"</f>
        <v>20190312151055115</v>
      </c>
      <c r="B3437" t="str">
        <f>"1552374655104358"</f>
        <v>1552374655104358</v>
      </c>
      <c r="C3437" t="s">
        <v>40</v>
      </c>
      <c r="D3437">
        <v>4.7009780000000001</v>
      </c>
      <c r="E3437">
        <v>0.49323610000000001</v>
      </c>
      <c r="F3437" t="s">
        <v>41</v>
      </c>
      <c r="G3437">
        <v>-255.10589999999999</v>
      </c>
      <c r="H3437">
        <v>1.0314019999999999</v>
      </c>
      <c r="I3437">
        <v>214.79259999999999</v>
      </c>
      <c r="J3437">
        <v>-255.53</v>
      </c>
      <c r="K3437">
        <v>1.109885</v>
      </c>
      <c r="L3437">
        <v>214.86789999999999</v>
      </c>
      <c r="M3437">
        <v>0.99986459999999999</v>
      </c>
      <c r="N3437">
        <v>0</v>
      </c>
      <c r="O3437">
        <v>-8.3829539999999998E-3</v>
      </c>
      <c r="P3437">
        <v>0.98223640000000001</v>
      </c>
      <c r="Q3437">
        <v>0.14908950000000001</v>
      </c>
      <c r="R3437">
        <v>-0.1139472</v>
      </c>
      <c r="S3437">
        <v>3.0646209999999998</v>
      </c>
      <c r="T3437">
        <v>-0.2955644</v>
      </c>
      <c r="U3437">
        <v>-0.29675289999999999</v>
      </c>
      <c r="V3437">
        <v>0.1059042</v>
      </c>
      <c r="W3437">
        <v>0.1628677</v>
      </c>
      <c r="X3437">
        <v>0.98094769999999998</v>
      </c>
      <c r="Y3437">
        <v>8.766852E-2</v>
      </c>
      <c r="Z3437">
        <v>-3.4032580000000002E-3</v>
      </c>
      <c r="AA3437">
        <v>0.99614389999999997</v>
      </c>
      <c r="AB3437">
        <v>39</v>
      </c>
      <c r="AC3437">
        <v>0.42410000000000903</v>
      </c>
      <c r="AD3437">
        <v>-7.8482999999999803E-2</v>
      </c>
      <c r="AE3437">
        <v>-7.5299999999998493E-2</v>
      </c>
      <c r="AF3437">
        <v>6.94365108689253E-2</v>
      </c>
      <c r="AG3437">
        <v>-7.8482999999999803E-2</v>
      </c>
      <c r="AH3437">
        <v>0.41106900279946701</v>
      </c>
      <c r="AI3437">
        <v>100.66156456361099</v>
      </c>
      <c r="AJ3437">
        <v>80.412278190875597</v>
      </c>
      <c r="AK3437">
        <v>0.42421543511899601</v>
      </c>
      <c r="AL3437">
        <v>80.626612729921803</v>
      </c>
      <c r="AM3437">
        <v>83.838150255601406</v>
      </c>
      <c r="AN3437">
        <v>0.99999998870810902</v>
      </c>
    </row>
    <row r="3438" spans="1:40" x14ac:dyDescent="0.25">
      <c r="A3438" t="str">
        <f>"20190312151055137"</f>
        <v>20190312151055137</v>
      </c>
      <c r="B3438" t="str">
        <f>"1552374655134614"</f>
        <v>1552374655134614</v>
      </c>
      <c r="C3438" t="s">
        <v>40</v>
      </c>
      <c r="D3438">
        <v>4.7070220000000003</v>
      </c>
      <c r="E3438">
        <v>0.49310029999999999</v>
      </c>
      <c r="F3438" t="s">
        <v>41</v>
      </c>
      <c r="G3438">
        <v>-254.75739999999999</v>
      </c>
      <c r="H3438">
        <v>1.035455</v>
      </c>
      <c r="I3438">
        <v>214.79300000000001</v>
      </c>
      <c r="J3438">
        <v>-255.14349999999999</v>
      </c>
      <c r="K3438">
        <v>1.1098939999999999</v>
      </c>
      <c r="L3438">
        <v>214.86429999999999</v>
      </c>
      <c r="M3438">
        <v>0.99986109999999995</v>
      </c>
      <c r="N3438">
        <v>0</v>
      </c>
      <c r="O3438">
        <v>-8.800647E-3</v>
      </c>
      <c r="P3438">
        <v>0.98227410000000004</v>
      </c>
      <c r="Q3438">
        <v>0.14874479999999901</v>
      </c>
      <c r="R3438">
        <v>-0.1140722</v>
      </c>
      <c r="S3438">
        <v>3.0646819999999999</v>
      </c>
      <c r="T3438">
        <v>-0.29534080000000001</v>
      </c>
      <c r="U3438">
        <v>-0.29647829999999997</v>
      </c>
      <c r="V3438">
        <v>0.1056131</v>
      </c>
      <c r="W3438">
        <v>0.16252520000000001</v>
      </c>
      <c r="X3438">
        <v>0.98103589999999996</v>
      </c>
      <c r="Y3438">
        <v>8.7166809999999997E-2</v>
      </c>
      <c r="Z3438">
        <v>-3.3365170000000002E-3</v>
      </c>
      <c r="AA3438">
        <v>0.99618819999999997</v>
      </c>
      <c r="AB3438">
        <v>39</v>
      </c>
      <c r="AC3438">
        <v>0.386099999999998</v>
      </c>
      <c r="AD3438">
        <v>-7.4439000000000102E-2</v>
      </c>
      <c r="AE3438">
        <v>-7.1299999999979394E-2</v>
      </c>
      <c r="AF3438">
        <v>6.55430261141738E-2</v>
      </c>
      <c r="AG3438">
        <v>-7.4439000000000102E-2</v>
      </c>
      <c r="AH3438">
        <v>0.37329453392218398</v>
      </c>
      <c r="AI3438">
        <v>101.111819780421</v>
      </c>
      <c r="AJ3438">
        <v>80.041517786428699</v>
      </c>
      <c r="AK3438">
        <v>0.38624585699963698</v>
      </c>
      <c r="AL3438">
        <v>80.646501658065702</v>
      </c>
      <c r="AM3438">
        <v>83.855505879729094</v>
      </c>
      <c r="AN3438">
        <v>1.00000000230773</v>
      </c>
    </row>
    <row r="3439" spans="1:40" x14ac:dyDescent="0.25">
      <c r="A3439" t="str">
        <f>"20190312151055160"</f>
        <v>20190312151055160</v>
      </c>
      <c r="B3439" t="str">
        <f>"1552374655154137"</f>
        <v>1552374655154137</v>
      </c>
      <c r="C3439" t="s">
        <v>40</v>
      </c>
      <c r="D3439">
        <v>4.7149869999999998</v>
      </c>
      <c r="E3439">
        <v>0.4930022</v>
      </c>
      <c r="F3439" t="s">
        <v>41</v>
      </c>
      <c r="G3439">
        <v>-254.40940000000001</v>
      </c>
      <c r="H3439">
        <v>1.038902</v>
      </c>
      <c r="I3439">
        <v>214.79349999999999</v>
      </c>
      <c r="J3439">
        <v>-254.74879999999999</v>
      </c>
      <c r="K3439">
        <v>1.10991</v>
      </c>
      <c r="L3439">
        <v>214.8604</v>
      </c>
      <c r="M3439">
        <v>0.99985740000000001</v>
      </c>
      <c r="N3439">
        <v>0</v>
      </c>
      <c r="O3439">
        <v>-9.2218290000000008E-3</v>
      </c>
      <c r="P3439">
        <v>0.98224199999999995</v>
      </c>
      <c r="Q3439">
        <v>0.148654799999999</v>
      </c>
      <c r="R3439">
        <v>-0.11446820000000001</v>
      </c>
      <c r="S3439">
        <v>3.0646819999999999</v>
      </c>
      <c r="T3439">
        <v>-0.29636319999999999</v>
      </c>
      <c r="U3439">
        <v>-0.2957611</v>
      </c>
      <c r="V3439">
        <v>0.1055909</v>
      </c>
      <c r="W3439">
        <v>0.16243529999999901</v>
      </c>
      <c r="X3439">
        <v>0.98105319999999996</v>
      </c>
      <c r="Y3439">
        <v>8.6518650000000002E-2</v>
      </c>
      <c r="Z3439">
        <v>-3.2763219999999999E-3</v>
      </c>
      <c r="AA3439">
        <v>0.99624480000000004</v>
      </c>
      <c r="AB3439">
        <v>39</v>
      </c>
      <c r="AC3439">
        <v>0.33939999999998299</v>
      </c>
      <c r="AD3439">
        <v>-7.1007999999999905E-2</v>
      </c>
      <c r="AE3439">
        <v>-6.6900000000003901E-2</v>
      </c>
      <c r="AF3439">
        <v>6.1188800356156897E-2</v>
      </c>
      <c r="AG3439">
        <v>-7.1007999999999905E-2</v>
      </c>
      <c r="AH3439">
        <v>0.32625597317646099</v>
      </c>
      <c r="AI3439">
        <v>102.07446938215099</v>
      </c>
      <c r="AJ3439">
        <v>79.377663336620202</v>
      </c>
      <c r="AK3439">
        <v>0.33945421692231997</v>
      </c>
      <c r="AL3439">
        <v>80.651722112037803</v>
      </c>
      <c r="AM3439">
        <v>83.856895084578696</v>
      </c>
      <c r="AN3439">
        <v>1.00000002303956</v>
      </c>
    </row>
    <row r="3440" spans="1:40" x14ac:dyDescent="0.25">
      <c r="A3440" t="str">
        <f>"20190312151055182"</f>
        <v>20190312151055182</v>
      </c>
      <c r="B3440" t="str">
        <f>"1552374655174629"</f>
        <v>1552374655174629</v>
      </c>
      <c r="C3440" t="s">
        <v>40</v>
      </c>
      <c r="D3440">
        <v>4.7021459999999999</v>
      </c>
      <c r="E3440">
        <v>0.4930234</v>
      </c>
      <c r="F3440" t="s">
        <v>41</v>
      </c>
      <c r="G3440">
        <v>-253.73150000000001</v>
      </c>
      <c r="H3440">
        <v>1.011582</v>
      </c>
      <c r="I3440">
        <v>214.76179999999999</v>
      </c>
      <c r="J3440">
        <v>-254.36449999999999</v>
      </c>
      <c r="K3440">
        <v>1.109923</v>
      </c>
      <c r="L3440">
        <v>214.85640000000001</v>
      </c>
      <c r="M3440">
        <v>0.99985349999999995</v>
      </c>
      <c r="N3440">
        <v>0</v>
      </c>
      <c r="O3440">
        <v>-9.6269479999999998E-3</v>
      </c>
      <c r="P3440">
        <v>0.98226460000000004</v>
      </c>
      <c r="Q3440">
        <v>0.14805589999999999</v>
      </c>
      <c r="R3440">
        <v>-0.1150476</v>
      </c>
      <c r="S3440">
        <v>3.0645289999999998</v>
      </c>
      <c r="T3440">
        <v>-0.29629499999999998</v>
      </c>
      <c r="U3440">
        <v>-0.29643249999999999</v>
      </c>
      <c r="V3440">
        <v>0.105767899999999</v>
      </c>
      <c r="W3440">
        <v>0.16183729999999999</v>
      </c>
      <c r="X3440">
        <v>0.98113289999999997</v>
      </c>
      <c r="Y3440">
        <v>8.633884E-2</v>
      </c>
      <c r="Z3440">
        <v>-3.2280659999999999E-3</v>
      </c>
      <c r="AA3440">
        <v>0.99626060000000005</v>
      </c>
      <c r="AB3440">
        <v>39</v>
      </c>
      <c r="AC3440">
        <v>0.63299999999998102</v>
      </c>
      <c r="AD3440">
        <v>-9.8340999999999998E-2</v>
      </c>
      <c r="AE3440">
        <v>-9.4600000000014006E-2</v>
      </c>
      <c r="AF3440">
        <v>8.64599549569499E-2</v>
      </c>
      <c r="AG3440">
        <v>-9.8340999999999998E-2</v>
      </c>
      <c r="AH3440">
        <v>0.61926160884033898</v>
      </c>
      <c r="AI3440">
        <v>98.938153195329605</v>
      </c>
      <c r="AJ3440">
        <v>82.051867175789397</v>
      </c>
      <c r="AK3440">
        <v>0.632954355602111</v>
      </c>
      <c r="AL3440">
        <v>80.686443864925195</v>
      </c>
      <c r="AM3440">
        <v>83.847172464785999</v>
      </c>
      <c r="AN3440">
        <v>0.99999996390205403</v>
      </c>
    </row>
    <row r="3441" spans="1:40" x14ac:dyDescent="0.25">
      <c r="A3441" t="str">
        <f>"20190312151055204"</f>
        <v>20190312151055204</v>
      </c>
      <c r="B3441" t="str">
        <f>"1552374655194150"</f>
        <v>1552374655194150</v>
      </c>
      <c r="C3441" t="s">
        <v>40</v>
      </c>
      <c r="D3441">
        <v>4.7066439999999998</v>
      </c>
      <c r="E3441">
        <v>0.49301929999999999</v>
      </c>
      <c r="F3441" t="s">
        <v>41</v>
      </c>
      <c r="G3441">
        <v>-253.38489999999999</v>
      </c>
      <c r="H3441">
        <v>1.013781</v>
      </c>
      <c r="I3441">
        <v>214.761</v>
      </c>
      <c r="J3441">
        <v>-253.98099999999999</v>
      </c>
      <c r="K3441">
        <v>1.1099250000000001</v>
      </c>
      <c r="L3441">
        <v>214.85230000000001</v>
      </c>
      <c r="M3441">
        <v>0.99984969999999995</v>
      </c>
      <c r="N3441">
        <v>0</v>
      </c>
      <c r="O3441">
        <v>-1.002803E-2</v>
      </c>
      <c r="P3441">
        <v>0.98220689999999999</v>
      </c>
      <c r="Q3441">
        <v>0.1481172</v>
      </c>
      <c r="R3441">
        <v>-0.11545950000000001</v>
      </c>
      <c r="S3441">
        <v>3.0646360000000001</v>
      </c>
      <c r="T3441">
        <v>-0.30088969999999998</v>
      </c>
      <c r="U3441">
        <v>-0.29795840000000001</v>
      </c>
      <c r="V3441">
        <v>0.105783</v>
      </c>
      <c r="W3441">
        <v>0.16189799999999999</v>
      </c>
      <c r="X3441">
        <v>0.98112129999999997</v>
      </c>
      <c r="Y3441">
        <v>8.6417820000000006E-2</v>
      </c>
      <c r="Z3441">
        <v>-3.2423690000000002E-3</v>
      </c>
      <c r="AA3441">
        <v>0.99625370000000002</v>
      </c>
      <c r="AB3441">
        <v>39</v>
      </c>
      <c r="AC3441">
        <v>0.59610000000000696</v>
      </c>
      <c r="AD3441">
        <v>-9.6143999999999993E-2</v>
      </c>
      <c r="AE3441">
        <v>-9.1300000000018103E-2</v>
      </c>
      <c r="AF3441">
        <v>8.3202292908689399E-2</v>
      </c>
      <c r="AG3441">
        <v>-9.6143999999999993E-2</v>
      </c>
      <c r="AH3441">
        <v>0.58218781108532403</v>
      </c>
      <c r="AI3441">
        <v>99.284668769802707</v>
      </c>
      <c r="AJ3441">
        <v>81.866752979780301</v>
      </c>
      <c r="AK3441">
        <v>0.59591017582986805</v>
      </c>
      <c r="AL3441">
        <v>80.682919923895199</v>
      </c>
      <c r="AM3441">
        <v>83.846228594562106</v>
      </c>
      <c r="AN3441">
        <v>1.00000000540334</v>
      </c>
    </row>
    <row r="3442" spans="1:40" x14ac:dyDescent="0.25">
      <c r="A3442" t="str">
        <f>"20190312151055228"</f>
        <v>20190312151055228</v>
      </c>
      <c r="B3442" t="str">
        <f>"1552374655224406"</f>
        <v>1552374655224406</v>
      </c>
      <c r="C3442" t="s">
        <v>40</v>
      </c>
      <c r="D3442">
        <v>4.7034019999999996</v>
      </c>
      <c r="E3442">
        <v>0.49317060000000001</v>
      </c>
      <c r="F3442" t="s">
        <v>41</v>
      </c>
      <c r="G3442">
        <v>-253.0384</v>
      </c>
      <c r="H3442">
        <v>1.0166599999999999</v>
      </c>
      <c r="I3442">
        <v>214.7602</v>
      </c>
      <c r="J3442">
        <v>-253.58930000000001</v>
      </c>
      <c r="K3442">
        <v>1.109934</v>
      </c>
      <c r="L3442">
        <v>214.84800000000001</v>
      </c>
      <c r="M3442">
        <v>0.9998456</v>
      </c>
      <c r="N3442">
        <v>0</v>
      </c>
      <c r="O3442">
        <v>-1.0433889999999999E-2</v>
      </c>
      <c r="P3442">
        <v>0.98215229999999998</v>
      </c>
      <c r="Q3442">
        <v>0.14816699999999999</v>
      </c>
      <c r="R3442">
        <v>-0.1158609</v>
      </c>
      <c r="S3442">
        <v>3.0649410000000001</v>
      </c>
      <c r="T3442">
        <v>-0.3033189</v>
      </c>
      <c r="U3442">
        <v>-0.29904170000000002</v>
      </c>
      <c r="V3442">
        <v>0.1057833</v>
      </c>
      <c r="W3442">
        <v>0.16194739999999999</v>
      </c>
      <c r="X3442">
        <v>0.98111309999999996</v>
      </c>
      <c r="Y3442">
        <v>8.6349229999999999E-2</v>
      </c>
      <c r="Z3442">
        <v>-3.2246979999999998E-3</v>
      </c>
      <c r="AA3442">
        <v>0.99625969999999997</v>
      </c>
      <c r="AB3442">
        <v>39</v>
      </c>
      <c r="AC3442">
        <v>0.55090000000001205</v>
      </c>
      <c r="AD3442">
        <v>-9.3273999999999802E-2</v>
      </c>
      <c r="AE3442">
        <v>-8.7799999999987194E-2</v>
      </c>
      <c r="AF3442">
        <v>7.9815263230968894E-2</v>
      </c>
      <c r="AG3442">
        <v>-9.3273999999999802E-2</v>
      </c>
      <c r="AH3442">
        <v>0.53677973454974204</v>
      </c>
      <c r="AI3442">
        <v>99.752492306440104</v>
      </c>
      <c r="AJ3442">
        <v>81.542499271353506</v>
      </c>
      <c r="AK3442">
        <v>0.55063871889281502</v>
      </c>
      <c r="AL3442">
        <v>80.680051525392699</v>
      </c>
      <c r="AM3442">
        <v>83.846160238566299</v>
      </c>
      <c r="AN3442">
        <v>0.99999999095862901</v>
      </c>
    </row>
    <row r="3443" spans="1:40" x14ac:dyDescent="0.25">
      <c r="A3443" t="str">
        <f>"20190312151055250"</f>
        <v>20190312151055250</v>
      </c>
      <c r="B3443" t="str">
        <f>"1552374655244902"</f>
        <v>1552374655244902</v>
      </c>
      <c r="C3443" t="s">
        <v>40</v>
      </c>
      <c r="D3443">
        <v>4.6600299999999999</v>
      </c>
      <c r="E3443">
        <v>0.493172</v>
      </c>
      <c r="F3443" t="s">
        <v>41</v>
      </c>
      <c r="G3443">
        <v>-252.6917</v>
      </c>
      <c r="H3443">
        <v>1.020303</v>
      </c>
      <c r="I3443">
        <v>214.75970000000001</v>
      </c>
      <c r="J3443">
        <v>-253.1994</v>
      </c>
      <c r="K3443">
        <v>1.109939</v>
      </c>
      <c r="L3443">
        <v>214.84350000000001</v>
      </c>
      <c r="M3443">
        <v>0.99984130000000004</v>
      </c>
      <c r="N3443">
        <v>0</v>
      </c>
      <c r="O3443">
        <v>-1.083127E-2</v>
      </c>
      <c r="P3443">
        <v>0.98212060000000001</v>
      </c>
      <c r="Q3443">
        <v>0.1482021</v>
      </c>
      <c r="R3443">
        <v>-0.1160838</v>
      </c>
      <c r="S3443">
        <v>3.0651250000000001</v>
      </c>
      <c r="T3443">
        <v>-0.3060949</v>
      </c>
      <c r="U3443">
        <v>-0.30136109999999999</v>
      </c>
      <c r="V3443">
        <v>0.1056125</v>
      </c>
      <c r="W3443">
        <v>0.16198270000000001</v>
      </c>
      <c r="X3443">
        <v>0.98112569999999999</v>
      </c>
      <c r="Y3443">
        <v>8.6687860000000005E-2</v>
      </c>
      <c r="Z3443">
        <v>-3.2311000000000002E-3</v>
      </c>
      <c r="AA3443">
        <v>0.99623030000000001</v>
      </c>
      <c r="AB3443">
        <v>39</v>
      </c>
      <c r="AC3443">
        <v>0.50769999999999904</v>
      </c>
      <c r="AD3443">
        <v>-8.9635999999999993E-2</v>
      </c>
      <c r="AE3443">
        <v>-8.3799999999996502E-2</v>
      </c>
      <c r="AF3443">
        <v>7.5989645855410903E-2</v>
      </c>
      <c r="AG3443">
        <v>-8.9635999999999993E-2</v>
      </c>
      <c r="AH3443">
        <v>0.49360002343494302</v>
      </c>
      <c r="AI3443">
        <v>100.17522166342</v>
      </c>
      <c r="AJ3443">
        <v>81.2480342691956</v>
      </c>
      <c r="AK3443">
        <v>0.507395330987788</v>
      </c>
      <c r="AL3443">
        <v>80.678002169480905</v>
      </c>
      <c r="AM3443">
        <v>83.856098606012907</v>
      </c>
      <c r="AN3443">
        <v>1.0000000172280099</v>
      </c>
    </row>
    <row r="3444" spans="1:40" x14ac:dyDescent="0.25">
      <c r="A3444" t="str">
        <f>"20190312151055272"</f>
        <v>20190312151055272</v>
      </c>
      <c r="B3444" t="str">
        <f>"1552374655264422"</f>
        <v>1552374655264422</v>
      </c>
      <c r="C3444" t="s">
        <v>40</v>
      </c>
      <c r="D3444">
        <v>4.6996279999999997</v>
      </c>
      <c r="E3444">
        <v>0.4931661</v>
      </c>
      <c r="F3444" t="s">
        <v>41</v>
      </c>
      <c r="G3444">
        <v>-252.34540000000001</v>
      </c>
      <c r="H3444">
        <v>1.0237560000000001</v>
      </c>
      <c r="I3444">
        <v>214.7593</v>
      </c>
      <c r="J3444">
        <v>-252.82730000000001</v>
      </c>
      <c r="K3444">
        <v>1.1099540000000001</v>
      </c>
      <c r="L3444">
        <v>214.8391</v>
      </c>
      <c r="M3444">
        <v>0.99983730000000004</v>
      </c>
      <c r="N3444">
        <v>0</v>
      </c>
      <c r="O3444">
        <v>-1.12006E-2</v>
      </c>
      <c r="P3444">
        <v>0.98202089999999997</v>
      </c>
      <c r="Q3444">
        <v>0.14836930000000001</v>
      </c>
      <c r="R3444">
        <v>-0.11671380000000001</v>
      </c>
      <c r="S3444">
        <v>3.065598</v>
      </c>
      <c r="T3444">
        <v>-0.3093902</v>
      </c>
      <c r="U3444">
        <v>-0.30207820000000002</v>
      </c>
      <c r="V3444">
        <v>0.1058764</v>
      </c>
      <c r="W3444">
        <v>0.16214879999999901</v>
      </c>
      <c r="X3444">
        <v>0.98106979999999999</v>
      </c>
      <c r="Y3444">
        <v>8.6530430000000005E-2</v>
      </c>
      <c r="Z3444">
        <v>-3.2201880000000001E-3</v>
      </c>
      <c r="AA3444">
        <v>0.99624400000000002</v>
      </c>
      <c r="AB3444">
        <v>39</v>
      </c>
      <c r="AC3444">
        <v>0.481899999999996</v>
      </c>
      <c r="AD3444">
        <v>-8.6198000000000205E-2</v>
      </c>
      <c r="AE3444">
        <v>-7.9800000000005797E-2</v>
      </c>
      <c r="AF3444">
        <v>7.21500629845582E-2</v>
      </c>
      <c r="AG3444">
        <v>-8.6198000000000205E-2</v>
      </c>
      <c r="AH3444">
        <v>0.46818396868513101</v>
      </c>
      <c r="AI3444">
        <v>100.312898538638</v>
      </c>
      <c r="AJ3444">
        <v>81.239281982242602</v>
      </c>
      <c r="AK3444">
        <v>0.48148930966994002</v>
      </c>
      <c r="AL3444">
        <v>80.668357670151195</v>
      </c>
      <c r="AM3444">
        <v>83.8405160971936</v>
      </c>
      <c r="AN3444">
        <v>0.99999999894521996</v>
      </c>
    </row>
    <row r="3445" spans="1:40" x14ac:dyDescent="0.25">
      <c r="A3445" t="str">
        <f>"20190312151055294"</f>
        <v>20190312151055294</v>
      </c>
      <c r="B3445" t="str">
        <f>"1552374655283942"</f>
        <v>1552374655283942</v>
      </c>
      <c r="C3445" t="s">
        <v>40</v>
      </c>
      <c r="D3445">
        <v>4.752351</v>
      </c>
      <c r="E3445">
        <v>0.4931933</v>
      </c>
      <c r="F3445" t="s">
        <v>41</v>
      </c>
      <c r="G3445">
        <v>-251.99979999999999</v>
      </c>
      <c r="H3445">
        <v>1.0263279999999999</v>
      </c>
      <c r="I3445">
        <v>214.7569</v>
      </c>
      <c r="J3445">
        <v>-252.43639999999999</v>
      </c>
      <c r="K3445">
        <v>1.1099650000000001</v>
      </c>
      <c r="L3445">
        <v>214.83439999999999</v>
      </c>
      <c r="M3445">
        <v>0.99983319999999998</v>
      </c>
      <c r="N3445">
        <v>0</v>
      </c>
      <c r="O3445">
        <v>-1.1572829999999999E-2</v>
      </c>
      <c r="P3445">
        <v>0.98198220000000003</v>
      </c>
      <c r="Q3445">
        <v>0.1482212</v>
      </c>
      <c r="R3445">
        <v>-0.11722589999999999</v>
      </c>
      <c r="S3445">
        <v>3.0656279999999998</v>
      </c>
      <c r="T3445">
        <v>-0.3099864</v>
      </c>
      <c r="U3445">
        <v>-0.30395509999999998</v>
      </c>
      <c r="V3445">
        <v>0.1060174</v>
      </c>
      <c r="W3445">
        <v>0.16200200000000001</v>
      </c>
      <c r="X3445">
        <v>0.98107889999999998</v>
      </c>
      <c r="Y3445">
        <v>8.676188E-2</v>
      </c>
      <c r="Z3445">
        <v>-3.200437E-3</v>
      </c>
      <c r="AA3445">
        <v>0.99622390000000005</v>
      </c>
      <c r="AB3445">
        <v>39</v>
      </c>
      <c r="AC3445">
        <v>0.43659999999999799</v>
      </c>
      <c r="AD3445">
        <v>-8.3636999999999698E-2</v>
      </c>
      <c r="AE3445">
        <v>-7.7499999999986302E-2</v>
      </c>
      <c r="AF3445">
        <v>6.9952964586729505E-2</v>
      </c>
      <c r="AG3445">
        <v>-8.3636999999999698E-2</v>
      </c>
      <c r="AH3445">
        <v>0.42243907345104498</v>
      </c>
      <c r="AI3445">
        <v>101.052204056561</v>
      </c>
      <c r="AJ3445">
        <v>80.597540686813005</v>
      </c>
      <c r="AK3445">
        <v>0.43628354977199102</v>
      </c>
      <c r="AL3445">
        <v>80.676882080485299</v>
      </c>
      <c r="AM3445">
        <v>83.832433202352902</v>
      </c>
      <c r="AN3445">
        <v>1.0000000725659799</v>
      </c>
    </row>
    <row r="3446" spans="1:40" x14ac:dyDescent="0.25">
      <c r="A3446" t="str">
        <f>"20190312151055316"</f>
        <v>20190312151055316</v>
      </c>
      <c r="B3446" t="str">
        <f>"1552374655314198"</f>
        <v>1552374655314198</v>
      </c>
      <c r="C3446" t="s">
        <v>40</v>
      </c>
      <c r="D3446">
        <v>5.2445529999999998</v>
      </c>
      <c r="E3446">
        <v>0.50518379999999996</v>
      </c>
      <c r="F3446" t="s">
        <v>41</v>
      </c>
      <c r="G3446">
        <v>-251.6534</v>
      </c>
      <c r="H3446">
        <v>1.03081</v>
      </c>
      <c r="I3446">
        <v>214.7561</v>
      </c>
      <c r="J3446">
        <v>-252.0598</v>
      </c>
      <c r="K3446">
        <v>1.109982</v>
      </c>
      <c r="L3446">
        <v>214.8297</v>
      </c>
      <c r="M3446">
        <v>0.99982919999999997</v>
      </c>
      <c r="N3446">
        <v>0</v>
      </c>
      <c r="O3446">
        <v>-1.1910550000000001E-2</v>
      </c>
      <c r="P3446">
        <v>0.9819021</v>
      </c>
      <c r="Q3446">
        <v>0.148404799999999</v>
      </c>
      <c r="R3446">
        <v>-0.11766219999999999</v>
      </c>
      <c r="S3446">
        <v>3.065353</v>
      </c>
      <c r="T3446">
        <v>-0.30998340000000002</v>
      </c>
      <c r="U3446">
        <v>-0.30560300000000001</v>
      </c>
      <c r="V3446">
        <v>0.10611569999999999</v>
      </c>
      <c r="W3446">
        <v>0.16218689999999999</v>
      </c>
      <c r="X3446">
        <v>0.98103770000000001</v>
      </c>
      <c r="Y3446">
        <v>8.6965139999999996E-2</v>
      </c>
      <c r="Z3446">
        <v>-3.1768590000000002E-3</v>
      </c>
      <c r="AA3446">
        <v>0.99620629999999999</v>
      </c>
      <c r="AB3446">
        <v>39</v>
      </c>
      <c r="AC3446">
        <v>0.40639999999998999</v>
      </c>
      <c r="AD3446">
        <v>-7.9172000000000006E-2</v>
      </c>
      <c r="AE3446">
        <v>-7.3599999999999E-2</v>
      </c>
      <c r="AF3446">
        <v>6.6316908179033005E-2</v>
      </c>
      <c r="AG3446">
        <v>-7.9172000000000006E-2</v>
      </c>
      <c r="AH3446">
        <v>0.39281321283588799</v>
      </c>
      <c r="AI3446">
        <v>101.24044058283501</v>
      </c>
      <c r="AJ3446">
        <v>80.417368080805502</v>
      </c>
      <c r="AK3446">
        <v>0.40616296984446898</v>
      </c>
      <c r="AL3446">
        <v>80.666145903943303</v>
      </c>
      <c r="AM3446">
        <v>83.826501477888499</v>
      </c>
      <c r="AN3446">
        <v>1.00000005056969</v>
      </c>
    </row>
    <row r="3447" spans="1:40" x14ac:dyDescent="0.25">
      <c r="A3447" t="str">
        <f>"20190312151055383"</f>
        <v>20190312151055383</v>
      </c>
      <c r="B3447" t="str">
        <f>"1552374655374710"</f>
        <v>1552374655374710</v>
      </c>
      <c r="C3447" t="s">
        <v>40</v>
      </c>
      <c r="D3447">
        <v>4.4719670000000002</v>
      </c>
      <c r="E3447">
        <v>0.50861329999999905</v>
      </c>
      <c r="F3447" t="s">
        <v>41</v>
      </c>
      <c r="G3447">
        <v>-250.381</v>
      </c>
      <c r="H3447">
        <v>0.80849349999999998</v>
      </c>
      <c r="I3447">
        <v>214.68969999999999</v>
      </c>
      <c r="J3447">
        <v>-250.91069999999999</v>
      </c>
      <c r="K3447">
        <v>1.110055</v>
      </c>
      <c r="L3447">
        <v>214.81479999999999</v>
      </c>
      <c r="M3447">
        <v>0.99981869999999995</v>
      </c>
      <c r="N3447">
        <v>0</v>
      </c>
      <c r="O3447">
        <v>-1.277591E-2</v>
      </c>
      <c r="P3447">
        <v>0.98189309999999996</v>
      </c>
      <c r="Q3447">
        <v>0.1481702</v>
      </c>
      <c r="R3447">
        <v>-0.11803420000000001</v>
      </c>
      <c r="S3447">
        <v>3.15863</v>
      </c>
      <c r="T3447">
        <v>-1.0474490000000001</v>
      </c>
      <c r="U3447">
        <v>-0.45187379999999999</v>
      </c>
      <c r="V3447">
        <v>0.10560799999999999</v>
      </c>
      <c r="W3447">
        <v>0.16196569999999999</v>
      </c>
      <c r="X3447">
        <v>0.98112900000000003</v>
      </c>
      <c r="Y3447">
        <v>0.1231652</v>
      </c>
      <c r="Z3447">
        <v>-1.5689689999999999E-2</v>
      </c>
      <c r="AA3447">
        <v>0.99226210000000004</v>
      </c>
      <c r="AB3447">
        <v>38</v>
      </c>
      <c r="AC3447">
        <v>0.52970000000001904</v>
      </c>
      <c r="AD3447">
        <v>-0.30156149999999898</v>
      </c>
      <c r="AE3447">
        <v>-0.12510000000000299</v>
      </c>
      <c r="AF3447">
        <v>9.0530153502098296E-2</v>
      </c>
      <c r="AG3447">
        <v>-0.30156149999999898</v>
      </c>
      <c r="AH3447">
        <v>0.40647326651122201</v>
      </c>
      <c r="AI3447">
        <v>125.910333115772</v>
      </c>
      <c r="AJ3447">
        <v>77.443959312810506</v>
      </c>
      <c r="AK3447">
        <v>0.51415519385071495</v>
      </c>
      <c r="AL3447">
        <v>80.678989315697507</v>
      </c>
      <c r="AM3447">
        <v>83.856378892932597</v>
      </c>
      <c r="AN3447">
        <v>1.00000002614074</v>
      </c>
    </row>
    <row r="3448" spans="1:40" x14ac:dyDescent="0.25">
      <c r="A3448" t="str">
        <f>"20190312151055461"</f>
        <v>20190312151055461</v>
      </c>
      <c r="B3448" t="str">
        <f>"1552374655454774"</f>
        <v>1552374655454774</v>
      </c>
      <c r="C3448" t="s">
        <v>40</v>
      </c>
      <c r="D3448">
        <v>4.7134039999999997</v>
      </c>
      <c r="E3448">
        <v>0.49409550000000002</v>
      </c>
      <c r="F3448" t="s">
        <v>41</v>
      </c>
      <c r="G3448">
        <v>-248.92429999999999</v>
      </c>
      <c r="H3448">
        <v>1.003911</v>
      </c>
      <c r="I3448">
        <v>214.69810000000001</v>
      </c>
      <c r="J3448">
        <v>-249.56800000000001</v>
      </c>
      <c r="K3448">
        <v>1.1101540000000001</v>
      </c>
      <c r="L3448">
        <v>214.79650000000001</v>
      </c>
      <c r="M3448">
        <v>0.99980930000000001</v>
      </c>
      <c r="N3448">
        <v>0</v>
      </c>
      <c r="O3448">
        <v>-1.349088E-2</v>
      </c>
      <c r="P3448">
        <v>0.98189919999999997</v>
      </c>
      <c r="Q3448">
        <v>0.1481942</v>
      </c>
      <c r="R3448">
        <v>-0.117952</v>
      </c>
      <c r="S3448">
        <v>3.0660400000000001</v>
      </c>
      <c r="T3448">
        <v>-0.3208028</v>
      </c>
      <c r="U3448">
        <v>-0.31307980000000002</v>
      </c>
      <c r="V3448">
        <v>0.10478999999999999</v>
      </c>
      <c r="W3448">
        <v>0.16200429999999999</v>
      </c>
      <c r="X3448">
        <v>0.98121029999999998</v>
      </c>
      <c r="Y3448">
        <v>8.7751140000000005E-2</v>
      </c>
      <c r="Z3448">
        <v>-3.1625030000000001E-3</v>
      </c>
      <c r="AA3448">
        <v>0.99613739999999995</v>
      </c>
      <c r="AB3448">
        <v>38</v>
      </c>
      <c r="AC3448">
        <v>0.64369999999999505</v>
      </c>
      <c r="AD3448">
        <v>-0.106243</v>
      </c>
      <c r="AE3448">
        <v>-9.8399999999998003E-2</v>
      </c>
      <c r="AF3448">
        <v>8.73800741124965E-2</v>
      </c>
      <c r="AG3448">
        <v>-0.106243</v>
      </c>
      <c r="AH3448">
        <v>0.62824539246692401</v>
      </c>
      <c r="AI3448">
        <v>99.508677972185694</v>
      </c>
      <c r="AJ3448">
        <v>82.081763467373506</v>
      </c>
      <c r="AK3448">
        <v>0.64312916708607204</v>
      </c>
      <c r="AL3448">
        <v>80.676747807175005</v>
      </c>
      <c r="AM3448">
        <v>83.904106673415399</v>
      </c>
      <c r="AN3448">
        <v>0.99999999507228898</v>
      </c>
    </row>
    <row r="3449" spans="1:40" x14ac:dyDescent="0.25">
      <c r="A3449" t="str">
        <f>"20190312151055484"</f>
        <v>20190312151055484</v>
      </c>
      <c r="B3449" t="str">
        <f>"1552374655474299"</f>
        <v>1552374655474299</v>
      </c>
      <c r="C3449" t="s">
        <v>40</v>
      </c>
      <c r="D3449">
        <v>4.7382730000000004</v>
      </c>
      <c r="E3449">
        <v>0.49386790000000003</v>
      </c>
      <c r="F3449" t="s">
        <v>41</v>
      </c>
      <c r="G3449">
        <v>-248.58349999999999</v>
      </c>
      <c r="H3449">
        <v>1.0022359999999999</v>
      </c>
      <c r="I3449">
        <v>214.69489999999999</v>
      </c>
      <c r="J3449">
        <v>-249.17959999999999</v>
      </c>
      <c r="K3449">
        <v>1.1101810000000001</v>
      </c>
      <c r="L3449">
        <v>214.7911</v>
      </c>
      <c r="M3449">
        <v>0.99980720000000001</v>
      </c>
      <c r="N3449">
        <v>0</v>
      </c>
      <c r="O3449">
        <v>-1.3647930000000001E-2</v>
      </c>
      <c r="P3449">
        <v>0.98190409999999995</v>
      </c>
      <c r="Q3449">
        <v>0.1481527</v>
      </c>
      <c r="R3449">
        <v>-0.1179644</v>
      </c>
      <c r="S3449">
        <v>3.0681759999999998</v>
      </c>
      <c r="T3449">
        <v>-0.33650409999999997</v>
      </c>
      <c r="U3449">
        <v>-0.31550600000000001</v>
      </c>
      <c r="V3449">
        <v>0.10463890000000001</v>
      </c>
      <c r="W3449">
        <v>0.16196569999999999</v>
      </c>
      <c r="X3449">
        <v>0.98123280000000002</v>
      </c>
      <c r="Y3449">
        <v>8.826254E-2</v>
      </c>
      <c r="Z3449">
        <v>-3.3247429999999998E-3</v>
      </c>
      <c r="AA3449">
        <v>0.99609170000000002</v>
      </c>
      <c r="AB3449">
        <v>38</v>
      </c>
      <c r="AC3449">
        <v>0.59610000000000696</v>
      </c>
      <c r="AD3449">
        <v>-0.107944999999999</v>
      </c>
      <c r="AE3449">
        <v>-9.6200000000010194E-2</v>
      </c>
      <c r="AF3449">
        <v>8.5327662383916106E-2</v>
      </c>
      <c r="AG3449">
        <v>-0.107944999999999</v>
      </c>
      <c r="AH3449">
        <v>0.57885750318965601</v>
      </c>
      <c r="AI3449">
        <v>100.452731238445</v>
      </c>
      <c r="AJ3449">
        <v>81.614586708262806</v>
      </c>
      <c r="AK3449">
        <v>0.59498650572249601</v>
      </c>
      <c r="AL3449">
        <v>80.678989047134905</v>
      </c>
      <c r="AM3449">
        <v>83.912969027096494</v>
      </c>
      <c r="AN3449">
        <v>0.99999999758277003</v>
      </c>
    </row>
    <row r="3450" spans="1:40" x14ac:dyDescent="0.25">
      <c r="A3450" t="str">
        <f>"20190312151055506"</f>
        <v>20190312151055506</v>
      </c>
      <c r="B3450" t="str">
        <f>"1552374655494790"</f>
        <v>1552374655494790</v>
      </c>
      <c r="C3450" t="s">
        <v>40</v>
      </c>
      <c r="D3450">
        <v>4.741377</v>
      </c>
      <c r="E3450">
        <v>0.49435109999999899</v>
      </c>
      <c r="F3450" t="s">
        <v>41</v>
      </c>
      <c r="G3450">
        <v>-248.24109999999999</v>
      </c>
      <c r="H3450">
        <v>1.00423</v>
      </c>
      <c r="I3450">
        <v>214.69489999999999</v>
      </c>
      <c r="J3450">
        <v>-248.80889999999999</v>
      </c>
      <c r="K3450">
        <v>1.1101939999999999</v>
      </c>
      <c r="L3450">
        <v>214.7859</v>
      </c>
      <c r="M3450">
        <v>0.99980539999999996</v>
      </c>
      <c r="N3450">
        <v>0</v>
      </c>
      <c r="O3450">
        <v>-1.3781299999999899E-2</v>
      </c>
      <c r="P3450">
        <v>0.98184579999999999</v>
      </c>
      <c r="Q3450">
        <v>0.1482976</v>
      </c>
      <c r="R3450">
        <v>-0.118267</v>
      </c>
      <c r="S3450">
        <v>3.0698850000000002</v>
      </c>
      <c r="T3450">
        <v>-0.34667690000000001</v>
      </c>
      <c r="U3450">
        <v>-0.31385800000000003</v>
      </c>
      <c r="V3450">
        <v>0.1048032</v>
      </c>
      <c r="W3450">
        <v>0.16211300000000001</v>
      </c>
      <c r="X3450">
        <v>0.98119089999999998</v>
      </c>
      <c r="Y3450">
        <v>8.7522970000000005E-2</v>
      </c>
      <c r="Z3450">
        <v>-3.3663479999999999E-3</v>
      </c>
      <c r="AA3450">
        <v>0.99615679999999995</v>
      </c>
      <c r="AB3450">
        <v>38</v>
      </c>
      <c r="AC3450">
        <v>0.56780000000000497</v>
      </c>
      <c r="AD3450">
        <v>-0.105964</v>
      </c>
      <c r="AE3450">
        <v>-9.1000000000008199E-2</v>
      </c>
      <c r="AF3450">
        <v>8.0434356526158393E-2</v>
      </c>
      <c r="AG3450">
        <v>-0.105964</v>
      </c>
      <c r="AH3450">
        <v>0.55031403903019305</v>
      </c>
      <c r="AI3450">
        <v>100.787135337178</v>
      </c>
      <c r="AJ3450">
        <v>81.6844824856625</v>
      </c>
      <c r="AK3450">
        <v>0.56616569708831799</v>
      </c>
      <c r="AL3450">
        <v>80.670435984474096</v>
      </c>
      <c r="AM3450">
        <v>83.903224944891704</v>
      </c>
      <c r="AN3450">
        <v>0.999999958871024</v>
      </c>
    </row>
    <row r="3451" spans="1:40" x14ac:dyDescent="0.25">
      <c r="A3451" t="str">
        <f>"20190312151055528"</f>
        <v>20190312151055528</v>
      </c>
      <c r="B3451" t="str">
        <f>"1552374655524070"</f>
        <v>1552374655524070</v>
      </c>
      <c r="C3451" t="s">
        <v>40</v>
      </c>
      <c r="D3451">
        <v>4.7281469999999999</v>
      </c>
      <c r="E3451">
        <v>0.49426219999999998</v>
      </c>
      <c r="F3451" t="s">
        <v>41</v>
      </c>
      <c r="G3451">
        <v>-247.89869999999999</v>
      </c>
      <c r="H3451">
        <v>1.006977</v>
      </c>
      <c r="I3451">
        <v>214.69139999999999</v>
      </c>
      <c r="J3451">
        <v>-248.42679999999999</v>
      </c>
      <c r="K3451">
        <v>1.1102179999999999</v>
      </c>
      <c r="L3451">
        <v>214.78049999999999</v>
      </c>
      <c r="M3451">
        <v>0.99980380000000002</v>
      </c>
      <c r="N3451">
        <v>0</v>
      </c>
      <c r="O3451">
        <v>-1.3901439999999999E-2</v>
      </c>
      <c r="P3451">
        <v>0.98175630000000003</v>
      </c>
      <c r="Q3451">
        <v>0.1488148</v>
      </c>
      <c r="R3451">
        <v>-0.1183603</v>
      </c>
      <c r="S3451">
        <v>3.0697329999999998</v>
      </c>
      <c r="T3451">
        <v>-0.34813139999999998</v>
      </c>
      <c r="U3451">
        <v>-0.3182373</v>
      </c>
      <c r="V3451">
        <v>0.1047719</v>
      </c>
      <c r="W3451">
        <v>0.16263150000000001</v>
      </c>
      <c r="X3451">
        <v>0.98110850000000005</v>
      </c>
      <c r="Y3451">
        <v>8.8803220000000002E-2</v>
      </c>
      <c r="Z3451">
        <v>-3.4389400000000001E-3</v>
      </c>
      <c r="AA3451">
        <v>0.99604329999999996</v>
      </c>
      <c r="AB3451">
        <v>38</v>
      </c>
      <c r="AC3451">
        <v>0.52809999999999402</v>
      </c>
      <c r="AD3451">
        <v>-0.103240999999999</v>
      </c>
      <c r="AE3451">
        <v>-8.91000000000019E-2</v>
      </c>
      <c r="AF3451">
        <v>7.8820300790013204E-2</v>
      </c>
      <c r="AG3451">
        <v>-0.103240999999999</v>
      </c>
      <c r="AH3451">
        <v>0.51032378482927998</v>
      </c>
      <c r="AI3451">
        <v>101.306307762648</v>
      </c>
      <c r="AJ3451">
        <v>81.219956048959702</v>
      </c>
      <c r="AK3451">
        <v>0.52659444476761197</v>
      </c>
      <c r="AL3451">
        <v>80.640329182118293</v>
      </c>
      <c r="AM3451">
        <v>83.904524027486005</v>
      </c>
      <c r="AN3451">
        <v>1.00000002229705</v>
      </c>
    </row>
    <row r="3452" spans="1:40" x14ac:dyDescent="0.25">
      <c r="A3452" t="str">
        <f>"20190312151055550"</f>
        <v>20190312151055550</v>
      </c>
      <c r="B3452" t="str">
        <f>"1552374655544566"</f>
        <v>1552374655544566</v>
      </c>
      <c r="C3452" t="s">
        <v>40</v>
      </c>
      <c r="D3452">
        <v>4.7155399999999998</v>
      </c>
      <c r="E3452">
        <v>0.49402790000000002</v>
      </c>
      <c r="F3452" t="s">
        <v>41</v>
      </c>
      <c r="G3452">
        <v>-247.55590000000001</v>
      </c>
      <c r="H3452">
        <v>1.010966</v>
      </c>
      <c r="I3452">
        <v>214.69030000000001</v>
      </c>
      <c r="J3452">
        <v>-248.04990000000001</v>
      </c>
      <c r="K3452">
        <v>1.110236</v>
      </c>
      <c r="L3452">
        <v>214.77510000000001</v>
      </c>
      <c r="M3452">
        <v>0.99980250000000004</v>
      </c>
      <c r="N3452">
        <v>0</v>
      </c>
      <c r="O3452">
        <v>-1.4003109999999999E-2</v>
      </c>
      <c r="P3452">
        <v>0.98181770000000002</v>
      </c>
      <c r="Q3452">
        <v>0.14841179999999901</v>
      </c>
      <c r="R3452">
        <v>-0.11835619999999999</v>
      </c>
      <c r="S3452">
        <v>3.0704500000000001</v>
      </c>
      <c r="T3452">
        <v>-0.34995110000000001</v>
      </c>
      <c r="U3452">
        <v>-0.3177643</v>
      </c>
      <c r="V3452">
        <v>0.104659</v>
      </c>
      <c r="W3452">
        <v>0.16223299999999999</v>
      </c>
      <c r="X3452">
        <v>0.98118649999999996</v>
      </c>
      <c r="Y3452">
        <v>8.8523920000000006E-2</v>
      </c>
      <c r="Z3452">
        <v>-3.4286910000000002E-3</v>
      </c>
      <c r="AA3452">
        <v>0.99606810000000001</v>
      </c>
      <c r="AB3452">
        <v>38</v>
      </c>
      <c r="AC3452">
        <v>0.493999999999999</v>
      </c>
      <c r="AD3452">
        <v>-9.92699999999999E-2</v>
      </c>
      <c r="AE3452">
        <v>-8.4800000000001305E-2</v>
      </c>
      <c r="AF3452">
        <v>7.4934123150150397E-2</v>
      </c>
      <c r="AG3452">
        <v>-9.92699999999999E-2</v>
      </c>
      <c r="AH3452">
        <v>0.47645009266558103</v>
      </c>
      <c r="AI3452">
        <v>101.630391530681</v>
      </c>
      <c r="AJ3452">
        <v>81.061970250678399</v>
      </c>
      <c r="AK3452">
        <v>0.492416842231582</v>
      </c>
      <c r="AL3452">
        <v>80.663468643298302</v>
      </c>
      <c r="AM3452">
        <v>83.911523424605804</v>
      </c>
      <c r="AN3452">
        <v>1.00000000017612</v>
      </c>
    </row>
    <row r="3453" spans="1:40" x14ac:dyDescent="0.25">
      <c r="A3453" t="str">
        <f>"20190312151055572"</f>
        <v>20190312151055572</v>
      </c>
      <c r="B3453" t="str">
        <f>"1552374655564090"</f>
        <v>1552374655564090</v>
      </c>
      <c r="C3453" t="s">
        <v>40</v>
      </c>
      <c r="D3453">
        <v>4.7290369999999999</v>
      </c>
      <c r="E3453">
        <v>0.49398710000000001</v>
      </c>
      <c r="F3453" t="s">
        <v>41</v>
      </c>
      <c r="G3453">
        <v>-247.21430000000001</v>
      </c>
      <c r="H3453">
        <v>1.0129709999999901</v>
      </c>
      <c r="I3453">
        <v>214.68889999999999</v>
      </c>
      <c r="J3453">
        <v>-247.67339999999999</v>
      </c>
      <c r="K3453">
        <v>1.110249</v>
      </c>
      <c r="L3453">
        <v>214.7697</v>
      </c>
      <c r="M3453">
        <v>0.9998013</v>
      </c>
      <c r="N3453">
        <v>0</v>
      </c>
      <c r="O3453">
        <v>-1.409039E-2</v>
      </c>
      <c r="P3453">
        <v>0.98184439999999995</v>
      </c>
      <c r="Q3453">
        <v>0.1480996</v>
      </c>
      <c r="R3453">
        <v>-0.11852600000000001</v>
      </c>
      <c r="S3453">
        <v>3.0715789999999998</v>
      </c>
      <c r="T3453">
        <v>-0.35777619999999999</v>
      </c>
      <c r="U3453">
        <v>-0.31587219999999999</v>
      </c>
      <c r="V3453">
        <v>0.1047353</v>
      </c>
      <c r="W3453">
        <v>0.16192390000000001</v>
      </c>
      <c r="X3453">
        <v>0.98122940000000003</v>
      </c>
      <c r="Y3453">
        <v>8.7776740000000006E-2</v>
      </c>
      <c r="Z3453">
        <v>-3.4503279999999999E-3</v>
      </c>
      <c r="AA3453">
        <v>0.99613419999999997</v>
      </c>
      <c r="AB3453">
        <v>38</v>
      </c>
      <c r="AC3453">
        <v>0.45909999999997803</v>
      </c>
      <c r="AD3453">
        <v>-9.7278000000000198E-2</v>
      </c>
      <c r="AE3453">
        <v>-8.0800000000010599E-2</v>
      </c>
      <c r="AF3453">
        <v>7.1220918475882494E-2</v>
      </c>
      <c r="AG3453">
        <v>-9.7278000000000198E-2</v>
      </c>
      <c r="AH3453">
        <v>0.44098891499186099</v>
      </c>
      <c r="AI3453">
        <v>102.285425734938</v>
      </c>
      <c r="AJ3453">
        <v>80.825791264625806</v>
      </c>
      <c r="AK3453">
        <v>0.457172452864613</v>
      </c>
      <c r="AL3453">
        <v>80.681415919314503</v>
      </c>
      <c r="AM3453">
        <v>83.907382473084397</v>
      </c>
      <c r="AN3453">
        <v>0.99999998394082901</v>
      </c>
    </row>
    <row r="3454" spans="1:40" x14ac:dyDescent="0.25">
      <c r="A3454" t="str">
        <f>"20190312151055595"</f>
        <v>20190312151055595</v>
      </c>
      <c r="B3454" t="str">
        <f>"1552374655584582"</f>
        <v>1552374655584582</v>
      </c>
      <c r="C3454" t="s">
        <v>40</v>
      </c>
      <c r="D3454">
        <v>5.0334379999999896</v>
      </c>
      <c r="E3454">
        <v>0.49383840000000001</v>
      </c>
      <c r="F3454" t="s">
        <v>41</v>
      </c>
      <c r="G3454">
        <v>-246.87350000000001</v>
      </c>
      <c r="H3454">
        <v>1.0141389999999999</v>
      </c>
      <c r="I3454">
        <v>214.6874</v>
      </c>
      <c r="J3454">
        <v>-247.2884</v>
      </c>
      <c r="K3454">
        <v>1.1102620000000001</v>
      </c>
      <c r="L3454">
        <v>214.76419999999999</v>
      </c>
      <c r="M3454">
        <v>0.99980009999999997</v>
      </c>
      <c r="N3454">
        <v>0</v>
      </c>
      <c r="O3454">
        <v>-1.416829E-2</v>
      </c>
      <c r="P3454">
        <v>0.9819002</v>
      </c>
      <c r="Q3454">
        <v>0.1475969</v>
      </c>
      <c r="R3454">
        <v>-0.1186895</v>
      </c>
      <c r="S3454">
        <v>3.0731199999999999</v>
      </c>
      <c r="T3454">
        <v>-0.36936160000000001</v>
      </c>
      <c r="U3454">
        <v>-0.3155212</v>
      </c>
      <c r="V3454">
        <v>0.10481500000000001</v>
      </c>
      <c r="W3454">
        <v>0.16142409999999999</v>
      </c>
      <c r="X3454">
        <v>0.98130329999999999</v>
      </c>
      <c r="Y3454">
        <v>8.7506410000000007E-2</v>
      </c>
      <c r="Z3454">
        <v>-3.5340839999999998E-3</v>
      </c>
      <c r="AA3454">
        <v>0.99615770000000003</v>
      </c>
      <c r="AB3454">
        <v>38</v>
      </c>
      <c r="AC3454">
        <v>0.414899999999988</v>
      </c>
      <c r="AD3454">
        <v>-9.6123000000000097E-2</v>
      </c>
      <c r="AE3454">
        <v>-7.67999999999915E-2</v>
      </c>
      <c r="AF3454">
        <v>6.7414706881844394E-2</v>
      </c>
      <c r="AG3454">
        <v>-9.6123000000000097E-2</v>
      </c>
      <c r="AH3454">
        <v>0.39542545874224</v>
      </c>
      <c r="AI3454">
        <v>103.475685571757</v>
      </c>
      <c r="AJ3454">
        <v>80.324864788745302</v>
      </c>
      <c r="AK3454">
        <v>0.41248717223021097</v>
      </c>
      <c r="AL3454">
        <v>80.710434683916404</v>
      </c>
      <c r="AM3454">
        <v>83.903236819478707</v>
      </c>
      <c r="AN3454">
        <v>1.00000004543834</v>
      </c>
    </row>
    <row r="3455" spans="1:40" x14ac:dyDescent="0.25">
      <c r="A3455" t="str">
        <f>"20190312151055617"</f>
        <v>20190312151055617</v>
      </c>
      <c r="B3455" t="str">
        <f>"1552374655614838"</f>
        <v>1552374655614838</v>
      </c>
      <c r="C3455" t="s">
        <v>40</v>
      </c>
      <c r="D3455">
        <v>4.7887789999999999</v>
      </c>
      <c r="E3455">
        <v>0.49377599999999999</v>
      </c>
      <c r="F3455" t="s">
        <v>41</v>
      </c>
      <c r="G3455">
        <v>-246.5309</v>
      </c>
      <c r="H3455">
        <v>1.0192889999999999</v>
      </c>
      <c r="I3455">
        <v>214.68639999999999</v>
      </c>
      <c r="J3455">
        <v>-246.91540000000001</v>
      </c>
      <c r="K3455">
        <v>1.110277</v>
      </c>
      <c r="L3455">
        <v>214.75890000000001</v>
      </c>
      <c r="M3455">
        <v>0.99979929999999995</v>
      </c>
      <c r="N3455">
        <v>0</v>
      </c>
      <c r="O3455">
        <v>-1.4235879999999999E-2</v>
      </c>
      <c r="P3455">
        <v>0.98201970000000005</v>
      </c>
      <c r="Q3455">
        <v>0.14708640000000001</v>
      </c>
      <c r="R3455">
        <v>-0.1183352</v>
      </c>
      <c r="S3455">
        <v>3.0727540000000002</v>
      </c>
      <c r="T3455">
        <v>-0.36917909999999998</v>
      </c>
      <c r="U3455">
        <v>-0.31475829999999999</v>
      </c>
      <c r="V3455">
        <v>0.10438740000000001</v>
      </c>
      <c r="W3455">
        <v>0.1609159</v>
      </c>
      <c r="X3455">
        <v>0.98143230000000004</v>
      </c>
      <c r="Y3455">
        <v>8.7209339999999996E-2</v>
      </c>
      <c r="Z3455">
        <v>-3.507006E-3</v>
      </c>
      <c r="AA3455">
        <v>0.99618379999999995</v>
      </c>
      <c r="AB3455">
        <v>38</v>
      </c>
      <c r="AC3455">
        <v>0.38450000000000201</v>
      </c>
      <c r="AD3455">
        <v>-9.0987999999999999E-2</v>
      </c>
      <c r="AE3455">
        <v>-7.2500000000019299E-2</v>
      </c>
      <c r="AF3455">
        <v>6.3580258462421602E-2</v>
      </c>
      <c r="AG3455">
        <v>-9.0987999999999999E-2</v>
      </c>
      <c r="AH3455">
        <v>0.365716802977468</v>
      </c>
      <c r="AI3455">
        <v>103.772621442473</v>
      </c>
      <c r="AJ3455">
        <v>80.137639523360207</v>
      </c>
      <c r="AK3455">
        <v>0.38219111108214998</v>
      </c>
      <c r="AL3455">
        <v>80.739937754905995</v>
      </c>
      <c r="AM3455">
        <v>83.928714950937106</v>
      </c>
      <c r="AN3455">
        <v>1.00000000781742</v>
      </c>
    </row>
    <row r="3456" spans="1:40" x14ac:dyDescent="0.25">
      <c r="A3456" t="str">
        <f>"20190312151055641"</f>
        <v>20190312151055641</v>
      </c>
      <c r="B3456" t="str">
        <f>"1552374655634865"</f>
        <v>1552374655634865</v>
      </c>
      <c r="C3456" t="s">
        <v>40</v>
      </c>
      <c r="D3456">
        <v>4.7537900000000004</v>
      </c>
      <c r="E3456">
        <v>0.49371169999999998</v>
      </c>
      <c r="F3456" t="s">
        <v>41</v>
      </c>
      <c r="G3456">
        <v>-246.18809999999999</v>
      </c>
      <c r="H3456">
        <v>1.0253030000000001</v>
      </c>
      <c r="I3456">
        <v>214.68450000000001</v>
      </c>
      <c r="J3456">
        <v>-246.51900000000001</v>
      </c>
      <c r="K3456">
        <v>1.1102920000000001</v>
      </c>
      <c r="L3456">
        <v>214.75309999999999</v>
      </c>
      <c r="M3456">
        <v>0.99979839999999998</v>
      </c>
      <c r="N3456">
        <v>0</v>
      </c>
      <c r="O3456">
        <v>-1.430089E-2</v>
      </c>
      <c r="P3456">
        <v>0.98195770000000004</v>
      </c>
      <c r="Q3456">
        <v>0.14731359999999999</v>
      </c>
      <c r="R3456">
        <v>-0.11856750000000001</v>
      </c>
      <c r="S3456">
        <v>3.0708920000000002</v>
      </c>
      <c r="T3456">
        <v>-0.3589154</v>
      </c>
      <c r="U3456">
        <v>-0.31359860000000001</v>
      </c>
      <c r="V3456">
        <v>0.1045527</v>
      </c>
      <c r="W3456">
        <v>0.1611427</v>
      </c>
      <c r="X3456">
        <v>0.98137750000000001</v>
      </c>
      <c r="Y3456">
        <v>8.6863990000000002E-2</v>
      </c>
      <c r="Z3456">
        <v>-3.3846620000000001E-3</v>
      </c>
      <c r="AA3456">
        <v>0.99621440000000006</v>
      </c>
      <c r="AB3456">
        <v>38</v>
      </c>
      <c r="AC3456">
        <v>0.33090000000001402</v>
      </c>
      <c r="AD3456">
        <v>-8.4988999999999898E-2</v>
      </c>
      <c r="AE3456">
        <v>-6.8599999999975098E-2</v>
      </c>
      <c r="AF3456">
        <v>6.0061495280926899E-2</v>
      </c>
      <c r="AG3456">
        <v>-8.4988999999999898E-2</v>
      </c>
      <c r="AH3456">
        <v>0.312106729746081</v>
      </c>
      <c r="AI3456">
        <v>104.970701493238</v>
      </c>
      <c r="AJ3456">
        <v>79.107220122623502</v>
      </c>
      <c r="AK3456">
        <v>0.32900018858531699</v>
      </c>
      <c r="AL3456">
        <v>80.726771331825802</v>
      </c>
      <c r="AM3456">
        <v>83.918835888329895</v>
      </c>
      <c r="AN3456">
        <v>1.00000001717341</v>
      </c>
    </row>
    <row r="3457" spans="1:40" x14ac:dyDescent="0.25">
      <c r="A3457" t="str">
        <f>"20190312151055664"</f>
        <v>20190312151055664</v>
      </c>
      <c r="B3457" t="str">
        <f>"1552374655654386"</f>
        <v>1552374655654386</v>
      </c>
      <c r="C3457" t="s">
        <v>40</v>
      </c>
      <c r="D3457">
        <v>4.8008579999999998</v>
      </c>
      <c r="E3457">
        <v>0.49363620000000002</v>
      </c>
      <c r="F3457" t="s">
        <v>41</v>
      </c>
      <c r="G3457">
        <v>-245.5241</v>
      </c>
      <c r="H3457">
        <v>0.99632500000000002</v>
      </c>
      <c r="I3457">
        <v>214.65119999999999</v>
      </c>
      <c r="J3457">
        <v>-246.12989999999999</v>
      </c>
      <c r="K3457">
        <v>1.1103019999999999</v>
      </c>
      <c r="L3457">
        <v>214.7475</v>
      </c>
      <c r="M3457">
        <v>0.99979750000000001</v>
      </c>
      <c r="N3457">
        <v>0</v>
      </c>
      <c r="O3457">
        <v>-1.436143E-2</v>
      </c>
      <c r="P3457">
        <v>0.98194119999999996</v>
      </c>
      <c r="Q3457">
        <v>0.1473226</v>
      </c>
      <c r="R3457">
        <v>-0.11869150000000001</v>
      </c>
      <c r="S3457">
        <v>3.0699770000000002</v>
      </c>
      <c r="T3457">
        <v>-0.3517691</v>
      </c>
      <c r="U3457">
        <v>-0.31385800000000003</v>
      </c>
      <c r="V3457">
        <v>0.1046147</v>
      </c>
      <c r="W3457">
        <v>0.16115119999999999</v>
      </c>
      <c r="X3457">
        <v>0.98136950000000001</v>
      </c>
      <c r="Y3457">
        <v>8.6935860000000004E-2</v>
      </c>
      <c r="Z3457">
        <v>-3.3158739999999999E-3</v>
      </c>
      <c r="AA3457">
        <v>0.99620839999999999</v>
      </c>
      <c r="AB3457">
        <v>38</v>
      </c>
      <c r="AC3457">
        <v>0.60579999999998702</v>
      </c>
      <c r="AD3457">
        <v>-0.11397699999999999</v>
      </c>
      <c r="AE3457">
        <v>-9.6300000000013597E-2</v>
      </c>
      <c r="AF3457">
        <v>8.4665927992652407E-2</v>
      </c>
      <c r="AG3457">
        <v>-0.11397699999999999</v>
      </c>
      <c r="AH3457">
        <v>0.58685914419667595</v>
      </c>
      <c r="AI3457">
        <v>100.88096361227601</v>
      </c>
      <c r="AJ3457">
        <v>81.790604673482903</v>
      </c>
      <c r="AK3457">
        <v>0.60379030384655197</v>
      </c>
      <c r="AL3457">
        <v>80.726277895953103</v>
      </c>
      <c r="AM3457">
        <v>83.915207558423205</v>
      </c>
      <c r="AN3457">
        <v>1.0000000201238799</v>
      </c>
    </row>
    <row r="3458" spans="1:40" x14ac:dyDescent="0.25">
      <c r="A3458" t="str">
        <f>"20190312151055685"</f>
        <v>20190312151055685</v>
      </c>
      <c r="B3458" t="str">
        <f>"1552374655673906"</f>
        <v>1552374655673906</v>
      </c>
      <c r="C3458" t="s">
        <v>40</v>
      </c>
      <c r="D3458">
        <v>4.7586729999999999</v>
      </c>
      <c r="E3458">
        <v>0.4936934</v>
      </c>
      <c r="F3458" t="s">
        <v>41</v>
      </c>
      <c r="G3458">
        <v>-245.18170000000001</v>
      </c>
      <c r="H3458">
        <v>1.003317</v>
      </c>
      <c r="I3458">
        <v>214.65029999999999</v>
      </c>
      <c r="J3458">
        <v>-245.76390000000001</v>
      </c>
      <c r="K3458">
        <v>1.110309</v>
      </c>
      <c r="L3458">
        <v>214.7422</v>
      </c>
      <c r="M3458">
        <v>0.99979680000000004</v>
      </c>
      <c r="N3458">
        <v>0</v>
      </c>
      <c r="O3458">
        <v>-1.4417350000000001E-2</v>
      </c>
      <c r="P3458">
        <v>0.98194130000000002</v>
      </c>
      <c r="Q3458">
        <v>0.14716270000000001</v>
      </c>
      <c r="R3458">
        <v>-0.1188901</v>
      </c>
      <c r="S3458">
        <v>3.0691989999999998</v>
      </c>
      <c r="T3458">
        <v>-0.3463656</v>
      </c>
      <c r="U3458">
        <v>-0.31384279999999998</v>
      </c>
      <c r="V3458">
        <v>0.1047561</v>
      </c>
      <c r="W3458">
        <v>0.1609902</v>
      </c>
      <c r="X3458">
        <v>0.98138080000000005</v>
      </c>
      <c r="Y3458">
        <v>8.6915339999999994E-2</v>
      </c>
      <c r="Z3458">
        <v>-3.2586550000000001E-3</v>
      </c>
      <c r="AA3458">
        <v>0.99621040000000005</v>
      </c>
      <c r="AB3458">
        <v>38</v>
      </c>
      <c r="AC3458">
        <v>0.58220000000000005</v>
      </c>
      <c r="AD3458">
        <v>-0.106991999999999</v>
      </c>
      <c r="AE3458">
        <v>-9.1900000000009599E-2</v>
      </c>
      <c r="AF3458">
        <v>8.0832319349709497E-2</v>
      </c>
      <c r="AG3458">
        <v>-0.106991999999999</v>
      </c>
      <c r="AH3458">
        <v>0.56485207344326405</v>
      </c>
      <c r="AI3458">
        <v>100.61997434596201</v>
      </c>
      <c r="AJ3458">
        <v>81.856064143774205</v>
      </c>
      <c r="AK3458">
        <v>0.58055061518235296</v>
      </c>
      <c r="AL3458">
        <v>80.735624179933197</v>
      </c>
      <c r="AM3458">
        <v>83.907114643670099</v>
      </c>
      <c r="AN3458">
        <v>0.99999997979594402</v>
      </c>
    </row>
    <row r="3459" spans="1:40" x14ac:dyDescent="0.25">
      <c r="A3459" t="str">
        <f>"20190312151055708"</f>
        <v>20190312151055708</v>
      </c>
      <c r="B3459" t="str">
        <f>"1552374655704161"</f>
        <v>1552374655704161</v>
      </c>
      <c r="C3459" t="s">
        <v>40</v>
      </c>
      <c r="D3459">
        <v>4.7984850000000003</v>
      </c>
      <c r="E3459">
        <v>0.49388389999999999</v>
      </c>
      <c r="F3459" t="s">
        <v>41</v>
      </c>
      <c r="G3459">
        <v>-244.8417</v>
      </c>
      <c r="H3459">
        <v>1.0057480000000001</v>
      </c>
      <c r="I3459">
        <v>214.6474</v>
      </c>
      <c r="J3459">
        <v>-245.3878</v>
      </c>
      <c r="K3459">
        <v>1.1103130000000001</v>
      </c>
      <c r="L3459">
        <v>214.73670000000001</v>
      </c>
      <c r="M3459">
        <v>0.99979589999999996</v>
      </c>
      <c r="N3459">
        <v>0</v>
      </c>
      <c r="O3459">
        <v>-1.447448E-2</v>
      </c>
      <c r="P3459">
        <v>0.98195460000000001</v>
      </c>
      <c r="Q3459">
        <v>0.14695129999999901</v>
      </c>
      <c r="R3459">
        <v>-0.1190408</v>
      </c>
      <c r="S3459">
        <v>3.0692140000000001</v>
      </c>
      <c r="T3459">
        <v>-0.34805920000000001</v>
      </c>
      <c r="U3459">
        <v>-0.31486510000000001</v>
      </c>
      <c r="V3459">
        <v>0.10484889999999999</v>
      </c>
      <c r="W3459">
        <v>0.16077839999999999</v>
      </c>
      <c r="X3459">
        <v>0.98140559999999999</v>
      </c>
      <c r="Y3459">
        <v>8.7180560000000004E-2</v>
      </c>
      <c r="Z3459">
        <v>-3.2829309999999998E-3</v>
      </c>
      <c r="AA3459">
        <v>0.99618709999999999</v>
      </c>
      <c r="AB3459">
        <v>38</v>
      </c>
      <c r="AC3459">
        <v>0.54609999999999503</v>
      </c>
      <c r="AD3459">
        <v>-0.10456500000000001</v>
      </c>
      <c r="AE3459">
        <v>-8.9300000000008595E-2</v>
      </c>
      <c r="AF3459">
        <v>7.8579415016468507E-2</v>
      </c>
      <c r="AG3459">
        <v>-0.10456500000000001</v>
      </c>
      <c r="AH3459">
        <v>0.528464947751076</v>
      </c>
      <c r="AI3459">
        <v>101.073601420884</v>
      </c>
      <c r="AJ3459">
        <v>81.542446188773695</v>
      </c>
      <c r="AK3459">
        <v>0.54441139287387996</v>
      </c>
      <c r="AL3459">
        <v>80.747919491995205</v>
      </c>
      <c r="AM3459">
        <v>83.901910749487499</v>
      </c>
      <c r="AN3459">
        <v>0.99999996872456398</v>
      </c>
    </row>
    <row r="3460" spans="1:40" x14ac:dyDescent="0.25">
      <c r="A3460" t="str">
        <f>"20190312151055730"</f>
        <v>20190312151055730</v>
      </c>
      <c r="B3460" t="str">
        <f>"1552374655724191"</f>
        <v>1552374655724191</v>
      </c>
      <c r="C3460" t="s">
        <v>40</v>
      </c>
      <c r="D3460">
        <v>4.7968769999999896</v>
      </c>
      <c r="E3460">
        <v>0.49401659999999997</v>
      </c>
      <c r="F3460" t="s">
        <v>41</v>
      </c>
      <c r="G3460">
        <v>-244.50210000000001</v>
      </c>
      <c r="H3460">
        <v>1.008087</v>
      </c>
      <c r="I3460">
        <v>214.64519999999999</v>
      </c>
      <c r="J3460">
        <v>-245.0164</v>
      </c>
      <c r="K3460">
        <v>1.1103099999999999</v>
      </c>
      <c r="L3460">
        <v>214.7312</v>
      </c>
      <c r="M3460">
        <v>0.99979530000000005</v>
      </c>
      <c r="N3460">
        <v>0</v>
      </c>
      <c r="O3460">
        <v>-1.4531509999999999E-2</v>
      </c>
      <c r="P3460">
        <v>0.98194800000000004</v>
      </c>
      <c r="Q3460">
        <v>0.14658660000000001</v>
      </c>
      <c r="R3460">
        <v>-0.1195446</v>
      </c>
      <c r="S3460">
        <v>3.0697939999999999</v>
      </c>
      <c r="T3460">
        <v>-0.35440650000000001</v>
      </c>
      <c r="U3460">
        <v>-0.31669619999999998</v>
      </c>
      <c r="V3460">
        <v>0.1052954</v>
      </c>
      <c r="W3460">
        <v>0.16041229999999901</v>
      </c>
      <c r="X3460">
        <v>0.98141780000000001</v>
      </c>
      <c r="Y3460">
        <v>8.7673039999999994E-2</v>
      </c>
      <c r="Z3460">
        <v>-3.363404E-3</v>
      </c>
      <c r="AA3460">
        <v>0.99614360000000002</v>
      </c>
      <c r="AB3460">
        <v>38</v>
      </c>
      <c r="AC3460">
        <v>0.51429999999999099</v>
      </c>
      <c r="AD3460">
        <v>-0.102222999999999</v>
      </c>
      <c r="AE3460">
        <v>-8.6000000000012705E-2</v>
      </c>
      <c r="AF3460">
        <v>7.5610785950006698E-2</v>
      </c>
      <c r="AG3460">
        <v>-0.102222999999999</v>
      </c>
      <c r="AH3460">
        <v>0.49641745519939401</v>
      </c>
      <c r="AI3460">
        <v>101.506674149403</v>
      </c>
      <c r="AJ3460">
        <v>81.339674815380206</v>
      </c>
      <c r="AK3460">
        <v>0.512442018678816</v>
      </c>
      <c r="AL3460">
        <v>80.769172194464105</v>
      </c>
      <c r="AM3460">
        <v>83.876214435525398</v>
      </c>
      <c r="AN3460">
        <v>1.0000000627046399</v>
      </c>
    </row>
    <row r="3461" spans="1:40" x14ac:dyDescent="0.25">
      <c r="A3461" t="str">
        <f>"20190312151055752"</f>
        <v>20190312151055752</v>
      </c>
      <c r="B3461" t="str">
        <f>"1552374655744684"</f>
        <v>1552374655744684</v>
      </c>
      <c r="C3461" t="s">
        <v>40</v>
      </c>
      <c r="D3461">
        <v>4.8110670000000004</v>
      </c>
      <c r="E3461">
        <v>0.49413889999999999</v>
      </c>
      <c r="F3461" t="s">
        <v>41</v>
      </c>
      <c r="G3461">
        <v>-244.1627</v>
      </c>
      <c r="H3461">
        <v>1.010615</v>
      </c>
      <c r="I3461">
        <v>214.64240000000001</v>
      </c>
      <c r="J3461">
        <v>-244.64009999999999</v>
      </c>
      <c r="K3461">
        <v>1.110314</v>
      </c>
      <c r="L3461">
        <v>214.72569999999999</v>
      </c>
      <c r="M3461">
        <v>0.99979439999999997</v>
      </c>
      <c r="N3461">
        <v>0</v>
      </c>
      <c r="O3461">
        <v>-1.458975E-2</v>
      </c>
      <c r="P3461">
        <v>0.98199409999999998</v>
      </c>
      <c r="Q3461">
        <v>0.1464734</v>
      </c>
      <c r="R3461">
        <v>-0.1193048</v>
      </c>
      <c r="S3461">
        <v>3.0698699999999999</v>
      </c>
      <c r="T3461">
        <v>-0.35866890000000001</v>
      </c>
      <c r="U3461">
        <v>-0.3190308</v>
      </c>
      <c r="V3461">
        <v>0.104996699999999</v>
      </c>
      <c r="W3461">
        <v>0.16029839999999901</v>
      </c>
      <c r="X3461">
        <v>0.98146840000000002</v>
      </c>
      <c r="Y3461">
        <v>8.8346339999999995E-2</v>
      </c>
      <c r="Z3461">
        <v>-3.435708E-3</v>
      </c>
      <c r="AA3461">
        <v>0.99608390000000002</v>
      </c>
      <c r="AB3461">
        <v>38</v>
      </c>
      <c r="AC3461">
        <v>0.477399999999988</v>
      </c>
      <c r="AD3461">
        <v>-9.9698999999999899E-2</v>
      </c>
      <c r="AE3461">
        <v>-8.3299999999979904E-2</v>
      </c>
      <c r="AF3461">
        <v>7.3226040301378595E-2</v>
      </c>
      <c r="AG3461">
        <v>-9.9698999999999899E-2</v>
      </c>
      <c r="AH3461">
        <v>0.45913209437291402</v>
      </c>
      <c r="AI3461">
        <v>102.103018904884</v>
      </c>
      <c r="AJ3461">
        <v>80.938330891351598</v>
      </c>
      <c r="AK3461">
        <v>0.47550417838592901</v>
      </c>
      <c r="AL3461">
        <v>80.775783642608801</v>
      </c>
      <c r="AM3461">
        <v>83.893767282738494</v>
      </c>
      <c r="AN3461">
        <v>1.000000052126</v>
      </c>
    </row>
    <row r="3462" spans="1:40" x14ac:dyDescent="0.25">
      <c r="A3462" t="str">
        <f>"20190312151055774"</f>
        <v>20190312151055774</v>
      </c>
      <c r="B3462" t="str">
        <f>"1552374655764204"</f>
        <v>1552374655764204</v>
      </c>
      <c r="C3462" t="s">
        <v>40</v>
      </c>
      <c r="D3462">
        <v>4.8488949999999997</v>
      </c>
      <c r="E3462">
        <v>0.49423620000000001</v>
      </c>
      <c r="F3462" t="s">
        <v>41</v>
      </c>
      <c r="G3462">
        <v>-243.82320000000001</v>
      </c>
      <c r="H3462">
        <v>1.0138750000000001</v>
      </c>
      <c r="I3462">
        <v>214.64060000000001</v>
      </c>
      <c r="J3462">
        <v>-244.25710000000001</v>
      </c>
      <c r="K3462">
        <v>1.11032</v>
      </c>
      <c r="L3462">
        <v>214.72</v>
      </c>
      <c r="M3462">
        <v>0.99979340000000005</v>
      </c>
      <c r="N3462">
        <v>0</v>
      </c>
      <c r="O3462">
        <v>-1.4649300000000001E-2</v>
      </c>
      <c r="P3462">
        <v>0.98199729999999996</v>
      </c>
      <c r="Q3462">
        <v>0.1462175</v>
      </c>
      <c r="R3462">
        <v>-0.1195905</v>
      </c>
      <c r="S3462">
        <v>3.0702970000000001</v>
      </c>
      <c r="T3462">
        <v>-0.36253000000000002</v>
      </c>
      <c r="U3462">
        <v>-0.31929020000000002</v>
      </c>
      <c r="V3462">
        <v>0.105223</v>
      </c>
      <c r="W3462">
        <v>0.1600414</v>
      </c>
      <c r="X3462">
        <v>0.98148610000000003</v>
      </c>
      <c r="Y3462">
        <v>8.8345859999999998E-2</v>
      </c>
      <c r="Z3462">
        <v>-3.4649350000000002E-3</v>
      </c>
      <c r="AA3462">
        <v>0.99608390000000002</v>
      </c>
      <c r="AB3462">
        <v>38</v>
      </c>
      <c r="AC3462">
        <v>0.43389999999999401</v>
      </c>
      <c r="AD3462">
        <v>-9.6444999999999795E-2</v>
      </c>
      <c r="AE3462">
        <v>-7.9399999999992504E-2</v>
      </c>
      <c r="AF3462">
        <v>6.9702376270168107E-2</v>
      </c>
      <c r="AG3462">
        <v>-9.6444999999999795E-2</v>
      </c>
      <c r="AH3462">
        <v>0.41516942251196798</v>
      </c>
      <c r="AI3462">
        <v>102.90358635184499</v>
      </c>
      <c r="AJ3462">
        <v>80.469550002520293</v>
      </c>
      <c r="AK3462">
        <v>0.43188622190529502</v>
      </c>
      <c r="AL3462">
        <v>80.790701203665705</v>
      </c>
      <c r="AM3462">
        <v>83.8808157471844</v>
      </c>
      <c r="AN3462">
        <v>1.0000000469680801</v>
      </c>
    </row>
    <row r="3463" spans="1:40" x14ac:dyDescent="0.25">
      <c r="A3463" t="str">
        <f>"20190312151055796"</f>
        <v>20190312151055796</v>
      </c>
      <c r="B3463" t="str">
        <f>"1552374655784700"</f>
        <v>1552374655784700</v>
      </c>
      <c r="C3463" t="s">
        <v>40</v>
      </c>
      <c r="D3463">
        <v>4.846463</v>
      </c>
      <c r="E3463">
        <v>0.4943092</v>
      </c>
      <c r="F3463" t="s">
        <v>41</v>
      </c>
      <c r="G3463">
        <v>-243.48339999999999</v>
      </c>
      <c r="H3463">
        <v>1.018078</v>
      </c>
      <c r="I3463">
        <v>214.63890000000001</v>
      </c>
      <c r="J3463">
        <v>-243.88810000000001</v>
      </c>
      <c r="K3463">
        <v>1.1103190000000001</v>
      </c>
      <c r="L3463">
        <v>214.71459999999999</v>
      </c>
      <c r="M3463">
        <v>0.99979260000000003</v>
      </c>
      <c r="N3463">
        <v>0</v>
      </c>
      <c r="O3463">
        <v>-1.4707080000000001E-2</v>
      </c>
      <c r="P3463">
        <v>0.98204170000000002</v>
      </c>
      <c r="Q3463">
        <v>0.1460225</v>
      </c>
      <c r="R3463">
        <v>-0.11946370000000001</v>
      </c>
      <c r="S3463">
        <v>3.0703580000000001</v>
      </c>
      <c r="T3463">
        <v>-0.36620150000000001</v>
      </c>
      <c r="U3463">
        <v>-0.32136540000000002</v>
      </c>
      <c r="V3463">
        <v>0.1050379</v>
      </c>
      <c r="W3463">
        <v>0.15984509999999999</v>
      </c>
      <c r="X3463">
        <v>0.98153789999999996</v>
      </c>
      <c r="Y3463">
        <v>8.8938290000000003E-2</v>
      </c>
      <c r="Z3463">
        <v>-3.5278599999999999E-3</v>
      </c>
      <c r="AA3463">
        <v>0.99603090000000005</v>
      </c>
      <c r="AB3463">
        <v>38</v>
      </c>
      <c r="AC3463">
        <v>0.40470000000001899</v>
      </c>
      <c r="AD3463">
        <v>-9.2241000000000004E-2</v>
      </c>
      <c r="AE3463">
        <v>-7.5699999999983406E-2</v>
      </c>
      <c r="AF3463">
        <v>6.6406120287066994E-2</v>
      </c>
      <c r="AG3463">
        <v>-9.2241000000000004E-2</v>
      </c>
      <c r="AH3463">
        <v>0.38637614912602197</v>
      </c>
      <c r="AI3463">
        <v>103.239967665295</v>
      </c>
      <c r="AJ3463">
        <v>80.247903508491703</v>
      </c>
      <c r="AK3463">
        <v>0.40274645064362102</v>
      </c>
      <c r="AL3463">
        <v>80.802094914988103</v>
      </c>
      <c r="AM3463">
        <v>83.891818614265802</v>
      </c>
      <c r="AN3463">
        <v>1.00000003278341</v>
      </c>
    </row>
    <row r="3464" spans="1:40" x14ac:dyDescent="0.25">
      <c r="A3464" t="str">
        <f>"20190312151055819"</f>
        <v>20190312151055819</v>
      </c>
      <c r="B3464" t="str">
        <f>"1552374655813980"</f>
        <v>1552374655813980</v>
      </c>
      <c r="C3464" t="s">
        <v>40</v>
      </c>
      <c r="D3464">
        <v>4.9491259999999997</v>
      </c>
      <c r="E3464">
        <v>0.49436790000000003</v>
      </c>
      <c r="F3464" t="s">
        <v>41</v>
      </c>
      <c r="G3464">
        <v>-243.1446</v>
      </c>
      <c r="H3464">
        <v>1.0209060000000001</v>
      </c>
      <c r="I3464">
        <v>214.63640000000001</v>
      </c>
      <c r="J3464">
        <v>-243.50399999999999</v>
      </c>
      <c r="K3464">
        <v>1.110317</v>
      </c>
      <c r="L3464">
        <v>214.7089</v>
      </c>
      <c r="M3464">
        <v>0.99979189999999996</v>
      </c>
      <c r="N3464">
        <v>0</v>
      </c>
      <c r="O3464">
        <v>-1.4767010000000001E-2</v>
      </c>
      <c r="P3464">
        <v>0.9820622</v>
      </c>
      <c r="Q3464">
        <v>0.1462533</v>
      </c>
      <c r="R3464">
        <v>-0.1190145</v>
      </c>
      <c r="S3464">
        <v>3.0706630000000001</v>
      </c>
      <c r="T3464">
        <v>-0.36946400000000001</v>
      </c>
      <c r="U3464">
        <v>-0.32163999999999998</v>
      </c>
      <c r="V3464">
        <v>0.1045291</v>
      </c>
      <c r="W3464">
        <v>0.1600743</v>
      </c>
      <c r="X3464">
        <v>0.98155479999999995</v>
      </c>
      <c r="Y3464">
        <v>8.8947650000000003E-2</v>
      </c>
      <c r="Z3464">
        <v>-3.5520980000000001E-3</v>
      </c>
      <c r="AA3464">
        <v>0.99602999999999997</v>
      </c>
      <c r="AB3464">
        <v>38</v>
      </c>
      <c r="AC3464">
        <v>0.35940000000002198</v>
      </c>
      <c r="AD3464">
        <v>-8.9411000000000102E-2</v>
      </c>
      <c r="AE3464">
        <v>-7.2499999999990905E-2</v>
      </c>
      <c r="AF3464">
        <v>6.3413082993342404E-2</v>
      </c>
      <c r="AG3464">
        <v>-8.9411000000000102E-2</v>
      </c>
      <c r="AH3464">
        <v>0.340199606243411</v>
      </c>
      <c r="AI3464">
        <v>104.486652756193</v>
      </c>
      <c r="AJ3464">
        <v>79.441261827178593</v>
      </c>
      <c r="AK3464">
        <v>0.35742316391623602</v>
      </c>
      <c r="AL3464">
        <v>80.7887908360224</v>
      </c>
      <c r="AM3464">
        <v>83.921288250380499</v>
      </c>
      <c r="AN3464">
        <v>0.99999996983516903</v>
      </c>
    </row>
    <row r="3465" spans="1:40" x14ac:dyDescent="0.25">
      <c r="A3465" t="str">
        <f>"20190312151055842"</f>
        <v>20190312151055842</v>
      </c>
      <c r="B3465" t="str">
        <f>"1552374655834476"</f>
        <v>1552374655834476</v>
      </c>
      <c r="C3465" t="s">
        <v>40</v>
      </c>
      <c r="D3465">
        <v>4.8384640000000001</v>
      </c>
      <c r="E3465">
        <v>0.49443819999999999</v>
      </c>
      <c r="F3465" t="s">
        <v>41</v>
      </c>
      <c r="G3465">
        <v>-242.48750000000001</v>
      </c>
      <c r="H3465">
        <v>0.98744949999999998</v>
      </c>
      <c r="I3465">
        <v>214.60230000000001</v>
      </c>
      <c r="J3465">
        <v>-243.11600000000001</v>
      </c>
      <c r="K3465">
        <v>1.110317</v>
      </c>
      <c r="L3465">
        <v>214.70310000000001</v>
      </c>
      <c r="M3465">
        <v>0.99979099999999999</v>
      </c>
      <c r="N3465">
        <v>0</v>
      </c>
      <c r="O3465">
        <v>-1.482526E-2</v>
      </c>
      <c r="P3465">
        <v>0.98201989999999995</v>
      </c>
      <c r="Q3465">
        <v>0.14653239999999901</v>
      </c>
      <c r="R3465">
        <v>-0.11901680000000001</v>
      </c>
      <c r="S3465">
        <v>3.0711360000000001</v>
      </c>
      <c r="T3465">
        <v>-0.3712858</v>
      </c>
      <c r="U3465">
        <v>-0.32128909999999899</v>
      </c>
      <c r="V3465">
        <v>0.1044747</v>
      </c>
      <c r="W3465">
        <v>0.1603511</v>
      </c>
      <c r="X3465">
        <v>0.98151549999999999</v>
      </c>
      <c r="Y3465">
        <v>8.8757870000000003E-2</v>
      </c>
      <c r="Z3465">
        <v>-3.5505710000000002E-3</v>
      </c>
      <c r="AA3465">
        <v>0.99604689999999996</v>
      </c>
      <c r="AB3465">
        <v>38</v>
      </c>
      <c r="AC3465">
        <v>0.62849999999997397</v>
      </c>
      <c r="AD3465">
        <v>-0.12286749999999901</v>
      </c>
      <c r="AE3465">
        <v>-0.10079999999999199</v>
      </c>
      <c r="AF3465">
        <v>8.8184630742281098E-2</v>
      </c>
      <c r="AG3465">
        <v>-0.12286749999999901</v>
      </c>
      <c r="AH3465">
        <v>0.60729800334822903</v>
      </c>
      <c r="AI3465">
        <v>101.321967793704</v>
      </c>
      <c r="AJ3465">
        <v>81.737931550472894</v>
      </c>
      <c r="AK3465">
        <v>0.62584647999820897</v>
      </c>
      <c r="AL3465">
        <v>80.772724633988105</v>
      </c>
      <c r="AM3465">
        <v>83.924186675494795</v>
      </c>
      <c r="AN3465">
        <v>1.0000000574757699</v>
      </c>
    </row>
    <row r="3466" spans="1:40" x14ac:dyDescent="0.25">
      <c r="A3466" t="str">
        <f>"20190312151055864"</f>
        <v>20190312151055864</v>
      </c>
      <c r="B3466" t="str">
        <f>"1552374655853997"</f>
        <v>1552374655853997</v>
      </c>
      <c r="C3466" t="s">
        <v>40</v>
      </c>
      <c r="D3466">
        <v>4.8910530000000003</v>
      </c>
      <c r="E3466">
        <v>0.49455900000000003</v>
      </c>
      <c r="F3466" t="s">
        <v>41</v>
      </c>
      <c r="G3466">
        <v>-242.1481</v>
      </c>
      <c r="H3466">
        <v>0.99294760000000004</v>
      </c>
      <c r="I3466">
        <v>214.60159999999999</v>
      </c>
      <c r="J3466">
        <v>-242.73949999999999</v>
      </c>
      <c r="K3466">
        <v>1.1103160000000001</v>
      </c>
      <c r="L3466">
        <v>214.69749999999999</v>
      </c>
      <c r="M3466">
        <v>0.99979010000000001</v>
      </c>
      <c r="N3466">
        <v>0</v>
      </c>
      <c r="O3466">
        <v>-1.487992E-2</v>
      </c>
      <c r="P3466">
        <v>0.98202739999999999</v>
      </c>
      <c r="Q3466">
        <v>0.14640239999999999</v>
      </c>
      <c r="R3466">
        <v>-0.119115899999999</v>
      </c>
      <c r="S3466">
        <v>3.0715029999999999</v>
      </c>
      <c r="T3466">
        <v>-0.37253059999999899</v>
      </c>
      <c r="U3466">
        <v>-0.32165529999999998</v>
      </c>
      <c r="V3466">
        <v>0.1045188</v>
      </c>
      <c r="W3466">
        <v>0.16022030000000001</v>
      </c>
      <c r="X3466">
        <v>0.98153210000000002</v>
      </c>
      <c r="Y3466">
        <v>8.8805220000000004E-2</v>
      </c>
      <c r="Z3466">
        <v>-3.558215E-3</v>
      </c>
      <c r="AA3466">
        <v>0.99604269999999995</v>
      </c>
      <c r="AB3466">
        <v>38</v>
      </c>
      <c r="AC3466">
        <v>0.59139999999999204</v>
      </c>
      <c r="AD3466">
        <v>-0.1173684</v>
      </c>
      <c r="AE3466">
        <v>-9.5900000000000304E-2</v>
      </c>
      <c r="AF3466">
        <v>8.3869875130385699E-2</v>
      </c>
      <c r="AG3466">
        <v>-0.1173684</v>
      </c>
      <c r="AH3466">
        <v>0.57085414684911095</v>
      </c>
      <c r="AI3466">
        <v>101.498094553003</v>
      </c>
      <c r="AJ3466">
        <v>81.641901243741799</v>
      </c>
      <c r="AK3466">
        <v>0.58879873832046603</v>
      </c>
      <c r="AL3466">
        <v>80.780316493845703</v>
      </c>
      <c r="AM3466">
        <v>83.921743228420198</v>
      </c>
      <c r="AN3466">
        <v>0.99999999370796999</v>
      </c>
    </row>
    <row r="3467" spans="1:40" x14ac:dyDescent="0.25">
      <c r="A3467" t="str">
        <f>"20190312151055886"</f>
        <v>20190312151055886</v>
      </c>
      <c r="B3467" t="str">
        <f>"1552374655874492"</f>
        <v>1552374655874492</v>
      </c>
      <c r="C3467" t="s">
        <v>40</v>
      </c>
      <c r="D3467">
        <v>4.9232860000000001</v>
      </c>
      <c r="E3467">
        <v>0.49468869999999998</v>
      </c>
      <c r="F3467" t="s">
        <v>41</v>
      </c>
      <c r="G3467">
        <v>-241.8099</v>
      </c>
      <c r="H3467">
        <v>0.99670219999999998</v>
      </c>
      <c r="I3467">
        <v>214.59979999999999</v>
      </c>
      <c r="J3467">
        <v>-242.3817</v>
      </c>
      <c r="K3467">
        <v>1.1103190000000001</v>
      </c>
      <c r="L3467">
        <v>214.69210000000001</v>
      </c>
      <c r="M3467">
        <v>0.9997895</v>
      </c>
      <c r="N3467">
        <v>0</v>
      </c>
      <c r="O3467">
        <v>-1.4931130000000001E-2</v>
      </c>
      <c r="P3467">
        <v>0.98206899999999997</v>
      </c>
      <c r="Q3467">
        <v>0.1461895</v>
      </c>
      <c r="R3467">
        <v>-0.119036</v>
      </c>
      <c r="S3467">
        <v>3.0718380000000001</v>
      </c>
      <c r="T3467">
        <v>-0.3755906</v>
      </c>
      <c r="U3467">
        <v>-0.3220673</v>
      </c>
      <c r="V3467">
        <v>0.1043872</v>
      </c>
      <c r="W3467">
        <v>0.16000610000000001</v>
      </c>
      <c r="X3467">
        <v>0.98158100000000004</v>
      </c>
      <c r="Y3467">
        <v>8.8866319999999999E-2</v>
      </c>
      <c r="Z3467">
        <v>-3.5843110000000002E-3</v>
      </c>
      <c r="AA3467">
        <v>0.99603710000000001</v>
      </c>
      <c r="AB3467">
        <v>38</v>
      </c>
      <c r="AC3467">
        <v>0.57179999999999598</v>
      </c>
      <c r="AD3467">
        <v>-0.1136168</v>
      </c>
      <c r="AE3467">
        <v>-9.2300000000022905E-2</v>
      </c>
      <c r="AF3467">
        <v>8.06479770123434E-2</v>
      </c>
      <c r="AG3467">
        <v>-0.1136168</v>
      </c>
      <c r="AH3467">
        <v>0.55187869814183699</v>
      </c>
      <c r="AI3467">
        <v>101.51413143638899</v>
      </c>
      <c r="AJ3467">
        <v>81.686014468236095</v>
      </c>
      <c r="AK3467">
        <v>0.56919502009517997</v>
      </c>
      <c r="AL3467">
        <v>80.792749244355093</v>
      </c>
      <c r="AM3467">
        <v>83.929639367569393</v>
      </c>
      <c r="AN3467">
        <v>0.999999949561023</v>
      </c>
    </row>
    <row r="3468" spans="1:40" x14ac:dyDescent="0.25">
      <c r="A3468" t="str">
        <f>"20190312151055908"</f>
        <v>20190312151055908</v>
      </c>
      <c r="B3468" t="str">
        <f>"1552374655904748"</f>
        <v>1552374655904748</v>
      </c>
      <c r="C3468" t="s">
        <v>40</v>
      </c>
      <c r="D3468">
        <v>4.915673</v>
      </c>
      <c r="E3468">
        <v>0.49479889999999999</v>
      </c>
      <c r="F3468" t="s">
        <v>41</v>
      </c>
      <c r="G3468">
        <v>-241.47300000000001</v>
      </c>
      <c r="H3468">
        <v>0.99832920000000003</v>
      </c>
      <c r="I3468">
        <v>214.59649999999999</v>
      </c>
      <c r="J3468">
        <v>-242.00640000000001</v>
      </c>
      <c r="K3468">
        <v>1.1103209999999999</v>
      </c>
      <c r="L3468">
        <v>214.68639999999999</v>
      </c>
      <c r="M3468">
        <v>0.99978889999999998</v>
      </c>
      <c r="N3468">
        <v>0</v>
      </c>
      <c r="O3468">
        <v>-1.498233E-2</v>
      </c>
      <c r="P3468">
        <v>0.98205200000000004</v>
      </c>
      <c r="Q3468">
        <v>0.14601449999999999</v>
      </c>
      <c r="R3468">
        <v>-0.1193911</v>
      </c>
      <c r="S3468">
        <v>3.07193</v>
      </c>
      <c r="T3468">
        <v>-0.37861810000000001</v>
      </c>
      <c r="U3468">
        <v>-0.32327270000000002</v>
      </c>
      <c r="V3468">
        <v>0.1046911</v>
      </c>
      <c r="W3468">
        <v>0.15982959999999999</v>
      </c>
      <c r="X3468">
        <v>0.98157749999999999</v>
      </c>
      <c r="Y3468">
        <v>8.9188080000000003E-2</v>
      </c>
      <c r="Z3468">
        <v>-3.6262429999999999E-3</v>
      </c>
      <c r="AA3468">
        <v>0.99600820000000001</v>
      </c>
      <c r="AB3468">
        <v>38</v>
      </c>
      <c r="AC3468">
        <v>0.53340000000002796</v>
      </c>
      <c r="AD3468">
        <v>-0.111991799999999</v>
      </c>
      <c r="AE3468">
        <v>-8.9899999999999994E-2</v>
      </c>
      <c r="AF3468">
        <v>7.8531306668227593E-2</v>
      </c>
      <c r="AG3468">
        <v>-0.111991799999999</v>
      </c>
      <c r="AH3468">
        <v>0.512709908315787</v>
      </c>
      <c r="AI3468">
        <v>102.18387392999</v>
      </c>
      <c r="AJ3468">
        <v>81.291737917281907</v>
      </c>
      <c r="AK3468">
        <v>0.53064185613221404</v>
      </c>
      <c r="AL3468">
        <v>80.802994799778006</v>
      </c>
      <c r="AM3468">
        <v>83.912077848310105</v>
      </c>
      <c r="AN3468">
        <v>1.0000000579807999</v>
      </c>
    </row>
    <row r="3469" spans="1:40" x14ac:dyDescent="0.25">
      <c r="A3469" t="str">
        <f>"20190312151055931"</f>
        <v>20190312151055931</v>
      </c>
      <c r="B3469" t="str">
        <f>"1552374655924268"</f>
        <v>1552374655924268</v>
      </c>
      <c r="C3469" t="s">
        <v>40</v>
      </c>
      <c r="D3469">
        <v>4.9205769999999998</v>
      </c>
      <c r="E3469">
        <v>0.49486540000000001</v>
      </c>
      <c r="F3469" t="s">
        <v>41</v>
      </c>
      <c r="G3469">
        <v>-241.1354</v>
      </c>
      <c r="H3469">
        <v>1.0019739999999999</v>
      </c>
      <c r="I3469">
        <v>214.59389999999999</v>
      </c>
      <c r="J3469">
        <v>-241.62530000000001</v>
      </c>
      <c r="K3469">
        <v>1.1103270000000001</v>
      </c>
      <c r="L3469">
        <v>214.6807</v>
      </c>
      <c r="M3469">
        <v>0.99978820000000002</v>
      </c>
      <c r="N3469">
        <v>0</v>
      </c>
      <c r="O3469">
        <v>-1.502826E-2</v>
      </c>
      <c r="P3469">
        <v>0.98201340000000004</v>
      </c>
      <c r="Q3469">
        <v>0.14582100000000001</v>
      </c>
      <c r="R3469">
        <v>-0.1199422</v>
      </c>
      <c r="S3469">
        <v>3.0720670000000001</v>
      </c>
      <c r="T3469">
        <v>-0.38225769999999998</v>
      </c>
      <c r="U3469">
        <v>-0.32566830000000002</v>
      </c>
      <c r="V3469">
        <v>0.1051961</v>
      </c>
      <c r="W3469">
        <v>0.1596342</v>
      </c>
      <c r="X3469">
        <v>0.98155519999999996</v>
      </c>
      <c r="Y3469">
        <v>8.9890230000000002E-2</v>
      </c>
      <c r="Z3469">
        <v>-3.6982529999999999E-3</v>
      </c>
      <c r="AA3469">
        <v>0.99594479999999996</v>
      </c>
      <c r="AB3469">
        <v>38</v>
      </c>
      <c r="AC3469">
        <v>0.489900000000005</v>
      </c>
      <c r="AD3469">
        <v>-0.108353</v>
      </c>
      <c r="AE3469">
        <v>-8.6800000000010799E-2</v>
      </c>
      <c r="AF3469">
        <v>7.5830562850706898E-2</v>
      </c>
      <c r="AG3469">
        <v>-0.108353</v>
      </c>
      <c r="AH3469">
        <v>0.46890938868895898</v>
      </c>
      <c r="AI3469">
        <v>102.849924302061</v>
      </c>
      <c r="AJ3469">
        <v>80.813834345337199</v>
      </c>
      <c r="AK3469">
        <v>0.48720289579589798</v>
      </c>
      <c r="AL3469">
        <v>80.814335046878696</v>
      </c>
      <c r="AM3469">
        <v>83.882795644135598</v>
      </c>
      <c r="AN3469">
        <v>0.99999995395594299</v>
      </c>
    </row>
    <row r="3470" spans="1:40" x14ac:dyDescent="0.25">
      <c r="A3470" t="str">
        <f>"20190312151055953"</f>
        <v>20190312151055953</v>
      </c>
      <c r="B3470" t="str">
        <f>"1552374655944764"</f>
        <v>1552374655944764</v>
      </c>
      <c r="C3470" t="s">
        <v>40</v>
      </c>
      <c r="D3470">
        <v>4.949541</v>
      </c>
      <c r="E3470">
        <v>0.51222089999999998</v>
      </c>
      <c r="F3470" t="s">
        <v>41</v>
      </c>
      <c r="G3470">
        <v>-240.79750000000001</v>
      </c>
      <c r="H3470">
        <v>1.006632</v>
      </c>
      <c r="I3470">
        <v>214.59219999999999</v>
      </c>
      <c r="J3470">
        <v>-241.2576</v>
      </c>
      <c r="K3470">
        <v>1.1103350000000001</v>
      </c>
      <c r="L3470">
        <v>214.67509999999999</v>
      </c>
      <c r="M3470">
        <v>0.99978769999999995</v>
      </c>
      <c r="N3470">
        <v>0</v>
      </c>
      <c r="O3470">
        <v>-1.5062580000000001E-2</v>
      </c>
      <c r="P3470">
        <v>0.98196170000000005</v>
      </c>
      <c r="Q3470">
        <v>0.14576720000000001</v>
      </c>
      <c r="R3470">
        <v>-0.1204306</v>
      </c>
      <c r="S3470">
        <v>3.0720369999999999</v>
      </c>
      <c r="T3470">
        <v>-0.38490220000000003</v>
      </c>
      <c r="U3470">
        <v>-0.32803339999999998</v>
      </c>
      <c r="V3470">
        <v>0.1056488</v>
      </c>
      <c r="W3470">
        <v>0.15957959999999999</v>
      </c>
      <c r="X3470">
        <v>0.98151549999999999</v>
      </c>
      <c r="Y3470">
        <v>9.0602160000000001E-2</v>
      </c>
      <c r="Z3470">
        <v>-3.763565E-3</v>
      </c>
      <c r="AA3470">
        <v>0.99588010000000005</v>
      </c>
      <c r="AB3470">
        <v>38</v>
      </c>
      <c r="AC3470">
        <v>0.46009999999998202</v>
      </c>
      <c r="AD3470">
        <v>-0.103703</v>
      </c>
      <c r="AE3470">
        <v>-8.2899999999995005E-2</v>
      </c>
      <c r="AF3470">
        <v>7.2397353196381006E-2</v>
      </c>
      <c r="AG3470">
        <v>-0.103703</v>
      </c>
      <c r="AH3470">
        <v>0.43966327446292203</v>
      </c>
      <c r="AI3470">
        <v>103.101504818723</v>
      </c>
      <c r="AJ3470">
        <v>80.649275896114204</v>
      </c>
      <c r="AK3470">
        <v>0.45749260526296998</v>
      </c>
      <c r="AL3470">
        <v>80.817504421377095</v>
      </c>
      <c r="AM3470">
        <v>83.856425206452499</v>
      </c>
      <c r="AN3470">
        <v>0.99999999720892396</v>
      </c>
    </row>
    <row r="3471" spans="1:40" x14ac:dyDescent="0.25">
      <c r="A3471" t="str">
        <f>"20190312151055975"</f>
        <v>20190312151055975</v>
      </c>
      <c r="B3471" t="str">
        <f>"1552374655964285"</f>
        <v>1552374655964285</v>
      </c>
      <c r="C3471" t="s">
        <v>40</v>
      </c>
      <c r="D3471">
        <v>4.9351059999999896</v>
      </c>
      <c r="E3471">
        <v>0.51585800000000004</v>
      </c>
      <c r="F3471" t="s">
        <v>41</v>
      </c>
      <c r="G3471">
        <v>-240.46190000000001</v>
      </c>
      <c r="H3471">
        <v>1.0078020000000001</v>
      </c>
      <c r="I3471">
        <v>214.55350000000001</v>
      </c>
      <c r="J3471">
        <v>-240.8758</v>
      </c>
      <c r="K3471">
        <v>1.1103510000000001</v>
      </c>
      <c r="L3471">
        <v>214.66929999999999</v>
      </c>
      <c r="M3471">
        <v>0.99978719999999999</v>
      </c>
      <c r="N3471">
        <v>0</v>
      </c>
      <c r="O3471">
        <v>-1.508779E-2</v>
      </c>
      <c r="P3471">
        <v>0.9819369</v>
      </c>
      <c r="Q3471">
        <v>0.14563509999999999</v>
      </c>
      <c r="R3471">
        <v>-0.1207915</v>
      </c>
      <c r="S3471">
        <v>3.0563349999999998</v>
      </c>
      <c r="T3471">
        <v>-0.39383570000000001</v>
      </c>
      <c r="U3471">
        <v>-0.4666748</v>
      </c>
      <c r="V3471">
        <v>0.1059816</v>
      </c>
      <c r="W3471">
        <v>0.159447799999999</v>
      </c>
      <c r="X3471">
        <v>0.98150099999999996</v>
      </c>
      <c r="Y3471">
        <v>0.135039299999999</v>
      </c>
      <c r="Z3471">
        <v>-6.6906029999999998E-3</v>
      </c>
      <c r="AA3471">
        <v>0.99081770000000002</v>
      </c>
      <c r="AB3471">
        <v>38</v>
      </c>
      <c r="AC3471">
        <v>0.413899999999984</v>
      </c>
      <c r="AD3471">
        <v>-0.102549</v>
      </c>
      <c r="AE3471">
        <v>-0.115799999999978</v>
      </c>
      <c r="AF3471">
        <v>0.103641061874149</v>
      </c>
      <c r="AG3471">
        <v>-0.102549</v>
      </c>
      <c r="AH3471">
        <v>0.39321446284565698</v>
      </c>
      <c r="AI3471">
        <v>104.153951982823</v>
      </c>
      <c r="AJ3471">
        <v>75.234148881089396</v>
      </c>
      <c r="AK3471">
        <v>0.41937498840345699</v>
      </c>
      <c r="AL3471">
        <v>80.825153577339705</v>
      </c>
      <c r="AM3471">
        <v>83.837130925297501</v>
      </c>
      <c r="AN3471">
        <v>0.99999995673219899</v>
      </c>
    </row>
    <row r="3472" spans="1:40" x14ac:dyDescent="0.25">
      <c r="A3472" t="str">
        <f>"20190312151055997"</f>
        <v>20190312151055997</v>
      </c>
      <c r="B3472" t="str">
        <f>"1552374655994540"</f>
        <v>1552374655994540</v>
      </c>
      <c r="C3472" t="s">
        <v>40</v>
      </c>
      <c r="D3472">
        <v>4.8997549999999999</v>
      </c>
      <c r="E3472">
        <v>0.51771</v>
      </c>
      <c r="F3472" t="s">
        <v>41</v>
      </c>
      <c r="G3472">
        <v>-240.1234</v>
      </c>
      <c r="H3472">
        <v>1.01488</v>
      </c>
      <c r="I3472">
        <v>214.54689999999999</v>
      </c>
      <c r="J3472">
        <v>-240.51089999999999</v>
      </c>
      <c r="K3472">
        <v>1.110366</v>
      </c>
      <c r="L3472">
        <v>214.66380000000001</v>
      </c>
      <c r="M3472">
        <v>0.99978710000000004</v>
      </c>
      <c r="N3472">
        <v>0</v>
      </c>
      <c r="O3472">
        <v>-1.51036E-2</v>
      </c>
      <c r="P3472">
        <v>0.98185120000000004</v>
      </c>
      <c r="Q3472">
        <v>0.14557999999999999</v>
      </c>
      <c r="R3472">
        <v>-0.12155340000000001</v>
      </c>
      <c r="S3472">
        <v>3.0515750000000001</v>
      </c>
      <c r="T3472">
        <v>-0.3872544</v>
      </c>
      <c r="U3472">
        <v>-0.49630740000000001</v>
      </c>
      <c r="V3472">
        <v>0.106725399999999</v>
      </c>
      <c r="W3472">
        <v>0.1593918</v>
      </c>
      <c r="X3472">
        <v>0.98142949999999995</v>
      </c>
      <c r="Y3472">
        <v>0.14459179999999999</v>
      </c>
      <c r="Z3472">
        <v>-7.1827089999999998E-3</v>
      </c>
      <c r="AA3472">
        <v>0.98946529999999999</v>
      </c>
      <c r="AB3472">
        <v>37</v>
      </c>
      <c r="AC3472">
        <v>0.38749999999998802</v>
      </c>
      <c r="AD3472">
        <v>-9.5485999999999904E-2</v>
      </c>
      <c r="AE3472">
        <v>-0.11690000000001501</v>
      </c>
      <c r="AF3472">
        <v>0.10517962243144501</v>
      </c>
      <c r="AG3472">
        <v>-9.5485999999999904E-2</v>
      </c>
      <c r="AH3472">
        <v>0.36870134393609799</v>
      </c>
      <c r="AI3472">
        <v>103.98467537626099</v>
      </c>
      <c r="AJ3472">
        <v>74.078114061197994</v>
      </c>
      <c r="AK3472">
        <v>0.39512151319702399</v>
      </c>
      <c r="AL3472">
        <v>80.828403739429007</v>
      </c>
      <c r="AM3472">
        <v>83.793766417209198</v>
      </c>
      <c r="AN3472">
        <v>0.99999996019132398</v>
      </c>
    </row>
    <row r="3473" spans="1:40" x14ac:dyDescent="0.25">
      <c r="A3473" t="str">
        <f>"20190312151056020"</f>
        <v>20190312151056020</v>
      </c>
      <c r="B3473" t="str">
        <f>"1552374656014060"</f>
        <v>1552374656014060</v>
      </c>
      <c r="C3473" t="s">
        <v>40</v>
      </c>
      <c r="D3473">
        <v>4.9512320000000001</v>
      </c>
      <c r="E3473">
        <v>0.51820869999999997</v>
      </c>
      <c r="F3473" t="s">
        <v>41</v>
      </c>
      <c r="G3473">
        <v>-239.7861</v>
      </c>
      <c r="H3473">
        <v>1.0199769999999999</v>
      </c>
      <c r="I3473">
        <v>214.54169999999999</v>
      </c>
      <c r="J3473">
        <v>-240.1258</v>
      </c>
      <c r="K3473">
        <v>1.110374</v>
      </c>
      <c r="L3473">
        <v>214.65790000000001</v>
      </c>
      <c r="M3473">
        <v>0.99978699999999998</v>
      </c>
      <c r="N3473">
        <v>0</v>
      </c>
      <c r="O3473">
        <v>-1.5111899999999999E-2</v>
      </c>
      <c r="P3473">
        <v>0.98179609999999995</v>
      </c>
      <c r="Q3473">
        <v>0.1455398</v>
      </c>
      <c r="R3473">
        <v>-0.1220445</v>
      </c>
      <c r="S3473">
        <v>3.0482640000000001</v>
      </c>
      <c r="T3473">
        <v>-0.38018740000000001</v>
      </c>
      <c r="U3473">
        <v>-0.51330569999999998</v>
      </c>
      <c r="V3473">
        <v>0.1072063</v>
      </c>
      <c r="W3473">
        <v>0.15935089999999999</v>
      </c>
      <c r="X3473">
        <v>0.98138380000000003</v>
      </c>
      <c r="Y3473">
        <v>0.15011579999999999</v>
      </c>
      <c r="Z3473">
        <v>-7.3967529999999998E-3</v>
      </c>
      <c r="AA3473">
        <v>0.98864070000000004</v>
      </c>
      <c r="AB3473">
        <v>37</v>
      </c>
      <c r="AC3473">
        <v>0.33969999999999301</v>
      </c>
      <c r="AD3473">
        <v>-9.0396999999999797E-2</v>
      </c>
      <c r="AE3473">
        <v>-0.11620000000002</v>
      </c>
      <c r="AF3473">
        <v>0.10443215501491999</v>
      </c>
      <c r="AG3473">
        <v>-9.0396999999999797E-2</v>
      </c>
      <c r="AH3473">
        <v>0.32106333062197201</v>
      </c>
      <c r="AI3473">
        <v>104.989201854594</v>
      </c>
      <c r="AJ3473">
        <v>71.981866029182299</v>
      </c>
      <c r="AK3473">
        <v>0.34951302533687401</v>
      </c>
      <c r="AL3473">
        <v>80.830778135789103</v>
      </c>
      <c r="AM3473">
        <v>83.765733081858599</v>
      </c>
      <c r="AN3473">
        <v>1.0000000314964601</v>
      </c>
    </row>
    <row r="3474" spans="1:40" x14ac:dyDescent="0.25">
      <c r="A3474" t="str">
        <f>"20190312151056043"</f>
        <v>20190312151056043</v>
      </c>
      <c r="B3474" t="str">
        <f>"1552374656034555"</f>
        <v>1552374656034555</v>
      </c>
      <c r="C3474" t="s">
        <v>40</v>
      </c>
      <c r="D3474">
        <v>4.8671989999999896</v>
      </c>
      <c r="E3474">
        <v>0.51843019999999995</v>
      </c>
      <c r="F3474" t="s">
        <v>41</v>
      </c>
      <c r="G3474">
        <v>-239.13310000000001</v>
      </c>
      <c r="H3474">
        <v>0.98706819999999895</v>
      </c>
      <c r="I3474">
        <v>214.4889</v>
      </c>
      <c r="J3474">
        <v>-239.74619999999999</v>
      </c>
      <c r="K3474">
        <v>1.110385</v>
      </c>
      <c r="L3474">
        <v>214.65219999999999</v>
      </c>
      <c r="M3474">
        <v>0.99978710000000004</v>
      </c>
      <c r="N3474">
        <v>0</v>
      </c>
      <c r="O3474">
        <v>-1.51048E-2</v>
      </c>
      <c r="P3474">
        <v>0.98170590000000002</v>
      </c>
      <c r="Q3474">
        <v>0.1457445</v>
      </c>
      <c r="R3474">
        <v>-0.1225246</v>
      </c>
      <c r="S3474">
        <v>3.0472410000000001</v>
      </c>
      <c r="T3474">
        <v>-0.378525</v>
      </c>
      <c r="U3474">
        <v>-0.51875309999999997</v>
      </c>
      <c r="V3474">
        <v>0.1076907</v>
      </c>
      <c r="W3474">
        <v>0.15955420000000001</v>
      </c>
      <c r="X3474">
        <v>0.98129770000000005</v>
      </c>
      <c r="Y3474">
        <v>0.1518902</v>
      </c>
      <c r="Z3474">
        <v>-7.4758819999999997E-3</v>
      </c>
      <c r="AA3474">
        <v>0.9883691</v>
      </c>
      <c r="AB3474">
        <v>37</v>
      </c>
      <c r="AC3474">
        <v>0.613099999999974</v>
      </c>
      <c r="AD3474">
        <v>-0.1233168</v>
      </c>
      <c r="AE3474">
        <v>-0.16329999999999201</v>
      </c>
      <c r="AF3474">
        <v>0.14841324581940901</v>
      </c>
      <c r="AG3474">
        <v>-0.1233168</v>
      </c>
      <c r="AH3474">
        <v>0.59309226991823605</v>
      </c>
      <c r="AI3474">
        <v>101.40369778056601</v>
      </c>
      <c r="AJ3474">
        <v>75.951011874133101</v>
      </c>
      <c r="AK3474">
        <v>0.62369220400263004</v>
      </c>
      <c r="AL3474">
        <v>80.818978674864795</v>
      </c>
      <c r="AM3474">
        <v>83.737242436718802</v>
      </c>
      <c r="AN3474">
        <v>1.00000000281471</v>
      </c>
    </row>
    <row r="3475" spans="1:40" x14ac:dyDescent="0.25">
      <c r="A3475" t="str">
        <f>"20190312151056065"</f>
        <v>20190312151056065</v>
      </c>
      <c r="B3475" t="str">
        <f>"1552374656054076"</f>
        <v>1552374656054076</v>
      </c>
      <c r="C3475" t="s">
        <v>40</v>
      </c>
      <c r="D3475">
        <v>4.9104720000000004</v>
      </c>
      <c r="E3475">
        <v>0.51855410000000002</v>
      </c>
      <c r="F3475" t="s">
        <v>41</v>
      </c>
      <c r="G3475">
        <v>-238.79679999999999</v>
      </c>
      <c r="H3475">
        <v>0.99214570000000002</v>
      </c>
      <c r="I3475">
        <v>214.48949999999999</v>
      </c>
      <c r="J3475">
        <v>-239.37289999999999</v>
      </c>
      <c r="K3475">
        <v>1.1103909999999999</v>
      </c>
      <c r="L3475">
        <v>214.64660000000001</v>
      </c>
      <c r="M3475">
        <v>0.99978739999999999</v>
      </c>
      <c r="N3475">
        <v>0</v>
      </c>
      <c r="O3475">
        <v>-1.508193E-2</v>
      </c>
      <c r="P3475">
        <v>0.98172210000000004</v>
      </c>
      <c r="Q3475">
        <v>0.14552909999999999</v>
      </c>
      <c r="R3475">
        <v>-0.1226517</v>
      </c>
      <c r="S3475">
        <v>3.047104</v>
      </c>
      <c r="T3475">
        <v>-0.37956200000000001</v>
      </c>
      <c r="U3475">
        <v>-0.5220032</v>
      </c>
      <c r="V3475">
        <v>0.107835</v>
      </c>
      <c r="W3475">
        <v>0.15934000000000001</v>
      </c>
      <c r="X3475">
        <v>0.98131659999999998</v>
      </c>
      <c r="Y3475">
        <v>0.15293099999999901</v>
      </c>
      <c r="Z3475">
        <v>-7.562811E-3</v>
      </c>
      <c r="AA3475">
        <v>0.98820790000000003</v>
      </c>
      <c r="AB3475">
        <v>37</v>
      </c>
      <c r="AC3475">
        <v>0.57609999999999595</v>
      </c>
      <c r="AD3475">
        <v>-0.118245299999999</v>
      </c>
      <c r="AE3475">
        <v>-0.15710000000001401</v>
      </c>
      <c r="AF3475">
        <v>0.14279333128968999</v>
      </c>
      <c r="AG3475">
        <v>-0.118245299999999</v>
      </c>
      <c r="AH3475">
        <v>0.55657937622415399</v>
      </c>
      <c r="AI3475">
        <v>101.628309212179</v>
      </c>
      <c r="AJ3475">
        <v>75.610813524436097</v>
      </c>
      <c r="AK3475">
        <v>0.58664511288424204</v>
      </c>
      <c r="AL3475">
        <v>80.8314099532179</v>
      </c>
      <c r="AM3475">
        <v>83.729037296539502</v>
      </c>
      <c r="AN3475">
        <v>0.99999994613027798</v>
      </c>
    </row>
    <row r="3476" spans="1:40" x14ac:dyDescent="0.25">
      <c r="A3476" t="str">
        <f>"20190312151056087"</f>
        <v>20190312151056087</v>
      </c>
      <c r="B3476" t="str">
        <f>"1552374656084332"</f>
        <v>1552374656084332</v>
      </c>
      <c r="C3476" t="s">
        <v>40</v>
      </c>
      <c r="D3476">
        <v>4.8710199999999997</v>
      </c>
      <c r="E3476">
        <v>0.51847449999999995</v>
      </c>
      <c r="F3476" t="s">
        <v>41</v>
      </c>
      <c r="G3476">
        <v>-238.46080000000001</v>
      </c>
      <c r="H3476">
        <v>0.99716139999999998</v>
      </c>
      <c r="I3476">
        <v>214.4897</v>
      </c>
      <c r="J3476">
        <v>-239.01609999999999</v>
      </c>
      <c r="K3476">
        <v>1.110409</v>
      </c>
      <c r="L3476">
        <v>214.6413</v>
      </c>
      <c r="M3476">
        <v>0.99978800000000001</v>
      </c>
      <c r="N3476">
        <v>0</v>
      </c>
      <c r="O3476">
        <v>-1.503932E-2</v>
      </c>
      <c r="P3476">
        <v>0.98185210000000001</v>
      </c>
      <c r="Q3476">
        <v>0.1449812</v>
      </c>
      <c r="R3476">
        <v>-0.1222574</v>
      </c>
      <c r="S3476">
        <v>3.0465550000000001</v>
      </c>
      <c r="T3476">
        <v>-0.37830229999999998</v>
      </c>
      <c r="U3476">
        <v>-0.52342219999999995</v>
      </c>
      <c r="V3476">
        <v>0.1074749</v>
      </c>
      <c r="W3476">
        <v>0.15879579999999999</v>
      </c>
      <c r="X3476">
        <v>0.98144439999999999</v>
      </c>
      <c r="Y3476">
        <v>0.15345230000000001</v>
      </c>
      <c r="Z3476">
        <v>-7.5761750000000001E-3</v>
      </c>
      <c r="AA3476">
        <v>0.98812699999999998</v>
      </c>
      <c r="AB3476">
        <v>37</v>
      </c>
      <c r="AC3476">
        <v>0.55529999999998803</v>
      </c>
      <c r="AD3476">
        <v>-0.1132476</v>
      </c>
      <c r="AE3476">
        <v>-0.15160000000000101</v>
      </c>
      <c r="AF3476">
        <v>0.13789333004756801</v>
      </c>
      <c r="AG3476">
        <v>-0.1132476</v>
      </c>
      <c r="AH3476">
        <v>0.53674199625448804</v>
      </c>
      <c r="AI3476">
        <v>101.54963582278999</v>
      </c>
      <c r="AJ3476">
        <v>75.591847600079603</v>
      </c>
      <c r="AK3476">
        <v>0.56562492865910796</v>
      </c>
      <c r="AL3476">
        <v>80.862993259329002</v>
      </c>
      <c r="AM3476">
        <v>83.750619732225601</v>
      </c>
      <c r="AN3476">
        <v>1.0000000352595</v>
      </c>
    </row>
    <row r="3477" spans="1:40" x14ac:dyDescent="0.25">
      <c r="A3477" t="str">
        <f>"20190312151056109"</f>
        <v>20190312151056109</v>
      </c>
      <c r="B3477" t="str">
        <f>"1552374656104829"</f>
        <v>1552374656104829</v>
      </c>
      <c r="C3477" t="s">
        <v>40</v>
      </c>
      <c r="D3477">
        <v>4.9019620000000002</v>
      </c>
      <c r="E3477">
        <v>0.51851689999999995</v>
      </c>
      <c r="F3477" t="s">
        <v>41</v>
      </c>
      <c r="G3477">
        <v>-238.12569999999999</v>
      </c>
      <c r="H3477">
        <v>1.00074</v>
      </c>
      <c r="I3477">
        <v>214.48859999999999</v>
      </c>
      <c r="J3477">
        <v>-238.64250000000001</v>
      </c>
      <c r="K3477">
        <v>1.1104309999999999</v>
      </c>
      <c r="L3477">
        <v>214.63570000000001</v>
      </c>
      <c r="M3477">
        <v>0.99978909999999999</v>
      </c>
      <c r="N3477">
        <v>0</v>
      </c>
      <c r="O3477">
        <v>-1.4970519999999999E-2</v>
      </c>
      <c r="P3477">
        <v>0.98192029999999997</v>
      </c>
      <c r="Q3477">
        <v>0.14460379999999901</v>
      </c>
      <c r="R3477">
        <v>-0.12215579999999999</v>
      </c>
      <c r="S3477">
        <v>3.0458980000000002</v>
      </c>
      <c r="T3477">
        <v>-0.37523289999999998</v>
      </c>
      <c r="U3477">
        <v>-0.52163700000000002</v>
      </c>
      <c r="V3477">
        <v>0.10743179999999999</v>
      </c>
      <c r="W3477">
        <v>0.15842290000000001</v>
      </c>
      <c r="X3477">
        <v>0.98150930000000003</v>
      </c>
      <c r="Y3477">
        <v>0.15301189999999901</v>
      </c>
      <c r="Z3477">
        <v>-7.4986540000000004E-3</v>
      </c>
      <c r="AA3477">
        <v>0.98819590000000002</v>
      </c>
      <c r="AB3477">
        <v>37</v>
      </c>
      <c r="AC3477">
        <v>0.51680000000001702</v>
      </c>
      <c r="AD3477">
        <v>-0.109690999999999</v>
      </c>
      <c r="AE3477">
        <v>-0.14710000000002299</v>
      </c>
      <c r="AF3477">
        <v>0.133771214451469</v>
      </c>
      <c r="AG3477">
        <v>-0.109690999999999</v>
      </c>
      <c r="AH3477">
        <v>0.49818321720176201</v>
      </c>
      <c r="AI3477">
        <v>102.00508098154501</v>
      </c>
      <c r="AJ3477">
        <v>74.969591465989893</v>
      </c>
      <c r="AK3477">
        <v>0.52736455246661995</v>
      </c>
      <c r="AL3477">
        <v>80.8846320559622</v>
      </c>
      <c r="AM3477">
        <v>83.753515861056499</v>
      </c>
      <c r="AN3477">
        <v>0.99999995644106898</v>
      </c>
    </row>
    <row r="3478" spans="1:40" x14ac:dyDescent="0.25">
      <c r="A3478" t="str">
        <f>"20190312151056132"</f>
        <v>20190312151056132</v>
      </c>
      <c r="B3478" t="str">
        <f>"1552374656124352"</f>
        <v>1552374656124352</v>
      </c>
      <c r="C3478" t="s">
        <v>40</v>
      </c>
      <c r="D3478">
        <v>4.8950469999999999</v>
      </c>
      <c r="E3478">
        <v>0.51845410000000003</v>
      </c>
      <c r="F3478" t="s">
        <v>41</v>
      </c>
      <c r="G3478">
        <v>-237.78980000000001</v>
      </c>
      <c r="H3478">
        <v>1.006416</v>
      </c>
      <c r="I3478">
        <v>214.48929999999999</v>
      </c>
      <c r="J3478">
        <v>-238.26509999999999</v>
      </c>
      <c r="K3478">
        <v>1.1104510000000001</v>
      </c>
      <c r="L3478">
        <v>214.6301</v>
      </c>
      <c r="M3478">
        <v>0.99979070000000003</v>
      </c>
      <c r="N3478">
        <v>0</v>
      </c>
      <c r="O3478">
        <v>-1.487605E-2</v>
      </c>
      <c r="P3478">
        <v>0.98199340000000002</v>
      </c>
      <c r="Q3478">
        <v>0.14436579999999999</v>
      </c>
      <c r="R3478">
        <v>-0.1218511</v>
      </c>
      <c r="S3478">
        <v>3.0450439999999999</v>
      </c>
      <c r="T3478">
        <v>-0.37159900000000001</v>
      </c>
      <c r="U3478">
        <v>-0.5218353</v>
      </c>
      <c r="V3478">
        <v>0.1072099</v>
      </c>
      <c r="W3478">
        <v>0.15818940000000001</v>
      </c>
      <c r="X3478">
        <v>0.98157130000000004</v>
      </c>
      <c r="Y3478">
        <v>0.15323059999999999</v>
      </c>
      <c r="Z3478">
        <v>-7.4531569999999898E-3</v>
      </c>
      <c r="AA3478">
        <v>0.98816230000000005</v>
      </c>
      <c r="AB3478">
        <v>37</v>
      </c>
      <c r="AC3478">
        <v>0.47529999999997502</v>
      </c>
      <c r="AD3478">
        <v>-0.104035</v>
      </c>
      <c r="AE3478">
        <v>-0.140800000000012</v>
      </c>
      <c r="AF3478">
        <v>0.12807224538113901</v>
      </c>
      <c r="AG3478">
        <v>-0.104035</v>
      </c>
      <c r="AH3478">
        <v>0.45720476152740802</v>
      </c>
      <c r="AI3478">
        <v>102.358854269471</v>
      </c>
      <c r="AJ3478">
        <v>74.351372569315501</v>
      </c>
      <c r="AK3478">
        <v>0.48606787100702398</v>
      </c>
      <c r="AL3478">
        <v>80.898182180643303</v>
      </c>
      <c r="AM3478">
        <v>83.766706918486094</v>
      </c>
      <c r="AN3478">
        <v>1.00000003295702</v>
      </c>
    </row>
    <row r="3479" spans="1:40" x14ac:dyDescent="0.25">
      <c r="A3479" t="str">
        <f>"20190312151056153"</f>
        <v>20190312151056153</v>
      </c>
      <c r="B3479" t="str">
        <f>"1552374656144845"</f>
        <v>1552374656144845</v>
      </c>
      <c r="C3479" t="s">
        <v>40</v>
      </c>
      <c r="D3479">
        <v>4.9113319999999998</v>
      </c>
      <c r="E3479">
        <v>0.51874679999999995</v>
      </c>
      <c r="F3479" t="s">
        <v>41</v>
      </c>
      <c r="G3479">
        <v>-237.45400000000001</v>
      </c>
      <c r="H3479">
        <v>1.0126440000000001</v>
      </c>
      <c r="I3479">
        <v>214.4914</v>
      </c>
      <c r="J3479">
        <v>-237.90260000000001</v>
      </c>
      <c r="K3479">
        <v>1.110473</v>
      </c>
      <c r="L3479">
        <v>214.62479999999999</v>
      </c>
      <c r="M3479">
        <v>0.99979229999999997</v>
      </c>
      <c r="N3479">
        <v>0</v>
      </c>
      <c r="O3479">
        <v>-1.476386E-2</v>
      </c>
      <c r="P3479">
        <v>0.98201340000000004</v>
      </c>
      <c r="Q3479">
        <v>0.14443829999999999</v>
      </c>
      <c r="R3479">
        <v>-0.12160219999999999</v>
      </c>
      <c r="S3479">
        <v>3.044403</v>
      </c>
      <c r="T3479">
        <v>-0.36709209999999998</v>
      </c>
      <c r="U3479">
        <v>-0.52033999999999903</v>
      </c>
      <c r="V3479">
        <v>0.1070629</v>
      </c>
      <c r="W3479">
        <v>0.15826570000000001</v>
      </c>
      <c r="X3479">
        <v>0.98157499999999998</v>
      </c>
      <c r="Y3479">
        <v>0.15292929999999999</v>
      </c>
      <c r="Z3479">
        <v>-7.3606219999999998E-3</v>
      </c>
      <c r="AA3479">
        <v>0.98820969999999997</v>
      </c>
      <c r="AB3479">
        <v>37</v>
      </c>
      <c r="AC3479">
        <v>0.448599999999998</v>
      </c>
      <c r="AD3479">
        <v>-9.7828999999999902E-2</v>
      </c>
      <c r="AE3479">
        <v>-0.133399999999994</v>
      </c>
      <c r="AF3479">
        <v>0.121454946070241</v>
      </c>
      <c r="AG3479">
        <v>-9.7828999999999902E-2</v>
      </c>
      <c r="AH3479">
        <v>0.43166005651044398</v>
      </c>
      <c r="AI3479">
        <v>102.306993036542</v>
      </c>
      <c r="AJ3479">
        <v>74.285143883135206</v>
      </c>
      <c r="AK3479">
        <v>0.45896864985805402</v>
      </c>
      <c r="AL3479">
        <v>80.893754330508401</v>
      </c>
      <c r="AM3479">
        <v>83.775209787962297</v>
      </c>
      <c r="AN3479">
        <v>0.999999988488949</v>
      </c>
    </row>
    <row r="3480" spans="1:40" x14ac:dyDescent="0.25">
      <c r="A3480" t="str">
        <f>"20190312151056176"</f>
        <v>20190312151056176</v>
      </c>
      <c r="B3480" t="str">
        <f>"1552374656164364"</f>
        <v>1552374656164364</v>
      </c>
      <c r="C3480" t="s">
        <v>40</v>
      </c>
      <c r="D3480">
        <v>4.9115640000000003</v>
      </c>
      <c r="E3480">
        <v>0.51867099999999999</v>
      </c>
      <c r="F3480" t="s">
        <v>41</v>
      </c>
      <c r="G3480">
        <v>-237.1198</v>
      </c>
      <c r="H3480">
        <v>1.0158750000000001</v>
      </c>
      <c r="I3480">
        <v>214.49039999999999</v>
      </c>
      <c r="J3480">
        <v>-237.53110000000001</v>
      </c>
      <c r="K3480">
        <v>1.1104969999999901</v>
      </c>
      <c r="L3480">
        <v>214.61940000000001</v>
      </c>
      <c r="M3480">
        <v>0.99979439999999997</v>
      </c>
      <c r="N3480">
        <v>0</v>
      </c>
      <c r="O3480">
        <v>-1.463218E-2</v>
      </c>
      <c r="P3480">
        <v>0.98206579999999999</v>
      </c>
      <c r="Q3480">
        <v>0.1444812</v>
      </c>
      <c r="R3480">
        <v>-0.1211298</v>
      </c>
      <c r="S3480">
        <v>3.0443880000000001</v>
      </c>
      <c r="T3480">
        <v>-0.36796030000000002</v>
      </c>
      <c r="U3480">
        <v>-0.52217100000000005</v>
      </c>
      <c r="V3480">
        <v>0.10671219999999999</v>
      </c>
      <c r="W3480">
        <v>0.15831139999999999</v>
      </c>
      <c r="X3480">
        <v>0.98160579999999997</v>
      </c>
      <c r="Y3480">
        <v>0.1536274</v>
      </c>
      <c r="Z3480">
        <v>-7.4350419999999898E-3</v>
      </c>
      <c r="AA3480">
        <v>0.98810089999999995</v>
      </c>
      <c r="AB3480">
        <v>37</v>
      </c>
      <c r="AC3480">
        <v>0.41130000000001099</v>
      </c>
      <c r="AD3480">
        <v>-9.4621999999999706E-2</v>
      </c>
      <c r="AE3480">
        <v>-0.12900000000001899</v>
      </c>
      <c r="AF3480">
        <v>0.117314496532635</v>
      </c>
      <c r="AG3480">
        <v>-9.4621999999999706E-2</v>
      </c>
      <c r="AH3480">
        <v>0.39415124063338902</v>
      </c>
      <c r="AI3480">
        <v>102.95765046834499</v>
      </c>
      <c r="AJ3480">
        <v>73.424980083526194</v>
      </c>
      <c r="AK3480">
        <v>0.421984851000063</v>
      </c>
      <c r="AL3480">
        <v>80.891102309499502</v>
      </c>
      <c r="AM3480">
        <v>83.795633859488902</v>
      </c>
      <c r="AN3480">
        <v>0.99999996979621897</v>
      </c>
    </row>
    <row r="3481" spans="1:40" x14ac:dyDescent="0.25">
      <c r="A3481" t="str">
        <f>"20190312151056199"</f>
        <v>20190312151056199</v>
      </c>
      <c r="B3481" t="str">
        <f>"1552374656194619"</f>
        <v>1552374656194619</v>
      </c>
      <c r="C3481" t="s">
        <v>40</v>
      </c>
      <c r="D3481">
        <v>4.8547820000000002</v>
      </c>
      <c r="E3481">
        <v>0.51888639999999997</v>
      </c>
      <c r="F3481" t="s">
        <v>41</v>
      </c>
      <c r="G3481">
        <v>-236.78469999999999</v>
      </c>
      <c r="H3481">
        <v>1.0214179999999999</v>
      </c>
      <c r="I3481">
        <v>214.49189999999999</v>
      </c>
      <c r="J3481">
        <v>-237.1583</v>
      </c>
      <c r="K3481">
        <v>1.1105039999999999</v>
      </c>
      <c r="L3481">
        <v>214.61410000000001</v>
      </c>
      <c r="M3481">
        <v>0.99979649999999998</v>
      </c>
      <c r="N3481">
        <v>0</v>
      </c>
      <c r="O3481">
        <v>-1.4486509999999999E-2</v>
      </c>
      <c r="P3481">
        <v>0.98216159999999997</v>
      </c>
      <c r="Q3481">
        <v>0.14426629999999999</v>
      </c>
      <c r="R3481">
        <v>-0.1206062</v>
      </c>
      <c r="S3481">
        <v>3.0441440000000002</v>
      </c>
      <c r="T3481">
        <v>-0.3633671</v>
      </c>
      <c r="U3481">
        <v>-0.51986690000000002</v>
      </c>
      <c r="V3481">
        <v>0.1063254</v>
      </c>
      <c r="W3481">
        <v>0.15809899999999999</v>
      </c>
      <c r="X3481">
        <v>0.98168200000000005</v>
      </c>
      <c r="Y3481">
        <v>0.15308459999999999</v>
      </c>
      <c r="Z3481">
        <v>-7.3290550000000001E-3</v>
      </c>
      <c r="AA3481">
        <v>0.98818589999999995</v>
      </c>
      <c r="AB3481">
        <v>37</v>
      </c>
      <c r="AC3481">
        <v>0.37360000000000998</v>
      </c>
      <c r="AD3481">
        <v>-8.9086000000000207E-2</v>
      </c>
      <c r="AE3481">
        <v>-0.12220000000002</v>
      </c>
      <c r="AF3481">
        <v>0.11106945607624499</v>
      </c>
      <c r="AG3481">
        <v>-8.9086000000000207E-2</v>
      </c>
      <c r="AH3481">
        <v>0.35699438398176198</v>
      </c>
      <c r="AI3481">
        <v>103.402430796787</v>
      </c>
      <c r="AJ3481">
        <v>72.717837781025295</v>
      </c>
      <c r="AK3481">
        <v>0.38434064274233498</v>
      </c>
      <c r="AL3481">
        <v>80.903427121906304</v>
      </c>
      <c r="AM3481">
        <v>83.818424541156105</v>
      </c>
      <c r="AN3481">
        <v>0.99999996680507897</v>
      </c>
    </row>
    <row r="3482" spans="1:40" x14ac:dyDescent="0.25">
      <c r="A3482" t="str">
        <f>"20190312151056220"</f>
        <v>20190312151056220</v>
      </c>
      <c r="B3482" t="str">
        <f>"1552374656214140"</f>
        <v>1552374656214140</v>
      </c>
      <c r="C3482" t="s">
        <v>40</v>
      </c>
      <c r="D3482">
        <v>4.8397040000000002</v>
      </c>
      <c r="E3482">
        <v>0.5190709</v>
      </c>
      <c r="F3482" t="s">
        <v>41</v>
      </c>
      <c r="G3482">
        <v>-236.13659999999999</v>
      </c>
      <c r="H3482">
        <v>0.98780889999999999</v>
      </c>
      <c r="I3482">
        <v>214.43960000000001</v>
      </c>
      <c r="J3482">
        <v>-236.78540000000001</v>
      </c>
      <c r="K3482">
        <v>1.1105149999999999</v>
      </c>
      <c r="L3482">
        <v>214.60890000000001</v>
      </c>
      <c r="M3482">
        <v>0.99979850000000003</v>
      </c>
      <c r="N3482">
        <v>0</v>
      </c>
      <c r="O3482">
        <v>-1.433268E-2</v>
      </c>
      <c r="P3482">
        <v>0.98221610000000004</v>
      </c>
      <c r="Q3482">
        <v>0.14402870000000001</v>
      </c>
      <c r="R3482">
        <v>-0.120447</v>
      </c>
      <c r="S3482">
        <v>3.0443730000000002</v>
      </c>
      <c r="T3482">
        <v>-0.36566199999999999</v>
      </c>
      <c r="U3482">
        <v>-0.51969909999999997</v>
      </c>
      <c r="V3482">
        <v>0.10631309999999999</v>
      </c>
      <c r="W3482">
        <v>0.15786169999999999</v>
      </c>
      <c r="X3482">
        <v>0.98172159999999997</v>
      </c>
      <c r="Y3482">
        <v>0.15315790000000001</v>
      </c>
      <c r="Z3482">
        <v>-7.39713099999999E-3</v>
      </c>
      <c r="AA3482">
        <v>0.988174</v>
      </c>
      <c r="AB3482">
        <v>37</v>
      </c>
      <c r="AC3482">
        <v>0.64880000000002203</v>
      </c>
      <c r="AD3482">
        <v>-0.122706099999999</v>
      </c>
      <c r="AE3482">
        <v>-0.16929999999999201</v>
      </c>
      <c r="AF3482">
        <v>0.15479859456116199</v>
      </c>
      <c r="AG3482">
        <v>-0.122706099999999</v>
      </c>
      <c r="AH3482">
        <v>0.63006002422275498</v>
      </c>
      <c r="AI3482">
        <v>100.70976554751699</v>
      </c>
      <c r="AJ3482">
        <v>76.196482972425898</v>
      </c>
      <c r="AK3482">
        <v>0.66029919428914896</v>
      </c>
      <c r="AL3482">
        <v>80.917197043907706</v>
      </c>
      <c r="AM3482">
        <v>83.819381496411694</v>
      </c>
      <c r="AN3482">
        <v>1.00000004573252</v>
      </c>
    </row>
    <row r="3483" spans="1:40" x14ac:dyDescent="0.25">
      <c r="A3483" t="str">
        <f>"20190312151056243"</f>
        <v>20190312151056243</v>
      </c>
      <c r="B3483" t="str">
        <f>"1552374656234636"</f>
        <v>1552374656234636</v>
      </c>
      <c r="C3483" t="s">
        <v>40</v>
      </c>
      <c r="D3483">
        <v>4.8589250000000002</v>
      </c>
      <c r="E3483">
        <v>0.5192793</v>
      </c>
      <c r="F3483" t="s">
        <v>41</v>
      </c>
      <c r="G3483">
        <v>-235.8032</v>
      </c>
      <c r="H3483">
        <v>0.99181960000000002</v>
      </c>
      <c r="I3483">
        <v>214.4408</v>
      </c>
      <c r="J3483">
        <v>-236.41669999999999</v>
      </c>
      <c r="K3483">
        <v>1.110527</v>
      </c>
      <c r="L3483">
        <v>214.6037</v>
      </c>
      <c r="M3483">
        <v>0.99980089999999999</v>
      </c>
      <c r="N3483">
        <v>0</v>
      </c>
      <c r="O3483">
        <v>-1.417759E-2</v>
      </c>
      <c r="P3483">
        <v>0.98225119999999999</v>
      </c>
      <c r="Q3483">
        <v>0.14399010000000001</v>
      </c>
      <c r="R3483">
        <v>-0.12020599999999999</v>
      </c>
      <c r="S3483">
        <v>3.0444490000000002</v>
      </c>
      <c r="T3483">
        <v>-0.36796220000000002</v>
      </c>
      <c r="U3483">
        <v>-0.52053830000000001</v>
      </c>
      <c r="V3483">
        <v>0.1062217</v>
      </c>
      <c r="W3483">
        <v>0.15782309999999999</v>
      </c>
      <c r="X3483">
        <v>0.98173770000000005</v>
      </c>
      <c r="Y3483">
        <v>0.15355569999999999</v>
      </c>
      <c r="Z3483">
        <v>-7.4853009999999998E-3</v>
      </c>
      <c r="AA3483">
        <v>0.98811170000000004</v>
      </c>
      <c r="AB3483">
        <v>37</v>
      </c>
      <c r="AC3483">
        <v>0.61349999999998694</v>
      </c>
      <c r="AD3483">
        <v>-0.1187074</v>
      </c>
      <c r="AE3483">
        <v>-0.16290000000000701</v>
      </c>
      <c r="AF3483">
        <v>0.14897466055765399</v>
      </c>
      <c r="AG3483">
        <v>-0.1187074</v>
      </c>
      <c r="AH3483">
        <v>0.59494095896528199</v>
      </c>
      <c r="AI3483">
        <v>100.95427790137801</v>
      </c>
      <c r="AJ3483">
        <v>75.942057488590507</v>
      </c>
      <c r="AK3483">
        <v>0.62469163669570404</v>
      </c>
      <c r="AL3483">
        <v>80.919436739635302</v>
      </c>
      <c r="AM3483">
        <v>83.824754544340607</v>
      </c>
      <c r="AN3483">
        <v>1.0000000460228899</v>
      </c>
    </row>
    <row r="3484" spans="1:40" x14ac:dyDescent="0.25">
      <c r="A3484" t="str">
        <f>"20190312151056266"</f>
        <v>20190312151056266</v>
      </c>
      <c r="B3484" t="str">
        <f>"1552374656254156"</f>
        <v>1552374656254156</v>
      </c>
      <c r="C3484" t="s">
        <v>40</v>
      </c>
      <c r="D3484">
        <v>4.7365180000000002</v>
      </c>
      <c r="E3484">
        <v>0.51933750000000001</v>
      </c>
      <c r="F3484" t="s">
        <v>41</v>
      </c>
      <c r="G3484">
        <v>-235.4699</v>
      </c>
      <c r="H3484">
        <v>0.99607489999999999</v>
      </c>
      <c r="I3484">
        <v>214.44159999999999</v>
      </c>
      <c r="J3484">
        <v>-236.03309999999999</v>
      </c>
      <c r="K3484">
        <v>1.110528</v>
      </c>
      <c r="L3484">
        <v>214.5984</v>
      </c>
      <c r="M3484">
        <v>0.99980329999999995</v>
      </c>
      <c r="N3484">
        <v>0</v>
      </c>
      <c r="O3484">
        <v>-1.401608E-2</v>
      </c>
      <c r="P3484">
        <v>0.9822668</v>
      </c>
      <c r="Q3484">
        <v>0.1439646</v>
      </c>
      <c r="R3484">
        <v>-0.1201097</v>
      </c>
      <c r="S3484">
        <v>3.0443570000000002</v>
      </c>
      <c r="T3484">
        <v>-0.3680252</v>
      </c>
      <c r="U3484">
        <v>-0.52143859999999997</v>
      </c>
      <c r="V3484">
        <v>0.10628219999999999</v>
      </c>
      <c r="W3484">
        <v>0.15779670000000001</v>
      </c>
      <c r="X3484">
        <v>0.98173529999999998</v>
      </c>
      <c r="Y3484">
        <v>0.15399949999999901</v>
      </c>
      <c r="Z3484">
        <v>-7.5324509999999999E-3</v>
      </c>
      <c r="AA3484">
        <v>0.98804219999999998</v>
      </c>
      <c r="AB3484">
        <v>37</v>
      </c>
      <c r="AC3484">
        <v>0.56319999999999404</v>
      </c>
      <c r="AD3484">
        <v>-0.114453099999999</v>
      </c>
      <c r="AE3484">
        <v>-0.15680000000000399</v>
      </c>
      <c r="AF3484">
        <v>0.143394058402083</v>
      </c>
      <c r="AG3484">
        <v>-0.114453099999999</v>
      </c>
      <c r="AH3484">
        <v>0.54447438782570601</v>
      </c>
      <c r="AI3484">
        <v>101.490353666567</v>
      </c>
      <c r="AJ3484">
        <v>75.245481593039003</v>
      </c>
      <c r="AK3484">
        <v>0.574555242846854</v>
      </c>
      <c r="AL3484">
        <v>80.9209676807655</v>
      </c>
      <c r="AM3484">
        <v>83.821249559457797</v>
      </c>
      <c r="AN3484">
        <v>0.99999995191690805</v>
      </c>
    </row>
    <row r="3485" spans="1:40" x14ac:dyDescent="0.25">
      <c r="A3485" t="str">
        <f>"20190312151056289"</f>
        <v>20190312151056289</v>
      </c>
      <c r="B3485" t="str">
        <f>"1552374656284413"</f>
        <v>1552374656284413</v>
      </c>
      <c r="C3485" t="s">
        <v>40</v>
      </c>
      <c r="D3485">
        <v>4.8424659999999999</v>
      </c>
      <c r="E3485">
        <v>0.49981009999999998</v>
      </c>
      <c r="F3485" t="s">
        <v>41</v>
      </c>
      <c r="G3485">
        <v>-235.13630000000001</v>
      </c>
      <c r="H3485">
        <v>1.0014350000000001</v>
      </c>
      <c r="I3485">
        <v>214.44450000000001</v>
      </c>
      <c r="J3485">
        <v>-235.65790000000001</v>
      </c>
      <c r="K3485">
        <v>1.110536</v>
      </c>
      <c r="L3485">
        <v>214.5933</v>
      </c>
      <c r="M3485">
        <v>0.99980539999999996</v>
      </c>
      <c r="N3485">
        <v>0</v>
      </c>
      <c r="O3485">
        <v>-1.3858769999999999E-2</v>
      </c>
      <c r="P3485">
        <v>0.98217390000000004</v>
      </c>
      <c r="Q3485">
        <v>0.14433840000000001</v>
      </c>
      <c r="R3485">
        <v>-0.120421</v>
      </c>
      <c r="S3485">
        <v>3.044632</v>
      </c>
      <c r="T3485">
        <v>-0.3704615</v>
      </c>
      <c r="U3485">
        <v>-0.52198789999999995</v>
      </c>
      <c r="V3485">
        <v>0.1067477</v>
      </c>
      <c r="W3485">
        <v>0.15816769999999999</v>
      </c>
      <c r="X3485">
        <v>0.98162510000000003</v>
      </c>
      <c r="Y3485">
        <v>0.15429709999999999</v>
      </c>
      <c r="Z3485">
        <v>-7.6180090000000002E-3</v>
      </c>
      <c r="AA3485">
        <v>0.98799510000000001</v>
      </c>
      <c r="AB3485">
        <v>37</v>
      </c>
      <c r="AC3485">
        <v>0.52160000000000595</v>
      </c>
      <c r="AD3485">
        <v>-0.109100999999999</v>
      </c>
      <c r="AE3485">
        <v>-0.14879999999999399</v>
      </c>
      <c r="AF3485">
        <v>0.13605189058092501</v>
      </c>
      <c r="AG3485">
        <v>-0.109100999999999</v>
      </c>
      <c r="AH3485">
        <v>0.50325179111930896</v>
      </c>
      <c r="AI3485">
        <v>101.820216942763</v>
      </c>
      <c r="AJ3485">
        <v>74.871972289583098</v>
      </c>
      <c r="AK3485">
        <v>0.53261196982084102</v>
      </c>
      <c r="AL3485">
        <v>80.899440726367203</v>
      </c>
      <c r="AM3485">
        <v>83.7937070288813</v>
      </c>
      <c r="AN3485">
        <v>0.99999996486429399</v>
      </c>
    </row>
    <row r="3486" spans="1:40" x14ac:dyDescent="0.25">
      <c r="A3486" t="str">
        <f>"20190312151056311"</f>
        <v>20190312151056311</v>
      </c>
      <c r="B3486" t="str">
        <f>"1552374656304908"</f>
        <v>1552374656304908</v>
      </c>
      <c r="C3486" t="s">
        <v>40</v>
      </c>
      <c r="D3486">
        <v>4.8526680000000004</v>
      </c>
      <c r="E3486">
        <v>0.49934149999999999</v>
      </c>
      <c r="F3486" t="s">
        <v>41</v>
      </c>
      <c r="G3486">
        <v>-234.8056</v>
      </c>
      <c r="H3486">
        <v>1.0017400000000001</v>
      </c>
      <c r="I3486">
        <v>214.49090000000001</v>
      </c>
      <c r="J3486">
        <v>-235.29570000000001</v>
      </c>
      <c r="K3486">
        <v>1.1105449999999999</v>
      </c>
      <c r="L3486">
        <v>214.58850000000001</v>
      </c>
      <c r="M3486">
        <v>0.99980749999999996</v>
      </c>
      <c r="N3486">
        <v>0</v>
      </c>
      <c r="O3486">
        <v>-1.370851E-2</v>
      </c>
      <c r="P3486">
        <v>0.98214520000000005</v>
      </c>
      <c r="Q3486">
        <v>0.1445842</v>
      </c>
      <c r="R3486">
        <v>-0.1203591</v>
      </c>
      <c r="S3486">
        <v>3.0668790000000001</v>
      </c>
      <c r="T3486">
        <v>-0.39163779999999998</v>
      </c>
      <c r="U3486">
        <v>-0.3681335</v>
      </c>
      <c r="V3486">
        <v>0.1068327</v>
      </c>
      <c r="W3486">
        <v>0.15841160000000001</v>
      </c>
      <c r="X3486">
        <v>0.98157660000000002</v>
      </c>
      <c r="Y3486">
        <v>0.1048272</v>
      </c>
      <c r="Z3486">
        <v>-4.9054509999999999E-3</v>
      </c>
      <c r="AA3486">
        <v>0.99447830000000004</v>
      </c>
      <c r="AB3486">
        <v>37</v>
      </c>
      <c r="AC3486">
        <v>0.49010000000001203</v>
      </c>
      <c r="AD3486">
        <v>-0.108805</v>
      </c>
      <c r="AE3486">
        <v>-9.7599999999999895E-2</v>
      </c>
      <c r="AF3486">
        <v>8.6758698748775898E-2</v>
      </c>
      <c r="AG3486">
        <v>-0.108805</v>
      </c>
      <c r="AH3486">
        <v>0.469151207392495</v>
      </c>
      <c r="AI3486">
        <v>102.846723211381</v>
      </c>
      <c r="AJ3486">
        <v>79.522829227385103</v>
      </c>
      <c r="AK3486">
        <v>0.48935514223457099</v>
      </c>
      <c r="AL3486">
        <v>80.885288558061305</v>
      </c>
      <c r="AM3486">
        <v>83.7884992566525</v>
      </c>
      <c r="AN3486">
        <v>1.0000000412357</v>
      </c>
    </row>
    <row r="3487" spans="1:40" x14ac:dyDescent="0.25">
      <c r="A3487" t="str">
        <f>"20190312151056333"</f>
        <v>20190312151056333</v>
      </c>
      <c r="B3487" t="str">
        <f>"1552374656324429"</f>
        <v>1552374656324429</v>
      </c>
      <c r="C3487" t="s">
        <v>40</v>
      </c>
      <c r="D3487">
        <v>4.8899850000000002</v>
      </c>
      <c r="E3487">
        <v>0.49784929999999999</v>
      </c>
      <c r="F3487" t="s">
        <v>41</v>
      </c>
      <c r="G3487">
        <v>-234.47450000000001</v>
      </c>
      <c r="H3487">
        <v>1.0027889999999999</v>
      </c>
      <c r="I3487">
        <v>214.4906</v>
      </c>
      <c r="J3487">
        <v>-234.9401</v>
      </c>
      <c r="K3487">
        <v>1.1105510000000001</v>
      </c>
      <c r="L3487">
        <v>214.58369999999999</v>
      </c>
      <c r="M3487">
        <v>0.99980959999999997</v>
      </c>
      <c r="N3487">
        <v>0</v>
      </c>
      <c r="O3487">
        <v>-1.356195E-2</v>
      </c>
      <c r="P3487">
        <v>0.98217690000000002</v>
      </c>
      <c r="Q3487">
        <v>0.14461640000000001</v>
      </c>
      <c r="R3487">
        <v>-0.1200619</v>
      </c>
      <c r="S3487">
        <v>3.0691220000000001</v>
      </c>
      <c r="T3487">
        <v>-0.402868</v>
      </c>
      <c r="U3487">
        <v>-0.36497499999999999</v>
      </c>
      <c r="V3487">
        <v>0.1066785</v>
      </c>
      <c r="W3487">
        <v>0.15844269999999999</v>
      </c>
      <c r="X3487">
        <v>0.98158829999999997</v>
      </c>
      <c r="Y3487">
        <v>0.103843699999999</v>
      </c>
      <c r="Z3487">
        <v>-4.9966409999999996E-3</v>
      </c>
      <c r="AA3487">
        <v>0.9945811</v>
      </c>
      <c r="AB3487">
        <v>37</v>
      </c>
      <c r="AC3487">
        <v>0.46559999999999402</v>
      </c>
      <c r="AD3487">
        <v>-0.107762</v>
      </c>
      <c r="AE3487">
        <v>-9.3099999999992605E-2</v>
      </c>
      <c r="AF3487">
        <v>8.2525598204171297E-2</v>
      </c>
      <c r="AG3487">
        <v>-0.107762</v>
      </c>
      <c r="AH3487">
        <v>0.44395256800838101</v>
      </c>
      <c r="AI3487">
        <v>103.42230473785899</v>
      </c>
      <c r="AJ3487">
        <v>79.469576856991097</v>
      </c>
      <c r="AK3487">
        <v>0.464238091548068</v>
      </c>
      <c r="AL3487">
        <v>80.883483406593101</v>
      </c>
      <c r="AM3487">
        <v>83.797468224708695</v>
      </c>
      <c r="AN3487">
        <v>0.99999999112121496</v>
      </c>
    </row>
    <row r="3488" spans="1:40" x14ac:dyDescent="0.25">
      <c r="A3488" t="str">
        <f>"20190312151056355"</f>
        <v>20190312151056355</v>
      </c>
      <c r="B3488" t="str">
        <f>"1552374656343948"</f>
        <v>1552374656343948</v>
      </c>
      <c r="C3488" t="s">
        <v>40</v>
      </c>
      <c r="D3488">
        <v>4.8398450000000004</v>
      </c>
      <c r="E3488">
        <v>0.49852580000000002</v>
      </c>
      <c r="F3488" t="s">
        <v>41</v>
      </c>
      <c r="G3488">
        <v>-234.1454</v>
      </c>
      <c r="H3488">
        <v>1.0003679999999999</v>
      </c>
      <c r="I3488">
        <v>214.4924</v>
      </c>
      <c r="J3488">
        <v>-234.56200000000001</v>
      </c>
      <c r="K3488">
        <v>1.110554</v>
      </c>
      <c r="L3488">
        <v>214.5788</v>
      </c>
      <c r="M3488">
        <v>0.99981180000000003</v>
      </c>
      <c r="N3488">
        <v>0</v>
      </c>
      <c r="O3488">
        <v>-1.340647E-2</v>
      </c>
      <c r="P3488">
        <v>0.9821957</v>
      </c>
      <c r="Q3488">
        <v>0.1442811</v>
      </c>
      <c r="R3488">
        <v>-0.1203113</v>
      </c>
      <c r="S3488">
        <v>3.0740509999999999</v>
      </c>
      <c r="T3488">
        <v>-0.42623909999999998</v>
      </c>
      <c r="U3488">
        <v>-0.35307309999999997</v>
      </c>
      <c r="V3488">
        <v>0.1070803</v>
      </c>
      <c r="W3488">
        <v>0.1581061</v>
      </c>
      <c r="X3488">
        <v>0.98159890000000005</v>
      </c>
      <c r="Y3488">
        <v>9.9958350000000001E-2</v>
      </c>
      <c r="Z3488">
        <v>-5.0308330000000002E-3</v>
      </c>
      <c r="AA3488">
        <v>0.9949789</v>
      </c>
      <c r="AB3488">
        <v>37</v>
      </c>
      <c r="AC3488">
        <v>0.41660000000001601</v>
      </c>
      <c r="AD3488">
        <v>-0.11018600000000001</v>
      </c>
      <c r="AE3488">
        <v>-8.6399999999997507E-2</v>
      </c>
      <c r="AF3488">
        <v>7.5727541214636498E-2</v>
      </c>
      <c r="AG3488">
        <v>-0.11018600000000001</v>
      </c>
      <c r="AH3488">
        <v>0.39146558674474402</v>
      </c>
      <c r="AI3488">
        <v>105.447993426941</v>
      </c>
      <c r="AJ3488">
        <v>79.051579387416893</v>
      </c>
      <c r="AK3488">
        <v>0.41366764521753602</v>
      </c>
      <c r="AL3488">
        <v>80.9030160410382</v>
      </c>
      <c r="AM3488">
        <v>83.774356466330801</v>
      </c>
      <c r="AN3488">
        <v>1.0000000649932499</v>
      </c>
    </row>
    <row r="3489" spans="1:40" x14ac:dyDescent="0.25">
      <c r="A3489" t="str">
        <f>"20190312151056378"</f>
        <v>20190312151056378</v>
      </c>
      <c r="B3489" t="str">
        <f>"1552374656374205"</f>
        <v>1552374656374205</v>
      </c>
      <c r="C3489" t="s">
        <v>40</v>
      </c>
      <c r="D3489">
        <v>4.901408</v>
      </c>
      <c r="E3489">
        <v>0.49913039999999997</v>
      </c>
      <c r="F3489" t="s">
        <v>41</v>
      </c>
      <c r="G3489">
        <v>-233.81190000000001</v>
      </c>
      <c r="H3489">
        <v>1.0072080000000001</v>
      </c>
      <c r="I3489">
        <v>214.49109999999999</v>
      </c>
      <c r="J3489">
        <v>-234.2071</v>
      </c>
      <c r="K3489">
        <v>1.1105529999999999</v>
      </c>
      <c r="L3489">
        <v>214.57409999999999</v>
      </c>
      <c r="M3489">
        <v>0.99981370000000003</v>
      </c>
      <c r="N3489">
        <v>0</v>
      </c>
      <c r="O3489">
        <v>-1.326042E-2</v>
      </c>
      <c r="P3489">
        <v>0.98224429999999996</v>
      </c>
      <c r="Q3489">
        <v>0.1441344</v>
      </c>
      <c r="R3489">
        <v>-0.1200904</v>
      </c>
      <c r="S3489">
        <v>3.0726619999999998</v>
      </c>
      <c r="T3489">
        <v>-0.4234561</v>
      </c>
      <c r="U3489">
        <v>-0.35845949999999999</v>
      </c>
      <c r="V3489">
        <v>0.10700220000000001</v>
      </c>
      <c r="W3489">
        <v>0.15795780000000001</v>
      </c>
      <c r="X3489">
        <v>0.98163120000000004</v>
      </c>
      <c r="Y3489">
        <v>0.1018665</v>
      </c>
      <c r="Z3489">
        <v>-5.1504139999999999E-3</v>
      </c>
      <c r="AA3489">
        <v>0.99478480000000002</v>
      </c>
      <c r="AB3489">
        <v>37</v>
      </c>
      <c r="AC3489">
        <v>0.39519999999998801</v>
      </c>
      <c r="AD3489">
        <v>-0.10334500000000001</v>
      </c>
      <c r="AE3489">
        <v>-8.2999999999998395E-2</v>
      </c>
      <c r="AF3489">
        <v>7.2972433721420801E-2</v>
      </c>
      <c r="AG3489">
        <v>-0.10334500000000001</v>
      </c>
      <c r="AH3489">
        <v>0.37190832207421898</v>
      </c>
      <c r="AI3489">
        <v>105.25250767785001</v>
      </c>
      <c r="AJ3489">
        <v>78.898973157329394</v>
      </c>
      <c r="AK3489">
        <v>0.392837071998415</v>
      </c>
      <c r="AL3489">
        <v>80.911620312305402</v>
      </c>
      <c r="AM3489">
        <v>83.779064677171405</v>
      </c>
      <c r="AN3489">
        <v>0.99999997509955896</v>
      </c>
    </row>
    <row r="3490" spans="1:40" x14ac:dyDescent="0.25">
      <c r="A3490" t="str">
        <f>"20190312151056400"</f>
        <v>20190312151056400</v>
      </c>
      <c r="B3490" t="str">
        <f>"1552374656394700"</f>
        <v>1552374656394700</v>
      </c>
      <c r="C3490" t="s">
        <v>40</v>
      </c>
      <c r="D3490">
        <v>4.8783500000000002</v>
      </c>
      <c r="E3490">
        <v>0.49929790000000002</v>
      </c>
      <c r="F3490" t="s">
        <v>41</v>
      </c>
      <c r="G3490">
        <v>-233.47989999999999</v>
      </c>
      <c r="H3490">
        <v>1.011695</v>
      </c>
      <c r="I3490">
        <v>214.4881</v>
      </c>
      <c r="J3490">
        <v>-233.83250000000001</v>
      </c>
      <c r="K3490">
        <v>1.1105510000000001</v>
      </c>
      <c r="L3490">
        <v>214.5693</v>
      </c>
      <c r="M3490">
        <v>0.99981580000000003</v>
      </c>
      <c r="N3490">
        <v>0</v>
      </c>
      <c r="O3490">
        <v>-1.310615E-2</v>
      </c>
      <c r="P3490">
        <v>0.98231740000000001</v>
      </c>
      <c r="Q3490">
        <v>0.1440089</v>
      </c>
      <c r="R3490">
        <v>-0.119641899999999</v>
      </c>
      <c r="S3490">
        <v>3.0711819999999999</v>
      </c>
      <c r="T3490">
        <v>-0.4175836</v>
      </c>
      <c r="U3490">
        <v>-0.36264039999999997</v>
      </c>
      <c r="V3490">
        <v>0.10670449999999999</v>
      </c>
      <c r="W3490">
        <v>0.1578311</v>
      </c>
      <c r="X3490">
        <v>0.981684</v>
      </c>
      <c r="Y3490">
        <v>0.10341740000000001</v>
      </c>
      <c r="Z3490">
        <v>-5.2070500000000004E-3</v>
      </c>
      <c r="AA3490">
        <v>0.99462439999999996</v>
      </c>
      <c r="AB3490">
        <v>37</v>
      </c>
      <c r="AC3490">
        <v>0.35260000000002301</v>
      </c>
      <c r="AD3490">
        <v>-9.8855999999999999E-2</v>
      </c>
      <c r="AE3490">
        <v>-8.1199999999995498E-2</v>
      </c>
      <c r="AF3490">
        <v>7.1252699927449398E-2</v>
      </c>
      <c r="AG3490">
        <v>-9.8855999999999999E-2</v>
      </c>
      <c r="AH3490">
        <v>0.32907063065055098</v>
      </c>
      <c r="AI3490">
        <v>106.36254499269999</v>
      </c>
      <c r="AJ3490">
        <v>77.782517130380597</v>
      </c>
      <c r="AK3490">
        <v>0.35090872878813101</v>
      </c>
      <c r="AL3490">
        <v>80.918972053191794</v>
      </c>
      <c r="AM3490">
        <v>83.796568400103993</v>
      </c>
      <c r="AN3490">
        <v>0.99999999115172999</v>
      </c>
    </row>
    <row r="3491" spans="1:40" x14ac:dyDescent="0.25">
      <c r="A3491" t="str">
        <f>"20190312151056422"</f>
        <v>20190312151056422</v>
      </c>
      <c r="B3491" t="str">
        <f>"1552374656414224"</f>
        <v>1552374656414224</v>
      </c>
      <c r="C3491" t="s">
        <v>40</v>
      </c>
      <c r="D3491">
        <v>4.8537100000000004</v>
      </c>
      <c r="E3491">
        <v>0.49950689999999998</v>
      </c>
      <c r="F3491" t="s">
        <v>41</v>
      </c>
      <c r="G3491">
        <v>-232.8389</v>
      </c>
      <c r="H3491">
        <v>0.97571019999999997</v>
      </c>
      <c r="I3491">
        <v>214.45189999999999</v>
      </c>
      <c r="J3491">
        <v>-233.46979999999999</v>
      </c>
      <c r="K3491">
        <v>1.1105529999999999</v>
      </c>
      <c r="L3491">
        <v>214.56469999999999</v>
      </c>
      <c r="M3491">
        <v>0.99981770000000003</v>
      </c>
      <c r="N3491">
        <v>0</v>
      </c>
      <c r="O3491">
        <v>-1.2956769999999999E-2</v>
      </c>
      <c r="P3491">
        <v>0.98243170000000002</v>
      </c>
      <c r="Q3491">
        <v>0.1436751</v>
      </c>
      <c r="R3491">
        <v>-0.1191036</v>
      </c>
      <c r="S3491">
        <v>3.0708920000000002</v>
      </c>
      <c r="T3491">
        <v>-0.41673100000000002</v>
      </c>
      <c r="U3491">
        <v>-0.36294559999999998</v>
      </c>
      <c r="V3491">
        <v>0.1063118</v>
      </c>
      <c r="W3491">
        <v>0.15749679999999999</v>
      </c>
      <c r="X3491">
        <v>0.98178030000000005</v>
      </c>
      <c r="Y3491">
        <v>0.1036739</v>
      </c>
      <c r="Z3491">
        <v>-5.2343390000000002E-3</v>
      </c>
      <c r="AA3491">
        <v>0.99459759999999997</v>
      </c>
      <c r="AB3491">
        <v>37</v>
      </c>
      <c r="AC3491">
        <v>0.63089999999999602</v>
      </c>
      <c r="AD3491">
        <v>-0.13484280000000001</v>
      </c>
      <c r="AE3491">
        <v>-0.112799999999992</v>
      </c>
      <c r="AF3491">
        <v>0.100180714732942</v>
      </c>
      <c r="AG3491">
        <v>-0.13484280000000001</v>
      </c>
      <c r="AH3491">
        <v>0.60550548291805195</v>
      </c>
      <c r="AI3491">
        <v>102.39144871256001</v>
      </c>
      <c r="AJ3491">
        <v>80.605532379016097</v>
      </c>
      <c r="AK3491">
        <v>0.62837540225574295</v>
      </c>
      <c r="AL3491">
        <v>80.938368702004595</v>
      </c>
      <c r="AM3491">
        <v>83.819823159250603</v>
      </c>
      <c r="AN3491">
        <v>0.99999999914878501</v>
      </c>
    </row>
    <row r="3492" spans="1:40" x14ac:dyDescent="0.25">
      <c r="A3492" t="str">
        <f>"20190312151056444"</f>
        <v>20190312151056444</v>
      </c>
      <c r="B3492" t="str">
        <f>"1552374656434716"</f>
        <v>1552374656434716</v>
      </c>
      <c r="C3492" t="s">
        <v>40</v>
      </c>
      <c r="D3492">
        <v>4.8662219999999996</v>
      </c>
      <c r="E3492">
        <v>0.49975570000000002</v>
      </c>
      <c r="F3492" t="s">
        <v>41</v>
      </c>
      <c r="G3492">
        <v>-232.50749999999999</v>
      </c>
      <c r="H3492">
        <v>0.98056790000000005</v>
      </c>
      <c r="I3492">
        <v>214.45079999999999</v>
      </c>
      <c r="J3492">
        <v>-233.09460000000001</v>
      </c>
      <c r="K3492">
        <v>1.1105529999999999</v>
      </c>
      <c r="L3492">
        <v>214.56</v>
      </c>
      <c r="M3492">
        <v>0.99981980000000004</v>
      </c>
      <c r="N3492">
        <v>0</v>
      </c>
      <c r="O3492">
        <v>-1.280239E-2</v>
      </c>
      <c r="P3492">
        <v>0.98246040000000001</v>
      </c>
      <c r="Q3492">
        <v>0.14364879999999999</v>
      </c>
      <c r="R3492">
        <v>-0.1188974</v>
      </c>
      <c r="S3492">
        <v>3.0702820000000002</v>
      </c>
      <c r="T3492">
        <v>-0.4148076</v>
      </c>
      <c r="U3492">
        <v>-0.36326599999999998</v>
      </c>
      <c r="V3492">
        <v>0.106257</v>
      </c>
      <c r="W3492">
        <v>0.1574681</v>
      </c>
      <c r="X3492">
        <v>0.98179079999999996</v>
      </c>
      <c r="Y3492">
        <v>0.103956199999999</v>
      </c>
      <c r="Z3492">
        <v>-5.2509879999999998E-3</v>
      </c>
      <c r="AA3492">
        <v>0.99456800000000001</v>
      </c>
      <c r="AB3492">
        <v>37</v>
      </c>
      <c r="AC3492">
        <v>0.58710000000002005</v>
      </c>
      <c r="AD3492">
        <v>-0.12998509999999999</v>
      </c>
      <c r="AE3492">
        <v>-0.10920000000001499</v>
      </c>
      <c r="AF3492">
        <v>9.7074658591021698E-2</v>
      </c>
      <c r="AG3492">
        <v>-0.12998509999999999</v>
      </c>
      <c r="AH3492">
        <v>0.56183066285291805</v>
      </c>
      <c r="AI3492">
        <v>102.842895892195</v>
      </c>
      <c r="AJ3492">
        <v>80.197063680385895</v>
      </c>
      <c r="AK3492">
        <v>0.58478484016287802</v>
      </c>
      <c r="AL3492">
        <v>80.940033545921395</v>
      </c>
      <c r="AM3492">
        <v>83.823049741058895</v>
      </c>
      <c r="AN3492">
        <v>0.99999996376562394</v>
      </c>
    </row>
    <row r="3493" spans="1:40" x14ac:dyDescent="0.25">
      <c r="A3493" t="str">
        <f>"20190312151056478"</f>
        <v>20190312151056478</v>
      </c>
      <c r="B3493" t="str">
        <f>"1552374656474732"</f>
        <v>1552374656474732</v>
      </c>
      <c r="C3493" t="s">
        <v>40</v>
      </c>
      <c r="D3493">
        <v>4.9113329999999999</v>
      </c>
      <c r="E3493">
        <v>0.50049149999999998</v>
      </c>
      <c r="F3493" t="s">
        <v>41</v>
      </c>
      <c r="G3493">
        <v>-232.17590000000001</v>
      </c>
      <c r="H3493">
        <v>0.98629429999999996</v>
      </c>
      <c r="I3493">
        <v>214.45070000000001</v>
      </c>
      <c r="J3493">
        <v>-232.54849999999999</v>
      </c>
      <c r="K3493">
        <v>1.1105529999999999</v>
      </c>
      <c r="L3493">
        <v>214.55330000000001</v>
      </c>
      <c r="M3493">
        <v>0.99982260000000001</v>
      </c>
      <c r="N3493">
        <v>0</v>
      </c>
      <c r="O3493">
        <v>-1.257755E-2</v>
      </c>
      <c r="P3493">
        <v>0.98246940000000005</v>
      </c>
      <c r="Q3493">
        <v>0.14396329999999999</v>
      </c>
      <c r="R3493">
        <v>-0.1184418</v>
      </c>
      <c r="S3493">
        <v>3.0701290000000001</v>
      </c>
      <c r="T3493">
        <v>-0.41531439999999997</v>
      </c>
      <c r="U3493">
        <v>-0.36500549999999998</v>
      </c>
      <c r="V3493">
        <v>0.10602259999999999</v>
      </c>
      <c r="W3493">
        <v>0.157779799999999</v>
      </c>
      <c r="X3493">
        <v>0.98176620000000003</v>
      </c>
      <c r="Y3493">
        <v>0.1047303</v>
      </c>
      <c r="Z3493">
        <v>-5.3395359999999998E-3</v>
      </c>
      <c r="AA3493">
        <v>0.99448630000000005</v>
      </c>
      <c r="AB3493">
        <v>37</v>
      </c>
      <c r="AC3493">
        <v>0.37259999999997701</v>
      </c>
      <c r="AD3493">
        <v>-0.1242587</v>
      </c>
      <c r="AE3493">
        <v>-0.102599999999995</v>
      </c>
      <c r="AF3493">
        <v>8.8732112522766804E-2</v>
      </c>
      <c r="AG3493">
        <v>-0.1242587</v>
      </c>
      <c r="AH3493">
        <v>0.33883332325844601</v>
      </c>
      <c r="AI3493">
        <v>109.532765093272</v>
      </c>
      <c r="AJ3493">
        <v>75.325181124791897</v>
      </c>
      <c r="AK3493">
        <v>0.37164718923840401</v>
      </c>
      <c r="AL3493">
        <v>80.921949291480701</v>
      </c>
      <c r="AM3493">
        <v>83.836417683894297</v>
      </c>
      <c r="AN3493">
        <v>1.0000000642306099</v>
      </c>
    </row>
    <row r="3494" spans="1:40" x14ac:dyDescent="0.25">
      <c r="A3494" t="str">
        <f>"20190312151056500"</f>
        <v>20190312151056500</v>
      </c>
      <c r="B3494" t="str">
        <f>"1552374656494256"</f>
        <v>1552374656494256</v>
      </c>
      <c r="C3494" t="s">
        <v>40</v>
      </c>
      <c r="D3494">
        <v>4.9692679999999996</v>
      </c>
      <c r="E3494">
        <v>0.50083540000000004</v>
      </c>
      <c r="F3494" t="s">
        <v>41</v>
      </c>
      <c r="G3494">
        <v>-231.52549999999999</v>
      </c>
      <c r="H3494">
        <v>0.97322819999999999</v>
      </c>
      <c r="I3494">
        <v>214.43020000000001</v>
      </c>
      <c r="J3494">
        <v>-232.18260000000001</v>
      </c>
      <c r="K3494">
        <v>1.1105499999999999</v>
      </c>
      <c r="L3494">
        <v>214.5488</v>
      </c>
      <c r="M3494">
        <v>0.9998245</v>
      </c>
      <c r="N3494">
        <v>0</v>
      </c>
      <c r="O3494">
        <v>-1.2426980000000001E-2</v>
      </c>
      <c r="P3494">
        <v>0.9825526</v>
      </c>
      <c r="Q3494">
        <v>0.1435747</v>
      </c>
      <c r="R3494">
        <v>-0.11822199999999999</v>
      </c>
      <c r="S3494">
        <v>3.0694119999999998</v>
      </c>
      <c r="T3494">
        <v>-0.41202650000000002</v>
      </c>
      <c r="U3494">
        <v>-0.36906430000000001</v>
      </c>
      <c r="V3494">
        <v>0.10595019999999999</v>
      </c>
      <c r="W3494">
        <v>0.1573899</v>
      </c>
      <c r="X3494">
        <v>0.98183659999999995</v>
      </c>
      <c r="Y3494">
        <v>0.10620209999999999</v>
      </c>
      <c r="Z3494">
        <v>-5.416489E-3</v>
      </c>
      <c r="AA3494">
        <v>0.99432980000000004</v>
      </c>
      <c r="AB3494">
        <v>37</v>
      </c>
      <c r="AC3494">
        <v>0.65710000000001401</v>
      </c>
      <c r="AD3494">
        <v>-0.13732179999999999</v>
      </c>
      <c r="AE3494">
        <v>-0.11859999999998599</v>
      </c>
      <c r="AF3494">
        <v>0.105943346586864</v>
      </c>
      <c r="AG3494">
        <v>-0.13732179999999999</v>
      </c>
      <c r="AH3494">
        <v>0.631800924866455</v>
      </c>
      <c r="AI3494">
        <v>102.098663299034</v>
      </c>
      <c r="AJ3494">
        <v>80.480934797280895</v>
      </c>
      <c r="AK3494">
        <v>0.65517454018251697</v>
      </c>
      <c r="AL3494">
        <v>80.944571597805904</v>
      </c>
      <c r="AM3494">
        <v>83.841032515427798</v>
      </c>
      <c r="AN3494">
        <v>1.0000000673008</v>
      </c>
    </row>
    <row r="3495" spans="1:40" x14ac:dyDescent="0.25">
      <c r="A3495" t="str">
        <f>"20190312151056522"</f>
        <v>20190312151056522</v>
      </c>
      <c r="B3495" t="str">
        <f>"1552374656514752"</f>
        <v>1552374656514752</v>
      </c>
      <c r="C3495" t="s">
        <v>40</v>
      </c>
      <c r="D3495">
        <v>4.8834059999999999</v>
      </c>
      <c r="E3495">
        <v>0.50108379999999997</v>
      </c>
      <c r="F3495" t="s">
        <v>41</v>
      </c>
      <c r="G3495">
        <v>-231.19499999999999</v>
      </c>
      <c r="H3495">
        <v>0.97845700000000002</v>
      </c>
      <c r="I3495">
        <v>214.42910000000001</v>
      </c>
      <c r="J3495">
        <v>-231.82329999999999</v>
      </c>
      <c r="K3495">
        <v>1.1105529999999999</v>
      </c>
      <c r="L3495">
        <v>214.5445</v>
      </c>
      <c r="M3495">
        <v>0.99982649999999995</v>
      </c>
      <c r="N3495">
        <v>0</v>
      </c>
      <c r="O3495">
        <v>-1.2278560000000001E-2</v>
      </c>
      <c r="P3495">
        <v>0.98254330000000001</v>
      </c>
      <c r="Q3495">
        <v>0.143483</v>
      </c>
      <c r="R3495">
        <v>-0.1184125</v>
      </c>
      <c r="S3495">
        <v>3.0685730000000002</v>
      </c>
      <c r="T3495">
        <v>-0.41052339999999998</v>
      </c>
      <c r="U3495">
        <v>-0.37124629999999997</v>
      </c>
      <c r="V3495">
        <v>0.1062869</v>
      </c>
      <c r="W3495">
        <v>0.15729570000000001</v>
      </c>
      <c r="X3495">
        <v>0.9818152</v>
      </c>
      <c r="Y3495">
        <v>0.1070755</v>
      </c>
      <c r="Z3495">
        <v>-5.4757779999999997E-3</v>
      </c>
      <c r="AA3495">
        <v>0.9942358</v>
      </c>
      <c r="AB3495">
        <v>37</v>
      </c>
      <c r="AC3495">
        <v>0.62829999999999497</v>
      </c>
      <c r="AD3495">
        <v>-0.13209599999999999</v>
      </c>
      <c r="AE3495">
        <v>-0.11539999999999299</v>
      </c>
      <c r="AF3495">
        <v>0.103260519192722</v>
      </c>
      <c r="AG3495">
        <v>-0.13209599999999999</v>
      </c>
      <c r="AH3495">
        <v>0.60384921416789406</v>
      </c>
      <c r="AI3495">
        <v>102.168191389885</v>
      </c>
      <c r="AJ3495">
        <v>80.296065096665203</v>
      </c>
      <c r="AK3495">
        <v>0.62669447220406704</v>
      </c>
      <c r="AL3495">
        <v>80.950035999079404</v>
      </c>
      <c r="AM3495">
        <v>83.821477395678201</v>
      </c>
      <c r="AN3495">
        <v>0.99999996465056895</v>
      </c>
    </row>
    <row r="3496" spans="1:40" x14ac:dyDescent="0.25">
      <c r="A3496" t="str">
        <f>"20190312151056545"</f>
        <v>20190312151056545</v>
      </c>
      <c r="B3496" t="str">
        <f>"1552374656534269"</f>
        <v>1552374656534269</v>
      </c>
      <c r="C3496" t="s">
        <v>40</v>
      </c>
      <c r="D3496">
        <v>4.8926850000000002</v>
      </c>
      <c r="E3496">
        <v>0.50144540000000004</v>
      </c>
      <c r="F3496" t="s">
        <v>41</v>
      </c>
      <c r="G3496">
        <v>-230.86539999999999</v>
      </c>
      <c r="H3496">
        <v>0.98228320000000002</v>
      </c>
      <c r="I3496">
        <v>214.42779999999999</v>
      </c>
      <c r="J3496">
        <v>-231.4495</v>
      </c>
      <c r="K3496">
        <v>1.1105529999999999</v>
      </c>
      <c r="L3496">
        <v>214.5401</v>
      </c>
      <c r="M3496">
        <v>0.99982839999999995</v>
      </c>
      <c r="N3496">
        <v>0</v>
      </c>
      <c r="O3496">
        <v>-1.2124299999999999E-2</v>
      </c>
      <c r="P3496">
        <v>0.98250090000000001</v>
      </c>
      <c r="Q3496">
        <v>0.14344709999999999</v>
      </c>
      <c r="R3496">
        <v>-0.11880880000000001</v>
      </c>
      <c r="S3496">
        <v>3.0682680000000002</v>
      </c>
      <c r="T3496">
        <v>-0.41088629999999998</v>
      </c>
      <c r="U3496">
        <v>-0.37368770000000001</v>
      </c>
      <c r="V3496">
        <v>0.10683529999999999</v>
      </c>
      <c r="W3496">
        <v>0.1572566</v>
      </c>
      <c r="X3496">
        <v>0.98176200000000002</v>
      </c>
      <c r="Y3496">
        <v>0.1080092</v>
      </c>
      <c r="Z3496">
        <v>-5.5633490000000004E-3</v>
      </c>
      <c r="AA3496">
        <v>0.99413430000000003</v>
      </c>
      <c r="AB3496">
        <v>37</v>
      </c>
      <c r="AC3496">
        <v>0.58410000000000595</v>
      </c>
      <c r="AD3496">
        <v>-0.12826979999999999</v>
      </c>
      <c r="AE3496">
        <v>-0.11230000000000399</v>
      </c>
      <c r="AF3496">
        <v>0.100533804102378</v>
      </c>
      <c r="AG3496">
        <v>-0.12826979999999999</v>
      </c>
      <c r="AH3496">
        <v>0.55940306067683099</v>
      </c>
      <c r="AI3496">
        <v>102.71757460997701</v>
      </c>
      <c r="AJ3496">
        <v>79.811776124149006</v>
      </c>
      <c r="AK3496">
        <v>0.58265939592007099</v>
      </c>
      <c r="AL3496">
        <v>80.952305020563799</v>
      </c>
      <c r="AM3496">
        <v>83.789513134810804</v>
      </c>
      <c r="AN3496">
        <v>1.0000000221068199</v>
      </c>
    </row>
    <row r="3497" spans="1:40" x14ac:dyDescent="0.25">
      <c r="A3497" t="str">
        <f>"20190312151056566"</f>
        <v>20190312151056566</v>
      </c>
      <c r="B3497" t="str">
        <f>"1552374656554765"</f>
        <v>1552374656554765</v>
      </c>
      <c r="C3497" t="s">
        <v>40</v>
      </c>
      <c r="D3497">
        <v>4.8964410000000003</v>
      </c>
      <c r="E3497">
        <v>0.50171920000000003</v>
      </c>
      <c r="F3497" t="s">
        <v>41</v>
      </c>
      <c r="G3497">
        <v>-230.535</v>
      </c>
      <c r="H3497">
        <v>0.98824210000000001</v>
      </c>
      <c r="I3497">
        <v>214.4273</v>
      </c>
      <c r="J3497">
        <v>-231.1</v>
      </c>
      <c r="K3497">
        <v>1.110549</v>
      </c>
      <c r="L3497">
        <v>214.536</v>
      </c>
      <c r="M3497">
        <v>0.99983010000000005</v>
      </c>
      <c r="N3497">
        <v>0</v>
      </c>
      <c r="O3497">
        <v>-1.198018E-2</v>
      </c>
      <c r="P3497">
        <v>0.98246330000000004</v>
      </c>
      <c r="Q3497">
        <v>0.14340890000000001</v>
      </c>
      <c r="R3497">
        <v>-0.1191637</v>
      </c>
      <c r="S3497">
        <v>3.0677029999999998</v>
      </c>
      <c r="T3497">
        <v>-0.41040280000000001</v>
      </c>
      <c r="U3497">
        <v>-0.37763980000000003</v>
      </c>
      <c r="V3497">
        <v>0.1073327</v>
      </c>
      <c r="W3497">
        <v>0.1572161</v>
      </c>
      <c r="X3497">
        <v>0.98171419999999998</v>
      </c>
      <c r="Y3497">
        <v>0.1094242</v>
      </c>
      <c r="Z3497">
        <v>-5.670446E-3</v>
      </c>
      <c r="AA3497">
        <v>0.99397899999999995</v>
      </c>
      <c r="AB3497">
        <v>37</v>
      </c>
      <c r="AC3497">
        <v>0.56499999999999695</v>
      </c>
      <c r="AD3497">
        <v>-0.1223069</v>
      </c>
      <c r="AE3497">
        <v>-0.10869999999997</v>
      </c>
      <c r="AF3497">
        <v>9.7516195973926995E-2</v>
      </c>
      <c r="AG3497">
        <v>-0.1223069</v>
      </c>
      <c r="AH3497">
        <v>0.54178000870003096</v>
      </c>
      <c r="AI3497">
        <v>102.52649148812399</v>
      </c>
      <c r="AJ3497">
        <v>79.796457081938399</v>
      </c>
      <c r="AK3497">
        <v>0.56390953537942601</v>
      </c>
      <c r="AL3497">
        <v>80.954654439611701</v>
      </c>
      <c r="AM3497">
        <v>83.760524693568598</v>
      </c>
      <c r="AN3497">
        <v>0.99999999053506905</v>
      </c>
    </row>
    <row r="3498" spans="1:40" x14ac:dyDescent="0.25">
      <c r="A3498" t="str">
        <f>"20190312151056589"</f>
        <v>20190312151056589</v>
      </c>
      <c r="B3498" t="str">
        <f>"1552374656584044"</f>
        <v>1552374656584044</v>
      </c>
      <c r="C3498" t="s">
        <v>40</v>
      </c>
      <c r="D3498">
        <v>4.9574790000000002</v>
      </c>
      <c r="E3498">
        <v>0.50192740000000002</v>
      </c>
      <c r="F3498" t="s">
        <v>41</v>
      </c>
      <c r="G3498">
        <v>-230.2062</v>
      </c>
      <c r="H3498">
        <v>0.99139089999999996</v>
      </c>
      <c r="I3498">
        <v>214.42500000000001</v>
      </c>
      <c r="J3498">
        <v>-230.7225</v>
      </c>
      <c r="K3498">
        <v>1.1105510000000001</v>
      </c>
      <c r="L3498">
        <v>214.5316</v>
      </c>
      <c r="M3498">
        <v>0.99983200000000005</v>
      </c>
      <c r="N3498">
        <v>0</v>
      </c>
      <c r="O3498">
        <v>-1.1824599999999999E-2</v>
      </c>
      <c r="P3498">
        <v>0.98244679999999995</v>
      </c>
      <c r="Q3498">
        <v>0.1437841</v>
      </c>
      <c r="R3498">
        <v>-0.11884589999999901</v>
      </c>
      <c r="S3498">
        <v>3.0670169999999999</v>
      </c>
      <c r="T3498">
        <v>-0.40886810000000001</v>
      </c>
      <c r="U3498">
        <v>-0.38110349999999998</v>
      </c>
      <c r="V3498">
        <v>0.107168</v>
      </c>
      <c r="W3498">
        <v>0.15758910000000001</v>
      </c>
      <c r="X3498">
        <v>0.9816724</v>
      </c>
      <c r="Y3498">
        <v>0.1107051</v>
      </c>
      <c r="Z3498">
        <v>-5.7555280000000002E-3</v>
      </c>
      <c r="AA3498">
        <v>0.99383659999999996</v>
      </c>
      <c r="AB3498">
        <v>37</v>
      </c>
      <c r="AC3498">
        <v>0.51630000000000098</v>
      </c>
      <c r="AD3498">
        <v>-0.1191601</v>
      </c>
      <c r="AE3498">
        <v>-0.106599999999986</v>
      </c>
      <c r="AF3498">
        <v>9.5602660960823399E-2</v>
      </c>
      <c r="AG3498">
        <v>-0.1191601</v>
      </c>
      <c r="AH3498">
        <v>0.49236983673062301</v>
      </c>
      <c r="AI3498">
        <v>103.36435990959301</v>
      </c>
      <c r="AJ3498">
        <v>79.011700189095194</v>
      </c>
      <c r="AK3498">
        <v>0.51552599773138597</v>
      </c>
      <c r="AL3498">
        <v>80.933013458899794</v>
      </c>
      <c r="AM3498">
        <v>83.769760517820899</v>
      </c>
      <c r="AN3498">
        <v>1.00000000279228</v>
      </c>
    </row>
    <row r="3499" spans="1:40" x14ac:dyDescent="0.25">
      <c r="A3499" t="str">
        <f>"20190312151056612"</f>
        <v>20190312151056612</v>
      </c>
      <c r="B3499" t="str">
        <f>"1552374656604540"</f>
        <v>1552374656604540</v>
      </c>
      <c r="C3499" t="s">
        <v>40</v>
      </c>
      <c r="D3499">
        <v>4.939025</v>
      </c>
      <c r="E3499">
        <v>0.51560269999999997</v>
      </c>
      <c r="F3499" t="s">
        <v>41</v>
      </c>
      <c r="G3499">
        <v>-229.8759</v>
      </c>
      <c r="H3499">
        <v>0.9982569</v>
      </c>
      <c r="I3499">
        <v>214.42609999999999</v>
      </c>
      <c r="J3499">
        <v>-230.35239999999999</v>
      </c>
      <c r="K3499">
        <v>1.1105609999999999</v>
      </c>
      <c r="L3499">
        <v>214.5274</v>
      </c>
      <c r="M3499">
        <v>0.99983379999999999</v>
      </c>
      <c r="N3499">
        <v>0</v>
      </c>
      <c r="O3499">
        <v>-1.16726E-2</v>
      </c>
      <c r="P3499">
        <v>0.98242490000000005</v>
      </c>
      <c r="Q3499">
        <v>0.14380219999999999</v>
      </c>
      <c r="R3499">
        <v>-0.1190055</v>
      </c>
      <c r="S3499">
        <v>3.0669400000000002</v>
      </c>
      <c r="T3499">
        <v>-0.40681149999999999</v>
      </c>
      <c r="U3499">
        <v>-0.3820038</v>
      </c>
      <c r="V3499">
        <v>0.1074774</v>
      </c>
      <c r="W3499">
        <v>0.15760460000000001</v>
      </c>
      <c r="X3499">
        <v>0.98163610000000001</v>
      </c>
      <c r="Y3499">
        <v>0.1111499</v>
      </c>
      <c r="Z3499">
        <v>-5.7761189999999997E-3</v>
      </c>
      <c r="AA3499">
        <v>0.99378690000000003</v>
      </c>
      <c r="AB3499">
        <v>37</v>
      </c>
      <c r="AC3499">
        <v>0.47649999999998699</v>
      </c>
      <c r="AD3499">
        <v>-0.1123041</v>
      </c>
      <c r="AE3499">
        <v>-0.10130000000000899</v>
      </c>
      <c r="AF3499">
        <v>9.08996349965282E-2</v>
      </c>
      <c r="AG3499">
        <v>-0.1123041</v>
      </c>
      <c r="AH3499">
        <v>0.45354606695973398</v>
      </c>
      <c r="AI3499">
        <v>103.64653354567101</v>
      </c>
      <c r="AJ3499">
        <v>78.666938943247999</v>
      </c>
      <c r="AK3499">
        <v>0.476003140088336</v>
      </c>
      <c r="AL3499">
        <v>80.932114267141202</v>
      </c>
      <c r="AM3499">
        <v>83.751686305887105</v>
      </c>
      <c r="AN3499">
        <v>1.00000001713756</v>
      </c>
    </row>
    <row r="3500" spans="1:40" x14ac:dyDescent="0.25">
      <c r="A3500" t="str">
        <f>"20190312151056634"</f>
        <v>20190312151056634</v>
      </c>
      <c r="B3500" t="str">
        <f>"1552374656624061"</f>
        <v>1552374656624061</v>
      </c>
      <c r="C3500" t="s">
        <v>40</v>
      </c>
      <c r="D3500">
        <v>4.9525969999999999</v>
      </c>
      <c r="E3500">
        <v>0.51503449999999995</v>
      </c>
      <c r="F3500" t="s">
        <v>41</v>
      </c>
      <c r="G3500">
        <v>-229.54910000000001</v>
      </c>
      <c r="H3500">
        <v>0.99816559999999999</v>
      </c>
      <c r="I3500">
        <v>214.3981</v>
      </c>
      <c r="J3500">
        <v>-229.9845</v>
      </c>
      <c r="K3500">
        <v>1.1105609999999999</v>
      </c>
      <c r="L3500">
        <v>214.5232</v>
      </c>
      <c r="M3500">
        <v>0.99983560000000005</v>
      </c>
      <c r="N3500">
        <v>0</v>
      </c>
      <c r="O3500">
        <v>-1.152096E-2</v>
      </c>
      <c r="P3500">
        <v>0.98241940000000005</v>
      </c>
      <c r="Q3500">
        <v>0.14364250000000001</v>
      </c>
      <c r="R3500">
        <v>-0.1192435</v>
      </c>
      <c r="S3500">
        <v>3.0567169999999999</v>
      </c>
      <c r="T3500">
        <v>-0.42763610000000002</v>
      </c>
      <c r="U3500">
        <v>-0.49160769999999998</v>
      </c>
      <c r="V3500">
        <v>0.1078649</v>
      </c>
      <c r="W3500">
        <v>0.15744259999999999</v>
      </c>
      <c r="X3500">
        <v>0.98161960000000004</v>
      </c>
      <c r="Y3500">
        <v>0.14612439999999999</v>
      </c>
      <c r="Z3500">
        <v>-8.5142450000000001E-3</v>
      </c>
      <c r="AA3500">
        <v>0.98922960000000004</v>
      </c>
      <c r="AB3500">
        <v>37</v>
      </c>
      <c r="AC3500">
        <v>0.43539999999998702</v>
      </c>
      <c r="AD3500">
        <v>-0.11239540000000001</v>
      </c>
      <c r="AE3500">
        <v>-0.12510000000000299</v>
      </c>
      <c r="AF3500">
        <v>0.11311223642539001</v>
      </c>
      <c r="AG3500">
        <v>-0.11239540000000001</v>
      </c>
      <c r="AH3500">
        <v>0.41148323204408199</v>
      </c>
      <c r="AI3500">
        <v>104.75531662373299</v>
      </c>
      <c r="AJ3500">
        <v>74.629658722956904</v>
      </c>
      <c r="AK3500">
        <v>0.44129984616330598</v>
      </c>
      <c r="AL3500">
        <v>80.941513593903593</v>
      </c>
      <c r="AM3500">
        <v>83.729233156558294</v>
      </c>
      <c r="AN3500">
        <v>1.0000000240254601</v>
      </c>
    </row>
    <row r="3501" spans="1:40" x14ac:dyDescent="0.25">
      <c r="A3501" t="str">
        <f>"20190312151056656"</f>
        <v>20190312151056656</v>
      </c>
      <c r="B3501" t="str">
        <f>"1552374656644649"</f>
        <v>1552374656644649</v>
      </c>
      <c r="C3501" t="s">
        <v>40</v>
      </c>
      <c r="D3501">
        <v>5.0811310000000001</v>
      </c>
      <c r="E3501">
        <v>0.51494719999999905</v>
      </c>
      <c r="F3501" t="s">
        <v>41</v>
      </c>
      <c r="G3501">
        <v>-229.22040000000001</v>
      </c>
      <c r="H3501">
        <v>1.0028699999999999</v>
      </c>
      <c r="I3501">
        <v>214.4014</v>
      </c>
      <c r="J3501">
        <v>-229.6275</v>
      </c>
      <c r="K3501">
        <v>1.1105659999999999</v>
      </c>
      <c r="L3501">
        <v>214.51929999999999</v>
      </c>
      <c r="M3501">
        <v>0.99983730000000004</v>
      </c>
      <c r="N3501">
        <v>0</v>
      </c>
      <c r="O3501">
        <v>-1.137374E-2</v>
      </c>
      <c r="P3501">
        <v>0.98241250000000002</v>
      </c>
      <c r="Q3501">
        <v>0.14361389999999999</v>
      </c>
      <c r="R3501">
        <v>-0.1193366</v>
      </c>
      <c r="S3501">
        <v>3.0575869999999998</v>
      </c>
      <c r="T3501">
        <v>-0.43095929999999999</v>
      </c>
      <c r="U3501">
        <v>-0.48689270000000001</v>
      </c>
      <c r="V3501">
        <v>0.1081028</v>
      </c>
      <c r="W3501">
        <v>0.1574111</v>
      </c>
      <c r="X3501">
        <v>0.98159839999999998</v>
      </c>
      <c r="Y3501">
        <v>0.1447309</v>
      </c>
      <c r="Z3501">
        <v>-8.5018009999999998E-3</v>
      </c>
      <c r="AA3501">
        <v>0.98943449999999999</v>
      </c>
      <c r="AB3501">
        <v>37</v>
      </c>
      <c r="AC3501">
        <v>0.40709999999998497</v>
      </c>
      <c r="AD3501">
        <v>-0.107695999999999</v>
      </c>
      <c r="AE3501">
        <v>-0.117899999999991</v>
      </c>
      <c r="AF3501">
        <v>0.106392126926858</v>
      </c>
      <c r="AG3501">
        <v>-0.107695999999999</v>
      </c>
      <c r="AH3501">
        <v>0.38364360285730698</v>
      </c>
      <c r="AI3501">
        <v>105.136783346813</v>
      </c>
      <c r="AJ3501">
        <v>74.500230254012706</v>
      </c>
      <c r="AK3501">
        <v>0.41243196663371701</v>
      </c>
      <c r="AL3501">
        <v>80.943340472095599</v>
      </c>
      <c r="AM3501">
        <v>83.715378647567206</v>
      </c>
      <c r="AN3501">
        <v>0.99999994432680295</v>
      </c>
    </row>
    <row r="3502" spans="1:40" x14ac:dyDescent="0.25">
      <c r="A3502" t="str">
        <f>"20190312151056679"</f>
        <v>20190312151056679</v>
      </c>
      <c r="B3502" t="str">
        <f>"1552374656673929"</f>
        <v>1552374656673929</v>
      </c>
      <c r="C3502" t="s">
        <v>40</v>
      </c>
      <c r="D3502">
        <v>5.0185979999999999</v>
      </c>
      <c r="E3502">
        <v>0.51562299999999905</v>
      </c>
      <c r="F3502" t="s">
        <v>41</v>
      </c>
      <c r="G3502">
        <v>-228.8931</v>
      </c>
      <c r="H3502">
        <v>1.005134</v>
      </c>
      <c r="I3502">
        <v>214.4023</v>
      </c>
      <c r="J3502">
        <v>-229.25380000000001</v>
      </c>
      <c r="K3502">
        <v>1.1105700000000001</v>
      </c>
      <c r="L3502">
        <v>214.51519999999999</v>
      </c>
      <c r="M3502">
        <v>0.99983909999999998</v>
      </c>
      <c r="N3502">
        <v>0</v>
      </c>
      <c r="O3502">
        <v>-1.121947E-2</v>
      </c>
      <c r="P3502">
        <v>0.98240780000000005</v>
      </c>
      <c r="Q3502">
        <v>0.14367249999999901</v>
      </c>
      <c r="R3502">
        <v>-0.11930350000000001</v>
      </c>
      <c r="S3502">
        <v>3.0587620000000002</v>
      </c>
      <c r="T3502">
        <v>-0.43910480000000002</v>
      </c>
      <c r="U3502">
        <v>-0.48683169999999998</v>
      </c>
      <c r="V3502">
        <v>0.1082215</v>
      </c>
      <c r="W3502">
        <v>0.1574671</v>
      </c>
      <c r="X3502">
        <v>0.98157640000000002</v>
      </c>
      <c r="Y3502">
        <v>0.14475569999999999</v>
      </c>
      <c r="Z3502">
        <v>-8.6813120000000001E-3</v>
      </c>
      <c r="AA3502">
        <v>0.98942940000000001</v>
      </c>
      <c r="AB3502">
        <v>37</v>
      </c>
      <c r="AC3502">
        <v>0.36070000000000801</v>
      </c>
      <c r="AD3502">
        <v>-0.105436</v>
      </c>
      <c r="AE3502">
        <v>-0.112899999999996</v>
      </c>
      <c r="AF3502">
        <v>0.100986776638316</v>
      </c>
      <c r="AG3502">
        <v>-0.105436</v>
      </c>
      <c r="AH3502">
        <v>0.33581105982544501</v>
      </c>
      <c r="AI3502">
        <v>106.734595716359</v>
      </c>
      <c r="AJ3502">
        <v>73.262654473571999</v>
      </c>
      <c r="AK3502">
        <v>0.36617502243174099</v>
      </c>
      <c r="AL3502">
        <v>80.940091940817297</v>
      </c>
      <c r="AM3502">
        <v>83.708393378912206</v>
      </c>
      <c r="AN3502">
        <v>1.00000000484081</v>
      </c>
    </row>
    <row r="3503" spans="1:40" x14ac:dyDescent="0.25">
      <c r="A3503" t="str">
        <f>"20190312151056703"</f>
        <v>20190312151056703</v>
      </c>
      <c r="B3503" t="str">
        <f>"1552374656694425"</f>
        <v>1552374656694425</v>
      </c>
      <c r="C3503" t="s">
        <v>40</v>
      </c>
      <c r="D3503">
        <v>5.023498</v>
      </c>
      <c r="E3503">
        <v>0.51582829999999902</v>
      </c>
      <c r="F3503" t="s">
        <v>41</v>
      </c>
      <c r="G3503">
        <v>-228.25720000000001</v>
      </c>
      <c r="H3503">
        <v>0.97144649999999999</v>
      </c>
      <c r="I3503">
        <v>214.35470000000001</v>
      </c>
      <c r="J3503">
        <v>-228.876</v>
      </c>
      <c r="K3503">
        <v>1.1105640000000001</v>
      </c>
      <c r="L3503">
        <v>214.5111</v>
      </c>
      <c r="M3503">
        <v>0.99984070000000003</v>
      </c>
      <c r="N3503">
        <v>0</v>
      </c>
      <c r="O3503">
        <v>-1.1063190000000001E-2</v>
      </c>
      <c r="P3503">
        <v>0.98239849999999995</v>
      </c>
      <c r="Q3503">
        <v>0.14329890000000001</v>
      </c>
      <c r="R3503">
        <v>-0.11982760000000001</v>
      </c>
      <c r="S3503">
        <v>3.0563199999999999</v>
      </c>
      <c r="T3503">
        <v>-0.42665389999999997</v>
      </c>
      <c r="U3503">
        <v>-0.49237059999999999</v>
      </c>
      <c r="V3503">
        <v>0.1089</v>
      </c>
      <c r="W3503">
        <v>0.15709089999999901</v>
      </c>
      <c r="X3503">
        <v>0.98156169999999998</v>
      </c>
      <c r="Y3503">
        <v>0.1468325</v>
      </c>
      <c r="Z3503">
        <v>-8.6078319999999993E-3</v>
      </c>
      <c r="AA3503">
        <v>0.98912389999999994</v>
      </c>
      <c r="AB3503">
        <v>36</v>
      </c>
      <c r="AC3503">
        <v>0.61879999999996405</v>
      </c>
      <c r="AD3503">
        <v>-0.13911749999999901</v>
      </c>
      <c r="AE3503">
        <v>-0.15639999999998999</v>
      </c>
      <c r="AF3503">
        <v>0.14276149244081701</v>
      </c>
      <c r="AG3503">
        <v>-0.13911749999999901</v>
      </c>
      <c r="AH3503">
        <v>0.59235096804896903</v>
      </c>
      <c r="AI3503">
        <v>102.861265287932</v>
      </c>
      <c r="AJ3503">
        <v>76.449654967617704</v>
      </c>
      <c r="AK3503">
        <v>0.62499135344317402</v>
      </c>
      <c r="AL3503">
        <v>80.961918815234696</v>
      </c>
      <c r="AM3503">
        <v>83.669173082310607</v>
      </c>
      <c r="AN3503">
        <v>1.00000006588484</v>
      </c>
    </row>
    <row r="3504" spans="1:40" x14ac:dyDescent="0.25">
      <c r="A3504" t="str">
        <f>"20190312151056725"</f>
        <v>20190312151056725</v>
      </c>
      <c r="B3504" t="str">
        <f>"1552374656713946"</f>
        <v>1552374656713946</v>
      </c>
      <c r="C3504" t="s">
        <v>40</v>
      </c>
      <c r="D3504">
        <v>5.0221499999999999</v>
      </c>
      <c r="E3504">
        <v>0.51628509999999905</v>
      </c>
      <c r="F3504" t="s">
        <v>41</v>
      </c>
      <c r="G3504">
        <v>-227.928</v>
      </c>
      <c r="H3504">
        <v>0.97945360000000004</v>
      </c>
      <c r="I3504">
        <v>214.3571</v>
      </c>
      <c r="J3504">
        <v>-228.50970000000001</v>
      </c>
      <c r="K3504">
        <v>1.1105659999999999</v>
      </c>
      <c r="L3504">
        <v>214.50720000000001</v>
      </c>
      <c r="M3504">
        <v>0.99984249999999997</v>
      </c>
      <c r="N3504">
        <v>0</v>
      </c>
      <c r="O3504">
        <v>-1.091203E-2</v>
      </c>
      <c r="P3504">
        <v>0.98236420000000002</v>
      </c>
      <c r="Q3504">
        <v>0.1431192</v>
      </c>
      <c r="R3504">
        <v>-0.1203221</v>
      </c>
      <c r="S3504">
        <v>3.0549469999999999</v>
      </c>
      <c r="T3504">
        <v>-0.42254150000000001</v>
      </c>
      <c r="U3504">
        <v>-0.4955444</v>
      </c>
      <c r="V3504">
        <v>0.1095438</v>
      </c>
      <c r="W3504">
        <v>0.15690860000000001</v>
      </c>
      <c r="X3504">
        <v>0.98151920000000004</v>
      </c>
      <c r="Y3504">
        <v>0.148064</v>
      </c>
      <c r="Z3504">
        <v>-8.6335790000000006E-3</v>
      </c>
      <c r="AA3504">
        <v>0.98894009999999999</v>
      </c>
      <c r="AB3504">
        <v>36</v>
      </c>
      <c r="AC3504">
        <v>0.58170000000001199</v>
      </c>
      <c r="AD3504">
        <v>-0.13111239999999899</v>
      </c>
      <c r="AE3504">
        <v>-0.150100000000009</v>
      </c>
      <c r="AF3504">
        <v>0.13720750514117</v>
      </c>
      <c r="AG3504">
        <v>-0.13111239999999899</v>
      </c>
      <c r="AH3504">
        <v>0.55678297737386495</v>
      </c>
      <c r="AI3504">
        <v>102.87884241968899</v>
      </c>
      <c r="AJ3504">
        <v>76.156482305046396</v>
      </c>
      <c r="AK3504">
        <v>0.58823774512872695</v>
      </c>
      <c r="AL3504">
        <v>80.972494816943694</v>
      </c>
      <c r="AM3504">
        <v>83.631779299119501</v>
      </c>
      <c r="AN3504">
        <v>1.0000000464205101</v>
      </c>
    </row>
    <row r="3505" spans="1:40" x14ac:dyDescent="0.25">
      <c r="A3505" t="str">
        <f>"20190312151056746"</f>
        <v>20190312151056746</v>
      </c>
      <c r="B3505" t="str">
        <f>"1552374656734442"</f>
        <v>1552374656734442</v>
      </c>
      <c r="C3505" t="s">
        <v>40</v>
      </c>
      <c r="D3505">
        <v>5.0294119999999998</v>
      </c>
      <c r="E3505">
        <v>0.51666000000000001</v>
      </c>
      <c r="F3505" t="s">
        <v>41</v>
      </c>
      <c r="G3505">
        <v>-227.60079999999999</v>
      </c>
      <c r="H3505">
        <v>0.98393140000000001</v>
      </c>
      <c r="I3505">
        <v>214.35820000000001</v>
      </c>
      <c r="J3505">
        <v>-228.166</v>
      </c>
      <c r="K3505">
        <v>1.1105750000000001</v>
      </c>
      <c r="L3505">
        <v>214.50360000000001</v>
      </c>
      <c r="M3505">
        <v>0.99984419999999996</v>
      </c>
      <c r="N3505">
        <v>0</v>
      </c>
      <c r="O3505">
        <v>-1.0769809999999999E-2</v>
      </c>
      <c r="P3505">
        <v>0.98233950000000003</v>
      </c>
      <c r="Q3505">
        <v>0.14297699999999999</v>
      </c>
      <c r="R3505">
        <v>-0.120695</v>
      </c>
      <c r="S3505">
        <v>3.0545200000000001</v>
      </c>
      <c r="T3505">
        <v>-0.42553160000000001</v>
      </c>
      <c r="U3505">
        <v>-0.50071719999999997</v>
      </c>
      <c r="V3505">
        <v>0.11005669999999999</v>
      </c>
      <c r="W3505">
        <v>0.15676399999999999</v>
      </c>
      <c r="X3505">
        <v>0.98148489999999999</v>
      </c>
      <c r="Y3505">
        <v>0.14982190000000001</v>
      </c>
      <c r="Z3505">
        <v>-8.8347789999999992E-3</v>
      </c>
      <c r="AA3505">
        <v>0.98867349999999998</v>
      </c>
      <c r="AB3505">
        <v>36</v>
      </c>
      <c r="AC3505">
        <v>0.56520000000000403</v>
      </c>
      <c r="AD3505">
        <v>-0.1266436</v>
      </c>
      <c r="AE3505">
        <v>-0.14539999999999501</v>
      </c>
      <c r="AF3505">
        <v>0.13303902141160001</v>
      </c>
      <c r="AG3505">
        <v>-0.1266436</v>
      </c>
      <c r="AH3505">
        <v>0.54124584842196299</v>
      </c>
      <c r="AI3505">
        <v>102.801492979535</v>
      </c>
      <c r="AJ3505">
        <v>76.190387188192602</v>
      </c>
      <c r="AK3505">
        <v>0.57156368942850699</v>
      </c>
      <c r="AL3505">
        <v>80.980883350621298</v>
      </c>
      <c r="AM3505">
        <v>83.601987296714299</v>
      </c>
      <c r="AN3505">
        <v>1.00000001891944</v>
      </c>
    </row>
    <row r="3506" spans="1:40" x14ac:dyDescent="0.25">
      <c r="A3506" t="str">
        <f>"20190312151056768"</f>
        <v>20190312151056768</v>
      </c>
      <c r="B3506" t="str">
        <f>"1552374656764698"</f>
        <v>1552374656764698</v>
      </c>
      <c r="C3506" t="s">
        <v>40</v>
      </c>
      <c r="D3506">
        <v>5.0372589999999997</v>
      </c>
      <c r="E3506">
        <v>0.51714780000000005</v>
      </c>
      <c r="F3506" t="s">
        <v>41</v>
      </c>
      <c r="G3506">
        <v>-227.2749</v>
      </c>
      <c r="H3506">
        <v>0.98597230000000002</v>
      </c>
      <c r="I3506">
        <v>214.3563</v>
      </c>
      <c r="J3506">
        <v>-227.80459999999999</v>
      </c>
      <c r="K3506">
        <v>1.1105750000000001</v>
      </c>
      <c r="L3506">
        <v>214.49979999999999</v>
      </c>
      <c r="M3506">
        <v>0.99984569999999995</v>
      </c>
      <c r="N3506">
        <v>0</v>
      </c>
      <c r="O3506">
        <v>-1.06202E-2</v>
      </c>
      <c r="P3506">
        <v>0.98226089999999999</v>
      </c>
      <c r="Q3506">
        <v>0.14340129999999901</v>
      </c>
      <c r="R3506">
        <v>-0.1208274</v>
      </c>
      <c r="S3506">
        <v>3.0540919999999998</v>
      </c>
      <c r="T3506">
        <v>-0.42704589999999998</v>
      </c>
      <c r="U3506">
        <v>-0.50473020000000002</v>
      </c>
      <c r="V3506">
        <v>0.11033750000000001</v>
      </c>
      <c r="W3506">
        <v>0.15718499999999999</v>
      </c>
      <c r="X3506">
        <v>0.98138599999999998</v>
      </c>
      <c r="Y3506">
        <v>0.15123249999999999</v>
      </c>
      <c r="Z3506">
        <v>-8.9843719999999992E-3</v>
      </c>
      <c r="AA3506">
        <v>0.98845740000000004</v>
      </c>
      <c r="AB3506">
        <v>36</v>
      </c>
      <c r="AC3506">
        <v>0.52969999999999096</v>
      </c>
      <c r="AD3506">
        <v>-0.1246027</v>
      </c>
      <c r="AE3506">
        <v>-0.143499999999988</v>
      </c>
      <c r="AF3506">
        <v>0.13110713345810801</v>
      </c>
      <c r="AG3506">
        <v>-0.1246027</v>
      </c>
      <c r="AH3506">
        <v>0.50515312948370905</v>
      </c>
      <c r="AI3506">
        <v>103.428156575324</v>
      </c>
      <c r="AJ3506">
        <v>75.450506687347499</v>
      </c>
      <c r="AK3506">
        <v>0.536558102648797</v>
      </c>
      <c r="AL3506">
        <v>80.956458717723905</v>
      </c>
      <c r="AM3506">
        <v>83.585158196079504</v>
      </c>
      <c r="AN3506">
        <v>0.99999998456362404</v>
      </c>
    </row>
    <row r="3507" spans="1:40" x14ac:dyDescent="0.25">
      <c r="A3507" t="str">
        <f>"20190312151056791"</f>
        <v>20190312151056791</v>
      </c>
      <c r="B3507" t="str">
        <f>"1552374656784217"</f>
        <v>1552374656784217</v>
      </c>
      <c r="C3507" t="s">
        <v>40</v>
      </c>
      <c r="D3507">
        <v>5.0820610000000004</v>
      </c>
      <c r="E3507">
        <v>0.51750509999999905</v>
      </c>
      <c r="F3507" t="s">
        <v>41</v>
      </c>
      <c r="G3507">
        <v>-226.94800000000001</v>
      </c>
      <c r="H3507">
        <v>0.99051560000000005</v>
      </c>
      <c r="I3507">
        <v>214.35720000000001</v>
      </c>
      <c r="J3507">
        <v>-227.43940000000001</v>
      </c>
      <c r="K3507">
        <v>1.110579</v>
      </c>
      <c r="L3507">
        <v>214.49610000000001</v>
      </c>
      <c r="M3507">
        <v>0.99984740000000005</v>
      </c>
      <c r="N3507">
        <v>0</v>
      </c>
      <c r="O3507">
        <v>-1.046916E-2</v>
      </c>
      <c r="P3507">
        <v>0.98218870000000003</v>
      </c>
      <c r="Q3507">
        <v>0.14357690000000001</v>
      </c>
      <c r="R3507">
        <v>-0.12120590000000001</v>
      </c>
      <c r="S3507">
        <v>3.0540769999999999</v>
      </c>
      <c r="T3507">
        <v>-0.42808469999999998</v>
      </c>
      <c r="U3507">
        <v>-0.50874330000000001</v>
      </c>
      <c r="V3507">
        <v>0.1108653</v>
      </c>
      <c r="W3507">
        <v>0.15735739999999901</v>
      </c>
      <c r="X3507">
        <v>0.98129889999999997</v>
      </c>
      <c r="Y3507">
        <v>0.1526257</v>
      </c>
      <c r="Z3507">
        <v>-9.1225490000000006E-3</v>
      </c>
      <c r="AA3507">
        <v>0.98824199999999995</v>
      </c>
      <c r="AB3507">
        <v>36</v>
      </c>
      <c r="AC3507">
        <v>0.49140000000002698</v>
      </c>
      <c r="AD3507">
        <v>-0.1200634</v>
      </c>
      <c r="AE3507">
        <v>-0.13890000000000599</v>
      </c>
      <c r="AF3507">
        <v>0.126741085500752</v>
      </c>
      <c r="AG3507">
        <v>-0.1200634</v>
      </c>
      <c r="AH3507">
        <v>0.46701098623182202</v>
      </c>
      <c r="AI3507">
        <v>103.934514622411</v>
      </c>
      <c r="AJ3507">
        <v>74.816338340215793</v>
      </c>
      <c r="AK3507">
        <v>0.49857575556247002</v>
      </c>
      <c r="AL3507">
        <v>80.946456579716696</v>
      </c>
      <c r="AM3507">
        <v>83.554163107223701</v>
      </c>
      <c r="AN3507">
        <v>0.99999999861002997</v>
      </c>
    </row>
    <row r="3508" spans="1:40" x14ac:dyDescent="0.25">
      <c r="A3508" t="str">
        <f>"20190312151056813"</f>
        <v>20190312151056813</v>
      </c>
      <c r="B3508" t="str">
        <f>"1552374656804713"</f>
        <v>1552374656804713</v>
      </c>
      <c r="C3508" t="s">
        <v>40</v>
      </c>
      <c r="D3508">
        <v>5.1413970000000004</v>
      </c>
      <c r="E3508">
        <v>0.51798299999999997</v>
      </c>
      <c r="F3508" t="s">
        <v>41</v>
      </c>
      <c r="G3508">
        <v>-226.62129999999999</v>
      </c>
      <c r="H3508">
        <v>0.99535859999999998</v>
      </c>
      <c r="I3508">
        <v>214.3587</v>
      </c>
      <c r="J3508">
        <v>-227.08680000000001</v>
      </c>
      <c r="K3508">
        <v>1.1105799999999999</v>
      </c>
      <c r="L3508">
        <v>214.49260000000001</v>
      </c>
      <c r="M3508">
        <v>0.99984890000000004</v>
      </c>
      <c r="N3508">
        <v>0</v>
      </c>
      <c r="O3508">
        <v>-1.0323250000000001E-2</v>
      </c>
      <c r="P3508">
        <v>0.98209820000000003</v>
      </c>
      <c r="Q3508">
        <v>0.14363219999999999</v>
      </c>
      <c r="R3508">
        <v>-0.1218742</v>
      </c>
      <c r="S3508">
        <v>3.0540620000000001</v>
      </c>
      <c r="T3508">
        <v>-0.43017640000000001</v>
      </c>
      <c r="U3508">
        <v>-0.51243590000000006</v>
      </c>
      <c r="V3508">
        <v>0.1116779</v>
      </c>
      <c r="W3508">
        <v>0.1574092</v>
      </c>
      <c r="X3508">
        <v>0.98119840000000003</v>
      </c>
      <c r="Y3508">
        <v>0.1539063</v>
      </c>
      <c r="Z3508">
        <v>-9.2752860000000006E-3</v>
      </c>
      <c r="AA3508">
        <v>0.98804190000000003</v>
      </c>
      <c r="AB3508">
        <v>36</v>
      </c>
      <c r="AC3508">
        <v>0.46550000000002001</v>
      </c>
      <c r="AD3508">
        <v>-0.115221399999999</v>
      </c>
      <c r="AE3508">
        <v>-0.13390000000001101</v>
      </c>
      <c r="AF3508">
        <v>0.12217370643475201</v>
      </c>
      <c r="AG3508">
        <v>-0.115221399999999</v>
      </c>
      <c r="AH3508">
        <v>0.44185517913551298</v>
      </c>
      <c r="AI3508">
        <v>104.108294019845</v>
      </c>
      <c r="AJ3508">
        <v>74.543788013732495</v>
      </c>
      <c r="AK3508">
        <v>0.472692696041351</v>
      </c>
      <c r="AL3508">
        <v>80.943450804723497</v>
      </c>
      <c r="AM3508">
        <v>83.506660235381105</v>
      </c>
      <c r="AN3508">
        <v>0.99999995487780402</v>
      </c>
    </row>
    <row r="3509" spans="1:40" x14ac:dyDescent="0.25">
      <c r="A3509" t="str">
        <f>"20190312151056834"</f>
        <v>20190312151056834</v>
      </c>
      <c r="B3509" t="str">
        <f>"1552374656824233"</f>
        <v>1552374656824233</v>
      </c>
      <c r="C3509" t="s">
        <v>40</v>
      </c>
      <c r="D3509">
        <v>5.0417239999999897</v>
      </c>
      <c r="E3509">
        <v>0.51814510000000003</v>
      </c>
      <c r="F3509" t="s">
        <v>41</v>
      </c>
      <c r="G3509">
        <v>-226.2955</v>
      </c>
      <c r="H3509">
        <v>0.99880829999999998</v>
      </c>
      <c r="I3509">
        <v>214.35820000000001</v>
      </c>
      <c r="J3509">
        <v>-226.72309999999999</v>
      </c>
      <c r="K3509">
        <v>1.110581</v>
      </c>
      <c r="L3509">
        <v>214.489</v>
      </c>
      <c r="M3509">
        <v>0.99985049999999998</v>
      </c>
      <c r="N3509">
        <v>0</v>
      </c>
      <c r="O3509">
        <v>-1.0172560000000001E-2</v>
      </c>
      <c r="P3509">
        <v>0.98200860000000001</v>
      </c>
      <c r="Q3509">
        <v>0.143512</v>
      </c>
      <c r="R3509">
        <v>-0.1227333</v>
      </c>
      <c r="S3509">
        <v>3.0534520000000001</v>
      </c>
      <c r="T3509">
        <v>-0.43135259999999997</v>
      </c>
      <c r="U3509">
        <v>-0.51841740000000003</v>
      </c>
      <c r="V3509">
        <v>0.1126862</v>
      </c>
      <c r="W3509">
        <v>0.15728629999999999</v>
      </c>
      <c r="X3509">
        <v>0.9811029</v>
      </c>
      <c r="Y3509">
        <v>0.15594040000000001</v>
      </c>
      <c r="Z3509">
        <v>-9.4637269999999999E-3</v>
      </c>
      <c r="AA3509">
        <v>0.98772110000000002</v>
      </c>
      <c r="AB3509">
        <v>36</v>
      </c>
      <c r="AC3509">
        <v>0.42759999999998399</v>
      </c>
      <c r="AD3509">
        <v>-0.111772699999999</v>
      </c>
      <c r="AE3509">
        <v>-0.13079999999999301</v>
      </c>
      <c r="AF3509">
        <v>0.119007302530782</v>
      </c>
      <c r="AG3509">
        <v>-0.111772699999999</v>
      </c>
      <c r="AH3509">
        <v>0.403685807161142</v>
      </c>
      <c r="AI3509">
        <v>104.873289361205</v>
      </c>
      <c r="AJ3509">
        <v>73.574388227815305</v>
      </c>
      <c r="AK3509">
        <v>0.435451610887233</v>
      </c>
      <c r="AL3509">
        <v>80.950581965391393</v>
      </c>
      <c r="AM3509">
        <v>83.447909439376403</v>
      </c>
      <c r="AN3509">
        <v>1.0000000301132601</v>
      </c>
    </row>
    <row r="3510" spans="1:40" x14ac:dyDescent="0.25">
      <c r="A3510" t="str">
        <f>"20190312151056857"</f>
        <v>20190312151056857</v>
      </c>
      <c r="B3510" t="str">
        <f>"1552374656854489"</f>
        <v>1552374656854489</v>
      </c>
      <c r="C3510" t="s">
        <v>40</v>
      </c>
      <c r="D3510">
        <v>5.0752689999999996</v>
      </c>
      <c r="E3510">
        <v>0.51841689999999996</v>
      </c>
      <c r="F3510" t="s">
        <v>41</v>
      </c>
      <c r="G3510">
        <v>-225.9692</v>
      </c>
      <c r="H3510">
        <v>1.0038229999999999</v>
      </c>
      <c r="I3510">
        <v>214.35990000000001</v>
      </c>
      <c r="J3510">
        <v>-226.35990000000001</v>
      </c>
      <c r="K3510">
        <v>1.110579</v>
      </c>
      <c r="L3510">
        <v>214.4854</v>
      </c>
      <c r="M3510">
        <v>0.99985210000000002</v>
      </c>
      <c r="N3510">
        <v>0</v>
      </c>
      <c r="O3510">
        <v>-1.0022349999999999E-2</v>
      </c>
      <c r="P3510">
        <v>0.98201970000000005</v>
      </c>
      <c r="Q3510">
        <v>0.14341999999999999</v>
      </c>
      <c r="R3510">
        <v>-0.122752399999999</v>
      </c>
      <c r="S3510">
        <v>3.0528870000000001</v>
      </c>
      <c r="T3510">
        <v>-0.4323997</v>
      </c>
      <c r="U3510">
        <v>-0.52221679999999904</v>
      </c>
      <c r="V3510">
        <v>0.1128531</v>
      </c>
      <c r="W3510">
        <v>0.1571921</v>
      </c>
      <c r="X3510">
        <v>0.98109880000000005</v>
      </c>
      <c r="Y3510">
        <v>0.15729179999999901</v>
      </c>
      <c r="Z3510">
        <v>-9.6027869999999998E-3</v>
      </c>
      <c r="AA3510">
        <v>0.98750550000000004</v>
      </c>
      <c r="AB3510">
        <v>36</v>
      </c>
      <c r="AC3510">
        <v>0.39070000000000898</v>
      </c>
      <c r="AD3510">
        <v>-0.106756</v>
      </c>
      <c r="AE3510">
        <v>-0.12549999999998801</v>
      </c>
      <c r="AF3510">
        <v>0.113870961786047</v>
      </c>
      <c r="AG3510">
        <v>-0.106756</v>
      </c>
      <c r="AH3510">
        <v>0.36709392447967698</v>
      </c>
      <c r="AI3510">
        <v>105.523038082116</v>
      </c>
      <c r="AJ3510">
        <v>72.766333966142199</v>
      </c>
      <c r="AK3510">
        <v>0.39890022419644</v>
      </c>
      <c r="AL3510">
        <v>80.956047092035107</v>
      </c>
      <c r="AM3510">
        <v>83.438262496781306</v>
      </c>
      <c r="AN3510">
        <v>1.00000001692173</v>
      </c>
    </row>
    <row r="3511" spans="1:40" x14ac:dyDescent="0.25">
      <c r="A3511" t="str">
        <f>"20190312151056880"</f>
        <v>20190312151056880</v>
      </c>
      <c r="B3511" t="str">
        <f>"1552374656874009"</f>
        <v>1552374656874009</v>
      </c>
      <c r="C3511" t="s">
        <v>40</v>
      </c>
      <c r="D3511">
        <v>5.0527739999999897</v>
      </c>
      <c r="E3511">
        <v>0.51873619999999998</v>
      </c>
      <c r="F3511" t="s">
        <v>41</v>
      </c>
      <c r="G3511">
        <v>-225.6431</v>
      </c>
      <c r="H3511">
        <v>1.008893</v>
      </c>
      <c r="I3511">
        <v>214.3622</v>
      </c>
      <c r="J3511">
        <v>-225.98849999999999</v>
      </c>
      <c r="K3511">
        <v>1.1105689999999999</v>
      </c>
      <c r="L3511">
        <v>214.4819</v>
      </c>
      <c r="M3511">
        <v>0.99985360000000001</v>
      </c>
      <c r="N3511">
        <v>0</v>
      </c>
      <c r="O3511">
        <v>-9.8686940000000008E-3</v>
      </c>
      <c r="P3511">
        <v>0.98206599999999999</v>
      </c>
      <c r="Q3511">
        <v>0.1429416</v>
      </c>
      <c r="R3511">
        <v>-0.1229398</v>
      </c>
      <c r="S3511">
        <v>3.0525359999999999</v>
      </c>
      <c r="T3511">
        <v>-0.43298599999999998</v>
      </c>
      <c r="U3511">
        <v>-0.5250397</v>
      </c>
      <c r="V3511">
        <v>0.11319129999999999</v>
      </c>
      <c r="W3511">
        <v>0.15671179999999901</v>
      </c>
      <c r="X3511">
        <v>0.98113669999999997</v>
      </c>
      <c r="Y3511">
        <v>0.1583339</v>
      </c>
      <c r="Z3511">
        <v>-9.7105609999999995E-3</v>
      </c>
      <c r="AA3511">
        <v>0.98733789999999999</v>
      </c>
      <c r="AB3511">
        <v>36</v>
      </c>
      <c r="AC3511">
        <v>0.345399999999983</v>
      </c>
      <c r="AD3511">
        <v>-0.101676</v>
      </c>
      <c r="AE3511">
        <v>-0.11969999999999401</v>
      </c>
      <c r="AF3511">
        <v>0.107934976487254</v>
      </c>
      <c r="AG3511">
        <v>-0.101676</v>
      </c>
      <c r="AH3511">
        <v>0.32167844658878297</v>
      </c>
      <c r="AI3511">
        <v>106.681411004487</v>
      </c>
      <c r="AJ3511">
        <v>71.4514987959313</v>
      </c>
      <c r="AK3511">
        <v>0.35421037693025997</v>
      </c>
      <c r="AL3511">
        <v>80.983911823055706</v>
      </c>
      <c r="AM3511">
        <v>83.419022423808201</v>
      </c>
      <c r="AN3511">
        <v>1.0000000413709</v>
      </c>
    </row>
    <row r="3512" spans="1:40" x14ac:dyDescent="0.25">
      <c r="A3512" t="str">
        <f>"20190312151056904"</f>
        <v>20190312151056904</v>
      </c>
      <c r="B3512" t="str">
        <f>"1552374656894506"</f>
        <v>1552374656894506</v>
      </c>
      <c r="C3512" t="s">
        <v>40</v>
      </c>
      <c r="D3512">
        <v>5.1098879999999998</v>
      </c>
      <c r="E3512">
        <v>0.53525159999999905</v>
      </c>
      <c r="F3512" t="s">
        <v>41</v>
      </c>
      <c r="G3512">
        <v>-225.01349999999999</v>
      </c>
      <c r="H3512">
        <v>0.9722461</v>
      </c>
      <c r="I3512">
        <v>214.31290000000001</v>
      </c>
      <c r="J3512">
        <v>-225.6174</v>
      </c>
      <c r="K3512">
        <v>1.110571</v>
      </c>
      <c r="L3512">
        <v>214.47839999999999</v>
      </c>
      <c r="M3512">
        <v>0.99985500000000005</v>
      </c>
      <c r="N3512">
        <v>0</v>
      </c>
      <c r="O3512">
        <v>-9.7179090000000003E-3</v>
      </c>
      <c r="P3512">
        <v>0.98209789999999997</v>
      </c>
      <c r="Q3512">
        <v>0.1423807</v>
      </c>
      <c r="R3512">
        <v>-0.12333620000000001</v>
      </c>
      <c r="S3512">
        <v>3.0516359999999998</v>
      </c>
      <c r="T3512">
        <v>-0.43292999999999998</v>
      </c>
      <c r="U3512">
        <v>-0.5287018</v>
      </c>
      <c r="V3512">
        <v>0.1137363</v>
      </c>
      <c r="W3512">
        <v>0.15614900000000001</v>
      </c>
      <c r="X3512">
        <v>0.98116340000000002</v>
      </c>
      <c r="Y3512">
        <v>0.15966729999999901</v>
      </c>
      <c r="Z3512">
        <v>-9.8256960000000001E-3</v>
      </c>
      <c r="AA3512">
        <v>0.98712200000000005</v>
      </c>
      <c r="AB3512">
        <v>36</v>
      </c>
      <c r="AC3512">
        <v>0.60390000000000998</v>
      </c>
      <c r="AD3512">
        <v>-0.1383249</v>
      </c>
      <c r="AE3512">
        <v>-0.16549999999998</v>
      </c>
      <c r="AF3512">
        <v>0.152195806194242</v>
      </c>
      <c r="AG3512">
        <v>-0.1383249</v>
      </c>
      <c r="AH3512">
        <v>0.57730734021445196</v>
      </c>
      <c r="AI3512">
        <v>103.044561783186</v>
      </c>
      <c r="AJ3512">
        <v>75.231117135292095</v>
      </c>
      <c r="AK3512">
        <v>0.61284672345425095</v>
      </c>
      <c r="AL3512">
        <v>81.016559775597898</v>
      </c>
      <c r="AM3512">
        <v>83.387794242968297</v>
      </c>
      <c r="AN3512">
        <v>1.00000003681912</v>
      </c>
    </row>
    <row r="3513" spans="1:40" x14ac:dyDescent="0.25">
      <c r="A3513" t="str">
        <f>"20190312151056925"</f>
        <v>20190312151056925</v>
      </c>
      <c r="B3513" t="str">
        <f>"1552374656914025"</f>
        <v>1552374656914025</v>
      </c>
      <c r="C3513" t="s">
        <v>40</v>
      </c>
      <c r="D3513">
        <v>5.0444319999999996</v>
      </c>
      <c r="E3513">
        <v>0.53245159999999903</v>
      </c>
      <c r="F3513" t="s">
        <v>41</v>
      </c>
      <c r="G3513">
        <v>-224.6934</v>
      </c>
      <c r="H3513">
        <v>0.96447930000000004</v>
      </c>
      <c r="I3513">
        <v>214.2773</v>
      </c>
      <c r="J3513">
        <v>-225.2679</v>
      </c>
      <c r="K3513">
        <v>1.1105689999999999</v>
      </c>
      <c r="L3513">
        <v>214.4751</v>
      </c>
      <c r="M3513">
        <v>0.99985639999999998</v>
      </c>
      <c r="N3513">
        <v>0</v>
      </c>
      <c r="O3513">
        <v>-9.5790660000000007E-3</v>
      </c>
      <c r="P3513">
        <v>0.98210140000000001</v>
      </c>
      <c r="Q3513">
        <v>0.1421666</v>
      </c>
      <c r="R3513">
        <v>-0.1235551</v>
      </c>
      <c r="S3513">
        <v>3.0413510000000001</v>
      </c>
      <c r="T3513">
        <v>-0.48092069999999998</v>
      </c>
      <c r="U3513">
        <v>-0.66140750000000004</v>
      </c>
      <c r="V3513">
        <v>0.1140926</v>
      </c>
      <c r="W3513">
        <v>0.1559323</v>
      </c>
      <c r="X3513">
        <v>0.98115649999999999</v>
      </c>
      <c r="Y3513">
        <v>0.20086490000000001</v>
      </c>
      <c r="Z3513">
        <v>-1.411597E-2</v>
      </c>
      <c r="AA3513">
        <v>0.97951730000000004</v>
      </c>
      <c r="AB3513">
        <v>36</v>
      </c>
      <c r="AC3513">
        <v>0.57450000000000001</v>
      </c>
      <c r="AD3513">
        <v>-0.14608969999999999</v>
      </c>
      <c r="AE3513">
        <v>-0.1978</v>
      </c>
      <c r="AF3513">
        <v>0.18177850377299701</v>
      </c>
      <c r="AG3513">
        <v>-0.14608969999999999</v>
      </c>
      <c r="AH3513">
        <v>0.54486938375629201</v>
      </c>
      <c r="AI3513">
        <v>104.26993310096699</v>
      </c>
      <c r="AJ3513">
        <v>71.550347731973403</v>
      </c>
      <c r="AK3513">
        <v>0.59267889302302701</v>
      </c>
      <c r="AL3513">
        <v>81.029129778246002</v>
      </c>
      <c r="AM3513">
        <v>83.367218336277503</v>
      </c>
      <c r="AN3513">
        <v>1.0000000405251399</v>
      </c>
    </row>
    <row r="3514" spans="1:40" x14ac:dyDescent="0.25">
      <c r="A3514" t="str">
        <f>"20190312151056947"</f>
        <v>20190312151056947</v>
      </c>
      <c r="B3514" t="str">
        <f>"1552374656944281"</f>
        <v>1552374656944281</v>
      </c>
      <c r="C3514" t="s">
        <v>40</v>
      </c>
      <c r="D3514">
        <v>4.953894</v>
      </c>
      <c r="E3514">
        <v>0.53126759999999995</v>
      </c>
      <c r="F3514" t="s">
        <v>41</v>
      </c>
      <c r="G3514">
        <v>-224.3629</v>
      </c>
      <c r="H3514">
        <v>0.98164200000000001</v>
      </c>
      <c r="I3514">
        <v>214.28440000000001</v>
      </c>
      <c r="J3514">
        <v>-224.91980000000001</v>
      </c>
      <c r="K3514">
        <v>1.1105590000000001</v>
      </c>
      <c r="L3514">
        <v>214.47190000000001</v>
      </c>
      <c r="M3514">
        <v>0.99985769999999996</v>
      </c>
      <c r="N3514">
        <v>0</v>
      </c>
      <c r="O3514">
        <v>-9.4483659999999997E-3</v>
      </c>
      <c r="P3514">
        <v>0.982047</v>
      </c>
      <c r="Q3514">
        <v>0.14192750000000001</v>
      </c>
      <c r="R3514">
        <v>-0.1242593</v>
      </c>
      <c r="S3514">
        <v>3.0368040000000001</v>
      </c>
      <c r="T3514">
        <v>-0.4325774</v>
      </c>
      <c r="U3514">
        <v>-0.6398315</v>
      </c>
      <c r="V3514">
        <v>0.114928</v>
      </c>
      <c r="W3514">
        <v>0.1556892</v>
      </c>
      <c r="X3514">
        <v>0.98109760000000001</v>
      </c>
      <c r="Y3514">
        <v>0.1951166</v>
      </c>
      <c r="Z3514">
        <v>-1.235438E-2</v>
      </c>
      <c r="AA3514">
        <v>0.98070219999999997</v>
      </c>
      <c r="AB3514">
        <v>36</v>
      </c>
      <c r="AC3514">
        <v>0.55690000000001205</v>
      </c>
      <c r="AD3514">
        <v>-0.128917</v>
      </c>
      <c r="AE3514">
        <v>-0.1875</v>
      </c>
      <c r="AF3514">
        <v>0.17386108423212099</v>
      </c>
      <c r="AG3514">
        <v>-0.128917</v>
      </c>
      <c r="AH3514">
        <v>0.53299300021688401</v>
      </c>
      <c r="AI3514">
        <v>102.94999233353801</v>
      </c>
      <c r="AJ3514">
        <v>71.933793602374905</v>
      </c>
      <c r="AK3514">
        <v>0.57526412001754801</v>
      </c>
      <c r="AL3514">
        <v>81.043230559271606</v>
      </c>
      <c r="AM3514">
        <v>83.318692284319098</v>
      </c>
      <c r="AN3514">
        <v>1.00000003645319</v>
      </c>
    </row>
    <row r="3515" spans="1:40" x14ac:dyDescent="0.25">
      <c r="A3515" t="str">
        <f>"20190312151056969"</f>
        <v>20190312151056969</v>
      </c>
      <c r="B3515" t="str">
        <f>"1552374656964777"</f>
        <v>1552374656964777</v>
      </c>
      <c r="C3515" t="s">
        <v>40</v>
      </c>
      <c r="D3515">
        <v>5.1079040000000004</v>
      </c>
      <c r="E3515">
        <v>0.53199989999999997</v>
      </c>
      <c r="F3515" t="s">
        <v>41</v>
      </c>
      <c r="G3515">
        <v>-224.03710000000001</v>
      </c>
      <c r="H3515">
        <v>0.98884870000000002</v>
      </c>
      <c r="I3515">
        <v>214.2876</v>
      </c>
      <c r="J3515">
        <v>-224.56049999999999</v>
      </c>
      <c r="K3515">
        <v>1.110557</v>
      </c>
      <c r="L3515">
        <v>214.46870000000001</v>
      </c>
      <c r="M3515">
        <v>0.99985889999999999</v>
      </c>
      <c r="N3515">
        <v>0</v>
      </c>
      <c r="O3515">
        <v>-9.3263119999999998E-3</v>
      </c>
      <c r="P3515">
        <v>0.98204270000000005</v>
      </c>
      <c r="Q3515">
        <v>0.14188419999999999</v>
      </c>
      <c r="R3515">
        <v>-0.1243427</v>
      </c>
      <c r="S3515">
        <v>3.0352779999999999</v>
      </c>
      <c r="T3515">
        <v>-0.41868090000000002</v>
      </c>
      <c r="U3515">
        <v>-0.63275150000000002</v>
      </c>
      <c r="V3515">
        <v>0.11513470000000001</v>
      </c>
      <c r="W3515">
        <v>0.15564120000000001</v>
      </c>
      <c r="X3515">
        <v>0.98108090000000003</v>
      </c>
      <c r="Y3515">
        <v>0.19327</v>
      </c>
      <c r="Z3515">
        <v>-1.186093E-2</v>
      </c>
      <c r="AA3515">
        <v>0.98107390000000005</v>
      </c>
      <c r="AB3515">
        <v>36</v>
      </c>
      <c r="AC3515">
        <v>0.52339999999998099</v>
      </c>
      <c r="AD3515">
        <v>-0.12170830000000001</v>
      </c>
      <c r="AE3515">
        <v>-0.181100000000014</v>
      </c>
      <c r="AF3515">
        <v>0.168092933750872</v>
      </c>
      <c r="AG3515">
        <v>-0.12170830000000001</v>
      </c>
      <c r="AH3515">
        <v>0.50087862808704997</v>
      </c>
      <c r="AI3515">
        <v>102.972533892366</v>
      </c>
      <c r="AJ3515">
        <v>71.448446195504602</v>
      </c>
      <c r="AK3515">
        <v>0.54216929527614399</v>
      </c>
      <c r="AL3515">
        <v>81.046013981116005</v>
      </c>
      <c r="AM3515">
        <v>83.306671866086404</v>
      </c>
      <c r="AN3515">
        <v>0.99999995731316904</v>
      </c>
    </row>
    <row r="3516" spans="1:40" x14ac:dyDescent="0.25">
      <c r="A3516" t="str">
        <f>"20190312151056992"</f>
        <v>20190312151056992</v>
      </c>
      <c r="B3516" t="str">
        <f>"1552374656984298"</f>
        <v>1552374656984298</v>
      </c>
      <c r="C3516" t="s">
        <v>40</v>
      </c>
      <c r="D3516">
        <v>5.1633190000000004</v>
      </c>
      <c r="E3516">
        <v>0.53271480000000004</v>
      </c>
      <c r="F3516" t="s">
        <v>41</v>
      </c>
      <c r="G3516">
        <v>-223.714</v>
      </c>
      <c r="H3516">
        <v>0.99102190000000001</v>
      </c>
      <c r="I3516">
        <v>214.29050000000001</v>
      </c>
      <c r="J3516">
        <v>-224.19319999999999</v>
      </c>
      <c r="K3516">
        <v>1.110549</v>
      </c>
      <c r="L3516">
        <v>214.46539999999999</v>
      </c>
      <c r="M3516">
        <v>0.99985990000000002</v>
      </c>
      <c r="N3516">
        <v>0</v>
      </c>
      <c r="O3516">
        <v>-9.2210290000000004E-3</v>
      </c>
      <c r="P3516">
        <v>0.9820854</v>
      </c>
      <c r="Q3516">
        <v>0.14167639999999901</v>
      </c>
      <c r="R3516">
        <v>-0.1242422</v>
      </c>
      <c r="S3516">
        <v>3.0359340000000001</v>
      </c>
      <c r="T3516">
        <v>-0.428813</v>
      </c>
      <c r="U3516">
        <v>-0.6387024</v>
      </c>
      <c r="V3516">
        <v>0.1151426</v>
      </c>
      <c r="W3516">
        <v>0.15542779999999901</v>
      </c>
      <c r="X3516">
        <v>0.98111389999999998</v>
      </c>
      <c r="Y3516">
        <v>0.1950749</v>
      </c>
      <c r="Z3516">
        <v>-1.228046E-2</v>
      </c>
      <c r="AA3516">
        <v>0.98071149999999996</v>
      </c>
      <c r="AB3516">
        <v>36</v>
      </c>
      <c r="AC3516">
        <v>0.47919999999996299</v>
      </c>
      <c r="AD3516">
        <v>-0.119527099999999</v>
      </c>
      <c r="AE3516">
        <v>-0.17489999999997899</v>
      </c>
      <c r="AF3516">
        <v>0.16160119569736101</v>
      </c>
      <c r="AG3516">
        <v>-0.119527099999999</v>
      </c>
      <c r="AH3516">
        <v>0.45576988851567102</v>
      </c>
      <c r="AI3516">
        <v>103.883845608629</v>
      </c>
      <c r="AJ3516">
        <v>70.477147024497796</v>
      </c>
      <c r="AK3516">
        <v>0.49812434728972499</v>
      </c>
      <c r="AL3516">
        <v>81.058392384229904</v>
      </c>
      <c r="AM3516">
        <v>83.3064398729326</v>
      </c>
      <c r="AN3516">
        <v>1.0000000520604</v>
      </c>
    </row>
    <row r="3517" spans="1:40" x14ac:dyDescent="0.25">
      <c r="A3517" t="str">
        <f>"20190312151057014"</f>
        <v>20190312151057014</v>
      </c>
      <c r="B3517" t="str">
        <f>"1552374657004793"</f>
        <v>1552374657004793</v>
      </c>
      <c r="C3517" t="s">
        <v>40</v>
      </c>
      <c r="D3517">
        <v>5.1987100000000002</v>
      </c>
      <c r="E3517">
        <v>0.53354919999999995</v>
      </c>
      <c r="F3517" t="s">
        <v>41</v>
      </c>
      <c r="G3517">
        <v>-223.3904</v>
      </c>
      <c r="H3517">
        <v>0.99494760000000004</v>
      </c>
      <c r="I3517">
        <v>214.29490000000001</v>
      </c>
      <c r="J3517">
        <v>-223.83750000000001</v>
      </c>
      <c r="K3517">
        <v>1.110533</v>
      </c>
      <c r="L3517">
        <v>214.4622</v>
      </c>
      <c r="M3517">
        <v>0.99986059999999999</v>
      </c>
      <c r="N3517">
        <v>0</v>
      </c>
      <c r="O3517">
        <v>-9.1443189999999997E-3</v>
      </c>
      <c r="P3517">
        <v>0.98212960000000005</v>
      </c>
      <c r="Q3517">
        <v>0.14180799999999999</v>
      </c>
      <c r="R3517">
        <v>-0.1237403</v>
      </c>
      <c r="S3517">
        <v>3.0363159999999998</v>
      </c>
      <c r="T3517">
        <v>-0.43729669999999998</v>
      </c>
      <c r="U3517">
        <v>-0.64410400000000001</v>
      </c>
      <c r="V3517">
        <v>0.114722699999999</v>
      </c>
      <c r="W3517">
        <v>0.15555260000000001</v>
      </c>
      <c r="X3517">
        <v>0.98114319999999999</v>
      </c>
      <c r="Y3517">
        <v>0.19670940000000001</v>
      </c>
      <c r="Z3517">
        <v>-1.2643959999999999E-2</v>
      </c>
      <c r="AA3517">
        <v>0.98038029999999998</v>
      </c>
      <c r="AB3517">
        <v>36</v>
      </c>
      <c r="AC3517">
        <v>0.44710000000000599</v>
      </c>
      <c r="AD3517">
        <v>-0.11558539999999901</v>
      </c>
      <c r="AE3517">
        <v>-0.16729999999998299</v>
      </c>
      <c r="AF3517">
        <v>0.15416614340975501</v>
      </c>
      <c r="AG3517">
        <v>-0.11558539999999901</v>
      </c>
      <c r="AH3517">
        <v>0.42376778361755901</v>
      </c>
      <c r="AI3517">
        <v>104.37661555859501</v>
      </c>
      <c r="AJ3517">
        <v>70.008682017637597</v>
      </c>
      <c r="AK3517">
        <v>0.46551725950724498</v>
      </c>
      <c r="AL3517">
        <v>81.051152857761906</v>
      </c>
      <c r="AM3517">
        <v>83.330826908274801</v>
      </c>
      <c r="AN3517">
        <v>0.99999994408414306</v>
      </c>
    </row>
    <row r="3518" spans="1:40" x14ac:dyDescent="0.25">
      <c r="A3518" t="str">
        <f>"20190312151057035"</f>
        <v>20190312151057035</v>
      </c>
      <c r="B3518" t="str">
        <f>"1552374657024313"</f>
        <v>1552374657024313</v>
      </c>
      <c r="C3518" t="s">
        <v>40</v>
      </c>
      <c r="D3518">
        <v>5.1192359999999999</v>
      </c>
      <c r="E3518">
        <v>0.53383740000000002</v>
      </c>
      <c r="F3518" t="s">
        <v>41</v>
      </c>
      <c r="G3518">
        <v>-223.06780000000001</v>
      </c>
      <c r="H3518">
        <v>0.99720629999999999</v>
      </c>
      <c r="I3518">
        <v>214.29750000000001</v>
      </c>
      <c r="J3518">
        <v>-223.48519999999999</v>
      </c>
      <c r="K3518">
        <v>1.110517</v>
      </c>
      <c r="L3518">
        <v>214.459</v>
      </c>
      <c r="M3518">
        <v>0.99986120000000001</v>
      </c>
      <c r="N3518">
        <v>0</v>
      </c>
      <c r="O3518">
        <v>-9.0931640000000008E-3</v>
      </c>
      <c r="P3518">
        <v>0.98214780000000002</v>
      </c>
      <c r="Q3518">
        <v>0.1423354</v>
      </c>
      <c r="R3518">
        <v>-0.1229905</v>
      </c>
      <c r="S3518">
        <v>3.0373230000000002</v>
      </c>
      <c r="T3518">
        <v>-0.44724350000000002</v>
      </c>
      <c r="U3518">
        <v>-0.64952089999999996</v>
      </c>
      <c r="V3518">
        <v>0.1140309</v>
      </c>
      <c r="W3518">
        <v>0.15607219999999999</v>
      </c>
      <c r="X3518">
        <v>0.98114140000000005</v>
      </c>
      <c r="Y3518">
        <v>0.19826659999999999</v>
      </c>
      <c r="Z3518">
        <v>-1.304233E-2</v>
      </c>
      <c r="AA3518">
        <v>0.98006139999999997</v>
      </c>
      <c r="AB3518">
        <v>36</v>
      </c>
      <c r="AC3518">
        <v>0.417399999999986</v>
      </c>
      <c r="AD3518">
        <v>-0.1133107</v>
      </c>
      <c r="AE3518">
        <v>-0.16149999999998901</v>
      </c>
      <c r="AF3518">
        <v>0.148198139305844</v>
      </c>
      <c r="AG3518">
        <v>-0.1133107</v>
      </c>
      <c r="AH3518">
        <v>0.393620800174043</v>
      </c>
      <c r="AI3518">
        <v>105.077839698293</v>
      </c>
      <c r="AJ3518">
        <v>69.368655812749196</v>
      </c>
      <c r="AK3518">
        <v>0.43559079140617601</v>
      </c>
      <c r="AL3518">
        <v>81.021014488517906</v>
      </c>
      <c r="AM3518">
        <v>83.370672218143994</v>
      </c>
      <c r="AN3518">
        <v>1.0000000122807999</v>
      </c>
    </row>
    <row r="3519" spans="1:40" x14ac:dyDescent="0.25">
      <c r="A3519" t="str">
        <f>"20190312151057059"</f>
        <v>20190312151057059</v>
      </c>
      <c r="B3519" t="str">
        <f>"1552374657054265"</f>
        <v>1552374657054265</v>
      </c>
      <c r="C3519" t="s">
        <v>40</v>
      </c>
      <c r="D3519">
        <v>5.11517</v>
      </c>
      <c r="E3519">
        <v>0.53436419999999996</v>
      </c>
      <c r="F3519" t="s">
        <v>41</v>
      </c>
      <c r="G3519">
        <v>-222.74449999999999</v>
      </c>
      <c r="H3519">
        <v>1.00126</v>
      </c>
      <c r="I3519">
        <v>214.3005</v>
      </c>
      <c r="J3519">
        <v>-223.1258</v>
      </c>
      <c r="K3519">
        <v>1.1105020000000001</v>
      </c>
      <c r="L3519">
        <v>214.45580000000001</v>
      </c>
      <c r="M3519">
        <v>0.99986149999999996</v>
      </c>
      <c r="N3519">
        <v>0</v>
      </c>
      <c r="O3519">
        <v>-9.0622559999999994E-3</v>
      </c>
      <c r="P3519">
        <v>0.982186</v>
      </c>
      <c r="Q3519">
        <v>0.142619</v>
      </c>
      <c r="R3519">
        <v>-0.1223557</v>
      </c>
      <c r="S3519">
        <v>3.0381770000000001</v>
      </c>
      <c r="T3519">
        <v>-0.44822260000000003</v>
      </c>
      <c r="U3519">
        <v>-0.64933779999999997</v>
      </c>
      <c r="V3519">
        <v>0.1134337</v>
      </c>
      <c r="W3519">
        <v>0.1563486</v>
      </c>
      <c r="X3519">
        <v>0.9811666</v>
      </c>
      <c r="Y3519">
        <v>0.1981772</v>
      </c>
      <c r="Z3519">
        <v>-1.30651E-2</v>
      </c>
      <c r="AA3519">
        <v>0.98007909999999998</v>
      </c>
      <c r="AB3519">
        <v>36</v>
      </c>
      <c r="AC3519">
        <v>0.38130000000001002</v>
      </c>
      <c r="AD3519">
        <v>-0.10924200000000001</v>
      </c>
      <c r="AE3519">
        <v>-0.15530000000001101</v>
      </c>
      <c r="AF3519">
        <v>0.14185113607988001</v>
      </c>
      <c r="AG3519">
        <v>-0.10924200000000001</v>
      </c>
      <c r="AH3519">
        <v>0.35752135689115999</v>
      </c>
      <c r="AI3519">
        <v>105.855368242125</v>
      </c>
      <c r="AJ3519">
        <v>68.358668858764403</v>
      </c>
      <c r="AK3519">
        <v>0.39984632048381902</v>
      </c>
      <c r="AL3519">
        <v>81.004980931252504</v>
      </c>
      <c r="AM3519">
        <v>83.405252434382106</v>
      </c>
      <c r="AN3519">
        <v>0.99999999298660402</v>
      </c>
    </row>
    <row r="3520" spans="1:40" x14ac:dyDescent="0.25">
      <c r="A3520" t="str">
        <f>"20190312151057082"</f>
        <v>20190312151057082</v>
      </c>
      <c r="B3520" t="str">
        <f>"1552374657074762"</f>
        <v>1552374657074762</v>
      </c>
      <c r="C3520" t="s">
        <v>40</v>
      </c>
      <c r="D3520">
        <v>5.098916</v>
      </c>
      <c r="E3520">
        <v>0.53484160000000003</v>
      </c>
      <c r="F3520" t="s">
        <v>41</v>
      </c>
      <c r="G3520">
        <v>-222.11959999999999</v>
      </c>
      <c r="H3520">
        <v>0.96210660000000003</v>
      </c>
      <c r="I3520">
        <v>214.2397</v>
      </c>
      <c r="J3520">
        <v>-222.74600000000001</v>
      </c>
      <c r="K3520">
        <v>1.110482</v>
      </c>
      <c r="L3520">
        <v>214.45240000000001</v>
      </c>
      <c r="M3520">
        <v>0.99986149999999996</v>
      </c>
      <c r="N3520">
        <v>0</v>
      </c>
      <c r="O3520">
        <v>-9.0647820000000004E-3</v>
      </c>
      <c r="P3520">
        <v>0.98228899999999997</v>
      </c>
      <c r="Q3520">
        <v>0.14277889999999999</v>
      </c>
      <c r="R3520">
        <v>-0.121337</v>
      </c>
      <c r="S3520">
        <v>3.0383</v>
      </c>
      <c r="T3520">
        <v>-0.44817089999999998</v>
      </c>
      <c r="U3520">
        <v>-0.65182499999999999</v>
      </c>
      <c r="V3520">
        <v>0.1124206</v>
      </c>
      <c r="W3520">
        <v>0.15650120000000001</v>
      </c>
      <c r="X3520">
        <v>0.98125890000000004</v>
      </c>
      <c r="Y3520">
        <v>0.19892699999999999</v>
      </c>
      <c r="Z3520">
        <v>-1.3116040000000001E-2</v>
      </c>
      <c r="AA3520">
        <v>0.97992650000000003</v>
      </c>
      <c r="AB3520">
        <v>36</v>
      </c>
      <c r="AC3520">
        <v>0.62639999999998897</v>
      </c>
      <c r="AD3520">
        <v>-0.14837539999999999</v>
      </c>
      <c r="AE3520">
        <v>-0.21270000000001199</v>
      </c>
      <c r="AF3520">
        <v>0.19709716072501701</v>
      </c>
      <c r="AG3520">
        <v>-0.14837539999999999</v>
      </c>
      <c r="AH3520">
        <v>0.59820845561756197</v>
      </c>
      <c r="AI3520">
        <v>103.25580485295499</v>
      </c>
      <c r="AJ3520">
        <v>71.764030596401895</v>
      </c>
      <c r="AK3520">
        <v>0.64708261177640303</v>
      </c>
      <c r="AL3520">
        <v>80.996128893301403</v>
      </c>
      <c r="AM3520">
        <v>83.464249044079196</v>
      </c>
      <c r="AN3520">
        <v>1.0000000228674999</v>
      </c>
    </row>
    <row r="3521" spans="1:40" x14ac:dyDescent="0.25">
      <c r="A3521" t="str">
        <f>"20190312151057104"</f>
        <v>20190312151057104</v>
      </c>
      <c r="B3521" t="str">
        <f>"1552374657094282"</f>
        <v>1552374657094282</v>
      </c>
      <c r="C3521" t="s">
        <v>40</v>
      </c>
      <c r="D3521">
        <v>5.1222880000000002</v>
      </c>
      <c r="E3521">
        <v>0.5355955</v>
      </c>
      <c r="F3521" t="s">
        <v>41</v>
      </c>
      <c r="G3521">
        <v>-221.7955</v>
      </c>
      <c r="H3521">
        <v>0.9700105</v>
      </c>
      <c r="I3521">
        <v>214.24809999999999</v>
      </c>
      <c r="J3521">
        <v>-222.3991</v>
      </c>
      <c r="K3521">
        <v>1.1104609999999999</v>
      </c>
      <c r="L3521">
        <v>214.44919999999999</v>
      </c>
      <c r="M3521">
        <v>0.99986109999999995</v>
      </c>
      <c r="N3521">
        <v>0</v>
      </c>
      <c r="O3521">
        <v>-9.0962850000000008E-3</v>
      </c>
      <c r="P3521">
        <v>0.9823691</v>
      </c>
      <c r="Q3521">
        <v>0.14276359999999999</v>
      </c>
      <c r="R3521">
        <v>-0.1207048</v>
      </c>
      <c r="S3521">
        <v>3.0387270000000002</v>
      </c>
      <c r="T3521">
        <v>-0.44910689999999998</v>
      </c>
      <c r="U3521">
        <v>-0.65299989999999997</v>
      </c>
      <c r="V3521">
        <v>0.1117658</v>
      </c>
      <c r="W3521">
        <v>0.1564786</v>
      </c>
      <c r="X3521">
        <v>0.98133720000000002</v>
      </c>
      <c r="Y3521">
        <v>0.19922000000000001</v>
      </c>
      <c r="Z3521">
        <v>-1.315756E-2</v>
      </c>
      <c r="AA3521">
        <v>0.97986640000000003</v>
      </c>
      <c r="AB3521">
        <v>36</v>
      </c>
      <c r="AC3521">
        <v>0.60360000000000003</v>
      </c>
      <c r="AD3521">
        <v>-0.14045050000000001</v>
      </c>
      <c r="AE3521">
        <v>-0.201099999999996</v>
      </c>
      <c r="AF3521">
        <v>0.186511154523055</v>
      </c>
      <c r="AG3521">
        <v>-0.14045050000000001</v>
      </c>
      <c r="AH3521">
        <v>0.57727159819282803</v>
      </c>
      <c r="AI3521">
        <v>103.035271532538</v>
      </c>
      <c r="AJ3521">
        <v>72.094831471648604</v>
      </c>
      <c r="AK3521">
        <v>0.62269996932059901</v>
      </c>
      <c r="AL3521">
        <v>80.997439025775506</v>
      </c>
      <c r="AM3521">
        <v>83.502504397040596</v>
      </c>
      <c r="AN3521">
        <v>0.99999992320571696</v>
      </c>
    </row>
    <row r="3522" spans="1:40" x14ac:dyDescent="0.25">
      <c r="A3522" t="str">
        <f>"20190312151057125"</f>
        <v>20190312151057125</v>
      </c>
      <c r="B3522" t="str">
        <f>"1552374657114777"</f>
        <v>1552374657114777</v>
      </c>
      <c r="C3522" t="s">
        <v>40</v>
      </c>
      <c r="D3522">
        <v>5.2631940000000004</v>
      </c>
      <c r="E3522">
        <v>0.53639969999999904</v>
      </c>
      <c r="F3522" t="s">
        <v>41</v>
      </c>
      <c r="G3522">
        <v>-221.47389999999999</v>
      </c>
      <c r="H3522">
        <v>0.97288300000000005</v>
      </c>
      <c r="I3522">
        <v>214.24870000000001</v>
      </c>
      <c r="J3522">
        <v>-222.05029999999999</v>
      </c>
      <c r="K3522">
        <v>1.11043</v>
      </c>
      <c r="L3522">
        <v>214.446</v>
      </c>
      <c r="M3522">
        <v>0.99986050000000004</v>
      </c>
      <c r="N3522">
        <v>0</v>
      </c>
      <c r="O3522">
        <v>-9.1728859999999999E-3</v>
      </c>
      <c r="P3522">
        <v>0.98240340000000004</v>
      </c>
      <c r="Q3522">
        <v>0.1426828</v>
      </c>
      <c r="R3522">
        <v>-0.12052110000000001</v>
      </c>
      <c r="S3522">
        <v>3.0387119999999999</v>
      </c>
      <c r="T3522">
        <v>-0.451928</v>
      </c>
      <c r="U3522">
        <v>-0.65751649999999995</v>
      </c>
      <c r="V3522">
        <v>0.11151899999999999</v>
      </c>
      <c r="W3522">
        <v>0.15638729999999901</v>
      </c>
      <c r="X3522">
        <v>0.98137989999999997</v>
      </c>
      <c r="Y3522">
        <v>0.20050080000000001</v>
      </c>
      <c r="Z3522">
        <v>-1.3319849999999999E-2</v>
      </c>
      <c r="AA3522">
        <v>0.979603</v>
      </c>
      <c r="AB3522">
        <v>36</v>
      </c>
      <c r="AC3522">
        <v>0.57640000000000602</v>
      </c>
      <c r="AD3522">
        <v>-0.137547</v>
      </c>
      <c r="AE3522">
        <v>-0.19729999999998399</v>
      </c>
      <c r="AF3522">
        <v>0.18269167584254101</v>
      </c>
      <c r="AG3522">
        <v>-0.137547</v>
      </c>
      <c r="AH3522">
        <v>0.550143529682939</v>
      </c>
      <c r="AI3522">
        <v>103.34823485259101</v>
      </c>
      <c r="AJ3522">
        <v>71.629703925768595</v>
      </c>
      <c r="AK3522">
        <v>0.59577959757208798</v>
      </c>
      <c r="AL3522">
        <v>81.002735955909102</v>
      </c>
      <c r="AM3522">
        <v>83.517009490059493</v>
      </c>
      <c r="AN3522">
        <v>0.99999999154315</v>
      </c>
    </row>
    <row r="3523" spans="1:40" x14ac:dyDescent="0.25">
      <c r="A3523" t="str">
        <f>"20190312151057147"</f>
        <v>20190312151057147</v>
      </c>
      <c r="B3523" t="str">
        <f>"1552374657144746"</f>
        <v>1552374657144746</v>
      </c>
      <c r="C3523" t="s">
        <v>40</v>
      </c>
      <c r="D3523">
        <v>5.1042389999999997</v>
      </c>
      <c r="E3523">
        <v>0.53730679999999997</v>
      </c>
      <c r="F3523" t="s">
        <v>41</v>
      </c>
      <c r="G3523">
        <v>-221.15280000000001</v>
      </c>
      <c r="H3523">
        <v>0.97500010000000004</v>
      </c>
      <c r="I3523">
        <v>214.24979999999999</v>
      </c>
      <c r="J3523">
        <v>-221.69630000000001</v>
      </c>
      <c r="K3523">
        <v>1.1103809999999901</v>
      </c>
      <c r="L3523">
        <v>214.4426</v>
      </c>
      <c r="M3523">
        <v>0.99985919999999895</v>
      </c>
      <c r="N3523">
        <v>0</v>
      </c>
      <c r="O3523">
        <v>-9.3170019999999996E-3</v>
      </c>
      <c r="P3523">
        <v>0.98236069999999998</v>
      </c>
      <c r="Q3523">
        <v>0.14245469999999999</v>
      </c>
      <c r="R3523">
        <v>-0.12113740000000001</v>
      </c>
      <c r="S3523">
        <v>3.0389560000000002</v>
      </c>
      <c r="T3523">
        <v>-0.45864729999999998</v>
      </c>
      <c r="U3523">
        <v>-0.66361999999999999</v>
      </c>
      <c r="V3523">
        <v>0.1120126</v>
      </c>
      <c r="W3523">
        <v>0.1561438</v>
      </c>
      <c r="X3523">
        <v>0.98136250000000003</v>
      </c>
      <c r="Y3523">
        <v>0.2021471</v>
      </c>
      <c r="Z3523">
        <v>-1.361265E-2</v>
      </c>
      <c r="AA3523">
        <v>0.97926060000000004</v>
      </c>
      <c r="AB3523">
        <v>36</v>
      </c>
      <c r="AC3523">
        <v>0.54349999999999399</v>
      </c>
      <c r="AD3523">
        <v>-0.135380899999999</v>
      </c>
      <c r="AE3523">
        <v>-0.192800000000005</v>
      </c>
      <c r="AF3523">
        <v>0.17792186819660899</v>
      </c>
      <c r="AG3523">
        <v>-0.135380899999999</v>
      </c>
      <c r="AH3523">
        <v>0.51679190413913201</v>
      </c>
      <c r="AI3523">
        <v>103.911899364658</v>
      </c>
      <c r="AJ3523">
        <v>71.002364436260805</v>
      </c>
      <c r="AK3523">
        <v>0.56307908099229798</v>
      </c>
      <c r="AL3523">
        <v>81.016861375536806</v>
      </c>
      <c r="AM3523">
        <v>83.488446228553201</v>
      </c>
      <c r="AN3523">
        <v>1.00000003262172</v>
      </c>
    </row>
    <row r="3524" spans="1:40" x14ac:dyDescent="0.25">
      <c r="A3524" t="str">
        <f>"20190312151057170"</f>
        <v>20190312151057170</v>
      </c>
      <c r="B3524" t="str">
        <f>"1552374657164269"</f>
        <v>1552374657164269</v>
      </c>
      <c r="C3524" t="s">
        <v>40</v>
      </c>
      <c r="D3524">
        <v>5.1008550000000001</v>
      </c>
      <c r="E3524">
        <v>0.53796279999999996</v>
      </c>
      <c r="F3524" t="s">
        <v>41</v>
      </c>
      <c r="G3524">
        <v>-220.8312</v>
      </c>
      <c r="H3524">
        <v>0.97857890000000003</v>
      </c>
      <c r="I3524">
        <v>214.2509</v>
      </c>
      <c r="J3524">
        <v>-221.33250000000001</v>
      </c>
      <c r="K3524">
        <v>1.110311</v>
      </c>
      <c r="L3524">
        <v>214.4391</v>
      </c>
      <c r="M3524">
        <v>0.99985710000000005</v>
      </c>
      <c r="N3524">
        <v>0</v>
      </c>
      <c r="O3524">
        <v>-9.5537539999999994E-3</v>
      </c>
      <c r="P3524">
        <v>0.98218329999999998</v>
      </c>
      <c r="Q3524">
        <v>0.1428779</v>
      </c>
      <c r="R3524">
        <v>-0.12207469999999999</v>
      </c>
      <c r="S3524">
        <v>3.038071</v>
      </c>
      <c r="T3524">
        <v>-0.46295599999999998</v>
      </c>
      <c r="U3524">
        <v>-0.67271419999999904</v>
      </c>
      <c r="V3524">
        <v>0.1127455</v>
      </c>
      <c r="W3524">
        <v>0.1565436</v>
      </c>
      <c r="X3524">
        <v>0.98121480000000005</v>
      </c>
      <c r="Y3524">
        <v>0.204706</v>
      </c>
      <c r="Z3524">
        <v>-1.389485E-2</v>
      </c>
      <c r="AA3524">
        <v>0.97872490000000001</v>
      </c>
      <c r="AB3524">
        <v>36</v>
      </c>
      <c r="AC3524">
        <v>0.50130000000001396</v>
      </c>
      <c r="AD3524">
        <v>-0.13173209999999999</v>
      </c>
      <c r="AE3524">
        <v>-0.18819999999999401</v>
      </c>
      <c r="AF3524">
        <v>0.17293501874910899</v>
      </c>
      <c r="AG3524">
        <v>-0.13173209999999999</v>
      </c>
      <c r="AH3524">
        <v>0.474365086517201</v>
      </c>
      <c r="AI3524">
        <v>104.622768420735</v>
      </c>
      <c r="AJ3524">
        <v>69.970115901852793</v>
      </c>
      <c r="AK3524">
        <v>0.52180657545362197</v>
      </c>
      <c r="AL3524">
        <v>80.993668711017094</v>
      </c>
      <c r="AM3524">
        <v>83.445232570152896</v>
      </c>
      <c r="AN3524">
        <v>0.99999996510512401</v>
      </c>
    </row>
    <row r="3525" spans="1:40" x14ac:dyDescent="0.25">
      <c r="A3525" t="str">
        <f>"20190312151057192"</f>
        <v>20190312151057192</v>
      </c>
      <c r="B3525" t="str">
        <f>"1552374657184761"</f>
        <v>1552374657184761</v>
      </c>
      <c r="C3525" t="s">
        <v>40</v>
      </c>
      <c r="D3525">
        <v>5.2114820000000002</v>
      </c>
      <c r="E3525">
        <v>0.53856169999999903</v>
      </c>
      <c r="F3525" t="s">
        <v>41</v>
      </c>
      <c r="G3525">
        <v>-220.5087</v>
      </c>
      <c r="H3525">
        <v>0.9847127</v>
      </c>
      <c r="I3525">
        <v>214.25389999999999</v>
      </c>
      <c r="J3525">
        <v>-220.98140000000001</v>
      </c>
      <c r="K3525">
        <v>1.110222</v>
      </c>
      <c r="L3525">
        <v>214.43539999999999</v>
      </c>
      <c r="M3525">
        <v>0.99985360000000001</v>
      </c>
      <c r="N3525">
        <v>0</v>
      </c>
      <c r="O3525">
        <v>-9.8919249999999993E-3</v>
      </c>
      <c r="P3525">
        <v>0.98186739999999995</v>
      </c>
      <c r="Q3525">
        <v>0.1430254</v>
      </c>
      <c r="R3525">
        <v>-0.1244193</v>
      </c>
      <c r="S3525">
        <v>3.036972</v>
      </c>
      <c r="T3525">
        <v>-0.46309210000000001</v>
      </c>
      <c r="U3525">
        <v>-0.68222050000000001</v>
      </c>
      <c r="V3525">
        <v>0.1147942</v>
      </c>
      <c r="W3525">
        <v>0.15666089999999999</v>
      </c>
      <c r="X3525">
        <v>0.98095849999999996</v>
      </c>
      <c r="Y3525">
        <v>0.2073412</v>
      </c>
      <c r="Z3525">
        <v>-1.404587E-2</v>
      </c>
      <c r="AA3525">
        <v>0.97816780000000003</v>
      </c>
      <c r="AB3525">
        <v>36</v>
      </c>
      <c r="AC3525">
        <v>0.47270000000000301</v>
      </c>
      <c r="AD3525">
        <v>-0.12550929999999999</v>
      </c>
      <c r="AE3525">
        <v>-0.181499999999999</v>
      </c>
      <c r="AF3525">
        <v>0.16657998792499601</v>
      </c>
      <c r="AG3525">
        <v>-0.12550929999999999</v>
      </c>
      <c r="AH3525">
        <v>0.44700802111341298</v>
      </c>
      <c r="AI3525">
        <v>104.740534043504</v>
      </c>
      <c r="AJ3525">
        <v>69.561815277666895</v>
      </c>
      <c r="AK3525">
        <v>0.49327238692563302</v>
      </c>
      <c r="AL3525">
        <v>80.986863931890795</v>
      </c>
      <c r="AM3525">
        <v>83.325462729636101</v>
      </c>
      <c r="AN3525">
        <v>0.999999962332349</v>
      </c>
    </row>
    <row r="3526" spans="1:40" x14ac:dyDescent="0.25">
      <c r="A3526" t="str">
        <f>"20190312151057215"</f>
        <v>20190312151057215</v>
      </c>
      <c r="B3526" t="str">
        <f>"1552374657204282"</f>
        <v>1552374657204282</v>
      </c>
      <c r="C3526" t="s">
        <v>40</v>
      </c>
      <c r="D3526">
        <v>5.2139379999999997</v>
      </c>
      <c r="E3526">
        <v>0.5391667</v>
      </c>
      <c r="F3526" t="s">
        <v>41</v>
      </c>
      <c r="G3526">
        <v>-220.18729999999999</v>
      </c>
      <c r="H3526">
        <v>0.98880469999999998</v>
      </c>
      <c r="I3526">
        <v>214.25319999999999</v>
      </c>
      <c r="J3526">
        <v>-220.6172</v>
      </c>
      <c r="K3526">
        <v>1.1101049999999999</v>
      </c>
      <c r="L3526">
        <v>214.4314</v>
      </c>
      <c r="M3526">
        <v>0.99984879999999998</v>
      </c>
      <c r="N3526">
        <v>0</v>
      </c>
      <c r="O3526">
        <v>-1.0388319999999999E-2</v>
      </c>
      <c r="P3526">
        <v>0.98166059999999999</v>
      </c>
      <c r="Q3526">
        <v>0.14160690000000001</v>
      </c>
      <c r="R3526">
        <v>-0.12763350000000001</v>
      </c>
      <c r="S3526">
        <v>3.034897</v>
      </c>
      <c r="T3526">
        <v>-0.46411069999999999</v>
      </c>
      <c r="U3526">
        <v>-0.69546509999999995</v>
      </c>
      <c r="V3526">
        <v>0.1175649</v>
      </c>
      <c r="W3526">
        <v>0.15520499999999901</v>
      </c>
      <c r="X3526">
        <v>0.98086180000000001</v>
      </c>
      <c r="Y3526">
        <v>0.21101220000000001</v>
      </c>
      <c r="Z3526">
        <v>-1.428019E-2</v>
      </c>
      <c r="AA3526">
        <v>0.97737909999999995</v>
      </c>
      <c r="AB3526">
        <v>36</v>
      </c>
      <c r="AC3526">
        <v>0.429900000000003</v>
      </c>
      <c r="AD3526">
        <v>-0.1213003</v>
      </c>
      <c r="AE3526">
        <v>-0.17820000000000299</v>
      </c>
      <c r="AF3526">
        <v>0.162672035309508</v>
      </c>
      <c r="AG3526">
        <v>-0.1213003</v>
      </c>
      <c r="AH3526">
        <v>0.40426249342200199</v>
      </c>
      <c r="AI3526">
        <v>105.555198121264</v>
      </c>
      <c r="AJ3526">
        <v>68.080535073214705</v>
      </c>
      <c r="AK3526">
        <v>0.45233186648698698</v>
      </c>
      <c r="AL3526">
        <v>81.071314087735502</v>
      </c>
      <c r="AM3526">
        <v>83.165203094630598</v>
      </c>
      <c r="AN3526">
        <v>0.99999998421812397</v>
      </c>
    </row>
    <row r="3527" spans="1:40" x14ac:dyDescent="0.25">
      <c r="A3527" t="str">
        <f>"20190312151057237"</f>
        <v>20190312151057237</v>
      </c>
      <c r="B3527" t="str">
        <f>"1552374657234143"</f>
        <v>1552374657234143</v>
      </c>
      <c r="C3527" t="s">
        <v>40</v>
      </c>
      <c r="D3527">
        <v>5.2262950000000004</v>
      </c>
      <c r="E3527">
        <v>0.54007289999999997</v>
      </c>
      <c r="F3527" t="s">
        <v>41</v>
      </c>
      <c r="G3527">
        <v>-219.8657</v>
      </c>
      <c r="H3527">
        <v>0.99367329999999998</v>
      </c>
      <c r="I3527">
        <v>214.2552</v>
      </c>
      <c r="J3527">
        <v>-220.26660000000001</v>
      </c>
      <c r="K3527">
        <v>1.1099619999999999</v>
      </c>
      <c r="L3527">
        <v>214.4271</v>
      </c>
      <c r="M3527">
        <v>0.99984170000000006</v>
      </c>
      <c r="N3527">
        <v>0</v>
      </c>
      <c r="O3527">
        <v>-1.1042649999999999E-2</v>
      </c>
      <c r="P3527">
        <v>0.9814929</v>
      </c>
      <c r="Q3527">
        <v>0.13993459999999999</v>
      </c>
      <c r="R3527">
        <v>-0.13072990000000001</v>
      </c>
      <c r="S3527">
        <v>3.031479</v>
      </c>
      <c r="T3527">
        <v>-0.46970919999999999</v>
      </c>
      <c r="U3527">
        <v>-0.7101288</v>
      </c>
      <c r="V3527">
        <v>0.12007</v>
      </c>
      <c r="W3527">
        <v>0.15348819999999999</v>
      </c>
      <c r="X3527">
        <v>0.98082849999999999</v>
      </c>
      <c r="Y3527">
        <v>0.21500449999999999</v>
      </c>
      <c r="Z3527">
        <v>-1.466257E-2</v>
      </c>
      <c r="AA3527">
        <v>0.97650300000000001</v>
      </c>
      <c r="AB3527">
        <v>36</v>
      </c>
      <c r="AC3527">
        <v>0.40090000000000697</v>
      </c>
      <c r="AD3527">
        <v>-0.11628869999999999</v>
      </c>
      <c r="AE3527">
        <v>-0.171899999999993</v>
      </c>
      <c r="AF3527">
        <v>0.15634985707741</v>
      </c>
      <c r="AG3527">
        <v>-0.11628869999999999</v>
      </c>
      <c r="AH3527">
        <v>0.37604721887428399</v>
      </c>
      <c r="AI3527">
        <v>105.93630032266</v>
      </c>
      <c r="AJ3527">
        <v>67.423832745585699</v>
      </c>
      <c r="AK3527">
        <v>0.423532584790002</v>
      </c>
      <c r="AL3527">
        <v>81.170872575463207</v>
      </c>
      <c r="AM3527">
        <v>83.020752575875207</v>
      </c>
      <c r="AN3527">
        <v>0.99999998942574397</v>
      </c>
    </row>
    <row r="3528" spans="1:40" x14ac:dyDescent="0.25">
      <c r="A3528" t="str">
        <f>"20190312151057259"</f>
        <v>20190312151057259</v>
      </c>
      <c r="B3528" t="str">
        <f>"1552374657254638"</f>
        <v>1552374657254638</v>
      </c>
      <c r="C3528" t="s">
        <v>40</v>
      </c>
      <c r="D3528">
        <v>5.3611719999999998</v>
      </c>
      <c r="E3528">
        <v>0.54076780000000002</v>
      </c>
      <c r="F3528" t="s">
        <v>41</v>
      </c>
      <c r="G3528">
        <v>-219.5455</v>
      </c>
      <c r="H3528">
        <v>0.99616919999999998</v>
      </c>
      <c r="I3528">
        <v>214.25370000000001</v>
      </c>
      <c r="J3528">
        <v>-219.91309999999999</v>
      </c>
      <c r="K3528">
        <v>1.1097939999999999</v>
      </c>
      <c r="L3528">
        <v>214.42240000000001</v>
      </c>
      <c r="M3528">
        <v>0.99983140000000004</v>
      </c>
      <c r="N3528">
        <v>0</v>
      </c>
      <c r="O3528">
        <v>-1.1928650000000001E-2</v>
      </c>
      <c r="P3528">
        <v>0.9813229</v>
      </c>
      <c r="Q3528">
        <v>0.1390931</v>
      </c>
      <c r="R3528">
        <v>-0.1328848</v>
      </c>
      <c r="S3528">
        <v>3.027863</v>
      </c>
      <c r="T3528">
        <v>-0.47796480000000002</v>
      </c>
      <c r="U3528">
        <v>-0.72717290000000001</v>
      </c>
      <c r="V3528">
        <v>0.121418</v>
      </c>
      <c r="W3528">
        <v>0.152594799999999</v>
      </c>
      <c r="X3528">
        <v>0.9808019</v>
      </c>
      <c r="Y3528">
        <v>0.219475</v>
      </c>
      <c r="Z3528">
        <v>-1.5133880000000001E-2</v>
      </c>
      <c r="AA3528">
        <v>0.9755007</v>
      </c>
      <c r="AB3528">
        <v>36</v>
      </c>
      <c r="AC3528">
        <v>0.367599999999981</v>
      </c>
      <c r="AD3528">
        <v>-0.1136248</v>
      </c>
      <c r="AE3528">
        <v>-0.16870000000000099</v>
      </c>
      <c r="AF3528">
        <v>0.152284217544882</v>
      </c>
      <c r="AG3528">
        <v>-0.1136248</v>
      </c>
      <c r="AH3528">
        <v>0.34255195704934299</v>
      </c>
      <c r="AI3528">
        <v>106.862022411639</v>
      </c>
      <c r="AJ3528">
        <v>66.032077551234494</v>
      </c>
      <c r="AK3528">
        <v>0.39171791044912901</v>
      </c>
      <c r="AL3528">
        <v>81.222670344806005</v>
      </c>
      <c r="AM3528">
        <v>82.942994299030303</v>
      </c>
      <c r="AN3528">
        <v>0.99999993537732201</v>
      </c>
    </row>
    <row r="3529" spans="1:40" x14ac:dyDescent="0.25">
      <c r="A3529" t="str">
        <f>"20190312151057281"</f>
        <v>20190312151057281</v>
      </c>
      <c r="B3529" t="str">
        <f>"1552374657274158"</f>
        <v>1552374657274158</v>
      </c>
      <c r="C3529" t="s">
        <v>40</v>
      </c>
      <c r="D3529">
        <v>5.0893199999999998</v>
      </c>
      <c r="E3529">
        <v>0.54117740000000003</v>
      </c>
      <c r="F3529" t="s">
        <v>41</v>
      </c>
      <c r="G3529">
        <v>-218.9246</v>
      </c>
      <c r="H3529">
        <v>0.95204909999999998</v>
      </c>
      <c r="I3529">
        <v>214.18</v>
      </c>
      <c r="J3529">
        <v>-219.547</v>
      </c>
      <c r="K3529">
        <v>1.10959599999999</v>
      </c>
      <c r="L3529">
        <v>214.4169</v>
      </c>
      <c r="M3529">
        <v>0.9998167</v>
      </c>
      <c r="N3529">
        <v>0</v>
      </c>
      <c r="O3529">
        <v>-1.3118049999999999E-2</v>
      </c>
      <c r="P3529">
        <v>0.98101939999999999</v>
      </c>
      <c r="Q3529">
        <v>0.139257399999999</v>
      </c>
      <c r="R3529">
        <v>-0.13493959999999999</v>
      </c>
      <c r="S3529">
        <v>3.025223</v>
      </c>
      <c r="T3529">
        <v>-0.48285830000000002</v>
      </c>
      <c r="U3529">
        <v>-0.74093629999999999</v>
      </c>
      <c r="V3529">
        <v>0.1223829</v>
      </c>
      <c r="W3529">
        <v>0.15269559999999999</v>
      </c>
      <c r="X3529">
        <v>0.98066629999999999</v>
      </c>
      <c r="Y3529">
        <v>0.22262470000000001</v>
      </c>
      <c r="Z3529">
        <v>-1.535226E-2</v>
      </c>
      <c r="AA3529">
        <v>0.97478330000000002</v>
      </c>
      <c r="AB3529">
        <v>36</v>
      </c>
      <c r="AC3529">
        <v>0.62239999999999895</v>
      </c>
      <c r="AD3529">
        <v>-0.15754689999999899</v>
      </c>
      <c r="AE3529">
        <v>-0.23689999999999101</v>
      </c>
      <c r="AF3529">
        <v>0.216592375600693</v>
      </c>
      <c r="AG3529">
        <v>-0.15754689999999899</v>
      </c>
      <c r="AH3529">
        <v>0.59230554328070795</v>
      </c>
      <c r="AI3529">
        <v>104.026041779889</v>
      </c>
      <c r="AJ3529">
        <v>69.913708067449804</v>
      </c>
      <c r="AK3529">
        <v>0.65004549030742098</v>
      </c>
      <c r="AL3529">
        <v>81.216826629966604</v>
      </c>
      <c r="AM3529">
        <v>82.886511533621004</v>
      </c>
      <c r="AN3529">
        <v>0.99999995621372895</v>
      </c>
    </row>
    <row r="3530" spans="1:40" x14ac:dyDescent="0.25">
      <c r="A3530" t="str">
        <f>"20190312151057305"</f>
        <v>20190312151057305</v>
      </c>
      <c r="B3530" t="str">
        <f>"1552374657294657"</f>
        <v>1552374657294657</v>
      </c>
      <c r="C3530" t="s">
        <v>40</v>
      </c>
      <c r="D3530">
        <v>5.2146359999999996</v>
      </c>
      <c r="E3530">
        <v>0.54170229999999997</v>
      </c>
      <c r="F3530" t="s">
        <v>41</v>
      </c>
      <c r="G3530">
        <v>-218.6044</v>
      </c>
      <c r="H3530">
        <v>0.95939059999999998</v>
      </c>
      <c r="I3530">
        <v>214.1824</v>
      </c>
      <c r="J3530">
        <v>-219.1902</v>
      </c>
      <c r="K3530">
        <v>1.1094010000000001</v>
      </c>
      <c r="L3530">
        <v>214.4109</v>
      </c>
      <c r="M3530">
        <v>0.99979750000000001</v>
      </c>
      <c r="N3530">
        <v>0</v>
      </c>
      <c r="O3530">
        <v>-1.4509340000000001E-2</v>
      </c>
      <c r="P3530">
        <v>0.98067329999999997</v>
      </c>
      <c r="Q3530">
        <v>0.1395884</v>
      </c>
      <c r="R3530">
        <v>-0.1370961</v>
      </c>
      <c r="S3530">
        <v>3.02298</v>
      </c>
      <c r="T3530">
        <v>-0.48165859999999999</v>
      </c>
      <c r="U3530">
        <v>-0.75199890000000003</v>
      </c>
      <c r="V3530">
        <v>0.12325179999999999</v>
      </c>
      <c r="W3530">
        <v>0.15296470000000001</v>
      </c>
      <c r="X3530">
        <v>0.98051549999999998</v>
      </c>
      <c r="Y3530">
        <v>0.2248</v>
      </c>
      <c r="Z3530">
        <v>-1.52718E-2</v>
      </c>
      <c r="AA3530">
        <v>0.97428519999999996</v>
      </c>
      <c r="AB3530">
        <v>36</v>
      </c>
      <c r="AC3530">
        <v>0.58580000000000598</v>
      </c>
      <c r="AD3530">
        <v>-0.15001039999999999</v>
      </c>
      <c r="AE3530">
        <v>-0.22849999999999601</v>
      </c>
      <c r="AF3530">
        <v>0.208129627908158</v>
      </c>
      <c r="AG3530">
        <v>-0.15001039999999999</v>
      </c>
      <c r="AH3530">
        <v>0.55733284560164797</v>
      </c>
      <c r="AI3530">
        <v>104.15208987787599</v>
      </c>
      <c r="AJ3530">
        <v>69.522424393366606</v>
      </c>
      <c r="AK3530">
        <v>0.61354784891463798</v>
      </c>
      <c r="AL3530">
        <v>81.201224784333107</v>
      </c>
      <c r="AM3530">
        <v>82.835439424762299</v>
      </c>
      <c r="AN3530">
        <v>0.99999992569478702</v>
      </c>
    </row>
    <row r="3531" spans="1:40" x14ac:dyDescent="0.25">
      <c r="A3531" t="str">
        <f>"20190312151057326"</f>
        <v>20190312151057326</v>
      </c>
      <c r="B3531" t="str">
        <f>"1552374657314174"</f>
        <v>1552374657314174</v>
      </c>
      <c r="C3531" t="s">
        <v>40</v>
      </c>
      <c r="D3531">
        <v>5.190849</v>
      </c>
      <c r="E3531">
        <v>0.54212550000000004</v>
      </c>
      <c r="F3531" t="s">
        <v>41</v>
      </c>
      <c r="G3531">
        <v>-218.28450000000001</v>
      </c>
      <c r="H3531">
        <v>0.96507679999999996</v>
      </c>
      <c r="I3531">
        <v>214.18170000000001</v>
      </c>
      <c r="J3531">
        <v>-218.84209999999999</v>
      </c>
      <c r="K3531">
        <v>1.109197</v>
      </c>
      <c r="L3531">
        <v>214.40440000000001</v>
      </c>
      <c r="M3531">
        <v>0.99977280000000002</v>
      </c>
      <c r="N3531">
        <v>0</v>
      </c>
      <c r="O3531">
        <v>-1.611539E-2</v>
      </c>
      <c r="P3531">
        <v>0.9804136</v>
      </c>
      <c r="Q3531">
        <v>0.13946229999999901</v>
      </c>
      <c r="R3531">
        <v>-0.13906669999999999</v>
      </c>
      <c r="S3531">
        <v>3.0208590000000002</v>
      </c>
      <c r="T3531">
        <v>-0.48137370000000002</v>
      </c>
      <c r="U3531">
        <v>-0.76374819999999999</v>
      </c>
      <c r="V3531">
        <v>0.1237235</v>
      </c>
      <c r="W3531">
        <v>0.1527772</v>
      </c>
      <c r="X3531">
        <v>0.98048539999999995</v>
      </c>
      <c r="Y3531">
        <v>0.22695660000000001</v>
      </c>
      <c r="Z3531">
        <v>-1.5184100000000001E-2</v>
      </c>
      <c r="AA3531">
        <v>0.9737865</v>
      </c>
      <c r="AB3531">
        <v>36</v>
      </c>
      <c r="AC3531">
        <v>0.557599999999979</v>
      </c>
      <c r="AD3531">
        <v>-0.1441202</v>
      </c>
      <c r="AE3531">
        <v>-0.22270000000000301</v>
      </c>
      <c r="AF3531">
        <v>0.20204369414369</v>
      </c>
      <c r="AG3531">
        <v>-0.1441202</v>
      </c>
      <c r="AH3531">
        <v>0.53054968359694399</v>
      </c>
      <c r="AI3531">
        <v>104.244121368306</v>
      </c>
      <c r="AJ3531">
        <v>69.152188163842396</v>
      </c>
      <c r="AK3531">
        <v>0.58572626128259497</v>
      </c>
      <c r="AL3531">
        <v>81.212096161126098</v>
      </c>
      <c r="AM3531">
        <v>82.808087844568504</v>
      </c>
      <c r="AN3531">
        <v>0.99999999845262499</v>
      </c>
    </row>
    <row r="3532" spans="1:40" x14ac:dyDescent="0.25">
      <c r="A3532" t="str">
        <f>"20190312151057349"</f>
        <v>20190312151057349</v>
      </c>
      <c r="B3532" t="str">
        <f>"1552374657344430"</f>
        <v>1552374657344430</v>
      </c>
      <c r="C3532" t="s">
        <v>40</v>
      </c>
      <c r="D3532">
        <v>5.1251870000000004</v>
      </c>
      <c r="E3532">
        <v>0.54263899999999998</v>
      </c>
      <c r="F3532" t="s">
        <v>41</v>
      </c>
      <c r="G3532">
        <v>-217.96520000000001</v>
      </c>
      <c r="H3532">
        <v>0.96918499999999996</v>
      </c>
      <c r="I3532">
        <v>214.17959999999999</v>
      </c>
      <c r="J3532">
        <v>-218.48570000000001</v>
      </c>
      <c r="K3532">
        <v>1.108965</v>
      </c>
      <c r="L3532">
        <v>214.39689999999999</v>
      </c>
      <c r="M3532">
        <v>0.99973970000000001</v>
      </c>
      <c r="N3532">
        <v>0</v>
      </c>
      <c r="O3532">
        <v>-1.8049329999999999E-2</v>
      </c>
      <c r="P3532">
        <v>0.98005370000000003</v>
      </c>
      <c r="Q3532">
        <v>0.13951350000000001</v>
      </c>
      <c r="R3532">
        <v>-0.1415305</v>
      </c>
      <c r="S3532">
        <v>3.0186920000000002</v>
      </c>
      <c r="T3532">
        <v>-0.48195179999999999</v>
      </c>
      <c r="U3532">
        <v>-0.77404790000000001</v>
      </c>
      <c r="V3532">
        <v>0.1243775</v>
      </c>
      <c r="W3532">
        <v>0.1527588</v>
      </c>
      <c r="X3532">
        <v>0.98040550000000004</v>
      </c>
      <c r="Y3532">
        <v>0.2283596</v>
      </c>
      <c r="Z3532">
        <v>-1.501425E-2</v>
      </c>
      <c r="AA3532">
        <v>0.97346109999999997</v>
      </c>
      <c r="AB3532">
        <v>36</v>
      </c>
      <c r="AC3532">
        <v>0.52049999999999796</v>
      </c>
      <c r="AD3532">
        <v>-0.13977999999999899</v>
      </c>
      <c r="AE3532">
        <v>-0.217299999999994</v>
      </c>
      <c r="AF3532">
        <v>0.19584145643115899</v>
      </c>
      <c r="AG3532">
        <v>-0.13977999999999899</v>
      </c>
      <c r="AH3532">
        <v>0.493998894078583</v>
      </c>
      <c r="AI3532">
        <v>104.73722966518</v>
      </c>
      <c r="AJ3532">
        <v>68.374591244006297</v>
      </c>
      <c r="AK3532">
        <v>0.54947905493106997</v>
      </c>
      <c r="AL3532">
        <v>81.213162752399995</v>
      </c>
      <c r="AM3532">
        <v>82.769889774508997</v>
      </c>
      <c r="AN3532">
        <v>0.99999997895696902</v>
      </c>
    </row>
    <row r="3533" spans="1:40" x14ac:dyDescent="0.25">
      <c r="A3533" t="str">
        <f>"20190312151057371"</f>
        <v>20190312151057371</v>
      </c>
      <c r="B3533" t="str">
        <f>"1552374657364927"</f>
        <v>1552374657364927</v>
      </c>
      <c r="C3533" t="s">
        <v>40</v>
      </c>
      <c r="D3533">
        <v>5.1213329999999999</v>
      </c>
      <c r="E3533">
        <v>0.54300999999999999</v>
      </c>
      <c r="F3533" t="s">
        <v>41</v>
      </c>
      <c r="G3533">
        <v>-217.64490000000001</v>
      </c>
      <c r="H3533">
        <v>0.97501680000000002</v>
      </c>
      <c r="I3533">
        <v>214.17750000000001</v>
      </c>
      <c r="J3533">
        <v>-218.12569999999999</v>
      </c>
      <c r="K3533">
        <v>1.108717</v>
      </c>
      <c r="L3533">
        <v>214.38829999999999</v>
      </c>
      <c r="M3533">
        <v>0.99969629999999998</v>
      </c>
      <c r="N3533">
        <v>0</v>
      </c>
      <c r="O3533">
        <v>-2.030715E-2</v>
      </c>
      <c r="P3533">
        <v>0.9795142</v>
      </c>
      <c r="Q3533">
        <v>0.13974059999999999</v>
      </c>
      <c r="R3533">
        <v>-0.14499770000000001</v>
      </c>
      <c r="S3533">
        <v>3.0159150000000001</v>
      </c>
      <c r="T3533">
        <v>-0.48042049999999997</v>
      </c>
      <c r="U3533">
        <v>-0.78610230000000003</v>
      </c>
      <c r="V3533">
        <v>0.12573090000000001</v>
      </c>
      <c r="W3533">
        <v>0.15290629999999999</v>
      </c>
      <c r="X3533">
        <v>0.98020989999999997</v>
      </c>
      <c r="Y3533">
        <v>0.23004579999999999</v>
      </c>
      <c r="Z3533">
        <v>-1.4753199999999999E-2</v>
      </c>
      <c r="AA3533">
        <v>0.97306800000000004</v>
      </c>
      <c r="AB3533">
        <v>36</v>
      </c>
      <c r="AC3533">
        <v>0.48079999999998702</v>
      </c>
      <c r="AD3533">
        <v>-0.13370019999999899</v>
      </c>
      <c r="AE3533">
        <v>-0.21079999999997701</v>
      </c>
      <c r="AF3533">
        <v>0.188749603657201</v>
      </c>
      <c r="AG3533">
        <v>-0.13370019999999899</v>
      </c>
      <c r="AH3533">
        <v>0.45544205197467302</v>
      </c>
      <c r="AI3533">
        <v>105.173342283427</v>
      </c>
      <c r="AJ3533">
        <v>67.489334968767906</v>
      </c>
      <c r="AK3533">
        <v>0.51081270448931804</v>
      </c>
      <c r="AL3533">
        <v>81.204611542418405</v>
      </c>
      <c r="AM3533">
        <v>82.690619598038694</v>
      </c>
      <c r="AN3533">
        <v>1.0000000219262499</v>
      </c>
    </row>
    <row r="3534" spans="1:40" x14ac:dyDescent="0.25">
      <c r="A3534" t="str">
        <f>"20190312151057393"</f>
        <v>20190312151057393</v>
      </c>
      <c r="B3534" t="str">
        <f>"1552374657384446"</f>
        <v>1552374657384446</v>
      </c>
      <c r="C3534" t="s">
        <v>40</v>
      </c>
      <c r="D3534">
        <v>5.639869</v>
      </c>
      <c r="E3534">
        <v>0.54326189999999996</v>
      </c>
      <c r="F3534" t="s">
        <v>41</v>
      </c>
      <c r="G3534">
        <v>-217.3246</v>
      </c>
      <c r="H3534">
        <v>0.98106499999999996</v>
      </c>
      <c r="I3534">
        <v>214.1756</v>
      </c>
      <c r="J3534">
        <v>-217.77269999999999</v>
      </c>
      <c r="K3534">
        <v>1.1084529999999999</v>
      </c>
      <c r="L3534">
        <v>214.37880000000001</v>
      </c>
      <c r="M3534">
        <v>0.99964229999999998</v>
      </c>
      <c r="N3534">
        <v>0</v>
      </c>
      <c r="O3534">
        <v>-2.281211E-2</v>
      </c>
      <c r="P3534">
        <v>0.97902239999999996</v>
      </c>
      <c r="Q3534">
        <v>0.1397795</v>
      </c>
      <c r="R3534">
        <v>-0.14824560000000001</v>
      </c>
      <c r="S3534">
        <v>3.0128629999999998</v>
      </c>
      <c r="T3534">
        <v>-0.48010540000000002</v>
      </c>
      <c r="U3534">
        <v>-0.79966740000000003</v>
      </c>
      <c r="V3534">
        <v>0.12662470000000001</v>
      </c>
      <c r="W3534">
        <v>0.1528658</v>
      </c>
      <c r="X3534">
        <v>0.98010109999999995</v>
      </c>
      <c r="Y3534">
        <v>0.23195550000000001</v>
      </c>
      <c r="Z3534">
        <v>-1.4509009999999999E-2</v>
      </c>
      <c r="AA3534">
        <v>0.97261819999999999</v>
      </c>
      <c r="AB3534">
        <v>35</v>
      </c>
      <c r="AC3534">
        <v>0.44809999999998201</v>
      </c>
      <c r="AD3534">
        <v>-0.127388</v>
      </c>
      <c r="AE3534">
        <v>-0.20320000000000901</v>
      </c>
      <c r="AF3534">
        <v>0.180804095749975</v>
      </c>
      <c r="AG3534">
        <v>-0.127388</v>
      </c>
      <c r="AH3534">
        <v>0.42418469978810203</v>
      </c>
      <c r="AI3534">
        <v>105.44353670574201</v>
      </c>
      <c r="AJ3534">
        <v>66.914402270250804</v>
      </c>
      <c r="AK3534">
        <v>0.47838319694392301</v>
      </c>
      <c r="AL3534">
        <v>81.206959137709205</v>
      </c>
      <c r="AM3534">
        <v>82.638418149764803</v>
      </c>
      <c r="AN3534">
        <v>0.99999996684046899</v>
      </c>
    </row>
    <row r="3535" spans="1:40" x14ac:dyDescent="0.25">
      <c r="A3535" t="str">
        <f>"20190312151057415"</f>
        <v>20190312151057415</v>
      </c>
      <c r="B3535" t="str">
        <f>"1552374657404943"</f>
        <v>1552374657404943</v>
      </c>
      <c r="C3535" t="s">
        <v>40</v>
      </c>
      <c r="D3535">
        <v>5.3746519999999904</v>
      </c>
      <c r="E3535">
        <v>0.54339159999999997</v>
      </c>
      <c r="F3535" t="s">
        <v>41</v>
      </c>
      <c r="G3535">
        <v>-217.00479999999999</v>
      </c>
      <c r="H3535">
        <v>0.98682340000000002</v>
      </c>
      <c r="I3535">
        <v>214.17140000000001</v>
      </c>
      <c r="J3535">
        <v>-217.4204</v>
      </c>
      <c r="K3535">
        <v>1.10819</v>
      </c>
      <c r="L3535">
        <v>214.3682</v>
      </c>
      <c r="M3535">
        <v>0.99957499999999999</v>
      </c>
      <c r="N3535">
        <v>0</v>
      </c>
      <c r="O3535">
        <v>-2.5586060000000001E-2</v>
      </c>
      <c r="P3535">
        <v>0.97853820000000002</v>
      </c>
      <c r="Q3535">
        <v>0.1388219</v>
      </c>
      <c r="R3535">
        <v>-0.15228849999999999</v>
      </c>
      <c r="S3535">
        <v>3.009369</v>
      </c>
      <c r="T3535">
        <v>-0.47652420000000001</v>
      </c>
      <c r="U3535">
        <v>-0.81192019999999998</v>
      </c>
      <c r="V3535">
        <v>0.1280435</v>
      </c>
      <c r="W3535">
        <v>0.15182660000000001</v>
      </c>
      <c r="X3535">
        <v>0.98007829999999996</v>
      </c>
      <c r="Y3535">
        <v>0.23328409999999999</v>
      </c>
      <c r="Z3535">
        <v>-1.4085210000000001E-2</v>
      </c>
      <c r="AA3535">
        <v>0.97230660000000002</v>
      </c>
      <c r="AB3535">
        <v>35</v>
      </c>
      <c r="AC3535">
        <v>0.41560000000001202</v>
      </c>
      <c r="AD3535">
        <v>-0.12136660000000001</v>
      </c>
      <c r="AE3535">
        <v>-0.19679999999999601</v>
      </c>
      <c r="AF3535">
        <v>0.17398141499895101</v>
      </c>
      <c r="AG3535">
        <v>-0.12136660000000001</v>
      </c>
      <c r="AH3535">
        <v>0.39311534055643099</v>
      </c>
      <c r="AI3535">
        <v>105.765287622964</v>
      </c>
      <c r="AJ3535">
        <v>66.127212326356599</v>
      </c>
      <c r="AK3535">
        <v>0.44669794642621302</v>
      </c>
      <c r="AL3535">
        <v>81.267204122399505</v>
      </c>
      <c r="AM3535">
        <v>82.556681988700802</v>
      </c>
      <c r="AN3535">
        <v>0.99999996424534898</v>
      </c>
    </row>
    <row r="3536" spans="1:40" x14ac:dyDescent="0.25">
      <c r="A3536" t="str">
        <f>"20190312151057439"</f>
        <v>20190312151057439</v>
      </c>
      <c r="B3536" t="str">
        <f>"1552374657434223"</f>
        <v>1552374657434223</v>
      </c>
      <c r="C3536" t="s">
        <v>40</v>
      </c>
      <c r="D3536">
        <v>5.3666169999999997</v>
      </c>
      <c r="E3536">
        <v>0.56139749999999999</v>
      </c>
      <c r="F3536" t="s">
        <v>41</v>
      </c>
      <c r="G3536">
        <v>-216.68520000000001</v>
      </c>
      <c r="H3536">
        <v>0.99213700000000005</v>
      </c>
      <c r="I3536">
        <v>214.1662</v>
      </c>
      <c r="J3536">
        <v>-217.0702</v>
      </c>
      <c r="K3536">
        <v>1.1079479999999999</v>
      </c>
      <c r="L3536">
        <v>214.35650000000001</v>
      </c>
      <c r="M3536">
        <v>0.99949330000000003</v>
      </c>
      <c r="N3536">
        <v>0</v>
      </c>
      <c r="O3536">
        <v>-2.859573E-2</v>
      </c>
      <c r="P3536">
        <v>0.97782199999999997</v>
      </c>
      <c r="Q3536">
        <v>0.13796140000000001</v>
      </c>
      <c r="R3536">
        <v>-0.15757850000000001</v>
      </c>
      <c r="S3536">
        <v>3.0047299999999999</v>
      </c>
      <c r="T3536">
        <v>-0.47426030000000002</v>
      </c>
      <c r="U3536">
        <v>-0.82473750000000001</v>
      </c>
      <c r="V3536">
        <v>0.13047829999999999</v>
      </c>
      <c r="W3536">
        <v>0.15087970000000001</v>
      </c>
      <c r="X3536">
        <v>0.97990350000000004</v>
      </c>
      <c r="Y3536">
        <v>0.2346348</v>
      </c>
      <c r="Z3536">
        <v>-1.367347E-2</v>
      </c>
      <c r="AA3536">
        <v>0.97198739999999995</v>
      </c>
      <c r="AB3536">
        <v>35</v>
      </c>
      <c r="AC3536">
        <v>0.38499999999999002</v>
      </c>
      <c r="AD3536">
        <v>-0.115810999999999</v>
      </c>
      <c r="AE3536">
        <v>-0.19030000000000699</v>
      </c>
      <c r="AF3536">
        <v>0.16706310421013301</v>
      </c>
      <c r="AG3536">
        <v>-0.115810999999999</v>
      </c>
      <c r="AH3536">
        <v>0.363827714293041</v>
      </c>
      <c r="AI3536">
        <v>106.133775178337</v>
      </c>
      <c r="AJ3536">
        <v>65.336268804112194</v>
      </c>
      <c r="AK3536">
        <v>0.41676477082045299</v>
      </c>
      <c r="AL3536">
        <v>81.322090721314098</v>
      </c>
      <c r="AM3536">
        <v>82.415439257583103</v>
      </c>
      <c r="AN3536">
        <v>1.0000000699776099</v>
      </c>
    </row>
    <row r="3537" spans="1:40" x14ac:dyDescent="0.25">
      <c r="A3537" t="str">
        <f>"20190312151057460"</f>
        <v>20190312151057460</v>
      </c>
      <c r="B3537" t="str">
        <f>"1552374657454719"</f>
        <v>1552374657454719</v>
      </c>
      <c r="C3537" t="s">
        <v>40</v>
      </c>
      <c r="D3537">
        <v>5.1730869999999998</v>
      </c>
      <c r="E3537">
        <v>0.55903539999999996</v>
      </c>
      <c r="F3537" t="s">
        <v>52</v>
      </c>
      <c r="G3537">
        <v>-211.12190000000001</v>
      </c>
      <c r="H3537" s="1">
        <v>-8.4278069999999998E-7</v>
      </c>
      <c r="I3537">
        <v>212.3974</v>
      </c>
      <c r="J3537">
        <v>-216.70939999999999</v>
      </c>
      <c r="K3537">
        <v>1.107726</v>
      </c>
      <c r="L3537">
        <v>214.34299999999999</v>
      </c>
      <c r="M3537">
        <v>0.9993919</v>
      </c>
      <c r="N3537">
        <v>0</v>
      </c>
      <c r="O3537">
        <v>-3.1943489999999998E-2</v>
      </c>
      <c r="P3537">
        <v>0.97696139999999998</v>
      </c>
      <c r="Q3537">
        <v>0.1373558</v>
      </c>
      <c r="R3537">
        <v>-0.16334109999999999</v>
      </c>
      <c r="S3537">
        <v>2.9879910000000001</v>
      </c>
      <c r="T3537">
        <v>-0.55655279999999996</v>
      </c>
      <c r="U3537">
        <v>-0.98411559999999998</v>
      </c>
      <c r="V3537">
        <v>0.1330529</v>
      </c>
      <c r="W3537">
        <v>0.15019009999999999</v>
      </c>
      <c r="X3537">
        <v>0.97966310000000001</v>
      </c>
      <c r="Y3537">
        <v>0.2785049</v>
      </c>
      <c r="Z3537">
        <v>-1.932681E-2</v>
      </c>
      <c r="AA3537">
        <v>0.96024039999999999</v>
      </c>
      <c r="AB3537">
        <v>35</v>
      </c>
      <c r="AC3537">
        <v>5.5874999999999702</v>
      </c>
      <c r="AD3537">
        <v>-1.1077268427807001</v>
      </c>
      <c r="AE3537">
        <v>-1.94559999999998</v>
      </c>
      <c r="AF3537">
        <v>1.7062939944606399</v>
      </c>
      <c r="AG3537">
        <v>-1.1077268427807001</v>
      </c>
      <c r="AH3537">
        <v>5.4555676998615503</v>
      </c>
      <c r="AI3537">
        <v>100.96730186485399</v>
      </c>
      <c r="AJ3537">
        <v>72.632303019551401</v>
      </c>
      <c r="AK3537">
        <v>5.8225180876938403</v>
      </c>
      <c r="AL3537">
        <v>81.362056406034199</v>
      </c>
      <c r="AM3537">
        <v>82.265699460216297</v>
      </c>
      <c r="AN3537">
        <v>0.99999996491901399</v>
      </c>
    </row>
    <row r="3538" spans="1:40" x14ac:dyDescent="0.25">
      <c r="A3538" t="str">
        <f>"20190312151057483"</f>
        <v>20190312151057483</v>
      </c>
      <c r="B3538" t="str">
        <f>"1552374657474242"</f>
        <v>1552374657474242</v>
      </c>
      <c r="C3538" t="s">
        <v>40</v>
      </c>
      <c r="D3538">
        <v>5.1652639999999996</v>
      </c>
      <c r="E3538">
        <v>0.55929680000000004</v>
      </c>
      <c r="F3538" t="s">
        <v>52</v>
      </c>
      <c r="G3538">
        <v>-210.55449999999999</v>
      </c>
      <c r="H3538" s="1">
        <v>-1.141163E-6</v>
      </c>
      <c r="I3538">
        <v>212.316</v>
      </c>
      <c r="J3538">
        <v>-216.35509999999999</v>
      </c>
      <c r="K3538">
        <v>1.1075429999999999</v>
      </c>
      <c r="L3538">
        <v>214.32839999999999</v>
      </c>
      <c r="M3538">
        <v>0.99927520000000003</v>
      </c>
      <c r="N3538">
        <v>0</v>
      </c>
      <c r="O3538">
        <v>-3.5400670000000002E-2</v>
      </c>
      <c r="P3538">
        <v>0.97600439999999999</v>
      </c>
      <c r="Q3538">
        <v>0.13634089999999999</v>
      </c>
      <c r="R3538">
        <v>-0.1697844</v>
      </c>
      <c r="S3538">
        <v>2.9820099999999998</v>
      </c>
      <c r="T3538">
        <v>-0.536688099999999</v>
      </c>
      <c r="U3538">
        <v>-0.98207089999999997</v>
      </c>
      <c r="V3538">
        <v>0.136189</v>
      </c>
      <c r="W3538">
        <v>0.14909529999999999</v>
      </c>
      <c r="X3538">
        <v>0.97939940000000003</v>
      </c>
      <c r="Y3538">
        <v>0.2755087</v>
      </c>
      <c r="Z3538">
        <v>-1.7823519999999999E-2</v>
      </c>
      <c r="AA3538">
        <v>0.96113340000000003</v>
      </c>
      <c r="AB3538">
        <v>35</v>
      </c>
      <c r="AC3538">
        <v>5.8006000000000002</v>
      </c>
      <c r="AD3538">
        <v>-1.107544141163</v>
      </c>
      <c r="AE3538">
        <v>-2.0124000000000102</v>
      </c>
      <c r="AF3538">
        <v>1.7488649387926301</v>
      </c>
      <c r="AG3538">
        <v>-1.107544141163</v>
      </c>
      <c r="AH3538">
        <v>5.6832764951839003</v>
      </c>
      <c r="AI3538">
        <v>100.550925648321</v>
      </c>
      <c r="AJ3538">
        <v>72.895756266685098</v>
      </c>
      <c r="AK3538">
        <v>6.0485381969094396</v>
      </c>
      <c r="AL3538">
        <v>81.425498639204093</v>
      </c>
      <c r="AM3538">
        <v>82.083579566031005</v>
      </c>
      <c r="AN3538">
        <v>1.0000000184617199</v>
      </c>
    </row>
    <row r="3539" spans="1:40" x14ac:dyDescent="0.25">
      <c r="A3539" t="str">
        <f>"20190312151057506"</f>
        <v>20190312151057506</v>
      </c>
      <c r="B3539" t="str">
        <f>"1552374657494735"</f>
        <v>1552374657494735</v>
      </c>
      <c r="C3539" t="s">
        <v>40</v>
      </c>
      <c r="D3539">
        <v>5.3196120000000002</v>
      </c>
      <c r="E3539">
        <v>0.55947080000000005</v>
      </c>
      <c r="F3539" t="s">
        <v>52</v>
      </c>
      <c r="G3539">
        <v>-210.19829999999999</v>
      </c>
      <c r="H3539" s="1">
        <v>-1.3279079999999901E-6</v>
      </c>
      <c r="I3539">
        <v>212.25210000000001</v>
      </c>
      <c r="J3539">
        <v>-215.99629999999999</v>
      </c>
      <c r="K3539">
        <v>1.1073850000000001</v>
      </c>
      <c r="L3539">
        <v>214.31219999999999</v>
      </c>
      <c r="M3539">
        <v>0.99913929999999995</v>
      </c>
      <c r="N3539">
        <v>0</v>
      </c>
      <c r="O3539">
        <v>-3.9048109999999997E-2</v>
      </c>
      <c r="P3539">
        <v>0.97493370000000001</v>
      </c>
      <c r="Q3539">
        <v>0.13585839999999999</v>
      </c>
      <c r="R3539">
        <v>-0.1762002</v>
      </c>
      <c r="S3539">
        <v>2.9740139999999999</v>
      </c>
      <c r="T3539">
        <v>-0.53499619999999903</v>
      </c>
      <c r="U3539">
        <v>-1.0029300000000001</v>
      </c>
      <c r="V3539">
        <v>0.13911200000000001</v>
      </c>
      <c r="W3539">
        <v>0.14853839999999999</v>
      </c>
      <c r="X3539">
        <v>0.97907310000000003</v>
      </c>
      <c r="Y3539">
        <v>0.27885389999999999</v>
      </c>
      <c r="Z3539">
        <v>-1.745327E-2</v>
      </c>
      <c r="AA3539">
        <v>0.96017490000000005</v>
      </c>
      <c r="AB3539">
        <v>35</v>
      </c>
      <c r="AC3539">
        <v>5.798</v>
      </c>
      <c r="AD3539">
        <v>-1.1073863279080001</v>
      </c>
      <c r="AE3539">
        <v>-2.0600999999999701</v>
      </c>
      <c r="AF3539">
        <v>1.7746256183976701</v>
      </c>
      <c r="AG3539">
        <v>-1.1073863279080001</v>
      </c>
      <c r="AH3539">
        <v>5.6897385478698803</v>
      </c>
      <c r="AI3539">
        <v>100.525582993266</v>
      </c>
      <c r="AJ3539">
        <v>72.677334877354795</v>
      </c>
      <c r="AK3539">
        <v>6.0620726907409601</v>
      </c>
      <c r="AL3539">
        <v>81.457765545308007</v>
      </c>
      <c r="AM3539">
        <v>81.913235177310298</v>
      </c>
      <c r="AN3539">
        <v>0.99999996998108398</v>
      </c>
    </row>
    <row r="3540" spans="1:40" x14ac:dyDescent="0.25">
      <c r="A3540" t="str">
        <f>"20190312151057526"</f>
        <v>20190312151057526</v>
      </c>
      <c r="B3540" t="str">
        <f>"1552374657524991"</f>
        <v>1552374657524991</v>
      </c>
      <c r="C3540" t="s">
        <v>40</v>
      </c>
      <c r="D3540">
        <v>5.9809869999999998</v>
      </c>
      <c r="E3540">
        <v>0.56031549999999997</v>
      </c>
      <c r="F3540" t="s">
        <v>50</v>
      </c>
      <c r="G3540">
        <v>-209.87370000000001</v>
      </c>
      <c r="H3540" s="1">
        <v>6.8069129999999997E-6</v>
      </c>
      <c r="I3540">
        <v>212.19880000000001</v>
      </c>
      <c r="J3540">
        <v>-215.65710000000001</v>
      </c>
      <c r="K3540">
        <v>1.1072519999999999</v>
      </c>
      <c r="L3540">
        <v>214.29560000000001</v>
      </c>
      <c r="M3540">
        <v>0.99899320000000003</v>
      </c>
      <c r="N3540">
        <v>0</v>
      </c>
      <c r="O3540">
        <v>-4.2620180000000001E-2</v>
      </c>
      <c r="P3540">
        <v>0.97361160000000002</v>
      </c>
      <c r="Q3540">
        <v>0.13682549999999999</v>
      </c>
      <c r="R3540">
        <v>-0.1826459</v>
      </c>
      <c r="S3540">
        <v>2.9668269999999999</v>
      </c>
      <c r="T3540">
        <v>-0.53660169999999996</v>
      </c>
      <c r="U3540">
        <v>-1.0240940000000001</v>
      </c>
      <c r="V3540">
        <v>0.1421559</v>
      </c>
      <c r="W3540">
        <v>0.14943190000000001</v>
      </c>
      <c r="X3540">
        <v>0.97849980000000003</v>
      </c>
      <c r="Y3540">
        <v>0.28223730000000002</v>
      </c>
      <c r="Z3540">
        <v>-1.7199840000000001E-2</v>
      </c>
      <c r="AA3540">
        <v>0.9591904</v>
      </c>
      <c r="AB3540">
        <v>35</v>
      </c>
      <c r="AC3540">
        <v>5.7834000000000003</v>
      </c>
      <c r="AD3540">
        <v>-1.107245193087</v>
      </c>
      <c r="AE3540">
        <v>-2.0968</v>
      </c>
      <c r="AF3540">
        <v>1.7903800369271601</v>
      </c>
      <c r="AG3540">
        <v>-1.107245193087</v>
      </c>
      <c r="AH3540">
        <v>5.68340090522209</v>
      </c>
      <c r="AI3540">
        <v>100.52657705767101</v>
      </c>
      <c r="AJ3540">
        <v>72.514575294277705</v>
      </c>
      <c r="AK3540">
        <v>6.0607341505564198</v>
      </c>
      <c r="AL3540">
        <v>81.405994444476505</v>
      </c>
      <c r="AM3540">
        <v>81.733932526089902</v>
      </c>
      <c r="AN3540">
        <v>1.00000002562122</v>
      </c>
    </row>
    <row r="3541" spans="1:40" x14ac:dyDescent="0.25">
      <c r="A3541" t="str">
        <f>"20190312151057549"</f>
        <v>20190312151057549</v>
      </c>
      <c r="B3541" t="str">
        <f>"1552374657544042"</f>
        <v>1552374657544042</v>
      </c>
      <c r="C3541" t="s">
        <v>40</v>
      </c>
      <c r="D3541">
        <v>5.2042859999999997</v>
      </c>
      <c r="E3541">
        <v>0.56119909999999995</v>
      </c>
      <c r="F3541" t="s">
        <v>50</v>
      </c>
      <c r="G3541">
        <v>-209.3383</v>
      </c>
      <c r="H3541" s="1">
        <v>6.5825530000000001E-6</v>
      </c>
      <c r="I3541">
        <v>212.04920000000001</v>
      </c>
      <c r="J3541">
        <v>-215.2954</v>
      </c>
      <c r="K3541">
        <v>1.1071089999999999</v>
      </c>
      <c r="L3541">
        <v>214.2765</v>
      </c>
      <c r="M3541">
        <v>0.99881710000000001</v>
      </c>
      <c r="N3541">
        <v>0</v>
      </c>
      <c r="O3541">
        <v>-4.6564149999999999E-2</v>
      </c>
      <c r="P3541">
        <v>0.97241849999999996</v>
      </c>
      <c r="Q3541">
        <v>0.13726959999999999</v>
      </c>
      <c r="R3541">
        <v>-0.1885722</v>
      </c>
      <c r="S3541">
        <v>2.956909</v>
      </c>
      <c r="T3541">
        <v>-0.51813940000000003</v>
      </c>
      <c r="U3541">
        <v>-1.0512239999999999</v>
      </c>
      <c r="V3541">
        <v>0.14431540000000001</v>
      </c>
      <c r="W3541">
        <v>0.14980769999999999</v>
      </c>
      <c r="X3541">
        <v>0.9781261</v>
      </c>
      <c r="Y3541">
        <v>0.28748509999999999</v>
      </c>
      <c r="Z3541">
        <v>-1.6424669999999999E-2</v>
      </c>
      <c r="AA3541">
        <v>0.9576443</v>
      </c>
      <c r="AB3541">
        <v>35</v>
      </c>
      <c r="AC3541">
        <v>5.9570999999999898</v>
      </c>
      <c r="AD3541">
        <v>-1.1071024174469899</v>
      </c>
      <c r="AE3541">
        <v>-2.2272999999999801</v>
      </c>
      <c r="AF3541">
        <v>1.8901913964695201</v>
      </c>
      <c r="AG3541">
        <v>-1.1071024174469899</v>
      </c>
      <c r="AH3541">
        <v>5.8762927689941398</v>
      </c>
      <c r="AI3541">
        <v>100.167969155112</v>
      </c>
      <c r="AJ3541">
        <v>72.168889893101905</v>
      </c>
      <c r="AK3541">
        <v>6.2713089530764803</v>
      </c>
      <c r="AL3541">
        <v>81.384217118641502</v>
      </c>
      <c r="AM3541">
        <v>81.606976601255894</v>
      </c>
      <c r="AN3541">
        <v>0.99999997457882905</v>
      </c>
    </row>
    <row r="3542" spans="1:40" x14ac:dyDescent="0.25">
      <c r="A3542" t="str">
        <f>"20190312151057572"</f>
        <v>20190312151057572</v>
      </c>
      <c r="B3542" t="str">
        <f>"1552374657564539"</f>
        <v>1552374657564539</v>
      </c>
      <c r="C3542" t="s">
        <v>40</v>
      </c>
      <c r="D3542">
        <v>5.2250759999999996</v>
      </c>
      <c r="E3542">
        <v>0.56154869999999901</v>
      </c>
      <c r="F3542" t="s">
        <v>50</v>
      </c>
      <c r="G3542">
        <v>-209.04320000000001</v>
      </c>
      <c r="H3542" s="1">
        <v>6.456493E-6</v>
      </c>
      <c r="I3542">
        <v>211.99459999999999</v>
      </c>
      <c r="J3542">
        <v>-214.95009999999999</v>
      </c>
      <c r="K3542">
        <v>1.1069530000000001</v>
      </c>
      <c r="L3542">
        <v>214.2568</v>
      </c>
      <c r="M3542">
        <v>0.99862689999999998</v>
      </c>
      <c r="N3542">
        <v>0</v>
      </c>
      <c r="O3542">
        <v>-5.0476760000000002E-2</v>
      </c>
      <c r="P3542">
        <v>0.97138279999999999</v>
      </c>
      <c r="Q3542">
        <v>0.13640720000000001</v>
      </c>
      <c r="R3542">
        <v>-0.19444420000000001</v>
      </c>
      <c r="S3542">
        <v>2.950027</v>
      </c>
      <c r="T3542">
        <v>-0.52237339999999999</v>
      </c>
      <c r="U3542">
        <v>-1.0767059999999999</v>
      </c>
      <c r="V3542">
        <v>0.1464387</v>
      </c>
      <c r="W3542">
        <v>0.14887790000000001</v>
      </c>
      <c r="X3542">
        <v>0.9779525</v>
      </c>
      <c r="Y3542">
        <v>0.29170040000000003</v>
      </c>
      <c r="Z3542">
        <v>-1.6266139999999998E-2</v>
      </c>
      <c r="AA3542">
        <v>0.95637139999999998</v>
      </c>
      <c r="AB3542">
        <v>35</v>
      </c>
      <c r="AC3542">
        <v>5.9068999999999701</v>
      </c>
      <c r="AD3542">
        <v>-1.1069465435070001</v>
      </c>
      <c r="AE3542">
        <v>-2.2622</v>
      </c>
      <c r="AF3542">
        <v>1.90284789278508</v>
      </c>
      <c r="AG3542">
        <v>-1.1069465435070001</v>
      </c>
      <c r="AH3542">
        <v>5.8348675862946999</v>
      </c>
      <c r="AI3542">
        <v>100.224152842298</v>
      </c>
      <c r="AJ3542">
        <v>71.937986535385505</v>
      </c>
      <c r="AK3542">
        <v>6.2363322957369096</v>
      </c>
      <c r="AL3542">
        <v>81.438095232512694</v>
      </c>
      <c r="AM3542">
        <v>81.483798734329994</v>
      </c>
      <c r="AN3542">
        <v>1.0000000071111701</v>
      </c>
    </row>
    <row r="3543" spans="1:40" x14ac:dyDescent="0.25">
      <c r="A3543" t="str">
        <f>"20190312151057593"</f>
        <v>20190312151057593</v>
      </c>
      <c r="B3543" t="str">
        <f>"1552374657584059"</f>
        <v>1552374657584059</v>
      </c>
      <c r="C3543" t="s">
        <v>40</v>
      </c>
      <c r="D3543">
        <v>5.3416499999999996</v>
      </c>
      <c r="E3543">
        <v>0.56208649999999905</v>
      </c>
      <c r="F3543" t="s">
        <v>50</v>
      </c>
      <c r="G3543">
        <v>-208.755</v>
      </c>
      <c r="H3543" s="1">
        <v>6.3329220000000001E-6</v>
      </c>
      <c r="I3543">
        <v>211.9461</v>
      </c>
      <c r="J3543">
        <v>-214.59800000000001</v>
      </c>
      <c r="K3543">
        <v>1.1067720000000001</v>
      </c>
      <c r="L3543">
        <v>214.23509999999999</v>
      </c>
      <c r="M3543">
        <v>0.99840779999999996</v>
      </c>
      <c r="N3543">
        <v>0</v>
      </c>
      <c r="O3543">
        <v>-5.4639220000000002E-2</v>
      </c>
      <c r="P3543">
        <v>0.97029540000000003</v>
      </c>
      <c r="Q3543">
        <v>0.134981399999999</v>
      </c>
      <c r="R3543">
        <v>-0.20076630000000001</v>
      </c>
      <c r="S3543">
        <v>2.94252</v>
      </c>
      <c r="T3543">
        <v>-0.52577759999999996</v>
      </c>
      <c r="U3543">
        <v>-1.0975189999999999</v>
      </c>
      <c r="V3543">
        <v>0.14877379999999901</v>
      </c>
      <c r="W3543">
        <v>0.14737549999999999</v>
      </c>
      <c r="X3543">
        <v>0.97782760000000002</v>
      </c>
      <c r="Y3543">
        <v>0.29442649999999998</v>
      </c>
      <c r="Z3543">
        <v>-1.5914210000000002E-2</v>
      </c>
      <c r="AA3543">
        <v>0.95554159999999999</v>
      </c>
      <c r="AB3543">
        <v>35</v>
      </c>
      <c r="AC3543">
        <v>5.8429999999999804</v>
      </c>
      <c r="AD3543">
        <v>-1.1067656670779999</v>
      </c>
      <c r="AE3543">
        <v>-2.2889999999999802</v>
      </c>
      <c r="AF3543">
        <v>1.9069746770596501</v>
      </c>
      <c r="AG3543">
        <v>-1.1067656670779999</v>
      </c>
      <c r="AH3543">
        <v>5.7795760593258798</v>
      </c>
      <c r="AI3543">
        <v>100.306763981358</v>
      </c>
      <c r="AJ3543">
        <v>71.739661753500499</v>
      </c>
      <c r="AK3543">
        <v>6.1858695497320602</v>
      </c>
      <c r="AL3543">
        <v>81.525136552390904</v>
      </c>
      <c r="AM3543">
        <v>81.348950191605098</v>
      </c>
      <c r="AN3543">
        <v>0.99999999844422505</v>
      </c>
    </row>
    <row r="3544" spans="1:40" x14ac:dyDescent="0.25">
      <c r="A3544" t="str">
        <f>"20190312151057617"</f>
        <v>20190312151057617</v>
      </c>
      <c r="B3544" t="str">
        <f>"1552374657604555"</f>
        <v>1552374657604555</v>
      </c>
      <c r="C3544" t="s">
        <v>40</v>
      </c>
      <c r="D3544">
        <v>5.2145510000000002</v>
      </c>
      <c r="E3544">
        <v>0.56243799999999999</v>
      </c>
      <c r="F3544" t="s">
        <v>50</v>
      </c>
      <c r="G3544">
        <v>-208.48150000000001</v>
      </c>
      <c r="H3544" s="1">
        <v>6.2156600000000002E-6</v>
      </c>
      <c r="I3544">
        <v>211.8998</v>
      </c>
      <c r="J3544">
        <v>-214.24959999999999</v>
      </c>
      <c r="K3544">
        <v>1.106573</v>
      </c>
      <c r="L3544">
        <v>214.21199999999999</v>
      </c>
      <c r="M3544">
        <v>0.99816179999999999</v>
      </c>
      <c r="N3544">
        <v>0</v>
      </c>
      <c r="O3544">
        <v>-5.8959930000000001E-2</v>
      </c>
      <c r="P3544">
        <v>0.96932099999999999</v>
      </c>
      <c r="Q3544">
        <v>0.1333743</v>
      </c>
      <c r="R3544">
        <v>-0.20646690000000001</v>
      </c>
      <c r="S3544">
        <v>2.933945</v>
      </c>
      <c r="T3544">
        <v>-0.53088900000000006</v>
      </c>
      <c r="U3544">
        <v>-1.120193</v>
      </c>
      <c r="V3544">
        <v>0.15033270000000001</v>
      </c>
      <c r="W3544">
        <v>0.14569489999999999</v>
      </c>
      <c r="X3544">
        <v>0.97784099999999996</v>
      </c>
      <c r="Y3544">
        <v>0.29761510000000002</v>
      </c>
      <c r="Z3544">
        <v>-1.5621380000000001E-2</v>
      </c>
      <c r="AA3544">
        <v>0.95455809999999996</v>
      </c>
      <c r="AB3544">
        <v>35</v>
      </c>
      <c r="AC3544">
        <v>5.7680999999999703</v>
      </c>
      <c r="AD3544">
        <v>-1.10656678434</v>
      </c>
      <c r="AE3544">
        <v>-2.31220000000001</v>
      </c>
      <c r="AF3544">
        <v>1.90757059683782</v>
      </c>
      <c r="AG3544">
        <v>-1.10656678434</v>
      </c>
      <c r="AH3544">
        <v>5.7132463665285202</v>
      </c>
      <c r="AI3544">
        <v>100.409997131154</v>
      </c>
      <c r="AJ3544">
        <v>71.536578452601901</v>
      </c>
      <c r="AK3544">
        <v>6.1240917428444899</v>
      </c>
      <c r="AL3544">
        <v>81.622478399768994</v>
      </c>
      <c r="AM3544">
        <v>81.259812304595002</v>
      </c>
      <c r="AN3544">
        <v>0.99999997292814902</v>
      </c>
    </row>
    <row r="3545" spans="1:40" x14ac:dyDescent="0.25">
      <c r="A3545" t="str">
        <f>"20190312151057639"</f>
        <v>20190312151057639</v>
      </c>
      <c r="B3545" t="str">
        <f>"1552374657634811"</f>
        <v>1552374657634811</v>
      </c>
      <c r="C3545" t="s">
        <v>40</v>
      </c>
      <c r="D3545">
        <v>5.2079469999999999</v>
      </c>
      <c r="E3545">
        <v>0.56263180000000002</v>
      </c>
      <c r="F3545" t="s">
        <v>50</v>
      </c>
      <c r="G3545">
        <v>-208.2184</v>
      </c>
      <c r="H3545" s="1">
        <v>6.1023409999999997E-6</v>
      </c>
      <c r="I3545">
        <v>211.8613</v>
      </c>
      <c r="J3545">
        <v>-213.8939</v>
      </c>
      <c r="K3545">
        <v>1.106352</v>
      </c>
      <c r="L3545">
        <v>214.1866</v>
      </c>
      <c r="M3545">
        <v>0.99787550000000003</v>
      </c>
      <c r="N3545">
        <v>0</v>
      </c>
      <c r="O3545">
        <v>-6.3620369999999996E-2</v>
      </c>
      <c r="P3545">
        <v>0.96836610000000001</v>
      </c>
      <c r="Q3545">
        <v>0.1316177</v>
      </c>
      <c r="R3545">
        <v>-0.21200069999999999</v>
      </c>
      <c r="S3545">
        <v>2.9259339999999998</v>
      </c>
      <c r="T3545">
        <v>-0.53682879999999999</v>
      </c>
      <c r="U3545">
        <v>-1.140366</v>
      </c>
      <c r="V3545">
        <v>0.1513969</v>
      </c>
      <c r="W3545">
        <v>0.143863299999999</v>
      </c>
      <c r="X3545">
        <v>0.97794800000000004</v>
      </c>
      <c r="Y3545">
        <v>0.299714799999999</v>
      </c>
      <c r="Z3545">
        <v>-1.518682E-2</v>
      </c>
      <c r="AA3545">
        <v>0.95390799999999998</v>
      </c>
      <c r="AB3545">
        <v>35</v>
      </c>
      <c r="AC3545">
        <v>5.6755000000000004</v>
      </c>
      <c r="AD3545">
        <v>-1.1063458976589999</v>
      </c>
      <c r="AE3545">
        <v>-2.3252999999999902</v>
      </c>
      <c r="AF3545">
        <v>1.8977283529098301</v>
      </c>
      <c r="AG3545">
        <v>-1.1063458976589999</v>
      </c>
      <c r="AH3545">
        <v>5.6288046577213704</v>
      </c>
      <c r="AI3545">
        <v>100.55046955919001</v>
      </c>
      <c r="AJ3545">
        <v>71.368677515004194</v>
      </c>
      <c r="AK3545">
        <v>6.0422525618754603</v>
      </c>
      <c r="AL3545">
        <v>81.728538884275395</v>
      </c>
      <c r="AM3545">
        <v>81.199854049367502</v>
      </c>
      <c r="AN3545">
        <v>0.99999998056024897</v>
      </c>
    </row>
    <row r="3546" spans="1:40" x14ac:dyDescent="0.25">
      <c r="A3546" t="str">
        <f>"20190312151057662"</f>
        <v>20190312151057662</v>
      </c>
      <c r="B3546" t="str">
        <f>"1552374657654331"</f>
        <v>1552374657654331</v>
      </c>
      <c r="C3546" t="s">
        <v>40</v>
      </c>
      <c r="D3546">
        <v>5.1650210000000003</v>
      </c>
      <c r="E3546">
        <v>0.56273660000000003</v>
      </c>
      <c r="F3546" t="s">
        <v>50</v>
      </c>
      <c r="G3546">
        <v>-207.922</v>
      </c>
      <c r="H3546" s="1">
        <v>5.9751109999999999E-6</v>
      </c>
      <c r="I3546">
        <v>211.81309999999999</v>
      </c>
      <c r="J3546">
        <v>-213.53700000000001</v>
      </c>
      <c r="K3546">
        <v>1.1061259999999999</v>
      </c>
      <c r="L3546">
        <v>214.15899999999999</v>
      </c>
      <c r="M3546">
        <v>0.99754730000000003</v>
      </c>
      <c r="N3546">
        <v>0</v>
      </c>
      <c r="O3546">
        <v>-6.8571499999999994E-2</v>
      </c>
      <c r="P3546">
        <v>0.96736750000000005</v>
      </c>
      <c r="Q3546">
        <v>0.13002420000000001</v>
      </c>
      <c r="R3546">
        <v>-0.21747169999999999</v>
      </c>
      <c r="S3546">
        <v>2.917618</v>
      </c>
      <c r="T3546">
        <v>-0.54050819999999999</v>
      </c>
      <c r="U3546">
        <v>-1.1595610000000001</v>
      </c>
      <c r="V3546">
        <v>0.1521207</v>
      </c>
      <c r="W3546">
        <v>0.1421954</v>
      </c>
      <c r="X3546">
        <v>0.97807960000000005</v>
      </c>
      <c r="Y3546">
        <v>0.30133320000000002</v>
      </c>
      <c r="Z3546">
        <v>-1.458576E-2</v>
      </c>
      <c r="AA3546">
        <v>0.95340729999999996</v>
      </c>
      <c r="AB3546">
        <v>35</v>
      </c>
      <c r="AC3546">
        <v>5.6150000000000002</v>
      </c>
      <c r="AD3546">
        <v>-1.106120024889</v>
      </c>
      <c r="AE3546">
        <v>-2.3459000000000199</v>
      </c>
      <c r="AF3546">
        <v>1.89277386032886</v>
      </c>
      <c r="AG3546">
        <v>-1.106120024889</v>
      </c>
      <c r="AH3546">
        <v>5.5783525731742198</v>
      </c>
      <c r="AI3546">
        <v>100.634778284139</v>
      </c>
      <c r="AJ3546">
        <v>71.257567870847495</v>
      </c>
      <c r="AK3546">
        <v>5.9936726492563901</v>
      </c>
      <c r="AL3546">
        <v>81.825095204268493</v>
      </c>
      <c r="AM3546">
        <v>81.159616231950295</v>
      </c>
      <c r="AN3546">
        <v>0.99999997154290399</v>
      </c>
    </row>
    <row r="3547" spans="1:40" x14ac:dyDescent="0.25">
      <c r="A3547" t="str">
        <f>"20190312151057684"</f>
        <v>20190312151057684</v>
      </c>
      <c r="B3547" t="str">
        <f>"1552374657674827"</f>
        <v>1552374657674827</v>
      </c>
      <c r="C3547" t="s">
        <v>40</v>
      </c>
      <c r="D3547">
        <v>5.1745869999999998</v>
      </c>
      <c r="E3547">
        <v>0.562878199999999</v>
      </c>
      <c r="F3547" t="s">
        <v>50</v>
      </c>
      <c r="G3547">
        <v>-207.6275</v>
      </c>
      <c r="H3547" s="1">
        <v>5.848606E-6</v>
      </c>
      <c r="I3547">
        <v>211.76660000000001</v>
      </c>
      <c r="J3547">
        <v>-213.18469999999999</v>
      </c>
      <c r="K3547">
        <v>1.105909</v>
      </c>
      <c r="L3547">
        <v>214.12989999999999</v>
      </c>
      <c r="M3547">
        <v>0.99718229999999997</v>
      </c>
      <c r="N3547">
        <v>0</v>
      </c>
      <c r="O3547">
        <v>-7.3686630000000003E-2</v>
      </c>
      <c r="P3547">
        <v>0.96634229999999999</v>
      </c>
      <c r="Q3547">
        <v>0.12848999999999999</v>
      </c>
      <c r="R3547">
        <v>-0.2228745</v>
      </c>
      <c r="S3547">
        <v>2.9096069999999998</v>
      </c>
      <c r="T3547">
        <v>-0.54461359999999903</v>
      </c>
      <c r="U3547">
        <v>-1.1779630000000001</v>
      </c>
      <c r="V3547">
        <v>0.152612</v>
      </c>
      <c r="W3547">
        <v>0.14059569999999999</v>
      </c>
      <c r="X3547">
        <v>0.97823439999999995</v>
      </c>
      <c r="Y3547">
        <v>0.30254180000000003</v>
      </c>
      <c r="Z3547">
        <v>-1.3918069999999999E-2</v>
      </c>
      <c r="AA3547">
        <v>0.95303450000000001</v>
      </c>
      <c r="AB3547">
        <v>35</v>
      </c>
      <c r="AC3547">
        <v>5.5571999999999901</v>
      </c>
      <c r="AD3547">
        <v>-1.1059031513940001</v>
      </c>
      <c r="AE3547">
        <v>-2.3632999999999802</v>
      </c>
      <c r="AF3547">
        <v>1.8841529895559599</v>
      </c>
      <c r="AG3547">
        <v>-1.1059031513940001</v>
      </c>
      <c r="AH3547">
        <v>5.5307641534142302</v>
      </c>
      <c r="AI3547">
        <v>100.717773139523</v>
      </c>
      <c r="AJ3547">
        <v>71.187678889950504</v>
      </c>
      <c r="AK3547">
        <v>5.9466298345371804</v>
      </c>
      <c r="AL3547">
        <v>81.917682171932896</v>
      </c>
      <c r="AM3547">
        <v>81.132898909838701</v>
      </c>
      <c r="AN3547">
        <v>1.00000005737292</v>
      </c>
    </row>
    <row r="3548" spans="1:40" x14ac:dyDescent="0.25">
      <c r="A3548" t="str">
        <f>"20190312151057708"</f>
        <v>20190312151057708</v>
      </c>
      <c r="B3548" t="str">
        <f>"1552374657704107"</f>
        <v>1552374657704107</v>
      </c>
      <c r="C3548" t="s">
        <v>40</v>
      </c>
      <c r="D3548">
        <v>5.1754189999999998</v>
      </c>
      <c r="E3548">
        <v>0.56317320000000004</v>
      </c>
      <c r="F3548" t="s">
        <v>50</v>
      </c>
      <c r="G3548">
        <v>-207.3355</v>
      </c>
      <c r="H3548" s="1">
        <v>5.723279E-6</v>
      </c>
      <c r="I3548">
        <v>211.71879999999999</v>
      </c>
      <c r="J3548">
        <v>-212.8245</v>
      </c>
      <c r="K3548">
        <v>1.1056999999999999</v>
      </c>
      <c r="L3548">
        <v>214.09800000000001</v>
      </c>
      <c r="M3548">
        <v>0.99676220000000004</v>
      </c>
      <c r="N3548">
        <v>0</v>
      </c>
      <c r="O3548">
        <v>-7.9163739999999996E-2</v>
      </c>
      <c r="P3548">
        <v>0.96502140000000003</v>
      </c>
      <c r="Q3548">
        <v>0.12773609999999999</v>
      </c>
      <c r="R3548">
        <v>-0.2289486</v>
      </c>
      <c r="S3548">
        <v>2.9015810000000002</v>
      </c>
      <c r="T3548">
        <v>-0.54860089999999995</v>
      </c>
      <c r="U3548">
        <v>-1.196075</v>
      </c>
      <c r="V3548">
        <v>0.15344650000000001</v>
      </c>
      <c r="W3548">
        <v>0.139769</v>
      </c>
      <c r="X3548">
        <v>0.97822229999999999</v>
      </c>
      <c r="Y3548">
        <v>0.30333949999999998</v>
      </c>
      <c r="Z3548">
        <v>-1.313311E-2</v>
      </c>
      <c r="AA3548">
        <v>0.95279199999999997</v>
      </c>
      <c r="AB3548">
        <v>35</v>
      </c>
      <c r="AC3548">
        <v>5.4889999999999999</v>
      </c>
      <c r="AD3548">
        <v>-1.1056942767209901</v>
      </c>
      <c r="AE3548">
        <v>-2.3791999999999902</v>
      </c>
      <c r="AF3548">
        <v>1.87317217464291</v>
      </c>
      <c r="AG3548">
        <v>-1.1056942767209901</v>
      </c>
      <c r="AH3548">
        <v>5.4731740286873301</v>
      </c>
      <c r="AI3548">
        <v>100.820798396955</v>
      </c>
      <c r="AJ3548">
        <v>71.106691771408705</v>
      </c>
      <c r="AK3548">
        <v>5.8895643113669696</v>
      </c>
      <c r="AL3548">
        <v>81.965520784796396</v>
      </c>
      <c r="AM3548">
        <v>81.085080776905002</v>
      </c>
      <c r="AN3548">
        <v>1.00000003497026</v>
      </c>
    </row>
    <row r="3549" spans="1:40" x14ac:dyDescent="0.25">
      <c r="A3549" t="str">
        <f>"20190312151057729"</f>
        <v>20190312151057729</v>
      </c>
      <c r="B3549" t="str">
        <f>"1552374657724603"</f>
        <v>1552374657724603</v>
      </c>
      <c r="C3549" t="s">
        <v>40</v>
      </c>
      <c r="D3549">
        <v>5.1697680000000004</v>
      </c>
      <c r="E3549">
        <v>0.56332609999999905</v>
      </c>
      <c r="F3549" t="s">
        <v>50</v>
      </c>
      <c r="G3549">
        <v>-207.02209999999999</v>
      </c>
      <c r="H3549" s="1">
        <v>5.5897409999999997E-6</v>
      </c>
      <c r="I3549">
        <v>211.65649999999999</v>
      </c>
      <c r="J3549">
        <v>-212.48310000000001</v>
      </c>
      <c r="K3549">
        <v>1.1054999999999999</v>
      </c>
      <c r="L3549">
        <v>214.0658</v>
      </c>
      <c r="M3549">
        <v>0.99631550000000002</v>
      </c>
      <c r="N3549">
        <v>0</v>
      </c>
      <c r="O3549">
        <v>-8.4596619999999997E-2</v>
      </c>
      <c r="P3549">
        <v>0.96375909999999998</v>
      </c>
      <c r="Q3549">
        <v>0.12710479999999999</v>
      </c>
      <c r="R3549">
        <v>-0.23454920000000001</v>
      </c>
      <c r="S3549">
        <v>2.8929290000000001</v>
      </c>
      <c r="T3549">
        <v>-0.55127109999999901</v>
      </c>
      <c r="U3549">
        <v>-1.217255</v>
      </c>
      <c r="V3549">
        <v>0.1538477</v>
      </c>
      <c r="W3549">
        <v>0.13907439999999999</v>
      </c>
      <c r="X3549">
        <v>0.97825830000000003</v>
      </c>
      <c r="Y3549">
        <v>0.30511319999999997</v>
      </c>
      <c r="Z3549">
        <v>-1.2401489999999999E-2</v>
      </c>
      <c r="AA3549">
        <v>0.95223530000000001</v>
      </c>
      <c r="AB3549">
        <v>35</v>
      </c>
      <c r="AC3549">
        <v>5.4610000000000101</v>
      </c>
      <c r="AD3549">
        <v>-1.1054944102590001</v>
      </c>
      <c r="AE3549">
        <v>-2.4093</v>
      </c>
      <c r="AF3549">
        <v>1.8743382989633299</v>
      </c>
      <c r="AG3549">
        <v>-1.1054944102590001</v>
      </c>
      <c r="AH3549">
        <v>5.4580325104564098</v>
      </c>
      <c r="AI3549">
        <v>100.84441257703899</v>
      </c>
      <c r="AJ3549">
        <v>71.047059553773906</v>
      </c>
      <c r="AK3549">
        <v>5.8758302251914802</v>
      </c>
      <c r="AL3549">
        <v>82.005711107484004</v>
      </c>
      <c r="AM3549">
        <v>81.062471328564698</v>
      </c>
      <c r="AN3549">
        <v>1.0000000525247601</v>
      </c>
    </row>
    <row r="3550" spans="1:40" x14ac:dyDescent="0.25">
      <c r="A3550" t="str">
        <f>"20190312151057750"</f>
        <v>20190312151057750</v>
      </c>
      <c r="B3550" t="str">
        <f>"1552374657744124"</f>
        <v>1552374657744124</v>
      </c>
      <c r="C3550" t="s">
        <v>40</v>
      </c>
      <c r="D3550">
        <v>5.3902919999999996</v>
      </c>
      <c r="E3550">
        <v>0.56378070000000002</v>
      </c>
      <c r="F3550" t="s">
        <v>50</v>
      </c>
      <c r="G3550">
        <v>-206.72499999999999</v>
      </c>
      <c r="H3550" s="1">
        <v>5.4629989999999998E-6</v>
      </c>
      <c r="I3550">
        <v>211.5993</v>
      </c>
      <c r="J3550">
        <v>-212.14070000000001</v>
      </c>
      <c r="K3550">
        <v>1.105289</v>
      </c>
      <c r="L3550">
        <v>214.03129999999999</v>
      </c>
      <c r="M3550">
        <v>0.99581629999999999</v>
      </c>
      <c r="N3550">
        <v>0</v>
      </c>
      <c r="O3550">
        <v>-9.0281669999999994E-2</v>
      </c>
      <c r="P3550">
        <v>0.96239490000000005</v>
      </c>
      <c r="Q3550">
        <v>0.12678319999999901</v>
      </c>
      <c r="R3550">
        <v>-0.2402551</v>
      </c>
      <c r="S3550">
        <v>2.8851010000000001</v>
      </c>
      <c r="T3550">
        <v>-0.55390989999999996</v>
      </c>
      <c r="U3550">
        <v>-1.23584</v>
      </c>
      <c r="V3550">
        <v>0.15412219999999999</v>
      </c>
      <c r="W3550">
        <v>0.1386896</v>
      </c>
      <c r="X3550">
        <v>0.97826970000000002</v>
      </c>
      <c r="Y3550">
        <v>0.305842</v>
      </c>
      <c r="Z3550">
        <v>-1.1518240000000001E-2</v>
      </c>
      <c r="AA3550">
        <v>0.95201259999999999</v>
      </c>
      <c r="AB3550">
        <v>35</v>
      </c>
      <c r="AC3550">
        <v>5.41570000000001</v>
      </c>
      <c r="AD3550">
        <v>-1.1052835370009999</v>
      </c>
      <c r="AE3550">
        <v>-2.43199999999998</v>
      </c>
      <c r="AF3550">
        <v>1.8683190983584801</v>
      </c>
      <c r="AG3550">
        <v>-1.1052835370009999</v>
      </c>
      <c r="AH3550">
        <v>5.4251193136775298</v>
      </c>
      <c r="AI3550">
        <v>100.90341114603901</v>
      </c>
      <c r="AJ3550">
        <v>70.997160782591195</v>
      </c>
      <c r="AK3550">
        <v>5.8433027919228602</v>
      </c>
      <c r="AL3550">
        <v>82.0279741099679</v>
      </c>
      <c r="AM3550">
        <v>81.046885449652606</v>
      </c>
      <c r="AN3550">
        <v>1.0000000318095399</v>
      </c>
    </row>
    <row r="3551" spans="1:40" x14ac:dyDescent="0.25">
      <c r="A3551" t="str">
        <f>"20190312151057773"</f>
        <v>20190312151057773</v>
      </c>
      <c r="B3551" t="str">
        <f>"1552374657764618"</f>
        <v>1552374657764618</v>
      </c>
      <c r="C3551" t="s">
        <v>40</v>
      </c>
      <c r="D3551">
        <v>5.1021979999999996</v>
      </c>
      <c r="E3551">
        <v>0.56405380000000005</v>
      </c>
      <c r="F3551" t="s">
        <v>50</v>
      </c>
      <c r="G3551">
        <v>-206.42939999999999</v>
      </c>
      <c r="H3551" s="1">
        <v>5.3374020000000004E-6</v>
      </c>
      <c r="I3551">
        <v>211.53659999999999</v>
      </c>
      <c r="J3551">
        <v>-211.79320000000001</v>
      </c>
      <c r="K3551">
        <v>1.1050709999999999</v>
      </c>
      <c r="L3551">
        <v>213.99420000000001</v>
      </c>
      <c r="M3551">
        <v>0.99525410000000003</v>
      </c>
      <c r="N3551">
        <v>0</v>
      </c>
      <c r="O3551">
        <v>-9.6279340000000005E-2</v>
      </c>
      <c r="P3551">
        <v>0.96087089999999997</v>
      </c>
      <c r="Q3551">
        <v>0.12683319999999901</v>
      </c>
      <c r="R3551">
        <v>-0.24625279999999999</v>
      </c>
      <c r="S3551">
        <v>2.876846</v>
      </c>
      <c r="T3551">
        <v>-0.55674869999999899</v>
      </c>
      <c r="U3551">
        <v>-1.2566379999999999</v>
      </c>
      <c r="V3551">
        <v>0.15440299999999901</v>
      </c>
      <c r="W3551">
        <v>0.13867399999999999</v>
      </c>
      <c r="X3551">
        <v>0.97822759999999997</v>
      </c>
      <c r="Y3551">
        <v>0.30693409999999999</v>
      </c>
      <c r="Z3551">
        <v>-1.060533E-2</v>
      </c>
      <c r="AA3551">
        <v>0.95167170000000001</v>
      </c>
      <c r="AB3551">
        <v>35</v>
      </c>
      <c r="AC3551">
        <v>5.3638000000000199</v>
      </c>
      <c r="AD3551">
        <v>-1.105065662598</v>
      </c>
      <c r="AE3551">
        <v>-2.45760000000001</v>
      </c>
      <c r="AF3551">
        <v>1.86430449797839</v>
      </c>
      <c r="AG3551">
        <v>-1.105065662598</v>
      </c>
      <c r="AH3551">
        <v>5.3865515263248698</v>
      </c>
      <c r="AI3551">
        <v>100.971794136328</v>
      </c>
      <c r="AJ3551">
        <v>70.9090824665452</v>
      </c>
      <c r="AK3551">
        <v>5.8061810792971604</v>
      </c>
      <c r="AL3551">
        <v>82.028876398469805</v>
      </c>
      <c r="AM3551">
        <v>81.030458710572404</v>
      </c>
      <c r="AN3551">
        <v>1.0000000010433701</v>
      </c>
    </row>
    <row r="3552" spans="1:40" x14ac:dyDescent="0.25">
      <c r="A3552" t="str">
        <f>"20190312151057795"</f>
        <v>20190312151057795</v>
      </c>
      <c r="B3552" t="str">
        <f>"1552374657784139"</f>
        <v>1552374657784139</v>
      </c>
      <c r="C3552" t="s">
        <v>40</v>
      </c>
      <c r="D3552">
        <v>5.1640160000000002</v>
      </c>
      <c r="E3552">
        <v>0.56438290000000002</v>
      </c>
      <c r="F3552" t="s">
        <v>50</v>
      </c>
      <c r="G3552">
        <v>-206.09889999999999</v>
      </c>
      <c r="H3552" s="1">
        <v>5.1975429999999898E-6</v>
      </c>
      <c r="I3552">
        <v>211.4599</v>
      </c>
      <c r="J3552">
        <v>-211.4442</v>
      </c>
      <c r="K3552">
        <v>1.1048659999999999</v>
      </c>
      <c r="L3552">
        <v>213.9546</v>
      </c>
      <c r="M3552">
        <v>0.9946296</v>
      </c>
      <c r="N3552">
        <v>0</v>
      </c>
      <c r="O3552">
        <v>-0.10252699999999999</v>
      </c>
      <c r="P3552">
        <v>0.95914540000000004</v>
      </c>
      <c r="Q3552">
        <v>0.12693670000000001</v>
      </c>
      <c r="R3552">
        <v>-0.25283860000000002</v>
      </c>
      <c r="S3552">
        <v>2.8684690000000002</v>
      </c>
      <c r="T3552">
        <v>-0.55666729999999998</v>
      </c>
      <c r="U3552">
        <v>-1.2766109999999999</v>
      </c>
      <c r="V3552">
        <v>0.1550453</v>
      </c>
      <c r="W3552">
        <v>0.13870750000000001</v>
      </c>
      <c r="X3552">
        <v>0.97812120000000002</v>
      </c>
      <c r="Y3552">
        <v>0.30761169999999999</v>
      </c>
      <c r="Z3552">
        <v>-9.5492509999999999E-3</v>
      </c>
      <c r="AA3552">
        <v>0.95146410000000003</v>
      </c>
      <c r="AB3552">
        <v>35</v>
      </c>
      <c r="AC3552">
        <v>5.3452999999999999</v>
      </c>
      <c r="AD3552">
        <v>-1.1048608024569999</v>
      </c>
      <c r="AE3552">
        <v>-2.4946999999999901</v>
      </c>
      <c r="AF3552">
        <v>1.8679271207457899</v>
      </c>
      <c r="AG3552">
        <v>-1.1048608024569999</v>
      </c>
      <c r="AH3552">
        <v>5.3840406567476098</v>
      </c>
      <c r="AI3552">
        <v>100.972037702713</v>
      </c>
      <c r="AJ3552">
        <v>70.866407630015303</v>
      </c>
      <c r="AK3552">
        <v>5.8049774258591897</v>
      </c>
      <c r="AL3552">
        <v>82.026937839514403</v>
      </c>
      <c r="AM3552">
        <v>80.992793089220299</v>
      </c>
      <c r="AN3552">
        <v>0.99999994874888798</v>
      </c>
    </row>
    <row r="3553" spans="1:40" x14ac:dyDescent="0.25">
      <c r="A3553" t="str">
        <f>"20190312151057818"</f>
        <v>20190312151057818</v>
      </c>
      <c r="B3553" t="str">
        <f>"1552374657814396"</f>
        <v>1552374657814396</v>
      </c>
      <c r="C3553" t="s">
        <v>40</v>
      </c>
      <c r="D3553">
        <v>5.2173150000000001</v>
      </c>
      <c r="E3553">
        <v>0.56491990000000003</v>
      </c>
      <c r="F3553" t="s">
        <v>50</v>
      </c>
      <c r="G3553">
        <v>-205.75960000000001</v>
      </c>
      <c r="H3553" s="1">
        <v>5.0546400000000001E-6</v>
      </c>
      <c r="I3553">
        <v>211.3734</v>
      </c>
      <c r="J3553">
        <v>-211.09809999999999</v>
      </c>
      <c r="K3553">
        <v>1.104665</v>
      </c>
      <c r="L3553">
        <v>213.91290000000001</v>
      </c>
      <c r="M3553">
        <v>0.99394910000000003</v>
      </c>
      <c r="N3553">
        <v>0</v>
      </c>
      <c r="O3553">
        <v>-0.10892540000000001</v>
      </c>
      <c r="P3553">
        <v>0.95710470000000003</v>
      </c>
      <c r="Q3553">
        <v>0.12677669999999999</v>
      </c>
      <c r="R3553">
        <v>-0.26053539999999997</v>
      </c>
      <c r="S3553">
        <v>2.8591160000000002</v>
      </c>
      <c r="T3553">
        <v>-0.55569849999999998</v>
      </c>
      <c r="U3553">
        <v>-1.2982479999999901</v>
      </c>
      <c r="V3553">
        <v>0.1566729</v>
      </c>
      <c r="W3553">
        <v>0.1384647</v>
      </c>
      <c r="X3553">
        <v>0.97789630000000005</v>
      </c>
      <c r="Y3553">
        <v>0.30872470000000002</v>
      </c>
      <c r="Z3553">
        <v>-8.4934439999999993E-3</v>
      </c>
      <c r="AA3553">
        <v>0.95111349999999995</v>
      </c>
      <c r="AB3553">
        <v>35</v>
      </c>
      <c r="AC3553">
        <v>5.3384999999999803</v>
      </c>
      <c r="AD3553">
        <v>-1.1046599453599999</v>
      </c>
      <c r="AE3553">
        <v>-2.5394999999999999</v>
      </c>
      <c r="AF3553">
        <v>1.8772826495855901</v>
      </c>
      <c r="AG3553">
        <v>-1.1046599453599999</v>
      </c>
      <c r="AH3553">
        <v>5.3950000573710897</v>
      </c>
      <c r="AI3553">
        <v>100.944936923732</v>
      </c>
      <c r="AJ3553">
        <v>70.813783633378506</v>
      </c>
      <c r="AK3553">
        <v>5.81811733813886</v>
      </c>
      <c r="AL3553">
        <v>82.040985391244902</v>
      </c>
      <c r="AM3553">
        <v>80.897755543256096</v>
      </c>
      <c r="AN3553">
        <v>1.0000000221470899</v>
      </c>
    </row>
    <row r="3554" spans="1:40" x14ac:dyDescent="0.25">
      <c r="A3554" t="str">
        <f>"20190312151057840"</f>
        <v>20190312151057840</v>
      </c>
      <c r="B3554" t="str">
        <f>"1552374657834891"</f>
        <v>1552374657834891</v>
      </c>
      <c r="C3554" t="s">
        <v>40</v>
      </c>
      <c r="D3554">
        <v>5.1010549999999997</v>
      </c>
      <c r="E3554">
        <v>0.56511269999999902</v>
      </c>
      <c r="F3554" t="s">
        <v>50</v>
      </c>
      <c r="G3554">
        <v>-205.46260000000001</v>
      </c>
      <c r="H3554" s="1">
        <v>4.9301240000000003E-6</v>
      </c>
      <c r="I3554">
        <v>211.291</v>
      </c>
      <c r="J3554">
        <v>-210.7482</v>
      </c>
      <c r="K3554">
        <v>1.1044750000000001</v>
      </c>
      <c r="L3554">
        <v>213.8681</v>
      </c>
      <c r="M3554">
        <v>0.99319489999999999</v>
      </c>
      <c r="N3554">
        <v>0</v>
      </c>
      <c r="O3554">
        <v>-0.11559800000000001</v>
      </c>
      <c r="P3554">
        <v>0.95502790000000004</v>
      </c>
      <c r="Q3554">
        <v>0.12614710000000001</v>
      </c>
      <c r="R3554">
        <v>-0.26834479999999999</v>
      </c>
      <c r="S3554">
        <v>2.8477169999999998</v>
      </c>
      <c r="T3554">
        <v>-0.55819669999999999</v>
      </c>
      <c r="U3554">
        <v>-1.324905</v>
      </c>
      <c r="V3554">
        <v>0.15813820000000001</v>
      </c>
      <c r="W3554">
        <v>0.1377611</v>
      </c>
      <c r="X3554">
        <v>0.97775979999999996</v>
      </c>
      <c r="Y3554">
        <v>0.31115310000000002</v>
      </c>
      <c r="Z3554">
        <v>-7.5600499999999996E-3</v>
      </c>
      <c r="AA3554">
        <v>0.95032969999999894</v>
      </c>
      <c r="AB3554">
        <v>35</v>
      </c>
      <c r="AC3554">
        <v>5.2855999999999801</v>
      </c>
      <c r="AD3554">
        <v>-1.1044700698759999</v>
      </c>
      <c r="AE3554">
        <v>-2.5771000000000002</v>
      </c>
      <c r="AF3554">
        <v>1.8823494369648399</v>
      </c>
      <c r="AG3554">
        <v>-1.1044700698759999</v>
      </c>
      <c r="AH3554">
        <v>5.3590435791597999</v>
      </c>
      <c r="AI3554">
        <v>101.00375873287101</v>
      </c>
      <c r="AJ3554">
        <v>70.646314045806506</v>
      </c>
      <c r="AK3554">
        <v>5.7864014397056502</v>
      </c>
      <c r="AL3554">
        <v>82.081688755796307</v>
      </c>
      <c r="AM3554">
        <v>80.812810058039204</v>
      </c>
      <c r="AN3554">
        <v>1.0000000187342399</v>
      </c>
    </row>
    <row r="3555" spans="1:40" x14ac:dyDescent="0.25">
      <c r="A3555" t="str">
        <f>"20190312151057863"</f>
        <v>20190312151057863</v>
      </c>
      <c r="B3555" t="str">
        <f>"1552374657854411"</f>
        <v>1552374657854411</v>
      </c>
      <c r="C3555" t="s">
        <v>40</v>
      </c>
      <c r="D3555">
        <v>5.0955870000000001</v>
      </c>
      <c r="E3555">
        <v>0.56543789999999905</v>
      </c>
      <c r="F3555" t="s">
        <v>50</v>
      </c>
      <c r="G3555">
        <v>-205.1551</v>
      </c>
      <c r="H3555" s="1">
        <v>4.8010719999999997E-6</v>
      </c>
      <c r="I3555">
        <v>211.20750000000001</v>
      </c>
      <c r="J3555">
        <v>-210.40010000000001</v>
      </c>
      <c r="K3555">
        <v>1.1043069999999999</v>
      </c>
      <c r="L3555">
        <v>213.821</v>
      </c>
      <c r="M3555">
        <v>0.99237980000000003</v>
      </c>
      <c r="N3555">
        <v>0</v>
      </c>
      <c r="O3555">
        <v>-0.1223959</v>
      </c>
      <c r="P3555">
        <v>0.95286689999999996</v>
      </c>
      <c r="Q3555">
        <v>0.12546099999999999</v>
      </c>
      <c r="R3555">
        <v>-0.27623239999999999</v>
      </c>
      <c r="S3555">
        <v>2.836166</v>
      </c>
      <c r="T3555">
        <v>-0.56005479999999996</v>
      </c>
      <c r="U3555">
        <v>-1.349167</v>
      </c>
      <c r="V3555">
        <v>0.1595625</v>
      </c>
      <c r="W3555">
        <v>0.1370073</v>
      </c>
      <c r="X3555">
        <v>0.97763429999999996</v>
      </c>
      <c r="Y3555">
        <v>0.31283559999999999</v>
      </c>
      <c r="Z3555">
        <v>-6.5182800000000004E-3</v>
      </c>
      <c r="AA3555">
        <v>0.94978490000000004</v>
      </c>
      <c r="AB3555">
        <v>35</v>
      </c>
      <c r="AC3555">
        <v>5.2450000000000001</v>
      </c>
      <c r="AD3555">
        <v>-1.104302198928</v>
      </c>
      <c r="AE3555">
        <v>-2.6134999999999802</v>
      </c>
      <c r="AF3555">
        <v>1.88487971720836</v>
      </c>
      <c r="AG3555">
        <v>-1.104302198928</v>
      </c>
      <c r="AH3555">
        <v>5.3359813462931296</v>
      </c>
      <c r="AI3555">
        <v>101.04178485496</v>
      </c>
      <c r="AJ3555">
        <v>70.544764066225497</v>
      </c>
      <c r="AK3555">
        <v>5.7658435482493697</v>
      </c>
      <c r="AL3555">
        <v>82.125291681312802</v>
      </c>
      <c r="AM3555">
        <v>80.730324606880203</v>
      </c>
      <c r="AN3555">
        <v>1.00000000809801</v>
      </c>
    </row>
    <row r="3556" spans="1:40" x14ac:dyDescent="0.25">
      <c r="A3556" t="str">
        <f>"20190312151057885"</f>
        <v>20190312151057885</v>
      </c>
      <c r="B3556" t="str">
        <f>"1552374657874907"</f>
        <v>1552374657874907</v>
      </c>
      <c r="C3556" t="s">
        <v>40</v>
      </c>
      <c r="D3556">
        <v>5.1337900000000003</v>
      </c>
      <c r="E3556">
        <v>0.56584429999999997</v>
      </c>
      <c r="F3556" t="s">
        <v>50</v>
      </c>
      <c r="G3556">
        <v>-204.86429999999999</v>
      </c>
      <c r="H3556" s="1">
        <v>4.679352E-6</v>
      </c>
      <c r="I3556">
        <v>211.125</v>
      </c>
      <c r="J3556">
        <v>-210.04939999999999</v>
      </c>
      <c r="K3556">
        <v>1.1041650000000001</v>
      </c>
      <c r="L3556">
        <v>213.77109999999999</v>
      </c>
      <c r="M3556">
        <v>0.99149449999999995</v>
      </c>
      <c r="N3556">
        <v>0</v>
      </c>
      <c r="O3556">
        <v>-0.12937080000000001</v>
      </c>
      <c r="P3556">
        <v>0.9506578</v>
      </c>
      <c r="Q3556">
        <v>0.1248629</v>
      </c>
      <c r="R3556">
        <v>-0.28400609999999998</v>
      </c>
      <c r="S3556">
        <v>2.8238829999999999</v>
      </c>
      <c r="T3556">
        <v>-0.5633224</v>
      </c>
      <c r="U3556">
        <v>-1.3753200000000001</v>
      </c>
      <c r="V3556">
        <v>0.16070100000000001</v>
      </c>
      <c r="W3556">
        <v>0.1363521</v>
      </c>
      <c r="X3556">
        <v>0.97753939999999995</v>
      </c>
      <c r="Y3556">
        <v>0.3149363</v>
      </c>
      <c r="Z3556">
        <v>-5.4885450000000001E-3</v>
      </c>
      <c r="AA3556">
        <v>0.94909690000000002</v>
      </c>
      <c r="AB3556">
        <v>35</v>
      </c>
      <c r="AC3556">
        <v>5.1851000000000003</v>
      </c>
      <c r="AD3556">
        <v>-1.104160320648</v>
      </c>
      <c r="AE3556">
        <v>-2.6460999999999899</v>
      </c>
      <c r="AF3556">
        <v>1.8851667799266101</v>
      </c>
      <c r="AG3556">
        <v>-1.104160320648</v>
      </c>
      <c r="AH3556">
        <v>5.2934356492847199</v>
      </c>
      <c r="AI3556">
        <v>101.117046253482</v>
      </c>
      <c r="AJ3556">
        <v>70.397510836482795</v>
      </c>
      <c r="AK3556">
        <v>5.7265595932418902</v>
      </c>
      <c r="AL3556">
        <v>82.163187395265098</v>
      </c>
      <c r="AM3556">
        <v>80.664454133830503</v>
      </c>
      <c r="AN3556">
        <v>0.99999999256388405</v>
      </c>
    </row>
    <row r="3557" spans="1:40" x14ac:dyDescent="0.25">
      <c r="A3557" t="str">
        <f>"20190312151057908"</f>
        <v>20190312151057908</v>
      </c>
      <c r="B3557" t="str">
        <f>"1552374657904187"</f>
        <v>1552374657904187</v>
      </c>
      <c r="C3557" t="s">
        <v>40</v>
      </c>
      <c r="D3557">
        <v>5.2899029999999998</v>
      </c>
      <c r="E3557">
        <v>0.57781300000000002</v>
      </c>
      <c r="F3557" t="s">
        <v>50</v>
      </c>
      <c r="G3557">
        <v>-204.57509999999999</v>
      </c>
      <c r="H3557" s="1">
        <v>4.5583979999999998E-6</v>
      </c>
      <c r="I3557">
        <v>211.0411</v>
      </c>
      <c r="J3557">
        <v>-209.70490000000001</v>
      </c>
      <c r="K3557">
        <v>1.104055</v>
      </c>
      <c r="L3557">
        <v>213.71950000000001</v>
      </c>
      <c r="M3557">
        <v>0.99056310000000003</v>
      </c>
      <c r="N3557">
        <v>0</v>
      </c>
      <c r="O3557">
        <v>-0.13631689999999999</v>
      </c>
      <c r="P3557">
        <v>0.94830579999999998</v>
      </c>
      <c r="Q3557">
        <v>0.1244565</v>
      </c>
      <c r="R3557">
        <v>-0.29193599999999997</v>
      </c>
      <c r="S3557">
        <v>2.811356</v>
      </c>
      <c r="T3557">
        <v>-0.56704769999999904</v>
      </c>
      <c r="U3557">
        <v>-1.4019619999999999</v>
      </c>
      <c r="V3557">
        <v>0.16203890000000001</v>
      </c>
      <c r="W3557">
        <v>0.13589200000000001</v>
      </c>
      <c r="X3557">
        <v>0.97738259999999999</v>
      </c>
      <c r="Y3557">
        <v>0.31721319999999997</v>
      </c>
      <c r="Z3557">
        <v>-4.4705639999999998E-3</v>
      </c>
      <c r="AA3557">
        <v>0.94834379999999996</v>
      </c>
      <c r="AB3557">
        <v>35</v>
      </c>
      <c r="AC3557">
        <v>5.1298000000000101</v>
      </c>
      <c r="AD3557">
        <v>-1.1040504416020001</v>
      </c>
      <c r="AE3557">
        <v>-2.6784000000000101</v>
      </c>
      <c r="AF3557">
        <v>1.8854177716335101</v>
      </c>
      <c r="AG3557">
        <v>-1.1040504416020001</v>
      </c>
      <c r="AH3557">
        <v>5.2557532330122703</v>
      </c>
      <c r="AI3557">
        <v>101.18466883503901</v>
      </c>
      <c r="AJ3557">
        <v>70.265360043229094</v>
      </c>
      <c r="AK3557">
        <v>5.6918072347464399</v>
      </c>
      <c r="AL3557">
        <v>82.189796872353995</v>
      </c>
      <c r="AM3557">
        <v>80.586634144475298</v>
      </c>
      <c r="AN3557">
        <v>0.99999999377998405</v>
      </c>
    </row>
    <row r="3558" spans="1:40" x14ac:dyDescent="0.25">
      <c r="A3558" t="str">
        <f>"20190312151057930"</f>
        <v>20190312151057930</v>
      </c>
      <c r="B3558" t="str">
        <f>"1552374657924683"</f>
        <v>1552374657924683</v>
      </c>
      <c r="C3558" t="s">
        <v>40</v>
      </c>
      <c r="D3558">
        <v>5.0658560000000001</v>
      </c>
      <c r="E3558">
        <v>0.57722369999999901</v>
      </c>
      <c r="F3558" t="s">
        <v>50</v>
      </c>
      <c r="G3558">
        <v>-204.8561</v>
      </c>
      <c r="H3558" s="1">
        <v>4.6806709999999998E-6</v>
      </c>
      <c r="I3558">
        <v>211.06800000000001</v>
      </c>
      <c r="J3558">
        <v>-209.36109999999999</v>
      </c>
      <c r="K3558">
        <v>1.103955</v>
      </c>
      <c r="L3558">
        <v>213.66550000000001</v>
      </c>
      <c r="M3558">
        <v>0.98957410000000001</v>
      </c>
      <c r="N3558">
        <v>0</v>
      </c>
      <c r="O3558">
        <v>-0.1433207</v>
      </c>
      <c r="P3558">
        <v>0.94580850000000005</v>
      </c>
      <c r="Q3558">
        <v>0.1241806</v>
      </c>
      <c r="R3558">
        <v>-0.30004380000000003</v>
      </c>
      <c r="S3558">
        <v>2.7788089999999999</v>
      </c>
      <c r="T3558">
        <v>-0.63271829999999996</v>
      </c>
      <c r="U3558">
        <v>-1.519531</v>
      </c>
      <c r="V3558">
        <v>0.16351399999999999</v>
      </c>
      <c r="W3558">
        <v>0.13556599999999999</v>
      </c>
      <c r="X3558">
        <v>0.9771822</v>
      </c>
      <c r="Y3558">
        <v>0.34513919999999998</v>
      </c>
      <c r="Z3558">
        <v>-6.5047689999999997E-3</v>
      </c>
      <c r="AA3558">
        <v>0.93852899999999995</v>
      </c>
      <c r="AB3558">
        <v>35</v>
      </c>
      <c r="AC3558">
        <v>4.5049999999999901</v>
      </c>
      <c r="AD3558">
        <v>-1.1039503193289999</v>
      </c>
      <c r="AE3558">
        <v>-2.5975000000000201</v>
      </c>
      <c r="AF3558">
        <v>1.8419426299144599</v>
      </c>
      <c r="AG3558">
        <v>-1.1039503193289999</v>
      </c>
      <c r="AH3558">
        <v>4.6224738862148298</v>
      </c>
      <c r="AI3558">
        <v>102.508890875592</v>
      </c>
      <c r="AJ3558">
        <v>68.273929177288394</v>
      </c>
      <c r="AK3558">
        <v>5.09693278238794</v>
      </c>
      <c r="AL3558">
        <v>82.208649890609394</v>
      </c>
      <c r="AM3558">
        <v>80.500582850517304</v>
      </c>
      <c r="AN3558">
        <v>1.00000001027442</v>
      </c>
    </row>
    <row r="3559" spans="1:40" x14ac:dyDescent="0.25">
      <c r="A3559" t="str">
        <f>"20190312151057952"</f>
        <v>20190312151057952</v>
      </c>
      <c r="B3559" t="str">
        <f>"1552374657944203"</f>
        <v>1552374657944203</v>
      </c>
      <c r="C3559" t="s">
        <v>40</v>
      </c>
      <c r="D3559">
        <v>5.0926280000000004</v>
      </c>
      <c r="E3559">
        <v>0.57664659999999901</v>
      </c>
      <c r="F3559" t="s">
        <v>50</v>
      </c>
      <c r="G3559">
        <v>-204.501</v>
      </c>
      <c r="H3559" s="1">
        <v>4.5321299999999998E-6</v>
      </c>
      <c r="I3559">
        <v>210.96600000000001</v>
      </c>
      <c r="J3559">
        <v>-209.0222</v>
      </c>
      <c r="K3559">
        <v>1.103888</v>
      </c>
      <c r="L3559">
        <v>213.60980000000001</v>
      </c>
      <c r="M3559">
        <v>0.98854240000000004</v>
      </c>
      <c r="N3559">
        <v>0</v>
      </c>
      <c r="O3559">
        <v>-0.1502704</v>
      </c>
      <c r="P3559">
        <v>0.9432682</v>
      </c>
      <c r="Q3559">
        <v>0.1224788</v>
      </c>
      <c r="R3559">
        <v>-0.30861699999999997</v>
      </c>
      <c r="S3559">
        <v>2.7668910000000002</v>
      </c>
      <c r="T3559">
        <v>-0.628494</v>
      </c>
      <c r="U3559">
        <v>-1.5368189999999999</v>
      </c>
      <c r="V3559">
        <v>0.16548370000000001</v>
      </c>
      <c r="W3559">
        <v>0.1338135</v>
      </c>
      <c r="X3559">
        <v>0.97709210000000002</v>
      </c>
      <c r="Y3559">
        <v>0.34492469999999997</v>
      </c>
      <c r="Z3559">
        <v>-5.0396190000000004E-3</v>
      </c>
      <c r="AA3559">
        <v>0.93861680000000003</v>
      </c>
      <c r="AB3559">
        <v>35</v>
      </c>
      <c r="AC3559">
        <v>4.5212000000000199</v>
      </c>
      <c r="AD3559">
        <v>-1.10388346787</v>
      </c>
      <c r="AE3559">
        <v>-2.6438000000000201</v>
      </c>
      <c r="AF3559">
        <v>1.85202959898688</v>
      </c>
      <c r="AG3559">
        <v>-1.10388346787</v>
      </c>
      <c r="AH3559">
        <v>4.66015884997186</v>
      </c>
      <c r="AI3559">
        <v>102.414525466637</v>
      </c>
      <c r="AJ3559">
        <v>68.3262514340569</v>
      </c>
      <c r="AK3559">
        <v>5.1347495414217903</v>
      </c>
      <c r="AL3559">
        <v>82.309983587742906</v>
      </c>
      <c r="AM3559">
        <v>80.387404986449397</v>
      </c>
      <c r="AN3559">
        <v>0.99999993981517299</v>
      </c>
    </row>
    <row r="3560" spans="1:40" x14ac:dyDescent="0.25">
      <c r="A3560" t="str">
        <f>"20190312151057974"</f>
        <v>20190312151057974</v>
      </c>
      <c r="B3560" t="str">
        <f>"1552374657964699"</f>
        <v>1552374657964699</v>
      </c>
      <c r="C3560" t="s">
        <v>40</v>
      </c>
      <c r="D3560">
        <v>5.1346069999999999</v>
      </c>
      <c r="E3560">
        <v>0.57684480000000005</v>
      </c>
      <c r="F3560" t="s">
        <v>50</v>
      </c>
      <c r="G3560">
        <v>-204.1131</v>
      </c>
      <c r="H3560" s="1">
        <v>4.3715240000000002E-6</v>
      </c>
      <c r="I3560">
        <v>210.83529999999999</v>
      </c>
      <c r="J3560">
        <v>-208.67910000000001</v>
      </c>
      <c r="K3560">
        <v>1.1038330000000001</v>
      </c>
      <c r="L3560">
        <v>213.55080000000001</v>
      </c>
      <c r="M3560">
        <v>0.98744240000000005</v>
      </c>
      <c r="N3560">
        <v>0</v>
      </c>
      <c r="O3560">
        <v>-0.15733549999999999</v>
      </c>
      <c r="P3560">
        <v>0.9406175</v>
      </c>
      <c r="Q3560">
        <v>0.12161329999999999</v>
      </c>
      <c r="R3560">
        <v>-0.31693670000000002</v>
      </c>
      <c r="S3560">
        <v>2.7519230000000001</v>
      </c>
      <c r="T3560">
        <v>-0.61880950000000001</v>
      </c>
      <c r="U3560">
        <v>-1.5552979999999901</v>
      </c>
      <c r="V3560">
        <v>0.16711589999999901</v>
      </c>
      <c r="W3560">
        <v>0.1329052</v>
      </c>
      <c r="X3560">
        <v>0.97693830000000004</v>
      </c>
      <c r="Y3560">
        <v>0.34539609999999998</v>
      </c>
      <c r="Z3560">
        <v>-3.6102700000000001E-3</v>
      </c>
      <c r="AA3560">
        <v>0.93845009999999995</v>
      </c>
      <c r="AB3560">
        <v>35</v>
      </c>
      <c r="AC3560">
        <v>4.5659999999999998</v>
      </c>
      <c r="AD3560">
        <v>-1.1038286284759999</v>
      </c>
      <c r="AE3560">
        <v>-2.71550000000002</v>
      </c>
      <c r="AF3560">
        <v>1.88195582416756</v>
      </c>
      <c r="AG3560">
        <v>-1.1038286284759999</v>
      </c>
      <c r="AH3560">
        <v>4.7321089904107598</v>
      </c>
      <c r="AI3560">
        <v>102.22975579497199</v>
      </c>
      <c r="AJ3560">
        <v>68.312325231063298</v>
      </c>
      <c r="AK3560">
        <v>5.2108589370935503</v>
      </c>
      <c r="AL3560">
        <v>82.362494690954193</v>
      </c>
      <c r="AM3560">
        <v>80.292889868114798</v>
      </c>
      <c r="AN3560">
        <v>0.99999997911336902</v>
      </c>
    </row>
    <row r="3561" spans="1:40" x14ac:dyDescent="0.25">
      <c r="A3561" t="str">
        <f>"20190312151057996"</f>
        <v>20190312151057996</v>
      </c>
      <c r="B3561" t="str">
        <f>"1552374657994956"</f>
        <v>1552374657994956</v>
      </c>
      <c r="C3561" t="s">
        <v>40</v>
      </c>
      <c r="D3561">
        <v>4.8157990000000002</v>
      </c>
      <c r="E3561">
        <v>0.57736769999999904</v>
      </c>
      <c r="F3561" t="s">
        <v>50</v>
      </c>
      <c r="G3561">
        <v>-203.7604</v>
      </c>
      <c r="H3561" s="1">
        <v>4.2260319999999999E-6</v>
      </c>
      <c r="I3561">
        <v>210.71019999999999</v>
      </c>
      <c r="J3561">
        <v>-208.3357</v>
      </c>
      <c r="K3561">
        <v>1.103791</v>
      </c>
      <c r="L3561">
        <v>213.48939999999999</v>
      </c>
      <c r="M3561">
        <v>0.98628660000000001</v>
      </c>
      <c r="N3561">
        <v>0</v>
      </c>
      <c r="O3561">
        <v>-0.16442519999999999</v>
      </c>
      <c r="P3561">
        <v>0.93773150000000005</v>
      </c>
      <c r="Q3561">
        <v>0.1210027</v>
      </c>
      <c r="R3561">
        <v>-0.32560460000000002</v>
      </c>
      <c r="S3561">
        <v>2.7363279999999999</v>
      </c>
      <c r="T3561">
        <v>-0.61406539999999998</v>
      </c>
      <c r="U3561">
        <v>-1.5802609999999999</v>
      </c>
      <c r="V3561">
        <v>0.16910729999999999</v>
      </c>
      <c r="W3561">
        <v>0.13224929999999999</v>
      </c>
      <c r="X3561">
        <v>0.97668460000000001</v>
      </c>
      <c r="Y3561">
        <v>0.34752749999999999</v>
      </c>
      <c r="Z3561">
        <v>-2.40171E-3</v>
      </c>
      <c r="AA3561">
        <v>0.93766669999999996</v>
      </c>
      <c r="AB3561">
        <v>35</v>
      </c>
      <c r="AC3561">
        <v>4.5752999999999897</v>
      </c>
      <c r="AD3561">
        <v>-1.1037867739680001</v>
      </c>
      <c r="AE3561">
        <v>-2.7791999999999999</v>
      </c>
      <c r="AF3561">
        <v>1.9078828382884101</v>
      </c>
      <c r="AG3561">
        <v>-1.1037867739680001</v>
      </c>
      <c r="AH3561">
        <v>4.76735182299426</v>
      </c>
      <c r="AI3561">
        <v>102.131465537594</v>
      </c>
      <c r="AJ3561">
        <v>68.188830306465704</v>
      </c>
      <c r="AK3561">
        <v>5.2522381487541896</v>
      </c>
      <c r="AL3561">
        <v>82.400409704792395</v>
      </c>
      <c r="AM3561">
        <v>80.176955334052593</v>
      </c>
      <c r="AN3561">
        <v>0.99999998207046903</v>
      </c>
    </row>
    <row r="3562" spans="1:40" x14ac:dyDescent="0.25">
      <c r="A3562" t="str">
        <f>"20190312151058019"</f>
        <v>20190312151058019</v>
      </c>
      <c r="B3562" t="str">
        <f>"1552374658014477"</f>
        <v>1552374658014477</v>
      </c>
      <c r="C3562" t="s">
        <v>40</v>
      </c>
      <c r="D3562">
        <v>5.0962889999999996</v>
      </c>
      <c r="E3562">
        <v>0.57282489999999997</v>
      </c>
      <c r="F3562" t="s">
        <v>50</v>
      </c>
      <c r="G3562">
        <v>-203.476</v>
      </c>
      <c r="H3562" s="1">
        <v>4.108289E-6</v>
      </c>
      <c r="I3562">
        <v>210.61439999999999</v>
      </c>
      <c r="J3562">
        <v>-207.99119999999999</v>
      </c>
      <c r="K3562">
        <v>1.103758</v>
      </c>
      <c r="L3562">
        <v>213.42509999999999</v>
      </c>
      <c r="M3562">
        <v>0.98507199999999995</v>
      </c>
      <c r="N3562">
        <v>0</v>
      </c>
      <c r="O3562">
        <v>-0.17155179999999901</v>
      </c>
      <c r="P3562">
        <v>0.93471800000000005</v>
      </c>
      <c r="Q3562">
        <v>0.121106199999999</v>
      </c>
      <c r="R3562">
        <v>-0.33411879999999999</v>
      </c>
      <c r="S3562">
        <v>2.720154</v>
      </c>
      <c r="T3562">
        <v>-0.61782380000000003</v>
      </c>
      <c r="U3562">
        <v>-1.6092070000000001</v>
      </c>
      <c r="V3562">
        <v>0.17094529999999999</v>
      </c>
      <c r="W3562">
        <v>0.13231119999999999</v>
      </c>
      <c r="X3562">
        <v>0.97635620000000001</v>
      </c>
      <c r="Y3562">
        <v>0.35061609999999999</v>
      </c>
      <c r="Z3562">
        <v>-1.3174560000000001E-3</v>
      </c>
      <c r="AA3562">
        <v>0.93651839999999997</v>
      </c>
      <c r="AB3562">
        <v>35</v>
      </c>
      <c r="AC3562">
        <v>4.5151999999999903</v>
      </c>
      <c r="AD3562">
        <v>-1.1037538917109999</v>
      </c>
      <c r="AE3562">
        <v>-2.81069999999999</v>
      </c>
      <c r="AF3562">
        <v>1.9120070746247499</v>
      </c>
      <c r="AG3562">
        <v>-1.1037538917109999</v>
      </c>
      <c r="AH3562">
        <v>4.7268995421353601</v>
      </c>
      <c r="AI3562">
        <v>102.21417607814701</v>
      </c>
      <c r="AJ3562">
        <v>67.976915695935901</v>
      </c>
      <c r="AK3562">
        <v>5.2170511774681403</v>
      </c>
      <c r="AL3562">
        <v>82.396831708305101</v>
      </c>
      <c r="AM3562">
        <v>80.069030575663803</v>
      </c>
      <c r="AN3562">
        <v>0.99999998925798395</v>
      </c>
    </row>
    <row r="3563" spans="1:40" x14ac:dyDescent="0.25">
      <c r="A3563" t="str">
        <f>"20190312151058040"</f>
        <v>20190312151058040</v>
      </c>
      <c r="B3563" t="str">
        <f>"1552374658034971"</f>
        <v>1552374658034971</v>
      </c>
      <c r="C3563" t="s">
        <v>40</v>
      </c>
      <c r="D3563">
        <v>5.0641829999999999</v>
      </c>
      <c r="E3563">
        <v>0.57781000000000005</v>
      </c>
      <c r="F3563" t="s">
        <v>50</v>
      </c>
      <c r="G3563">
        <v>-201.1609</v>
      </c>
      <c r="H3563" s="1">
        <v>3.2073580000000001E-6</v>
      </c>
      <c r="I3563">
        <v>209.39789999999999</v>
      </c>
      <c r="J3563">
        <v>-207.65440000000001</v>
      </c>
      <c r="K3563">
        <v>1.1037349999999999</v>
      </c>
      <c r="L3563">
        <v>213.3595</v>
      </c>
      <c r="M3563">
        <v>0.98382990000000003</v>
      </c>
      <c r="N3563">
        <v>0</v>
      </c>
      <c r="O3563">
        <v>-0.17853669999999999</v>
      </c>
      <c r="P3563">
        <v>0.93178450000000002</v>
      </c>
      <c r="Q3563">
        <v>0.1217497</v>
      </c>
      <c r="R3563">
        <v>-0.3419874</v>
      </c>
      <c r="S3563">
        <v>2.6975099999999999</v>
      </c>
      <c r="T3563">
        <v>-0.43590430000000002</v>
      </c>
      <c r="U3563">
        <v>-1.5904240000000001</v>
      </c>
      <c r="V3563">
        <v>0.17228460000000001</v>
      </c>
      <c r="W3563">
        <v>0.13292219999999999</v>
      </c>
      <c r="X3563">
        <v>0.97603770000000001</v>
      </c>
      <c r="Y3563">
        <v>0.34434100000000001</v>
      </c>
      <c r="Z3563">
        <v>5.2758869999999997E-4</v>
      </c>
      <c r="AA3563">
        <v>0.93884449999999997</v>
      </c>
      <c r="AB3563">
        <v>35</v>
      </c>
      <c r="AC3563">
        <v>6.4935000000000098</v>
      </c>
      <c r="AD3563">
        <v>-1.1037317926420001</v>
      </c>
      <c r="AE3563">
        <v>-3.9615999999999998</v>
      </c>
      <c r="AF3563">
        <v>2.6820216637045302</v>
      </c>
      <c r="AG3563">
        <v>-1.1037317926420001</v>
      </c>
      <c r="AH3563">
        <v>6.9501778638680598</v>
      </c>
      <c r="AI3563">
        <v>98.427501241426896</v>
      </c>
      <c r="AJ3563">
        <v>68.898771402039998</v>
      </c>
      <c r="AK3563">
        <v>7.5310315637415002</v>
      </c>
      <c r="AL3563">
        <v>82.361511667679494</v>
      </c>
      <c r="AM3563">
        <v>79.989592004714893</v>
      </c>
      <c r="AN3563">
        <v>0.99999994323564301</v>
      </c>
    </row>
    <row r="3564" spans="1:40" x14ac:dyDescent="0.25">
      <c r="A3564" t="str">
        <f>"20190312151058064"</f>
        <v>20190312151058064</v>
      </c>
      <c r="B3564" t="str">
        <f>"1552374658054491"</f>
        <v>1552374658054491</v>
      </c>
      <c r="C3564" t="s">
        <v>40</v>
      </c>
      <c r="D3564">
        <v>5.2333270000000001</v>
      </c>
      <c r="E3564">
        <v>0.57914149999999998</v>
      </c>
      <c r="F3564" t="s">
        <v>50</v>
      </c>
      <c r="G3564">
        <v>-202.7123</v>
      </c>
      <c r="H3564" s="1">
        <v>3.7963380000000002E-6</v>
      </c>
      <c r="I3564">
        <v>210.30889999999999</v>
      </c>
      <c r="J3564">
        <v>-207.3099</v>
      </c>
      <c r="K3564">
        <v>1.1037079999999999</v>
      </c>
      <c r="L3564">
        <v>213.28989999999999</v>
      </c>
      <c r="M3564">
        <v>0.98250329999999997</v>
      </c>
      <c r="N3564">
        <v>0</v>
      </c>
      <c r="O3564">
        <v>-0.1856978</v>
      </c>
      <c r="P3564">
        <v>0.92876210000000003</v>
      </c>
      <c r="Q3564">
        <v>0.1217815</v>
      </c>
      <c r="R3564">
        <v>-0.35010010000000003</v>
      </c>
      <c r="S3564">
        <v>2.6889340000000002</v>
      </c>
      <c r="T3564">
        <v>-0.6005199</v>
      </c>
      <c r="U3564">
        <v>-1.6597900000000001</v>
      </c>
      <c r="V3564">
        <v>0.1736991</v>
      </c>
      <c r="W3564">
        <v>0.13292219999999999</v>
      </c>
      <c r="X3564">
        <v>0.97578699999999996</v>
      </c>
      <c r="Y3564">
        <v>0.35510799999999998</v>
      </c>
      <c r="Z3564">
        <v>1.0126309999999999E-3</v>
      </c>
      <c r="AA3564">
        <v>0.93482469999999995</v>
      </c>
      <c r="AB3564">
        <v>34</v>
      </c>
      <c r="AC3564">
        <v>4.5975999999999999</v>
      </c>
      <c r="AD3564">
        <v>-1.1037042036619999</v>
      </c>
      <c r="AE3564">
        <v>-2.9809999999999901</v>
      </c>
      <c r="AF3564">
        <v>1.9943725470075799</v>
      </c>
      <c r="AG3564">
        <v>-1.1037042036619999</v>
      </c>
      <c r="AH3564">
        <v>4.8735077586965696</v>
      </c>
      <c r="AI3564">
        <v>101.83775948080699</v>
      </c>
      <c r="AJ3564">
        <v>67.7442811031963</v>
      </c>
      <c r="AK3564">
        <v>5.3802195772583801</v>
      </c>
      <c r="AL3564">
        <v>82.361511942351697</v>
      </c>
      <c r="AM3564">
        <v>79.906547143913699</v>
      </c>
      <c r="AN3564">
        <v>0.99999997898132398</v>
      </c>
    </row>
    <row r="3565" spans="1:40" x14ac:dyDescent="0.25">
      <c r="A3565" t="str">
        <f>"20190312151058085"</f>
        <v>20190312151058085</v>
      </c>
      <c r="B3565" t="str">
        <f>"1552374658074987"</f>
        <v>1552374658074987</v>
      </c>
      <c r="C3565" t="s">
        <v>40</v>
      </c>
      <c r="D3565">
        <v>5.0592430000000004</v>
      </c>
      <c r="E3565">
        <v>0.57089990000000002</v>
      </c>
      <c r="F3565" t="s">
        <v>50</v>
      </c>
      <c r="G3565">
        <v>-202.51310000000001</v>
      </c>
      <c r="H3565" s="1">
        <v>3.713227E-6</v>
      </c>
      <c r="I3565">
        <v>210.2492</v>
      </c>
      <c r="J3565">
        <v>-206.98</v>
      </c>
      <c r="K3565">
        <v>1.103674</v>
      </c>
      <c r="L3565">
        <v>213.2209</v>
      </c>
      <c r="M3565">
        <v>0.98117679999999996</v>
      </c>
      <c r="N3565">
        <v>0</v>
      </c>
      <c r="O3565">
        <v>-0.1925837</v>
      </c>
      <c r="P3565">
        <v>0.92585010000000001</v>
      </c>
      <c r="Q3565">
        <v>0.1206492</v>
      </c>
      <c r="R3565">
        <v>-0.35811399999999999</v>
      </c>
      <c r="S3565">
        <v>2.6721949999999999</v>
      </c>
      <c r="T3565">
        <v>-0.61484550000000004</v>
      </c>
      <c r="U3565">
        <v>-1.6939090000000001</v>
      </c>
      <c r="V3565">
        <v>0.17525309999999999</v>
      </c>
      <c r="W3565">
        <v>0.13175619999999999</v>
      </c>
      <c r="X3565">
        <v>0.97566730000000002</v>
      </c>
      <c r="Y3565">
        <v>0.35962840000000001</v>
      </c>
      <c r="Z3565">
        <v>1.9352880000000001E-3</v>
      </c>
      <c r="AA3565">
        <v>0.93309359999999997</v>
      </c>
      <c r="AB3565">
        <v>34</v>
      </c>
      <c r="AC3565">
        <v>4.4668999999999803</v>
      </c>
      <c r="AD3565">
        <v>-1.1036702867729999</v>
      </c>
      <c r="AE3565">
        <v>-2.97169999999999</v>
      </c>
      <c r="AF3565">
        <v>1.9722583322265901</v>
      </c>
      <c r="AG3565">
        <v>-1.1036702867729999</v>
      </c>
      <c r="AH3565">
        <v>4.75442657939674</v>
      </c>
      <c r="AI3565">
        <v>102.10203788646901</v>
      </c>
      <c r="AJ3565">
        <v>67.4700699026222</v>
      </c>
      <c r="AK3565">
        <v>5.2642628287175199</v>
      </c>
      <c r="AL3565">
        <v>82.428911899141895</v>
      </c>
      <c r="AM3565">
        <v>79.816904042213096</v>
      </c>
      <c r="AN3565">
        <v>1.0000000127936699</v>
      </c>
    </row>
    <row r="3566" spans="1:40" x14ac:dyDescent="0.25">
      <c r="A3566" t="str">
        <f>"20190312151058109"</f>
        <v>20190312151058109</v>
      </c>
      <c r="B3566" t="str">
        <f>"1552374658105245"</f>
        <v>1552374658105245</v>
      </c>
      <c r="C3566" t="s">
        <v>40</v>
      </c>
      <c r="D3566">
        <v>5.0850030000000004</v>
      </c>
      <c r="E3566">
        <v>0.57066380000000005</v>
      </c>
      <c r="F3566" t="s">
        <v>50</v>
      </c>
      <c r="G3566">
        <v>-201.1122</v>
      </c>
      <c r="H3566" s="1">
        <v>3.1509690000000002E-6</v>
      </c>
      <c r="I3566">
        <v>209.59559999999999</v>
      </c>
      <c r="J3566">
        <v>-206.63210000000001</v>
      </c>
      <c r="K3566">
        <v>1.103631</v>
      </c>
      <c r="L3566">
        <v>213.1454</v>
      </c>
      <c r="M3566">
        <v>0.97971209999999997</v>
      </c>
      <c r="N3566">
        <v>0</v>
      </c>
      <c r="O3566">
        <v>-0.1999013</v>
      </c>
      <c r="P3566">
        <v>0.92308290000000004</v>
      </c>
      <c r="Q3566">
        <v>0.11851920000000001</v>
      </c>
      <c r="R3566">
        <v>-0.36588490000000001</v>
      </c>
      <c r="S3566">
        <v>2.6680450000000002</v>
      </c>
      <c r="T3566">
        <v>-0.50182910000000003</v>
      </c>
      <c r="U3566">
        <v>-1.6483920000000001</v>
      </c>
      <c r="V3566">
        <v>0.17609749999999999</v>
      </c>
      <c r="W3566">
        <v>0.12960289999999999</v>
      </c>
      <c r="X3566">
        <v>0.97580370000000005</v>
      </c>
      <c r="Y3566">
        <v>0.34311940000000002</v>
      </c>
      <c r="Z3566">
        <v>4.2240339999999998E-3</v>
      </c>
      <c r="AA3566">
        <v>0.93928230000000001</v>
      </c>
      <c r="AB3566">
        <v>34</v>
      </c>
      <c r="AC3566">
        <v>5.5198999999999998</v>
      </c>
      <c r="AD3566">
        <v>-1.1036278490310001</v>
      </c>
      <c r="AE3566">
        <v>-3.5497999999999998</v>
      </c>
      <c r="AF3566">
        <v>2.3092840244460802</v>
      </c>
      <c r="AG3566">
        <v>-1.1036278490310001</v>
      </c>
      <c r="AH3566">
        <v>5.9498876561857204</v>
      </c>
      <c r="AI3566">
        <v>99.810551607293107</v>
      </c>
      <c r="AJ3566">
        <v>68.787657203316101</v>
      </c>
      <c r="AK3566">
        <v>6.4770325192907503</v>
      </c>
      <c r="AL3566">
        <v>82.553354345586698</v>
      </c>
      <c r="AM3566">
        <v>79.770273977442002</v>
      </c>
      <c r="AN3566">
        <v>1.00000005106417</v>
      </c>
    </row>
    <row r="3567" spans="1:40" x14ac:dyDescent="0.25">
      <c r="A3567" t="str">
        <f>"20190312151058131"</f>
        <v>20190312151058131</v>
      </c>
      <c r="B3567" t="str">
        <f>"1552374658124763"</f>
        <v>1552374658124763</v>
      </c>
      <c r="C3567" t="s">
        <v>40</v>
      </c>
      <c r="D3567">
        <v>5.0633619999999997</v>
      </c>
      <c r="E3567">
        <v>0.5701389</v>
      </c>
      <c r="F3567" t="s">
        <v>50</v>
      </c>
      <c r="G3567">
        <v>-200.56899999999999</v>
      </c>
      <c r="H3567" s="1">
        <v>2.9570479999999999E-6</v>
      </c>
      <c r="I3567">
        <v>209.3289</v>
      </c>
      <c r="J3567">
        <v>-206.29419999999999</v>
      </c>
      <c r="K3567">
        <v>1.1035729999999999</v>
      </c>
      <c r="L3567">
        <v>213.0693</v>
      </c>
      <c r="M3567">
        <v>0.97821650000000004</v>
      </c>
      <c r="N3567">
        <v>0</v>
      </c>
      <c r="O3567">
        <v>-0.2070951</v>
      </c>
      <c r="P3567">
        <v>0.92003270000000004</v>
      </c>
      <c r="Q3567">
        <v>0.1170842</v>
      </c>
      <c r="R3567">
        <v>-0.37393989999999999</v>
      </c>
      <c r="S3567">
        <v>2.6506349999999999</v>
      </c>
      <c r="T3567">
        <v>-0.48247889999999999</v>
      </c>
      <c r="U3567">
        <v>-1.66844199999999</v>
      </c>
      <c r="V3567">
        <v>0.1774154</v>
      </c>
      <c r="W3567">
        <v>0.12812850000000001</v>
      </c>
      <c r="X3567">
        <v>0.97575959999999995</v>
      </c>
      <c r="Y3567">
        <v>0.34427540000000001</v>
      </c>
      <c r="Z3567">
        <v>5.1155929999999999E-3</v>
      </c>
      <c r="AA3567">
        <v>0.93885479999999999</v>
      </c>
      <c r="AB3567">
        <v>34</v>
      </c>
      <c r="AC3567">
        <v>5.7251999999999699</v>
      </c>
      <c r="AD3567">
        <v>-1.1035700429519999</v>
      </c>
      <c r="AE3567">
        <v>-3.74039999999999</v>
      </c>
      <c r="AF3567">
        <v>2.4107362233666101</v>
      </c>
      <c r="AG3567">
        <v>-1.1035700429519999</v>
      </c>
      <c r="AH3567">
        <v>6.2139412803073197</v>
      </c>
      <c r="AI3567">
        <v>99.401301224129298</v>
      </c>
      <c r="AJ3567">
        <v>68.795934688340594</v>
      </c>
      <c r="AK3567">
        <v>6.7559294115214401</v>
      </c>
      <c r="AL3567">
        <v>82.638540909253905</v>
      </c>
      <c r="AM3567">
        <v>79.694894133706896</v>
      </c>
      <c r="AN3567">
        <v>0.99999996683078396</v>
      </c>
    </row>
    <row r="3568" spans="1:40" x14ac:dyDescent="0.25">
      <c r="A3568" t="str">
        <f>"20190312151058153"</f>
        <v>20190312151058153</v>
      </c>
      <c r="B3568" t="str">
        <f>"1552374658144283"</f>
        <v>1552374658144283</v>
      </c>
      <c r="C3568" t="s">
        <v>40</v>
      </c>
      <c r="D3568">
        <v>5.1829710000000002</v>
      </c>
      <c r="E3568">
        <v>0.57007399999999997</v>
      </c>
      <c r="F3568" t="s">
        <v>50</v>
      </c>
      <c r="G3568">
        <v>-200.2927</v>
      </c>
      <c r="H3568" s="1">
        <v>2.858359E-6</v>
      </c>
      <c r="I3568">
        <v>209.22300000000001</v>
      </c>
      <c r="J3568">
        <v>-205.96469999999999</v>
      </c>
      <c r="K3568">
        <v>1.103491</v>
      </c>
      <c r="L3568">
        <v>212.99260000000001</v>
      </c>
      <c r="M3568">
        <v>0.97667959999999998</v>
      </c>
      <c r="N3568">
        <v>0</v>
      </c>
      <c r="O3568">
        <v>-0.21422550000000001</v>
      </c>
      <c r="P3568">
        <v>0.91658209999999996</v>
      </c>
      <c r="Q3568">
        <v>0.1164303</v>
      </c>
      <c r="R3568">
        <v>-0.38252009999999997</v>
      </c>
      <c r="S3568">
        <v>2.6358030000000001</v>
      </c>
      <c r="T3568">
        <v>-0.48468099999999997</v>
      </c>
      <c r="U3568">
        <v>-1.68927</v>
      </c>
      <c r="V3568">
        <v>0.1794135</v>
      </c>
      <c r="W3568">
        <v>0.12741250000000001</v>
      </c>
      <c r="X3568">
        <v>0.97548800000000002</v>
      </c>
      <c r="Y3568">
        <v>0.34513739999999998</v>
      </c>
      <c r="Z3568">
        <v>6.2090770000000003E-3</v>
      </c>
      <c r="AA3568">
        <v>0.93853160000000002</v>
      </c>
      <c r="AB3568">
        <v>34</v>
      </c>
      <c r="AC3568">
        <v>5.6719999999999899</v>
      </c>
      <c r="AD3568">
        <v>-1.1034881416410001</v>
      </c>
      <c r="AE3568">
        <v>-3.76960000000002</v>
      </c>
      <c r="AF3568">
        <v>2.4037491454531001</v>
      </c>
      <c r="AG3568">
        <v>-1.1034881416410001</v>
      </c>
      <c r="AH3568">
        <v>6.1855268186084897</v>
      </c>
      <c r="AI3568">
        <v>99.440981996845395</v>
      </c>
      <c r="AJ3568">
        <v>68.763443671334201</v>
      </c>
      <c r="AK3568">
        <v>6.7272905435051404</v>
      </c>
      <c r="AL3568">
        <v>82.679903906448104</v>
      </c>
      <c r="AM3568">
        <v>79.578525841232903</v>
      </c>
      <c r="AN3568">
        <v>0.99999999364125003</v>
      </c>
    </row>
    <row r="3569" spans="1:40" x14ac:dyDescent="0.25">
      <c r="A3569" t="str">
        <f>"20190312151058175"</f>
        <v>20190312151058175</v>
      </c>
      <c r="B3569" t="str">
        <f>"1552374658164780"</f>
        <v>1552374658164780</v>
      </c>
      <c r="C3569" t="s">
        <v>40</v>
      </c>
      <c r="D3569">
        <v>5.0847009999999999</v>
      </c>
      <c r="E3569">
        <v>0.56944609999999996</v>
      </c>
      <c r="F3569" t="s">
        <v>50</v>
      </c>
      <c r="G3569">
        <v>-200.0804</v>
      </c>
      <c r="H3569" s="1">
        <v>2.8044179999999999E-6</v>
      </c>
      <c r="I3569">
        <v>209.1422</v>
      </c>
      <c r="J3569">
        <v>-205.62209999999999</v>
      </c>
      <c r="K3569">
        <v>1.103383</v>
      </c>
      <c r="L3569">
        <v>212.91</v>
      </c>
      <c r="M3569">
        <v>0.97498739999999995</v>
      </c>
      <c r="N3569">
        <v>0</v>
      </c>
      <c r="O3569">
        <v>-0.22179889999999999</v>
      </c>
      <c r="P3569">
        <v>0.9128444</v>
      </c>
      <c r="Q3569">
        <v>0.1158807</v>
      </c>
      <c r="R3569">
        <v>-0.39151900000000001</v>
      </c>
      <c r="S3569">
        <v>2.61998</v>
      </c>
      <c r="T3569">
        <v>-0.49132819999999999</v>
      </c>
      <c r="U3569">
        <v>-1.7143710000000001</v>
      </c>
      <c r="V3569">
        <v>0.18145220000000001</v>
      </c>
      <c r="W3569">
        <v>0.1267886</v>
      </c>
      <c r="X3569">
        <v>0.97519210000000001</v>
      </c>
      <c r="Y3569">
        <v>0.34677370000000002</v>
      </c>
      <c r="Z3569">
        <v>7.3838269999999999E-3</v>
      </c>
      <c r="AA3569">
        <v>0.93791970000000002</v>
      </c>
      <c r="AB3569">
        <v>34</v>
      </c>
      <c r="AC3569">
        <v>5.5416999999999899</v>
      </c>
      <c r="AD3569">
        <v>-1.103380195582</v>
      </c>
      <c r="AE3569">
        <v>-3.76779999999999</v>
      </c>
      <c r="AF3569">
        <v>2.3801380254097499</v>
      </c>
      <c r="AG3569">
        <v>-1.103380195582</v>
      </c>
      <c r="AH3569">
        <v>6.0747311361636296</v>
      </c>
      <c r="AI3569">
        <v>99.598851361240506</v>
      </c>
      <c r="AJ3569">
        <v>68.604276842598594</v>
      </c>
      <c r="AK3569">
        <v>6.61701316703238</v>
      </c>
      <c r="AL3569">
        <v>82.715942641282794</v>
      </c>
      <c r="AM3569">
        <v>79.459617394916293</v>
      </c>
      <c r="AN3569">
        <v>0.999999940938603</v>
      </c>
    </row>
    <row r="3570" spans="1:40" x14ac:dyDescent="0.25">
      <c r="A3570" t="str">
        <f>"20190312151058197"</f>
        <v>20190312151058197</v>
      </c>
      <c r="B3570" t="str">
        <f>"1552374658194060"</f>
        <v>1552374658194060</v>
      </c>
      <c r="C3570" t="s">
        <v>40</v>
      </c>
      <c r="D3570">
        <v>5.08507</v>
      </c>
      <c r="E3570">
        <v>0.56928409999999996</v>
      </c>
      <c r="F3570" t="s">
        <v>50</v>
      </c>
      <c r="G3570">
        <v>-199.71289999999999</v>
      </c>
      <c r="H3570" s="1">
        <v>2.8496799999999999E-6</v>
      </c>
      <c r="I3570">
        <v>208.97110000000001</v>
      </c>
      <c r="J3570">
        <v>-205.29339999999999</v>
      </c>
      <c r="K3570">
        <v>1.1032519999999999</v>
      </c>
      <c r="L3570">
        <v>212.8279</v>
      </c>
      <c r="M3570">
        <v>0.97326190000000001</v>
      </c>
      <c r="N3570">
        <v>0</v>
      </c>
      <c r="O3570">
        <v>-0.22925129999999999</v>
      </c>
      <c r="P3570">
        <v>0.90909799999999996</v>
      </c>
      <c r="Q3570">
        <v>0.1154516</v>
      </c>
      <c r="R3570">
        <v>-0.40026489999999998</v>
      </c>
      <c r="S3570">
        <v>2.6037599999999999</v>
      </c>
      <c r="T3570">
        <v>-0.48618250000000002</v>
      </c>
      <c r="U3570">
        <v>-1.735611</v>
      </c>
      <c r="V3570">
        <v>0.18337829999999999</v>
      </c>
      <c r="W3570">
        <v>0.12627919999999901</v>
      </c>
      <c r="X3570">
        <v>0.97489789999999998</v>
      </c>
      <c r="Y3570">
        <v>0.34769109999999998</v>
      </c>
      <c r="Z3570">
        <v>8.4343119999999994E-3</v>
      </c>
      <c r="AA3570">
        <v>0.93757120000000005</v>
      </c>
      <c r="AB3570">
        <v>34</v>
      </c>
      <c r="AC3570">
        <v>5.5804999999999998</v>
      </c>
      <c r="AD3570">
        <v>-1.1032491503199999</v>
      </c>
      <c r="AE3570">
        <v>-3.85679999999999</v>
      </c>
      <c r="AF3570">
        <v>2.41082642816278</v>
      </c>
      <c r="AG3570">
        <v>-1.1032491503199999</v>
      </c>
      <c r="AH3570">
        <v>6.1533544119524803</v>
      </c>
      <c r="AI3570">
        <v>99.477398128401802</v>
      </c>
      <c r="AJ3570">
        <v>68.605220900069199</v>
      </c>
      <c r="AK3570">
        <v>6.7002248673835503</v>
      </c>
      <c r="AL3570">
        <v>82.745365865141693</v>
      </c>
      <c r="AM3570">
        <v>79.347138120950902</v>
      </c>
      <c r="AN3570">
        <v>0.99999997634396898</v>
      </c>
    </row>
    <row r="3571" spans="1:40" x14ac:dyDescent="0.25">
      <c r="A3571" t="str">
        <f>"20190312151058220"</f>
        <v>20190312151058220</v>
      </c>
      <c r="B3571" t="str">
        <f>"1552374658214555"</f>
        <v>1552374658214555</v>
      </c>
      <c r="C3571" t="s">
        <v>40</v>
      </c>
      <c r="D3571">
        <v>5.3701410000000003</v>
      </c>
      <c r="E3571">
        <v>0.56952139999999996</v>
      </c>
      <c r="F3571" t="s">
        <v>50</v>
      </c>
      <c r="G3571">
        <v>-199.47499999999999</v>
      </c>
      <c r="H3571" s="1">
        <v>2.9191749999999999E-6</v>
      </c>
      <c r="I3571">
        <v>208.86799999999999</v>
      </c>
      <c r="J3571">
        <v>-204.9589</v>
      </c>
      <c r="K3571">
        <v>1.103091</v>
      </c>
      <c r="L3571">
        <v>212.74119999999999</v>
      </c>
      <c r="M3571">
        <v>0.97138729999999995</v>
      </c>
      <c r="N3571">
        <v>0</v>
      </c>
      <c r="O3571">
        <v>-0.23706759999999999</v>
      </c>
      <c r="P3571">
        <v>0.9051768</v>
      </c>
      <c r="Q3571">
        <v>0.1151107</v>
      </c>
      <c r="R3571">
        <v>-0.4091513</v>
      </c>
      <c r="S3571">
        <v>2.5870669999999998</v>
      </c>
      <c r="T3571">
        <v>-0.49054619999999999</v>
      </c>
      <c r="U3571">
        <v>-1.76074199999999</v>
      </c>
      <c r="V3571">
        <v>0.18512690000000001</v>
      </c>
      <c r="W3571">
        <v>0.12585250000000001</v>
      </c>
      <c r="X3571">
        <v>0.97462249999999995</v>
      </c>
      <c r="Y3571">
        <v>0.34923929999999997</v>
      </c>
      <c r="Z3571">
        <v>9.6495769999999995E-3</v>
      </c>
      <c r="AA3571">
        <v>0.93698389999999998</v>
      </c>
      <c r="AB3571">
        <v>34</v>
      </c>
      <c r="AC3571">
        <v>5.4839000000000002</v>
      </c>
      <c r="AD3571">
        <v>-1.1030880808249901</v>
      </c>
      <c r="AE3571">
        <v>-3.87319999999999</v>
      </c>
      <c r="AF3571">
        <v>2.3978452637276302</v>
      </c>
      <c r="AG3571">
        <v>-1.1030880808249901</v>
      </c>
      <c r="AH3571">
        <v>6.0816676480161904</v>
      </c>
      <c r="AI3571">
        <v>99.577724428831701</v>
      </c>
      <c r="AJ3571">
        <v>68.481956611079596</v>
      </c>
      <c r="AK3571">
        <v>6.6297169324011103</v>
      </c>
      <c r="AL3571">
        <v>82.770010178278099</v>
      </c>
      <c r="AM3571">
        <v>79.244947925027404</v>
      </c>
      <c r="AN3571">
        <v>0.99999991918305098</v>
      </c>
    </row>
    <row r="3572" spans="1:40" x14ac:dyDescent="0.25">
      <c r="A3572" t="str">
        <f>"20190312151058241"</f>
        <v>20190312151058241</v>
      </c>
      <c r="B3572" t="str">
        <f>"1552374658234076"</f>
        <v>1552374658234076</v>
      </c>
      <c r="C3572" t="s">
        <v>40</v>
      </c>
      <c r="D3572">
        <v>5.0637790000000003</v>
      </c>
      <c r="E3572">
        <v>0.56891890000000001</v>
      </c>
      <c r="F3572" t="s">
        <v>50</v>
      </c>
      <c r="G3572">
        <v>-199.23179999999999</v>
      </c>
      <c r="H3572" s="1">
        <v>2.9923480000000002E-6</v>
      </c>
      <c r="I3572">
        <v>208.75450000000001</v>
      </c>
      <c r="J3572">
        <v>-204.62780000000001</v>
      </c>
      <c r="K3572">
        <v>1.1029150000000001</v>
      </c>
      <c r="L3572">
        <v>212.6524</v>
      </c>
      <c r="M3572">
        <v>0.96940760000000004</v>
      </c>
      <c r="N3572">
        <v>0</v>
      </c>
      <c r="O3572">
        <v>-0.24503639999999999</v>
      </c>
      <c r="P3572">
        <v>0.90126709999999999</v>
      </c>
      <c r="Q3572">
        <v>0.1143483</v>
      </c>
      <c r="R3572">
        <v>-0.41790319999999997</v>
      </c>
      <c r="S3572">
        <v>2.5688629999999999</v>
      </c>
      <c r="T3572">
        <v>-0.49478660000000002</v>
      </c>
      <c r="U3572">
        <v>-1.7882229999999999</v>
      </c>
      <c r="V3572">
        <v>0.1865841</v>
      </c>
      <c r="W3572">
        <v>0.1250057</v>
      </c>
      <c r="X3572">
        <v>0.97445369999999998</v>
      </c>
      <c r="Y3572">
        <v>0.35145389999999999</v>
      </c>
      <c r="Z3572">
        <v>1.085202E-2</v>
      </c>
      <c r="AA3572">
        <v>0.93614229999999998</v>
      </c>
      <c r="AB3572">
        <v>34</v>
      </c>
      <c r="AC3572">
        <v>5.3960000000000097</v>
      </c>
      <c r="AD3572">
        <v>-1.10291200765199</v>
      </c>
      <c r="AE3572">
        <v>-3.8978999999999902</v>
      </c>
      <c r="AF3572">
        <v>2.39105121419716</v>
      </c>
      <c r="AG3572">
        <v>-1.10291200765199</v>
      </c>
      <c r="AH3572">
        <v>6.0213884712637604</v>
      </c>
      <c r="AI3572">
        <v>99.661143414466693</v>
      </c>
      <c r="AJ3572">
        <v>68.342319471291603</v>
      </c>
      <c r="AK3572">
        <v>6.5719601282573903</v>
      </c>
      <c r="AL3572">
        <v>82.818915284802003</v>
      </c>
      <c r="AM3572">
        <v>79.160455535529493</v>
      </c>
      <c r="AN3572">
        <v>1.00000003242449</v>
      </c>
    </row>
    <row r="3573" spans="1:40" x14ac:dyDescent="0.25">
      <c r="A3573" t="str">
        <f>"20190312151058265"</f>
        <v>20190312151058265</v>
      </c>
      <c r="B3573" t="str">
        <f>"1552374658254571"</f>
        <v>1552374658254571</v>
      </c>
      <c r="C3573" t="s">
        <v>40</v>
      </c>
      <c r="D3573">
        <v>5.0471839999999997</v>
      </c>
      <c r="E3573">
        <v>0.5684785</v>
      </c>
      <c r="F3573" t="s">
        <v>50</v>
      </c>
      <c r="G3573">
        <v>-198.9228</v>
      </c>
      <c r="H3573" s="1">
        <v>3.0857680000000001E-6</v>
      </c>
      <c r="I3573">
        <v>208.6087</v>
      </c>
      <c r="J3573">
        <v>-204.28579999999999</v>
      </c>
      <c r="K3573">
        <v>1.1027469999999999</v>
      </c>
      <c r="L3573">
        <v>212.5573</v>
      </c>
      <c r="M3573">
        <v>0.96723199999999998</v>
      </c>
      <c r="N3573">
        <v>0</v>
      </c>
      <c r="O3573">
        <v>-0.25348670000000001</v>
      </c>
      <c r="P3573">
        <v>0.89706430000000004</v>
      </c>
      <c r="Q3573">
        <v>0.1135448</v>
      </c>
      <c r="R3573">
        <v>-0.4270641</v>
      </c>
      <c r="S3573">
        <v>2.5523989999999999</v>
      </c>
      <c r="T3573">
        <v>-0.49344250000000001</v>
      </c>
      <c r="U3573">
        <v>-1.8091280000000001</v>
      </c>
      <c r="V3573">
        <v>0.18802260000000001</v>
      </c>
      <c r="W3573">
        <v>0.1241196</v>
      </c>
      <c r="X3573">
        <v>0.9742904</v>
      </c>
      <c r="Y3573">
        <v>0.35133789999999998</v>
      </c>
      <c r="Z3573">
        <v>1.2223690000000001E-2</v>
      </c>
      <c r="AA3573">
        <v>0.93616900000000003</v>
      </c>
      <c r="AB3573">
        <v>34</v>
      </c>
      <c r="AC3573">
        <v>5.3630000000000004</v>
      </c>
      <c r="AD3573">
        <v>-1.1027439142319999</v>
      </c>
      <c r="AE3573">
        <v>-3.9485999999999901</v>
      </c>
      <c r="AF3573">
        <v>2.3943703147750401</v>
      </c>
      <c r="AG3573">
        <v>-1.1027439142319999</v>
      </c>
      <c r="AH3573">
        <v>6.0236699945365704</v>
      </c>
      <c r="AI3573">
        <v>99.654806645581701</v>
      </c>
      <c r="AJ3573">
        <v>68.322495450323302</v>
      </c>
      <c r="AK3573">
        <v>6.5752303037788602</v>
      </c>
      <c r="AL3573">
        <v>82.870083199545604</v>
      </c>
      <c r="AM3573">
        <v>79.077101980083</v>
      </c>
      <c r="AN3573">
        <v>0.99999997837353904</v>
      </c>
    </row>
    <row r="3574" spans="1:40" x14ac:dyDescent="0.25">
      <c r="A3574" t="str">
        <f>"20190312151058286"</f>
        <v>20190312151058286</v>
      </c>
      <c r="B3574" t="str">
        <f>"1552374658274092"</f>
        <v>1552374658274092</v>
      </c>
      <c r="C3574" t="s">
        <v>40</v>
      </c>
      <c r="D3574">
        <v>5.0333860000000001</v>
      </c>
      <c r="E3574">
        <v>0.56792710000000002</v>
      </c>
      <c r="F3574" t="s">
        <v>50</v>
      </c>
      <c r="G3574">
        <v>-198.6284</v>
      </c>
      <c r="H3574" s="1">
        <v>3.1753950000000002E-6</v>
      </c>
      <c r="I3574">
        <v>208.4675</v>
      </c>
      <c r="J3574">
        <v>-203.96549999999999</v>
      </c>
      <c r="K3574">
        <v>1.1025830000000001</v>
      </c>
      <c r="L3574">
        <v>212.46520000000001</v>
      </c>
      <c r="M3574">
        <v>0.96506579999999997</v>
      </c>
      <c r="N3574">
        <v>0</v>
      </c>
      <c r="O3574">
        <v>-0.26161109999999999</v>
      </c>
      <c r="P3574">
        <v>0.89295939999999996</v>
      </c>
      <c r="Q3574">
        <v>0.1128026</v>
      </c>
      <c r="R3574">
        <v>-0.4357743</v>
      </c>
      <c r="S3574">
        <v>2.5345309999999999</v>
      </c>
      <c r="T3574">
        <v>-0.49402570000000001</v>
      </c>
      <c r="U3574">
        <v>-1.832214</v>
      </c>
      <c r="V3574">
        <v>0.18932309999999999</v>
      </c>
      <c r="W3574">
        <v>0.12329909999999999</v>
      </c>
      <c r="X3574">
        <v>0.97414270000000003</v>
      </c>
      <c r="Y3574">
        <v>0.352275</v>
      </c>
      <c r="Z3574">
        <v>1.350054E-2</v>
      </c>
      <c r="AA3574">
        <v>0.93579920000000005</v>
      </c>
      <c r="AB3574">
        <v>34</v>
      </c>
      <c r="AC3574">
        <v>5.3370999999999897</v>
      </c>
      <c r="AD3574">
        <v>-1.102579824605</v>
      </c>
      <c r="AE3574">
        <v>-3.9977</v>
      </c>
      <c r="AF3574">
        <v>2.3965346416189801</v>
      </c>
      <c r="AG3574">
        <v>-1.102579824605</v>
      </c>
      <c r="AH3574">
        <v>6.0322212109882001</v>
      </c>
      <c r="AI3574">
        <v>99.640633949456102</v>
      </c>
      <c r="AJ3574">
        <v>68.332623780289893</v>
      </c>
      <c r="AK3574">
        <v>6.5838251265052401</v>
      </c>
      <c r="AL3574">
        <v>82.917458114146996</v>
      </c>
      <c r="AM3574">
        <v>79.001760295779604</v>
      </c>
      <c r="AN3574">
        <v>0.99999995210885295</v>
      </c>
    </row>
    <row r="3575" spans="1:40" x14ac:dyDescent="0.25">
      <c r="A3575" t="str">
        <f>"20190312151058310"</f>
        <v>20190312151058310</v>
      </c>
      <c r="B3575" t="str">
        <f>"1552374658304351"</f>
        <v>1552374658304351</v>
      </c>
      <c r="C3575" t="s">
        <v>40</v>
      </c>
      <c r="D3575">
        <v>5.0166149999999998</v>
      </c>
      <c r="E3575">
        <v>0.56714189999999998</v>
      </c>
      <c r="F3575" t="s">
        <v>50</v>
      </c>
      <c r="G3575">
        <v>-198.3579</v>
      </c>
      <c r="H3575" s="1">
        <v>3.2575940000000002E-6</v>
      </c>
      <c r="I3575">
        <v>208.3383</v>
      </c>
      <c r="J3575">
        <v>-203.62899999999999</v>
      </c>
      <c r="K3575">
        <v>1.1024130000000001</v>
      </c>
      <c r="L3575">
        <v>212.36510000000001</v>
      </c>
      <c r="M3575">
        <v>0.96264819999999995</v>
      </c>
      <c r="N3575">
        <v>0</v>
      </c>
      <c r="O3575">
        <v>-0.27037129999999998</v>
      </c>
      <c r="P3575">
        <v>0.88844449999999997</v>
      </c>
      <c r="Q3575">
        <v>0.111544699999999</v>
      </c>
      <c r="R3575">
        <v>-0.44522410000000001</v>
      </c>
      <c r="S3575">
        <v>2.5178530000000001</v>
      </c>
      <c r="T3575">
        <v>-0.49506470000000002</v>
      </c>
      <c r="U3575">
        <v>-1.852997</v>
      </c>
      <c r="V3575">
        <v>0.19079090000000001</v>
      </c>
      <c r="W3575">
        <v>0.1219565</v>
      </c>
      <c r="X3575">
        <v>0.97402540000000004</v>
      </c>
      <c r="Y3575">
        <v>0.35183629999999999</v>
      </c>
      <c r="Z3575">
        <v>1.501772E-2</v>
      </c>
      <c r="AA3575">
        <v>0.93594109999999997</v>
      </c>
      <c r="AB3575">
        <v>34</v>
      </c>
      <c r="AC3575">
        <v>5.2711000000000103</v>
      </c>
      <c r="AD3575">
        <v>-1.10240974240599</v>
      </c>
      <c r="AE3575">
        <v>-4.0267999999999997</v>
      </c>
      <c r="AF3575">
        <v>2.38560001140192</v>
      </c>
      <c r="AG3575">
        <v>-1.10240974240599</v>
      </c>
      <c r="AH3575">
        <v>5.9979188307399998</v>
      </c>
      <c r="AI3575">
        <v>99.691792908763404</v>
      </c>
      <c r="AJ3575">
        <v>68.310406241284198</v>
      </c>
      <c r="AK3575">
        <v>6.5483910202963598</v>
      </c>
      <c r="AL3575">
        <v>82.994968890093801</v>
      </c>
      <c r="AM3575">
        <v>78.917293466972197</v>
      </c>
      <c r="AN3575">
        <v>1.0000000176301</v>
      </c>
    </row>
    <row r="3576" spans="1:40" x14ac:dyDescent="0.25">
      <c r="A3576" t="str">
        <f>"20190312151058332"</f>
        <v>20190312151058332</v>
      </c>
      <c r="B3576" t="str">
        <f>"1552374658324843"</f>
        <v>1552374658324843</v>
      </c>
      <c r="C3576" t="s">
        <v>40</v>
      </c>
      <c r="D3576">
        <v>4.9643389999999998</v>
      </c>
      <c r="E3576">
        <v>0.56661149999999905</v>
      </c>
      <c r="F3576" t="s">
        <v>50</v>
      </c>
      <c r="G3576">
        <v>-198.1019</v>
      </c>
      <c r="H3576" s="1">
        <v>3.3333599999999999E-6</v>
      </c>
      <c r="I3576">
        <v>208.2236</v>
      </c>
      <c r="J3576">
        <v>-203.29339999999999</v>
      </c>
      <c r="K3576">
        <v>1.1022339999999999</v>
      </c>
      <c r="L3576">
        <v>212.26169999999999</v>
      </c>
      <c r="M3576">
        <v>0.96008590000000005</v>
      </c>
      <c r="N3576">
        <v>0</v>
      </c>
      <c r="O3576">
        <v>-0.27933170000000002</v>
      </c>
      <c r="P3576">
        <v>0.88386600000000004</v>
      </c>
      <c r="Q3576">
        <v>0.1100112</v>
      </c>
      <c r="R3576">
        <v>-0.45461889999999999</v>
      </c>
      <c r="S3576">
        <v>2.500381</v>
      </c>
      <c r="T3576">
        <v>-0.4987221</v>
      </c>
      <c r="U3576">
        <v>-1.87355</v>
      </c>
      <c r="V3576">
        <v>0.19200970000000001</v>
      </c>
      <c r="W3576">
        <v>0.12034250000000001</v>
      </c>
      <c r="X3576">
        <v>0.97398660000000004</v>
      </c>
      <c r="Y3576">
        <v>0.35126770000000002</v>
      </c>
      <c r="Z3576">
        <v>1.667774E-2</v>
      </c>
      <c r="AA3576">
        <v>0.93612649999999997</v>
      </c>
      <c r="AB3576">
        <v>34</v>
      </c>
      <c r="AC3576">
        <v>5.1914999999999898</v>
      </c>
      <c r="AD3576">
        <v>-1.1022306666399999</v>
      </c>
      <c r="AE3576">
        <v>-4.0380999999999796</v>
      </c>
      <c r="AF3576">
        <v>2.3607241444898399</v>
      </c>
      <c r="AG3576">
        <v>-1.1022306666399999</v>
      </c>
      <c r="AH3576">
        <v>5.9459011973049201</v>
      </c>
      <c r="AI3576">
        <v>99.775711738459705</v>
      </c>
      <c r="AJ3576">
        <v>68.3452461496815</v>
      </c>
      <c r="AK3576">
        <v>6.4916617269364201</v>
      </c>
      <c r="AL3576">
        <v>83.088130156521402</v>
      </c>
      <c r="AM3576">
        <v>78.847831517693393</v>
      </c>
      <c r="AN3576">
        <v>0.99999996958994897</v>
      </c>
    </row>
    <row r="3577" spans="1:40" x14ac:dyDescent="0.25">
      <c r="A3577" t="str">
        <f>"20190312151058355"</f>
        <v>20190312151058355</v>
      </c>
      <c r="B3577" t="str">
        <f>"1552374658344364"</f>
        <v>1552374658344364</v>
      </c>
      <c r="C3577" t="s">
        <v>40</v>
      </c>
      <c r="D3577">
        <v>4.9270199999999997</v>
      </c>
      <c r="E3577">
        <v>0.56612989999999996</v>
      </c>
      <c r="F3577" t="s">
        <v>50</v>
      </c>
      <c r="G3577">
        <v>-197.87090000000001</v>
      </c>
      <c r="H3577" s="1">
        <v>3.4019509999999999E-6</v>
      </c>
      <c r="I3577">
        <v>208.11940000000001</v>
      </c>
      <c r="J3577">
        <v>-202.9682</v>
      </c>
      <c r="K3577">
        <v>1.1020509999999999</v>
      </c>
      <c r="L3577">
        <v>212.15819999999999</v>
      </c>
      <c r="M3577">
        <v>0.95745250000000004</v>
      </c>
      <c r="N3577">
        <v>0</v>
      </c>
      <c r="O3577">
        <v>-0.28822759999999997</v>
      </c>
      <c r="P3577">
        <v>0.87861739999999999</v>
      </c>
      <c r="Q3577">
        <v>0.1095404</v>
      </c>
      <c r="R3577">
        <v>-0.4647925</v>
      </c>
      <c r="S3577">
        <v>2.4817960000000001</v>
      </c>
      <c r="T3577">
        <v>-0.50447959999999903</v>
      </c>
      <c r="U3577">
        <v>-1.8959349999999999</v>
      </c>
      <c r="V3577">
        <v>0.19424459999999999</v>
      </c>
      <c r="W3577">
        <v>0.11976589999999999</v>
      </c>
      <c r="X3577">
        <v>0.97361450000000005</v>
      </c>
      <c r="Y3577">
        <v>0.35137220000000002</v>
      </c>
      <c r="Z3577">
        <v>1.836923E-2</v>
      </c>
      <c r="AA3577">
        <v>0.93605559999999999</v>
      </c>
      <c r="AB3577">
        <v>34</v>
      </c>
      <c r="AC3577">
        <v>5.09729999999999</v>
      </c>
      <c r="AD3577">
        <v>-1.1020475980490001</v>
      </c>
      <c r="AE3577">
        <v>-4.0387999999999797</v>
      </c>
      <c r="AF3577">
        <v>2.3310892310290301</v>
      </c>
      <c r="AG3577">
        <v>-1.1020475980490001</v>
      </c>
      <c r="AH3577">
        <v>5.8764051207863703</v>
      </c>
      <c r="AI3577">
        <v>99.8885978425605</v>
      </c>
      <c r="AJ3577">
        <v>68.362452062836695</v>
      </c>
      <c r="AK3577">
        <v>6.4172130286432996</v>
      </c>
      <c r="AL3577">
        <v>83.1214079028979</v>
      </c>
      <c r="AM3577">
        <v>78.717134745161303</v>
      </c>
      <c r="AN3577">
        <v>1.0000000150211099</v>
      </c>
    </row>
    <row r="3578" spans="1:40" x14ac:dyDescent="0.25">
      <c r="A3578" t="str">
        <f>"20190312151058376"</f>
        <v>20190312151058376</v>
      </c>
      <c r="B3578" t="str">
        <f>"1552374658364859"</f>
        <v>1552374658364859</v>
      </c>
      <c r="C3578" t="s">
        <v>40</v>
      </c>
      <c r="D3578">
        <v>5.2059709999999999</v>
      </c>
      <c r="E3578">
        <v>0.56723250000000003</v>
      </c>
      <c r="F3578" t="s">
        <v>50</v>
      </c>
      <c r="G3578">
        <v>-197.608</v>
      </c>
      <c r="H3578" s="1">
        <v>3.4860039999999999E-6</v>
      </c>
      <c r="I3578">
        <v>207.97800000000001</v>
      </c>
      <c r="J3578">
        <v>-202.65350000000001</v>
      </c>
      <c r="K3578">
        <v>1.1018779999999999</v>
      </c>
      <c r="L3578">
        <v>212.05459999999999</v>
      </c>
      <c r="M3578">
        <v>0.95475719999999997</v>
      </c>
      <c r="N3578">
        <v>0</v>
      </c>
      <c r="O3578">
        <v>-0.29703259999999998</v>
      </c>
      <c r="P3578">
        <v>0.87339169999999999</v>
      </c>
      <c r="Q3578">
        <v>0.1073963</v>
      </c>
      <c r="R3578">
        <v>-0.4750299</v>
      </c>
      <c r="S3578">
        <v>2.4619140000000002</v>
      </c>
      <c r="T3578">
        <v>-0.50616969999999994</v>
      </c>
      <c r="U3578">
        <v>-1.919937</v>
      </c>
      <c r="V3578">
        <v>0.1965876</v>
      </c>
      <c r="W3578">
        <v>0.11751499999999999</v>
      </c>
      <c r="X3578">
        <v>0.97341849999999996</v>
      </c>
      <c r="Y3578">
        <v>0.35217579999999998</v>
      </c>
      <c r="Z3578">
        <v>1.9863929999999998E-2</v>
      </c>
      <c r="AA3578">
        <v>0.93572310000000003</v>
      </c>
      <c r="AB3578">
        <v>34</v>
      </c>
      <c r="AC3578">
        <v>5.0454999999999997</v>
      </c>
      <c r="AD3578">
        <v>-1.101874513996</v>
      </c>
      <c r="AE3578">
        <v>-4.0766000000000098</v>
      </c>
      <c r="AF3578">
        <v>2.3266011148377301</v>
      </c>
      <c r="AG3578">
        <v>-1.101874513996</v>
      </c>
      <c r="AH3578">
        <v>5.8596596371992096</v>
      </c>
      <c r="AI3578">
        <v>99.9135452746726</v>
      </c>
      <c r="AJ3578">
        <v>68.344251236191397</v>
      </c>
      <c r="AK3578">
        <v>6.4002196256050201</v>
      </c>
      <c r="AL3578">
        <v>83.251292356780297</v>
      </c>
      <c r="AM3578">
        <v>78.582354060723603</v>
      </c>
      <c r="AN3578">
        <v>1.0000000179205</v>
      </c>
    </row>
    <row r="3579" spans="1:40" x14ac:dyDescent="0.25">
      <c r="A3579" t="str">
        <f>"20190312151058399"</f>
        <v>20190312151058399</v>
      </c>
      <c r="B3579" t="str">
        <f>"1552374658394139"</f>
        <v>1552374658394139</v>
      </c>
      <c r="C3579" t="s">
        <v>40</v>
      </c>
      <c r="D3579">
        <v>5.1384040000000004</v>
      </c>
      <c r="E3579">
        <v>0.57093110000000002</v>
      </c>
      <c r="F3579" t="s">
        <v>50</v>
      </c>
      <c r="G3579">
        <v>-197.37870000000001</v>
      </c>
      <c r="H3579" s="1">
        <v>3.5686789999999999E-6</v>
      </c>
      <c r="I3579">
        <v>207.81950000000001</v>
      </c>
      <c r="J3579">
        <v>-202.32509999999999</v>
      </c>
      <c r="K3579">
        <v>1.1016900000000001</v>
      </c>
      <c r="L3579">
        <v>211.94280000000001</v>
      </c>
      <c r="M3579">
        <v>0.95178379999999996</v>
      </c>
      <c r="N3579">
        <v>0</v>
      </c>
      <c r="O3579">
        <v>-0.30642540000000001</v>
      </c>
      <c r="P3579">
        <v>0.86737940000000002</v>
      </c>
      <c r="Q3579">
        <v>0.1060285</v>
      </c>
      <c r="R3579">
        <v>-0.48622130000000002</v>
      </c>
      <c r="S3579">
        <v>2.4343720000000002</v>
      </c>
      <c r="T3579">
        <v>-0.50852559999999902</v>
      </c>
      <c r="U3579">
        <v>-1.9545589999999999</v>
      </c>
      <c r="V3579">
        <v>0.19948750000000001</v>
      </c>
      <c r="W3579">
        <v>0.1160228</v>
      </c>
      <c r="X3579">
        <v>0.97300739999999997</v>
      </c>
      <c r="Y3579">
        <v>0.35626390000000002</v>
      </c>
      <c r="Z3579">
        <v>2.121425E-2</v>
      </c>
      <c r="AA3579">
        <v>0.93414450000000004</v>
      </c>
      <c r="AB3579">
        <v>34</v>
      </c>
      <c r="AC3579">
        <v>4.9463999999999801</v>
      </c>
      <c r="AD3579">
        <v>-1.101686431321</v>
      </c>
      <c r="AE3579">
        <v>-4.1233000000000004</v>
      </c>
      <c r="AF3579">
        <v>2.3405381576263702</v>
      </c>
      <c r="AG3579">
        <v>-1.101686431321</v>
      </c>
      <c r="AH3579">
        <v>5.8021969286747801</v>
      </c>
      <c r="AI3579">
        <v>99.986670467072102</v>
      </c>
      <c r="AJ3579">
        <v>68.031429968013796</v>
      </c>
      <c r="AK3579">
        <v>6.3527412240217096</v>
      </c>
      <c r="AL3579">
        <v>83.337377751683306</v>
      </c>
      <c r="AM3579">
        <v>78.413688022536505</v>
      </c>
      <c r="AN3579">
        <v>0.99999997661542395</v>
      </c>
    </row>
    <row r="3580" spans="1:40" x14ac:dyDescent="0.25">
      <c r="A3580" t="str">
        <f>"20190312151058421"</f>
        <v>20190312151058421</v>
      </c>
      <c r="B3580" t="str">
        <f>"1552374658414635"</f>
        <v>1552374658414635</v>
      </c>
      <c r="C3580" t="s">
        <v>40</v>
      </c>
      <c r="D3580">
        <v>5.1529540000000003</v>
      </c>
      <c r="E3580">
        <v>0.57358750000000003</v>
      </c>
      <c r="F3580" t="s">
        <v>50</v>
      </c>
      <c r="G3580">
        <v>-197.1593</v>
      </c>
      <c r="H3580" s="1">
        <v>3.6646839999999998E-6</v>
      </c>
      <c r="I3580">
        <v>207.60390000000001</v>
      </c>
      <c r="J3580">
        <v>-202.00040000000001</v>
      </c>
      <c r="K3580">
        <v>1.1015140000000001</v>
      </c>
      <c r="L3580">
        <v>211.82839999999999</v>
      </c>
      <c r="M3580">
        <v>0.94867520000000005</v>
      </c>
      <c r="N3580">
        <v>0</v>
      </c>
      <c r="O3580">
        <v>-0.315917</v>
      </c>
      <c r="P3580">
        <v>0.86135469999999903</v>
      </c>
      <c r="Q3580">
        <v>0.10485419999999999</v>
      </c>
      <c r="R3580">
        <v>-0.49706539999999999</v>
      </c>
      <c r="S3580">
        <v>2.393967</v>
      </c>
      <c r="T3580">
        <v>-0.51055050000000002</v>
      </c>
      <c r="U3580">
        <v>-2.0108030000000001</v>
      </c>
      <c r="V3580">
        <v>0.20195679999999999</v>
      </c>
      <c r="W3580">
        <v>0.1147354</v>
      </c>
      <c r="X3580">
        <v>0.97265060000000003</v>
      </c>
      <c r="Y3580">
        <v>0.3675368</v>
      </c>
      <c r="Z3580">
        <v>2.1936290000000001E-2</v>
      </c>
      <c r="AA3580">
        <v>0.92975019999999997</v>
      </c>
      <c r="AB3580">
        <v>34</v>
      </c>
      <c r="AC3580">
        <v>4.8411000000000097</v>
      </c>
      <c r="AD3580">
        <v>-1.1015103353159901</v>
      </c>
      <c r="AE3580">
        <v>-4.2244999999999697</v>
      </c>
      <c r="AF3580">
        <v>2.4077885677139799</v>
      </c>
      <c r="AG3580">
        <v>-1.1015103353159901</v>
      </c>
      <c r="AH3580">
        <v>5.7586015139384497</v>
      </c>
      <c r="AI3580">
        <v>100.00826638733599</v>
      </c>
      <c r="AJ3580">
        <v>67.309202032246304</v>
      </c>
      <c r="AK3580">
        <v>6.3381592124177804</v>
      </c>
      <c r="AL3580">
        <v>83.411636270467099</v>
      </c>
      <c r="AM3580">
        <v>78.270035766429402</v>
      </c>
      <c r="AN3580">
        <v>0.99999997537987895</v>
      </c>
    </row>
    <row r="3581" spans="1:40" x14ac:dyDescent="0.25">
      <c r="A3581" t="str">
        <f>"20190312151058443"</f>
        <v>20190312151058443</v>
      </c>
      <c r="B3581" t="str">
        <f>"1552374658434155"</f>
        <v>1552374658434155</v>
      </c>
      <c r="C3581" t="s">
        <v>40</v>
      </c>
      <c r="D3581">
        <v>5.079167</v>
      </c>
      <c r="E3581">
        <v>0.57597430000000005</v>
      </c>
      <c r="F3581" t="s">
        <v>50</v>
      </c>
      <c r="G3581">
        <v>-196.9417</v>
      </c>
      <c r="H3581" s="1">
        <v>3.754844E-6</v>
      </c>
      <c r="I3581">
        <v>207.4091</v>
      </c>
      <c r="J3581">
        <v>-201.68</v>
      </c>
      <c r="K3581">
        <v>1.1013500000000001</v>
      </c>
      <c r="L3581">
        <v>211.71170000000001</v>
      </c>
      <c r="M3581">
        <v>0.94545020000000002</v>
      </c>
      <c r="N3581">
        <v>0</v>
      </c>
      <c r="O3581">
        <v>-0.32544000000000001</v>
      </c>
      <c r="P3581">
        <v>0.85477300000000001</v>
      </c>
      <c r="Q3581">
        <v>0.1032609</v>
      </c>
      <c r="R3581">
        <v>-0.50862619999999903</v>
      </c>
      <c r="S3581">
        <v>2.3571010000000001</v>
      </c>
      <c r="T3581">
        <v>-0.51324840000000005</v>
      </c>
      <c r="U3581">
        <v>-2.0591430000000002</v>
      </c>
      <c r="V3581">
        <v>0.20523089999999999</v>
      </c>
      <c r="W3581">
        <v>0.1130148</v>
      </c>
      <c r="X3581">
        <v>0.97216659999999999</v>
      </c>
      <c r="Y3581">
        <v>0.37620759999999998</v>
      </c>
      <c r="Z3581">
        <v>2.2930880000000001E-2</v>
      </c>
      <c r="AA3581">
        <v>0.92625159999999995</v>
      </c>
      <c r="AB3581">
        <v>34</v>
      </c>
      <c r="AC3581">
        <v>4.7382999999999997</v>
      </c>
      <c r="AD3581">
        <v>-1.1013462451559899</v>
      </c>
      <c r="AE3581">
        <v>-4.3026000000000098</v>
      </c>
      <c r="AF3581">
        <v>2.4534813677858298</v>
      </c>
      <c r="AG3581">
        <v>-1.1013462451559899</v>
      </c>
      <c r="AH3581">
        <v>5.7115675083349204</v>
      </c>
      <c r="AI3581">
        <v>100.046980648941</v>
      </c>
      <c r="AJ3581">
        <v>66.753401755484106</v>
      </c>
      <c r="AK3581">
        <v>6.3130450478401201</v>
      </c>
      <c r="AL3581">
        <v>83.510864926735806</v>
      </c>
      <c r="AM3581">
        <v>78.079502443137898</v>
      </c>
      <c r="AN3581">
        <v>0.99999998274470403</v>
      </c>
    </row>
    <row r="3582" spans="1:40" x14ac:dyDescent="0.25">
      <c r="A3582" t="str">
        <f>"20190312151058466"</f>
        <v>20190312151058466</v>
      </c>
      <c r="B3582" t="str">
        <f>"1552374658454652"</f>
        <v>1552374658454652</v>
      </c>
      <c r="C3582" t="s">
        <v>40</v>
      </c>
      <c r="D3582">
        <v>5.1034040000000003</v>
      </c>
      <c r="E3582">
        <v>0.57805419999999996</v>
      </c>
      <c r="F3582" t="s">
        <v>50</v>
      </c>
      <c r="G3582">
        <v>-196.72389999999999</v>
      </c>
      <c r="H3582" s="1">
        <v>3.8461509999999998E-6</v>
      </c>
      <c r="I3582">
        <v>207.21019999999999</v>
      </c>
      <c r="J3582">
        <v>-201.36009999999999</v>
      </c>
      <c r="K3582">
        <v>1.1012</v>
      </c>
      <c r="L3582">
        <v>211.5915</v>
      </c>
      <c r="M3582">
        <v>0.94206769999999995</v>
      </c>
      <c r="N3582">
        <v>0</v>
      </c>
      <c r="O3582">
        <v>-0.33510430000000002</v>
      </c>
      <c r="P3582">
        <v>0.84786530000000004</v>
      </c>
      <c r="Q3582">
        <v>0.10287789999999999</v>
      </c>
      <c r="R3582">
        <v>-0.52013509999999996</v>
      </c>
      <c r="S3582">
        <v>2.318756</v>
      </c>
      <c r="T3582">
        <v>-0.51527239999999996</v>
      </c>
      <c r="U3582">
        <v>-2.1060490000000001</v>
      </c>
      <c r="V3582">
        <v>0.20843610000000001</v>
      </c>
      <c r="W3582">
        <v>0.11250639999999899</v>
      </c>
      <c r="X3582">
        <v>0.9715435</v>
      </c>
      <c r="Y3582">
        <v>0.38461469999999998</v>
      </c>
      <c r="Z3582">
        <v>2.3960309999999999E-2</v>
      </c>
      <c r="AA3582">
        <v>0.92276610000000003</v>
      </c>
      <c r="AB3582">
        <v>34</v>
      </c>
      <c r="AC3582">
        <v>4.6361999999999997</v>
      </c>
      <c r="AD3582">
        <v>-1.101196153849</v>
      </c>
      <c r="AE3582">
        <v>-4.3813000000000004</v>
      </c>
      <c r="AF3582">
        <v>2.4996518089711901</v>
      </c>
      <c r="AG3582">
        <v>-1.101196153849</v>
      </c>
      <c r="AH3582">
        <v>5.6675283305119804</v>
      </c>
      <c r="AI3582">
        <v>100.08051158569199</v>
      </c>
      <c r="AJ3582">
        <v>66.200220245192199</v>
      </c>
      <c r="AK3582">
        <v>6.2914044149538402</v>
      </c>
      <c r="AL3582">
        <v>83.540181414539603</v>
      </c>
      <c r="AM3582">
        <v>77.891248527991905</v>
      </c>
      <c r="AN3582">
        <v>1.0000000351081999</v>
      </c>
    </row>
    <row r="3583" spans="1:40" x14ac:dyDescent="0.25">
      <c r="A3583" t="str">
        <f>"20190312151058488"</f>
        <v>20190312151058488</v>
      </c>
      <c r="B3583" t="str">
        <f>"1552374658484908"</f>
        <v>1552374658484908</v>
      </c>
      <c r="C3583" t="s">
        <v>40</v>
      </c>
      <c r="D3583">
        <v>5.1262790000000003</v>
      </c>
      <c r="E3583">
        <v>0.58082040000000001</v>
      </c>
      <c r="F3583" t="s">
        <v>50</v>
      </c>
      <c r="G3583">
        <v>-196.4872</v>
      </c>
      <c r="H3583" s="1">
        <v>3.9447809999999996E-6</v>
      </c>
      <c r="I3583">
        <v>206.99629999999999</v>
      </c>
      <c r="J3583">
        <v>-201.04060000000001</v>
      </c>
      <c r="K3583">
        <v>1.1010660000000001</v>
      </c>
      <c r="L3583">
        <v>211.4676</v>
      </c>
      <c r="M3583">
        <v>0.93852539999999995</v>
      </c>
      <c r="N3583">
        <v>0</v>
      </c>
      <c r="O3583">
        <v>-0.3449004</v>
      </c>
      <c r="P3583">
        <v>0.84017540000000002</v>
      </c>
      <c r="Q3583">
        <v>0.1029128</v>
      </c>
      <c r="R3583">
        <v>-0.5324605</v>
      </c>
      <c r="S3583">
        <v>2.281174</v>
      </c>
      <c r="T3583">
        <v>-0.51551619999999998</v>
      </c>
      <c r="U3583">
        <v>-2.1511840000000002</v>
      </c>
      <c r="V3583">
        <v>0.21254419999999999</v>
      </c>
      <c r="W3583">
        <v>0.112392699999999</v>
      </c>
      <c r="X3583">
        <v>0.97066620000000003</v>
      </c>
      <c r="Y3583">
        <v>0.39227529999999999</v>
      </c>
      <c r="Z3583">
        <v>2.4999319999999998E-2</v>
      </c>
      <c r="AA3583">
        <v>0.91950810000000005</v>
      </c>
      <c r="AB3583">
        <v>34</v>
      </c>
      <c r="AC3583">
        <v>4.5534000000000097</v>
      </c>
      <c r="AD3583">
        <v>-1.10106205521899</v>
      </c>
      <c r="AE3583">
        <v>-4.47130000000001</v>
      </c>
      <c r="AF3583">
        <v>2.5503214864961201</v>
      </c>
      <c r="AG3583">
        <v>-1.10106205521899</v>
      </c>
      <c r="AH3583">
        <v>5.6481222220737104</v>
      </c>
      <c r="AI3583">
        <v>100.07464389182999</v>
      </c>
      <c r="AJ3583">
        <v>65.699186720468802</v>
      </c>
      <c r="AK3583">
        <v>6.2942642119162597</v>
      </c>
      <c r="AL3583">
        <v>83.5467373895316</v>
      </c>
      <c r="AM3583">
        <v>77.649029029910295</v>
      </c>
      <c r="AN3583">
        <v>1.0000000138946801</v>
      </c>
    </row>
    <row r="3584" spans="1:40" x14ac:dyDescent="0.25">
      <c r="A3584" t="str">
        <f>"20190312151058510"</f>
        <v>20190312151058510</v>
      </c>
      <c r="B3584" t="str">
        <f>"1552374658504427"</f>
        <v>1552374658504427</v>
      </c>
      <c r="C3584" t="s">
        <v>40</v>
      </c>
      <c r="D3584">
        <v>5.1814</v>
      </c>
      <c r="E3584">
        <v>0.58240709999999996</v>
      </c>
      <c r="F3584" t="s">
        <v>50</v>
      </c>
      <c r="G3584">
        <v>-196.25550000000001</v>
      </c>
      <c r="H3584" s="1">
        <v>4.048545E-6</v>
      </c>
      <c r="I3584">
        <v>206.75970000000001</v>
      </c>
      <c r="J3584">
        <v>-200.72489999999999</v>
      </c>
      <c r="K3584">
        <v>1.1009370000000001</v>
      </c>
      <c r="L3584">
        <v>211.34119999999999</v>
      </c>
      <c r="M3584">
        <v>0.93485370000000001</v>
      </c>
      <c r="N3584">
        <v>0</v>
      </c>
      <c r="O3584">
        <v>-0.35473100000000002</v>
      </c>
      <c r="P3584">
        <v>0.83245069999999999</v>
      </c>
      <c r="Q3584">
        <v>0.10188700000000001</v>
      </c>
      <c r="R3584">
        <v>-0.54465160000000001</v>
      </c>
      <c r="S3584">
        <v>2.2382049999999998</v>
      </c>
      <c r="T3584">
        <v>-0.51500639999999998</v>
      </c>
      <c r="U3584">
        <v>-2.202026</v>
      </c>
      <c r="V3584">
        <v>0.21647839999999999</v>
      </c>
      <c r="W3584">
        <v>0.11122319999999999</v>
      </c>
      <c r="X3584">
        <v>0.96993119999999999</v>
      </c>
      <c r="Y3584">
        <v>0.402063</v>
      </c>
      <c r="Z3584">
        <v>2.581665E-2</v>
      </c>
      <c r="AA3584">
        <v>0.91524799999999995</v>
      </c>
      <c r="AB3584">
        <v>34</v>
      </c>
      <c r="AC3584">
        <v>4.4693999999999701</v>
      </c>
      <c r="AD3584">
        <v>-1.1009329514549999</v>
      </c>
      <c r="AE3584">
        <v>-4.5814999999999699</v>
      </c>
      <c r="AF3584">
        <v>2.6203581739348998</v>
      </c>
      <c r="AG3584">
        <v>-1.1009329514549999</v>
      </c>
      <c r="AH3584">
        <v>5.6372675683296301</v>
      </c>
      <c r="AI3584">
        <v>100.042843095919</v>
      </c>
      <c r="AJ3584">
        <v>65.069689383129798</v>
      </c>
      <c r="AK3584">
        <v>6.3132492395158897</v>
      </c>
      <c r="AL3584">
        <v>83.614167614482696</v>
      </c>
      <c r="AM3584">
        <v>77.418393582727106</v>
      </c>
      <c r="AN3584">
        <v>1.00000001530912</v>
      </c>
    </row>
    <row r="3585" spans="1:40" x14ac:dyDescent="0.25">
      <c r="A3585" t="str">
        <f>"20190312151058533"</f>
        <v>20190312151058533</v>
      </c>
      <c r="B3585" t="str">
        <f>"1552374658524924"</f>
        <v>1552374658524924</v>
      </c>
      <c r="C3585" t="s">
        <v>40</v>
      </c>
      <c r="D3585">
        <v>5.5168339999999896</v>
      </c>
      <c r="E3585">
        <v>0.58375829999999995</v>
      </c>
      <c r="F3585" t="s">
        <v>50</v>
      </c>
      <c r="G3585">
        <v>-196.06569999999999</v>
      </c>
      <c r="H3585" s="1">
        <v>4.1281509999999998E-6</v>
      </c>
      <c r="I3585">
        <v>206.58619999999999</v>
      </c>
      <c r="J3585">
        <v>-200.4023</v>
      </c>
      <c r="K3585">
        <v>1.1007960000000001</v>
      </c>
      <c r="L3585">
        <v>211.208</v>
      </c>
      <c r="M3585">
        <v>0.93091950000000001</v>
      </c>
      <c r="N3585">
        <v>0</v>
      </c>
      <c r="O3585">
        <v>-0.36492980000000003</v>
      </c>
      <c r="P3585">
        <v>0.8242794</v>
      </c>
      <c r="Q3585">
        <v>0.1008888</v>
      </c>
      <c r="R3585">
        <v>-0.55712249999999996</v>
      </c>
      <c r="S3585">
        <v>2.1990970000000001</v>
      </c>
      <c r="T3585">
        <v>-0.51962010000000003</v>
      </c>
      <c r="U3585">
        <v>-2.2442470000000001</v>
      </c>
      <c r="V3585">
        <v>0.22045000000000001</v>
      </c>
      <c r="W3585">
        <v>0.1100764</v>
      </c>
      <c r="X3585">
        <v>0.96916720000000001</v>
      </c>
      <c r="Y3585">
        <v>0.40882170000000001</v>
      </c>
      <c r="Z3585">
        <v>2.7244440000000002E-2</v>
      </c>
      <c r="AA3585">
        <v>0.91220749999999995</v>
      </c>
      <c r="AB3585">
        <v>34</v>
      </c>
      <c r="AC3585">
        <v>4.3365999999999998</v>
      </c>
      <c r="AD3585">
        <v>-1.100791871849</v>
      </c>
      <c r="AE3585">
        <v>-4.6218000000000004</v>
      </c>
      <c r="AF3585">
        <v>2.6406013999719602</v>
      </c>
      <c r="AG3585">
        <v>-1.100791871849</v>
      </c>
      <c r="AH3585">
        <v>5.5566436600639904</v>
      </c>
      <c r="AI3585">
        <v>100.14445384637401</v>
      </c>
      <c r="AJ3585">
        <v>64.582223593518904</v>
      </c>
      <c r="AK3585">
        <v>6.2498645796202696</v>
      </c>
      <c r="AL3585">
        <v>83.680280535443799</v>
      </c>
      <c r="AM3585">
        <v>77.185349935922403</v>
      </c>
      <c r="AN3585">
        <v>1.0000000389463899</v>
      </c>
    </row>
    <row r="3586" spans="1:40" x14ac:dyDescent="0.25">
      <c r="A3586" t="str">
        <f>"20190312151058556"</f>
        <v>20190312151058556</v>
      </c>
      <c r="B3586" t="str">
        <f>"1552374658544444"</f>
        <v>1552374658544444</v>
      </c>
      <c r="C3586" t="s">
        <v>40</v>
      </c>
      <c r="D3586">
        <v>5.2414990000000001</v>
      </c>
      <c r="E3586">
        <v>0.58503300000000003</v>
      </c>
      <c r="F3586" t="s">
        <v>50</v>
      </c>
      <c r="G3586">
        <v>-195.82149999999999</v>
      </c>
      <c r="H3586" s="1">
        <v>4.2608010000000002E-6</v>
      </c>
      <c r="I3586">
        <v>206.35810000000001</v>
      </c>
      <c r="J3586">
        <v>-200.09280000000001</v>
      </c>
      <c r="K3586">
        <v>1.1006590000000001</v>
      </c>
      <c r="L3586">
        <v>211.0762</v>
      </c>
      <c r="M3586">
        <v>0.92696469999999997</v>
      </c>
      <c r="N3586">
        <v>0</v>
      </c>
      <c r="O3586">
        <v>-0.37486079999999999</v>
      </c>
      <c r="P3586">
        <v>0.81591650000000004</v>
      </c>
      <c r="Q3586">
        <v>0.1001571</v>
      </c>
      <c r="R3586">
        <v>-0.56942869999999901</v>
      </c>
      <c r="S3586">
        <v>2.1584469999999998</v>
      </c>
      <c r="T3586">
        <v>-0.51869500000000002</v>
      </c>
      <c r="U3586">
        <v>-2.285263</v>
      </c>
      <c r="V3586">
        <v>0.22462090000000001</v>
      </c>
      <c r="W3586">
        <v>0.1091882</v>
      </c>
      <c r="X3586">
        <v>0.96830950000000005</v>
      </c>
      <c r="Y3586">
        <v>0.41584100000000002</v>
      </c>
      <c r="Z3586">
        <v>2.833668E-2</v>
      </c>
      <c r="AA3586">
        <v>0.90899580000000002</v>
      </c>
      <c r="AB3586">
        <v>34</v>
      </c>
      <c r="AC3586">
        <v>4.2713000000000196</v>
      </c>
      <c r="AD3586">
        <v>-1.100654739199</v>
      </c>
      <c r="AE3586">
        <v>-4.71809999999999</v>
      </c>
      <c r="AF3586">
        <v>2.6921494315396299</v>
      </c>
      <c r="AG3586">
        <v>-1.100654739199</v>
      </c>
      <c r="AH3586">
        <v>5.56223345799489</v>
      </c>
      <c r="AI3586">
        <v>100.099278656793</v>
      </c>
      <c r="AJ3586">
        <v>64.172780539970702</v>
      </c>
      <c r="AK3586">
        <v>6.2767468053043398</v>
      </c>
      <c r="AL3586">
        <v>83.731478700320295</v>
      </c>
      <c r="AM3586">
        <v>76.939959552794207</v>
      </c>
      <c r="AN3586">
        <v>0.99999994976314799</v>
      </c>
    </row>
    <row r="3587" spans="1:40" x14ac:dyDescent="0.25">
      <c r="A3587" t="str">
        <f>"20190312151058579"</f>
        <v>20190312151058579</v>
      </c>
      <c r="B3587" t="str">
        <f>"1552374658574699"</f>
        <v>1552374658574699</v>
      </c>
      <c r="C3587" t="s">
        <v>40</v>
      </c>
      <c r="D3587">
        <v>5.0548729999999997</v>
      </c>
      <c r="E3587">
        <v>0.58655859999999904</v>
      </c>
      <c r="F3587" t="s">
        <v>50</v>
      </c>
      <c r="G3587">
        <v>-195.6155</v>
      </c>
      <c r="H3587" s="1">
        <v>4.3763010000000002E-6</v>
      </c>
      <c r="I3587">
        <v>206.16059999999999</v>
      </c>
      <c r="J3587">
        <v>-199.767</v>
      </c>
      <c r="K3587">
        <v>1.1005100000000001</v>
      </c>
      <c r="L3587">
        <v>210.93299999999999</v>
      </c>
      <c r="M3587">
        <v>0.92259809999999998</v>
      </c>
      <c r="N3587">
        <v>0</v>
      </c>
      <c r="O3587">
        <v>-0.38548169999999998</v>
      </c>
      <c r="P3587">
        <v>0.80705509999999903</v>
      </c>
      <c r="Q3587">
        <v>9.8819439999999995E-2</v>
      </c>
      <c r="R3587">
        <v>-0.58214889999999997</v>
      </c>
      <c r="S3587">
        <v>2.11795</v>
      </c>
      <c r="T3587">
        <v>-0.52065839999999997</v>
      </c>
      <c r="U3587">
        <v>-2.325272</v>
      </c>
      <c r="V3587">
        <v>0.2286262</v>
      </c>
      <c r="W3587">
        <v>0.1076922</v>
      </c>
      <c r="X3587">
        <v>0.96753940000000005</v>
      </c>
      <c r="Y3587">
        <v>0.4218789</v>
      </c>
      <c r="Z3587">
        <v>2.9797899999999999E-2</v>
      </c>
      <c r="AA3587">
        <v>0.90616240000000003</v>
      </c>
      <c r="AB3587">
        <v>34</v>
      </c>
      <c r="AC3587">
        <v>4.1514999999999898</v>
      </c>
      <c r="AD3587">
        <v>-1.1005056236990001</v>
      </c>
      <c r="AE3587">
        <v>-4.7724000000000002</v>
      </c>
      <c r="AF3587">
        <v>2.72063086193767</v>
      </c>
      <c r="AG3587">
        <v>-1.1005056236990001</v>
      </c>
      <c r="AH3587">
        <v>5.5038531727189604</v>
      </c>
      <c r="AI3587">
        <v>100.162245424028</v>
      </c>
      <c r="AJ3587">
        <v>63.696174996885702</v>
      </c>
      <c r="AK3587">
        <v>6.2374149021505199</v>
      </c>
      <c r="AL3587">
        <v>83.817702093584302</v>
      </c>
      <c r="AM3587">
        <v>76.705071355094503</v>
      </c>
      <c r="AN3587">
        <v>1.00000001990982</v>
      </c>
    </row>
    <row r="3588" spans="1:40" x14ac:dyDescent="0.25">
      <c r="A3588" t="str">
        <f>"20190312151058601"</f>
        <v>20190312151058601</v>
      </c>
      <c r="B3588" t="str">
        <f>"1552374658594219"</f>
        <v>1552374658594219</v>
      </c>
      <c r="C3588" t="s">
        <v>40</v>
      </c>
      <c r="D3588">
        <v>5.0531319999999997</v>
      </c>
      <c r="E3588">
        <v>0.58750119999999995</v>
      </c>
      <c r="F3588" t="s">
        <v>50</v>
      </c>
      <c r="G3588">
        <v>-195.4032</v>
      </c>
      <c r="H3588" s="1">
        <v>4.4983989999999998E-6</v>
      </c>
      <c r="I3588">
        <v>205.94839999999999</v>
      </c>
      <c r="J3588">
        <v>-199.46789999999999</v>
      </c>
      <c r="K3588">
        <v>1.100373</v>
      </c>
      <c r="L3588">
        <v>210.7972</v>
      </c>
      <c r="M3588">
        <v>0.91838960000000003</v>
      </c>
      <c r="N3588">
        <v>0</v>
      </c>
      <c r="O3588">
        <v>-0.39540229999999998</v>
      </c>
      <c r="P3588">
        <v>0.7989655</v>
      </c>
      <c r="Q3588">
        <v>9.8295649999999998E-2</v>
      </c>
      <c r="R3588">
        <v>-0.59328950000000003</v>
      </c>
      <c r="S3588">
        <v>2.073105</v>
      </c>
      <c r="T3588">
        <v>-0.52281420000000001</v>
      </c>
      <c r="U3588">
        <v>-2.3680270000000001</v>
      </c>
      <c r="V3588">
        <v>0.23162279999999999</v>
      </c>
      <c r="W3588">
        <v>0.10703790000000001</v>
      </c>
      <c r="X3588">
        <v>0.96689899999999995</v>
      </c>
      <c r="Y3588">
        <v>0.4299366</v>
      </c>
      <c r="Z3588">
        <v>3.0980239999999999E-2</v>
      </c>
      <c r="AA3588">
        <v>0.9023274</v>
      </c>
      <c r="AB3588">
        <v>34</v>
      </c>
      <c r="AC3588">
        <v>4.0646999999999798</v>
      </c>
      <c r="AD3588">
        <v>-1.1003685016010001</v>
      </c>
      <c r="AE3588">
        <v>-4.8488000000000104</v>
      </c>
      <c r="AF3588">
        <v>2.7626475064137002</v>
      </c>
      <c r="AG3588">
        <v>-1.1003685016010001</v>
      </c>
      <c r="AH3588">
        <v>5.4849248591454698</v>
      </c>
      <c r="AI3588">
        <v>100.158052007639</v>
      </c>
      <c r="AJ3588">
        <v>63.2665138527016</v>
      </c>
      <c r="AK3588">
        <v>6.2391852668823198</v>
      </c>
      <c r="AL3588">
        <v>83.855408277434506</v>
      </c>
      <c r="AM3588">
        <v>76.528527901500794</v>
      </c>
      <c r="AN3588">
        <v>0.99999995485862303</v>
      </c>
    </row>
    <row r="3589" spans="1:40" x14ac:dyDescent="0.25">
      <c r="A3589" t="str">
        <f>"20190312151058622"</f>
        <v>20190312151058622</v>
      </c>
      <c r="B3589" t="str">
        <f>"1552374658614716"</f>
        <v>1552374658614716</v>
      </c>
      <c r="C3589" t="s">
        <v>40</v>
      </c>
      <c r="D3589">
        <v>5.0382389999999999</v>
      </c>
      <c r="E3589">
        <v>0.58833619999999898</v>
      </c>
      <c r="F3589" t="s">
        <v>50</v>
      </c>
      <c r="G3589">
        <v>-195.1918</v>
      </c>
      <c r="H3589" s="1">
        <v>4.6175000000000003E-6</v>
      </c>
      <c r="I3589">
        <v>205.7441</v>
      </c>
      <c r="J3589">
        <v>-199.16470000000001</v>
      </c>
      <c r="K3589">
        <v>1.1002379999999901</v>
      </c>
      <c r="L3589">
        <v>210.65539999999999</v>
      </c>
      <c r="M3589">
        <v>0.91393170000000001</v>
      </c>
      <c r="N3589">
        <v>0</v>
      </c>
      <c r="O3589">
        <v>-0.40559859999999998</v>
      </c>
      <c r="P3589">
        <v>0.79058640000000002</v>
      </c>
      <c r="Q3589">
        <v>9.7597409999999996E-2</v>
      </c>
      <c r="R3589">
        <v>-0.60452280000000003</v>
      </c>
      <c r="S3589">
        <v>2.0342099999999999</v>
      </c>
      <c r="T3589">
        <v>-0.52346280000000001</v>
      </c>
      <c r="U3589">
        <v>-2.40387</v>
      </c>
      <c r="V3589">
        <v>0.23451350000000001</v>
      </c>
      <c r="W3589">
        <v>0.1062139</v>
      </c>
      <c r="X3589">
        <v>0.96629290000000001</v>
      </c>
      <c r="Y3589">
        <v>0.43508400000000003</v>
      </c>
      <c r="Z3589">
        <v>3.2394439999999997E-2</v>
      </c>
      <c r="AA3589">
        <v>0.89980700000000002</v>
      </c>
      <c r="AB3589">
        <v>34</v>
      </c>
      <c r="AC3589">
        <v>3.9729000000000001</v>
      </c>
      <c r="AD3589">
        <v>-1.1002333824999999</v>
      </c>
      <c r="AE3589">
        <v>-4.9112999999999802</v>
      </c>
      <c r="AF3589">
        <v>2.7927854044815699</v>
      </c>
      <c r="AG3589">
        <v>-1.1002333824999999</v>
      </c>
      <c r="AH3589">
        <v>5.4580211599620396</v>
      </c>
      <c r="AI3589">
        <v>100.173613175873</v>
      </c>
      <c r="AJ3589">
        <v>62.901872921577599</v>
      </c>
      <c r="AK3589">
        <v>6.2289773473698</v>
      </c>
      <c r="AL3589">
        <v>83.902890791926197</v>
      </c>
      <c r="AM3589">
        <v>76.358407379863394</v>
      </c>
      <c r="AN3589">
        <v>0.99999997141293395</v>
      </c>
    </row>
    <row r="3590" spans="1:40" x14ac:dyDescent="0.25">
      <c r="A3590" t="str">
        <f>"20190312151058644"</f>
        <v>20190312151058644</v>
      </c>
      <c r="B3590" t="str">
        <f>"1552374658634236"</f>
        <v>1552374658634236</v>
      </c>
      <c r="C3590" t="s">
        <v>40</v>
      </c>
      <c r="D3590">
        <v>4.9780129999999998</v>
      </c>
      <c r="E3590">
        <v>0.5889356</v>
      </c>
      <c r="F3590" t="s">
        <v>50</v>
      </c>
      <c r="G3590">
        <v>-194.96950000000001</v>
      </c>
      <c r="H3590" s="1">
        <v>4.7434880000000001E-6</v>
      </c>
      <c r="I3590">
        <v>205.52709999999999</v>
      </c>
      <c r="J3590">
        <v>-198.85329999999999</v>
      </c>
      <c r="K3590">
        <v>1.100096</v>
      </c>
      <c r="L3590">
        <v>210.50540000000001</v>
      </c>
      <c r="M3590">
        <v>0.90914010000000001</v>
      </c>
      <c r="N3590">
        <v>0</v>
      </c>
      <c r="O3590">
        <v>-0.41622759999999998</v>
      </c>
      <c r="P3590">
        <v>0.78200289999999995</v>
      </c>
      <c r="Q3590">
        <v>9.6324660000000006E-2</v>
      </c>
      <c r="R3590">
        <v>-0.61578659999999996</v>
      </c>
      <c r="S3590">
        <v>1.9947360000000001</v>
      </c>
      <c r="T3590">
        <v>-0.52313589999999999</v>
      </c>
      <c r="U3590">
        <v>-2.4383849999999998</v>
      </c>
      <c r="V3590">
        <v>0.2370292</v>
      </c>
      <c r="W3590">
        <v>0.1048236</v>
      </c>
      <c r="X3590">
        <v>0.96583079999999999</v>
      </c>
      <c r="Y3590">
        <v>0.43962010000000001</v>
      </c>
      <c r="Z3590">
        <v>3.3893760000000002E-2</v>
      </c>
      <c r="AA3590">
        <v>0.89754409999999896</v>
      </c>
      <c r="AB3590">
        <v>34</v>
      </c>
      <c r="AC3590">
        <v>3.8837999999999799</v>
      </c>
      <c r="AD3590">
        <v>-1.100091256512</v>
      </c>
      <c r="AE3590">
        <v>-4.9783000000000097</v>
      </c>
      <c r="AF3590">
        <v>2.8240208034351002</v>
      </c>
      <c r="AG3590">
        <v>-1.100091256512</v>
      </c>
      <c r="AH3590">
        <v>5.4385467094985396</v>
      </c>
      <c r="AI3590">
        <v>100.177200153333</v>
      </c>
      <c r="AJ3590">
        <v>62.558944290870201</v>
      </c>
      <c r="AK3590">
        <v>6.2260006892294699</v>
      </c>
      <c r="AL3590">
        <v>83.982996388196199</v>
      </c>
      <c r="AM3590">
        <v>76.211279433837305</v>
      </c>
      <c r="AN3590">
        <v>0.99999998149911895</v>
      </c>
    </row>
    <row r="3591" spans="1:40" x14ac:dyDescent="0.25">
      <c r="A3591" t="str">
        <f>"20190312151058668"</f>
        <v>20190312151058668</v>
      </c>
      <c r="B3591" t="str">
        <f>"1552374658664492"</f>
        <v>1552374658664492</v>
      </c>
      <c r="C3591" t="s">
        <v>40</v>
      </c>
      <c r="D3591">
        <v>5.1418480000000004</v>
      </c>
      <c r="E3591">
        <v>0.63819590000000004</v>
      </c>
      <c r="F3591" t="s">
        <v>50</v>
      </c>
      <c r="G3591">
        <v>-194.74080000000001</v>
      </c>
      <c r="H3591" s="1">
        <v>4.8709439999999998E-6</v>
      </c>
      <c r="I3591">
        <v>205.31</v>
      </c>
      <c r="J3591">
        <v>-198.55090000000001</v>
      </c>
      <c r="K3591">
        <v>1.09995</v>
      </c>
      <c r="L3591">
        <v>210.3552</v>
      </c>
      <c r="M3591">
        <v>0.90426139999999999</v>
      </c>
      <c r="N3591">
        <v>0</v>
      </c>
      <c r="O3591">
        <v>-0.42672179999999998</v>
      </c>
      <c r="P3591">
        <v>0.77358149999999903</v>
      </c>
      <c r="Q3591">
        <v>9.4683030000000001E-2</v>
      </c>
      <c r="R3591">
        <v>-0.62658400000000003</v>
      </c>
      <c r="S3591">
        <v>1.955444</v>
      </c>
      <c r="T3591">
        <v>-0.52307879999999995</v>
      </c>
      <c r="U3591">
        <v>-2.4703520000000001</v>
      </c>
      <c r="V3591">
        <v>0.23916870000000001</v>
      </c>
      <c r="W3591">
        <v>0.1030731</v>
      </c>
      <c r="X3591">
        <v>0.96549169999999995</v>
      </c>
      <c r="Y3591">
        <v>0.44371699999999997</v>
      </c>
      <c r="Z3591">
        <v>3.5441309999999997E-2</v>
      </c>
      <c r="AA3591">
        <v>0.89546589999999904</v>
      </c>
      <c r="AB3591">
        <v>33</v>
      </c>
      <c r="AC3591">
        <v>3.8100999999999998</v>
      </c>
      <c r="AD3591">
        <v>-1.0999451290560001</v>
      </c>
      <c r="AE3591">
        <v>-5.0451999999999897</v>
      </c>
      <c r="AF3591">
        <v>2.8503717779962501</v>
      </c>
      <c r="AG3591">
        <v>-1.0999451290560001</v>
      </c>
      <c r="AH3591">
        <v>5.4343463787513802</v>
      </c>
      <c r="AI3591">
        <v>100.16212732617601</v>
      </c>
      <c r="AJ3591">
        <v>62.3225175842339</v>
      </c>
      <c r="AK3591">
        <v>6.2343098354172097</v>
      </c>
      <c r="AL3591">
        <v>84.083838932891197</v>
      </c>
      <c r="AM3591">
        <v>76.086934705557894</v>
      </c>
      <c r="AN3591">
        <v>0.99999997688609399</v>
      </c>
    </row>
    <row r="3592" spans="1:40" x14ac:dyDescent="0.25">
      <c r="A3592" t="str">
        <f>"20190312151058690"</f>
        <v>20190312151058690</v>
      </c>
      <c r="B3592" t="str">
        <f>"1552374658684990"</f>
        <v>1552374658684990</v>
      </c>
      <c r="C3592" t="s">
        <v>40</v>
      </c>
      <c r="D3592">
        <v>4.964423</v>
      </c>
      <c r="E3592">
        <v>0.63765139999999998</v>
      </c>
      <c r="F3592" t="s">
        <v>50</v>
      </c>
      <c r="G3592">
        <v>-195.39529999999999</v>
      </c>
      <c r="H3592" s="1">
        <v>4.8118699999999899E-6</v>
      </c>
      <c r="I3592">
        <v>205.06659999999999</v>
      </c>
      <c r="J3592">
        <v>-198.24180000000001</v>
      </c>
      <c r="K3592">
        <v>1.0997980000000001</v>
      </c>
      <c r="L3592">
        <v>210.197</v>
      </c>
      <c r="M3592">
        <v>0.89903149999999998</v>
      </c>
      <c r="N3592">
        <v>0</v>
      </c>
      <c r="O3592">
        <v>-0.4376314</v>
      </c>
      <c r="P3592">
        <v>0.76524569999999903</v>
      </c>
      <c r="Q3592">
        <v>9.3698980000000001E-2</v>
      </c>
      <c r="R3592">
        <v>-0.63688269999999902</v>
      </c>
      <c r="S3592">
        <v>1.6753229999999999</v>
      </c>
      <c r="T3592">
        <v>-0.58396800000000004</v>
      </c>
      <c r="U3592">
        <v>-2.8077549999999998</v>
      </c>
      <c r="V3592">
        <v>0.24037159999999999</v>
      </c>
      <c r="W3592">
        <v>0.1020007</v>
      </c>
      <c r="X3592">
        <v>0.96530689999999997</v>
      </c>
      <c r="Y3592">
        <v>0.54599919999999902</v>
      </c>
      <c r="Z3592">
        <v>3.0198340000000001E-2</v>
      </c>
      <c r="AA3592">
        <v>0.83724129999999997</v>
      </c>
      <c r="AB3592">
        <v>33</v>
      </c>
      <c r="AC3592">
        <v>2.8465000000000198</v>
      </c>
      <c r="AD3592">
        <v>-1.09979318813</v>
      </c>
      <c r="AE3592">
        <v>-5.1303999999999998</v>
      </c>
      <c r="AF3592">
        <v>3.25275331767922</v>
      </c>
      <c r="AG3592">
        <v>-1.09979318813</v>
      </c>
      <c r="AH3592">
        <v>4.6417507878448196</v>
      </c>
      <c r="AI3592">
        <v>100.980956603094</v>
      </c>
      <c r="AJ3592">
        <v>54.978765247311799</v>
      </c>
      <c r="AK3592">
        <v>5.7737162710673902</v>
      </c>
      <c r="AL3592">
        <v>84.1456088185829</v>
      </c>
      <c r="AM3592">
        <v>76.017125584398798</v>
      </c>
      <c r="AN3592">
        <v>1.00000003003732</v>
      </c>
    </row>
    <row r="3593" spans="1:40" x14ac:dyDescent="0.25">
      <c r="A3593" t="str">
        <f>"20190312151058712"</f>
        <v>20190312151058712</v>
      </c>
      <c r="B3593" t="str">
        <f>"1552374658704508"</f>
        <v>1552374658704508</v>
      </c>
      <c r="C3593" t="s">
        <v>40</v>
      </c>
      <c r="D3593">
        <v>4.9404240000000001</v>
      </c>
      <c r="E3593">
        <v>0.63582609999999995</v>
      </c>
      <c r="F3593" t="s">
        <v>50</v>
      </c>
      <c r="G3593">
        <v>-195.14150000000001</v>
      </c>
      <c r="H3593" s="1">
        <v>4.9432649999999998E-6</v>
      </c>
      <c r="I3593">
        <v>204.85409999999999</v>
      </c>
      <c r="J3593">
        <v>-197.9486</v>
      </c>
      <c r="K3593">
        <v>1.0996440000000001</v>
      </c>
      <c r="L3593">
        <v>210.04239999999999</v>
      </c>
      <c r="M3593">
        <v>0.89382249999999996</v>
      </c>
      <c r="N3593">
        <v>0</v>
      </c>
      <c r="O3593">
        <v>-0.44817370000000001</v>
      </c>
      <c r="P3593">
        <v>0.75690230000000003</v>
      </c>
      <c r="Q3593">
        <v>9.2734109999999995E-2</v>
      </c>
      <c r="R3593">
        <v>-0.64691529999999997</v>
      </c>
      <c r="S3593">
        <v>1.63974</v>
      </c>
      <c r="T3593">
        <v>-0.58166809999999902</v>
      </c>
      <c r="U3593">
        <v>-2.8258209999999999</v>
      </c>
      <c r="V3593">
        <v>0.2417068</v>
      </c>
      <c r="W3593">
        <v>0.1009419</v>
      </c>
      <c r="X3593">
        <v>0.96508470000000002</v>
      </c>
      <c r="Y3593">
        <v>0.54648319999999995</v>
      </c>
      <c r="Z3593">
        <v>3.2184789999999998E-2</v>
      </c>
      <c r="AA3593">
        <v>0.83685149999999997</v>
      </c>
      <c r="AB3593">
        <v>33</v>
      </c>
      <c r="AC3593">
        <v>2.8070999999999899</v>
      </c>
      <c r="AD3593">
        <v>-1.0996390567350001</v>
      </c>
      <c r="AE3593">
        <v>-5.1882999999999901</v>
      </c>
      <c r="AF3593">
        <v>3.2662272700529198</v>
      </c>
      <c r="AG3593">
        <v>-1.0996390567350001</v>
      </c>
      <c r="AH3593">
        <v>4.6724804873026304</v>
      </c>
      <c r="AI3593">
        <v>100.91761558604701</v>
      </c>
      <c r="AJ3593">
        <v>55.045105345464798</v>
      </c>
      <c r="AK3593">
        <v>5.8059900567395299</v>
      </c>
      <c r="AL3593">
        <v>84.206587939022697</v>
      </c>
      <c r="AM3593">
        <v>75.939417970406495</v>
      </c>
      <c r="AN3593">
        <v>0.99999996125796897</v>
      </c>
    </row>
    <row r="3594" spans="1:40" x14ac:dyDescent="0.25">
      <c r="A3594" t="str">
        <f>"20190312151058735"</f>
        <v>20190312151058735</v>
      </c>
      <c r="B3594" t="str">
        <f>"1552374658725004"</f>
        <v>1552374658725004</v>
      </c>
      <c r="C3594" t="s">
        <v>40</v>
      </c>
      <c r="D3594">
        <v>4.7858269999999896</v>
      </c>
      <c r="E3594">
        <v>0.6341156</v>
      </c>
      <c r="F3594" t="s">
        <v>50</v>
      </c>
      <c r="G3594">
        <v>-194.8674</v>
      </c>
      <c r="H3594" s="1">
        <v>5.0871169999999998E-6</v>
      </c>
      <c r="I3594">
        <v>204.6191</v>
      </c>
      <c r="J3594">
        <v>-197.6422</v>
      </c>
      <c r="K3594">
        <v>1.099461</v>
      </c>
      <c r="L3594">
        <v>209.8759</v>
      </c>
      <c r="M3594">
        <v>0.88810149999999999</v>
      </c>
      <c r="N3594">
        <v>0</v>
      </c>
      <c r="O3594">
        <v>-0.4594047</v>
      </c>
      <c r="P3594">
        <v>0.7478979</v>
      </c>
      <c r="Q3594">
        <v>9.231839E-2</v>
      </c>
      <c r="R3594">
        <v>-0.65736300000000003</v>
      </c>
      <c r="S3594">
        <v>1.6107640000000001</v>
      </c>
      <c r="T3594">
        <v>-0.57485940000000002</v>
      </c>
      <c r="U3594">
        <v>-2.835175</v>
      </c>
      <c r="V3594">
        <v>0.2429529</v>
      </c>
      <c r="W3594">
        <v>0.10042379999999999</v>
      </c>
      <c r="X3594">
        <v>0.96482590000000001</v>
      </c>
      <c r="Y3594">
        <v>0.54376259999999998</v>
      </c>
      <c r="Z3594">
        <v>3.4405129999999999E-2</v>
      </c>
      <c r="AA3594">
        <v>0.83853359999999899</v>
      </c>
      <c r="AB3594">
        <v>33</v>
      </c>
      <c r="AC3594">
        <v>2.7747999999999902</v>
      </c>
      <c r="AD3594">
        <v>-1.0994559128829999</v>
      </c>
      <c r="AE3594">
        <v>-5.2567999999999904</v>
      </c>
      <c r="AF3594">
        <v>3.2819157838013799</v>
      </c>
      <c r="AG3594">
        <v>-1.0994559128829999</v>
      </c>
      <c r="AH3594">
        <v>4.7184235593120096</v>
      </c>
      <c r="AI3594">
        <v>100.829328737732</v>
      </c>
      <c r="AJ3594">
        <v>55.179322839162502</v>
      </c>
      <c r="AK3594">
        <v>5.8517771148095399</v>
      </c>
      <c r="AL3594">
        <v>84.236424918454006</v>
      </c>
      <c r="AM3594">
        <v>75.866188098686393</v>
      </c>
      <c r="AN3594">
        <v>1.0000000342678199</v>
      </c>
    </row>
    <row r="3595" spans="1:40" x14ac:dyDescent="0.25">
      <c r="A3595" t="str">
        <f>"20190312151058757"</f>
        <v>20190312151058757</v>
      </c>
      <c r="B3595" t="str">
        <f>"1552374658754283"</f>
        <v>1552374658754283</v>
      </c>
      <c r="C3595" t="s">
        <v>40</v>
      </c>
      <c r="D3595">
        <v>4.7692589999999999</v>
      </c>
      <c r="E3595">
        <v>0.63220390000000004</v>
      </c>
      <c r="F3595" t="s">
        <v>50</v>
      </c>
      <c r="G3595">
        <v>-194.5446</v>
      </c>
      <c r="H3595" s="1">
        <v>5.2451220000000002E-6</v>
      </c>
      <c r="I3595">
        <v>204.2936</v>
      </c>
      <c r="J3595">
        <v>-197.35480000000001</v>
      </c>
      <c r="K3595">
        <v>1.0992820000000001</v>
      </c>
      <c r="L3595">
        <v>209.715</v>
      </c>
      <c r="M3595">
        <v>0.88245439999999997</v>
      </c>
      <c r="N3595">
        <v>0</v>
      </c>
      <c r="O3595">
        <v>-0.47015950000000001</v>
      </c>
      <c r="P3595">
        <v>0.73906260000000001</v>
      </c>
      <c r="Q3595">
        <v>9.1704629999999995E-2</v>
      </c>
      <c r="R3595">
        <v>-0.66736580000000001</v>
      </c>
      <c r="S3595">
        <v>1.579102</v>
      </c>
      <c r="T3595">
        <v>-0.56049490000000002</v>
      </c>
      <c r="U3595">
        <v>-2.8458559999999999</v>
      </c>
      <c r="V3595">
        <v>0.24420600000000001</v>
      </c>
      <c r="W3595">
        <v>9.9706470000000005E-2</v>
      </c>
      <c r="X3595">
        <v>0.96458390000000005</v>
      </c>
      <c r="Y3595">
        <v>0.54222649999999994</v>
      </c>
      <c r="Z3595">
        <v>3.5890190000000002E-2</v>
      </c>
      <c r="AA3595">
        <v>0.83946549999999998</v>
      </c>
      <c r="AB3595">
        <v>33</v>
      </c>
      <c r="AC3595">
        <v>2.8102</v>
      </c>
      <c r="AD3595">
        <v>-1.09927675487799</v>
      </c>
      <c r="AE3595">
        <v>-5.4214000000000002</v>
      </c>
      <c r="AF3595">
        <v>3.3545735735607201</v>
      </c>
      <c r="AG3595">
        <v>-1.09927675487799</v>
      </c>
      <c r="AH3595">
        <v>4.8714908325866997</v>
      </c>
      <c r="AI3595">
        <v>100.528445424986</v>
      </c>
      <c r="AJ3595">
        <v>55.448183446899698</v>
      </c>
      <c r="AK3595">
        <v>6.0160615169912699</v>
      </c>
      <c r="AL3595">
        <v>84.2777321743405</v>
      </c>
      <c r="AM3595">
        <v>75.792812746900495</v>
      </c>
      <c r="AN3595">
        <v>1.0000000253675301</v>
      </c>
    </row>
    <row r="3596" spans="1:40" x14ac:dyDescent="0.25">
      <c r="A3596" t="str">
        <f>"20190312151058779"</f>
        <v>20190312151058779</v>
      </c>
      <c r="B3596" t="str">
        <f>"1552374658774780"</f>
        <v>1552374658774780</v>
      </c>
      <c r="C3596" t="s">
        <v>40</v>
      </c>
      <c r="D3596">
        <v>4.8134769999999998</v>
      </c>
      <c r="E3596">
        <v>0.63108089999999994</v>
      </c>
      <c r="F3596" t="s">
        <v>50</v>
      </c>
      <c r="G3596">
        <v>-194.26159999999999</v>
      </c>
      <c r="H3596" s="1">
        <v>5.3808589999999999E-6</v>
      </c>
      <c r="I3596">
        <v>204.018</v>
      </c>
      <c r="J3596">
        <v>-197.06710000000001</v>
      </c>
      <c r="K3596">
        <v>1.099091</v>
      </c>
      <c r="L3596">
        <v>209.5488</v>
      </c>
      <c r="M3596">
        <v>0.8765018</v>
      </c>
      <c r="N3596">
        <v>0</v>
      </c>
      <c r="O3596">
        <v>-0.48116429999999999</v>
      </c>
      <c r="P3596">
        <v>0.73040569999999905</v>
      </c>
      <c r="Q3596">
        <v>9.0503710000000001E-2</v>
      </c>
      <c r="R3596">
        <v>-0.67699100000000001</v>
      </c>
      <c r="S3596">
        <v>1.5498959999999999</v>
      </c>
      <c r="T3596">
        <v>-0.55081250000000004</v>
      </c>
      <c r="U3596">
        <v>-2.854584</v>
      </c>
      <c r="V3596">
        <v>0.2447164</v>
      </c>
      <c r="W3596">
        <v>9.8421549999999997E-2</v>
      </c>
      <c r="X3596">
        <v>0.96458650000000001</v>
      </c>
      <c r="Y3596">
        <v>0.53959219999999997</v>
      </c>
      <c r="Z3596">
        <v>3.7740969999999999E-2</v>
      </c>
      <c r="AA3596">
        <v>0.84108019999999994</v>
      </c>
      <c r="AB3596">
        <v>33</v>
      </c>
      <c r="AC3596">
        <v>2.8055000000000199</v>
      </c>
      <c r="AD3596">
        <v>-1.0990856191409999</v>
      </c>
      <c r="AE3596">
        <v>-5.5307999999999904</v>
      </c>
      <c r="AF3596">
        <v>3.3917154754360999</v>
      </c>
      <c r="AG3596">
        <v>-1.0990856191409999</v>
      </c>
      <c r="AH3596">
        <v>4.9648870748892699</v>
      </c>
      <c r="AI3596">
        <v>100.358780661578</v>
      </c>
      <c r="AJ3596">
        <v>55.661434654478597</v>
      </c>
      <c r="AK3596">
        <v>6.1124321453017201</v>
      </c>
      <c r="AL3596">
        <v>84.351716547785202</v>
      </c>
      <c r="AM3596">
        <v>75.764361840335795</v>
      </c>
      <c r="AN3596">
        <v>1.0000000169578001</v>
      </c>
    </row>
    <row r="3597" spans="1:40" x14ac:dyDescent="0.25">
      <c r="A3597" t="str">
        <f>"20190312151058802"</f>
        <v>20190312151058802</v>
      </c>
      <c r="B3597" t="str">
        <f>"1552374658794300"</f>
        <v>1552374658794300</v>
      </c>
      <c r="C3597" t="s">
        <v>40</v>
      </c>
      <c r="D3597">
        <v>4.8387549999999999</v>
      </c>
      <c r="E3597">
        <v>0.62994939999999999</v>
      </c>
      <c r="F3597" t="s">
        <v>50</v>
      </c>
      <c r="G3597">
        <v>-194.02520000000001</v>
      </c>
      <c r="H3597" s="1">
        <v>5.4904489999999999E-6</v>
      </c>
      <c r="I3597">
        <v>203.80199999999999</v>
      </c>
      <c r="J3597">
        <v>-196.7696</v>
      </c>
      <c r="K3597">
        <v>1.098889</v>
      </c>
      <c r="L3597">
        <v>209.37129999999999</v>
      </c>
      <c r="M3597">
        <v>0.87000880000000003</v>
      </c>
      <c r="N3597">
        <v>0</v>
      </c>
      <c r="O3597">
        <v>-0.49280590000000002</v>
      </c>
      <c r="P3597">
        <v>0.72066180000000002</v>
      </c>
      <c r="Q3597">
        <v>8.9362999999999998E-2</v>
      </c>
      <c r="R3597">
        <v>-0.68750319999999898</v>
      </c>
      <c r="S3597">
        <v>1.5177</v>
      </c>
      <c r="T3597">
        <v>-0.54837199999999997</v>
      </c>
      <c r="U3597">
        <v>-2.8672330000000001</v>
      </c>
      <c r="V3597">
        <v>0.2457831</v>
      </c>
      <c r="W3597">
        <v>9.717634E-2</v>
      </c>
      <c r="X3597">
        <v>0.96444149999999995</v>
      </c>
      <c r="Y3597">
        <v>0.53741850000000002</v>
      </c>
      <c r="Z3597">
        <v>4.0092629999999997E-2</v>
      </c>
      <c r="AA3597">
        <v>0.842362099999999</v>
      </c>
      <c r="AB3597">
        <v>33</v>
      </c>
      <c r="AC3597">
        <v>2.7443999999999802</v>
      </c>
      <c r="AD3597">
        <v>-1.0988835095509999</v>
      </c>
      <c r="AE3597">
        <v>-5.5692999999999699</v>
      </c>
      <c r="AF3597">
        <v>3.3871765191967298</v>
      </c>
      <c r="AG3597">
        <v>-1.0988835095509999</v>
      </c>
      <c r="AH3597">
        <v>4.97691647851906</v>
      </c>
      <c r="AI3597">
        <v>100.344492018983</v>
      </c>
      <c r="AJ3597">
        <v>55.761684639284503</v>
      </c>
      <c r="AK3597">
        <v>6.11965745560284</v>
      </c>
      <c r="AL3597">
        <v>84.423405341746701</v>
      </c>
      <c r="AM3597">
        <v>75.702786758474303</v>
      </c>
      <c r="AN3597">
        <v>0.99999999011182705</v>
      </c>
    </row>
    <row r="3598" spans="1:40" x14ac:dyDescent="0.25">
      <c r="A3598" t="str">
        <f>"20190312151058823"</f>
        <v>20190312151058823</v>
      </c>
      <c r="B3598" t="str">
        <f>"1552374658814796"</f>
        <v>1552374658814796</v>
      </c>
      <c r="C3598" t="s">
        <v>40</v>
      </c>
      <c r="D3598">
        <v>4.8283399999999999</v>
      </c>
      <c r="E3598">
        <v>0.628978699999999</v>
      </c>
      <c r="F3598" t="s">
        <v>50</v>
      </c>
      <c r="G3598">
        <v>-193.80080000000001</v>
      </c>
      <c r="H3598" s="1">
        <v>5.5946910000000004E-6</v>
      </c>
      <c r="I3598">
        <v>203.59630000000001</v>
      </c>
      <c r="J3598">
        <v>-196.48920000000001</v>
      </c>
      <c r="K3598">
        <v>1.0986990000000001</v>
      </c>
      <c r="L3598">
        <v>209.19900000000001</v>
      </c>
      <c r="M3598">
        <v>0.86358400000000002</v>
      </c>
      <c r="N3598">
        <v>0</v>
      </c>
      <c r="O3598">
        <v>-0.50397879999999995</v>
      </c>
      <c r="P3598">
        <v>0.71105119999999999</v>
      </c>
      <c r="Q3598">
        <v>8.8694889999999998E-2</v>
      </c>
      <c r="R3598">
        <v>-0.69752419999999904</v>
      </c>
      <c r="S3598">
        <v>1.481522</v>
      </c>
      <c r="T3598">
        <v>-0.54838379999999998</v>
      </c>
      <c r="U3598">
        <v>-2.8819270000000001</v>
      </c>
      <c r="V3598">
        <v>0.24683659999999999</v>
      </c>
      <c r="W3598">
        <v>9.6412700000000004E-2</v>
      </c>
      <c r="X3598">
        <v>0.96424909999999997</v>
      </c>
      <c r="Y3598">
        <v>0.53676440000000003</v>
      </c>
      <c r="Z3598">
        <v>4.2384039999999998E-2</v>
      </c>
      <c r="AA3598">
        <v>0.8426669</v>
      </c>
      <c r="AB3598">
        <v>33</v>
      </c>
      <c r="AC3598">
        <v>2.6884000000000001</v>
      </c>
      <c r="AD3598">
        <v>-1.0986934053089901</v>
      </c>
      <c r="AE3598">
        <v>-5.6026999999999898</v>
      </c>
      <c r="AF3598">
        <v>3.3783025449595301</v>
      </c>
      <c r="AG3598">
        <v>-1.0986934053089901</v>
      </c>
      <c r="AH3598">
        <v>4.9899115839559496</v>
      </c>
      <c r="AI3598">
        <v>100.333054289386</v>
      </c>
      <c r="AJ3598">
        <v>55.900957258715202</v>
      </c>
      <c r="AK3598">
        <v>6.1252977805040096</v>
      </c>
      <c r="AL3598">
        <v>84.467365283747398</v>
      </c>
      <c r="AM3598">
        <v>75.641286335333504</v>
      </c>
      <c r="AN3598">
        <v>1.00000002133582</v>
      </c>
    </row>
    <row r="3599" spans="1:40" x14ac:dyDescent="0.25">
      <c r="A3599" t="str">
        <f>"20190312151058846"</f>
        <v>20190312151058846</v>
      </c>
      <c r="B3599" t="str">
        <f>"1552374658834317"</f>
        <v>1552374658834317</v>
      </c>
      <c r="C3599" t="s">
        <v>40</v>
      </c>
      <c r="D3599">
        <v>4.8408389999999999</v>
      </c>
      <c r="E3599">
        <v>0.62791969999999997</v>
      </c>
      <c r="F3599" t="s">
        <v>50</v>
      </c>
      <c r="G3599">
        <v>-193.60069999999999</v>
      </c>
      <c r="H3599" s="1">
        <v>5.6874799999999996E-6</v>
      </c>
      <c r="I3599">
        <v>203.4134</v>
      </c>
      <c r="J3599">
        <v>-196.20679999999999</v>
      </c>
      <c r="K3599">
        <v>1.0985240000000001</v>
      </c>
      <c r="L3599">
        <v>209.02010000000001</v>
      </c>
      <c r="M3599">
        <v>0.85678799999999899</v>
      </c>
      <c r="N3599">
        <v>0</v>
      </c>
      <c r="O3599">
        <v>-0.51544599999999996</v>
      </c>
      <c r="P3599">
        <v>0.70123369999999996</v>
      </c>
      <c r="Q3599">
        <v>8.7798769999999998E-2</v>
      </c>
      <c r="R3599">
        <v>-0.70750489999999999</v>
      </c>
      <c r="S3599">
        <v>1.4461820000000001</v>
      </c>
      <c r="T3599">
        <v>-0.55007890000000004</v>
      </c>
      <c r="U3599">
        <v>-2.8966219999999998</v>
      </c>
      <c r="V3599">
        <v>0.2475714</v>
      </c>
      <c r="W3599">
        <v>9.5431619999999995E-2</v>
      </c>
      <c r="X3599">
        <v>0.96415830000000002</v>
      </c>
      <c r="Y3599">
        <v>0.53556479999999995</v>
      </c>
      <c r="Z3599">
        <v>4.4920559999999998E-2</v>
      </c>
      <c r="AA3599">
        <v>0.84329859999999901</v>
      </c>
      <c r="AB3599">
        <v>33</v>
      </c>
      <c r="AC3599">
        <v>2.6060999999999899</v>
      </c>
      <c r="AD3599">
        <v>-1.09851831252</v>
      </c>
      <c r="AE3599">
        <v>-5.6067000000000098</v>
      </c>
      <c r="AF3599">
        <v>3.3549385529043101</v>
      </c>
      <c r="AG3599">
        <v>-1.09851831252</v>
      </c>
      <c r="AH3599">
        <v>4.9666286534622701</v>
      </c>
      <c r="AI3599">
        <v>100.386038188223</v>
      </c>
      <c r="AJ3599">
        <v>55.961125077417897</v>
      </c>
      <c r="AK3599">
        <v>6.0934190203938803</v>
      </c>
      <c r="AL3599">
        <v>84.523837367225198</v>
      </c>
      <c r="AM3599">
        <v>75.599017454876801</v>
      </c>
      <c r="AN3599">
        <v>1.00000000982633</v>
      </c>
    </row>
    <row r="3600" spans="1:40" x14ac:dyDescent="0.25">
      <c r="A3600" t="str">
        <f>"20190312151058868"</f>
        <v>20190312151058868</v>
      </c>
      <c r="B3600" t="str">
        <f>"1552374658864572"</f>
        <v>1552374658864572</v>
      </c>
      <c r="C3600" t="s">
        <v>40</v>
      </c>
      <c r="D3600">
        <v>5.046748</v>
      </c>
      <c r="E3600">
        <v>0.62699340000000003</v>
      </c>
      <c r="F3600" t="s">
        <v>50</v>
      </c>
      <c r="G3600">
        <v>-193.40119999999999</v>
      </c>
      <c r="H3600" s="1">
        <v>5.779679E-6</v>
      </c>
      <c r="I3600">
        <v>203.23230000000001</v>
      </c>
      <c r="J3600">
        <v>-195.9288</v>
      </c>
      <c r="K3600">
        <v>1.0983449999999999</v>
      </c>
      <c r="L3600">
        <v>208.83860000000001</v>
      </c>
      <c r="M3600">
        <v>0.84976169999999995</v>
      </c>
      <c r="N3600">
        <v>0</v>
      </c>
      <c r="O3600">
        <v>-0.52694770000000002</v>
      </c>
      <c r="P3600">
        <v>0.69087030000000005</v>
      </c>
      <c r="Q3600">
        <v>8.7810020000000003E-2</v>
      </c>
      <c r="R3600">
        <v>-0.71762649999999994</v>
      </c>
      <c r="S3600">
        <v>1.410828</v>
      </c>
      <c r="T3600">
        <v>-0.55240749999999905</v>
      </c>
      <c r="U3600">
        <v>-2.9104770000000002</v>
      </c>
      <c r="V3600">
        <v>0.24863879999999999</v>
      </c>
      <c r="W3600">
        <v>9.5347119999999994E-2</v>
      </c>
      <c r="X3600">
        <v>0.96389190000000002</v>
      </c>
      <c r="Y3600">
        <v>0.534161199999999</v>
      </c>
      <c r="Z3600">
        <v>4.7567089999999999E-2</v>
      </c>
      <c r="AA3600">
        <v>0.8440434</v>
      </c>
      <c r="AB3600">
        <v>33</v>
      </c>
      <c r="AC3600">
        <v>2.5276000000000001</v>
      </c>
      <c r="AD3600">
        <v>-1.0983392203210001</v>
      </c>
      <c r="AE3600">
        <v>-5.6063000000000001</v>
      </c>
      <c r="AF3600">
        <v>3.3263984695016799</v>
      </c>
      <c r="AG3600">
        <v>-1.0983392203210001</v>
      </c>
      <c r="AH3600">
        <v>4.9449423248532796</v>
      </c>
      <c r="AI3600">
        <v>100.44221449862</v>
      </c>
      <c r="AJ3600">
        <v>56.071790737262603</v>
      </c>
      <c r="AK3600">
        <v>6.0600107604627196</v>
      </c>
      <c r="AL3600">
        <v>84.528700768123997</v>
      </c>
      <c r="AM3600">
        <v>75.535696922745302</v>
      </c>
      <c r="AN3600">
        <v>0.99999996052167095</v>
      </c>
    </row>
    <row r="3601" spans="1:40" x14ac:dyDescent="0.25">
      <c r="A3601" t="str">
        <f>"20190312151058890"</f>
        <v>20190312151058890</v>
      </c>
      <c r="B3601" t="str">
        <f>"1552374658884091"</f>
        <v>1552374658884091</v>
      </c>
      <c r="C3601" t="s">
        <v>40</v>
      </c>
      <c r="D3601">
        <v>5.0118600000000004</v>
      </c>
      <c r="E3601">
        <v>0.62616249999999996</v>
      </c>
      <c r="F3601" t="s">
        <v>50</v>
      </c>
      <c r="G3601">
        <v>-193.21459999999999</v>
      </c>
      <c r="H3601" s="1">
        <v>5.8674440000000003E-6</v>
      </c>
      <c r="I3601">
        <v>203.05709999999999</v>
      </c>
      <c r="J3601">
        <v>-195.64449999999999</v>
      </c>
      <c r="K3601">
        <v>1.0981609999999999</v>
      </c>
      <c r="L3601">
        <v>208.6472</v>
      </c>
      <c r="M3601">
        <v>0.84220869999999903</v>
      </c>
      <c r="N3601">
        <v>0</v>
      </c>
      <c r="O3601">
        <v>-0.53893590000000002</v>
      </c>
      <c r="P3601">
        <v>0.68029680000000003</v>
      </c>
      <c r="Q3601">
        <v>8.7882260000000004E-2</v>
      </c>
      <c r="R3601">
        <v>-0.72764899999999999</v>
      </c>
      <c r="S3601">
        <v>1.373688</v>
      </c>
      <c r="T3601">
        <v>-0.55586919999999995</v>
      </c>
      <c r="U3601">
        <v>-2.92598</v>
      </c>
      <c r="V3601">
        <v>0.2491218</v>
      </c>
      <c r="W3601">
        <v>9.5340480000000005E-2</v>
      </c>
      <c r="X3601">
        <v>0.96376790000000001</v>
      </c>
      <c r="Y3601">
        <v>0.53279469999999995</v>
      </c>
      <c r="Z3601">
        <v>5.0423429999999998E-2</v>
      </c>
      <c r="AA3601">
        <v>0.84474090000000002</v>
      </c>
      <c r="AB3601">
        <v>33</v>
      </c>
      <c r="AC3601">
        <v>2.4298999999999999</v>
      </c>
      <c r="AD3601">
        <v>-1.0981551325559999</v>
      </c>
      <c r="AE3601">
        <v>-5.5900999999999996</v>
      </c>
      <c r="AF3601">
        <v>3.2920126059010899</v>
      </c>
      <c r="AG3601">
        <v>-1.0981551325559999</v>
      </c>
      <c r="AH3601">
        <v>4.9007082006410201</v>
      </c>
      <c r="AI3601">
        <v>100.537145043997</v>
      </c>
      <c r="AJ3601">
        <v>56.109075355881203</v>
      </c>
      <c r="AK3601">
        <v>6.0050172822732897</v>
      </c>
      <c r="AL3601">
        <v>84.529083289007303</v>
      </c>
      <c r="AM3601">
        <v>75.506994897778796</v>
      </c>
      <c r="AN3601">
        <v>1.00000002171614</v>
      </c>
    </row>
    <row r="3602" spans="1:40" x14ac:dyDescent="0.25">
      <c r="A3602" t="str">
        <f>"20190312151058913"</f>
        <v>20190312151058913</v>
      </c>
      <c r="B3602" t="str">
        <f>"1552374658904593"</f>
        <v>1552374658904593</v>
      </c>
      <c r="C3602" t="s">
        <v>40</v>
      </c>
      <c r="D3602">
        <v>4.8219019999999997</v>
      </c>
      <c r="E3602">
        <v>0.62625410000000004</v>
      </c>
      <c r="F3602" t="s">
        <v>50</v>
      </c>
      <c r="G3602">
        <v>-192.9786</v>
      </c>
      <c r="H3602" s="1">
        <v>6.0251699999999898E-6</v>
      </c>
      <c r="I3602">
        <v>202.77119999999999</v>
      </c>
      <c r="J3602">
        <v>-195.3673</v>
      </c>
      <c r="K3602">
        <v>1.0979669999999999</v>
      </c>
      <c r="L3602">
        <v>208.4547</v>
      </c>
      <c r="M3602">
        <v>0.83447130000000003</v>
      </c>
      <c r="N3602">
        <v>0</v>
      </c>
      <c r="O3602">
        <v>-0.55083870000000001</v>
      </c>
      <c r="P3602">
        <v>0.66928859999999901</v>
      </c>
      <c r="Q3602">
        <v>8.7104409999999993E-2</v>
      </c>
      <c r="R3602">
        <v>-0.73787910000000001</v>
      </c>
      <c r="S3602">
        <v>1.334549</v>
      </c>
      <c r="T3602">
        <v>-0.54975099999999999</v>
      </c>
      <c r="U3602">
        <v>-2.941589</v>
      </c>
      <c r="V3602">
        <v>0.2500154</v>
      </c>
      <c r="W3602">
        <v>9.4471810000000003E-2</v>
      </c>
      <c r="X3602">
        <v>0.96362199999999998</v>
      </c>
      <c r="Y3602">
        <v>0.53191180000000005</v>
      </c>
      <c r="Z3602">
        <v>5.236909E-2</v>
      </c>
      <c r="AA3602">
        <v>0.84517889999999996</v>
      </c>
      <c r="AB3602">
        <v>33</v>
      </c>
      <c r="AC3602">
        <v>2.3887</v>
      </c>
      <c r="AD3602">
        <v>-1.0979609748300001</v>
      </c>
      <c r="AE3602">
        <v>-5.6835000000000004</v>
      </c>
      <c r="AF3602">
        <v>3.3219666245591402</v>
      </c>
      <c r="AG3602">
        <v>-1.0979609748300001</v>
      </c>
      <c r="AH3602">
        <v>4.9670517633672198</v>
      </c>
      <c r="AI3602">
        <v>100.411542113903</v>
      </c>
      <c r="AJ3602">
        <v>56.2253751440362</v>
      </c>
      <c r="AK3602">
        <v>6.0755727118440399</v>
      </c>
      <c r="AL3602">
        <v>84.579079921653303</v>
      </c>
      <c r="AM3602">
        <v>75.455100494252093</v>
      </c>
      <c r="AN3602">
        <v>0.99999999100291803</v>
      </c>
    </row>
    <row r="3603" spans="1:40" x14ac:dyDescent="0.25">
      <c r="A3603" t="str">
        <f>"20190312151058936"</f>
        <v>20190312151058936</v>
      </c>
      <c r="B3603" t="str">
        <f>"1552374658925084"</f>
        <v>1552374658925084</v>
      </c>
      <c r="C3603" t="s">
        <v>40</v>
      </c>
      <c r="D3603">
        <v>4.7855809999999996</v>
      </c>
      <c r="E3603">
        <v>0.65213849999999995</v>
      </c>
      <c r="F3603" t="s">
        <v>50</v>
      </c>
      <c r="G3603">
        <v>-192.8022</v>
      </c>
      <c r="H3603" s="1">
        <v>6.1448549999999996E-6</v>
      </c>
      <c r="I3603">
        <v>202.56540000000001</v>
      </c>
      <c r="J3603">
        <v>-195.09020000000001</v>
      </c>
      <c r="K3603">
        <v>1.0977790000000001</v>
      </c>
      <c r="L3603">
        <v>208.25620000000001</v>
      </c>
      <c r="M3603">
        <v>0.82634129999999995</v>
      </c>
      <c r="N3603">
        <v>0</v>
      </c>
      <c r="O3603">
        <v>-0.56296059999999903</v>
      </c>
      <c r="P3603">
        <v>0.65749840000000004</v>
      </c>
      <c r="Q3603">
        <v>8.5721939999999996E-2</v>
      </c>
      <c r="R3603">
        <v>-0.74856440000000002</v>
      </c>
      <c r="S3603">
        <v>1.289703</v>
      </c>
      <c r="T3603">
        <v>-0.55203939999999996</v>
      </c>
      <c r="U3603">
        <v>-2.9610750000000001</v>
      </c>
      <c r="V3603">
        <v>0.25137280000000001</v>
      </c>
      <c r="W3603">
        <v>9.2982079999999995E-2</v>
      </c>
      <c r="X3603">
        <v>0.96341379999999999</v>
      </c>
      <c r="Y3603">
        <v>0.5324451</v>
      </c>
      <c r="Z3603">
        <v>5.4984199999999997E-2</v>
      </c>
      <c r="AA3603">
        <v>0.84467689999999995</v>
      </c>
      <c r="AB3603">
        <v>33</v>
      </c>
      <c r="AC3603">
        <v>2.28800000000001</v>
      </c>
      <c r="AD3603">
        <v>-1.0977728551449999</v>
      </c>
      <c r="AE3603">
        <v>-5.6907999999999896</v>
      </c>
      <c r="AF3603">
        <v>3.3088956774722802</v>
      </c>
      <c r="AG3603">
        <v>-1.0977728551449999</v>
      </c>
      <c r="AH3603">
        <v>4.9368211494835696</v>
      </c>
      <c r="AI3603">
        <v>100.46528389419601</v>
      </c>
      <c r="AJ3603">
        <v>56.168099498263103</v>
      </c>
      <c r="AK3603">
        <v>6.0436825618058601</v>
      </c>
      <c r="AL3603">
        <v>84.664812892937803</v>
      </c>
      <c r="AM3603">
        <v>75.376483313838094</v>
      </c>
      <c r="AN3603">
        <v>1.0000000509057001</v>
      </c>
    </row>
    <row r="3604" spans="1:40" x14ac:dyDescent="0.25">
      <c r="A3604" t="str">
        <f>"20190312151058959"</f>
        <v>20190312151058959</v>
      </c>
      <c r="B3604" t="str">
        <f>"1552374658954364"</f>
        <v>1552374658954364</v>
      </c>
      <c r="C3604" t="s">
        <v>40</v>
      </c>
      <c r="D3604">
        <v>4.8888259999999999</v>
      </c>
      <c r="E3604">
        <v>0.65446159999999998</v>
      </c>
      <c r="F3604" t="s">
        <v>50</v>
      </c>
      <c r="G3604">
        <v>-192.51920000000001</v>
      </c>
      <c r="H3604" s="1">
        <v>6.8123479999999996E-6</v>
      </c>
      <c r="I3604">
        <v>200.89009999999999</v>
      </c>
      <c r="J3604">
        <v>-194.82329999999999</v>
      </c>
      <c r="K3604">
        <v>1.0975870000000001</v>
      </c>
      <c r="L3604">
        <v>208.05879999999999</v>
      </c>
      <c r="M3604">
        <v>0.81810850000000002</v>
      </c>
      <c r="N3604">
        <v>0</v>
      </c>
      <c r="O3604">
        <v>-0.57485750000000002</v>
      </c>
      <c r="P3604">
        <v>0.64670249999999996</v>
      </c>
      <c r="Q3604">
        <v>8.501396E-2</v>
      </c>
      <c r="R3604">
        <v>-0.75799019999999995</v>
      </c>
      <c r="S3604">
        <v>1.0847469999999999</v>
      </c>
      <c r="T3604">
        <v>-0.46317449999999999</v>
      </c>
      <c r="U3604">
        <v>-3.1079249999999998</v>
      </c>
      <c r="V3604">
        <v>0.25132719999999997</v>
      </c>
      <c r="W3604">
        <v>9.2214829999999998E-2</v>
      </c>
      <c r="X3604">
        <v>0.96349940000000001</v>
      </c>
      <c r="Y3604">
        <v>0.582422</v>
      </c>
      <c r="Z3604">
        <v>4.3630540000000002E-2</v>
      </c>
      <c r="AA3604">
        <v>0.81171490000000002</v>
      </c>
      <c r="AB3604">
        <v>33</v>
      </c>
      <c r="AC3604">
        <v>2.3040999999999698</v>
      </c>
      <c r="AD3604">
        <v>-1.0975801876519999</v>
      </c>
      <c r="AE3604">
        <v>-7.1687000000000003</v>
      </c>
      <c r="AF3604">
        <v>4.44631362839388</v>
      </c>
      <c r="AG3604">
        <v>-1.0975801876519999</v>
      </c>
      <c r="AH3604">
        <v>5.8817289524021303</v>
      </c>
      <c r="AI3604">
        <v>98.466890115058405</v>
      </c>
      <c r="AJ3604">
        <v>52.9124145622486</v>
      </c>
      <c r="AK3604">
        <v>7.4544699757858597</v>
      </c>
      <c r="AL3604">
        <v>84.708962576924307</v>
      </c>
      <c r="AM3604">
        <v>75.380265708039403</v>
      </c>
      <c r="AN3604">
        <v>1.00000001506606</v>
      </c>
    </row>
    <row r="3605" spans="1:40" x14ac:dyDescent="0.25">
      <c r="A3605" t="str">
        <f>"20190312151058980"</f>
        <v>20190312151058980</v>
      </c>
      <c r="B3605" t="str">
        <f>"1552374658974860"</f>
        <v>1552374658974860</v>
      </c>
      <c r="C3605" t="s">
        <v>40</v>
      </c>
      <c r="D3605">
        <v>5.1756849999999996</v>
      </c>
      <c r="E3605">
        <v>0.65478359999999902</v>
      </c>
      <c r="F3605" t="s">
        <v>50</v>
      </c>
      <c r="G3605">
        <v>-192.37819999999999</v>
      </c>
      <c r="H3605" s="1">
        <v>6.9593779999999996E-6</v>
      </c>
      <c r="I3605">
        <v>200.5804</v>
      </c>
      <c r="J3605">
        <v>-194.55799999999999</v>
      </c>
      <c r="K3605">
        <v>1.0973930000000001</v>
      </c>
      <c r="L3605">
        <v>207.85599999999999</v>
      </c>
      <c r="M3605">
        <v>0.80950239999999996</v>
      </c>
      <c r="N3605">
        <v>0</v>
      </c>
      <c r="O3605">
        <v>-0.58691300000000002</v>
      </c>
      <c r="P3605">
        <v>0.63607419999999903</v>
      </c>
      <c r="Q3605">
        <v>8.5103269999999995E-2</v>
      </c>
      <c r="R3605">
        <v>-0.76692069999999901</v>
      </c>
      <c r="S3605">
        <v>1.0249629999999901</v>
      </c>
      <c r="T3605">
        <v>-0.46010899999999999</v>
      </c>
      <c r="U3605">
        <v>-3.134995</v>
      </c>
      <c r="V3605">
        <v>0.250521299999999</v>
      </c>
      <c r="W3605">
        <v>9.2272759999999995E-2</v>
      </c>
      <c r="X3605">
        <v>0.96370370000000005</v>
      </c>
      <c r="Y3605">
        <v>0.58651160000000002</v>
      </c>
      <c r="Z3605">
        <v>4.4999329999999997E-2</v>
      </c>
      <c r="AA3605">
        <v>0.80868980000000001</v>
      </c>
      <c r="AB3605">
        <v>33</v>
      </c>
      <c r="AC3605">
        <v>2.1798000000000002</v>
      </c>
      <c r="AD3605">
        <v>-1.097386040622</v>
      </c>
      <c r="AE3605">
        <v>-7.2755999999999901</v>
      </c>
      <c r="AF3605">
        <v>4.5165262747206398</v>
      </c>
      <c r="AG3605">
        <v>-1.097386040622</v>
      </c>
      <c r="AH3605">
        <v>5.9119993401231099</v>
      </c>
      <c r="AI3605">
        <v>98.390735050432994</v>
      </c>
      <c r="AJ3605">
        <v>52.621648636743402</v>
      </c>
      <c r="AK3605">
        <v>7.5203059718345298</v>
      </c>
      <c r="AL3605">
        <v>84.705629154846605</v>
      </c>
      <c r="AM3605">
        <v>75.428103947496695</v>
      </c>
      <c r="AN3605">
        <v>1.0000000026926901</v>
      </c>
    </row>
    <row r="3606" spans="1:40" x14ac:dyDescent="0.25">
      <c r="A3606" t="str">
        <f>"20190312151059003"</f>
        <v>20190312151059003</v>
      </c>
      <c r="B3606" t="str">
        <f>"1552374658994380"</f>
        <v>1552374658994380</v>
      </c>
      <c r="C3606" t="s">
        <v>40</v>
      </c>
      <c r="D3606">
        <v>4.9206310000000002</v>
      </c>
      <c r="E3606">
        <v>0.65590459999999995</v>
      </c>
      <c r="F3606" t="s">
        <v>50</v>
      </c>
      <c r="G3606">
        <v>-192.29150000000001</v>
      </c>
      <c r="H3606" s="1">
        <v>6.9879639999999997E-6</v>
      </c>
      <c r="I3606">
        <v>200.56469999999999</v>
      </c>
      <c r="J3606">
        <v>-194.30019999999999</v>
      </c>
      <c r="K3606">
        <v>1.097224</v>
      </c>
      <c r="L3606">
        <v>207.65270000000001</v>
      </c>
      <c r="M3606">
        <v>0.80074040000000002</v>
      </c>
      <c r="N3606">
        <v>0</v>
      </c>
      <c r="O3606">
        <v>-0.59881110000000004</v>
      </c>
      <c r="P3606">
        <v>0.62527889999999997</v>
      </c>
      <c r="Q3606">
        <v>8.5918090000000003E-2</v>
      </c>
      <c r="R3606">
        <v>-0.77565819999999996</v>
      </c>
      <c r="S3606">
        <v>0.97972110000000001</v>
      </c>
      <c r="T3606">
        <v>-0.47437289999999999</v>
      </c>
      <c r="U3606">
        <v>-3.15184</v>
      </c>
      <c r="V3606">
        <v>0.2497606</v>
      </c>
      <c r="W3606">
        <v>9.3062320000000004E-2</v>
      </c>
      <c r="X3606">
        <v>0.96382520000000005</v>
      </c>
      <c r="Y3606">
        <v>0.58639379999999997</v>
      </c>
      <c r="Z3606">
        <v>4.8452120000000001E-2</v>
      </c>
      <c r="AA3606">
        <v>0.80857570000000001</v>
      </c>
      <c r="AB3606">
        <v>33</v>
      </c>
      <c r="AC3606">
        <v>2.00869999999997</v>
      </c>
      <c r="AD3606">
        <v>-1.0972170120360001</v>
      </c>
      <c r="AE3606">
        <v>-7.0880000000000196</v>
      </c>
      <c r="AF3606">
        <v>4.37628121566802</v>
      </c>
      <c r="AG3606">
        <v>-1.0972170120360001</v>
      </c>
      <c r="AH3606">
        <v>5.7265013925821702</v>
      </c>
      <c r="AI3606">
        <v>98.656111476918895</v>
      </c>
      <c r="AJ3606">
        <v>52.612376219611498</v>
      </c>
      <c r="AK3606">
        <v>7.2903045649242602</v>
      </c>
      <c r="AL3606">
        <v>84.6601951028223</v>
      </c>
      <c r="AM3606">
        <v>75.472229797291305</v>
      </c>
      <c r="AN3606">
        <v>0.99999998443559102</v>
      </c>
    </row>
    <row r="3607" spans="1:40" x14ac:dyDescent="0.25">
      <c r="A3607" t="str">
        <f>"20190312151059025"</f>
        <v>20190312151059025</v>
      </c>
      <c r="B3607" t="str">
        <f>"1552374659014876"</f>
        <v>1552374659014876</v>
      </c>
      <c r="C3607" t="s">
        <v>40</v>
      </c>
      <c r="D3607">
        <v>4.9657629999999999</v>
      </c>
      <c r="E3607">
        <v>0.65500179999999997</v>
      </c>
      <c r="F3607" t="s">
        <v>50</v>
      </c>
      <c r="G3607">
        <v>-192.19239999999999</v>
      </c>
      <c r="H3607" s="1">
        <v>7.0519040000000003E-6</v>
      </c>
      <c r="I3607">
        <v>200.45849999999999</v>
      </c>
      <c r="J3607">
        <v>-194.04040000000001</v>
      </c>
      <c r="K3607">
        <v>1.0970530000000001</v>
      </c>
      <c r="L3607">
        <v>207.44130000000001</v>
      </c>
      <c r="M3607">
        <v>0.79148660000000004</v>
      </c>
      <c r="N3607">
        <v>0</v>
      </c>
      <c r="O3607">
        <v>-0.61098819999999998</v>
      </c>
      <c r="P3607">
        <v>0.61354119999999901</v>
      </c>
      <c r="Q3607">
        <v>8.6210759999999997E-2</v>
      </c>
      <c r="R3607">
        <v>-0.78494269999999999</v>
      </c>
      <c r="S3607">
        <v>0.9293671</v>
      </c>
      <c r="T3607">
        <v>-0.48378650000000001</v>
      </c>
      <c r="U3607">
        <v>-3.172104</v>
      </c>
      <c r="V3607">
        <v>0.24953829999999999</v>
      </c>
      <c r="W3607">
        <v>9.3313480000000004E-2</v>
      </c>
      <c r="X3607">
        <v>0.96385849999999995</v>
      </c>
      <c r="Y3607">
        <v>0.58728000000000002</v>
      </c>
      <c r="Z3607">
        <v>5.1458990000000003E-2</v>
      </c>
      <c r="AA3607">
        <v>0.80774639999999998</v>
      </c>
      <c r="AB3607">
        <v>33</v>
      </c>
      <c r="AC3607">
        <v>1.8480000000000101</v>
      </c>
      <c r="AD3607">
        <v>-1.097045948096</v>
      </c>
      <c r="AE3607">
        <v>-6.9828000000000197</v>
      </c>
      <c r="AF3607">
        <v>4.2990533672530704</v>
      </c>
      <c r="AG3607">
        <v>-1.097045948096</v>
      </c>
      <c r="AH3607">
        <v>5.6005816407937496</v>
      </c>
      <c r="AI3607">
        <v>98.832077411322899</v>
      </c>
      <c r="AJ3607">
        <v>52.489853889694302</v>
      </c>
      <c r="AK3607">
        <v>7.1450601384396997</v>
      </c>
      <c r="AL3607">
        <v>84.645741822737605</v>
      </c>
      <c r="AM3607">
        <v>75.485094141040307</v>
      </c>
      <c r="AN3607">
        <v>0.99999998836942505</v>
      </c>
    </row>
    <row r="3608" spans="1:40" x14ac:dyDescent="0.25">
      <c r="A3608" t="str">
        <f>"20190312151059046"</f>
        <v>20190312151059046</v>
      </c>
      <c r="B3608" t="str">
        <f>"1552374659034397"</f>
        <v>1552374659034397</v>
      </c>
      <c r="C3608" t="s">
        <v>40</v>
      </c>
      <c r="D3608">
        <v>4.9064420000000002</v>
      </c>
      <c r="E3608">
        <v>0.64665289999999997</v>
      </c>
      <c r="F3608" t="s">
        <v>50</v>
      </c>
      <c r="G3608">
        <v>-192.03100000000001</v>
      </c>
      <c r="H3608" s="1">
        <v>7.1713939999999999E-6</v>
      </c>
      <c r="I3608">
        <v>200.24189999999999</v>
      </c>
      <c r="J3608">
        <v>-193.79329999999999</v>
      </c>
      <c r="K3608">
        <v>1.096892</v>
      </c>
      <c r="L3608">
        <v>207.23390000000001</v>
      </c>
      <c r="M3608">
        <v>0.7822673</v>
      </c>
      <c r="N3608">
        <v>0</v>
      </c>
      <c r="O3608">
        <v>-0.62274719999999995</v>
      </c>
      <c r="P3608">
        <v>0.60223970000000004</v>
      </c>
      <c r="Q3608">
        <v>8.497188E-2</v>
      </c>
      <c r="R3608">
        <v>-0.79378029999999999</v>
      </c>
      <c r="S3608">
        <v>0.88789370000000001</v>
      </c>
      <c r="T3608">
        <v>-0.4847378</v>
      </c>
      <c r="U3608">
        <v>-3.1811069999999999</v>
      </c>
      <c r="V3608">
        <v>0.24903610000000001</v>
      </c>
      <c r="W3608">
        <v>9.2047229999999994E-2</v>
      </c>
      <c r="X3608">
        <v>0.96411009999999997</v>
      </c>
      <c r="Y3608">
        <v>0.58561149999999995</v>
      </c>
      <c r="Z3608">
        <v>5.3874230000000002E-2</v>
      </c>
      <c r="AA3608">
        <v>0.80879959999999995</v>
      </c>
      <c r="AB3608">
        <v>33</v>
      </c>
      <c r="AC3608">
        <v>1.76230000000001</v>
      </c>
      <c r="AD3608">
        <v>-1.096884828606</v>
      </c>
      <c r="AE3608">
        <v>-6.9920000000000098</v>
      </c>
      <c r="AF3608">
        <v>4.2737816248932896</v>
      </c>
      <c r="AG3608">
        <v>-1.096884828606</v>
      </c>
      <c r="AH3608">
        <v>5.6038614608949198</v>
      </c>
      <c r="AI3608">
        <v>98.846526570044702</v>
      </c>
      <c r="AJ3608">
        <v>52.669066724791797</v>
      </c>
      <c r="AK3608">
        <v>7.1324349963672997</v>
      </c>
      <c r="AL3608">
        <v>84.718606170717194</v>
      </c>
      <c r="AM3608">
        <v>75.516696868826301</v>
      </c>
      <c r="AN3608">
        <v>0.99999997828794596</v>
      </c>
    </row>
    <row r="3609" spans="1:40" x14ac:dyDescent="0.25">
      <c r="A3609" t="str">
        <f>"20190312151059070"</f>
        <v>20190312151059070</v>
      </c>
      <c r="B3609" t="str">
        <f>"1552374659064236"</f>
        <v>1552374659064236</v>
      </c>
      <c r="C3609" t="s">
        <v>40</v>
      </c>
      <c r="D3609">
        <v>4.9704129999999997</v>
      </c>
      <c r="E3609">
        <v>0.64598829999999996</v>
      </c>
      <c r="F3609" t="s">
        <v>42</v>
      </c>
      <c r="G3609">
        <v>-190.34049999999999</v>
      </c>
      <c r="H3609" s="1">
        <v>-2.4370009999999999E-6</v>
      </c>
      <c r="I3609">
        <v>195.05860000000001</v>
      </c>
      <c r="J3609">
        <v>-193.53579999999999</v>
      </c>
      <c r="K3609">
        <v>1.096714</v>
      </c>
      <c r="L3609">
        <v>207.01070000000001</v>
      </c>
      <c r="M3609">
        <v>0.77219819999999995</v>
      </c>
      <c r="N3609">
        <v>0</v>
      </c>
      <c r="O3609">
        <v>-0.63518859999999999</v>
      </c>
      <c r="P3609">
        <v>0.58983799999999997</v>
      </c>
      <c r="Q3609">
        <v>8.3417580000000005E-2</v>
      </c>
      <c r="R3609">
        <v>-0.80320159999999996</v>
      </c>
      <c r="S3609">
        <v>0.88906859999999999</v>
      </c>
      <c r="T3609">
        <v>-0.28244219999999998</v>
      </c>
      <c r="U3609">
        <v>-3.13504</v>
      </c>
      <c r="V3609">
        <v>0.2486913</v>
      </c>
      <c r="W3609">
        <v>9.0460750000000006E-2</v>
      </c>
      <c r="X3609">
        <v>0.96434929999999996</v>
      </c>
      <c r="Y3609">
        <v>0.56955599999999995</v>
      </c>
      <c r="Z3609">
        <v>3.4046029999999998E-2</v>
      </c>
      <c r="AA3609">
        <v>0.82124710000000001</v>
      </c>
      <c r="AB3609">
        <v>33</v>
      </c>
      <c r="AC3609">
        <v>3.1953</v>
      </c>
      <c r="AD3609">
        <v>-1.0967164370010001</v>
      </c>
      <c r="AE3609">
        <v>-11.9521</v>
      </c>
      <c r="AF3609">
        <v>7.1445129327457098</v>
      </c>
      <c r="AG3609">
        <v>-1.0967164370010001</v>
      </c>
      <c r="AH3609">
        <v>9.9820367839971897</v>
      </c>
      <c r="AI3609">
        <v>95.1054055113527</v>
      </c>
      <c r="AJ3609">
        <v>54.407300013044903</v>
      </c>
      <c r="AK3609">
        <v>12.3242813318437</v>
      </c>
      <c r="AL3609">
        <v>84.809885968112198</v>
      </c>
      <c r="AM3609">
        <v>75.539345118049695</v>
      </c>
      <c r="AN3609">
        <v>1.00000004119837</v>
      </c>
    </row>
    <row r="3610" spans="1:40" x14ac:dyDescent="0.25">
      <c r="A3610" t="str">
        <f>"20190312151059092"</f>
        <v>20190312151059092</v>
      </c>
      <c r="B3610" t="str">
        <f>"1552374659084728"</f>
        <v>1552374659084728</v>
      </c>
      <c r="C3610" t="s">
        <v>40</v>
      </c>
      <c r="D3610">
        <v>4.9674319999999996</v>
      </c>
      <c r="E3610">
        <v>0.64505480000000004</v>
      </c>
      <c r="F3610" t="s">
        <v>42</v>
      </c>
      <c r="G3610">
        <v>-190.3974</v>
      </c>
      <c r="H3610" s="1">
        <v>-2.5656320000000001E-6</v>
      </c>
      <c r="I3610">
        <v>195.32320000000001</v>
      </c>
      <c r="J3610">
        <v>-193.27950000000001</v>
      </c>
      <c r="K3610">
        <v>1.0965469999999999</v>
      </c>
      <c r="L3610">
        <v>206.78120000000001</v>
      </c>
      <c r="M3610">
        <v>0.76167859999999998</v>
      </c>
      <c r="N3610">
        <v>0</v>
      </c>
      <c r="O3610">
        <v>-0.64776420000000001</v>
      </c>
      <c r="P3610">
        <v>0.57660199999999995</v>
      </c>
      <c r="Q3610">
        <v>8.3005540000000003E-2</v>
      </c>
      <c r="R3610">
        <v>-0.81279780000000001</v>
      </c>
      <c r="S3610">
        <v>0.84465029999999997</v>
      </c>
      <c r="T3610">
        <v>-0.29515659999999999</v>
      </c>
      <c r="U3610">
        <v>-3.145432</v>
      </c>
      <c r="V3610">
        <v>0.24873219999999999</v>
      </c>
      <c r="W3610">
        <v>9.0002479999999996E-2</v>
      </c>
      <c r="X3610">
        <v>0.96438159999999895</v>
      </c>
      <c r="Y3610">
        <v>0.56758589999999998</v>
      </c>
      <c r="Z3610">
        <v>3.711209E-2</v>
      </c>
      <c r="AA3610">
        <v>0.82247729999999997</v>
      </c>
      <c r="AB3610">
        <v>33</v>
      </c>
      <c r="AC3610">
        <v>2.8820999999999999</v>
      </c>
      <c r="AD3610">
        <v>-1.0965495656319999</v>
      </c>
      <c r="AE3610">
        <v>-11.457999999999901</v>
      </c>
      <c r="AF3610">
        <v>6.8026438094355699</v>
      </c>
      <c r="AG3610">
        <v>-1.0965495656319999</v>
      </c>
      <c r="AH3610">
        <v>9.5363608843810397</v>
      </c>
      <c r="AI3610">
        <v>95.347876540673298</v>
      </c>
      <c r="AJ3610">
        <v>54.498312829604401</v>
      </c>
      <c r="AK3610">
        <v>11.765226842908399</v>
      </c>
      <c r="AL3610">
        <v>84.836250299105501</v>
      </c>
      <c r="AM3610">
        <v>75.537530733639301</v>
      </c>
      <c r="AN3610">
        <v>1.0000000120707699</v>
      </c>
    </row>
    <row r="3611" spans="1:40" x14ac:dyDescent="0.25">
      <c r="A3611" t="str">
        <f>"20190312151059114"</f>
        <v>20190312151059114</v>
      </c>
      <c r="B3611" t="str">
        <f>"1552374659105229"</f>
        <v>1552374659105229</v>
      </c>
      <c r="C3611" t="s">
        <v>40</v>
      </c>
      <c r="D3611">
        <v>4.9990240000000004</v>
      </c>
      <c r="E3611">
        <v>0.64424199999999998</v>
      </c>
      <c r="F3611" t="s">
        <v>42</v>
      </c>
      <c r="G3611">
        <v>-190.32089999999999</v>
      </c>
      <c r="H3611" s="1">
        <v>-2.448412E-6</v>
      </c>
      <c r="I3611">
        <v>195.09739999999999</v>
      </c>
      <c r="J3611">
        <v>-193.03530000000001</v>
      </c>
      <c r="K3611">
        <v>1.09639</v>
      </c>
      <c r="L3611">
        <v>206.55510000000001</v>
      </c>
      <c r="M3611">
        <v>0.75116179999999999</v>
      </c>
      <c r="N3611">
        <v>0</v>
      </c>
      <c r="O3611">
        <v>-0.65992959999999901</v>
      </c>
      <c r="P3611">
        <v>0.56288509999999903</v>
      </c>
      <c r="Q3611">
        <v>8.3255529999999994E-2</v>
      </c>
      <c r="R3611">
        <v>-0.82233129999999999</v>
      </c>
      <c r="S3611">
        <v>0.79878229999999995</v>
      </c>
      <c r="T3611">
        <v>-0.2960584</v>
      </c>
      <c r="U3611">
        <v>-3.1545260000000002</v>
      </c>
      <c r="V3611">
        <v>0.24942780000000001</v>
      </c>
      <c r="W3611">
        <v>9.0183410000000006E-2</v>
      </c>
      <c r="X3611">
        <v>0.96418499999999996</v>
      </c>
      <c r="Y3611">
        <v>0.56616299999999997</v>
      </c>
      <c r="Z3611">
        <v>3.871989E-2</v>
      </c>
      <c r="AA3611">
        <v>0.82338339999999999</v>
      </c>
      <c r="AB3611">
        <v>33</v>
      </c>
      <c r="AC3611">
        <v>2.7144000000000101</v>
      </c>
      <c r="AD3611">
        <v>-1.096392448412</v>
      </c>
      <c r="AE3611">
        <v>-11.457700000000001</v>
      </c>
      <c r="AF3611">
        <v>6.7575336633804</v>
      </c>
      <c r="AG3611">
        <v>-1.096392448412</v>
      </c>
      <c r="AH3611">
        <v>9.5188944364626895</v>
      </c>
      <c r="AI3611">
        <v>95.365505701598295</v>
      </c>
      <c r="AJ3611">
        <v>54.6287754755554</v>
      </c>
      <c r="AK3611">
        <v>11.725002725167</v>
      </c>
      <c r="AL3611">
        <v>84.825841353823705</v>
      </c>
      <c r="AM3611">
        <v>75.495956097990302</v>
      </c>
      <c r="AN3611">
        <v>0.99999999453853305</v>
      </c>
    </row>
    <row r="3612" spans="1:40" x14ac:dyDescent="0.25">
      <c r="A3612" t="str">
        <f>"20190312151059138"</f>
        <v>20190312151059138</v>
      </c>
      <c r="B3612" t="str">
        <f>"1552374659134505"</f>
        <v>1552374659134505</v>
      </c>
      <c r="C3612" t="s">
        <v>40</v>
      </c>
      <c r="D3612">
        <v>4.9973839999999896</v>
      </c>
      <c r="E3612">
        <v>0.64280079999999995</v>
      </c>
      <c r="F3612" t="s">
        <v>42</v>
      </c>
      <c r="G3612">
        <v>-190.25729999999999</v>
      </c>
      <c r="H3612" s="1">
        <v>-2.3276349999999999E-6</v>
      </c>
      <c r="I3612">
        <v>194.8553</v>
      </c>
      <c r="J3612">
        <v>-192.79599999999999</v>
      </c>
      <c r="K3612">
        <v>1.0962240000000001</v>
      </c>
      <c r="L3612">
        <v>206.3263</v>
      </c>
      <c r="M3612">
        <v>0.74035810000000002</v>
      </c>
      <c r="N3612">
        <v>0</v>
      </c>
      <c r="O3612">
        <v>-0.67202629999999997</v>
      </c>
      <c r="P3612">
        <v>0.54886119999999905</v>
      </c>
      <c r="Q3612">
        <v>8.3201360000000002E-2</v>
      </c>
      <c r="R3612">
        <v>-0.83176280000000002</v>
      </c>
      <c r="S3612">
        <v>0.75125120000000001</v>
      </c>
      <c r="T3612">
        <v>-0.29649389999999998</v>
      </c>
      <c r="U3612">
        <v>-3.1639400000000002</v>
      </c>
      <c r="V3612">
        <v>0.25017620000000002</v>
      </c>
      <c r="W3612">
        <v>9.0059470000000003E-2</v>
      </c>
      <c r="X3612">
        <v>0.96400269999999999</v>
      </c>
      <c r="Y3612">
        <v>0.56506899999999904</v>
      </c>
      <c r="Z3612">
        <v>4.0254020000000001E-2</v>
      </c>
      <c r="AA3612">
        <v>0.82406100000000004</v>
      </c>
      <c r="AB3612">
        <v>33</v>
      </c>
      <c r="AC3612">
        <v>2.5387</v>
      </c>
      <c r="AD3612">
        <v>-1.0962263276349999</v>
      </c>
      <c r="AE3612">
        <v>-11.471</v>
      </c>
      <c r="AF3612">
        <v>6.7288419857250599</v>
      </c>
      <c r="AG3612">
        <v>-1.0962263276349999</v>
      </c>
      <c r="AH3612">
        <v>9.5067937104265798</v>
      </c>
      <c r="AI3612">
        <v>95.376815671963001</v>
      </c>
      <c r="AJ3612">
        <v>54.709407388228598</v>
      </c>
      <c r="AK3612">
        <v>11.698638950017299</v>
      </c>
      <c r="AL3612">
        <v>84.832971751651399</v>
      </c>
      <c r="AM3612">
        <v>75.451646530547393</v>
      </c>
      <c r="AN3612">
        <v>1.0000000223951999</v>
      </c>
    </row>
    <row r="3613" spans="1:40" x14ac:dyDescent="0.25">
      <c r="A3613" t="str">
        <f>"20190312151059160"</f>
        <v>20190312151059160</v>
      </c>
      <c r="B3613" t="str">
        <f>"1552374659154696"</f>
        <v>1552374659154696</v>
      </c>
      <c r="C3613" t="s">
        <v>40</v>
      </c>
      <c r="D3613">
        <v>4.9829499999999998</v>
      </c>
      <c r="E3613">
        <v>0.64231309999999997</v>
      </c>
      <c r="F3613" t="s">
        <v>42</v>
      </c>
      <c r="G3613">
        <v>-190.16309999999999</v>
      </c>
      <c r="H3613" s="1">
        <v>-2.1579510000000001E-6</v>
      </c>
      <c r="I3613">
        <v>194.51820000000001</v>
      </c>
      <c r="J3613">
        <v>-192.56229999999999</v>
      </c>
      <c r="K3613">
        <v>1.09606</v>
      </c>
      <c r="L3613">
        <v>206.09469999999999</v>
      </c>
      <c r="M3613">
        <v>0.72926610000000003</v>
      </c>
      <c r="N3613">
        <v>0</v>
      </c>
      <c r="O3613">
        <v>-0.68404560000000003</v>
      </c>
      <c r="P3613">
        <v>0.53474299999999997</v>
      </c>
      <c r="Q3613">
        <v>8.3058450000000006E-2</v>
      </c>
      <c r="R3613">
        <v>-0.84092309999999904</v>
      </c>
      <c r="S3613">
        <v>0.7067871</v>
      </c>
      <c r="T3613">
        <v>-0.29427920000000002</v>
      </c>
      <c r="U3613">
        <v>-3.169861</v>
      </c>
      <c r="V3613">
        <v>0.25072270000000002</v>
      </c>
      <c r="W3613">
        <v>8.985572E-2</v>
      </c>
      <c r="X3613">
        <v>0.96387970000000001</v>
      </c>
      <c r="Y3613">
        <v>0.56292339999999996</v>
      </c>
      <c r="Z3613">
        <v>4.1494700000000002E-2</v>
      </c>
      <c r="AA3613">
        <v>0.82546679999999995</v>
      </c>
      <c r="AB3613">
        <v>33</v>
      </c>
      <c r="AC3613">
        <v>2.3992</v>
      </c>
      <c r="AD3613">
        <v>-1.0960621579509999</v>
      </c>
      <c r="AE3613">
        <v>-11.5764999999999</v>
      </c>
      <c r="AF3613">
        <v>6.7440797202093004</v>
      </c>
      <c r="AG3613">
        <v>-1.0960621579509999</v>
      </c>
      <c r="AH3613">
        <v>9.5873261738126399</v>
      </c>
      <c r="AI3613">
        <v>95.342005886891798</v>
      </c>
      <c r="AJ3613">
        <v>54.876029234235098</v>
      </c>
      <c r="AK3613">
        <v>11.772883533344899</v>
      </c>
      <c r="AL3613">
        <v>84.844693171423003</v>
      </c>
      <c r="AM3613">
        <v>75.419437806500895</v>
      </c>
      <c r="AN3613">
        <v>0.99999999939204898</v>
      </c>
    </row>
    <row r="3614" spans="1:40" x14ac:dyDescent="0.25">
      <c r="A3614" t="str">
        <f>"20190312151059182"</f>
        <v>20190312151059182</v>
      </c>
      <c r="B3614" t="str">
        <f>"1552374659175196"</f>
        <v>1552374659175196</v>
      </c>
      <c r="C3614" t="s">
        <v>40</v>
      </c>
      <c r="D3614">
        <v>5.0072539999999996</v>
      </c>
      <c r="E3614">
        <v>0.63452209999999998</v>
      </c>
      <c r="F3614" t="s">
        <v>42</v>
      </c>
      <c r="G3614">
        <v>-190.0898</v>
      </c>
      <c r="H3614" s="1">
        <v>-1.9660930000000001E-6</v>
      </c>
      <c r="I3614">
        <v>194.1164</v>
      </c>
      <c r="J3614">
        <v>-192.33269999999999</v>
      </c>
      <c r="K3614">
        <v>1.095901</v>
      </c>
      <c r="L3614">
        <v>205.85929999999999</v>
      </c>
      <c r="M3614">
        <v>0.71783759999999996</v>
      </c>
      <c r="N3614">
        <v>0</v>
      </c>
      <c r="O3614">
        <v>-0.69602799999999998</v>
      </c>
      <c r="P3614">
        <v>0.52035710000000002</v>
      </c>
      <c r="Q3614">
        <v>8.2932489999999998E-2</v>
      </c>
      <c r="R3614">
        <v>-0.84991229999999995</v>
      </c>
      <c r="S3614">
        <v>0.65617369999999997</v>
      </c>
      <c r="T3614">
        <v>-0.2908869</v>
      </c>
      <c r="U3614">
        <v>-3.1789399999999999</v>
      </c>
      <c r="V3614">
        <v>0.25120179999999998</v>
      </c>
      <c r="W3614">
        <v>8.9673840000000005E-2</v>
      </c>
      <c r="X3614">
        <v>0.96377190000000001</v>
      </c>
      <c r="Y3614">
        <v>0.56232459999999995</v>
      </c>
      <c r="Z3614">
        <v>4.2450219999999997E-2</v>
      </c>
      <c r="AA3614">
        <v>0.82582630000000001</v>
      </c>
      <c r="AB3614">
        <v>32</v>
      </c>
      <c r="AC3614">
        <v>2.2428999999999899</v>
      </c>
      <c r="AD3614">
        <v>-1.095902966093</v>
      </c>
      <c r="AE3614">
        <v>-11.742899999999899</v>
      </c>
      <c r="AF3614">
        <v>6.8120061171501796</v>
      </c>
      <c r="AG3614">
        <v>-1.095902966093</v>
      </c>
      <c r="AH3614">
        <v>9.7031338806923895</v>
      </c>
      <c r="AI3614">
        <v>95.2812939724096</v>
      </c>
      <c r="AJ3614">
        <v>54.929538503897703</v>
      </c>
      <c r="AK3614">
        <v>11.906100862911501</v>
      </c>
      <c r="AL3614">
        <v>84.855156415143597</v>
      </c>
      <c r="AM3614">
        <v>75.391202819861306</v>
      </c>
      <c r="AN3614">
        <v>1.0000000085665901</v>
      </c>
    </row>
    <row r="3615" spans="1:40" x14ac:dyDescent="0.25">
      <c r="A3615" t="str">
        <f>"20190312151059204"</f>
        <v>20190312151059204</v>
      </c>
      <c r="B3615" t="str">
        <f>"1552374659194712"</f>
        <v>1552374659194712</v>
      </c>
      <c r="C3615" t="s">
        <v>40</v>
      </c>
      <c r="D3615">
        <v>5.2706400000000002</v>
      </c>
      <c r="E3615">
        <v>0.63439350000000005</v>
      </c>
      <c r="F3615" t="s">
        <v>42</v>
      </c>
      <c r="G3615">
        <v>-190.7424</v>
      </c>
      <c r="H3615" s="1">
        <v>-3.8856709999999997E-6</v>
      </c>
      <c r="I3615">
        <v>198.18620000000001</v>
      </c>
      <c r="J3615">
        <v>-192.107</v>
      </c>
      <c r="K3615">
        <v>1.095758</v>
      </c>
      <c r="L3615">
        <v>205.62010000000001</v>
      </c>
      <c r="M3615">
        <v>0.7060727</v>
      </c>
      <c r="N3615">
        <v>0</v>
      </c>
      <c r="O3615">
        <v>-0.70795830000000004</v>
      </c>
      <c r="P3615">
        <v>0.50591430000000004</v>
      </c>
      <c r="Q3615">
        <v>8.293615E-2</v>
      </c>
      <c r="R3615">
        <v>-0.85858760000000001</v>
      </c>
      <c r="S3615">
        <v>0.65730290000000002</v>
      </c>
      <c r="T3615">
        <v>-0.45297660000000001</v>
      </c>
      <c r="U3615">
        <v>-3.1715550000000001</v>
      </c>
      <c r="V3615">
        <v>0.25137870000000001</v>
      </c>
      <c r="W3615">
        <v>8.9638709999999996E-2</v>
      </c>
      <c r="X3615">
        <v>0.96372899999999995</v>
      </c>
      <c r="Y3615">
        <v>0.54774590000000001</v>
      </c>
      <c r="Z3615">
        <v>6.9050680000000003E-2</v>
      </c>
      <c r="AA3615">
        <v>0.83379040000000004</v>
      </c>
      <c r="AB3615">
        <v>32</v>
      </c>
      <c r="AC3615">
        <v>1.36459999999999</v>
      </c>
      <c r="AD3615">
        <v>-1.0957618856710001</v>
      </c>
      <c r="AE3615">
        <v>-7.4338999999999897</v>
      </c>
      <c r="AF3615">
        <v>4.1951660841566598</v>
      </c>
      <c r="AG3615">
        <v>-1.0957618856710001</v>
      </c>
      <c r="AH3615">
        <v>6.0990031471816204</v>
      </c>
      <c r="AI3615">
        <v>98.420097189671793</v>
      </c>
      <c r="AJ3615">
        <v>55.478073905196297</v>
      </c>
      <c r="AK3615">
        <v>7.4831779327421399</v>
      </c>
      <c r="AL3615">
        <v>84.857177141818298</v>
      </c>
      <c r="AM3615">
        <v>75.380732778497801</v>
      </c>
      <c r="AN3615">
        <v>0.99999996729257601</v>
      </c>
    </row>
    <row r="3616" spans="1:40" x14ac:dyDescent="0.25">
      <c r="A3616" t="str">
        <f>"20190312151059225"</f>
        <v>20190312151059225</v>
      </c>
      <c r="B3616" t="str">
        <f>"1552374659215208"</f>
        <v>1552374659215208</v>
      </c>
      <c r="C3616" t="s">
        <v>40</v>
      </c>
      <c r="D3616">
        <v>5.0423920000000004</v>
      </c>
      <c r="E3616">
        <v>0.63380309999999995</v>
      </c>
      <c r="F3616" t="s">
        <v>42</v>
      </c>
      <c r="G3616">
        <v>-190.6874</v>
      </c>
      <c r="H3616" s="1">
        <v>-3.8542170000000001E-6</v>
      </c>
      <c r="I3616">
        <v>198.14699999999999</v>
      </c>
      <c r="J3616">
        <v>-191.8861</v>
      </c>
      <c r="K3616">
        <v>1.0956129999999999</v>
      </c>
      <c r="L3616">
        <v>205.3777</v>
      </c>
      <c r="M3616">
        <v>0.69400660000000003</v>
      </c>
      <c r="N3616">
        <v>0</v>
      </c>
      <c r="O3616">
        <v>-0.71978929999999997</v>
      </c>
      <c r="P3616">
        <v>0.49120750000000002</v>
      </c>
      <c r="Q3616">
        <v>8.2571420000000006E-2</v>
      </c>
      <c r="R3616">
        <v>-0.86712009999999995</v>
      </c>
      <c r="S3616">
        <v>0.60465999999999998</v>
      </c>
      <c r="T3616">
        <v>-0.46670719999999999</v>
      </c>
      <c r="U3616">
        <v>-3.1829070000000002</v>
      </c>
      <c r="V3616">
        <v>0.2515598</v>
      </c>
      <c r="W3616">
        <v>8.9237860000000002E-2</v>
      </c>
      <c r="X3616">
        <v>0.96371899999999999</v>
      </c>
      <c r="Y3616">
        <v>0.54750869999999996</v>
      </c>
      <c r="Z3616">
        <v>7.3304800000000003E-2</v>
      </c>
      <c r="AA3616">
        <v>0.83358299999999996</v>
      </c>
      <c r="AB3616">
        <v>32</v>
      </c>
      <c r="AC3616">
        <v>1.1987000000000001</v>
      </c>
      <c r="AD3616">
        <v>-1.0956168542169999</v>
      </c>
      <c r="AE3616">
        <v>-7.2306999999999801</v>
      </c>
      <c r="AF3616">
        <v>4.06504484515321</v>
      </c>
      <c r="AG3616">
        <v>-1.0956168542169999</v>
      </c>
      <c r="AH3616">
        <v>5.9053109462949003</v>
      </c>
      <c r="AI3616">
        <v>98.688884264126003</v>
      </c>
      <c r="AJ3616">
        <v>55.457603012075303</v>
      </c>
      <c r="AK3616">
        <v>7.2524246467496196</v>
      </c>
      <c r="AL3616">
        <v>84.880236839227805</v>
      </c>
      <c r="AM3616">
        <v>75.370507042594696</v>
      </c>
      <c r="AN3616">
        <v>1.0000000197972001</v>
      </c>
    </row>
    <row r="3617" spans="1:40" x14ac:dyDescent="0.25">
      <c r="A3617" t="str">
        <f>"20190312151059249"</f>
        <v>20190312151059249</v>
      </c>
      <c r="B3617" t="str">
        <f>"1552374659244370"</f>
        <v>1552374659244370</v>
      </c>
      <c r="C3617" t="s">
        <v>40</v>
      </c>
      <c r="D3617">
        <v>5.126074</v>
      </c>
      <c r="E3617">
        <v>0.63199450000000001</v>
      </c>
      <c r="F3617" t="s">
        <v>42</v>
      </c>
      <c r="G3617">
        <v>-190.57730000000001</v>
      </c>
      <c r="H3617" s="1">
        <v>-3.6944460000000002E-6</v>
      </c>
      <c r="I3617">
        <v>197.84289999999999</v>
      </c>
      <c r="J3617">
        <v>-191.667</v>
      </c>
      <c r="K3617">
        <v>1.095477</v>
      </c>
      <c r="L3617">
        <v>205.12880000000001</v>
      </c>
      <c r="M3617">
        <v>0.68146180000000001</v>
      </c>
      <c r="N3617">
        <v>0</v>
      </c>
      <c r="O3617">
        <v>-0.7316762</v>
      </c>
      <c r="P3617">
        <v>0.47636119999999998</v>
      </c>
      <c r="Q3617">
        <v>8.2990830000000002E-2</v>
      </c>
      <c r="R3617">
        <v>-0.87532410000000005</v>
      </c>
      <c r="S3617">
        <v>0.55413819999999903</v>
      </c>
      <c r="T3617">
        <v>-0.46385219999999999</v>
      </c>
      <c r="U3617">
        <v>-3.1900179999999998</v>
      </c>
      <c r="V3617">
        <v>0.25134230000000002</v>
      </c>
      <c r="W3617">
        <v>8.9637750000000002E-2</v>
      </c>
      <c r="X3617">
        <v>0.9637386</v>
      </c>
      <c r="Y3617">
        <v>0.5462167</v>
      </c>
      <c r="Z3617">
        <v>7.5202850000000002E-2</v>
      </c>
      <c r="AA3617">
        <v>0.83426129999999998</v>
      </c>
      <c r="AB3617">
        <v>32</v>
      </c>
      <c r="AC3617">
        <v>1.0896999999999899</v>
      </c>
      <c r="AD3617">
        <v>-1.095480694446</v>
      </c>
      <c r="AE3617">
        <v>-7.2859000000000202</v>
      </c>
      <c r="AF3617">
        <v>4.0781194743961304</v>
      </c>
      <c r="AG3617">
        <v>-1.095480694446</v>
      </c>
      <c r="AH3617">
        <v>5.9428861939717397</v>
      </c>
      <c r="AI3617">
        <v>98.642268167231094</v>
      </c>
      <c r="AJ3617">
        <v>55.541358704089603</v>
      </c>
      <c r="AK3617">
        <v>7.2903383127158703</v>
      </c>
      <c r="AL3617">
        <v>84.857232451983904</v>
      </c>
      <c r="AM3617">
        <v>75.382898368150805</v>
      </c>
      <c r="AN3617">
        <v>0.99999998356215603</v>
      </c>
    </row>
    <row r="3618" spans="1:40" x14ac:dyDescent="0.25">
      <c r="A3618" t="str">
        <f>"20190312151059271"</f>
        <v>20190312151059271</v>
      </c>
      <c r="B3618" t="str">
        <f>"1552374659264865"</f>
        <v>1552374659264865</v>
      </c>
      <c r="C3618" t="s">
        <v>40</v>
      </c>
      <c r="D3618">
        <v>5.1511050000000003</v>
      </c>
      <c r="E3618">
        <v>0.63091299999999995</v>
      </c>
      <c r="F3618" t="s">
        <v>42</v>
      </c>
      <c r="G3618">
        <v>-190.4496</v>
      </c>
      <c r="H3618" s="1">
        <v>-3.532077E-6</v>
      </c>
      <c r="I3618">
        <v>197.5436</v>
      </c>
      <c r="J3618">
        <v>-191.44839999999999</v>
      </c>
      <c r="K3618">
        <v>1.0953469999999901</v>
      </c>
      <c r="L3618">
        <v>204.8717</v>
      </c>
      <c r="M3618">
        <v>0.66834119999999997</v>
      </c>
      <c r="N3618">
        <v>0</v>
      </c>
      <c r="O3618">
        <v>-0.74367930000000004</v>
      </c>
      <c r="P3618">
        <v>0.46095930000000002</v>
      </c>
      <c r="Q3618">
        <v>8.3615289999999995E-2</v>
      </c>
      <c r="R3618">
        <v>-0.88347359999999897</v>
      </c>
      <c r="S3618">
        <v>0.51232909999999998</v>
      </c>
      <c r="T3618">
        <v>-0.46102169999999998</v>
      </c>
      <c r="U3618">
        <v>-3.1921689999999998</v>
      </c>
      <c r="V3618">
        <v>0.25109340000000002</v>
      </c>
      <c r="W3618">
        <v>9.0245619999999999E-2</v>
      </c>
      <c r="X3618">
        <v>0.96374680000000001</v>
      </c>
      <c r="Y3618">
        <v>0.54209739999999995</v>
      </c>
      <c r="Z3618">
        <v>7.7353480000000002E-2</v>
      </c>
      <c r="AA3618">
        <v>0.83674780000000004</v>
      </c>
      <c r="AB3618">
        <v>32</v>
      </c>
      <c r="AC3618">
        <v>0.99879999999998803</v>
      </c>
      <c r="AD3618">
        <v>-1.0953505320769901</v>
      </c>
      <c r="AE3618">
        <v>-7.3281000000000001</v>
      </c>
      <c r="AF3618">
        <v>4.0662356364809398</v>
      </c>
      <c r="AG3618">
        <v>-1.0953505320769901</v>
      </c>
      <c r="AH3618">
        <v>5.9867768295528698</v>
      </c>
      <c r="AI3618">
        <v>98.606505028099505</v>
      </c>
      <c r="AJ3618">
        <v>55.8155428358425</v>
      </c>
      <c r="AK3618">
        <v>7.3195328981008103</v>
      </c>
      <c r="AL3618">
        <v>84.822262578829296</v>
      </c>
      <c r="AM3618">
        <v>75.396873305353395</v>
      </c>
      <c r="AN3618">
        <v>1.00000003098149</v>
      </c>
    </row>
    <row r="3619" spans="1:40" x14ac:dyDescent="0.25">
      <c r="A3619" t="str">
        <f>"20190312151059293"</f>
        <v>20190312151059293</v>
      </c>
      <c r="B3619" t="str">
        <f>"1552374659284389"</f>
        <v>1552374659284389</v>
      </c>
      <c r="C3619" t="s">
        <v>40</v>
      </c>
      <c r="D3619">
        <v>5.0776130000000004</v>
      </c>
      <c r="E3619">
        <v>0.63135810000000003</v>
      </c>
      <c r="F3619" t="s">
        <v>42</v>
      </c>
      <c r="G3619">
        <v>-190.33519999999999</v>
      </c>
      <c r="H3619" s="1">
        <v>-3.3550859999999999E-6</v>
      </c>
      <c r="I3619">
        <v>197.202</v>
      </c>
      <c r="J3619">
        <v>-191.25020000000001</v>
      </c>
      <c r="K3619">
        <v>1.095226</v>
      </c>
      <c r="L3619">
        <v>204.62989999999999</v>
      </c>
      <c r="M3619">
        <v>0.65586899999999904</v>
      </c>
      <c r="N3619">
        <v>0</v>
      </c>
      <c r="O3619">
        <v>-0.75470079999999995</v>
      </c>
      <c r="P3619">
        <v>0.44600319999999999</v>
      </c>
      <c r="Q3619">
        <v>8.3559040000000001E-2</v>
      </c>
      <c r="R3619">
        <v>-0.89112250000000004</v>
      </c>
      <c r="S3619">
        <v>0.46400449999999999</v>
      </c>
      <c r="T3619">
        <v>-0.45655610000000002</v>
      </c>
      <c r="U3619">
        <v>-3.1968230000000002</v>
      </c>
      <c r="V3619">
        <v>0.25132310000000002</v>
      </c>
      <c r="W3619">
        <v>9.0159669999999997E-2</v>
      </c>
      <c r="X3619">
        <v>0.96369490000000002</v>
      </c>
      <c r="Y3619">
        <v>0.54070229999999997</v>
      </c>
      <c r="Z3619">
        <v>7.8814809999999999E-2</v>
      </c>
      <c r="AA3619">
        <v>0.83751369999999903</v>
      </c>
      <c r="AB3619">
        <v>32</v>
      </c>
      <c r="AC3619">
        <v>0.91500000000002002</v>
      </c>
      <c r="AD3619">
        <v>-1.0952293550859999</v>
      </c>
      <c r="AE3619">
        <v>-7.4278999999999904</v>
      </c>
      <c r="AF3619">
        <v>4.0940491537078199</v>
      </c>
      <c r="AG3619">
        <v>-1.0952293550859999</v>
      </c>
      <c r="AH3619">
        <v>6.0766400367440196</v>
      </c>
      <c r="AI3619">
        <v>98.501398677106906</v>
      </c>
      <c r="AJ3619">
        <v>56.030445241155199</v>
      </c>
      <c r="AK3619">
        <v>7.4085302151896597</v>
      </c>
      <c r="AL3619">
        <v>84.827206958365295</v>
      </c>
      <c r="AM3619">
        <v>75.383332750069101</v>
      </c>
      <c r="AN3619">
        <v>0.99999996348706299</v>
      </c>
    </row>
    <row r="3620" spans="1:40" x14ac:dyDescent="0.25">
      <c r="A3620" t="str">
        <f>"20190312151059317"</f>
        <v>20190312151059317</v>
      </c>
      <c r="B3620" t="str">
        <f>"1552374659314642"</f>
        <v>1552374659314642</v>
      </c>
      <c r="C3620" t="s">
        <v>40</v>
      </c>
      <c r="D3620">
        <v>5.0497740000000002</v>
      </c>
      <c r="E3620">
        <v>0.65712799999999905</v>
      </c>
      <c r="F3620" t="s">
        <v>42</v>
      </c>
      <c r="G3620">
        <v>-190.26410000000001</v>
      </c>
      <c r="H3620" s="1">
        <v>-3.1865650000000002E-6</v>
      </c>
      <c r="I3620">
        <v>196.85329999999999</v>
      </c>
      <c r="J3620">
        <v>-191.03550000000001</v>
      </c>
      <c r="K3620">
        <v>1.0950949999999999</v>
      </c>
      <c r="L3620">
        <v>204.3586</v>
      </c>
      <c r="M3620">
        <v>0.64172030000000002</v>
      </c>
      <c r="N3620">
        <v>0</v>
      </c>
      <c r="O3620">
        <v>-0.76676599999999995</v>
      </c>
      <c r="P3620">
        <v>0.4294133</v>
      </c>
      <c r="Q3620">
        <v>8.3119730000000003E-2</v>
      </c>
      <c r="R3620">
        <v>-0.89927509999999999</v>
      </c>
      <c r="S3620">
        <v>0.40644839999999999</v>
      </c>
      <c r="T3620">
        <v>-0.45144260000000003</v>
      </c>
      <c r="U3620">
        <v>-3.20546</v>
      </c>
      <c r="V3620">
        <v>0.25129899999999999</v>
      </c>
      <c r="W3620">
        <v>8.9700909999999995E-2</v>
      </c>
      <c r="X3620">
        <v>0.96374400000000005</v>
      </c>
      <c r="Y3620">
        <v>0.54018469999999996</v>
      </c>
      <c r="Z3620">
        <v>8.0196680000000006E-2</v>
      </c>
      <c r="AA3620">
        <v>0.83771649999999998</v>
      </c>
      <c r="AB3620">
        <v>32</v>
      </c>
      <c r="AC3620">
        <v>0.77139999999999898</v>
      </c>
      <c r="AD3620">
        <v>-1.095098186565</v>
      </c>
      <c r="AE3620">
        <v>-7.5053000000000001</v>
      </c>
      <c r="AF3620">
        <v>4.1381997211997401</v>
      </c>
      <c r="AG3620">
        <v>-1.095098186565</v>
      </c>
      <c r="AH3620">
        <v>6.1216932703895797</v>
      </c>
      <c r="AI3620">
        <v>98.430052656201298</v>
      </c>
      <c r="AJ3620">
        <v>55.941723729012999</v>
      </c>
      <c r="AK3620">
        <v>7.4698772056499498</v>
      </c>
      <c r="AL3620">
        <v>84.853598938865204</v>
      </c>
      <c r="AM3620">
        <v>75.385387089747596</v>
      </c>
      <c r="AN3620">
        <v>0.99999996909591304</v>
      </c>
    </row>
    <row r="3621" spans="1:40" x14ac:dyDescent="0.25">
      <c r="A3621" t="str">
        <f>"20190312151059337"</f>
        <v>20190312151059337</v>
      </c>
      <c r="B3621" t="str">
        <f>"1552374659334162"</f>
        <v>1552374659334162</v>
      </c>
      <c r="C3621" t="s">
        <v>40</v>
      </c>
      <c r="D3621">
        <v>5.0219480000000001</v>
      </c>
      <c r="E3621">
        <v>0.65705279999999999</v>
      </c>
      <c r="F3621" t="s">
        <v>42</v>
      </c>
      <c r="G3621">
        <v>-190.47210000000001</v>
      </c>
      <c r="H3621" s="1">
        <v>-1.4986839999999999E-6</v>
      </c>
      <c r="I3621">
        <v>192.78970000000001</v>
      </c>
      <c r="J3621">
        <v>-190.84870000000001</v>
      </c>
      <c r="K3621">
        <v>1.0949850000000001</v>
      </c>
      <c r="L3621">
        <v>204.11349999999999</v>
      </c>
      <c r="M3621">
        <v>0.62881309999999901</v>
      </c>
      <c r="N3621">
        <v>0</v>
      </c>
      <c r="O3621">
        <v>-0.77738549999999995</v>
      </c>
      <c r="P3621">
        <v>0.41414319999999999</v>
      </c>
      <c r="Q3621">
        <v>8.2304249999999995E-2</v>
      </c>
      <c r="R3621">
        <v>-0.9064837</v>
      </c>
      <c r="S3621">
        <v>0.16012570000000001</v>
      </c>
      <c r="T3621">
        <v>-0.31127129999999997</v>
      </c>
      <c r="U3621">
        <v>-3.2883450000000001</v>
      </c>
      <c r="V3621">
        <v>0.2515289</v>
      </c>
      <c r="W3621">
        <v>8.8861229999999999E-2</v>
      </c>
      <c r="X3621">
        <v>0.96376189999999995</v>
      </c>
      <c r="Y3621">
        <v>0.59011849999999999</v>
      </c>
      <c r="Z3621">
        <v>5.3892990000000002E-2</v>
      </c>
      <c r="AA3621">
        <v>0.8055158</v>
      </c>
      <c r="AB3621">
        <v>32</v>
      </c>
      <c r="AC3621">
        <v>0.37659999999999599</v>
      </c>
      <c r="AD3621">
        <v>-1.0949864986839899</v>
      </c>
      <c r="AE3621">
        <v>-11.323799999999901</v>
      </c>
      <c r="AF3621">
        <v>6.7655074948490599</v>
      </c>
      <c r="AG3621">
        <v>-1.0949864986839899</v>
      </c>
      <c r="AH3621">
        <v>8.9573084261584999</v>
      </c>
      <c r="AI3621">
        <v>95.571406579932898</v>
      </c>
      <c r="AJ3621">
        <v>52.936035385364598</v>
      </c>
      <c r="AK3621">
        <v>11.2784955262875</v>
      </c>
      <c r="AL3621">
        <v>84.901902389402295</v>
      </c>
      <c r="AM3621">
        <v>75.372850160490898</v>
      </c>
      <c r="AN3621">
        <v>1.0000000528119599</v>
      </c>
    </row>
    <row r="3622" spans="1:40" x14ac:dyDescent="0.25">
      <c r="A3622" t="str">
        <f>"20190312151059362"</f>
        <v>20190312151059362</v>
      </c>
      <c r="B3622" t="str">
        <f>"1552374659354385"</f>
        <v>1552374659354385</v>
      </c>
      <c r="C3622" t="s">
        <v>40</v>
      </c>
      <c r="D3622">
        <v>5.0642420000000001</v>
      </c>
      <c r="E3622">
        <v>0.65620059999999902</v>
      </c>
      <c r="F3622" t="s">
        <v>42</v>
      </c>
      <c r="G3622">
        <v>-190.46789999999999</v>
      </c>
      <c r="H3622" s="1">
        <v>-1.2274290000000001E-6</v>
      </c>
      <c r="I3622">
        <v>192.16</v>
      </c>
      <c r="J3622">
        <v>-190.64169999999999</v>
      </c>
      <c r="K3622">
        <v>1.0948709999999999</v>
      </c>
      <c r="L3622">
        <v>203.83070000000001</v>
      </c>
      <c r="M3622">
        <v>0.61378549999999998</v>
      </c>
      <c r="N3622">
        <v>0</v>
      </c>
      <c r="O3622">
        <v>-0.78930310000000004</v>
      </c>
      <c r="P3622">
        <v>0.39682820000000002</v>
      </c>
      <c r="Q3622">
        <v>8.1474240000000003E-2</v>
      </c>
      <c r="R3622">
        <v>-0.91427000000000003</v>
      </c>
      <c r="S3622">
        <v>0.10476679999999999</v>
      </c>
      <c r="T3622">
        <v>-0.30128909999999998</v>
      </c>
      <c r="U3622">
        <v>-3.2890320000000002</v>
      </c>
      <c r="V3622">
        <v>0.25141089999999999</v>
      </c>
      <c r="W3622">
        <v>8.8022909999999996E-2</v>
      </c>
      <c r="X3622">
        <v>0.96386959999999999</v>
      </c>
      <c r="Y3622">
        <v>0.58820469999999903</v>
      </c>
      <c r="Z3622">
        <v>5.3807210000000001E-2</v>
      </c>
      <c r="AA3622">
        <v>0.80692010000000003</v>
      </c>
      <c r="AB3622">
        <v>32</v>
      </c>
      <c r="AC3622">
        <v>0.17379999999999901</v>
      </c>
      <c r="AD3622">
        <v>-1.0948722274289999</v>
      </c>
      <c r="AE3622">
        <v>-11.6707</v>
      </c>
      <c r="AF3622">
        <v>6.9657748238034296</v>
      </c>
      <c r="AG3622">
        <v>-1.0948722274289999</v>
      </c>
      <c r="AH3622">
        <v>9.2383554796887104</v>
      </c>
      <c r="AI3622">
        <v>95.405730366982297</v>
      </c>
      <c r="AJ3622">
        <v>52.983489909137496</v>
      </c>
      <c r="AK3622">
        <v>11.621874894328499</v>
      </c>
      <c r="AL3622">
        <v>84.950123482296803</v>
      </c>
      <c r="AM3622">
        <v>75.380981789892999</v>
      </c>
      <c r="AN3622">
        <v>1.0000000395639099</v>
      </c>
    </row>
    <row r="3623" spans="1:40" x14ac:dyDescent="0.25">
      <c r="A3623" t="str">
        <f>"20190312151059383"</f>
        <v>20190312151059383</v>
      </c>
      <c r="B3623" t="str">
        <f>"1552374659374881"</f>
        <v>1552374659374881</v>
      </c>
      <c r="C3623" t="s">
        <v>40</v>
      </c>
      <c r="D3623">
        <v>5.0513459999999997</v>
      </c>
      <c r="E3623">
        <v>0.65455319999999995</v>
      </c>
      <c r="F3623" t="s">
        <v>42</v>
      </c>
      <c r="G3623">
        <v>-190.46420000000001</v>
      </c>
      <c r="H3623" s="1">
        <v>-1.0827499999999999E-6</v>
      </c>
      <c r="I3623">
        <v>191.82509999999999</v>
      </c>
      <c r="J3623">
        <v>-190.4547</v>
      </c>
      <c r="K3623">
        <v>1.094781</v>
      </c>
      <c r="L3623">
        <v>203.565</v>
      </c>
      <c r="M3623">
        <v>0.59955630000000004</v>
      </c>
      <c r="N3623">
        <v>0</v>
      </c>
      <c r="O3623">
        <v>-0.80016430000000005</v>
      </c>
      <c r="P3623">
        <v>0.38087739999999998</v>
      </c>
      <c r="Q3623">
        <v>8.0678760000000002E-2</v>
      </c>
      <c r="R3623">
        <v>-0.92109920000000001</v>
      </c>
      <c r="S3623">
        <v>4.8599240000000002E-2</v>
      </c>
      <c r="T3623">
        <v>-0.29975639999999998</v>
      </c>
      <c r="U3623">
        <v>-3.286896</v>
      </c>
      <c r="V3623">
        <v>0.25093979999999999</v>
      </c>
      <c r="W3623">
        <v>8.7238209999999997E-2</v>
      </c>
      <c r="X3623">
        <v>0.96406360000000002</v>
      </c>
      <c r="Y3623">
        <v>0.58750329999999995</v>
      </c>
      <c r="Z3623">
        <v>5.5022429999999997E-2</v>
      </c>
      <c r="AA3623">
        <v>0.80734899999999998</v>
      </c>
      <c r="AB3623">
        <v>32</v>
      </c>
      <c r="AC3623">
        <v>-9.5000000000027198E-3</v>
      </c>
      <c r="AD3623">
        <v>-1.0947820827500001</v>
      </c>
      <c r="AE3623">
        <v>-11.7399</v>
      </c>
      <c r="AF3623">
        <v>6.9865259012031</v>
      </c>
      <c r="AG3623">
        <v>-1.0947820827500001</v>
      </c>
      <c r="AH3623">
        <v>9.3084699078839392</v>
      </c>
      <c r="AI3623">
        <v>95.373659331472794</v>
      </c>
      <c r="AJ3623">
        <v>53.109727692526199</v>
      </c>
      <c r="AK3623">
        <v>11.690068605567401</v>
      </c>
      <c r="AL3623">
        <v>84.995256691105396</v>
      </c>
      <c r="AM3623">
        <v>75.410016089966206</v>
      </c>
      <c r="AN3623">
        <v>0.99999995667650099</v>
      </c>
    </row>
    <row r="3624" spans="1:40" x14ac:dyDescent="0.25">
      <c r="A3624" t="str">
        <f>"20190312151059405"</f>
        <v>20190312151059405</v>
      </c>
      <c r="B3624" t="str">
        <f>"1552374659394402"</f>
        <v>1552374659394402</v>
      </c>
      <c r="C3624" t="s">
        <v>40</v>
      </c>
      <c r="D3624">
        <v>5.0352180000000004</v>
      </c>
      <c r="E3624">
        <v>0.65295630000000005</v>
      </c>
      <c r="F3624" t="s">
        <v>42</v>
      </c>
      <c r="G3624">
        <v>-190.44110000000001</v>
      </c>
      <c r="H3624" s="1">
        <v>-1.02132E-6</v>
      </c>
      <c r="I3624">
        <v>191.69630000000001</v>
      </c>
      <c r="J3624">
        <v>-190.2775</v>
      </c>
      <c r="K3624">
        <v>1.0947020000000001</v>
      </c>
      <c r="L3624">
        <v>203.3038</v>
      </c>
      <c r="M3624">
        <v>0.58546319999999996</v>
      </c>
      <c r="N3624">
        <v>0</v>
      </c>
      <c r="O3624">
        <v>-0.81053229999999998</v>
      </c>
      <c r="P3624">
        <v>0.36582350000000002</v>
      </c>
      <c r="Q3624">
        <v>8.0131999999999995E-2</v>
      </c>
      <c r="R3624">
        <v>-0.92722850000000001</v>
      </c>
      <c r="S3624">
        <v>3.7536620000000001E-3</v>
      </c>
      <c r="T3624">
        <v>-0.30272749999999998</v>
      </c>
      <c r="U3624">
        <v>-3.2819370000000001</v>
      </c>
      <c r="V3624">
        <v>0.24979699999999999</v>
      </c>
      <c r="W3624">
        <v>8.6733229999999994E-2</v>
      </c>
      <c r="X3624">
        <v>0.96440599999999999</v>
      </c>
      <c r="Y3624">
        <v>0.58435870000000001</v>
      </c>
      <c r="Z3624">
        <v>5.7139780000000001E-2</v>
      </c>
      <c r="AA3624">
        <v>0.80948129999999996</v>
      </c>
      <c r="AB3624">
        <v>32</v>
      </c>
      <c r="AC3624">
        <v>-0.16360000000000199</v>
      </c>
      <c r="AD3624">
        <v>-1.09470302132</v>
      </c>
      <c r="AE3624">
        <v>-11.6074999999999</v>
      </c>
      <c r="AF3624">
        <v>6.8682270736772999</v>
      </c>
      <c r="AG3624">
        <v>-1.09470302132</v>
      </c>
      <c r="AH3624">
        <v>9.2316371131452506</v>
      </c>
      <c r="AI3624">
        <v>95.434715831351795</v>
      </c>
      <c r="AJ3624">
        <v>53.3511957401224</v>
      </c>
      <c r="AK3624">
        <v>11.558288871164301</v>
      </c>
      <c r="AL3624">
        <v>85.024300535833703</v>
      </c>
      <c r="AM3624">
        <v>75.478582460550996</v>
      </c>
      <c r="AN3624">
        <v>1.0000000636156099</v>
      </c>
    </row>
    <row r="3625" spans="1:40" x14ac:dyDescent="0.25">
      <c r="A3625" t="str">
        <f>"20190312151059427"</f>
        <v>20190312151059427</v>
      </c>
      <c r="B3625" t="str">
        <f>"1552374659424658"</f>
        <v>1552374659424658</v>
      </c>
      <c r="C3625" t="s">
        <v>40</v>
      </c>
      <c r="D3625">
        <v>5.0920459999999999</v>
      </c>
      <c r="E3625">
        <v>0.65071509999999999</v>
      </c>
      <c r="F3625" t="s">
        <v>42</v>
      </c>
      <c r="G3625">
        <v>-190.41489999999999</v>
      </c>
      <c r="H3625" s="1">
        <v>-8.8038479999999999E-7</v>
      </c>
      <c r="I3625">
        <v>191.38390000000001</v>
      </c>
      <c r="J3625">
        <v>-190.10040000000001</v>
      </c>
      <c r="K3625">
        <v>1.094641</v>
      </c>
      <c r="L3625">
        <v>203.03219999999999</v>
      </c>
      <c r="M3625">
        <v>0.57071660000000002</v>
      </c>
      <c r="N3625">
        <v>0</v>
      </c>
      <c r="O3625">
        <v>-0.82098159999999898</v>
      </c>
      <c r="P3625">
        <v>0.35064919999999999</v>
      </c>
      <c r="Q3625">
        <v>7.9684350000000001E-2</v>
      </c>
      <c r="R3625">
        <v>-0.93311100000000002</v>
      </c>
      <c r="S3625">
        <v>-3.77655E-2</v>
      </c>
      <c r="T3625">
        <v>-0.30089759999999999</v>
      </c>
      <c r="U3625">
        <v>-3.2763819999999999</v>
      </c>
      <c r="V3625">
        <v>0.24811459999999999</v>
      </c>
      <c r="W3625">
        <v>8.6352739999999997E-2</v>
      </c>
      <c r="X3625">
        <v>0.96487429999999996</v>
      </c>
      <c r="Y3625">
        <v>0.57995289999999999</v>
      </c>
      <c r="Z3625">
        <v>5.8433989999999998E-2</v>
      </c>
      <c r="AA3625">
        <v>0.81255159999999904</v>
      </c>
      <c r="AB3625">
        <v>32</v>
      </c>
      <c r="AC3625">
        <v>-0.31449999999998102</v>
      </c>
      <c r="AD3625">
        <v>-1.0946418803847999</v>
      </c>
      <c r="AE3625">
        <v>-11.6482999999999</v>
      </c>
      <c r="AF3625">
        <v>6.8465960084070403</v>
      </c>
      <c r="AG3625">
        <v>-1.0946418803847999</v>
      </c>
      <c r="AH3625">
        <v>9.3027306689486409</v>
      </c>
      <c r="AI3625">
        <v>95.413704015093302</v>
      </c>
      <c r="AJ3625">
        <v>53.647785697681798</v>
      </c>
      <c r="AK3625">
        <v>11.60236681232</v>
      </c>
      <c r="AL3625">
        <v>85.046182952619205</v>
      </c>
      <c r="AM3625">
        <v>75.579000417851105</v>
      </c>
      <c r="AN3625">
        <v>1.0000000326195699</v>
      </c>
    </row>
    <row r="3626" spans="1:40" x14ac:dyDescent="0.25">
      <c r="A3626" t="str">
        <f>"20190312151059449"</f>
        <v>20190312151059449</v>
      </c>
      <c r="B3626" t="str">
        <f>"1552374659444177"</f>
        <v>1552374659444177</v>
      </c>
      <c r="C3626" t="s">
        <v>40</v>
      </c>
      <c r="D3626">
        <v>5.0857049999999999</v>
      </c>
      <c r="E3626">
        <v>0.63564350000000003</v>
      </c>
      <c r="F3626" t="s">
        <v>42</v>
      </c>
      <c r="G3626">
        <v>-190.3723</v>
      </c>
      <c r="H3626" s="1">
        <v>-7.5898980000000001E-7</v>
      </c>
      <c r="I3626">
        <v>191.12739999999999</v>
      </c>
      <c r="J3626">
        <v>-189.93119999999999</v>
      </c>
      <c r="K3626">
        <v>1.0945860000000001</v>
      </c>
      <c r="L3626">
        <v>202.76230000000001</v>
      </c>
      <c r="M3626">
        <v>0.55598369999999997</v>
      </c>
      <c r="N3626">
        <v>0</v>
      </c>
      <c r="O3626">
        <v>-0.83102909999999997</v>
      </c>
      <c r="P3626">
        <v>0.33602100000000001</v>
      </c>
      <c r="Q3626">
        <v>7.9455750000000006E-2</v>
      </c>
      <c r="R3626">
        <v>-0.93849709999999997</v>
      </c>
      <c r="S3626">
        <v>-7.4676510000000001E-2</v>
      </c>
      <c r="T3626">
        <v>-0.30056260000000001</v>
      </c>
      <c r="U3626">
        <v>-3.2687680000000001</v>
      </c>
      <c r="V3626">
        <v>0.24599969999999999</v>
      </c>
      <c r="W3626">
        <v>8.6212120000000003E-2</v>
      </c>
      <c r="X3626">
        <v>0.96542819999999996</v>
      </c>
      <c r="Y3626">
        <v>0.5746175</v>
      </c>
      <c r="Z3626">
        <v>6.0025540000000002E-2</v>
      </c>
      <c r="AA3626">
        <v>0.81621790000000005</v>
      </c>
      <c r="AB3626">
        <v>32</v>
      </c>
      <c r="AC3626">
        <v>-0.44110000000000499</v>
      </c>
      <c r="AD3626">
        <v>-1.0945867589898</v>
      </c>
      <c r="AE3626">
        <v>-11.6349</v>
      </c>
      <c r="AF3626">
        <v>6.7764244204107698</v>
      </c>
      <c r="AG3626">
        <v>-1.0945867589898</v>
      </c>
      <c r="AH3626">
        <v>9.3424137922044608</v>
      </c>
      <c r="AI3626">
        <v>95.417795437335201</v>
      </c>
      <c r="AJ3626">
        <v>54.045129319473098</v>
      </c>
      <c r="AK3626">
        <v>11.5930472078426</v>
      </c>
      <c r="AL3626">
        <v>85.054269860852202</v>
      </c>
      <c r="AM3626">
        <v>75.704729213560398</v>
      </c>
      <c r="AN3626">
        <v>0.999999995695112</v>
      </c>
    </row>
    <row r="3627" spans="1:40" x14ac:dyDescent="0.25">
      <c r="A3627" t="str">
        <f>"20190312151059472"</f>
        <v>20190312151059472</v>
      </c>
      <c r="B3627" t="str">
        <f>"1552374659464677"</f>
        <v>1552374659464677</v>
      </c>
      <c r="C3627" t="s">
        <v>40</v>
      </c>
      <c r="D3627">
        <v>5.143815</v>
      </c>
      <c r="E3627">
        <v>0.63414469999999901</v>
      </c>
      <c r="F3627" t="s">
        <v>42</v>
      </c>
      <c r="G3627">
        <v>-189.97640000000001</v>
      </c>
      <c r="H3627" s="1">
        <v>-9.2809439999999997E-7</v>
      </c>
      <c r="I3627">
        <v>191.7672</v>
      </c>
      <c r="J3627">
        <v>-189.76150000000001</v>
      </c>
      <c r="K3627">
        <v>1.094535</v>
      </c>
      <c r="L3627">
        <v>202.48050000000001</v>
      </c>
      <c r="M3627">
        <v>0.54052529999999999</v>
      </c>
      <c r="N3627">
        <v>0</v>
      </c>
      <c r="O3627">
        <v>-0.8411651</v>
      </c>
      <c r="P3627">
        <v>0.3203917</v>
      </c>
      <c r="Q3627">
        <v>7.9323190000000002E-2</v>
      </c>
      <c r="R3627">
        <v>-0.94395830000000003</v>
      </c>
      <c r="S3627">
        <v>-1.3275149999999999E-2</v>
      </c>
      <c r="T3627">
        <v>-0.3214089</v>
      </c>
      <c r="U3627">
        <v>-3.2285460000000001</v>
      </c>
      <c r="V3627">
        <v>0.24419080000000001</v>
      </c>
      <c r="W3627">
        <v>8.6157490000000003E-2</v>
      </c>
      <c r="X3627">
        <v>0.96589219999999998</v>
      </c>
      <c r="Y3627">
        <v>0.54381009999999996</v>
      </c>
      <c r="Z3627">
        <v>6.7538399999999901E-2</v>
      </c>
      <c r="AA3627">
        <v>0.83648619999999996</v>
      </c>
      <c r="AB3627">
        <v>32</v>
      </c>
      <c r="AC3627">
        <v>-0.21490000000000001</v>
      </c>
      <c r="AD3627">
        <v>-1.0945359280944</v>
      </c>
      <c r="AE3627">
        <v>-10.7133</v>
      </c>
      <c r="AF3627">
        <v>5.9107226077554502</v>
      </c>
      <c r="AG3627">
        <v>-1.0945359280944</v>
      </c>
      <c r="AH3627">
        <v>8.8048454524354707</v>
      </c>
      <c r="AI3627">
        <v>95.892706540421202</v>
      </c>
      <c r="AJ3627">
        <v>56.126404126561802</v>
      </c>
      <c r="AK3627">
        <v>10.661142250481101</v>
      </c>
      <c r="AL3627">
        <v>85.057411645316705</v>
      </c>
      <c r="AM3627">
        <v>75.8121261968965</v>
      </c>
      <c r="AN3627">
        <v>1.00000000095429</v>
      </c>
    </row>
    <row r="3628" spans="1:40" x14ac:dyDescent="0.25">
      <c r="A3628" t="str">
        <f>"20190312151059489"</f>
        <v>20190312151059489</v>
      </c>
      <c r="B3628" t="str">
        <f>"1552374659484194"</f>
        <v>1552374659484194</v>
      </c>
      <c r="C3628" t="s">
        <v>40</v>
      </c>
      <c r="D3628">
        <v>5.2480129999999896</v>
      </c>
      <c r="E3628">
        <v>0.63220169999999998</v>
      </c>
      <c r="F3628" t="s">
        <v>42</v>
      </c>
      <c r="G3628">
        <v>-189.9495</v>
      </c>
      <c r="H3628" s="1">
        <v>-8.5295419999999895E-7</v>
      </c>
      <c r="I3628">
        <v>191.6002</v>
      </c>
      <c r="J3628">
        <v>-189.64099999999999</v>
      </c>
      <c r="K3628">
        <v>1.0945100000000001</v>
      </c>
      <c r="L3628">
        <v>202.27250000000001</v>
      </c>
      <c r="M3628">
        <v>0.52907720000000003</v>
      </c>
      <c r="N3628">
        <v>0</v>
      </c>
      <c r="O3628">
        <v>-0.84841239999999996</v>
      </c>
      <c r="P3628">
        <v>0.30847370000000002</v>
      </c>
      <c r="Q3628">
        <v>7.9391699999999996E-2</v>
      </c>
      <c r="R3628">
        <v>-0.94791449999999999</v>
      </c>
      <c r="S3628">
        <v>-5.57251E-2</v>
      </c>
      <c r="T3628">
        <v>-0.32436009999999998</v>
      </c>
      <c r="U3628">
        <v>-3.2243189999999999</v>
      </c>
      <c r="V3628">
        <v>0.24327589999999999</v>
      </c>
      <c r="W3628">
        <v>8.6266280000000001E-2</v>
      </c>
      <c r="X3628">
        <v>0.96611329999999995</v>
      </c>
      <c r="Y3628">
        <v>0.54345429999999995</v>
      </c>
      <c r="Z3628">
        <v>6.9306629999999994E-2</v>
      </c>
      <c r="AA3628">
        <v>0.83657280000000001</v>
      </c>
      <c r="AB3628">
        <v>32</v>
      </c>
      <c r="AC3628">
        <v>-0.30850000000000899</v>
      </c>
      <c r="AD3628">
        <v>-1.09451085295419</v>
      </c>
      <c r="AE3628">
        <v>-10.6723</v>
      </c>
      <c r="AF3628">
        <v>5.8475625487554002</v>
      </c>
      <c r="AG3628">
        <v>-1.09451085295419</v>
      </c>
      <c r="AH3628">
        <v>8.80002893847732</v>
      </c>
      <c r="AI3628">
        <v>95.914216171816406</v>
      </c>
      <c r="AJ3628">
        <v>56.396218110406402</v>
      </c>
      <c r="AK3628">
        <v>10.622262051318399</v>
      </c>
      <c r="AL3628">
        <v>85.051154997339296</v>
      </c>
      <c r="AM3628">
        <v>75.866253923902406</v>
      </c>
      <c r="AN3628">
        <v>0.99999997151136799</v>
      </c>
    </row>
    <row r="3629" spans="1:40" x14ac:dyDescent="0.25">
      <c r="A3629" t="str">
        <f>"20190312151059505"</f>
        <v>20190312151059505</v>
      </c>
      <c r="B3629" t="str">
        <f>"1552374659494930"</f>
        <v>1552374659494930</v>
      </c>
      <c r="C3629" t="s">
        <v>40</v>
      </c>
      <c r="D3629">
        <v>5.2328330000000003</v>
      </c>
      <c r="E3629">
        <v>0.63141059999999904</v>
      </c>
      <c r="F3629" t="s">
        <v>42</v>
      </c>
      <c r="G3629">
        <v>-189.91659999999999</v>
      </c>
      <c r="H3629" s="1">
        <v>-7.9072269999999902E-7</v>
      </c>
      <c r="I3629">
        <v>191.44149999999999</v>
      </c>
      <c r="J3629">
        <v>-189.51920000000001</v>
      </c>
      <c r="K3629">
        <v>1.0944879999999999</v>
      </c>
      <c r="L3629">
        <v>202.0557</v>
      </c>
      <c r="M3629">
        <v>0.51710829999999997</v>
      </c>
      <c r="N3629">
        <v>0</v>
      </c>
      <c r="O3629">
        <v>-0.85575959999999995</v>
      </c>
      <c r="P3629">
        <v>0.29664069999999998</v>
      </c>
      <c r="Q3629">
        <v>7.9609449999999998E-2</v>
      </c>
      <c r="R3629">
        <v>-0.9516656</v>
      </c>
      <c r="S3629">
        <v>-8.1893919999999995E-2</v>
      </c>
      <c r="T3629">
        <v>-0.32526480000000002</v>
      </c>
      <c r="U3629">
        <v>-3.2187350000000001</v>
      </c>
      <c r="V3629">
        <v>0.2417444</v>
      </c>
      <c r="W3629">
        <v>8.6551320000000001E-2</v>
      </c>
      <c r="X3629">
        <v>0.9664722</v>
      </c>
      <c r="Y3629">
        <v>0.53848529999999994</v>
      </c>
      <c r="Z3629">
        <v>7.0864789999999997E-2</v>
      </c>
      <c r="AA3629">
        <v>0.8396498</v>
      </c>
      <c r="AB3629">
        <v>32</v>
      </c>
      <c r="AC3629">
        <v>-0.39739999999997599</v>
      </c>
      <c r="AD3629">
        <v>-1.0944887907226999</v>
      </c>
      <c r="AE3629">
        <v>-10.6142</v>
      </c>
      <c r="AF3629">
        <v>5.7683223577572997</v>
      </c>
      <c r="AG3629">
        <v>-1.0944887907226999</v>
      </c>
      <c r="AH3629">
        <v>8.7856382151824803</v>
      </c>
      <c r="AI3629">
        <v>95.945206073070594</v>
      </c>
      <c r="AJ3629">
        <v>56.7125906371772</v>
      </c>
      <c r="AK3629">
        <v>10.566876898312699</v>
      </c>
      <c r="AL3629">
        <v>85.034762234572398</v>
      </c>
      <c r="AM3629">
        <v>75.956706903878896</v>
      </c>
      <c r="AN3629">
        <v>0.99999999964897102</v>
      </c>
    </row>
    <row r="3630" spans="1:40" x14ac:dyDescent="0.25">
      <c r="A3630" t="str">
        <f>"20190312151059528"</f>
        <v>20190312151059528</v>
      </c>
      <c r="B3630" t="str">
        <f>"1552374659524209"</f>
        <v>1552374659524209</v>
      </c>
      <c r="C3630" t="s">
        <v>40</v>
      </c>
      <c r="D3630">
        <v>5.2778809999999998</v>
      </c>
      <c r="E3630">
        <v>0.62171719999999997</v>
      </c>
      <c r="F3630" t="s">
        <v>42</v>
      </c>
      <c r="G3630">
        <v>-189.91249999999999</v>
      </c>
      <c r="H3630" s="1">
        <v>-6.8181239999999996E-7</v>
      </c>
      <c r="I3630">
        <v>191.1859</v>
      </c>
      <c r="J3630">
        <v>-189.36670000000001</v>
      </c>
      <c r="K3630">
        <v>1.094463</v>
      </c>
      <c r="L3630">
        <v>201.77330000000001</v>
      </c>
      <c r="M3630">
        <v>0.50146670000000004</v>
      </c>
      <c r="N3630">
        <v>0</v>
      </c>
      <c r="O3630">
        <v>-0.86501779999999995</v>
      </c>
      <c r="P3630">
        <v>0.28086650000000002</v>
      </c>
      <c r="Q3630">
        <v>7.9638970000000003E-2</v>
      </c>
      <c r="R3630">
        <v>-0.95643719999999999</v>
      </c>
      <c r="S3630">
        <v>-0.1163483</v>
      </c>
      <c r="T3630">
        <v>-0.32379619999999998</v>
      </c>
      <c r="U3630">
        <v>-3.2157439999999999</v>
      </c>
      <c r="V3630">
        <v>0.24015739999999999</v>
      </c>
      <c r="W3630">
        <v>8.6652960000000001E-2</v>
      </c>
      <c r="X3630">
        <v>0.96685869999999996</v>
      </c>
      <c r="Y3630">
        <v>0.53217419999999904</v>
      </c>
      <c r="Z3630">
        <v>7.2175610000000001E-2</v>
      </c>
      <c r="AA3630">
        <v>0.84355279999999999</v>
      </c>
      <c r="AB3630">
        <v>32</v>
      </c>
      <c r="AC3630">
        <v>-0.54579999999998496</v>
      </c>
      <c r="AD3630">
        <v>-1.0944636818124001</v>
      </c>
      <c r="AE3630">
        <v>-10.587400000000001</v>
      </c>
      <c r="AF3630">
        <v>5.7211756929016602</v>
      </c>
      <c r="AG3630">
        <v>-1.0944636818124001</v>
      </c>
      <c r="AH3630">
        <v>8.7921070393108298</v>
      </c>
      <c r="AI3630">
        <v>95.956538440108503</v>
      </c>
      <c r="AJ3630">
        <v>56.947252450817899</v>
      </c>
      <c r="AK3630">
        <v>10.546603635794501</v>
      </c>
      <c r="AL3630">
        <v>85.028916876159201</v>
      </c>
      <c r="AM3630">
        <v>76.050644628358597</v>
      </c>
      <c r="AN3630">
        <v>1.0000000290086</v>
      </c>
    </row>
    <row r="3631" spans="1:40" x14ac:dyDescent="0.25">
      <c r="A3631" t="str">
        <f>"20190312151059544"</f>
        <v>20190312151059544</v>
      </c>
      <c r="B3631" t="str">
        <f>"1552374659534946"</f>
        <v>1552374659534946</v>
      </c>
      <c r="C3631" t="s">
        <v>40</v>
      </c>
      <c r="D3631">
        <v>5.3529229999999997</v>
      </c>
      <c r="E3631">
        <v>0.62139800000000001</v>
      </c>
      <c r="F3631" t="s">
        <v>42</v>
      </c>
      <c r="G3631">
        <v>-189.66810000000001</v>
      </c>
      <c r="H3631" s="1">
        <v>-9.419701E-7</v>
      </c>
      <c r="I3631">
        <v>191.69130000000001</v>
      </c>
      <c r="J3631">
        <v>-189.26050000000001</v>
      </c>
      <c r="K3631">
        <v>1.094452</v>
      </c>
      <c r="L3631">
        <v>201.5693</v>
      </c>
      <c r="M3631">
        <v>0.49013689999999999</v>
      </c>
      <c r="N3631">
        <v>0</v>
      </c>
      <c r="O3631">
        <v>-0.87148729999999996</v>
      </c>
      <c r="P3631">
        <v>0.26882270000000003</v>
      </c>
      <c r="Q3631">
        <v>7.957293E-2</v>
      </c>
      <c r="R3631">
        <v>-0.95989729999999995</v>
      </c>
      <c r="S3631">
        <v>-9.5489500000000005E-2</v>
      </c>
      <c r="T3631">
        <v>-0.34668179999999998</v>
      </c>
      <c r="U3631">
        <v>-3.1935579999999999</v>
      </c>
      <c r="V3631">
        <v>0.23969689999999999</v>
      </c>
      <c r="W3631">
        <v>8.6609740000000005E-2</v>
      </c>
      <c r="X3631">
        <v>0.96697679999999997</v>
      </c>
      <c r="Y3631">
        <v>0.51570959999999999</v>
      </c>
      <c r="Z3631">
        <v>7.9372639999999994E-2</v>
      </c>
      <c r="AA3631">
        <v>0.85307889999999997</v>
      </c>
      <c r="AB3631">
        <v>32</v>
      </c>
      <c r="AC3631">
        <v>-0.40760000000000202</v>
      </c>
      <c r="AD3631">
        <v>-1.0944529419700999</v>
      </c>
      <c r="AE3631">
        <v>-9.8779999999999806</v>
      </c>
      <c r="AF3631">
        <v>5.1345821774064104</v>
      </c>
      <c r="AG3631">
        <v>-1.0944529419700999</v>
      </c>
      <c r="AH3631">
        <v>8.3081142824535004</v>
      </c>
      <c r="AI3631">
        <v>96.393861490212998</v>
      </c>
      <c r="AJ3631">
        <v>58.283098630981399</v>
      </c>
      <c r="AK3631">
        <v>9.8278443368337101</v>
      </c>
      <c r="AL3631">
        <v>85.031402357050098</v>
      </c>
      <c r="AM3631">
        <v>76.077985158911204</v>
      </c>
      <c r="AN3631">
        <v>0.999999991335358</v>
      </c>
    </row>
    <row r="3632" spans="1:40" x14ac:dyDescent="0.25">
      <c r="A3632" t="str">
        <f>"20190312151059563"</f>
        <v>20190312151059563</v>
      </c>
      <c r="B3632" t="str">
        <f>"1552374659554465"</f>
        <v>1552374659554465</v>
      </c>
      <c r="C3632" t="s">
        <v>40</v>
      </c>
      <c r="D3632">
        <v>5.23604</v>
      </c>
      <c r="E3632">
        <v>0.62034929999999999</v>
      </c>
      <c r="F3632" t="s">
        <v>42</v>
      </c>
      <c r="G3632">
        <v>-189.67679999999999</v>
      </c>
      <c r="H3632" s="1">
        <v>-8.961918E-7</v>
      </c>
      <c r="I3632">
        <v>191.5882</v>
      </c>
      <c r="J3632">
        <v>-189.1377</v>
      </c>
      <c r="K3632">
        <v>1.094438</v>
      </c>
      <c r="L3632">
        <v>201.32490000000001</v>
      </c>
      <c r="M3632">
        <v>0.47653180000000001</v>
      </c>
      <c r="N3632">
        <v>0</v>
      </c>
      <c r="O3632">
        <v>-0.87900040000000002</v>
      </c>
      <c r="P3632">
        <v>0.25564160000000002</v>
      </c>
      <c r="Q3632">
        <v>7.9023399999999994E-2</v>
      </c>
      <c r="R3632">
        <v>-0.96353690000000003</v>
      </c>
      <c r="S3632">
        <v>-0.1331329</v>
      </c>
      <c r="T3632">
        <v>-0.34996870000000002</v>
      </c>
      <c r="U3632">
        <v>-3.1916199999999999</v>
      </c>
      <c r="V3632">
        <v>0.2379213</v>
      </c>
      <c r="W3632">
        <v>8.6140389999999997E-2</v>
      </c>
      <c r="X3632">
        <v>0.96745709999999996</v>
      </c>
      <c r="Y3632">
        <v>0.51245370000000001</v>
      </c>
      <c r="Z3632">
        <v>8.1464999999999996E-2</v>
      </c>
      <c r="AA3632">
        <v>0.85484189999999904</v>
      </c>
      <c r="AB3632">
        <v>32</v>
      </c>
      <c r="AC3632">
        <v>-0.53909999999999003</v>
      </c>
      <c r="AD3632">
        <v>-1.0944388961917999</v>
      </c>
      <c r="AE3632">
        <v>-9.7367000000000097</v>
      </c>
      <c r="AF3632">
        <v>5.0508019365271597</v>
      </c>
      <c r="AG3632">
        <v>-1.0944388961917999</v>
      </c>
      <c r="AH3632">
        <v>8.1995290234896796</v>
      </c>
      <c r="AI3632">
        <v>96.483575618095003</v>
      </c>
      <c r="AJ3632">
        <v>58.367477483913703</v>
      </c>
      <c r="AK3632">
        <v>9.6922996706959896</v>
      </c>
      <c r="AL3632">
        <v>85.058394935898306</v>
      </c>
      <c r="AM3632">
        <v>76.183745316760806</v>
      </c>
      <c r="AN3632">
        <v>0.99999997606172497</v>
      </c>
    </row>
    <row r="3633" spans="1:40" x14ac:dyDescent="0.25">
      <c r="A3633" t="str">
        <f>"20190312151059584"</f>
        <v>20190312151059584</v>
      </c>
      <c r="B3633" t="str">
        <f>"1552374659574961"</f>
        <v>1552374659574961</v>
      </c>
      <c r="C3633" t="s">
        <v>40</v>
      </c>
      <c r="D3633">
        <v>5.3155749999999999</v>
      </c>
      <c r="E3633">
        <v>0.60991280000000003</v>
      </c>
      <c r="F3633" t="s">
        <v>42</v>
      </c>
      <c r="G3633">
        <v>-189.66399999999999</v>
      </c>
      <c r="H3633" s="1">
        <v>-8.1314160000000002E-7</v>
      </c>
      <c r="I3633">
        <v>191.38929999999999</v>
      </c>
      <c r="J3633">
        <v>-188.99950000000001</v>
      </c>
      <c r="K3633">
        <v>1.094425</v>
      </c>
      <c r="L3633">
        <v>201.03739999999999</v>
      </c>
      <c r="M3633">
        <v>0.46048850000000002</v>
      </c>
      <c r="N3633">
        <v>0</v>
      </c>
      <c r="O3633">
        <v>-0.88750989999999996</v>
      </c>
      <c r="P3633">
        <v>0.2403641</v>
      </c>
      <c r="Q3633">
        <v>7.8509460000000003E-2</v>
      </c>
      <c r="R3633">
        <v>-0.96750270000000005</v>
      </c>
      <c r="S3633">
        <v>-0.16882320000000001</v>
      </c>
      <c r="T3633">
        <v>-0.3510723</v>
      </c>
      <c r="U3633">
        <v>-3.1871339999999999</v>
      </c>
      <c r="V3633">
        <v>0.23565700000000001</v>
      </c>
      <c r="W3633">
        <v>8.5728479999999996E-2</v>
      </c>
      <c r="X3633">
        <v>0.96804769999999896</v>
      </c>
      <c r="Y3633">
        <v>0.50645299999999904</v>
      </c>
      <c r="Z3633">
        <v>8.3389939999999996E-2</v>
      </c>
      <c r="AA3633">
        <v>0.85822579999999904</v>
      </c>
      <c r="AB3633">
        <v>32</v>
      </c>
      <c r="AC3633">
        <v>-0.66450000000000298</v>
      </c>
      <c r="AD3633">
        <v>-1.0944258131416</v>
      </c>
      <c r="AE3633">
        <v>-9.6480999999999995</v>
      </c>
      <c r="AF3633">
        <v>4.9696411691371596</v>
      </c>
      <c r="AG3633">
        <v>-1.0944258131416</v>
      </c>
      <c r="AH3633">
        <v>8.1535127030044006</v>
      </c>
      <c r="AI3633">
        <v>96.538453973986094</v>
      </c>
      <c r="AJ3633">
        <v>58.637307266834</v>
      </c>
      <c r="AK3633">
        <v>9.6111846620751002</v>
      </c>
      <c r="AL3633">
        <v>85.082083247709093</v>
      </c>
      <c r="AM3633">
        <v>76.318303002057206</v>
      </c>
      <c r="AN3633">
        <v>0.99999997170369903</v>
      </c>
    </row>
    <row r="3634" spans="1:40" x14ac:dyDescent="0.25">
      <c r="A3634" t="str">
        <f>"20190312151059606"</f>
        <v>20190312151059606</v>
      </c>
      <c r="B3634" t="str">
        <f>"1552374659594482"</f>
        <v>1552374659594482</v>
      </c>
      <c r="C3634" t="s">
        <v>40</v>
      </c>
      <c r="D3634">
        <v>5.3429270000000004</v>
      </c>
      <c r="E3634">
        <v>0.60867890000000002</v>
      </c>
      <c r="F3634" t="s">
        <v>42</v>
      </c>
      <c r="G3634">
        <v>-189.4555</v>
      </c>
      <c r="H3634" s="1">
        <v>-5.1737659999999899E-7</v>
      </c>
      <c r="I3634">
        <v>190.61359999999999</v>
      </c>
      <c r="J3634">
        <v>-188.8716</v>
      </c>
      <c r="K3634">
        <v>1.0944199999999999</v>
      </c>
      <c r="L3634">
        <v>200.7585</v>
      </c>
      <c r="M3634">
        <v>0.44489250000000002</v>
      </c>
      <c r="N3634">
        <v>0</v>
      </c>
      <c r="O3634">
        <v>-0.89542940000000004</v>
      </c>
      <c r="P3634">
        <v>0.22639790000000001</v>
      </c>
      <c r="Q3634">
        <v>7.8440889999999999E-2</v>
      </c>
      <c r="R3634">
        <v>-0.9708715</v>
      </c>
      <c r="S3634">
        <v>-0.1383209</v>
      </c>
      <c r="T3634">
        <v>-0.33200000000000002</v>
      </c>
      <c r="U3634">
        <v>-3.1620940000000002</v>
      </c>
      <c r="V3634">
        <v>0.23266919999999999</v>
      </c>
      <c r="W3634">
        <v>8.5792629999999995E-2</v>
      </c>
      <c r="X3634">
        <v>0.96876450000000003</v>
      </c>
      <c r="Y3634">
        <v>0.48334549999999998</v>
      </c>
      <c r="Z3634">
        <v>8.1487829999999997E-2</v>
      </c>
      <c r="AA3634">
        <v>0.87162879999999998</v>
      </c>
      <c r="AB3634">
        <v>31</v>
      </c>
      <c r="AC3634">
        <v>-0.58389999999999898</v>
      </c>
      <c r="AD3634">
        <v>-1.0944205173766</v>
      </c>
      <c r="AE3634">
        <v>-10.1449</v>
      </c>
      <c r="AF3634">
        <v>4.9791728812661002</v>
      </c>
      <c r="AG3634">
        <v>-1.0944205173766</v>
      </c>
      <c r="AH3634">
        <v>8.7242939294704502</v>
      </c>
      <c r="AI3634">
        <v>96.2178453275545</v>
      </c>
      <c r="AJ3634">
        <v>60.285515581827902</v>
      </c>
      <c r="AK3634">
        <v>10.104613966806699</v>
      </c>
      <c r="AL3634">
        <v>85.078394242939098</v>
      </c>
      <c r="AM3634">
        <v>76.494999679225501</v>
      </c>
      <c r="AN3634">
        <v>0.99999999422560304</v>
      </c>
    </row>
    <row r="3635" spans="1:40" x14ac:dyDescent="0.25">
      <c r="A3635" t="str">
        <f>"20190312151059628"</f>
        <v>20190312151059628</v>
      </c>
      <c r="B3635" t="str">
        <f>"1552374659624737"</f>
        <v>1552374659624737</v>
      </c>
      <c r="C3635" t="s">
        <v>40</v>
      </c>
      <c r="D3635">
        <v>5.3610030000000002</v>
      </c>
      <c r="E3635">
        <v>0.60598129999999994</v>
      </c>
      <c r="F3635" t="s">
        <v>42</v>
      </c>
      <c r="G3635">
        <v>-189.45089999999999</v>
      </c>
      <c r="H3635" s="1">
        <v>-3.5936909999999999E-7</v>
      </c>
      <c r="I3635">
        <v>190.24340000000001</v>
      </c>
      <c r="J3635">
        <v>-188.7439</v>
      </c>
      <c r="K3635">
        <v>1.094417</v>
      </c>
      <c r="L3635">
        <v>200.46639999999999</v>
      </c>
      <c r="M3635">
        <v>0.42851450000000002</v>
      </c>
      <c r="N3635">
        <v>0</v>
      </c>
      <c r="O3635">
        <v>-0.90338189999999996</v>
      </c>
      <c r="P3635">
        <v>0.21194750000000001</v>
      </c>
      <c r="Q3635">
        <v>7.8477350000000001E-2</v>
      </c>
      <c r="R3635">
        <v>-0.97412529999999997</v>
      </c>
      <c r="S3635">
        <v>-0.1739349</v>
      </c>
      <c r="T3635">
        <v>-0.32859650000000001</v>
      </c>
      <c r="U3635">
        <v>-3.1571349999999998</v>
      </c>
      <c r="V3635">
        <v>0.22942019999999999</v>
      </c>
      <c r="W3635">
        <v>8.5973170000000002E-2</v>
      </c>
      <c r="X3635">
        <v>0.96952309999999997</v>
      </c>
      <c r="Y3635">
        <v>0.47727550000000002</v>
      </c>
      <c r="Z3635">
        <v>8.2161040000000005E-2</v>
      </c>
      <c r="AA3635">
        <v>0.87490440000000003</v>
      </c>
      <c r="AB3635">
        <v>31</v>
      </c>
      <c r="AC3635">
        <v>-0.70699999999999297</v>
      </c>
      <c r="AD3635">
        <v>-1.0944173593691</v>
      </c>
      <c r="AE3635">
        <v>-10.2229999999999</v>
      </c>
      <c r="AF3635">
        <v>4.9634748547473198</v>
      </c>
      <c r="AG3635">
        <v>-1.0944173593691</v>
      </c>
      <c r="AH3635">
        <v>8.8328006345326706</v>
      </c>
      <c r="AI3635">
        <v>96.1650430207754</v>
      </c>
      <c r="AJ3635">
        <v>60.666769576398401</v>
      </c>
      <c r="AK3635">
        <v>10.1907899124453</v>
      </c>
      <c r="AL3635">
        <v>85.068011867717402</v>
      </c>
      <c r="AM3635">
        <v>76.6868674683233</v>
      </c>
      <c r="AN3635">
        <v>1.0000000277807399</v>
      </c>
    </row>
    <row r="3636" spans="1:40" x14ac:dyDescent="0.25">
      <c r="A3636" t="str">
        <f>"20190312151059652"</f>
        <v>20190312151059652</v>
      </c>
      <c r="B3636" t="str">
        <f>"1552374659644258"</f>
        <v>1552374659644258</v>
      </c>
      <c r="C3636" t="s">
        <v>40</v>
      </c>
      <c r="D3636">
        <v>5.3208039999999999</v>
      </c>
      <c r="E3636">
        <v>0.60506949999999904</v>
      </c>
      <c r="F3636" t="s">
        <v>42</v>
      </c>
      <c r="G3636">
        <v>-189.38849999999999</v>
      </c>
      <c r="H3636" s="1">
        <v>-3.9532410000000002E-7</v>
      </c>
      <c r="I3636">
        <v>190.3014</v>
      </c>
      <c r="J3636">
        <v>-188.61500000000001</v>
      </c>
      <c r="K3636">
        <v>1.094422</v>
      </c>
      <c r="L3636">
        <v>200.15610000000001</v>
      </c>
      <c r="M3636">
        <v>0.411076</v>
      </c>
      <c r="N3636">
        <v>0</v>
      </c>
      <c r="O3636">
        <v>-0.91144910000000001</v>
      </c>
      <c r="P3636">
        <v>0.19717290000000001</v>
      </c>
      <c r="Q3636">
        <v>7.9356220000000005E-2</v>
      </c>
      <c r="R3636">
        <v>-0.97715200000000002</v>
      </c>
      <c r="S3636">
        <v>-0.1997833</v>
      </c>
      <c r="T3636">
        <v>-0.3391962</v>
      </c>
      <c r="U3636">
        <v>-3.1504669999999999</v>
      </c>
      <c r="V3636">
        <v>0.2254688</v>
      </c>
      <c r="W3636">
        <v>8.7026359999999997E-2</v>
      </c>
      <c r="X3636">
        <v>0.97035570000000004</v>
      </c>
      <c r="Y3636">
        <v>0.46759790000000001</v>
      </c>
      <c r="Z3636">
        <v>8.6508619999999994E-2</v>
      </c>
      <c r="AA3636">
        <v>0.87969799999999998</v>
      </c>
      <c r="AB3636">
        <v>31</v>
      </c>
      <c r="AC3636">
        <v>-0.77349999999998398</v>
      </c>
      <c r="AD3636">
        <v>-1.0944223953240999</v>
      </c>
      <c r="AE3636">
        <v>-9.8546999999999993</v>
      </c>
      <c r="AF3636">
        <v>4.6990945390004804</v>
      </c>
      <c r="AG3636">
        <v>-1.0944223953240999</v>
      </c>
      <c r="AH3636">
        <v>8.5603587034250506</v>
      </c>
      <c r="AI3636">
        <v>96.3945975918503</v>
      </c>
      <c r="AJ3636">
        <v>61.236003514861999</v>
      </c>
      <c r="AK3636">
        <v>9.8264434561623606</v>
      </c>
      <c r="AL3636">
        <v>85.007441238858803</v>
      </c>
      <c r="AM3636">
        <v>76.9190483752365</v>
      </c>
      <c r="AN3636">
        <v>0.99999997581538902</v>
      </c>
    </row>
    <row r="3637" spans="1:40" x14ac:dyDescent="0.25">
      <c r="A3637" t="str">
        <f>"20190312151059674"</f>
        <v>20190312151059674</v>
      </c>
      <c r="B3637" t="str">
        <f>"1552374659664754"</f>
        <v>1552374659664754</v>
      </c>
      <c r="C3637" t="s">
        <v>40</v>
      </c>
      <c r="D3637">
        <v>5.3325199999999997</v>
      </c>
      <c r="E3637">
        <v>0.58993609999999996</v>
      </c>
      <c r="F3637" t="s">
        <v>42</v>
      </c>
      <c r="G3637">
        <v>-189.38229999999999</v>
      </c>
      <c r="H3637" s="1">
        <v>-3.1633430000000001E-7</v>
      </c>
      <c r="I3637">
        <v>190.09469999999999</v>
      </c>
      <c r="J3637">
        <v>-188.49870000000001</v>
      </c>
      <c r="K3637">
        <v>1.0944339999999999</v>
      </c>
      <c r="L3637">
        <v>199.86060000000001</v>
      </c>
      <c r="M3637">
        <v>0.3944356</v>
      </c>
      <c r="N3637">
        <v>0</v>
      </c>
      <c r="O3637">
        <v>-0.91877260000000005</v>
      </c>
      <c r="P3637">
        <v>0.1829018</v>
      </c>
      <c r="Q3637">
        <v>7.9254850000000002E-2</v>
      </c>
      <c r="R3637">
        <v>-0.97993160000000001</v>
      </c>
      <c r="S3637">
        <v>-0.23997499999999999</v>
      </c>
      <c r="T3637">
        <v>-0.3422462</v>
      </c>
      <c r="U3637">
        <v>-3.1463779999999999</v>
      </c>
      <c r="V3637">
        <v>0.2219699</v>
      </c>
      <c r="W3637">
        <v>8.708051E-2</v>
      </c>
      <c r="X3637">
        <v>0.97115720000000005</v>
      </c>
      <c r="Y3637">
        <v>0.4627694</v>
      </c>
      <c r="Z3637">
        <v>8.8668549999999999E-2</v>
      </c>
      <c r="AA3637">
        <v>0.88203310000000001</v>
      </c>
      <c r="AB3637">
        <v>31</v>
      </c>
      <c r="AC3637">
        <v>-0.88359999999997196</v>
      </c>
      <c r="AD3637">
        <v>-1.0944343163343</v>
      </c>
      <c r="AE3637">
        <v>-9.7659000000000091</v>
      </c>
      <c r="AF3637">
        <v>4.6071025053091299</v>
      </c>
      <c r="AG3637">
        <v>-1.0944343163343</v>
      </c>
      <c r="AH3637">
        <v>8.5191910296888391</v>
      </c>
      <c r="AI3637">
        <v>96.447151368854605</v>
      </c>
      <c r="AJ3637">
        <v>61.595872822150596</v>
      </c>
      <c r="AK3637">
        <v>9.7467838678985093</v>
      </c>
      <c r="AL3637">
        <v>85.004326867040604</v>
      </c>
      <c r="AM3637">
        <v>77.125496807183694</v>
      </c>
      <c r="AN3637">
        <v>0.99999997941985397</v>
      </c>
    </row>
    <row r="3638" spans="1:40" x14ac:dyDescent="0.25">
      <c r="A3638" t="str">
        <f>"20190312151059697"</f>
        <v>20190312151059697</v>
      </c>
      <c r="B3638" t="str">
        <f>"1552374659695011"</f>
        <v>1552374659695011</v>
      </c>
      <c r="C3638" t="s">
        <v>40</v>
      </c>
      <c r="D3638">
        <v>5.3504849999999999</v>
      </c>
      <c r="E3638">
        <v>0.58719829999999995</v>
      </c>
      <c r="F3638" t="s">
        <v>42</v>
      </c>
      <c r="G3638">
        <v>-189.04130000000001</v>
      </c>
      <c r="H3638" s="1">
        <v>-2.6039680000000001E-7</v>
      </c>
      <c r="I3638">
        <v>189.66370000000001</v>
      </c>
      <c r="J3638">
        <v>-188.38210000000001</v>
      </c>
      <c r="K3638">
        <v>1.0944499999999999</v>
      </c>
      <c r="L3638">
        <v>199.54759999999999</v>
      </c>
      <c r="M3638">
        <v>0.37677359999999999</v>
      </c>
      <c r="N3638">
        <v>0</v>
      </c>
      <c r="O3638">
        <v>-0.92615579999999997</v>
      </c>
      <c r="P3638">
        <v>0.16908699999999999</v>
      </c>
      <c r="Q3638">
        <v>7.8060660000000004E-2</v>
      </c>
      <c r="R3638">
        <v>-0.98250530000000003</v>
      </c>
      <c r="S3638">
        <v>-0.1659851</v>
      </c>
      <c r="T3638">
        <v>-0.33481490000000003</v>
      </c>
      <c r="U3638">
        <v>-3.1194920000000002</v>
      </c>
      <c r="V3638">
        <v>0.21703220000000001</v>
      </c>
      <c r="W3638">
        <v>8.610334E-2</v>
      </c>
      <c r="X3638">
        <v>0.97235970000000005</v>
      </c>
      <c r="Y3638">
        <v>0.425174</v>
      </c>
      <c r="Z3638">
        <v>8.9769139999999997E-2</v>
      </c>
      <c r="AA3638">
        <v>0.90064900000000003</v>
      </c>
      <c r="AB3638">
        <v>31</v>
      </c>
      <c r="AC3638">
        <v>-0.65919999999999801</v>
      </c>
      <c r="AD3638">
        <v>-1.0944502603967901</v>
      </c>
      <c r="AE3638">
        <v>-9.8838999999999793</v>
      </c>
      <c r="AF3638">
        <v>4.2828347029679303</v>
      </c>
      <c r="AG3638">
        <v>-1.0944502603967901</v>
      </c>
      <c r="AH3638">
        <v>8.7994812406959806</v>
      </c>
      <c r="AI3638">
        <v>96.381093024871902</v>
      </c>
      <c r="AJ3638">
        <v>64.047143580641901</v>
      </c>
      <c r="AK3638">
        <v>9.8474039508283404</v>
      </c>
      <c r="AL3638">
        <v>85.060526143990899</v>
      </c>
      <c r="AM3638">
        <v>77.417732140896305</v>
      </c>
      <c r="AN3638">
        <v>1.0000000735900401</v>
      </c>
    </row>
    <row r="3639" spans="1:40" x14ac:dyDescent="0.25">
      <c r="A3639" t="str">
        <f>"20190312151059730"</f>
        <v>20190312151059730</v>
      </c>
      <c r="B3639" t="str">
        <f>"1552374659724291"</f>
        <v>1552374659724291</v>
      </c>
      <c r="C3639" t="s">
        <v>40</v>
      </c>
      <c r="D3639">
        <v>5.2817629999999998</v>
      </c>
      <c r="E3639">
        <v>0.58401579999999997</v>
      </c>
      <c r="F3639" t="s">
        <v>42</v>
      </c>
      <c r="G3639">
        <v>-189.02160000000001</v>
      </c>
      <c r="H3639" s="1">
        <v>-4.1637020000000001E-6</v>
      </c>
      <c r="I3639">
        <v>188.93389999999999</v>
      </c>
      <c r="J3639">
        <v>-188.2303</v>
      </c>
      <c r="K3639">
        <v>1.094462</v>
      </c>
      <c r="L3639">
        <v>199.1062</v>
      </c>
      <c r="M3639">
        <v>0.35182010000000002</v>
      </c>
      <c r="N3639">
        <v>0</v>
      </c>
      <c r="O3639">
        <v>-0.93591950000000002</v>
      </c>
      <c r="P3639">
        <v>0.1490754</v>
      </c>
      <c r="Q3639">
        <v>7.5747809999999999E-2</v>
      </c>
      <c r="R3639">
        <v>-0.98592069999999998</v>
      </c>
      <c r="S3639">
        <v>-0.18743899999999999</v>
      </c>
      <c r="T3639">
        <v>-0.3208163</v>
      </c>
      <c r="U3639">
        <v>-3.1111909999999998</v>
      </c>
      <c r="V3639">
        <v>0.21070729999999999</v>
      </c>
      <c r="W3639">
        <v>8.4070350000000002E-2</v>
      </c>
      <c r="X3639">
        <v>0.9739274</v>
      </c>
      <c r="Y3639">
        <v>0.40719139999999998</v>
      </c>
      <c r="Z3639">
        <v>8.8188420000000003E-2</v>
      </c>
      <c r="AA3639">
        <v>0.90907530000000003</v>
      </c>
      <c r="AB3639">
        <v>31</v>
      </c>
      <c r="AC3639">
        <v>-0.791300000000006</v>
      </c>
      <c r="AD3639">
        <v>-1.0944661637019999</v>
      </c>
      <c r="AE3639">
        <v>-10.1723</v>
      </c>
      <c r="AF3639">
        <v>4.2708686377179399</v>
      </c>
      <c r="AG3639">
        <v>-1.0944661637019999</v>
      </c>
      <c r="AH3639">
        <v>9.1381910674579796</v>
      </c>
      <c r="AI3639">
        <v>96.192539776014897</v>
      </c>
      <c r="AJ3639">
        <v>64.950269562636706</v>
      </c>
      <c r="AK3639">
        <v>10.1461673103443</v>
      </c>
      <c r="AL3639">
        <v>85.177431429777599</v>
      </c>
      <c r="AM3639">
        <v>77.792314954969498</v>
      </c>
      <c r="AN3639">
        <v>0.99999998524658595</v>
      </c>
    </row>
    <row r="3640" spans="1:40" x14ac:dyDescent="0.25">
      <c r="A3640" t="str">
        <f>"20190312151059754"</f>
        <v>20190312151059754</v>
      </c>
      <c r="B3640" t="str">
        <f>"1552374659744786"</f>
        <v>1552374659744786</v>
      </c>
      <c r="C3640" t="s">
        <v>40</v>
      </c>
      <c r="D3640">
        <v>5.2135420000000003</v>
      </c>
      <c r="E3640">
        <v>0.583379599999999</v>
      </c>
      <c r="F3640" t="s">
        <v>42</v>
      </c>
      <c r="G3640">
        <v>-189.00069999999999</v>
      </c>
      <c r="H3640" s="1">
        <v>-4.0009369999999996E-6</v>
      </c>
      <c r="I3640">
        <v>188.54580000000001</v>
      </c>
      <c r="J3640">
        <v>-188.1259</v>
      </c>
      <c r="K3640">
        <v>1.094471</v>
      </c>
      <c r="L3640">
        <v>198.7801</v>
      </c>
      <c r="M3640">
        <v>0.3333296</v>
      </c>
      <c r="N3640">
        <v>0</v>
      </c>
      <c r="O3640">
        <v>-0.94266329999999998</v>
      </c>
      <c r="P3640">
        <v>0.13351150000000001</v>
      </c>
      <c r="Q3640">
        <v>7.4706899999999896E-2</v>
      </c>
      <c r="R3640">
        <v>-0.98822770000000004</v>
      </c>
      <c r="S3640">
        <v>-0.22627259999999999</v>
      </c>
      <c r="T3640">
        <v>-0.32146049999999998</v>
      </c>
      <c r="U3640">
        <v>-3.1017459999999999</v>
      </c>
      <c r="V3640">
        <v>0.20687130000000001</v>
      </c>
      <c r="W3640">
        <v>8.3200319999999994E-2</v>
      </c>
      <c r="X3640">
        <v>0.97482409999999997</v>
      </c>
      <c r="Y3640">
        <v>0.40069979999999999</v>
      </c>
      <c r="Z3640">
        <v>8.9779199999999906E-2</v>
      </c>
      <c r="AA3640">
        <v>0.9118001</v>
      </c>
      <c r="AB3640">
        <v>31</v>
      </c>
      <c r="AC3640">
        <v>-0.87479999999999303</v>
      </c>
      <c r="AD3640">
        <v>-1.0944750009369999</v>
      </c>
      <c r="AE3640">
        <v>-10.2342999999999</v>
      </c>
      <c r="AF3640">
        <v>4.1890634112169698</v>
      </c>
      <c r="AG3640">
        <v>-1.0944750009369999</v>
      </c>
      <c r="AH3640">
        <v>9.2521543347935697</v>
      </c>
      <c r="AI3640">
        <v>96.150633335813396</v>
      </c>
      <c r="AJ3640">
        <v>65.640586128750101</v>
      </c>
      <c r="AK3640">
        <v>10.2151107495568</v>
      </c>
      <c r="AL3640">
        <v>85.227455942593593</v>
      </c>
      <c r="AM3640">
        <v>78.018781421774705</v>
      </c>
      <c r="AN3640">
        <v>1.0000000269763001</v>
      </c>
    </row>
    <row r="3641" spans="1:40" x14ac:dyDescent="0.25">
      <c r="A3641" t="str">
        <f>"20190312151059776"</f>
        <v>20190312151059776</v>
      </c>
      <c r="B3641" t="str">
        <f>"1552374659764306"</f>
        <v>1552374659764306</v>
      </c>
      <c r="C3641" t="s">
        <v>40</v>
      </c>
      <c r="D3641">
        <v>5.3594980000000003</v>
      </c>
      <c r="E3641">
        <v>0.57263920000000001</v>
      </c>
      <c r="F3641" t="s">
        <v>42</v>
      </c>
      <c r="G3641">
        <v>-189.05410000000001</v>
      </c>
      <c r="H3641" s="1">
        <v>-3.8245380000000002E-6</v>
      </c>
      <c r="I3641">
        <v>188.1567</v>
      </c>
      <c r="J3641">
        <v>-188.0395</v>
      </c>
      <c r="K3641">
        <v>1.094484</v>
      </c>
      <c r="L3641">
        <v>198.49090000000001</v>
      </c>
      <c r="M3641">
        <v>0.31691710000000001</v>
      </c>
      <c r="N3641">
        <v>0</v>
      </c>
      <c r="O3641">
        <v>-0.94830700000000001</v>
      </c>
      <c r="P3641">
        <v>0.1196821</v>
      </c>
      <c r="Q3641">
        <v>7.3172070000000006E-2</v>
      </c>
      <c r="R3641">
        <v>-0.9901122</v>
      </c>
      <c r="S3641">
        <v>-0.27052310000000002</v>
      </c>
      <c r="T3641">
        <v>-0.3190093</v>
      </c>
      <c r="U3641">
        <v>-3.0964049999999999</v>
      </c>
      <c r="V3641">
        <v>0.20355010000000001</v>
      </c>
      <c r="W3641">
        <v>8.1814600000000001E-2</v>
      </c>
      <c r="X3641">
        <v>0.97564019999999996</v>
      </c>
      <c r="Y3641">
        <v>0.39786310000000003</v>
      </c>
      <c r="Z3641">
        <v>9.012945E-2</v>
      </c>
      <c r="AA3641">
        <v>0.91300700000000001</v>
      </c>
      <c r="AB3641">
        <v>31</v>
      </c>
      <c r="AC3641">
        <v>-1.0145999999999999</v>
      </c>
      <c r="AD3641">
        <v>-1.0944878245379901</v>
      </c>
      <c r="AE3641">
        <v>-10.334199999999999</v>
      </c>
      <c r="AF3641">
        <v>4.1912611560375197</v>
      </c>
      <c r="AG3641">
        <v>-1.0944878245379901</v>
      </c>
      <c r="AH3641">
        <v>9.3756049000431805</v>
      </c>
      <c r="AI3641">
        <v>96.083250632792897</v>
      </c>
      <c r="AJ3641">
        <v>65.913493714788004</v>
      </c>
      <c r="AK3641">
        <v>10.3279495020979</v>
      </c>
      <c r="AL3641">
        <v>85.307123527324705</v>
      </c>
      <c r="AM3641">
        <v>78.215292749857497</v>
      </c>
      <c r="AN3641">
        <v>1.0000000359196</v>
      </c>
    </row>
    <row r="3642" spans="1:40" x14ac:dyDescent="0.25">
      <c r="A3642" t="str">
        <f>"20190312151059796"</f>
        <v>20190312151059796</v>
      </c>
      <c r="B3642" t="str">
        <f>"1552374659784803"</f>
        <v>1552374659784803</v>
      </c>
      <c r="C3642" t="s">
        <v>40</v>
      </c>
      <c r="D3642">
        <v>5.3039779999999999</v>
      </c>
      <c r="E3642">
        <v>0.56947199999999998</v>
      </c>
      <c r="F3642" t="s">
        <v>42</v>
      </c>
      <c r="G3642">
        <v>-188.94030000000001</v>
      </c>
      <c r="H3642" s="1">
        <v>-3.0494579999999999E-6</v>
      </c>
      <c r="I3642">
        <v>186.303</v>
      </c>
      <c r="J3642">
        <v>-187.95679999999999</v>
      </c>
      <c r="K3642">
        <v>1.094506</v>
      </c>
      <c r="L3642">
        <v>198.19550000000001</v>
      </c>
      <c r="M3642">
        <v>0.30012800000000001</v>
      </c>
      <c r="N3642">
        <v>0</v>
      </c>
      <c r="O3642">
        <v>-0.95375370000000004</v>
      </c>
      <c r="P3642">
        <v>0.1059884</v>
      </c>
      <c r="Q3642">
        <v>7.1429590000000001E-2</v>
      </c>
      <c r="R3642">
        <v>-0.99179890000000004</v>
      </c>
      <c r="S3642">
        <v>-0.22749330000000001</v>
      </c>
      <c r="T3642">
        <v>-0.27639649999999999</v>
      </c>
      <c r="U3642">
        <v>-3.0778810000000001</v>
      </c>
      <c r="V3642">
        <v>0.1997729</v>
      </c>
      <c r="W3642">
        <v>8.0240499999999895E-2</v>
      </c>
      <c r="X3642">
        <v>0.97655119999999895</v>
      </c>
      <c r="Y3642">
        <v>0.3693747</v>
      </c>
      <c r="Z3642">
        <v>7.9966280000000001E-2</v>
      </c>
      <c r="AA3642">
        <v>0.92583349999999998</v>
      </c>
      <c r="AB3642">
        <v>31</v>
      </c>
      <c r="AC3642">
        <v>-0.98350000000002002</v>
      </c>
      <c r="AD3642">
        <v>-1.0945090494580001</v>
      </c>
      <c r="AE3642">
        <v>-11.8925</v>
      </c>
      <c r="AF3642">
        <v>4.4703064577778999</v>
      </c>
      <c r="AG3642">
        <v>-1.0945090494580001</v>
      </c>
      <c r="AH3642">
        <v>10.956695976657601</v>
      </c>
      <c r="AI3642">
        <v>95.284369743653201</v>
      </c>
      <c r="AJ3642">
        <v>67.804654791819601</v>
      </c>
      <c r="AK3642">
        <v>11.884055562420601</v>
      </c>
      <c r="AL3642">
        <v>85.397610177575501</v>
      </c>
      <c r="AM3642">
        <v>78.438529417949894</v>
      </c>
      <c r="AN3642">
        <v>0.99999999781804905</v>
      </c>
    </row>
    <row r="3643" spans="1:40" x14ac:dyDescent="0.25">
      <c r="A3643" t="str">
        <f>"20190312151059818"</f>
        <v>20190312151059818</v>
      </c>
      <c r="B3643" t="str">
        <f>"1552374659815058"</f>
        <v>1552374659815058</v>
      </c>
      <c r="C3643" t="s">
        <v>40</v>
      </c>
      <c r="D3643">
        <v>5.2086940000000004</v>
      </c>
      <c r="E3643">
        <v>0.56547369999999997</v>
      </c>
      <c r="F3643" t="s">
        <v>42</v>
      </c>
      <c r="G3643">
        <v>-188.81960000000001</v>
      </c>
      <c r="H3643" s="1">
        <v>-3.5486359999999999E-6</v>
      </c>
      <c r="I3643">
        <v>187.41669999999999</v>
      </c>
      <c r="J3643">
        <v>-187.87899999999999</v>
      </c>
      <c r="K3643">
        <v>1.0945339999999999</v>
      </c>
      <c r="L3643">
        <v>197.89709999999999</v>
      </c>
      <c r="M3643">
        <v>0.2831613</v>
      </c>
      <c r="N3643">
        <v>0</v>
      </c>
      <c r="O3643">
        <v>-0.95892759999999999</v>
      </c>
      <c r="P3643">
        <v>9.2048379999999999E-2</v>
      </c>
      <c r="Q3643">
        <v>6.9718639999999998E-2</v>
      </c>
      <c r="R3643">
        <v>-0.9933109</v>
      </c>
      <c r="S3643">
        <v>-0.24603269999999999</v>
      </c>
      <c r="T3643">
        <v>-0.31209750000000003</v>
      </c>
      <c r="U3643">
        <v>-3.073563</v>
      </c>
      <c r="V3643">
        <v>0.19612399999999999</v>
      </c>
      <c r="W3643">
        <v>7.8692360000000003E-2</v>
      </c>
      <c r="X3643">
        <v>0.97741650000000002</v>
      </c>
      <c r="Y3643">
        <v>0.35842780000000002</v>
      </c>
      <c r="Z3643">
        <v>9.1302480000000005E-2</v>
      </c>
      <c r="AA3643">
        <v>0.92908199999999996</v>
      </c>
      <c r="AB3643">
        <v>31</v>
      </c>
      <c r="AC3643">
        <v>-0.940599999999989</v>
      </c>
      <c r="AD3643">
        <v>-1.0945375486360001</v>
      </c>
      <c r="AE3643">
        <v>-10.480399999999999</v>
      </c>
      <c r="AF3643">
        <v>3.8287218606821098</v>
      </c>
      <c r="AG3643">
        <v>-1.0945375486360001</v>
      </c>
      <c r="AH3643">
        <v>9.6802226212545008</v>
      </c>
      <c r="AI3643">
        <v>96.002253543966603</v>
      </c>
      <c r="AJ3643">
        <v>68.420210956640702</v>
      </c>
      <c r="AK3643">
        <v>10.4672744078335</v>
      </c>
      <c r="AL3643">
        <v>85.486593774227899</v>
      </c>
      <c r="AM3643">
        <v>78.653959017429003</v>
      </c>
      <c r="AN3643">
        <v>1.0000000626853001</v>
      </c>
    </row>
    <row r="3644" spans="1:40" x14ac:dyDescent="0.25">
      <c r="A3644" t="str">
        <f>"20190312151059842"</f>
        <v>20190312151059842</v>
      </c>
      <c r="B3644" t="str">
        <f>"1552374659834581"</f>
        <v>1552374659834581</v>
      </c>
      <c r="C3644" t="s">
        <v>40</v>
      </c>
      <c r="D3644">
        <v>5.2543879999999996</v>
      </c>
      <c r="E3644">
        <v>0.55540669999999903</v>
      </c>
      <c r="F3644" t="s">
        <v>42</v>
      </c>
      <c r="G3644">
        <v>-188.75989999999999</v>
      </c>
      <c r="H3644" s="1">
        <v>-3.5606700000000001E-6</v>
      </c>
      <c r="I3644">
        <v>187.42</v>
      </c>
      <c r="J3644">
        <v>-187.80179999999999</v>
      </c>
      <c r="K3644">
        <v>1.094573</v>
      </c>
      <c r="L3644">
        <v>197.57509999999999</v>
      </c>
      <c r="M3644">
        <v>0.26485789999999998</v>
      </c>
      <c r="N3644">
        <v>0</v>
      </c>
      <c r="O3644">
        <v>-0.9641438</v>
      </c>
      <c r="P3644">
        <v>7.7510109999999993E-2</v>
      </c>
      <c r="Q3644">
        <v>6.8263599999999994E-2</v>
      </c>
      <c r="R3644">
        <v>-0.99465199999999998</v>
      </c>
      <c r="S3644">
        <v>-0.2578125</v>
      </c>
      <c r="T3644">
        <v>-0.32036229999999999</v>
      </c>
      <c r="U3644">
        <v>-3.0665589999999998</v>
      </c>
      <c r="V3644">
        <v>0.19177449999999999</v>
      </c>
      <c r="W3644">
        <v>7.7429750000000006E-2</v>
      </c>
      <c r="X3644">
        <v>0.97837980000000002</v>
      </c>
      <c r="Y3644">
        <v>0.34431060000000002</v>
      </c>
      <c r="Z3644">
        <v>9.4980229999999999E-2</v>
      </c>
      <c r="AA3644">
        <v>0.93403910000000001</v>
      </c>
      <c r="AB3644">
        <v>31</v>
      </c>
      <c r="AC3644">
        <v>-0.95810000000000095</v>
      </c>
      <c r="AD3644">
        <v>-1.09457656067</v>
      </c>
      <c r="AE3644">
        <v>-10.155099999999999</v>
      </c>
      <c r="AF3644">
        <v>3.5727638006056601</v>
      </c>
      <c r="AG3644">
        <v>-1.09457656067</v>
      </c>
      <c r="AH3644">
        <v>9.4299489741438691</v>
      </c>
      <c r="AI3644">
        <v>96.194920104709794</v>
      </c>
      <c r="AJ3644">
        <v>69.249597639804307</v>
      </c>
      <c r="AK3644">
        <v>10.1433069891945</v>
      </c>
      <c r="AL3644">
        <v>85.559156826221795</v>
      </c>
      <c r="AM3644">
        <v>78.909924382242096</v>
      </c>
      <c r="AN3644">
        <v>0.99999992904167301</v>
      </c>
    </row>
    <row r="3645" spans="1:40" x14ac:dyDescent="0.25">
      <c r="A3645" t="str">
        <f>"20190312151059863"</f>
        <v>20190312151059863</v>
      </c>
      <c r="B3645" t="str">
        <f>"1552374659855074"</f>
        <v>1552374659855074</v>
      </c>
      <c r="C3645" t="s">
        <v>40</v>
      </c>
      <c r="D3645">
        <v>5.2499320000000003</v>
      </c>
      <c r="E3645">
        <v>0.55304359999999997</v>
      </c>
      <c r="F3645" t="s">
        <v>42</v>
      </c>
      <c r="G3645">
        <v>-188.41210000000001</v>
      </c>
      <c r="H3645" s="1">
        <v>-4.4173939999999997E-6</v>
      </c>
      <c r="I3645">
        <v>189.27330000000001</v>
      </c>
      <c r="J3645">
        <v>-187.73509999999999</v>
      </c>
      <c r="K3645">
        <v>1.0946180000000001</v>
      </c>
      <c r="L3645">
        <v>197.27279999999999</v>
      </c>
      <c r="M3645">
        <v>0.24766260000000001</v>
      </c>
      <c r="N3645">
        <v>0</v>
      </c>
      <c r="O3645">
        <v>-0.96870339999999999</v>
      </c>
      <c r="P3645">
        <v>6.3968750000000005E-2</v>
      </c>
      <c r="Q3645">
        <v>6.7979150000000002E-2</v>
      </c>
      <c r="R3645">
        <v>-0.99563400000000002</v>
      </c>
      <c r="S3645">
        <v>-0.2250366</v>
      </c>
      <c r="T3645">
        <v>-0.40363359999999998</v>
      </c>
      <c r="U3645">
        <v>-3.0613860000000002</v>
      </c>
      <c r="V3645">
        <v>0.18766140000000001</v>
      </c>
      <c r="W3645">
        <v>7.7325630000000006E-2</v>
      </c>
      <c r="X3645">
        <v>0.97918530000000004</v>
      </c>
      <c r="Y3645">
        <v>0.31744420000000001</v>
      </c>
      <c r="Z3645">
        <v>0.121058</v>
      </c>
      <c r="AA3645">
        <v>0.94051799999999997</v>
      </c>
      <c r="AB3645">
        <v>31</v>
      </c>
      <c r="AC3645">
        <v>-0.67700000000002003</v>
      </c>
      <c r="AD3645">
        <v>-1.094622417394</v>
      </c>
      <c r="AE3645">
        <v>-7.9994999999999798</v>
      </c>
      <c r="AF3645">
        <v>2.5892181737581601</v>
      </c>
      <c r="AG3645">
        <v>-1.094622417394</v>
      </c>
      <c r="AH3645">
        <v>7.4441312720068202</v>
      </c>
      <c r="AI3645">
        <v>97.906877117070295</v>
      </c>
      <c r="AJ3645">
        <v>70.821300106927197</v>
      </c>
      <c r="AK3645">
        <v>7.9572193247924803</v>
      </c>
      <c r="AL3645">
        <v>85.565140508972107</v>
      </c>
      <c r="AM3645">
        <v>79.150786142318097</v>
      </c>
      <c r="AN3645">
        <v>0.99999995292047195</v>
      </c>
    </row>
    <row r="3646" spans="1:40" x14ac:dyDescent="0.25">
      <c r="A3646" t="str">
        <f>"20190312151059886"</f>
        <v>20190312151059886</v>
      </c>
      <c r="B3646" t="str">
        <f>"1552374659874594"</f>
        <v>1552374659874594</v>
      </c>
      <c r="C3646" t="s">
        <v>40</v>
      </c>
      <c r="D3646">
        <v>5.200037</v>
      </c>
      <c r="E3646">
        <v>0.55256559999999999</v>
      </c>
      <c r="F3646" t="s">
        <v>42</v>
      </c>
      <c r="G3646">
        <v>-188.489</v>
      </c>
      <c r="H3646" s="1">
        <v>-3.8278580000000003E-6</v>
      </c>
      <c r="I3646">
        <v>187.9308</v>
      </c>
      <c r="J3646">
        <v>-187.67269999999999</v>
      </c>
      <c r="K3646">
        <v>1.0946750000000001</v>
      </c>
      <c r="L3646">
        <v>196.96369999999999</v>
      </c>
      <c r="M3646">
        <v>0.2301028</v>
      </c>
      <c r="N3646">
        <v>0</v>
      </c>
      <c r="O3646">
        <v>-0.97302440000000001</v>
      </c>
      <c r="P3646">
        <v>5.0402669999999997E-2</v>
      </c>
      <c r="Q3646">
        <v>6.8389710000000006E-2</v>
      </c>
      <c r="R3646">
        <v>-0.99638490000000002</v>
      </c>
      <c r="S3646">
        <v>-0.2463989</v>
      </c>
      <c r="T3646">
        <v>-0.35777769999999998</v>
      </c>
      <c r="U3646">
        <v>-3.0534210000000002</v>
      </c>
      <c r="V3646">
        <v>0.1832819</v>
      </c>
      <c r="W3646">
        <v>7.7926519999999999E-2</v>
      </c>
      <c r="X3646">
        <v>0.97996689999999997</v>
      </c>
      <c r="Y3646">
        <v>0.30713689999999999</v>
      </c>
      <c r="Z3646">
        <v>0.1086966</v>
      </c>
      <c r="AA3646">
        <v>0.94543739999999998</v>
      </c>
      <c r="AB3646">
        <v>31</v>
      </c>
      <c r="AC3646">
        <v>-0.81630000000001202</v>
      </c>
      <c r="AD3646">
        <v>-1.094678827858</v>
      </c>
      <c r="AE3646">
        <v>-9.0328999999999802</v>
      </c>
      <c r="AF3646">
        <v>2.8319181132099098</v>
      </c>
      <c r="AG3646">
        <v>-1.094678827858</v>
      </c>
      <c r="AH3646">
        <v>8.47906806717668</v>
      </c>
      <c r="AI3646">
        <v>96.981362162837698</v>
      </c>
      <c r="AJ3646">
        <v>71.531231489799097</v>
      </c>
      <c r="AK3646">
        <v>9.0062576703035901</v>
      </c>
      <c r="AL3646">
        <v>85.530607882320098</v>
      </c>
      <c r="AM3646">
        <v>79.406435346977602</v>
      </c>
      <c r="AN3646">
        <v>0.999999961241264</v>
      </c>
    </row>
    <row r="3647" spans="1:40" x14ac:dyDescent="0.25">
      <c r="A3647" t="str">
        <f>"20190312151059908"</f>
        <v>20190312151059908</v>
      </c>
      <c r="B3647" t="str">
        <f>"1552374659904850"</f>
        <v>1552374659904850</v>
      </c>
      <c r="C3647" t="s">
        <v>40</v>
      </c>
      <c r="D3647">
        <v>5.0408989999999996</v>
      </c>
      <c r="E3647">
        <v>0.54814390000000002</v>
      </c>
      <c r="F3647" t="s">
        <v>42</v>
      </c>
      <c r="G3647">
        <v>-188.5761</v>
      </c>
      <c r="H3647" s="1">
        <v>-3.5206479999999999E-6</v>
      </c>
      <c r="I3647">
        <v>187.25069999999999</v>
      </c>
      <c r="J3647">
        <v>-187.61580000000001</v>
      </c>
      <c r="K3647">
        <v>1.09474</v>
      </c>
      <c r="L3647">
        <v>196.65350000000001</v>
      </c>
      <c r="M3647">
        <v>0.21250620000000001</v>
      </c>
      <c r="N3647">
        <v>0</v>
      </c>
      <c r="O3647">
        <v>-0.97701870000000002</v>
      </c>
      <c r="P3647">
        <v>3.7234290000000003E-2</v>
      </c>
      <c r="Q3647">
        <v>6.8772199999999895E-2</v>
      </c>
      <c r="R3647">
        <v>-0.99693730000000003</v>
      </c>
      <c r="S3647">
        <v>-0.28355409999999998</v>
      </c>
      <c r="T3647">
        <v>-0.34360560000000001</v>
      </c>
      <c r="U3647">
        <v>-3.0487980000000001</v>
      </c>
      <c r="V3647">
        <v>0.1785349</v>
      </c>
      <c r="W3647">
        <v>7.851458E-2</v>
      </c>
      <c r="X3647">
        <v>0.980796</v>
      </c>
      <c r="Y3647">
        <v>0.30155389999999999</v>
      </c>
      <c r="Z3647">
        <v>0.1053158</v>
      </c>
      <c r="AA3647">
        <v>0.94761479999999998</v>
      </c>
      <c r="AB3647">
        <v>31</v>
      </c>
      <c r="AC3647">
        <v>-0.96029999999998905</v>
      </c>
      <c r="AD3647">
        <v>-1.0947435206479901</v>
      </c>
      <c r="AE3647">
        <v>-9.4028000000000098</v>
      </c>
      <c r="AF3647">
        <v>2.8979123502915098</v>
      </c>
      <c r="AG3647">
        <v>-1.0947435206479901</v>
      </c>
      <c r="AH3647">
        <v>8.8649526957209694</v>
      </c>
      <c r="AI3647">
        <v>96.694673465373</v>
      </c>
      <c r="AJ3647">
        <v>71.897669086084704</v>
      </c>
      <c r="AK3647">
        <v>9.3906200893946998</v>
      </c>
      <c r="AL3647">
        <v>85.496811246182105</v>
      </c>
      <c r="AM3647">
        <v>79.683371883326302</v>
      </c>
      <c r="AN3647">
        <v>1.0000000217032901</v>
      </c>
    </row>
    <row r="3648" spans="1:40" x14ac:dyDescent="0.25">
      <c r="A3648" t="str">
        <f>"20190312151059931"</f>
        <v>20190312151059931</v>
      </c>
      <c r="B3648" t="str">
        <f>"1552374659924373"</f>
        <v>1552374659924373</v>
      </c>
      <c r="C3648" t="s">
        <v>40</v>
      </c>
      <c r="D3648">
        <v>5.0240410000000004</v>
      </c>
      <c r="E3648">
        <v>0.54728180000000004</v>
      </c>
      <c r="F3648" t="s">
        <v>42</v>
      </c>
      <c r="G3648">
        <v>-188.74109999999999</v>
      </c>
      <c r="H3648" s="1">
        <v>-2.4023779999999999E-6</v>
      </c>
      <c r="I3648">
        <v>184.7122</v>
      </c>
      <c r="J3648">
        <v>-187.5634</v>
      </c>
      <c r="K3648">
        <v>1.0948209999999901</v>
      </c>
      <c r="L3648">
        <v>196.33519999999999</v>
      </c>
      <c r="M3648">
        <v>0.1944987</v>
      </c>
      <c r="N3648">
        <v>0</v>
      </c>
      <c r="O3648">
        <v>-0.98076249999999998</v>
      </c>
      <c r="P3648">
        <v>2.3077690000000001E-2</v>
      </c>
      <c r="Q3648">
        <v>6.933483E-2</v>
      </c>
      <c r="R3648">
        <v>-0.99732679999999996</v>
      </c>
      <c r="S3648">
        <v>-0.28639219999999999</v>
      </c>
      <c r="T3648">
        <v>-0.27861740000000002</v>
      </c>
      <c r="U3648">
        <v>-3.0391240000000002</v>
      </c>
      <c r="V3648">
        <v>0.17441010000000001</v>
      </c>
      <c r="W3648">
        <v>7.9256590000000002E-2</v>
      </c>
      <c r="X3648">
        <v>0.98147819999999997</v>
      </c>
      <c r="Y3648">
        <v>0.28531879999999998</v>
      </c>
      <c r="Z3648">
        <v>8.6584339999999996E-2</v>
      </c>
      <c r="AA3648">
        <v>0.95451370000000002</v>
      </c>
      <c r="AB3648">
        <v>31</v>
      </c>
      <c r="AC3648">
        <v>-1.17769999999998</v>
      </c>
      <c r="AD3648">
        <v>-1.0948234023779999</v>
      </c>
      <c r="AE3648">
        <v>-11.6229999999999</v>
      </c>
      <c r="AF3648">
        <v>3.3864312818928601</v>
      </c>
      <c r="AG3648">
        <v>-1.0948234023779999</v>
      </c>
      <c r="AH3648">
        <v>11.0746163835099</v>
      </c>
      <c r="AI3648">
        <v>95.400564022043497</v>
      </c>
      <c r="AJ3648">
        <v>72.997249848207403</v>
      </c>
      <c r="AK3648">
        <v>11.6324409799184</v>
      </c>
      <c r="AL3648">
        <v>85.454164083761697</v>
      </c>
      <c r="AM3648">
        <v>79.923641305084601</v>
      </c>
      <c r="AN3648">
        <v>0.99999997355783798</v>
      </c>
    </row>
    <row r="3649" spans="1:40" x14ac:dyDescent="0.25">
      <c r="A3649" t="str">
        <f>"20190312151059954"</f>
        <v>20190312151059954</v>
      </c>
      <c r="B3649" t="str">
        <f>"1552374659944866"</f>
        <v>1552374659944866</v>
      </c>
      <c r="C3649" t="s">
        <v>40</v>
      </c>
      <c r="D3649">
        <v>4.8643960000000002</v>
      </c>
      <c r="E3649">
        <v>0.54598930000000001</v>
      </c>
      <c r="F3649" t="s">
        <v>42</v>
      </c>
      <c r="G3649">
        <v>-188.91820000000001</v>
      </c>
      <c r="H3649" s="1">
        <v>-1.876879E-6</v>
      </c>
      <c r="I3649">
        <v>183.56049999999999</v>
      </c>
      <c r="J3649">
        <v>-187.51609999999999</v>
      </c>
      <c r="K3649">
        <v>1.09492099999999</v>
      </c>
      <c r="L3649">
        <v>196.01240000000001</v>
      </c>
      <c r="M3649">
        <v>0.17631520000000001</v>
      </c>
      <c r="N3649">
        <v>0</v>
      </c>
      <c r="O3649">
        <v>-0.98419460000000003</v>
      </c>
      <c r="P3649">
        <v>9.1152820000000006E-3</v>
      </c>
      <c r="Q3649">
        <v>6.9197389999999998E-2</v>
      </c>
      <c r="R3649">
        <v>-0.9975619</v>
      </c>
      <c r="S3649">
        <v>-0.32173160000000001</v>
      </c>
      <c r="T3649">
        <v>-0.25998450000000001</v>
      </c>
      <c r="U3649">
        <v>-3.033569</v>
      </c>
      <c r="V3649">
        <v>0.16995660000000001</v>
      </c>
      <c r="W3649">
        <v>7.9311729999999997E-2</v>
      </c>
      <c r="X3649">
        <v>0.98225469999999904</v>
      </c>
      <c r="Y3649">
        <v>0.2788002</v>
      </c>
      <c r="Z3649">
        <v>8.1457420000000003E-2</v>
      </c>
      <c r="AA3649">
        <v>0.95688830000000002</v>
      </c>
      <c r="AB3649">
        <v>31</v>
      </c>
      <c r="AC3649">
        <v>-1.4021000000000099</v>
      </c>
      <c r="AD3649">
        <v>-1.09492287687899</v>
      </c>
      <c r="AE3649">
        <v>-12.4519</v>
      </c>
      <c r="AF3649">
        <v>3.5487923478265402</v>
      </c>
      <c r="AG3649">
        <v>-1.09492287687899</v>
      </c>
      <c r="AH3649">
        <v>11.918525181721201</v>
      </c>
      <c r="AI3649">
        <v>95.031754852847598</v>
      </c>
      <c r="AJ3649">
        <v>73.418872685752604</v>
      </c>
      <c r="AK3649">
        <v>12.4837504677732</v>
      </c>
      <c r="AL3649">
        <v>85.450994692261006</v>
      </c>
      <c r="AM3649">
        <v>80.183475666245897</v>
      </c>
      <c r="AN3649">
        <v>0.99999994603561904</v>
      </c>
    </row>
    <row r="3650" spans="1:40" x14ac:dyDescent="0.25">
      <c r="A3650" t="str">
        <f>"20190312151059977"</f>
        <v>20190312151059977</v>
      </c>
      <c r="B3650" t="str">
        <f>"1552374659964386"</f>
        <v>1552374659964386</v>
      </c>
      <c r="C3650" t="s">
        <v>40</v>
      </c>
      <c r="D3650">
        <v>5.0526949999999999</v>
      </c>
      <c r="E3650">
        <v>0.54499350000000002</v>
      </c>
      <c r="F3650" t="s">
        <v>42</v>
      </c>
      <c r="G3650">
        <v>-189.07069999999999</v>
      </c>
      <c r="H3650" s="1">
        <v>-1.475979E-6</v>
      </c>
      <c r="I3650">
        <v>182.6891</v>
      </c>
      <c r="J3650">
        <v>-187.47649999999999</v>
      </c>
      <c r="K3650">
        <v>1.0950409999999999</v>
      </c>
      <c r="L3650">
        <v>195.70269999999999</v>
      </c>
      <c r="M3650">
        <v>0.158973799999999</v>
      </c>
      <c r="N3650">
        <v>0</v>
      </c>
      <c r="O3650">
        <v>-0.98714440000000003</v>
      </c>
      <c r="P3650">
        <v>-3.6667819999999999E-3</v>
      </c>
      <c r="Q3650">
        <v>6.8179699999999996E-2</v>
      </c>
      <c r="R3650">
        <v>-0.99766679999999996</v>
      </c>
      <c r="S3650">
        <v>-0.35328670000000001</v>
      </c>
      <c r="T3650">
        <v>-0.24882889999999999</v>
      </c>
      <c r="U3650">
        <v>-3.0278170000000002</v>
      </c>
      <c r="V3650">
        <v>0.16520770000000001</v>
      </c>
      <c r="W3650">
        <v>7.8497449999999996E-2</v>
      </c>
      <c r="X3650">
        <v>0.98312999999999995</v>
      </c>
      <c r="Y3650">
        <v>0.27197159999999998</v>
      </c>
      <c r="Z3650">
        <v>7.8529360000000006E-2</v>
      </c>
      <c r="AA3650">
        <v>0.9590957</v>
      </c>
      <c r="AB3650">
        <v>31</v>
      </c>
      <c r="AC3650">
        <v>-1.5942000000000001</v>
      </c>
      <c r="AD3650">
        <v>-1.0950424759789901</v>
      </c>
      <c r="AE3650">
        <v>-13.013599999999901</v>
      </c>
      <c r="AF3650">
        <v>3.6177876385919601</v>
      </c>
      <c r="AG3650">
        <v>-1.0950424759789901</v>
      </c>
      <c r="AH3650">
        <v>12.507337782966999</v>
      </c>
      <c r="AI3650">
        <v>94.807506027317999</v>
      </c>
      <c r="AJ3650">
        <v>73.867317316084296</v>
      </c>
      <c r="AK3650">
        <v>13.0660247910136</v>
      </c>
      <c r="AL3650">
        <v>85.497795732759897</v>
      </c>
      <c r="AM3650">
        <v>80.460991665449797</v>
      </c>
      <c r="AN3650">
        <v>1.0000000153478901</v>
      </c>
    </row>
    <row r="3651" spans="1:40" x14ac:dyDescent="0.25">
      <c r="A3651" t="str">
        <f>"20190312151059998"</f>
        <v>20190312151059998</v>
      </c>
      <c r="B3651" t="str">
        <f>"1552374659994642"</f>
        <v>1552374659994642</v>
      </c>
      <c r="C3651" t="s">
        <v>40</v>
      </c>
      <c r="D3651">
        <v>5.0643699999999896</v>
      </c>
      <c r="E3651">
        <v>0.54339669999999995</v>
      </c>
      <c r="F3651" t="s">
        <v>42</v>
      </c>
      <c r="G3651">
        <v>-189.20359999999999</v>
      </c>
      <c r="H3651" s="1">
        <v>-1.1974439999999999E-6</v>
      </c>
      <c r="I3651">
        <v>182.09469999999999</v>
      </c>
      <c r="J3651">
        <v>-187.4436</v>
      </c>
      <c r="K3651">
        <v>1.0951630000000001</v>
      </c>
      <c r="L3651">
        <v>195.40469999999999</v>
      </c>
      <c r="M3651">
        <v>0.1424165</v>
      </c>
      <c r="N3651">
        <v>0</v>
      </c>
      <c r="O3651">
        <v>-0.98966929999999997</v>
      </c>
      <c r="P3651">
        <v>-1.552474E-2</v>
      </c>
      <c r="Q3651">
        <v>6.7526680000000006E-2</v>
      </c>
      <c r="R3651">
        <v>-0.99759690000000001</v>
      </c>
      <c r="S3651">
        <v>-0.38357540000000001</v>
      </c>
      <c r="T3651">
        <v>-0.2432028</v>
      </c>
      <c r="U3651">
        <v>-3.0222470000000001</v>
      </c>
      <c r="V3651">
        <v>0.16037689999999999</v>
      </c>
      <c r="W3651">
        <v>7.8048229999999996E-2</v>
      </c>
      <c r="X3651">
        <v>0.98396530000000004</v>
      </c>
      <c r="Y3651">
        <v>0.26553789999999999</v>
      </c>
      <c r="Z3651">
        <v>7.7233689999999994E-2</v>
      </c>
      <c r="AA3651">
        <v>0.96100189999999996</v>
      </c>
      <c r="AB3651">
        <v>31</v>
      </c>
      <c r="AC3651">
        <v>-1.75999999999999</v>
      </c>
      <c r="AD3651">
        <v>-1.0951641974439901</v>
      </c>
      <c r="AE3651">
        <v>-13.31</v>
      </c>
      <c r="AF3651">
        <v>3.6138308039324198</v>
      </c>
      <c r="AG3651">
        <v>-1.0951641974439901</v>
      </c>
      <c r="AH3651">
        <v>12.8381808943096</v>
      </c>
      <c r="AI3651">
        <v>94.694254984043894</v>
      </c>
      <c r="AJ3651">
        <v>74.278573392577798</v>
      </c>
      <c r="AK3651">
        <v>13.3820045723288</v>
      </c>
      <c r="AL3651">
        <v>85.523613255699203</v>
      </c>
      <c r="AM3651">
        <v>80.742740780952204</v>
      </c>
      <c r="AN3651">
        <v>0.99999999393191596</v>
      </c>
    </row>
    <row r="3652" spans="1:40" x14ac:dyDescent="0.25">
      <c r="A3652" t="str">
        <f>"20190312151100020"</f>
        <v>20190312151100020</v>
      </c>
      <c r="B3652" t="str">
        <f>"1552374660014162"</f>
        <v>1552374660014162</v>
      </c>
      <c r="C3652" t="s">
        <v>40</v>
      </c>
      <c r="D3652">
        <v>5.0800939999999999</v>
      </c>
      <c r="E3652">
        <v>0.54193829999999998</v>
      </c>
      <c r="F3652" t="s">
        <v>42</v>
      </c>
      <c r="G3652">
        <v>-189.30850000000001</v>
      </c>
      <c r="H3652" s="1">
        <v>-9.5442490000000003E-7</v>
      </c>
      <c r="I3652">
        <v>181.57159999999999</v>
      </c>
      <c r="J3652">
        <v>-187.41499999999999</v>
      </c>
      <c r="K3652">
        <v>1.095316</v>
      </c>
      <c r="L3652">
        <v>195.09549999999999</v>
      </c>
      <c r="M3652">
        <v>0.12540200000000001</v>
      </c>
      <c r="N3652">
        <v>0</v>
      </c>
      <c r="O3652">
        <v>-0.99196960000000001</v>
      </c>
      <c r="P3652">
        <v>-2.8028939999999999E-2</v>
      </c>
      <c r="Q3652">
        <v>6.6199460000000002E-2</v>
      </c>
      <c r="R3652">
        <v>-0.99741290000000005</v>
      </c>
      <c r="S3652">
        <v>-0.40675349999999999</v>
      </c>
      <c r="T3652">
        <v>-0.2388622</v>
      </c>
      <c r="U3652">
        <v>-3.0170750000000002</v>
      </c>
      <c r="V3652">
        <v>0.15574370000000001</v>
      </c>
      <c r="W3652">
        <v>7.6915349999999993E-2</v>
      </c>
      <c r="X3652">
        <v>0.98479839999999996</v>
      </c>
      <c r="Y3652">
        <v>0.25644869999999997</v>
      </c>
      <c r="Z3652">
        <v>7.6322899999999999E-2</v>
      </c>
      <c r="AA3652">
        <v>0.96353979999999995</v>
      </c>
      <c r="AB3652">
        <v>31</v>
      </c>
      <c r="AC3652">
        <v>-1.89350000000001</v>
      </c>
      <c r="AD3652">
        <v>-1.0953169544249</v>
      </c>
      <c r="AE3652">
        <v>-13.5238999999999</v>
      </c>
      <c r="AF3652">
        <v>3.5518516349749798</v>
      </c>
      <c r="AG3652">
        <v>-1.0953169544249</v>
      </c>
      <c r="AH3652">
        <v>13.095384032456201</v>
      </c>
      <c r="AI3652">
        <v>94.615186531073604</v>
      </c>
      <c r="AJ3652">
        <v>74.824798097067699</v>
      </c>
      <c r="AK3652">
        <v>13.6126577943116</v>
      </c>
      <c r="AL3652">
        <v>85.588718160995199</v>
      </c>
      <c r="AM3652">
        <v>81.013227198239306</v>
      </c>
      <c r="AN3652">
        <v>0.99999997989893596</v>
      </c>
    </row>
    <row r="3653" spans="1:40" x14ac:dyDescent="0.25">
      <c r="A3653" t="str">
        <f>"20190312151100043"</f>
        <v>20190312151100043</v>
      </c>
      <c r="B3653" t="str">
        <f>"1552374660034658"</f>
        <v>1552374660034658</v>
      </c>
      <c r="C3653" t="s">
        <v>40</v>
      </c>
      <c r="D3653">
        <v>5.1141519999999998</v>
      </c>
      <c r="E3653">
        <v>0.54028240000000005</v>
      </c>
      <c r="F3653" t="s">
        <v>42</v>
      </c>
      <c r="G3653">
        <v>-189.38730000000001</v>
      </c>
      <c r="H3653" s="1">
        <v>-8.5861069999999998E-7</v>
      </c>
      <c r="I3653">
        <v>181.3809</v>
      </c>
      <c r="J3653">
        <v>-187.39070000000001</v>
      </c>
      <c r="K3653">
        <v>1.0954809999999999</v>
      </c>
      <c r="L3653">
        <v>194.7722</v>
      </c>
      <c r="M3653">
        <v>0.10777340000000001</v>
      </c>
      <c r="N3653">
        <v>0</v>
      </c>
      <c r="O3653">
        <v>-0.99404029999999999</v>
      </c>
      <c r="P3653">
        <v>-4.0552999999999999E-2</v>
      </c>
      <c r="Q3653">
        <v>6.430698E-2</v>
      </c>
      <c r="R3653">
        <v>-0.99710600000000005</v>
      </c>
      <c r="S3653">
        <v>-0.43309019999999998</v>
      </c>
      <c r="T3653">
        <v>-0.24051810000000001</v>
      </c>
      <c r="U3653">
        <v>-3.0115660000000002</v>
      </c>
      <c r="V3653">
        <v>0.15053759999999999</v>
      </c>
      <c r="W3653">
        <v>7.5233670000000002E-2</v>
      </c>
      <c r="X3653">
        <v>0.98573739999999999</v>
      </c>
      <c r="Y3653">
        <v>0.2477722</v>
      </c>
      <c r="Z3653">
        <v>7.727734E-2</v>
      </c>
      <c r="AA3653">
        <v>0.96573140000000002</v>
      </c>
      <c r="AB3653">
        <v>31</v>
      </c>
      <c r="AC3653">
        <v>-1.9965999999999999</v>
      </c>
      <c r="AD3653">
        <v>-1.0954818586107</v>
      </c>
      <c r="AE3653">
        <v>-13.391299999999999</v>
      </c>
      <c r="AF3653">
        <v>3.4060892287617799</v>
      </c>
      <c r="AG3653">
        <v>-1.0954818586107</v>
      </c>
      <c r="AH3653">
        <v>13.0128816070269</v>
      </c>
      <c r="AI3653">
        <v>94.655938901004205</v>
      </c>
      <c r="AJ3653">
        <v>75.332039240374101</v>
      </c>
      <c r="AK3653">
        <v>13.495799793096101</v>
      </c>
      <c r="AL3653">
        <v>85.685351232822597</v>
      </c>
      <c r="AM3653">
        <v>81.317119816725395</v>
      </c>
      <c r="AN3653">
        <v>0.99999994793709301</v>
      </c>
    </row>
    <row r="3654" spans="1:40" x14ac:dyDescent="0.25">
      <c r="A3654" t="str">
        <f>"20190312151100065"</f>
        <v>20190312151100065</v>
      </c>
      <c r="B3654" t="str">
        <f>"1552374660054178"</f>
        <v>1552374660054178</v>
      </c>
      <c r="C3654" t="s">
        <v>40</v>
      </c>
      <c r="D3654">
        <v>5.0783040000000002</v>
      </c>
      <c r="E3654">
        <v>0.51969449999999995</v>
      </c>
      <c r="F3654" t="s">
        <v>42</v>
      </c>
      <c r="G3654">
        <v>-189.4435</v>
      </c>
      <c r="H3654" s="1">
        <v>-8.1057109999999905E-7</v>
      </c>
      <c r="I3654">
        <v>181.2921</v>
      </c>
      <c r="J3654">
        <v>-187.3725</v>
      </c>
      <c r="K3654">
        <v>1.0956440000000001</v>
      </c>
      <c r="L3654">
        <v>194.46039999999999</v>
      </c>
      <c r="M3654">
        <v>9.0954969999999996E-2</v>
      </c>
      <c r="N3654">
        <v>0</v>
      </c>
      <c r="O3654">
        <v>-0.99572070000000001</v>
      </c>
      <c r="P3654">
        <v>-5.1565970000000003E-2</v>
      </c>
      <c r="Q3654">
        <v>6.2379450000000003E-2</v>
      </c>
      <c r="R3654">
        <v>-0.99671969999999999</v>
      </c>
      <c r="S3654">
        <v>-0.4577484</v>
      </c>
      <c r="T3654">
        <v>-0.24427570000000001</v>
      </c>
      <c r="U3654">
        <v>-3.0058440000000002</v>
      </c>
      <c r="V3654">
        <v>0.1446694</v>
      </c>
      <c r="W3654">
        <v>7.3537959999999999E-2</v>
      </c>
      <c r="X3654">
        <v>0.98674360000000005</v>
      </c>
      <c r="Y3654">
        <v>0.23938139999999999</v>
      </c>
      <c r="Z3654">
        <v>7.886543E-2</v>
      </c>
      <c r="AA3654">
        <v>0.9677173</v>
      </c>
      <c r="AB3654">
        <v>31</v>
      </c>
      <c r="AC3654">
        <v>-2.07099999999999</v>
      </c>
      <c r="AD3654">
        <v>-1.0956448105710901</v>
      </c>
      <c r="AE3654">
        <v>-13.168299999999901</v>
      </c>
      <c r="AF3654">
        <v>3.2384182577349598</v>
      </c>
      <c r="AG3654">
        <v>-1.0956448105710901</v>
      </c>
      <c r="AH3654">
        <v>12.838576633230799</v>
      </c>
      <c r="AI3654">
        <v>94.7303451364117</v>
      </c>
      <c r="AJ3654">
        <v>75.842961534558896</v>
      </c>
      <c r="AK3654">
        <v>13.2859640346609</v>
      </c>
      <c r="AL3654">
        <v>85.782778411668602</v>
      </c>
      <c r="AM3654">
        <v>81.659120802743999</v>
      </c>
      <c r="AN3654">
        <v>0.99999999949913998</v>
      </c>
    </row>
    <row r="3655" spans="1:40" x14ac:dyDescent="0.25">
      <c r="A3655" t="str">
        <f>"20190312151100087"</f>
        <v>20190312151100087</v>
      </c>
      <c r="B3655" t="str">
        <f>"1552374660084434"</f>
        <v>1552374660084434</v>
      </c>
      <c r="C3655" t="s">
        <v>40</v>
      </c>
      <c r="D3655">
        <v>5.1108979999999997</v>
      </c>
      <c r="E3655">
        <v>0.5182464</v>
      </c>
      <c r="F3655" t="s">
        <v>42</v>
      </c>
      <c r="G3655">
        <v>-188.89699999999999</v>
      </c>
      <c r="H3655" s="1">
        <v>-5.5778359999999999E-7</v>
      </c>
      <c r="I3655">
        <v>180.4247</v>
      </c>
      <c r="J3655">
        <v>-187.35980000000001</v>
      </c>
      <c r="K3655">
        <v>1.0958190000000001</v>
      </c>
      <c r="L3655">
        <v>194.15969999999999</v>
      </c>
      <c r="M3655">
        <v>7.4924110000000002E-2</v>
      </c>
      <c r="N3655">
        <v>0</v>
      </c>
      <c r="O3655">
        <v>-0.99705619999999995</v>
      </c>
      <c r="P3655">
        <v>-6.170486E-2</v>
      </c>
      <c r="Q3655">
        <v>6.069331E-2</v>
      </c>
      <c r="R3655">
        <v>-0.99624780000000002</v>
      </c>
      <c r="S3655">
        <v>-0.3266754</v>
      </c>
      <c r="T3655">
        <v>-0.2347815</v>
      </c>
      <c r="U3655">
        <v>-3.00766</v>
      </c>
      <c r="V3655">
        <v>0.1387446</v>
      </c>
      <c r="W3655">
        <v>7.2081290000000006E-2</v>
      </c>
      <c r="X3655">
        <v>0.98770150000000001</v>
      </c>
      <c r="Y3655">
        <v>0.1818516</v>
      </c>
      <c r="Z3655">
        <v>7.6622869999999996E-2</v>
      </c>
      <c r="AA3655">
        <v>0.98033610000000004</v>
      </c>
      <c r="AB3655">
        <v>30</v>
      </c>
      <c r="AC3655">
        <v>-1.5372000000000099</v>
      </c>
      <c r="AD3655">
        <v>-1.0958195577835901</v>
      </c>
      <c r="AE3655">
        <v>-13.7349999999999</v>
      </c>
      <c r="AF3655">
        <v>2.5460911266594501</v>
      </c>
      <c r="AG3655">
        <v>-1.0958195577835901</v>
      </c>
      <c r="AH3655">
        <v>13.496349381707301</v>
      </c>
      <c r="AI3655">
        <v>94.561762172146899</v>
      </c>
      <c r="AJ3655">
        <v>79.316685896450096</v>
      </c>
      <c r="AK3655">
        <v>13.778056726606501</v>
      </c>
      <c r="AL3655">
        <v>85.866461632605393</v>
      </c>
      <c r="AM3655">
        <v>82.003856497120793</v>
      </c>
      <c r="AN3655">
        <v>1.0000000147497301</v>
      </c>
    </row>
    <row r="3656" spans="1:40" x14ac:dyDescent="0.25">
      <c r="A3656" t="str">
        <f>"20190312151100109"</f>
        <v>20190312151100109</v>
      </c>
      <c r="B3656" t="str">
        <f>"1552374660104930"</f>
        <v>1552374660104930</v>
      </c>
      <c r="C3656" t="s">
        <v>40</v>
      </c>
      <c r="D3656">
        <v>5.2484339999999996</v>
      </c>
      <c r="E3656">
        <v>0.51612060000000004</v>
      </c>
      <c r="F3656" t="s">
        <v>42</v>
      </c>
      <c r="G3656">
        <v>-189.12119999999999</v>
      </c>
      <c r="H3656" s="1">
        <v>-4.1003140000000003E-6</v>
      </c>
      <c r="I3656">
        <v>178.82730000000001</v>
      </c>
      <c r="J3656">
        <v>-187.3518</v>
      </c>
      <c r="K3656">
        <v>1.096023</v>
      </c>
      <c r="L3656">
        <v>193.85730000000001</v>
      </c>
      <c r="M3656">
        <v>5.9033269999999999E-2</v>
      </c>
      <c r="N3656">
        <v>0</v>
      </c>
      <c r="O3656">
        <v>-0.99812369999999995</v>
      </c>
      <c r="P3656">
        <v>-7.1367429999999996E-2</v>
      </c>
      <c r="Q3656">
        <v>5.953953E-2</v>
      </c>
      <c r="R3656">
        <v>-0.99567150000000004</v>
      </c>
      <c r="S3656">
        <v>-0.34500120000000001</v>
      </c>
      <c r="T3656">
        <v>-0.2146294</v>
      </c>
      <c r="U3656">
        <v>-3.0030060000000001</v>
      </c>
      <c r="V3656">
        <v>0.13251660000000001</v>
      </c>
      <c r="W3656">
        <v>7.1162420000000004E-2</v>
      </c>
      <c r="X3656">
        <v>0.98862289999999997</v>
      </c>
      <c r="Y3656">
        <v>0.1723064</v>
      </c>
      <c r="Z3656">
        <v>7.0339490000000005E-2</v>
      </c>
      <c r="AA3656">
        <v>0.98252879999999998</v>
      </c>
      <c r="AB3656">
        <v>30</v>
      </c>
      <c r="AC3656">
        <v>-1.7693999999999901</v>
      </c>
      <c r="AD3656">
        <v>-1.0960271003139901</v>
      </c>
      <c r="AE3656">
        <v>-15.03</v>
      </c>
      <c r="AF3656">
        <v>2.6398545506552602</v>
      </c>
      <c r="AG3656">
        <v>-1.0960271003139901</v>
      </c>
      <c r="AH3656">
        <v>14.821574285801701</v>
      </c>
      <c r="AI3656">
        <v>94.163921708955698</v>
      </c>
      <c r="AJ3656">
        <v>79.901011424630298</v>
      </c>
      <c r="AK3656">
        <v>15.094673622267401</v>
      </c>
      <c r="AL3656">
        <v>85.919244454860902</v>
      </c>
      <c r="AM3656">
        <v>82.365488212445896</v>
      </c>
      <c r="AN3656">
        <v>0.99999998885011299</v>
      </c>
    </row>
    <row r="3657" spans="1:40" x14ac:dyDescent="0.25">
      <c r="A3657" t="str">
        <f>"20190312151100132"</f>
        <v>20190312151100132</v>
      </c>
      <c r="B3657" t="str">
        <f>"1552374660124454"</f>
        <v>1552374660124454</v>
      </c>
      <c r="C3657" t="s">
        <v>40</v>
      </c>
      <c r="D3657">
        <v>5.1002919999999996</v>
      </c>
      <c r="E3657">
        <v>0.51467379999999996</v>
      </c>
      <c r="F3657" t="s">
        <v>42</v>
      </c>
      <c r="G3657">
        <v>-189.16069999999999</v>
      </c>
      <c r="H3657" s="1">
        <v>-4.0241129999999999E-6</v>
      </c>
      <c r="I3657">
        <v>178.6661</v>
      </c>
      <c r="J3657">
        <v>-187.34819999999999</v>
      </c>
      <c r="K3657">
        <v>1.0962700000000001</v>
      </c>
      <c r="L3657">
        <v>193.5316</v>
      </c>
      <c r="M3657">
        <v>4.2198029999999997E-2</v>
      </c>
      <c r="N3657">
        <v>0</v>
      </c>
      <c r="O3657">
        <v>-0.99897820000000004</v>
      </c>
      <c r="P3657">
        <v>-8.1994529999999996E-2</v>
      </c>
      <c r="Q3657">
        <v>5.8937740000000002E-2</v>
      </c>
      <c r="R3657">
        <v>-0.99488869999999896</v>
      </c>
      <c r="S3657">
        <v>-0.3572845</v>
      </c>
      <c r="T3657">
        <v>-0.21647350000000001</v>
      </c>
      <c r="U3657">
        <v>-3.000381</v>
      </c>
      <c r="V3657">
        <v>0.12633710000000001</v>
      </c>
      <c r="W3657">
        <v>7.0787130000000004E-2</v>
      </c>
      <c r="X3657">
        <v>0.98945850000000002</v>
      </c>
      <c r="Y3657">
        <v>0.15974579999999999</v>
      </c>
      <c r="Z3657">
        <v>7.1153090000000002E-2</v>
      </c>
      <c r="AA3657">
        <v>0.98459050000000004</v>
      </c>
      <c r="AB3657">
        <v>30</v>
      </c>
      <c r="AC3657">
        <v>-1.8125</v>
      </c>
      <c r="AD3657">
        <v>-1.096274024113</v>
      </c>
      <c r="AE3657">
        <v>-14.8654999999999</v>
      </c>
      <c r="AF3657">
        <v>2.4252654922324099</v>
      </c>
      <c r="AG3657">
        <v>-1.096274024113</v>
      </c>
      <c r="AH3657">
        <v>14.697002558492899</v>
      </c>
      <c r="AI3657">
        <v>94.209172150519606</v>
      </c>
      <c r="AJ3657">
        <v>80.629627902857806</v>
      </c>
      <c r="AK3657">
        <v>14.936050804952</v>
      </c>
      <c r="AL3657">
        <v>85.940801405560094</v>
      </c>
      <c r="AM3657">
        <v>82.723670376620007</v>
      </c>
      <c r="AN3657">
        <v>1.0000000019161399</v>
      </c>
    </row>
    <row r="3658" spans="1:40" x14ac:dyDescent="0.25">
      <c r="A3658" t="str">
        <f>"20190312151100153"</f>
        <v>20190312151100153</v>
      </c>
      <c r="B3658" t="str">
        <f>"1552374660144946"</f>
        <v>1552374660144946</v>
      </c>
      <c r="C3658" t="s">
        <v>40</v>
      </c>
      <c r="D3658">
        <v>5.3510410000000004</v>
      </c>
      <c r="E3658">
        <v>0.51332060000000002</v>
      </c>
      <c r="F3658" t="s">
        <v>41</v>
      </c>
      <c r="G3658">
        <v>-187.4511</v>
      </c>
      <c r="H3658">
        <v>1.035083</v>
      </c>
      <c r="I3658">
        <v>192.71559999999999</v>
      </c>
      <c r="J3658">
        <v>-187.34960000000001</v>
      </c>
      <c r="K3658">
        <v>1.0965119999999999</v>
      </c>
      <c r="L3658">
        <v>193.239</v>
      </c>
      <c r="M3658">
        <v>2.735185E-2</v>
      </c>
      <c r="N3658">
        <v>0</v>
      </c>
      <c r="O3658">
        <v>-0.99949619999999995</v>
      </c>
      <c r="P3658">
        <v>-9.0869160000000004E-2</v>
      </c>
      <c r="Q3658">
        <v>5.8216879999999999E-2</v>
      </c>
      <c r="R3658">
        <v>-0.99416009999999999</v>
      </c>
      <c r="S3658">
        <v>-0.37779239999999997</v>
      </c>
      <c r="T3658">
        <v>-0.22467580000000001</v>
      </c>
      <c r="U3658">
        <v>-2.9975890000000001</v>
      </c>
      <c r="V3658">
        <v>0.1203951</v>
      </c>
      <c r="W3658">
        <v>7.0278670000000001E-2</v>
      </c>
      <c r="X3658">
        <v>0.99023530000000004</v>
      </c>
      <c r="Y3658">
        <v>0.1517936</v>
      </c>
      <c r="Z3658">
        <v>7.397637E-2</v>
      </c>
      <c r="AA3658">
        <v>0.98563999999999996</v>
      </c>
      <c r="AB3658">
        <v>30</v>
      </c>
      <c r="AC3658">
        <v>-0.101499999999987</v>
      </c>
      <c r="AD3658">
        <v>-6.1429000000000102E-2</v>
      </c>
      <c r="AE3658">
        <v>-0.52340000000000897</v>
      </c>
      <c r="AF3658">
        <v>0.114262946776995</v>
      </c>
      <c r="AG3658">
        <v>-6.1429000000000102E-2</v>
      </c>
      <c r="AH3658">
        <v>0.513609202582064</v>
      </c>
      <c r="AI3658">
        <v>96.659043631041399</v>
      </c>
      <c r="AJ3658">
        <v>77.457631773027003</v>
      </c>
      <c r="AK3658">
        <v>0.529739517144177</v>
      </c>
      <c r="AL3658">
        <v>85.970006789656495</v>
      </c>
      <c r="AM3658">
        <v>83.067870395195499</v>
      </c>
      <c r="AN3658">
        <v>1.00000001046353</v>
      </c>
    </row>
    <row r="3659" spans="1:40" x14ac:dyDescent="0.25">
      <c r="A3659" t="str">
        <f>"20190312151100178"</f>
        <v>20190312151100178</v>
      </c>
      <c r="B3659" t="str">
        <f>"1552374660174228"</f>
        <v>1552374660174228</v>
      </c>
      <c r="C3659" t="s">
        <v>40</v>
      </c>
      <c r="D3659">
        <v>5.1477769999999996</v>
      </c>
      <c r="E3659">
        <v>0.51137770000000005</v>
      </c>
      <c r="F3659" t="s">
        <v>41</v>
      </c>
      <c r="G3659">
        <v>-187.45439999999999</v>
      </c>
      <c r="H3659">
        <v>1.036335</v>
      </c>
      <c r="I3659">
        <v>192.4417</v>
      </c>
      <c r="J3659">
        <v>-187.35599999999999</v>
      </c>
      <c r="K3659">
        <v>1.096808</v>
      </c>
      <c r="L3659">
        <v>192.90819999999999</v>
      </c>
      <c r="M3659">
        <v>1.0895739999999999E-2</v>
      </c>
      <c r="N3659">
        <v>0</v>
      </c>
      <c r="O3659">
        <v>-0.99981209999999998</v>
      </c>
      <c r="P3659">
        <v>-0.10056610000000001</v>
      </c>
      <c r="Q3659">
        <v>5.7371409999999998E-2</v>
      </c>
      <c r="R3659">
        <v>-0.99327520000000002</v>
      </c>
      <c r="S3659">
        <v>-0.3933258</v>
      </c>
      <c r="T3659">
        <v>-0.2259814</v>
      </c>
      <c r="U3659">
        <v>-2.994904</v>
      </c>
      <c r="V3659">
        <v>0.113672</v>
      </c>
      <c r="W3659">
        <v>6.9666950000000005E-2</v>
      </c>
      <c r="X3659">
        <v>0.99107279999999998</v>
      </c>
      <c r="Y3659">
        <v>0.14064769999999999</v>
      </c>
      <c r="Z3659">
        <v>7.4542430000000007E-2</v>
      </c>
      <c r="AA3659">
        <v>0.98724959999999995</v>
      </c>
      <c r="AB3659">
        <v>30</v>
      </c>
      <c r="AC3659">
        <v>-9.8399999999998003E-2</v>
      </c>
      <c r="AD3659">
        <v>-6.0472999999999999E-2</v>
      </c>
      <c r="AE3659">
        <v>-0.46649999999999597</v>
      </c>
      <c r="AF3659">
        <v>0.101839237324821</v>
      </c>
      <c r="AG3659">
        <v>-6.0472999999999999E-2</v>
      </c>
      <c r="AH3659">
        <v>0.45803101029492699</v>
      </c>
      <c r="AI3659">
        <v>97.343851693473198</v>
      </c>
      <c r="AJ3659">
        <v>77.464687641806606</v>
      </c>
      <c r="AK3659">
        <v>0.47309684038227601</v>
      </c>
      <c r="AL3659">
        <v>86.005142046766693</v>
      </c>
      <c r="AM3659">
        <v>83.456999663512306</v>
      </c>
      <c r="AN3659">
        <v>1.00000005120307</v>
      </c>
    </row>
    <row r="3660" spans="1:40" x14ac:dyDescent="0.25">
      <c r="A3660" t="str">
        <f>"20190312151100200"</f>
        <v>20190312151100200</v>
      </c>
      <c r="B3660" t="str">
        <f>"1552374660194722"</f>
        <v>1552374660194722</v>
      </c>
      <c r="C3660" t="s">
        <v>40</v>
      </c>
      <c r="D3660">
        <v>5.1607149999999997</v>
      </c>
      <c r="E3660">
        <v>0.51026959999999999</v>
      </c>
      <c r="F3660" t="s">
        <v>41</v>
      </c>
      <c r="G3660">
        <v>-187.4572</v>
      </c>
      <c r="H3660">
        <v>1.0407649999999999</v>
      </c>
      <c r="I3660">
        <v>192.16419999999999</v>
      </c>
      <c r="J3660">
        <v>-187.36680000000001</v>
      </c>
      <c r="K3660">
        <v>1.0971010000000001</v>
      </c>
      <c r="L3660">
        <v>192.60319999999999</v>
      </c>
      <c r="M3660">
        <v>-3.8979290000000001E-3</v>
      </c>
      <c r="N3660">
        <v>0</v>
      </c>
      <c r="O3660">
        <v>-0.99986529999999996</v>
      </c>
      <c r="P3660">
        <v>-0.1080511</v>
      </c>
      <c r="Q3660">
        <v>5.662652E-2</v>
      </c>
      <c r="R3660">
        <v>-0.99253139999999995</v>
      </c>
      <c r="S3660">
        <v>-0.40711979999999998</v>
      </c>
      <c r="T3660">
        <v>-0.2254362</v>
      </c>
      <c r="U3660">
        <v>-2.992111</v>
      </c>
      <c r="V3660">
        <v>0.1063974</v>
      </c>
      <c r="W3660">
        <v>6.9163680000000005E-2</v>
      </c>
      <c r="X3660">
        <v>0.99191530000000006</v>
      </c>
      <c r="Y3660">
        <v>0.1305839</v>
      </c>
      <c r="Z3660">
        <v>7.4466939999999995E-2</v>
      </c>
      <c r="AA3660">
        <v>0.98863670000000003</v>
      </c>
      <c r="AB3660">
        <v>30</v>
      </c>
      <c r="AC3660">
        <v>-9.0399999999988198E-2</v>
      </c>
      <c r="AD3660">
        <v>-5.6336000000000101E-2</v>
      </c>
      <c r="AE3660">
        <v>-0.43899999999999201</v>
      </c>
      <c r="AF3660">
        <v>8.7308588520417299E-2</v>
      </c>
      <c r="AG3660">
        <v>-5.6336000000000101E-2</v>
      </c>
      <c r="AH3660">
        <v>0.43251611721910399</v>
      </c>
      <c r="AI3660">
        <v>97.275957363083904</v>
      </c>
      <c r="AJ3660">
        <v>78.587520318087897</v>
      </c>
      <c r="AK3660">
        <v>0.44482212869833399</v>
      </c>
      <c r="AL3660">
        <v>86.0340467800293</v>
      </c>
      <c r="AM3660">
        <v>83.877600215599202</v>
      </c>
      <c r="AN3660">
        <v>0.99999999186599597</v>
      </c>
    </row>
    <row r="3661" spans="1:40" x14ac:dyDescent="0.25">
      <c r="A3661" t="str">
        <f>"20190312151100223"</f>
        <v>20190312151100223</v>
      </c>
      <c r="B3661" t="str">
        <f>"1552374660214242"</f>
        <v>1552374660214242</v>
      </c>
      <c r="C3661" t="s">
        <v>40</v>
      </c>
      <c r="D3661">
        <v>5.1464800000000004</v>
      </c>
      <c r="E3661">
        <v>0.52555959999999902</v>
      </c>
      <c r="F3661" t="s">
        <v>41</v>
      </c>
      <c r="G3661">
        <v>-187.5043</v>
      </c>
      <c r="H3661">
        <v>1.02291</v>
      </c>
      <c r="I3661">
        <v>191.62700000000001</v>
      </c>
      <c r="J3661">
        <v>-187.38239999999999</v>
      </c>
      <c r="K3661">
        <v>1.0974250000000001</v>
      </c>
      <c r="L3661">
        <v>192.28980000000001</v>
      </c>
      <c r="M3661">
        <v>-1.8733570000000001E-2</v>
      </c>
      <c r="N3661">
        <v>0</v>
      </c>
      <c r="O3661">
        <v>-0.9996988</v>
      </c>
      <c r="P3661">
        <v>-0.11865009999999999</v>
      </c>
      <c r="Q3661">
        <v>5.6606120000000003E-2</v>
      </c>
      <c r="R3661">
        <v>-0.99132160000000002</v>
      </c>
      <c r="S3661">
        <v>-0.42097469999999998</v>
      </c>
      <c r="T3661">
        <v>-0.22707260000000001</v>
      </c>
      <c r="U3661">
        <v>-2.989716</v>
      </c>
      <c r="V3661">
        <v>0.10221810000000001</v>
      </c>
      <c r="W3661">
        <v>6.9273570000000007E-2</v>
      </c>
      <c r="X3661">
        <v>0.99234710000000004</v>
      </c>
      <c r="Y3661">
        <v>0.1204615</v>
      </c>
      <c r="Z3661">
        <v>7.5069449999999996E-2</v>
      </c>
      <c r="AA3661">
        <v>0.98987559999999997</v>
      </c>
      <c r="AB3661">
        <v>30</v>
      </c>
      <c r="AC3661">
        <v>-0.12190000000001</v>
      </c>
      <c r="AD3661">
        <v>-7.4515000000000095E-2</v>
      </c>
      <c r="AE3661">
        <v>-0.66280000000000405</v>
      </c>
      <c r="AF3661">
        <v>0.108138359818197</v>
      </c>
      <c r="AG3661">
        <v>-7.4515000000000095E-2</v>
      </c>
      <c r="AH3661">
        <v>0.65693603550820001</v>
      </c>
      <c r="AI3661">
        <v>96.386074734385005</v>
      </c>
      <c r="AJ3661">
        <v>80.652359284347497</v>
      </c>
      <c r="AK3661">
        <v>0.66993383616473701</v>
      </c>
      <c r="AL3661">
        <v>86.027735708653395</v>
      </c>
      <c r="AM3661">
        <v>84.118909703262005</v>
      </c>
      <c r="AN3661">
        <v>1.00000006717328</v>
      </c>
    </row>
    <row r="3662" spans="1:40" x14ac:dyDescent="0.25">
      <c r="A3662" t="str">
        <f>"20190312151100243"</f>
        <v>20190312151100243</v>
      </c>
      <c r="B3662" t="str">
        <f>"1552374660234738"</f>
        <v>1552374660234738</v>
      </c>
      <c r="C3662" t="s">
        <v>40</v>
      </c>
      <c r="D3662">
        <v>5.2761060000000004</v>
      </c>
      <c r="E3662">
        <v>0.53693849999999999</v>
      </c>
      <c r="F3662" t="s">
        <v>42</v>
      </c>
      <c r="G3662">
        <v>-191.63810000000001</v>
      </c>
      <c r="H3662" s="1">
        <v>-6.9139909999999997E-7</v>
      </c>
      <c r="I3662">
        <v>170.1848</v>
      </c>
      <c r="J3662">
        <v>-187.40119999999999</v>
      </c>
      <c r="K3662">
        <v>1.0977239999999999</v>
      </c>
      <c r="L3662">
        <v>191.99369999999999</v>
      </c>
      <c r="M3662">
        <v>-3.2457420000000001E-2</v>
      </c>
      <c r="N3662">
        <v>0</v>
      </c>
      <c r="O3662">
        <v>-0.99934860000000003</v>
      </c>
      <c r="P3662">
        <v>-0.12518360000000001</v>
      </c>
      <c r="Q3662">
        <v>5.6637149999999997E-2</v>
      </c>
      <c r="R3662">
        <v>-0.9905159</v>
      </c>
      <c r="S3662">
        <v>-0.57107540000000001</v>
      </c>
      <c r="T3662">
        <v>-0.14726589999999901</v>
      </c>
      <c r="U3662">
        <v>-2.9663240000000002</v>
      </c>
      <c r="V3662">
        <v>9.5079650000000002E-2</v>
      </c>
      <c r="W3662">
        <v>6.9519490000000003E-2</v>
      </c>
      <c r="X3662">
        <v>0.99303929999999996</v>
      </c>
      <c r="Y3662">
        <v>0.15684719999999999</v>
      </c>
      <c r="Z3662">
        <v>4.8792049999999997E-2</v>
      </c>
      <c r="AA3662">
        <v>0.98641690000000004</v>
      </c>
      <c r="AB3662">
        <v>30</v>
      </c>
      <c r="AC3662">
        <v>-4.2369000000000199</v>
      </c>
      <c r="AD3662">
        <v>-1.0977246913990999</v>
      </c>
      <c r="AE3662">
        <v>-21.808899999999898</v>
      </c>
      <c r="AF3662">
        <v>3.5181293884324698</v>
      </c>
      <c r="AG3662">
        <v>-1.0977246913990999</v>
      </c>
      <c r="AH3662">
        <v>21.881521982280901</v>
      </c>
      <c r="AI3662">
        <v>92.835578890174602</v>
      </c>
      <c r="AJ3662">
        <v>80.866106536324395</v>
      </c>
      <c r="AK3662">
        <v>22.1897101863206</v>
      </c>
      <c r="AL3662">
        <v>86.013611512746195</v>
      </c>
      <c r="AM3662">
        <v>84.530823892494197</v>
      </c>
      <c r="AN3662">
        <v>1.00000007533923</v>
      </c>
    </row>
    <row r="3663" spans="1:40" x14ac:dyDescent="0.25">
      <c r="A3663" t="str">
        <f>"20190312151100255"</f>
        <v>20190312151100255</v>
      </c>
      <c r="B3663" t="str">
        <f>"1552374660244499"</f>
        <v>1552374660244499</v>
      </c>
      <c r="C3663" t="s">
        <v>40</v>
      </c>
      <c r="D3663">
        <v>5.2469739999999998</v>
      </c>
      <c r="E3663">
        <v>0.53937869999999999</v>
      </c>
      <c r="F3663" t="s">
        <v>42</v>
      </c>
      <c r="G3663">
        <v>-190.42750000000001</v>
      </c>
      <c r="H3663" s="1">
        <v>-4.1220240000000003E-6</v>
      </c>
      <c r="I3663">
        <v>178.9325</v>
      </c>
      <c r="J3663">
        <v>-187.41309999999999</v>
      </c>
      <c r="K3663">
        <v>1.0978870000000001</v>
      </c>
      <c r="L3663">
        <v>191.82830000000001</v>
      </c>
      <c r="M3663">
        <v>-4.0006390000000003E-2</v>
      </c>
      <c r="N3663">
        <v>0</v>
      </c>
      <c r="O3663">
        <v>-0.9990753</v>
      </c>
      <c r="P3663">
        <v>-0.1291157</v>
      </c>
      <c r="Q3663">
        <v>5.648682E-2</v>
      </c>
      <c r="R3663">
        <v>-0.99001930000000005</v>
      </c>
      <c r="S3663">
        <v>-0.68499759999999998</v>
      </c>
      <c r="T3663">
        <v>-0.2484671</v>
      </c>
      <c r="U3663">
        <v>-2.9563449999999998</v>
      </c>
      <c r="V3663">
        <v>9.1485330000000004E-2</v>
      </c>
      <c r="W3663">
        <v>6.947383E-2</v>
      </c>
      <c r="X3663">
        <v>0.99338000000000004</v>
      </c>
      <c r="Y3663">
        <v>0.185808</v>
      </c>
      <c r="Z3663">
        <v>8.1844609999999998E-2</v>
      </c>
      <c r="AA3663">
        <v>0.97917149999999997</v>
      </c>
      <c r="AB3663">
        <v>30</v>
      </c>
      <c r="AC3663">
        <v>-3.0144000000000202</v>
      </c>
      <c r="AD3663">
        <v>-1.097891122024</v>
      </c>
      <c r="AE3663">
        <v>-12.895799999999999</v>
      </c>
      <c r="AF3663">
        <v>2.4789708907917398</v>
      </c>
      <c r="AG3663">
        <v>-1.097891122024</v>
      </c>
      <c r="AH3663">
        <v>12.9173087174657</v>
      </c>
      <c r="AI3663">
        <v>94.7714518749939</v>
      </c>
      <c r="AJ3663">
        <v>79.136404499546302</v>
      </c>
      <c r="AK3663">
        <v>13.198769870542</v>
      </c>
      <c r="AL3663">
        <v>86.016233683966604</v>
      </c>
      <c r="AM3663">
        <v>84.738187752929207</v>
      </c>
      <c r="AN3663">
        <v>1.0000000015300301</v>
      </c>
    </row>
    <row r="3664" spans="1:40" x14ac:dyDescent="0.25">
      <c r="A3664" t="str">
        <f>"20190312151100267"</f>
        <v>20190312151100267</v>
      </c>
      <c r="B3664" t="str">
        <f>"1552374660264994"</f>
        <v>1552374660264994</v>
      </c>
      <c r="C3664" t="s">
        <v>40</v>
      </c>
      <c r="D3664">
        <v>5.1789440000000004</v>
      </c>
      <c r="E3664">
        <v>0.54137769999999996</v>
      </c>
      <c r="F3664" t="s">
        <v>42</v>
      </c>
      <c r="G3664">
        <v>-190.4093</v>
      </c>
      <c r="H3664" s="1">
        <v>-4.3274530000000003E-6</v>
      </c>
      <c r="I3664">
        <v>179.48990000000001</v>
      </c>
      <c r="J3664">
        <v>-187.4263</v>
      </c>
      <c r="K3664">
        <v>1.0980490000000001</v>
      </c>
      <c r="L3664">
        <v>191.6669</v>
      </c>
      <c r="M3664">
        <v>-4.7234030000000003E-2</v>
      </c>
      <c r="N3664">
        <v>0</v>
      </c>
      <c r="O3664">
        <v>-0.99876050000000005</v>
      </c>
      <c r="P3664">
        <v>-0.13307579999999999</v>
      </c>
      <c r="Q3664">
        <v>5.6311279999999998E-2</v>
      </c>
      <c r="R3664">
        <v>-0.98950510000000003</v>
      </c>
      <c r="S3664">
        <v>-0.71678160000000002</v>
      </c>
      <c r="T3664">
        <v>-0.26265169999999999</v>
      </c>
      <c r="U3664">
        <v>-2.9517519999999999</v>
      </c>
      <c r="V3664">
        <v>8.823694E-2</v>
      </c>
      <c r="W3664">
        <v>6.938917E-2</v>
      </c>
      <c r="X3664">
        <v>0.99367969999999906</v>
      </c>
      <c r="Y3664">
        <v>0.18892300000000001</v>
      </c>
      <c r="Z3664">
        <v>8.6440130000000004E-2</v>
      </c>
      <c r="AA3664">
        <v>0.9781801</v>
      </c>
      <c r="AB3664">
        <v>30</v>
      </c>
      <c r="AC3664">
        <v>-2.9830000000000001</v>
      </c>
      <c r="AD3664">
        <v>-1.098053327453</v>
      </c>
      <c r="AE3664">
        <v>-12.1769999999999</v>
      </c>
      <c r="AF3664">
        <v>2.3861258964184699</v>
      </c>
      <c r="AG3664">
        <v>-1.098053327453</v>
      </c>
      <c r="AH3664">
        <v>12.210652947552701</v>
      </c>
      <c r="AI3664">
        <v>95.0436586780759</v>
      </c>
      <c r="AJ3664">
        <v>78.942971256242501</v>
      </c>
      <c r="AK3664">
        <v>12.489970508734899</v>
      </c>
      <c r="AL3664">
        <v>86.021095994530697</v>
      </c>
      <c r="AM3664">
        <v>84.925549182094301</v>
      </c>
      <c r="AN3664">
        <v>0.99999998034297</v>
      </c>
    </row>
    <row r="3665" spans="1:40" x14ac:dyDescent="0.25">
      <c r="A3665" t="str">
        <f>"20190312151100288"</f>
        <v>20190312151100288</v>
      </c>
      <c r="B3665" t="str">
        <f>"1552374660284514"</f>
        <v>1552374660284514</v>
      </c>
      <c r="C3665" t="s">
        <v>40</v>
      </c>
      <c r="D3665">
        <v>5.2067050000000004</v>
      </c>
      <c r="E3665">
        <v>0.54247040000000002</v>
      </c>
      <c r="F3665" t="s">
        <v>41</v>
      </c>
      <c r="G3665">
        <v>-187.6422</v>
      </c>
      <c r="H3665">
        <v>1.0130490000000001</v>
      </c>
      <c r="I3665">
        <v>190.81360000000001</v>
      </c>
      <c r="J3665">
        <v>-187.4512</v>
      </c>
      <c r="K3665">
        <v>1.09833799999999</v>
      </c>
      <c r="L3665">
        <v>191.39</v>
      </c>
      <c r="M3665">
        <v>-5.942186E-2</v>
      </c>
      <c r="N3665">
        <v>0</v>
      </c>
      <c r="O3665">
        <v>-0.99811079999999996</v>
      </c>
      <c r="P3665">
        <v>-0.13886889999999999</v>
      </c>
      <c r="Q3665">
        <v>5.6488099999999999E-2</v>
      </c>
      <c r="R3665">
        <v>-0.98869879999999999</v>
      </c>
      <c r="S3665">
        <v>-0.74534609999999901</v>
      </c>
      <c r="T3665">
        <v>-0.29337049999999998</v>
      </c>
      <c r="U3665">
        <v>-2.9482729999999999</v>
      </c>
      <c r="V3665">
        <v>8.1877829999999999E-2</v>
      </c>
      <c r="W3665">
        <v>6.9741159999999996E-2</v>
      </c>
      <c r="X3665">
        <v>0.99419930000000001</v>
      </c>
      <c r="Y3665">
        <v>0.18590609999999999</v>
      </c>
      <c r="Z3665">
        <v>9.6392500000000006E-2</v>
      </c>
      <c r="AA3665">
        <v>0.97782789999999997</v>
      </c>
      <c r="AB3665">
        <v>30</v>
      </c>
      <c r="AC3665">
        <v>-0.191000000000002</v>
      </c>
      <c r="AD3665">
        <v>-8.5288999999999698E-2</v>
      </c>
      <c r="AE3665">
        <v>-0.57639999999997804</v>
      </c>
      <c r="AF3665">
        <v>0.153381504780017</v>
      </c>
      <c r="AG3665">
        <v>-8.5288999999999698E-2</v>
      </c>
      <c r="AH3665">
        <v>0.57538084835870595</v>
      </c>
      <c r="AI3665">
        <v>98.150970423892105</v>
      </c>
      <c r="AJ3665">
        <v>75.073546313901801</v>
      </c>
      <c r="AK3665">
        <v>0.60155067965015796</v>
      </c>
      <c r="AL3665">
        <v>86.000879668275203</v>
      </c>
      <c r="AM3665">
        <v>85.291999297212996</v>
      </c>
      <c r="AN3665">
        <v>1.00000002828207</v>
      </c>
    </row>
    <row r="3666" spans="1:40" x14ac:dyDescent="0.25">
      <c r="A3666" t="str">
        <f>"20190312151100301"</f>
        <v>20190312151100301</v>
      </c>
      <c r="B3666" t="str">
        <f>"1552374660294275"</f>
        <v>1552374660294275</v>
      </c>
      <c r="C3666" t="s">
        <v>40</v>
      </c>
      <c r="D3666">
        <v>4.8760329999999996</v>
      </c>
      <c r="E3666">
        <v>0.54166080000000005</v>
      </c>
      <c r="F3666" t="s">
        <v>41</v>
      </c>
      <c r="G3666">
        <v>-187.67359999999999</v>
      </c>
      <c r="H3666">
        <v>1.014556</v>
      </c>
      <c r="I3666">
        <v>190.5421</v>
      </c>
      <c r="J3666">
        <v>-187.46889999999999</v>
      </c>
      <c r="K3666">
        <v>1.0985389999999999</v>
      </c>
      <c r="L3666">
        <v>191.2105</v>
      </c>
      <c r="M3666">
        <v>-6.7162540000000007E-2</v>
      </c>
      <c r="N3666">
        <v>0</v>
      </c>
      <c r="O3666">
        <v>-0.99762059999999997</v>
      </c>
      <c r="P3666">
        <v>-0.14365059999999999</v>
      </c>
      <c r="Q3666">
        <v>5.622183E-2</v>
      </c>
      <c r="R3666">
        <v>-0.98803039999999998</v>
      </c>
      <c r="S3666">
        <v>-0.77136229999999995</v>
      </c>
      <c r="T3666">
        <v>-0.29043020000000003</v>
      </c>
      <c r="U3666">
        <v>-2.9425509999999999</v>
      </c>
      <c r="V3666">
        <v>7.8930600000000004E-2</v>
      </c>
      <c r="W3666">
        <v>6.9549959999999994E-2</v>
      </c>
      <c r="X3666">
        <v>0.99445099999999997</v>
      </c>
      <c r="Y3666">
        <v>0.1868677</v>
      </c>
      <c r="Z3666">
        <v>9.5431600000000005E-2</v>
      </c>
      <c r="AA3666">
        <v>0.97773889999999997</v>
      </c>
      <c r="AB3666">
        <v>30</v>
      </c>
      <c r="AC3666">
        <v>-0.20470000000000199</v>
      </c>
      <c r="AD3666">
        <v>-8.3982999999999905E-2</v>
      </c>
      <c r="AE3666">
        <v>-0.668399999999991</v>
      </c>
      <c r="AF3666">
        <v>0.15707366069166501</v>
      </c>
      <c r="AG3666">
        <v>-8.3982999999999905E-2</v>
      </c>
      <c r="AH3666">
        <v>0.67095593042261903</v>
      </c>
      <c r="AI3666">
        <v>96.948602199817202</v>
      </c>
      <c r="AJ3666">
        <v>76.824093141265706</v>
      </c>
      <c r="AK3666">
        <v>0.69419531814998803</v>
      </c>
      <c r="AL3666">
        <v>86.011861229446097</v>
      </c>
      <c r="AM3666">
        <v>85.461888688948903</v>
      </c>
      <c r="AN3666">
        <v>1.00000001397668</v>
      </c>
    </row>
    <row r="3667" spans="1:40" x14ac:dyDescent="0.25">
      <c r="A3667" t="str">
        <f>"20190312151100322"</f>
        <v>20190312151100322</v>
      </c>
      <c r="B3667" t="str">
        <f>"1552374660314771"</f>
        <v>1552374660314771</v>
      </c>
      <c r="C3667" t="s">
        <v>40</v>
      </c>
      <c r="D3667">
        <v>5.173254</v>
      </c>
      <c r="E3667">
        <v>0.54205800000000004</v>
      </c>
      <c r="F3667" t="s">
        <v>41</v>
      </c>
      <c r="G3667">
        <v>-187.71639999999999</v>
      </c>
      <c r="H3667">
        <v>1.008116</v>
      </c>
      <c r="I3667">
        <v>190.2765</v>
      </c>
      <c r="J3667">
        <v>-187.50040000000001</v>
      </c>
      <c r="K3667">
        <v>1.098875</v>
      </c>
      <c r="L3667">
        <v>190.92099999999999</v>
      </c>
      <c r="M3667">
        <v>-7.9317819999999997E-2</v>
      </c>
      <c r="N3667">
        <v>0</v>
      </c>
      <c r="O3667">
        <v>-0.99672899999999998</v>
      </c>
      <c r="P3667">
        <v>-0.14900720000000001</v>
      </c>
      <c r="Q3667">
        <v>5.5027149999999997E-2</v>
      </c>
      <c r="R3667">
        <v>-0.98730399999999996</v>
      </c>
      <c r="S3667">
        <v>-0.77871699999999999</v>
      </c>
      <c r="T3667">
        <v>-0.28431960000000001</v>
      </c>
      <c r="U3667">
        <v>-2.939346</v>
      </c>
      <c r="V3667">
        <v>7.2100010000000006E-2</v>
      </c>
      <c r="W3667">
        <v>6.8526240000000002E-2</v>
      </c>
      <c r="X3667">
        <v>0.99504060000000005</v>
      </c>
      <c r="Y3667">
        <v>0.1774829</v>
      </c>
      <c r="Z3667">
        <v>9.3467079999999994E-2</v>
      </c>
      <c r="AA3667">
        <v>0.97967530000000003</v>
      </c>
      <c r="AB3667">
        <v>30</v>
      </c>
      <c r="AC3667">
        <v>-0.21599999999997899</v>
      </c>
      <c r="AD3667">
        <v>-9.0759000000000006E-2</v>
      </c>
      <c r="AE3667">
        <v>-0.64449999999999297</v>
      </c>
      <c r="AF3667">
        <v>0.16131687003483999</v>
      </c>
      <c r="AG3667">
        <v>-9.0759000000000006E-2</v>
      </c>
      <c r="AH3667">
        <v>0.64805018347646304</v>
      </c>
      <c r="AI3667">
        <v>97.739201603590502</v>
      </c>
      <c r="AJ3667">
        <v>76.021659594812704</v>
      </c>
      <c r="AK3667">
        <v>0.67396540633975799</v>
      </c>
      <c r="AL3667">
        <v>86.070656399002004</v>
      </c>
      <c r="AM3667">
        <v>85.855627222578406</v>
      </c>
      <c r="AN3667">
        <v>1.00000002632944</v>
      </c>
    </row>
    <row r="3668" spans="1:40" x14ac:dyDescent="0.25">
      <c r="A3668" t="str">
        <f>"20190312151100345"</f>
        <v>20190312151100345</v>
      </c>
      <c r="B3668" t="str">
        <f>"1552374660334293"</f>
        <v>1552374660334293</v>
      </c>
      <c r="C3668" t="s">
        <v>40</v>
      </c>
      <c r="D3668">
        <v>5.2023359999999998</v>
      </c>
      <c r="E3668">
        <v>0.5420005</v>
      </c>
      <c r="F3668" t="s">
        <v>41</v>
      </c>
      <c r="G3668">
        <v>-187.7491</v>
      </c>
      <c r="H3668">
        <v>1.0063299999999999</v>
      </c>
      <c r="I3668">
        <v>190.00739999999999</v>
      </c>
      <c r="J3668">
        <v>-187.5369</v>
      </c>
      <c r="K3668">
        <v>1.0992420000000001</v>
      </c>
      <c r="L3668">
        <v>190.619</v>
      </c>
      <c r="M3668">
        <v>-9.1608430000000005E-2</v>
      </c>
      <c r="N3668">
        <v>0</v>
      </c>
      <c r="O3668">
        <v>-0.99567620000000001</v>
      </c>
      <c r="P3668">
        <v>-0.155253</v>
      </c>
      <c r="Q3668">
        <v>5.4070439999999997E-2</v>
      </c>
      <c r="R3668">
        <v>-0.98639399999999999</v>
      </c>
      <c r="S3668">
        <v>-0.79853819999999998</v>
      </c>
      <c r="T3668">
        <v>-0.2970853</v>
      </c>
      <c r="U3668">
        <v>-2.934631</v>
      </c>
      <c r="V3668">
        <v>6.6023789999999999E-2</v>
      </c>
      <c r="W3668">
        <v>6.7708939999999995E-2</v>
      </c>
      <c r="X3668">
        <v>0.99551809999999996</v>
      </c>
      <c r="Y3668">
        <v>0.17179729999999999</v>
      </c>
      <c r="Z3668">
        <v>9.7585599999999995E-2</v>
      </c>
      <c r="AA3668">
        <v>0.98028709999999997</v>
      </c>
      <c r="AB3668">
        <v>30</v>
      </c>
      <c r="AC3668">
        <v>-0.212199999999995</v>
      </c>
      <c r="AD3668">
        <v>-9.2912000000000106E-2</v>
      </c>
      <c r="AE3668">
        <v>-0.611600000000038</v>
      </c>
      <c r="AF3668">
        <v>0.15213926410098599</v>
      </c>
      <c r="AG3668">
        <v>-9.2912000000000106E-2</v>
      </c>
      <c r="AH3668">
        <v>0.61578482345798002</v>
      </c>
      <c r="AI3668">
        <v>98.333389650002701</v>
      </c>
      <c r="AJ3668">
        <v>76.122102759443905</v>
      </c>
      <c r="AK3668">
        <v>0.641069375517475</v>
      </c>
      <c r="AL3668">
        <v>86.117593019210901</v>
      </c>
      <c r="AM3668">
        <v>86.205641271211604</v>
      </c>
      <c r="AN3668">
        <v>0.99999996441474803</v>
      </c>
    </row>
    <row r="3669" spans="1:40" x14ac:dyDescent="0.25">
      <c r="A3669" t="str">
        <f>"20190312151100358"</f>
        <v>20190312151100358</v>
      </c>
      <c r="B3669" t="str">
        <f>"1552374660354786"</f>
        <v>1552374660354786</v>
      </c>
      <c r="C3669" t="s">
        <v>40</v>
      </c>
      <c r="D3669">
        <v>5.2439039999999997</v>
      </c>
      <c r="E3669">
        <v>0.541844199999999</v>
      </c>
      <c r="F3669" t="s">
        <v>41</v>
      </c>
      <c r="G3669">
        <v>-187.78319999999999</v>
      </c>
      <c r="H3669">
        <v>1.0104420000000001</v>
      </c>
      <c r="I3669">
        <v>189.73599999999999</v>
      </c>
      <c r="J3669">
        <v>-187.56030000000001</v>
      </c>
      <c r="K3669">
        <v>1.0994660000000001</v>
      </c>
      <c r="L3669">
        <v>190.43620000000001</v>
      </c>
      <c r="M3669">
        <v>-9.8895849999999993E-2</v>
      </c>
      <c r="N3669">
        <v>0</v>
      </c>
      <c r="O3669">
        <v>-0.99497950000000002</v>
      </c>
      <c r="P3669">
        <v>-0.1601426</v>
      </c>
      <c r="Q3669">
        <v>5.4261299999999998E-2</v>
      </c>
      <c r="R3669">
        <v>-0.98560170000000002</v>
      </c>
      <c r="S3669">
        <v>-0.81658940000000002</v>
      </c>
      <c r="T3669">
        <v>-0.29420970000000002</v>
      </c>
      <c r="U3669">
        <v>-2.9289700000000001</v>
      </c>
      <c r="V3669">
        <v>6.3638050000000002E-2</v>
      </c>
      <c r="W3669">
        <v>6.7946309999999996E-2</v>
      </c>
      <c r="X3669">
        <v>0.99565729999999997</v>
      </c>
      <c r="Y3669">
        <v>0.17070439999999901</v>
      </c>
      <c r="Z3669">
        <v>9.6659369999999994E-2</v>
      </c>
      <c r="AA3669">
        <v>0.98056969999999999</v>
      </c>
      <c r="AB3669">
        <v>30</v>
      </c>
      <c r="AC3669">
        <v>-0.222899999999981</v>
      </c>
      <c r="AD3669">
        <v>-8.9023999999999895E-2</v>
      </c>
      <c r="AE3669">
        <v>-0.70020000000002303</v>
      </c>
      <c r="AF3669">
        <v>0.15034533505966</v>
      </c>
      <c r="AG3669">
        <v>-8.9023999999999895E-2</v>
      </c>
      <c r="AH3669">
        <v>0.70841544737167395</v>
      </c>
      <c r="AI3669">
        <v>97.008123257776006</v>
      </c>
      <c r="AJ3669">
        <v>78.018032644576095</v>
      </c>
      <c r="AK3669">
        <v>0.72964473439134103</v>
      </c>
      <c r="AL3669">
        <v>86.103961390197497</v>
      </c>
      <c r="AM3669">
        <v>86.342879554869498</v>
      </c>
      <c r="AN3669">
        <v>0.99999998074685403</v>
      </c>
    </row>
    <row r="3670" spans="1:40" x14ac:dyDescent="0.25">
      <c r="A3670" t="str">
        <f>"20190312151100379"</f>
        <v>20190312151100379</v>
      </c>
      <c r="B3670" t="str">
        <f>"1552374660374307"</f>
        <v>1552374660374307</v>
      </c>
      <c r="C3670" t="s">
        <v>40</v>
      </c>
      <c r="D3670">
        <v>5.2493780000000001</v>
      </c>
      <c r="E3670">
        <v>0.54124649999999996</v>
      </c>
      <c r="F3670" t="s">
        <v>41</v>
      </c>
      <c r="G3670">
        <v>-187.8338</v>
      </c>
      <c r="H3670">
        <v>1.003128</v>
      </c>
      <c r="I3670">
        <v>189.47190000000001</v>
      </c>
      <c r="J3670">
        <v>-187.6002</v>
      </c>
      <c r="K3670">
        <v>1.0998250000000001</v>
      </c>
      <c r="L3670">
        <v>190.14869999999999</v>
      </c>
      <c r="M3670">
        <v>-0.1099878</v>
      </c>
      <c r="N3670">
        <v>0</v>
      </c>
      <c r="O3670">
        <v>-0.99381569999999997</v>
      </c>
      <c r="P3670">
        <v>-0.167245</v>
      </c>
      <c r="Q3670">
        <v>5.3189050000000002E-2</v>
      </c>
      <c r="R3670">
        <v>-0.98448000000000002</v>
      </c>
      <c r="S3670">
        <v>-0.82948299999999997</v>
      </c>
      <c r="T3670">
        <v>-0.2922593</v>
      </c>
      <c r="U3670">
        <v>-2.9251399999999999</v>
      </c>
      <c r="V3670">
        <v>5.9614510000000002E-2</v>
      </c>
      <c r="W3670">
        <v>6.6949629999999996E-2</v>
      </c>
      <c r="X3670">
        <v>0.99597380000000002</v>
      </c>
      <c r="Y3670">
        <v>0.1640665</v>
      </c>
      <c r="Z3670">
        <v>9.5975320000000003E-2</v>
      </c>
      <c r="AA3670">
        <v>0.98176929999999996</v>
      </c>
      <c r="AB3670">
        <v>30</v>
      </c>
      <c r="AC3670">
        <v>-0.23359999999999501</v>
      </c>
      <c r="AD3670">
        <v>-9.6697000000000005E-2</v>
      </c>
      <c r="AE3670">
        <v>-0.67679999999998497</v>
      </c>
      <c r="AF3670">
        <v>0.15490845743412901</v>
      </c>
      <c r="AG3670">
        <v>-9.6697000000000005E-2</v>
      </c>
      <c r="AH3670">
        <v>0.68587858469005203</v>
      </c>
      <c r="AI3670">
        <v>97.830138103660204</v>
      </c>
      <c r="AJ3670">
        <v>77.273049362251697</v>
      </c>
      <c r="AK3670">
        <v>0.70977205702256996</v>
      </c>
      <c r="AL3670">
        <v>86.161197272994798</v>
      </c>
      <c r="AM3670">
        <v>86.574619238276597</v>
      </c>
      <c r="AN3670">
        <v>0.99999997652305805</v>
      </c>
    </row>
    <row r="3671" spans="1:40" x14ac:dyDescent="0.25">
      <c r="A3671" t="str">
        <f>"20190312151100400"</f>
        <v>20190312151100400</v>
      </c>
      <c r="B3671" t="str">
        <f>"1552374660394802"</f>
        <v>1552374660394802</v>
      </c>
      <c r="C3671" t="s">
        <v>40</v>
      </c>
      <c r="D3671">
        <v>4.9482210000000002</v>
      </c>
      <c r="E3671">
        <v>0.54097980000000001</v>
      </c>
      <c r="F3671" t="s">
        <v>41</v>
      </c>
      <c r="G3671">
        <v>-187.8741</v>
      </c>
      <c r="H3671">
        <v>1.0057849999999999</v>
      </c>
      <c r="I3671">
        <v>189.20259999999999</v>
      </c>
      <c r="J3671">
        <v>-187.6429</v>
      </c>
      <c r="K3671">
        <v>1.100196</v>
      </c>
      <c r="L3671">
        <v>189.86179999999999</v>
      </c>
      <c r="M3671">
        <v>-0.12065240000000001</v>
      </c>
      <c r="N3671">
        <v>0</v>
      </c>
      <c r="O3671">
        <v>-0.99257879999999998</v>
      </c>
      <c r="P3671">
        <v>-0.17404900000000001</v>
      </c>
      <c r="Q3671">
        <v>5.0826169999999997E-2</v>
      </c>
      <c r="R3671">
        <v>-0.98342490000000005</v>
      </c>
      <c r="S3671">
        <v>-0.84472659999999999</v>
      </c>
      <c r="T3671">
        <v>-0.28996430000000001</v>
      </c>
      <c r="U3671">
        <v>-2.9194640000000001</v>
      </c>
      <c r="V3671">
        <v>5.5671980000000003E-2</v>
      </c>
      <c r="W3671">
        <v>6.4654359999999994E-2</v>
      </c>
      <c r="X3671">
        <v>0.99635359999999995</v>
      </c>
      <c r="Y3671">
        <v>0.15873139999999999</v>
      </c>
      <c r="Z3671">
        <v>9.5203019999999999E-2</v>
      </c>
      <c r="AA3671">
        <v>0.98272110000000001</v>
      </c>
      <c r="AB3671">
        <v>30</v>
      </c>
      <c r="AC3671">
        <v>-0.23120000000000099</v>
      </c>
      <c r="AD3671">
        <v>-9.4410999999999995E-2</v>
      </c>
      <c r="AE3671">
        <v>-0.65919999999999801</v>
      </c>
      <c r="AF3671">
        <v>0.14727736116384099</v>
      </c>
      <c r="AG3671">
        <v>-9.4410999999999995E-2</v>
      </c>
      <c r="AH3671">
        <v>0.67004281657333198</v>
      </c>
      <c r="AI3671">
        <v>97.835698460785693</v>
      </c>
      <c r="AJ3671">
        <v>77.603353000808298</v>
      </c>
      <c r="AK3671">
        <v>0.69250374300353701</v>
      </c>
      <c r="AL3671">
        <v>86.292992411902205</v>
      </c>
      <c r="AM3671">
        <v>86.8018822773561</v>
      </c>
      <c r="AN3671">
        <v>1.00000002592854</v>
      </c>
    </row>
    <row r="3672" spans="1:40" x14ac:dyDescent="0.25">
      <c r="A3672" t="str">
        <f>"20190312151100413"</f>
        <v>20190312151100413</v>
      </c>
      <c r="B3672" t="str">
        <f>"1552374660404562"</f>
        <v>1552374660404562</v>
      </c>
      <c r="C3672" t="s">
        <v>40</v>
      </c>
      <c r="D3672">
        <v>5.1704420000000004</v>
      </c>
      <c r="E3672">
        <v>0.54090240000000001</v>
      </c>
      <c r="F3672" t="s">
        <v>41</v>
      </c>
      <c r="G3672">
        <v>-187.91759999999999</v>
      </c>
      <c r="H3672">
        <v>1.0093350000000001</v>
      </c>
      <c r="I3672">
        <v>188.93360000000001</v>
      </c>
      <c r="J3672">
        <v>-187.6705</v>
      </c>
      <c r="K3672">
        <v>1.100427</v>
      </c>
      <c r="L3672">
        <v>189.68629999999999</v>
      </c>
      <c r="M3672">
        <v>-0.1269795</v>
      </c>
      <c r="N3672">
        <v>0</v>
      </c>
      <c r="O3672">
        <v>-0.99178999999999995</v>
      </c>
      <c r="P3672">
        <v>-0.17837919999999999</v>
      </c>
      <c r="Q3672">
        <v>5.0033830000000001E-2</v>
      </c>
      <c r="R3672">
        <v>-0.98268900000000003</v>
      </c>
      <c r="S3672">
        <v>-0.86169430000000002</v>
      </c>
      <c r="T3672">
        <v>-0.28498030000000002</v>
      </c>
      <c r="U3672">
        <v>-2.912811</v>
      </c>
      <c r="V3672">
        <v>5.3645419999999999E-2</v>
      </c>
      <c r="W3672">
        <v>6.3889180000000004E-2</v>
      </c>
      <c r="X3672">
        <v>0.99651409999999996</v>
      </c>
      <c r="Y3672">
        <v>0.15835050000000001</v>
      </c>
      <c r="Z3672">
        <v>9.3601909999999997E-2</v>
      </c>
      <c r="AA3672">
        <v>0.98293629999999999</v>
      </c>
      <c r="AB3672">
        <v>30</v>
      </c>
      <c r="AC3672">
        <v>-0.247099999999988</v>
      </c>
      <c r="AD3672">
        <v>-9.1091999999999895E-2</v>
      </c>
      <c r="AE3672">
        <v>-0.75269999999997494</v>
      </c>
      <c r="AF3672">
        <v>0.14756004259354299</v>
      </c>
      <c r="AG3672">
        <v>-9.1091999999999895E-2</v>
      </c>
      <c r="AH3672">
        <v>0.76783438133239901</v>
      </c>
      <c r="AI3672">
        <v>96.645180095752593</v>
      </c>
      <c r="AJ3672">
        <v>79.121698886392295</v>
      </c>
      <c r="AK3672">
        <v>0.78717301515633498</v>
      </c>
      <c r="AL3672">
        <v>86.336924752722396</v>
      </c>
      <c r="AM3672">
        <v>86.918566273868393</v>
      </c>
      <c r="AN3672">
        <v>1.0000000049534199</v>
      </c>
    </row>
    <row r="3673" spans="1:40" x14ac:dyDescent="0.25">
      <c r="A3673" t="str">
        <f>"20190312151100434"</f>
        <v>20190312151100434</v>
      </c>
      <c r="B3673" t="str">
        <f>"1552374660425062"</f>
        <v>1552374660425062</v>
      </c>
      <c r="C3673" t="s">
        <v>40</v>
      </c>
      <c r="D3673">
        <v>5.1343040000000002</v>
      </c>
      <c r="E3673">
        <v>0.540570199999999</v>
      </c>
      <c r="F3673" t="s">
        <v>41</v>
      </c>
      <c r="G3673">
        <v>-187.8997</v>
      </c>
      <c r="H3673">
        <v>1.026413</v>
      </c>
      <c r="I3673">
        <v>188.92310000000001</v>
      </c>
      <c r="J3673">
        <v>-187.7184</v>
      </c>
      <c r="K3673">
        <v>1.100816</v>
      </c>
      <c r="L3673">
        <v>189.3946</v>
      </c>
      <c r="M3673">
        <v>-0.13717570000000001</v>
      </c>
      <c r="N3673">
        <v>0</v>
      </c>
      <c r="O3673">
        <v>-0.9904326</v>
      </c>
      <c r="P3673">
        <v>-0.18545829999999999</v>
      </c>
      <c r="Q3673">
        <v>4.9060859999999998E-2</v>
      </c>
      <c r="R3673">
        <v>-0.98142680000000004</v>
      </c>
      <c r="S3673">
        <v>-0.87345890000000004</v>
      </c>
      <c r="T3673">
        <v>-0.28194010000000003</v>
      </c>
      <c r="U3673">
        <v>-2.9086460000000001</v>
      </c>
      <c r="V3673">
        <v>5.0485130000000003E-2</v>
      </c>
      <c r="W3673">
        <v>6.2954549999999998E-2</v>
      </c>
      <c r="X3673">
        <v>0.99673869999999998</v>
      </c>
      <c r="Y3673">
        <v>0.15225259999999999</v>
      </c>
      <c r="Z3673">
        <v>9.2541639999999994E-2</v>
      </c>
      <c r="AA3673">
        <v>0.98399959999999997</v>
      </c>
      <c r="AB3673">
        <v>30</v>
      </c>
      <c r="AC3673">
        <v>-0.18129999999999299</v>
      </c>
      <c r="AD3673">
        <v>-7.4402999999999997E-2</v>
      </c>
      <c r="AE3673">
        <v>-0.47149999999999098</v>
      </c>
      <c r="AF3673">
        <v>0.11246041017189</v>
      </c>
      <c r="AG3673">
        <v>-7.4402999999999997E-2</v>
      </c>
      <c r="AH3673">
        <v>0.48146974156851402</v>
      </c>
      <c r="AI3673">
        <v>98.557803310574997</v>
      </c>
      <c r="AJ3673">
        <v>76.852721000816501</v>
      </c>
      <c r="AK3673">
        <v>0.49999626229711103</v>
      </c>
      <c r="AL3673">
        <v>86.390583223669097</v>
      </c>
      <c r="AM3673">
        <v>87.100428548170697</v>
      </c>
      <c r="AN3673">
        <v>1.00000002989725</v>
      </c>
    </row>
    <row r="3674" spans="1:40" x14ac:dyDescent="0.25">
      <c r="A3674" t="str">
        <f>"20190312151100457"</f>
        <v>20190312151100457</v>
      </c>
      <c r="B3674" t="str">
        <f>"1552374660444578"</f>
        <v>1552374660444578</v>
      </c>
      <c r="C3674" t="s">
        <v>40</v>
      </c>
      <c r="D3674">
        <v>5.2235069999999997</v>
      </c>
      <c r="E3674">
        <v>0.54007709999999998</v>
      </c>
      <c r="F3674" t="s">
        <v>41</v>
      </c>
      <c r="G3674">
        <v>-187.94579999999999</v>
      </c>
      <c r="H3674">
        <v>1.029944</v>
      </c>
      <c r="I3674">
        <v>188.65450000000001</v>
      </c>
      <c r="J3674">
        <v>-187.76750000000001</v>
      </c>
      <c r="K3674">
        <v>1.101232</v>
      </c>
      <c r="L3674">
        <v>189.11070000000001</v>
      </c>
      <c r="M3674">
        <v>-0.14662420000000001</v>
      </c>
      <c r="N3674">
        <v>0</v>
      </c>
      <c r="O3674">
        <v>-0.98907909999999999</v>
      </c>
      <c r="P3674">
        <v>-0.19300899999999999</v>
      </c>
      <c r="Q3674">
        <v>4.8123800000000001E-2</v>
      </c>
      <c r="R3674">
        <v>-0.98001629999999995</v>
      </c>
      <c r="S3674">
        <v>-0.89120480000000002</v>
      </c>
      <c r="T3674">
        <v>-0.2776383</v>
      </c>
      <c r="U3674">
        <v>-2.9022220000000001</v>
      </c>
      <c r="V3674">
        <v>4.8552199999999997E-2</v>
      </c>
      <c r="W3674">
        <v>6.2025589999999999E-2</v>
      </c>
      <c r="X3674">
        <v>0.99689289999999997</v>
      </c>
      <c r="Y3674">
        <v>0.14896429999999999</v>
      </c>
      <c r="Z3674">
        <v>9.1091530000000004E-2</v>
      </c>
      <c r="AA3674">
        <v>0.98463800000000001</v>
      </c>
      <c r="AB3674">
        <v>30</v>
      </c>
      <c r="AC3674">
        <v>-0.178299999999978</v>
      </c>
      <c r="AD3674">
        <v>-7.1288000000000004E-2</v>
      </c>
      <c r="AE3674">
        <v>-0.456199999999995</v>
      </c>
      <c r="AF3674">
        <v>0.10720420122284</v>
      </c>
      <c r="AG3674">
        <v>-7.1288000000000004E-2</v>
      </c>
      <c r="AH3674">
        <v>0.46751117506419698</v>
      </c>
      <c r="AI3674">
        <v>98.453788984037402</v>
      </c>
      <c r="AJ3674">
        <v>77.084880504871194</v>
      </c>
      <c r="AK3674">
        <v>0.484913825863662</v>
      </c>
      <c r="AL3674">
        <v>86.443912733576695</v>
      </c>
      <c r="AM3674">
        <v>87.211696727889404</v>
      </c>
      <c r="AN3674">
        <v>0.99999997200504798</v>
      </c>
    </row>
    <row r="3675" spans="1:40" x14ac:dyDescent="0.25">
      <c r="A3675" t="str">
        <f>"20190312151100469"</f>
        <v>20190312151100469</v>
      </c>
      <c r="B3675" t="str">
        <f>"1552374660465075"</f>
        <v>1552374660465075</v>
      </c>
      <c r="C3675" t="s">
        <v>40</v>
      </c>
      <c r="D3675">
        <v>5.1596089999999997</v>
      </c>
      <c r="E3675">
        <v>0.53951499999999997</v>
      </c>
      <c r="F3675" t="s">
        <v>41</v>
      </c>
      <c r="G3675">
        <v>-187.995</v>
      </c>
      <c r="H3675">
        <v>1.033218</v>
      </c>
      <c r="I3675">
        <v>188.3862</v>
      </c>
      <c r="J3675">
        <v>-187.80009999999999</v>
      </c>
      <c r="K3675">
        <v>1.1015170000000001</v>
      </c>
      <c r="L3675">
        <v>188.93109999999999</v>
      </c>
      <c r="M3675">
        <v>-0.15229670000000001</v>
      </c>
      <c r="N3675">
        <v>0</v>
      </c>
      <c r="O3675">
        <v>-0.9882223</v>
      </c>
      <c r="P3675">
        <v>-0.19782810000000001</v>
      </c>
      <c r="Q3675">
        <v>4.7110590000000001E-2</v>
      </c>
      <c r="R3675">
        <v>-0.97910390000000003</v>
      </c>
      <c r="S3675">
        <v>-0.90908809999999995</v>
      </c>
      <c r="T3675">
        <v>-0.27176549999999999</v>
      </c>
      <c r="U3675">
        <v>-2.8954620000000002</v>
      </c>
      <c r="V3675">
        <v>4.7664270000000002E-2</v>
      </c>
      <c r="W3675">
        <v>6.1008050000000001E-2</v>
      </c>
      <c r="X3675">
        <v>0.99699850000000001</v>
      </c>
      <c r="Y3675">
        <v>0.14953379999999999</v>
      </c>
      <c r="Z3675">
        <v>8.9179220000000003E-2</v>
      </c>
      <c r="AA3675">
        <v>0.98472669999999995</v>
      </c>
      <c r="AB3675">
        <v>30</v>
      </c>
      <c r="AC3675">
        <v>-0.194900000000018</v>
      </c>
      <c r="AD3675">
        <v>-6.8299000000000096E-2</v>
      </c>
      <c r="AE3675">
        <v>-0.54489999999998395</v>
      </c>
      <c r="AF3675">
        <v>0.108124215124663</v>
      </c>
      <c r="AG3675">
        <v>-6.8299000000000096E-2</v>
      </c>
      <c r="AH3675">
        <v>0.56042219021057305</v>
      </c>
      <c r="AI3675">
        <v>96.823784701818397</v>
      </c>
      <c r="AJ3675">
        <v>79.079899523778394</v>
      </c>
      <c r="AK3675">
        <v>0.57482921861866099</v>
      </c>
      <c r="AL3675">
        <v>86.502323990732805</v>
      </c>
      <c r="AM3675">
        <v>87.262900856263101</v>
      </c>
      <c r="AN3675">
        <v>0.99999993690083999</v>
      </c>
    </row>
    <row r="3676" spans="1:40" x14ac:dyDescent="0.25">
      <c r="A3676" t="str">
        <f>"20190312151100489"</f>
        <v>20190312151100489</v>
      </c>
      <c r="B3676" t="str">
        <f>"1552374660484595"</f>
        <v>1552374660484595</v>
      </c>
      <c r="C3676" t="s">
        <v>40</v>
      </c>
      <c r="D3676">
        <v>5.1906840000000001</v>
      </c>
      <c r="E3676">
        <v>0.53891420000000001</v>
      </c>
      <c r="F3676" t="s">
        <v>41</v>
      </c>
      <c r="G3676">
        <v>-188.0558</v>
      </c>
      <c r="H3676">
        <v>1.026932</v>
      </c>
      <c r="I3676">
        <v>188.12610000000001</v>
      </c>
      <c r="J3676">
        <v>-187.84899999999999</v>
      </c>
      <c r="K3676">
        <v>1.101953</v>
      </c>
      <c r="L3676">
        <v>188.66890000000001</v>
      </c>
      <c r="M3676">
        <v>-0.16026000000000001</v>
      </c>
      <c r="N3676">
        <v>0</v>
      </c>
      <c r="O3676">
        <v>-0.98696349999999999</v>
      </c>
      <c r="P3676">
        <v>-0.20466280000000001</v>
      </c>
      <c r="Q3676">
        <v>4.6200850000000002E-2</v>
      </c>
      <c r="R3676">
        <v>-0.97774179999999999</v>
      </c>
      <c r="S3676">
        <v>-0.91833500000000001</v>
      </c>
      <c r="T3676">
        <v>-0.26786539999999998</v>
      </c>
      <c r="U3676">
        <v>-2.8913570000000002</v>
      </c>
      <c r="V3676">
        <v>4.6498600000000001E-2</v>
      </c>
      <c r="W3676">
        <v>6.0089440000000001E-2</v>
      </c>
      <c r="X3676">
        <v>0.99710940000000003</v>
      </c>
      <c r="Y3676">
        <v>0.144858399999999</v>
      </c>
      <c r="Z3676">
        <v>8.7850479999999995E-2</v>
      </c>
      <c r="AA3676">
        <v>0.98554470000000005</v>
      </c>
      <c r="AB3676">
        <v>30</v>
      </c>
      <c r="AC3676">
        <v>-0.20679999999998699</v>
      </c>
      <c r="AD3676">
        <v>-7.5021000000000004E-2</v>
      </c>
      <c r="AE3676">
        <v>-0.54279999999999895</v>
      </c>
      <c r="AF3676">
        <v>0.115206039396387</v>
      </c>
      <c r="AG3676">
        <v>-7.5021000000000004E-2</v>
      </c>
      <c r="AH3676">
        <v>0.55959347883509603</v>
      </c>
      <c r="AI3676">
        <v>97.480683720404201</v>
      </c>
      <c r="AJ3676">
        <v>78.366796492823696</v>
      </c>
      <c r="AK3676">
        <v>0.57623384446695503</v>
      </c>
      <c r="AL3676">
        <v>86.555053462876799</v>
      </c>
      <c r="AM3676">
        <v>87.330037393020305</v>
      </c>
      <c r="AN3676">
        <v>1.0000000080849101</v>
      </c>
    </row>
    <row r="3677" spans="1:40" x14ac:dyDescent="0.25">
      <c r="A3677" t="str">
        <f>"20190312151100502"</f>
        <v>20190312151100502</v>
      </c>
      <c r="B3677" t="str">
        <f>"1552374660494355"</f>
        <v>1552374660494355</v>
      </c>
      <c r="C3677" t="s">
        <v>40</v>
      </c>
      <c r="D3677">
        <v>5.2841230000000001</v>
      </c>
      <c r="E3677">
        <v>0.53867039999999999</v>
      </c>
      <c r="F3677" t="s">
        <v>41</v>
      </c>
      <c r="G3677">
        <v>-188.1103</v>
      </c>
      <c r="H3677">
        <v>1.0280119999999999</v>
      </c>
      <c r="I3677">
        <v>187.8613</v>
      </c>
      <c r="J3677">
        <v>-187.88059999999999</v>
      </c>
      <c r="K3677">
        <v>1.1022350000000001</v>
      </c>
      <c r="L3677">
        <v>188.5034</v>
      </c>
      <c r="M3677">
        <v>-0.16508059999999999</v>
      </c>
      <c r="N3677">
        <v>0</v>
      </c>
      <c r="O3677">
        <v>-0.98616939999999997</v>
      </c>
      <c r="P3677">
        <v>-0.20941499999999999</v>
      </c>
      <c r="Q3677">
        <v>4.6220650000000002E-2</v>
      </c>
      <c r="R3677">
        <v>-0.97673359999999998</v>
      </c>
      <c r="S3677">
        <v>-0.93376159999999997</v>
      </c>
      <c r="T3677">
        <v>-0.26411129999999999</v>
      </c>
      <c r="U3677">
        <v>-2.8853300000000002</v>
      </c>
      <c r="V3677">
        <v>4.6434259999999998E-2</v>
      </c>
      <c r="W3677">
        <v>6.0089910000000003E-2</v>
      </c>
      <c r="X3677">
        <v>0.99711229999999995</v>
      </c>
      <c r="Y3677">
        <v>0.14542829999999901</v>
      </c>
      <c r="Z3677">
        <v>8.6623560000000002E-2</v>
      </c>
      <c r="AA3677">
        <v>0.98556940000000004</v>
      </c>
      <c r="AB3677">
        <v>30</v>
      </c>
      <c r="AC3677">
        <v>-0.22970000000000801</v>
      </c>
      <c r="AD3677">
        <v>-7.42229999999999E-2</v>
      </c>
      <c r="AE3677">
        <v>-0.642099999999999</v>
      </c>
      <c r="AF3677">
        <v>0.11912683483818701</v>
      </c>
      <c r="AG3677">
        <v>-7.42229999999999E-2</v>
      </c>
      <c r="AH3677">
        <v>0.66335354374146105</v>
      </c>
      <c r="AI3677">
        <v>96.284591397905004</v>
      </c>
      <c r="AJ3677">
        <v>79.819185928955406</v>
      </c>
      <c r="AK3677">
        <v>0.67803995494507496</v>
      </c>
      <c r="AL3677">
        <v>86.555026244408594</v>
      </c>
      <c r="AM3677">
        <v>87.3337342222366</v>
      </c>
      <c r="AN3677">
        <v>0.99999993829842004</v>
      </c>
    </row>
    <row r="3678" spans="1:40" x14ac:dyDescent="0.25">
      <c r="A3678" t="str">
        <f>"20190312151100523"</f>
        <v>20190312151100523</v>
      </c>
      <c r="B3678" t="str">
        <f>"1552374660514850"</f>
        <v>1552374660514850</v>
      </c>
      <c r="C3678" t="s">
        <v>40</v>
      </c>
      <c r="D3678">
        <v>5.2364090000000001</v>
      </c>
      <c r="E3678">
        <v>0.53802709999999998</v>
      </c>
      <c r="F3678" t="s">
        <v>41</v>
      </c>
      <c r="G3678">
        <v>-188.17609999999999</v>
      </c>
      <c r="H3678">
        <v>1.020106</v>
      </c>
      <c r="I3678">
        <v>187.60310000000001</v>
      </c>
      <c r="J3678">
        <v>-187.93620000000001</v>
      </c>
      <c r="K3678">
        <v>1.1027100000000001</v>
      </c>
      <c r="L3678">
        <v>188.2217</v>
      </c>
      <c r="M3678">
        <v>-0.17286899999999999</v>
      </c>
      <c r="N3678">
        <v>0</v>
      </c>
      <c r="O3678">
        <v>-0.98483540000000003</v>
      </c>
      <c r="P3678">
        <v>-0.21712229999999999</v>
      </c>
      <c r="Q3678">
        <v>4.5859839999999999E-2</v>
      </c>
      <c r="R3678">
        <v>-0.97506680000000001</v>
      </c>
      <c r="S3678">
        <v>-0.94551090000000004</v>
      </c>
      <c r="T3678">
        <v>-0.26277420000000001</v>
      </c>
      <c r="U3678">
        <v>-2.8811650000000002</v>
      </c>
      <c r="V3678">
        <v>4.6350019999999999E-2</v>
      </c>
      <c r="W3678">
        <v>5.9697699999999999E-2</v>
      </c>
      <c r="X3678">
        <v>0.99713980000000002</v>
      </c>
      <c r="Y3678">
        <v>0.14167270000000001</v>
      </c>
      <c r="Z3678">
        <v>8.6103109999999997E-2</v>
      </c>
      <c r="AA3678">
        <v>0.98616179999999998</v>
      </c>
      <c r="AB3678">
        <v>30</v>
      </c>
      <c r="AC3678">
        <v>-0.23989999999997699</v>
      </c>
      <c r="AD3678">
        <v>-8.2604000000000094E-2</v>
      </c>
      <c r="AE3678">
        <v>-0.61859999999998605</v>
      </c>
      <c r="AF3678">
        <v>0.12736501891183399</v>
      </c>
      <c r="AG3678">
        <v>-8.2604000000000094E-2</v>
      </c>
      <c r="AH3678">
        <v>0.64082769813729801</v>
      </c>
      <c r="AI3678">
        <v>97.205625724428302</v>
      </c>
      <c r="AJ3678">
        <v>78.758904968619703</v>
      </c>
      <c r="AK3678">
        <v>0.65856313862708704</v>
      </c>
      <c r="AL3678">
        <v>86.577538714090906</v>
      </c>
      <c r="AM3678">
        <v>87.338637634884094</v>
      </c>
      <c r="AN3678">
        <v>0.99999996024166404</v>
      </c>
    </row>
    <row r="3679" spans="1:40" x14ac:dyDescent="0.25">
      <c r="A3679" t="str">
        <f>"20190312151100535"</f>
        <v>20190312151100535</v>
      </c>
      <c r="B3679" t="str">
        <f>"1552374660524610"</f>
        <v>1552374660524610</v>
      </c>
      <c r="C3679" t="s">
        <v>40</v>
      </c>
      <c r="D3679">
        <v>5.2537859999999998</v>
      </c>
      <c r="E3679">
        <v>0.53802709999999998</v>
      </c>
      <c r="F3679" t="s">
        <v>41</v>
      </c>
      <c r="G3679">
        <v>-188.2319</v>
      </c>
      <c r="H3679">
        <v>1.022403</v>
      </c>
      <c r="I3679">
        <v>187.33869999999999</v>
      </c>
      <c r="J3679">
        <v>-187.97030000000001</v>
      </c>
      <c r="K3679">
        <v>1.102981</v>
      </c>
      <c r="L3679">
        <v>188.0532</v>
      </c>
      <c r="M3679">
        <v>-0.17732999999999999</v>
      </c>
      <c r="N3679">
        <v>0</v>
      </c>
      <c r="O3679">
        <v>-0.98404250000000004</v>
      </c>
      <c r="P3679">
        <v>-0.22118860000000001</v>
      </c>
      <c r="Q3679">
        <v>4.4964089999999998E-2</v>
      </c>
      <c r="R3679">
        <v>-0.9741938</v>
      </c>
      <c r="S3679">
        <v>-0.9625397</v>
      </c>
      <c r="T3679">
        <v>-0.26140590000000002</v>
      </c>
      <c r="U3679">
        <v>-2.8746640000000001</v>
      </c>
      <c r="V3679">
        <v>4.5929030000000003E-2</v>
      </c>
      <c r="W3679">
        <v>5.8790920000000003E-2</v>
      </c>
      <c r="X3679">
        <v>0.99721320000000002</v>
      </c>
      <c r="Y3679">
        <v>0.143122</v>
      </c>
      <c r="Z3679">
        <v>8.5651439999999995E-2</v>
      </c>
      <c r="AA3679">
        <v>0.98599179999999997</v>
      </c>
      <c r="AB3679">
        <v>30</v>
      </c>
      <c r="AC3679">
        <v>-0.26159999999998701</v>
      </c>
      <c r="AD3679">
        <v>-8.0577999999999803E-2</v>
      </c>
      <c r="AE3679">
        <v>-0.71450000000001501</v>
      </c>
      <c r="AF3679">
        <v>0.129287305175602</v>
      </c>
      <c r="AG3679">
        <v>-8.0577999999999803E-2</v>
      </c>
      <c r="AH3679">
        <v>0.74125515323914903</v>
      </c>
      <c r="AI3679">
        <v>96.112403933367801</v>
      </c>
      <c r="AJ3679">
        <v>80.106183174800094</v>
      </c>
      <c r="AK3679">
        <v>0.75674779389646296</v>
      </c>
      <c r="AL3679">
        <v>86.629584961508101</v>
      </c>
      <c r="AM3679">
        <v>87.362969930038503</v>
      </c>
      <c r="AN3679">
        <v>1.00000000716271</v>
      </c>
    </row>
    <row r="3680" spans="1:40" x14ac:dyDescent="0.25">
      <c r="A3680" t="str">
        <f>"20190312151100556"</f>
        <v>20190312151100556</v>
      </c>
      <c r="B3680" t="str">
        <f>"1552374660545107"</f>
        <v>1552374660545107</v>
      </c>
      <c r="C3680" t="s">
        <v>40</v>
      </c>
      <c r="D3680">
        <v>5.4529899999999998</v>
      </c>
      <c r="E3680">
        <v>0.53739239999999999</v>
      </c>
      <c r="F3680" t="s">
        <v>41</v>
      </c>
      <c r="G3680">
        <v>-188.21639999999999</v>
      </c>
      <c r="H3680">
        <v>1.0362709999999999</v>
      </c>
      <c r="I3680">
        <v>187.32839999999999</v>
      </c>
      <c r="J3680">
        <v>-188.02600000000001</v>
      </c>
      <c r="K3680">
        <v>1.1033850000000001</v>
      </c>
      <c r="L3680">
        <v>187.78450000000001</v>
      </c>
      <c r="M3680">
        <v>-0.18407809999999999</v>
      </c>
      <c r="N3680">
        <v>0</v>
      </c>
      <c r="O3680">
        <v>-0.9828036</v>
      </c>
      <c r="P3680">
        <v>-0.2267188</v>
      </c>
      <c r="Q3680">
        <v>4.3065529999999998E-2</v>
      </c>
      <c r="R3680">
        <v>-0.97300750000000003</v>
      </c>
      <c r="S3680">
        <v>-0.97445680000000001</v>
      </c>
      <c r="T3680">
        <v>-0.26421739999999999</v>
      </c>
      <c r="U3680">
        <v>-2.8703919999999998</v>
      </c>
      <c r="V3680">
        <v>4.4645589999999999E-2</v>
      </c>
      <c r="W3680">
        <v>5.6884860000000002E-2</v>
      </c>
      <c r="X3680">
        <v>0.99738199999999999</v>
      </c>
      <c r="Y3680">
        <v>0.14042360000000001</v>
      </c>
      <c r="Z3680">
        <v>8.6485699999999999E-2</v>
      </c>
      <c r="AA3680">
        <v>0.98630700000000004</v>
      </c>
      <c r="AB3680">
        <v>30</v>
      </c>
      <c r="AC3680">
        <v>-0.190400000000011</v>
      </c>
      <c r="AD3680">
        <v>-6.7114000000000104E-2</v>
      </c>
      <c r="AE3680">
        <v>-0.45610000000001999</v>
      </c>
      <c r="AF3680">
        <v>0.10131066263482801</v>
      </c>
      <c r="AG3680">
        <v>-6.7114000000000104E-2</v>
      </c>
      <c r="AH3680">
        <v>0.474605224266482</v>
      </c>
      <c r="AI3680">
        <v>97.8737463730386</v>
      </c>
      <c r="AJ3680">
        <v>77.950318209262605</v>
      </c>
      <c r="AK3680">
        <v>0.48991658296137103</v>
      </c>
      <c r="AL3680">
        <v>86.738977222577105</v>
      </c>
      <c r="AM3680">
        <v>87.436992610956096</v>
      </c>
      <c r="AN3680">
        <v>0.99999998496383302</v>
      </c>
    </row>
    <row r="3681" spans="1:40" x14ac:dyDescent="0.25">
      <c r="A3681" t="str">
        <f>"20190312151100581"</f>
        <v>20190312151100581</v>
      </c>
      <c r="B3681" t="str">
        <f>"1552374660574387"</f>
        <v>1552374660574387</v>
      </c>
      <c r="C3681" t="s">
        <v>40</v>
      </c>
      <c r="D3681">
        <v>5.3595360000000003</v>
      </c>
      <c r="E3681">
        <v>0.53764330000000005</v>
      </c>
      <c r="F3681" t="s">
        <v>41</v>
      </c>
      <c r="G3681">
        <v>-188.273</v>
      </c>
      <c r="H3681">
        <v>1.0351079999999999</v>
      </c>
      <c r="I3681">
        <v>187.06710000000001</v>
      </c>
      <c r="J3681">
        <v>-188.09360000000001</v>
      </c>
      <c r="K3681">
        <v>1.1038509999999999</v>
      </c>
      <c r="L3681">
        <v>187.46799999999999</v>
      </c>
      <c r="M3681">
        <v>-0.19144620000000001</v>
      </c>
      <c r="N3681">
        <v>0</v>
      </c>
      <c r="O3681">
        <v>-0.98139609999999999</v>
      </c>
      <c r="P3681">
        <v>-0.2322516</v>
      </c>
      <c r="Q3681">
        <v>4.1235309999999997E-2</v>
      </c>
      <c r="R3681">
        <v>-0.97178129999999996</v>
      </c>
      <c r="S3681">
        <v>-0.98600770000000004</v>
      </c>
      <c r="T3681">
        <v>-0.27258059999999901</v>
      </c>
      <c r="U3681">
        <v>-2.8655089999999999</v>
      </c>
      <c r="V3681">
        <v>4.2729299999999998E-2</v>
      </c>
      <c r="W3681">
        <v>5.5049540000000001E-2</v>
      </c>
      <c r="X3681">
        <v>0.99756889999999998</v>
      </c>
      <c r="Y3681">
        <v>0.13698869999999999</v>
      </c>
      <c r="Z3681">
        <v>8.9118950000000002E-2</v>
      </c>
      <c r="AA3681">
        <v>0.98655559999999998</v>
      </c>
      <c r="AB3681">
        <v>30</v>
      </c>
      <c r="AC3681">
        <v>-0.17939999999998599</v>
      </c>
      <c r="AD3681">
        <v>-6.8742999999999999E-2</v>
      </c>
      <c r="AE3681">
        <v>-0.400899999999978</v>
      </c>
      <c r="AF3681">
        <v>9.6947194016887797E-2</v>
      </c>
      <c r="AG3681">
        <v>-6.8742999999999999E-2</v>
      </c>
      <c r="AH3681">
        <v>0.41760207701426</v>
      </c>
      <c r="AI3681">
        <v>99.109793323350502</v>
      </c>
      <c r="AJ3681">
        <v>76.930180275127199</v>
      </c>
      <c r="AK3681">
        <v>0.43418412361966002</v>
      </c>
      <c r="AL3681">
        <v>86.844298385465294</v>
      </c>
      <c r="AM3681">
        <v>87.547324347762597</v>
      </c>
      <c r="AN3681">
        <v>0.99999997758995496</v>
      </c>
    </row>
    <row r="3682" spans="1:40" x14ac:dyDescent="0.25">
      <c r="A3682" t="str">
        <f>"20190312151100601"</f>
        <v>20190312151100601</v>
      </c>
      <c r="B3682" t="str">
        <f>"1552374660594883"</f>
        <v>1552374660594883</v>
      </c>
      <c r="C3682" t="s">
        <v>40</v>
      </c>
      <c r="D3682">
        <v>5.3584250000000004</v>
      </c>
      <c r="E3682">
        <v>0.53775390000000001</v>
      </c>
      <c r="F3682" t="s">
        <v>41</v>
      </c>
      <c r="G3682">
        <v>-188.41370000000001</v>
      </c>
      <c r="H3682">
        <v>1.0148269999999999</v>
      </c>
      <c r="I3682">
        <v>186.55789999999999</v>
      </c>
      <c r="J3682">
        <v>-188.15459999999999</v>
      </c>
      <c r="K3682">
        <v>1.1042559999999999</v>
      </c>
      <c r="L3682">
        <v>187.19059999999999</v>
      </c>
      <c r="M3682">
        <v>-0.1974342</v>
      </c>
      <c r="N3682">
        <v>0</v>
      </c>
      <c r="O3682">
        <v>-0.98021009999999997</v>
      </c>
      <c r="P3682">
        <v>-0.2376336</v>
      </c>
      <c r="Q3682">
        <v>4.0985239999999999E-2</v>
      </c>
      <c r="R3682">
        <v>-0.97048990000000002</v>
      </c>
      <c r="S3682">
        <v>-1.004715</v>
      </c>
      <c r="T3682">
        <v>-0.279537799999999</v>
      </c>
      <c r="U3682">
        <v>-2.858841</v>
      </c>
      <c r="V3682">
        <v>4.2107329999999998E-2</v>
      </c>
      <c r="W3682">
        <v>5.4776249999999999E-2</v>
      </c>
      <c r="X3682">
        <v>0.99761040000000001</v>
      </c>
      <c r="Y3682">
        <v>0.1373394</v>
      </c>
      <c r="Z3682">
        <v>9.1312240000000003E-2</v>
      </c>
      <c r="AA3682">
        <v>0.98630620000000002</v>
      </c>
      <c r="AB3682">
        <v>30</v>
      </c>
      <c r="AC3682">
        <v>-0.25910000000001698</v>
      </c>
      <c r="AD3682">
        <v>-8.9428999999999703E-2</v>
      </c>
      <c r="AE3682">
        <v>-0.63269999999999904</v>
      </c>
      <c r="AF3682">
        <v>0.12689811446239099</v>
      </c>
      <c r="AG3682">
        <v>-8.9428999999999703E-2</v>
      </c>
      <c r="AH3682">
        <v>0.66010999274789794</v>
      </c>
      <c r="AI3682">
        <v>97.578126015209605</v>
      </c>
      <c r="AJ3682">
        <v>79.118332898328902</v>
      </c>
      <c r="AK3682">
        <v>0.67811937003800504</v>
      </c>
      <c r="AL3682">
        <v>86.859980442431606</v>
      </c>
      <c r="AM3682">
        <v>87.583083402117495</v>
      </c>
      <c r="AN3682">
        <v>0.99999998749597496</v>
      </c>
    </row>
    <row r="3683" spans="1:40" x14ac:dyDescent="0.25">
      <c r="A3683" t="str">
        <f>"20190312151100614"</f>
        <v>20190312151100614</v>
      </c>
      <c r="B3683" t="str">
        <f>"1552374660604642"</f>
        <v>1552374660604642</v>
      </c>
      <c r="C3683" t="s">
        <v>40</v>
      </c>
      <c r="D3683">
        <v>5.3039759999999996</v>
      </c>
      <c r="E3683">
        <v>0.53780879999999998</v>
      </c>
      <c r="F3683" t="s">
        <v>41</v>
      </c>
      <c r="G3683">
        <v>-188.47479999999999</v>
      </c>
      <c r="H3683">
        <v>1.0164249999999999</v>
      </c>
      <c r="I3683">
        <v>186.2963</v>
      </c>
      <c r="J3683">
        <v>-188.19450000000001</v>
      </c>
      <c r="K3683">
        <v>1.104503</v>
      </c>
      <c r="L3683">
        <v>187.0119</v>
      </c>
      <c r="M3683">
        <v>-0.2011192</v>
      </c>
      <c r="N3683">
        <v>0</v>
      </c>
      <c r="O3683">
        <v>-0.97946169999999999</v>
      </c>
      <c r="P3683">
        <v>-0.24108570000000001</v>
      </c>
      <c r="Q3683">
        <v>4.0753129999999999E-2</v>
      </c>
      <c r="R3683">
        <v>-0.96964810000000001</v>
      </c>
      <c r="S3683">
        <v>-1.021393</v>
      </c>
      <c r="T3683">
        <v>-0.28011320000000001</v>
      </c>
      <c r="U3683">
        <v>-2.8529360000000001</v>
      </c>
      <c r="V3683">
        <v>4.1868179999999998E-2</v>
      </c>
      <c r="W3683">
        <v>5.4526280000000003E-2</v>
      </c>
      <c r="X3683">
        <v>0.99763420000000003</v>
      </c>
      <c r="Y3683">
        <v>0.13936760000000001</v>
      </c>
      <c r="Z3683">
        <v>9.147218E-2</v>
      </c>
      <c r="AA3683">
        <v>0.98600690000000002</v>
      </c>
      <c r="AB3683">
        <v>30</v>
      </c>
      <c r="AC3683">
        <v>-0.28029999999998201</v>
      </c>
      <c r="AD3683">
        <v>-8.8078000000000101E-2</v>
      </c>
      <c r="AE3683">
        <v>-0.71559999999999402</v>
      </c>
      <c r="AF3683">
        <v>0.12894210965654501</v>
      </c>
      <c r="AG3683">
        <v>-8.8078000000000101E-2</v>
      </c>
      <c r="AH3683">
        <v>0.74753616804525302</v>
      </c>
      <c r="AI3683">
        <v>96.622943947816793</v>
      </c>
      <c r="AJ3683">
        <v>80.213382805763501</v>
      </c>
      <c r="AK3683">
        <v>0.76367147665894997</v>
      </c>
      <c r="AL3683">
        <v>86.874324233066403</v>
      </c>
      <c r="AM3683">
        <v>87.596851486130205</v>
      </c>
      <c r="AN3683">
        <v>1.0000000283583901</v>
      </c>
    </row>
    <row r="3684" spans="1:40" x14ac:dyDescent="0.25">
      <c r="A3684" t="str">
        <f>"20190312151100627"</f>
        <v>20190312151100627</v>
      </c>
      <c r="B3684" t="str">
        <f>"1552374660614402"</f>
        <v>1552374660614402</v>
      </c>
      <c r="C3684" t="s">
        <v>40</v>
      </c>
      <c r="D3684">
        <v>5.32883</v>
      </c>
      <c r="E3684">
        <v>0.53778879999999996</v>
      </c>
      <c r="F3684" t="s">
        <v>41</v>
      </c>
      <c r="G3684">
        <v>-188.458</v>
      </c>
      <c r="H3684">
        <v>1.0328440000000001</v>
      </c>
      <c r="I3684">
        <v>186.28489999999999</v>
      </c>
      <c r="J3684">
        <v>-188.2285</v>
      </c>
      <c r="K3684">
        <v>1.1046929999999999</v>
      </c>
      <c r="L3684">
        <v>186.8621</v>
      </c>
      <c r="M3684">
        <v>-0.20408470000000001</v>
      </c>
      <c r="N3684">
        <v>0</v>
      </c>
      <c r="O3684">
        <v>-0.9788483</v>
      </c>
      <c r="P3684">
        <v>-0.24421870000000001</v>
      </c>
      <c r="Q3684">
        <v>4.0579079999999997E-2</v>
      </c>
      <c r="R3684">
        <v>-0.96887060000000003</v>
      </c>
      <c r="S3684">
        <v>-1.031998</v>
      </c>
      <c r="T3684">
        <v>-0.280748</v>
      </c>
      <c r="U3684">
        <v>-2.8491209999999998</v>
      </c>
      <c r="V3684">
        <v>4.2042669999999997E-2</v>
      </c>
      <c r="W3684">
        <v>5.4332980000000003E-2</v>
      </c>
      <c r="X3684">
        <v>0.99763740000000001</v>
      </c>
      <c r="Y3684">
        <v>0.14002989999999901</v>
      </c>
      <c r="Z3684">
        <v>9.1646809999999995E-2</v>
      </c>
      <c r="AA3684">
        <v>0.98589680000000002</v>
      </c>
      <c r="AB3684">
        <v>30</v>
      </c>
      <c r="AC3684">
        <v>-0.22950000000000101</v>
      </c>
      <c r="AD3684">
        <v>-7.1848999999999802E-2</v>
      </c>
      <c r="AE3684">
        <v>-0.57720000000000404</v>
      </c>
      <c r="AF3684">
        <v>0.105448112356514</v>
      </c>
      <c r="AG3684">
        <v>-7.1848999999999802E-2</v>
      </c>
      <c r="AH3684">
        <v>0.60381272019766596</v>
      </c>
      <c r="AI3684">
        <v>96.685596502185803</v>
      </c>
      <c r="AJ3684">
        <v>80.093929604388904</v>
      </c>
      <c r="AK3684">
        <v>0.61714778155078698</v>
      </c>
      <c r="AL3684">
        <v>86.885415924234593</v>
      </c>
      <c r="AM3684">
        <v>87.586855660993095</v>
      </c>
      <c r="AN3684">
        <v>1.0000000203475801</v>
      </c>
    </row>
    <row r="3685" spans="1:40" x14ac:dyDescent="0.25">
      <c r="A3685" t="str">
        <f>"20190312151100646"</f>
        <v>20190312151100646</v>
      </c>
      <c r="B3685" t="str">
        <f>"1552374660634898"</f>
        <v>1552374660634898</v>
      </c>
      <c r="C3685" t="s">
        <v>40</v>
      </c>
      <c r="D3685">
        <v>5.3629600000000002</v>
      </c>
      <c r="E3685">
        <v>0.53776000000000002</v>
      </c>
      <c r="F3685" t="s">
        <v>41</v>
      </c>
      <c r="G3685">
        <v>-188.53229999999999</v>
      </c>
      <c r="H3685">
        <v>1.0226770000000001</v>
      </c>
      <c r="I3685">
        <v>186.03210000000001</v>
      </c>
      <c r="J3685">
        <v>-188.2877</v>
      </c>
      <c r="K3685">
        <v>1.1050059999999999</v>
      </c>
      <c r="L3685">
        <v>186.60480000000001</v>
      </c>
      <c r="M3685">
        <v>-0.20898439999999999</v>
      </c>
      <c r="N3685">
        <v>0</v>
      </c>
      <c r="O3685">
        <v>-0.97781470000000004</v>
      </c>
      <c r="P3685">
        <v>-0.24925069999999999</v>
      </c>
      <c r="Q3685">
        <v>3.9610779999999998E-2</v>
      </c>
      <c r="R3685">
        <v>-0.9676285</v>
      </c>
      <c r="S3685">
        <v>-1.04097</v>
      </c>
      <c r="T3685">
        <v>-0.28119179999999999</v>
      </c>
      <c r="U3685">
        <v>-2.845764</v>
      </c>
      <c r="V3685">
        <v>4.2169709999999999E-2</v>
      </c>
      <c r="W3685">
        <v>5.3336870000000002E-2</v>
      </c>
      <c r="X3685">
        <v>0.99768579999999996</v>
      </c>
      <c r="Y3685">
        <v>0.1381849</v>
      </c>
      <c r="Z3685">
        <v>9.1711669999999995E-2</v>
      </c>
      <c r="AA3685">
        <v>0.986151</v>
      </c>
      <c r="AB3685">
        <v>30</v>
      </c>
      <c r="AC3685">
        <v>-0.24459999999999099</v>
      </c>
      <c r="AD3685">
        <v>-8.2328999999999805E-2</v>
      </c>
      <c r="AE3685">
        <v>-0.57269999999999699</v>
      </c>
      <c r="AF3685">
        <v>0.11744759380550999</v>
      </c>
      <c r="AG3685">
        <v>-8.2328999999999805E-2</v>
      </c>
      <c r="AH3685">
        <v>0.60067601280855598</v>
      </c>
      <c r="AI3685">
        <v>97.661067546821698</v>
      </c>
      <c r="AJ3685">
        <v>78.936777219538598</v>
      </c>
      <c r="AK3685">
        <v>0.61756268823115301</v>
      </c>
      <c r="AL3685">
        <v>86.942571740995106</v>
      </c>
      <c r="AM3685">
        <v>87.579689821909398</v>
      </c>
      <c r="AN3685">
        <v>1.0000000308322601</v>
      </c>
    </row>
    <row r="3686" spans="1:40" x14ac:dyDescent="0.25">
      <c r="A3686" t="str">
        <f>"20190312151100669"</f>
        <v>20190312151100669</v>
      </c>
      <c r="B3686" t="str">
        <f>"1552374660665155"</f>
        <v>1552374660665155</v>
      </c>
      <c r="C3686" t="s">
        <v>40</v>
      </c>
      <c r="D3686">
        <v>5.6760760000000001</v>
      </c>
      <c r="E3686">
        <v>0.53828279999999995</v>
      </c>
      <c r="F3686" t="s">
        <v>41</v>
      </c>
      <c r="G3686">
        <v>-188.59700000000001</v>
      </c>
      <c r="H3686">
        <v>1.0217989999999999</v>
      </c>
      <c r="I3686">
        <v>185.7732</v>
      </c>
      <c r="J3686">
        <v>-188.35669999999999</v>
      </c>
      <c r="K3686">
        <v>1.1053470000000001</v>
      </c>
      <c r="L3686">
        <v>186.3109</v>
      </c>
      <c r="M3686">
        <v>-0.21423519999999999</v>
      </c>
      <c r="N3686">
        <v>0</v>
      </c>
      <c r="O3686">
        <v>-0.97667899999999996</v>
      </c>
      <c r="P3686">
        <v>-0.25486399999999998</v>
      </c>
      <c r="Q3686">
        <v>3.93154E-2</v>
      </c>
      <c r="R3686">
        <v>-0.96617770000000003</v>
      </c>
      <c r="S3686">
        <v>-1.0555570000000001</v>
      </c>
      <c r="T3686">
        <v>-0.28405609999999998</v>
      </c>
      <c r="U3686">
        <v>-2.8400729999999998</v>
      </c>
      <c r="V3686">
        <v>4.2551690000000003E-2</v>
      </c>
      <c r="W3686">
        <v>5.3008329999999999E-2</v>
      </c>
      <c r="X3686">
        <v>0.99768699999999999</v>
      </c>
      <c r="Y3686">
        <v>0.1379302</v>
      </c>
      <c r="Z3686">
        <v>9.2572710000000002E-2</v>
      </c>
      <c r="AA3686">
        <v>0.98610629999999999</v>
      </c>
      <c r="AB3686">
        <v>30</v>
      </c>
      <c r="AC3686">
        <v>-0.240300000000019</v>
      </c>
      <c r="AD3686">
        <v>-8.35479999999999E-2</v>
      </c>
      <c r="AE3686">
        <v>-0.53770000000000095</v>
      </c>
      <c r="AF3686">
        <v>0.117156100621596</v>
      </c>
      <c r="AG3686">
        <v>-8.35479999999999E-2</v>
      </c>
      <c r="AH3686">
        <v>0.56532262622169804</v>
      </c>
      <c r="AI3686">
        <v>98.234298806987297</v>
      </c>
      <c r="AJ3686">
        <v>78.291893945952793</v>
      </c>
      <c r="AK3686">
        <v>0.58334851669911303</v>
      </c>
      <c r="AL3686">
        <v>86.961422085920702</v>
      </c>
      <c r="AM3686">
        <v>87.557795623848605</v>
      </c>
      <c r="AN3686">
        <v>0.99999993967012002</v>
      </c>
    </row>
    <row r="3687" spans="1:40" x14ac:dyDescent="0.25">
      <c r="A3687" t="str">
        <f>"20190312151100692"</f>
        <v>20190312151100692</v>
      </c>
      <c r="B3687" t="str">
        <f>"1552374660684674"</f>
        <v>1552374660684674</v>
      </c>
      <c r="C3687" t="s">
        <v>40</v>
      </c>
      <c r="D3687">
        <v>5.2105880000000004</v>
      </c>
      <c r="E3687">
        <v>0.53840719999999997</v>
      </c>
      <c r="F3687" t="s">
        <v>41</v>
      </c>
      <c r="G3687">
        <v>-188.66040000000001</v>
      </c>
      <c r="H3687">
        <v>1.024748</v>
      </c>
      <c r="I3687">
        <v>185.51249999999999</v>
      </c>
      <c r="J3687">
        <v>-188.428</v>
      </c>
      <c r="K3687">
        <v>1.1056709999999901</v>
      </c>
      <c r="L3687">
        <v>186.01230000000001</v>
      </c>
      <c r="M3687">
        <v>-0.2192432</v>
      </c>
      <c r="N3687">
        <v>0</v>
      </c>
      <c r="O3687">
        <v>-0.97556770000000004</v>
      </c>
      <c r="P3687">
        <v>-0.26059870000000002</v>
      </c>
      <c r="Q3687">
        <v>3.866373E-2</v>
      </c>
      <c r="R3687">
        <v>-0.964673</v>
      </c>
      <c r="S3687">
        <v>-1.07672099999999</v>
      </c>
      <c r="T3687">
        <v>-0.28587030000000002</v>
      </c>
      <c r="U3687">
        <v>-2.8326419999999999</v>
      </c>
      <c r="V3687">
        <v>4.330577E-2</v>
      </c>
      <c r="W3687">
        <v>5.2320730000000003E-2</v>
      </c>
      <c r="X3687">
        <v>0.99769090000000005</v>
      </c>
      <c r="Y3687">
        <v>0.14012839999999999</v>
      </c>
      <c r="Z3687">
        <v>9.3095659999999997E-2</v>
      </c>
      <c r="AA3687">
        <v>0.98574700000000004</v>
      </c>
      <c r="AB3687">
        <v>30</v>
      </c>
      <c r="AC3687">
        <v>-0.23240000000001201</v>
      </c>
      <c r="AD3687">
        <v>-8.0922999999999801E-2</v>
      </c>
      <c r="AE3687">
        <v>-0.49980000000002101</v>
      </c>
      <c r="AF3687">
        <v>0.11468392444271699</v>
      </c>
      <c r="AG3687">
        <v>-8.0922999999999801E-2</v>
      </c>
      <c r="AH3687">
        <v>0.52723044147089904</v>
      </c>
      <c r="AI3687">
        <v>98.529632642632805</v>
      </c>
      <c r="AJ3687">
        <v>77.728106754305998</v>
      </c>
      <c r="AK3687">
        <v>0.54559405501543201</v>
      </c>
      <c r="AL3687">
        <v>87.000873566993903</v>
      </c>
      <c r="AM3687">
        <v>87.514579591117396</v>
      </c>
      <c r="AN3687">
        <v>0.99999999022291797</v>
      </c>
    </row>
    <row r="3688" spans="1:40" x14ac:dyDescent="0.25">
      <c r="A3688" t="str">
        <f>"20190312151100713"</f>
        <v>20190312151100713</v>
      </c>
      <c r="B3688" t="str">
        <f>"1552374660704195"</f>
        <v>1552374660704195</v>
      </c>
      <c r="C3688" t="s">
        <v>40</v>
      </c>
      <c r="D3688">
        <v>5.1904389999999996</v>
      </c>
      <c r="E3688">
        <v>0.53835690000000003</v>
      </c>
      <c r="F3688" t="s">
        <v>41</v>
      </c>
      <c r="G3688">
        <v>-188.72280000000001</v>
      </c>
      <c r="H3688">
        <v>1.028381</v>
      </c>
      <c r="I3688">
        <v>185.25149999999999</v>
      </c>
      <c r="J3688">
        <v>-188.49850000000001</v>
      </c>
      <c r="K3688">
        <v>1.1059600000000001</v>
      </c>
      <c r="L3688">
        <v>185.72239999999999</v>
      </c>
      <c r="M3688">
        <v>-0.22381799999999999</v>
      </c>
      <c r="N3688">
        <v>0</v>
      </c>
      <c r="O3688">
        <v>-0.97452910000000004</v>
      </c>
      <c r="P3688">
        <v>-0.26571119999999998</v>
      </c>
      <c r="Q3688">
        <v>3.7654229999999997E-2</v>
      </c>
      <c r="R3688">
        <v>-0.96331699999999998</v>
      </c>
      <c r="S3688">
        <v>-1.0943149999999999</v>
      </c>
      <c r="T3688">
        <v>-0.28696199999999999</v>
      </c>
      <c r="U3688">
        <v>-2.8257289999999999</v>
      </c>
      <c r="V3688">
        <v>4.3860200000000002E-2</v>
      </c>
      <c r="W3688">
        <v>5.128166E-2</v>
      </c>
      <c r="X3688">
        <v>0.99772070000000002</v>
      </c>
      <c r="Y3688">
        <v>0.14162069999999999</v>
      </c>
      <c r="Z3688">
        <v>9.3401629999999999E-2</v>
      </c>
      <c r="AA3688">
        <v>0.98550479999999996</v>
      </c>
      <c r="AB3688">
        <v>30</v>
      </c>
      <c r="AC3688">
        <v>-0.224299999999999</v>
      </c>
      <c r="AD3688">
        <v>-7.7578999999999995E-2</v>
      </c>
      <c r="AE3688">
        <v>-0.47089999999999999</v>
      </c>
      <c r="AF3688">
        <v>0.11075213980399699</v>
      </c>
      <c r="AG3688">
        <v>-7.7578999999999995E-2</v>
      </c>
      <c r="AH3688">
        <v>0.49813875974204702</v>
      </c>
      <c r="AI3688">
        <v>98.644237652317699</v>
      </c>
      <c r="AJ3688">
        <v>77.465203760887107</v>
      </c>
      <c r="AK3688">
        <v>0.51616544021225297</v>
      </c>
      <c r="AL3688">
        <v>87.0604881399167</v>
      </c>
      <c r="AM3688">
        <v>87.482875302242604</v>
      </c>
      <c r="AN3688">
        <v>1.0000000605024399</v>
      </c>
    </row>
    <row r="3689" spans="1:40" x14ac:dyDescent="0.25">
      <c r="A3689" t="str">
        <f>"20190312151100736"</f>
        <v>20190312151100736</v>
      </c>
      <c r="B3689" t="str">
        <f>"1552374660724706"</f>
        <v>1552374660724706</v>
      </c>
      <c r="C3689" t="s">
        <v>40</v>
      </c>
      <c r="D3689">
        <v>5.3221639999999999</v>
      </c>
      <c r="E3689">
        <v>0.53837939999999995</v>
      </c>
      <c r="F3689" t="s">
        <v>41</v>
      </c>
      <c r="G3689">
        <v>-188.7861</v>
      </c>
      <c r="H3689">
        <v>1.0306379999999999</v>
      </c>
      <c r="I3689">
        <v>184.99170000000001</v>
      </c>
      <c r="J3689">
        <v>-188.56890000000001</v>
      </c>
      <c r="K3689">
        <v>1.106228</v>
      </c>
      <c r="L3689">
        <v>185.4375</v>
      </c>
      <c r="M3689">
        <v>-0.22805010000000001</v>
      </c>
      <c r="N3689">
        <v>0</v>
      </c>
      <c r="O3689">
        <v>-0.97354810000000003</v>
      </c>
      <c r="P3689">
        <v>-0.26949689999999998</v>
      </c>
      <c r="Q3689">
        <v>3.6388450000000003E-2</v>
      </c>
      <c r="R3689">
        <v>-0.9623138</v>
      </c>
      <c r="S3689">
        <v>-1.108994</v>
      </c>
      <c r="T3689">
        <v>-0.29059790000000002</v>
      </c>
      <c r="U3689">
        <v>-2.8196870000000001</v>
      </c>
      <c r="V3689">
        <v>4.3391289999999999E-2</v>
      </c>
      <c r="W3689">
        <v>5.0000620000000003E-2</v>
      </c>
      <c r="X3689">
        <v>0.99780610000000003</v>
      </c>
      <c r="Y3689">
        <v>0.14244129999999899</v>
      </c>
      <c r="Z3689">
        <v>9.4528340000000002E-2</v>
      </c>
      <c r="AA3689">
        <v>0.98527909999999996</v>
      </c>
      <c r="AB3689">
        <v>30</v>
      </c>
      <c r="AC3689">
        <v>-0.21719999999999101</v>
      </c>
      <c r="AD3689">
        <v>-7.5590000000000004E-2</v>
      </c>
      <c r="AE3689">
        <v>-0.44579999999999098</v>
      </c>
      <c r="AF3689">
        <v>0.10730743298853999</v>
      </c>
      <c r="AG3689">
        <v>-7.5590000000000004E-2</v>
      </c>
      <c r="AH3689">
        <v>0.47260680844276498</v>
      </c>
      <c r="AI3689">
        <v>98.8651501839622</v>
      </c>
      <c r="AJ3689">
        <v>77.207631900142104</v>
      </c>
      <c r="AK3689">
        <v>0.49049559494560802</v>
      </c>
      <c r="AL3689">
        <v>87.133980276342697</v>
      </c>
      <c r="AM3689">
        <v>87.509964723499905</v>
      </c>
      <c r="AN3689">
        <v>0.99999993962272704</v>
      </c>
    </row>
    <row r="3690" spans="1:40" x14ac:dyDescent="0.25">
      <c r="A3690" t="str">
        <f>"20190312151100757"</f>
        <v>20190312151100757</v>
      </c>
      <c r="B3690" t="str">
        <f>"1552374660754946"</f>
        <v>1552374660754946</v>
      </c>
      <c r="C3690" t="s">
        <v>40</v>
      </c>
      <c r="D3690">
        <v>5.8743379999999998</v>
      </c>
      <c r="E3690">
        <v>0.5379623</v>
      </c>
      <c r="F3690" t="s">
        <v>41</v>
      </c>
      <c r="G3690">
        <v>-188.84970000000001</v>
      </c>
      <c r="H3690">
        <v>1.0329079999999999</v>
      </c>
      <c r="I3690">
        <v>184.73230000000001</v>
      </c>
      <c r="J3690">
        <v>-188.63759999999999</v>
      </c>
      <c r="K3690">
        <v>1.1064750000000001</v>
      </c>
      <c r="L3690">
        <v>185.16309999999999</v>
      </c>
      <c r="M3690">
        <v>-0.23187940000000001</v>
      </c>
      <c r="N3690">
        <v>0</v>
      </c>
      <c r="O3690">
        <v>-0.97264399999999995</v>
      </c>
      <c r="P3690">
        <v>-0.27201350000000002</v>
      </c>
      <c r="Q3690">
        <v>3.482859E-2</v>
      </c>
      <c r="R3690">
        <v>-0.96166320000000005</v>
      </c>
      <c r="S3690">
        <v>-1.1204069999999999</v>
      </c>
      <c r="T3690">
        <v>-0.29259359999999901</v>
      </c>
      <c r="U3690">
        <v>-2.8147739999999999</v>
      </c>
      <c r="V3690">
        <v>4.2017239999999997E-2</v>
      </c>
      <c r="W3690">
        <v>4.8436109999999997E-2</v>
      </c>
      <c r="X3690">
        <v>0.99794210000000005</v>
      </c>
      <c r="Y3690">
        <v>0.14256369999999999</v>
      </c>
      <c r="Z3690">
        <v>9.5124429999999996E-2</v>
      </c>
      <c r="AA3690">
        <v>0.98520399999999997</v>
      </c>
      <c r="AB3690">
        <v>30</v>
      </c>
      <c r="AC3690">
        <v>-0.21210000000001999</v>
      </c>
      <c r="AD3690">
        <v>-7.3567000000000105E-2</v>
      </c>
      <c r="AE3690">
        <v>-0.43079999999997598</v>
      </c>
      <c r="AF3690">
        <v>0.103974054650728</v>
      </c>
      <c r="AG3690">
        <v>-7.3567000000000105E-2</v>
      </c>
      <c r="AH3690">
        <v>0.45750382968513997</v>
      </c>
      <c r="AI3690">
        <v>98.911557186276596</v>
      </c>
      <c r="AJ3690">
        <v>77.196220808081904</v>
      </c>
      <c r="AK3690">
        <v>0.47490258127965901</v>
      </c>
      <c r="AL3690">
        <v>87.223728967185707</v>
      </c>
      <c r="AM3690">
        <v>87.589049042758404</v>
      </c>
      <c r="AN3690">
        <v>0.99999997008077901</v>
      </c>
    </row>
    <row r="3691" spans="1:40" x14ac:dyDescent="0.25">
      <c r="A3691" t="str">
        <f>"20190312151100772"</f>
        <v>20190312151100772</v>
      </c>
      <c r="B3691" t="str">
        <f>"1552374660764707"</f>
        <v>1552374660764707</v>
      </c>
      <c r="C3691" t="s">
        <v>40</v>
      </c>
      <c r="D3691">
        <v>5.3531890000000004</v>
      </c>
      <c r="E3691">
        <v>0.53781840000000003</v>
      </c>
      <c r="F3691" t="s">
        <v>41</v>
      </c>
      <c r="G3691">
        <v>-188.9135</v>
      </c>
      <c r="H3691">
        <v>1.0344100000000001</v>
      </c>
      <c r="I3691">
        <v>184.4735</v>
      </c>
      <c r="J3691">
        <v>-188.68610000000001</v>
      </c>
      <c r="K3691">
        <v>1.106644</v>
      </c>
      <c r="L3691">
        <v>184.97219999999999</v>
      </c>
      <c r="M3691">
        <v>-0.23438129999999999</v>
      </c>
      <c r="N3691">
        <v>0</v>
      </c>
      <c r="O3691">
        <v>-0.97204449999999998</v>
      </c>
      <c r="P3691">
        <v>-0.27398939999999999</v>
      </c>
      <c r="Q3691">
        <v>3.4519179999999997E-2</v>
      </c>
      <c r="R3691">
        <v>-0.9611132</v>
      </c>
      <c r="S3691">
        <v>-1.124344</v>
      </c>
      <c r="T3691">
        <v>-0.2938209</v>
      </c>
      <c r="U3691">
        <v>-2.8122099999999999</v>
      </c>
      <c r="V3691">
        <v>4.147547E-2</v>
      </c>
      <c r="W3691">
        <v>4.8119849999999999E-2</v>
      </c>
      <c r="X3691">
        <v>0.99798010000000004</v>
      </c>
      <c r="Y3691">
        <v>0.14150109999999999</v>
      </c>
      <c r="Z3691">
        <v>9.5496079999999997E-2</v>
      </c>
      <c r="AA3691">
        <v>0.98532120000000001</v>
      </c>
      <c r="AB3691">
        <v>30</v>
      </c>
      <c r="AC3691">
        <v>-0.227399999999988</v>
      </c>
      <c r="AD3691">
        <v>-7.2233999999999896E-2</v>
      </c>
      <c r="AE3691">
        <v>-0.49869999999998499</v>
      </c>
      <c r="AF3691">
        <v>0.10238876446723499</v>
      </c>
      <c r="AG3691">
        <v>-7.2233999999999896E-2</v>
      </c>
      <c r="AH3691">
        <v>0.52892268112663199</v>
      </c>
      <c r="AI3691">
        <v>97.636621391339403</v>
      </c>
      <c r="AJ3691">
        <v>79.044200686956302</v>
      </c>
      <c r="AK3691">
        <v>0.54356270333358203</v>
      </c>
      <c r="AL3691">
        <v>87.241870587856098</v>
      </c>
      <c r="AM3691">
        <v>87.620190365344598</v>
      </c>
      <c r="AN3691">
        <v>1.0000000072858699</v>
      </c>
    </row>
    <row r="3692" spans="1:40" x14ac:dyDescent="0.25">
      <c r="A3692" t="str">
        <f>"20190312151100792"</f>
        <v>20190312151100792</v>
      </c>
      <c r="B3692" t="str">
        <f>"1552374660785203"</f>
        <v>1552374660785203</v>
      </c>
      <c r="C3692" t="s">
        <v>40</v>
      </c>
      <c r="D3692">
        <v>5.2959149999999999</v>
      </c>
      <c r="E3692">
        <v>0.53749340000000001</v>
      </c>
      <c r="F3692" t="s">
        <v>41</v>
      </c>
      <c r="G3692">
        <v>-188.98769999999999</v>
      </c>
      <c r="H3692">
        <v>1.0281880000000001</v>
      </c>
      <c r="I3692">
        <v>184.22130000000001</v>
      </c>
      <c r="J3692">
        <v>-188.75040000000001</v>
      </c>
      <c r="K3692">
        <v>1.1068629999999999</v>
      </c>
      <c r="L3692">
        <v>184.721</v>
      </c>
      <c r="M3692">
        <v>-0.2375255</v>
      </c>
      <c r="N3692">
        <v>0</v>
      </c>
      <c r="O3692">
        <v>-0.97128150000000002</v>
      </c>
      <c r="P3692">
        <v>-0.27542470000000002</v>
      </c>
      <c r="Q3692">
        <v>3.4724949999999997E-2</v>
      </c>
      <c r="R3692">
        <v>-0.96069559999999998</v>
      </c>
      <c r="S3692">
        <v>-1.1286320000000001</v>
      </c>
      <c r="T3692">
        <v>-0.29358479999999998</v>
      </c>
      <c r="U3692">
        <v>-2.8101959999999999</v>
      </c>
      <c r="V3692">
        <v>3.9714109999999997E-2</v>
      </c>
      <c r="W3692">
        <v>4.8325609999999998E-2</v>
      </c>
      <c r="X3692">
        <v>0.99804179999999998</v>
      </c>
      <c r="Y3692">
        <v>0.13984089999999999</v>
      </c>
      <c r="Z3692">
        <v>9.5357570000000003E-2</v>
      </c>
      <c r="AA3692">
        <v>0.98557159999999999</v>
      </c>
      <c r="AB3692">
        <v>30</v>
      </c>
      <c r="AC3692">
        <v>-0.237299999999976</v>
      </c>
      <c r="AD3692">
        <v>-7.8674999999999995E-2</v>
      </c>
      <c r="AE3692">
        <v>-0.49969999999996101</v>
      </c>
      <c r="AF3692">
        <v>0.109587791723293</v>
      </c>
      <c r="AG3692">
        <v>-7.8674999999999995E-2</v>
      </c>
      <c r="AH3692">
        <v>0.53102552595216301</v>
      </c>
      <c r="AI3692">
        <v>98.255950964425494</v>
      </c>
      <c r="AJ3692">
        <v>78.3395590388009</v>
      </c>
      <c r="AK3692">
        <v>0.54789355620645797</v>
      </c>
      <c r="AL3692">
        <v>87.230067670104702</v>
      </c>
      <c r="AM3692">
        <v>87.721286781267494</v>
      </c>
      <c r="AN3692">
        <v>1.0000000048311</v>
      </c>
    </row>
    <row r="3693" spans="1:40" x14ac:dyDescent="0.25">
      <c r="A3693" t="str">
        <f>"20190312151100814"</f>
        <v>20190312151100814</v>
      </c>
      <c r="B3693" t="str">
        <f>"1552374660804722"</f>
        <v>1552374660804722</v>
      </c>
      <c r="C3693" t="s">
        <v>40</v>
      </c>
      <c r="D3693">
        <v>5.3961959999999998</v>
      </c>
      <c r="E3693">
        <v>0.53715100000000005</v>
      </c>
      <c r="F3693" t="s">
        <v>41</v>
      </c>
      <c r="G3693">
        <v>-189.05459999999999</v>
      </c>
      <c r="H3693">
        <v>1.0285839999999999</v>
      </c>
      <c r="I3693">
        <v>183.96440000000001</v>
      </c>
      <c r="J3693">
        <v>-188.82390000000001</v>
      </c>
      <c r="K3693">
        <v>1.107091</v>
      </c>
      <c r="L3693">
        <v>184.4367</v>
      </c>
      <c r="M3693">
        <v>-0.24085980000000001</v>
      </c>
      <c r="N3693">
        <v>0</v>
      </c>
      <c r="O3693">
        <v>-0.9704604</v>
      </c>
      <c r="P3693">
        <v>-0.27774450000000001</v>
      </c>
      <c r="Q3693">
        <v>3.5592440000000003E-2</v>
      </c>
      <c r="R3693">
        <v>-0.95999540000000005</v>
      </c>
      <c r="S3693">
        <v>-1.1295010000000001</v>
      </c>
      <c r="T3693">
        <v>-0.29068110000000003</v>
      </c>
      <c r="U3693">
        <v>-2.8094329999999998</v>
      </c>
      <c r="V3693">
        <v>3.868332E-2</v>
      </c>
      <c r="W3693">
        <v>4.9185279999999998E-2</v>
      </c>
      <c r="X3693">
        <v>0.99804029999999999</v>
      </c>
      <c r="Y3693">
        <v>0.13683110000000001</v>
      </c>
      <c r="Z3693">
        <v>9.4343650000000001E-2</v>
      </c>
      <c r="AA3693">
        <v>0.98609159999999996</v>
      </c>
      <c r="AB3693">
        <v>30</v>
      </c>
      <c r="AC3693">
        <v>-0.230699999999984</v>
      </c>
      <c r="AD3693">
        <v>-7.8507000000000104E-2</v>
      </c>
      <c r="AE3693">
        <v>-0.47229999999999001</v>
      </c>
      <c r="AF3693">
        <v>0.10773447624993999</v>
      </c>
      <c r="AG3693">
        <v>-7.8507000000000104E-2</v>
      </c>
      <c r="AH3693">
        <v>0.50274933835618096</v>
      </c>
      <c r="AI3693">
        <v>98.681379817478899</v>
      </c>
      <c r="AJ3693">
        <v>77.904973224467398</v>
      </c>
      <c r="AK3693">
        <v>0.52012206609547595</v>
      </c>
      <c r="AL3693">
        <v>87.180753589762404</v>
      </c>
      <c r="AM3693">
        <v>87.7803680955289</v>
      </c>
      <c r="AN3693">
        <v>1.0000000157194899</v>
      </c>
    </row>
    <row r="3694" spans="1:40" x14ac:dyDescent="0.25">
      <c r="A3694" t="str">
        <f>"20190312151100835"</f>
        <v>20190312151100835</v>
      </c>
      <c r="B3694" t="str">
        <f>"1552374660824247"</f>
        <v>1552374660824247</v>
      </c>
      <c r="C3694" t="s">
        <v>40</v>
      </c>
      <c r="D3694">
        <v>5.3983730000000003</v>
      </c>
      <c r="E3694">
        <v>0.53684140000000002</v>
      </c>
      <c r="F3694" t="s">
        <v>41</v>
      </c>
      <c r="G3694">
        <v>-189.119</v>
      </c>
      <c r="H3694">
        <v>1.0323869999999999</v>
      </c>
      <c r="I3694">
        <v>183.7056</v>
      </c>
      <c r="J3694">
        <v>-188.89850000000001</v>
      </c>
      <c r="K3694">
        <v>1.1073219999999999</v>
      </c>
      <c r="L3694">
        <v>184.15100000000001</v>
      </c>
      <c r="M3694">
        <v>-0.24397360000000001</v>
      </c>
      <c r="N3694">
        <v>0</v>
      </c>
      <c r="O3694">
        <v>-0.96968290000000001</v>
      </c>
      <c r="P3694">
        <v>-0.2795357</v>
      </c>
      <c r="Q3694">
        <v>3.5161600000000001E-2</v>
      </c>
      <c r="R3694">
        <v>-0.95949139999999999</v>
      </c>
      <c r="S3694">
        <v>-1.13327</v>
      </c>
      <c r="T3694">
        <v>-0.28686440000000002</v>
      </c>
      <c r="U3694">
        <v>-2.8077390000000002</v>
      </c>
      <c r="V3694">
        <v>3.7307960000000001E-2</v>
      </c>
      <c r="W3694">
        <v>4.8749979999999998E-2</v>
      </c>
      <c r="X3694">
        <v>0.99811399999999995</v>
      </c>
      <c r="Y3694">
        <v>0.135042299999999</v>
      </c>
      <c r="Z3694">
        <v>9.3046749999999998E-2</v>
      </c>
      <c r="AA3694">
        <v>0.98646129999999999</v>
      </c>
      <c r="AB3694">
        <v>30</v>
      </c>
      <c r="AC3694">
        <v>-0.22050000000001499</v>
      </c>
      <c r="AD3694">
        <v>-7.4934999999999696E-2</v>
      </c>
      <c r="AE3694">
        <v>-0.44539999999997798</v>
      </c>
      <c r="AF3694">
        <v>0.102821811967379</v>
      </c>
      <c r="AG3694">
        <v>-7.4934999999999696E-2</v>
      </c>
      <c r="AH3694">
        <v>0.47494237094466302</v>
      </c>
      <c r="AI3694">
        <v>98.766228347095193</v>
      </c>
      <c r="AJ3694">
        <v>77.784368812510706</v>
      </c>
      <c r="AK3694">
        <v>0.49168875821986502</v>
      </c>
      <c r="AL3694">
        <v>87.205724356253498</v>
      </c>
      <c r="AM3694">
        <v>87.859368795528695</v>
      </c>
      <c r="AN3694">
        <v>1.0000000007126799</v>
      </c>
    </row>
    <row r="3695" spans="1:40" x14ac:dyDescent="0.25">
      <c r="A3695" t="str">
        <f>"20190312151100858"</f>
        <v>20190312151100858</v>
      </c>
      <c r="B3695" t="str">
        <f>"1552374660854574"</f>
        <v>1552374660854574</v>
      </c>
      <c r="C3695" t="s">
        <v>40</v>
      </c>
      <c r="D3695">
        <v>5.3802310000000002</v>
      </c>
      <c r="E3695">
        <v>0.53626879999999999</v>
      </c>
      <c r="F3695" t="s">
        <v>41</v>
      </c>
      <c r="G3695">
        <v>-189.18340000000001</v>
      </c>
      <c r="H3695">
        <v>1.035361</v>
      </c>
      <c r="I3695">
        <v>183.44739999999999</v>
      </c>
      <c r="J3695">
        <v>-188.97290000000001</v>
      </c>
      <c r="K3695">
        <v>1.1075440000000001</v>
      </c>
      <c r="L3695">
        <v>183.86869999999999</v>
      </c>
      <c r="M3695">
        <v>-0.2468002</v>
      </c>
      <c r="N3695">
        <v>0</v>
      </c>
      <c r="O3695">
        <v>-0.96896789999999999</v>
      </c>
      <c r="P3695">
        <v>-0.2805975</v>
      </c>
      <c r="Q3695">
        <v>3.4248279999999999E-2</v>
      </c>
      <c r="R3695">
        <v>-0.95921489999999998</v>
      </c>
      <c r="S3695">
        <v>-1.1359859999999999</v>
      </c>
      <c r="T3695">
        <v>-0.28702759999999999</v>
      </c>
      <c r="U3695">
        <v>-2.8062130000000001</v>
      </c>
      <c r="V3695">
        <v>3.5460999999999999E-2</v>
      </c>
      <c r="W3695">
        <v>4.7837890000000001E-2</v>
      </c>
      <c r="X3695">
        <v>0.99822549999999999</v>
      </c>
      <c r="Y3695">
        <v>0.13315920000000001</v>
      </c>
      <c r="Z3695">
        <v>9.3039910000000003E-2</v>
      </c>
      <c r="AA3695">
        <v>0.98671790000000004</v>
      </c>
      <c r="AB3695">
        <v>30</v>
      </c>
      <c r="AC3695">
        <v>-0.210499999999996</v>
      </c>
      <c r="AD3695">
        <v>-7.2183000000000094E-2</v>
      </c>
      <c r="AE3695">
        <v>-0.42130000000000201</v>
      </c>
      <c r="AF3695">
        <v>9.7705175198238098E-2</v>
      </c>
      <c r="AG3695">
        <v>-7.2183000000000094E-2</v>
      </c>
      <c r="AH3695">
        <v>0.449658632804528</v>
      </c>
      <c r="AI3695">
        <v>98.915219747200396</v>
      </c>
      <c r="AJ3695">
        <v>77.740908593329806</v>
      </c>
      <c r="AK3695">
        <v>0.46577845893209302</v>
      </c>
      <c r="AL3695">
        <v>87.258044442736704</v>
      </c>
      <c r="AM3695">
        <v>87.965478124182894</v>
      </c>
      <c r="AN3695">
        <v>1.00000004754545</v>
      </c>
    </row>
    <row r="3696" spans="1:40" x14ac:dyDescent="0.25">
      <c r="A3696" t="str">
        <f>"20190312151100880"</f>
        <v>20190312151100880</v>
      </c>
      <c r="B3696" t="str">
        <f>"1552374660875071"</f>
        <v>1552374660875071</v>
      </c>
      <c r="C3696" t="s">
        <v>40</v>
      </c>
      <c r="D3696">
        <v>5.3523239999999896</v>
      </c>
      <c r="E3696">
        <v>0.53594269999999999</v>
      </c>
      <c r="F3696" t="s">
        <v>41</v>
      </c>
      <c r="G3696">
        <v>-189.34309999999999</v>
      </c>
      <c r="H3696">
        <v>1.0134639999999999</v>
      </c>
      <c r="I3696">
        <v>182.95339999999999</v>
      </c>
      <c r="J3696">
        <v>-189.0497</v>
      </c>
      <c r="K3696">
        <v>1.107774</v>
      </c>
      <c r="L3696">
        <v>183.57980000000001</v>
      </c>
      <c r="M3696">
        <v>-0.2494101</v>
      </c>
      <c r="N3696">
        <v>0</v>
      </c>
      <c r="O3696">
        <v>-0.96830000000000005</v>
      </c>
      <c r="P3696">
        <v>-0.28148499999999999</v>
      </c>
      <c r="Q3696">
        <v>3.3756950000000001E-2</v>
      </c>
      <c r="R3696">
        <v>-0.95897209999999999</v>
      </c>
      <c r="S3696">
        <v>-1.1345209999999999</v>
      </c>
      <c r="T3696">
        <v>-0.28838849999999999</v>
      </c>
      <c r="U3696">
        <v>-2.806</v>
      </c>
      <c r="V3696">
        <v>3.3660450000000001E-2</v>
      </c>
      <c r="W3696">
        <v>4.7346829999999999E-2</v>
      </c>
      <c r="X3696">
        <v>0.99831119999999995</v>
      </c>
      <c r="Y3696">
        <v>0.13005739999999999</v>
      </c>
      <c r="Z3696">
        <v>9.3416280000000004E-2</v>
      </c>
      <c r="AA3696">
        <v>0.98709599999999997</v>
      </c>
      <c r="AB3696">
        <v>29</v>
      </c>
      <c r="AC3696">
        <v>-0.293399999999991</v>
      </c>
      <c r="AD3696">
        <v>-9.4310000000000102E-2</v>
      </c>
      <c r="AE3696">
        <v>-0.62640000000001705</v>
      </c>
      <c r="AF3696">
        <v>0.12554699927017099</v>
      </c>
      <c r="AG3696">
        <v>-9.4310000000000102E-2</v>
      </c>
      <c r="AH3696">
        <v>0.66737825223373404</v>
      </c>
      <c r="AI3696">
        <v>97.906558941917396</v>
      </c>
      <c r="AJ3696">
        <v>79.346048032155593</v>
      </c>
      <c r="AK3696">
        <v>0.68560203958294796</v>
      </c>
      <c r="AL3696">
        <v>87.286211896717106</v>
      </c>
      <c r="AM3696">
        <v>88.068867335192493</v>
      </c>
      <c r="AN3696">
        <v>1.00000000012534</v>
      </c>
    </row>
    <row r="3697" spans="1:40" x14ac:dyDescent="0.25">
      <c r="A3697" t="str">
        <f>"20190312151100903"</f>
        <v>20190312151100903</v>
      </c>
      <c r="B3697" t="str">
        <f>"1552374660894590"</f>
        <v>1552374660894590</v>
      </c>
      <c r="C3697" t="s">
        <v>40</v>
      </c>
      <c r="D3697">
        <v>5.3458310000000004</v>
      </c>
      <c r="E3697">
        <v>0.53567279999999995</v>
      </c>
      <c r="F3697" t="s">
        <v>41</v>
      </c>
      <c r="G3697">
        <v>-189.40729999999999</v>
      </c>
      <c r="H3697">
        <v>1.0162979999999999</v>
      </c>
      <c r="I3697">
        <v>182.6962</v>
      </c>
      <c r="J3697">
        <v>-189.1258</v>
      </c>
      <c r="K3697">
        <v>1.1079889999999999</v>
      </c>
      <c r="L3697">
        <v>183.29560000000001</v>
      </c>
      <c r="M3697">
        <v>-0.2517701</v>
      </c>
      <c r="N3697">
        <v>0</v>
      </c>
      <c r="O3697">
        <v>-0.96768929999999997</v>
      </c>
      <c r="P3697">
        <v>-0.28238039999999998</v>
      </c>
      <c r="Q3697">
        <v>3.3990729999999997E-2</v>
      </c>
      <c r="R3697">
        <v>-0.95870040000000001</v>
      </c>
      <c r="S3697">
        <v>-1.1346889999999901</v>
      </c>
      <c r="T3697">
        <v>-0.29042430000000002</v>
      </c>
      <c r="U3697">
        <v>-2.8055110000000001</v>
      </c>
      <c r="V3697">
        <v>3.2137579999999999E-2</v>
      </c>
      <c r="W3697">
        <v>4.7578780000000001E-2</v>
      </c>
      <c r="X3697">
        <v>0.99835039999999997</v>
      </c>
      <c r="Y3697">
        <v>0.12772800000000001</v>
      </c>
      <c r="Z3697">
        <v>9.4010200000000002E-2</v>
      </c>
      <c r="AA3697">
        <v>0.98734370000000005</v>
      </c>
      <c r="AB3697">
        <v>29</v>
      </c>
      <c r="AC3697">
        <v>-0.28149999999999398</v>
      </c>
      <c r="AD3697">
        <v>-9.1690999999999898E-2</v>
      </c>
      <c r="AE3697">
        <v>-0.59940000000000204</v>
      </c>
      <c r="AF3697">
        <v>0.119219394388455</v>
      </c>
      <c r="AG3697">
        <v>-9.1690999999999898E-2</v>
      </c>
      <c r="AH3697">
        <v>0.638722428130854</v>
      </c>
      <c r="AI3697">
        <v>98.032347034136095</v>
      </c>
      <c r="AJ3697">
        <v>79.427238719817396</v>
      </c>
      <c r="AK3697">
        <v>0.65619116397336796</v>
      </c>
      <c r="AL3697">
        <v>87.272907262633495</v>
      </c>
      <c r="AM3697">
        <v>88.156246477312806</v>
      </c>
      <c r="AN3697">
        <v>1.0000000427673501</v>
      </c>
    </row>
    <row r="3698" spans="1:40" x14ac:dyDescent="0.25">
      <c r="A3698" t="str">
        <f>"20190312151100924"</f>
        <v>20190312151100924</v>
      </c>
      <c r="B3698" t="str">
        <f>"1552374660915091"</f>
        <v>1552374660915091</v>
      </c>
      <c r="C3698" t="s">
        <v>40</v>
      </c>
      <c r="D3698">
        <v>5.3742660000000004</v>
      </c>
      <c r="E3698">
        <v>0.53547579999999995</v>
      </c>
      <c r="F3698" t="s">
        <v>41</v>
      </c>
      <c r="G3698">
        <v>-189.4725</v>
      </c>
      <c r="H3698">
        <v>1.0199309999999999</v>
      </c>
      <c r="I3698">
        <v>182.43899999999999</v>
      </c>
      <c r="J3698">
        <v>-189.20230000000001</v>
      </c>
      <c r="K3698">
        <v>1.1081920000000001</v>
      </c>
      <c r="L3698">
        <v>183.0119</v>
      </c>
      <c r="M3698">
        <v>-0.25390859999999998</v>
      </c>
      <c r="N3698">
        <v>0</v>
      </c>
      <c r="O3698">
        <v>-0.96713070000000001</v>
      </c>
      <c r="P3698">
        <v>-0.28316279999999999</v>
      </c>
      <c r="Q3698">
        <v>3.4074170000000001E-2</v>
      </c>
      <c r="R3698">
        <v>-0.95846640000000005</v>
      </c>
      <c r="S3698">
        <v>-1.1349180000000001</v>
      </c>
      <c r="T3698">
        <v>-0.28838859999999999</v>
      </c>
      <c r="U3698">
        <v>-2.8051759999999999</v>
      </c>
      <c r="V3698">
        <v>3.0723589999999999E-2</v>
      </c>
      <c r="W3698">
        <v>4.7659279999999998E-2</v>
      </c>
      <c r="X3698">
        <v>0.99839100000000003</v>
      </c>
      <c r="Y3698">
        <v>0.125670899999999</v>
      </c>
      <c r="Z3698">
        <v>9.3298930000000002E-2</v>
      </c>
      <c r="AA3698">
        <v>0.98767510000000003</v>
      </c>
      <c r="AB3698">
        <v>29</v>
      </c>
      <c r="AC3698">
        <v>-0.27019999999998801</v>
      </c>
      <c r="AD3698">
        <v>-8.8261000000000103E-2</v>
      </c>
      <c r="AE3698">
        <v>-0.57289999999997498</v>
      </c>
      <c r="AF3698">
        <v>0.113658647476353</v>
      </c>
      <c r="AG3698">
        <v>-8.8261000000000103E-2</v>
      </c>
      <c r="AH3698">
        <v>0.61087349785899503</v>
      </c>
      <c r="AI3698">
        <v>98.084524608844902</v>
      </c>
      <c r="AJ3698">
        <v>79.460112411147094</v>
      </c>
      <c r="AK3698">
        <v>0.62759439342113099</v>
      </c>
      <c r="AL3698">
        <v>87.268289508304207</v>
      </c>
      <c r="AM3698">
        <v>88.237387270830595</v>
      </c>
      <c r="AN3698">
        <v>0.99999996741680197</v>
      </c>
    </row>
    <row r="3699" spans="1:40" x14ac:dyDescent="0.25">
      <c r="A3699" t="str">
        <f>"20190312151100947"</f>
        <v>20190312151100947</v>
      </c>
      <c r="B3699" t="str">
        <f>"1552374660944366"</f>
        <v>1552374660944366</v>
      </c>
      <c r="C3699" t="s">
        <v>40</v>
      </c>
      <c r="D3699">
        <v>5.3771940000000003</v>
      </c>
      <c r="E3699">
        <v>0.50606099999999998</v>
      </c>
      <c r="F3699" t="s">
        <v>41</v>
      </c>
      <c r="G3699">
        <v>-189.53819999999999</v>
      </c>
      <c r="H3699">
        <v>1.023223</v>
      </c>
      <c r="I3699">
        <v>182.1824</v>
      </c>
      <c r="J3699">
        <v>-189.2782</v>
      </c>
      <c r="K3699">
        <v>1.108393</v>
      </c>
      <c r="L3699">
        <v>182.73140000000001</v>
      </c>
      <c r="M3699">
        <v>-0.2557913</v>
      </c>
      <c r="N3699">
        <v>0</v>
      </c>
      <c r="O3699">
        <v>-0.96663469999999996</v>
      </c>
      <c r="P3699">
        <v>-0.2845472</v>
      </c>
      <c r="Q3699">
        <v>3.4590929999999999E-2</v>
      </c>
      <c r="R3699">
        <v>-0.9580379</v>
      </c>
      <c r="S3699">
        <v>-1.1357269999999999</v>
      </c>
      <c r="T3699">
        <v>-0.28728320000000002</v>
      </c>
      <c r="U3699">
        <v>-2.8046720000000001</v>
      </c>
      <c r="V3699">
        <v>3.0206360000000002E-2</v>
      </c>
      <c r="W3699">
        <v>4.8169869999999997E-2</v>
      </c>
      <c r="X3699">
        <v>0.99838229999999994</v>
      </c>
      <c r="Y3699">
        <v>0.12405960000000001</v>
      </c>
      <c r="Z3699">
        <v>9.2894110000000002E-2</v>
      </c>
      <c r="AA3699">
        <v>0.98791689999999999</v>
      </c>
      <c r="AB3699">
        <v>29</v>
      </c>
      <c r="AC3699">
        <v>-0.25999999999999002</v>
      </c>
      <c r="AD3699">
        <v>-8.5169999999999899E-2</v>
      </c>
      <c r="AE3699">
        <v>-0.54900000000000604</v>
      </c>
      <c r="AF3699">
        <v>0.108767843375898</v>
      </c>
      <c r="AG3699">
        <v>-8.5169999999999899E-2</v>
      </c>
      <c r="AH3699">
        <v>0.58572993271778495</v>
      </c>
      <c r="AI3699">
        <v>98.136117797165895</v>
      </c>
      <c r="AJ3699">
        <v>79.480215424425197</v>
      </c>
      <c r="AK3699">
        <v>0.60180057056655001</v>
      </c>
      <c r="AL3699">
        <v>87.239001274486895</v>
      </c>
      <c r="AM3699">
        <v>88.267027421719604</v>
      </c>
      <c r="AN3699">
        <v>0.99999998875677798</v>
      </c>
    </row>
    <row r="3700" spans="1:40" x14ac:dyDescent="0.25">
      <c r="A3700" t="str">
        <f>"20190312151100970"</f>
        <v>20190312151100970</v>
      </c>
      <c r="B3700" t="str">
        <f>"1552374660964864"</f>
        <v>1552374660964864</v>
      </c>
      <c r="C3700" t="s">
        <v>40</v>
      </c>
      <c r="D3700">
        <v>5.5007619999999999</v>
      </c>
      <c r="E3700">
        <v>0.50456270000000003</v>
      </c>
      <c r="F3700" t="s">
        <v>41</v>
      </c>
      <c r="G3700">
        <v>-189.54300000000001</v>
      </c>
      <c r="H3700">
        <v>1.0441769999999999</v>
      </c>
      <c r="I3700">
        <v>181.89949999999999</v>
      </c>
      <c r="J3700">
        <v>-189.35669999999999</v>
      </c>
      <c r="K3700">
        <v>1.108606</v>
      </c>
      <c r="L3700">
        <v>182.44309999999999</v>
      </c>
      <c r="M3700">
        <v>-0.25747880000000001</v>
      </c>
      <c r="N3700">
        <v>0</v>
      </c>
      <c r="O3700">
        <v>-0.96618700000000002</v>
      </c>
      <c r="P3700">
        <v>-0.28629290000000002</v>
      </c>
      <c r="Q3700">
        <v>3.5086010000000001E-2</v>
      </c>
      <c r="R3700">
        <v>-0.95750020000000002</v>
      </c>
      <c r="S3700">
        <v>-0.9124603</v>
      </c>
      <c r="T3700">
        <v>-0.2214642</v>
      </c>
      <c r="U3700">
        <v>-2.8683930000000002</v>
      </c>
      <c r="V3700">
        <v>3.026498E-2</v>
      </c>
      <c r="W3700">
        <v>4.8658050000000001E-2</v>
      </c>
      <c r="X3700">
        <v>0.99835689999999999</v>
      </c>
      <c r="Y3700">
        <v>4.6731969999999998E-2</v>
      </c>
      <c r="Z3700">
        <v>7.1351380000000006E-2</v>
      </c>
      <c r="AA3700">
        <v>0.99635589999999996</v>
      </c>
      <c r="AB3700">
        <v>29</v>
      </c>
      <c r="AC3700">
        <v>-0.18630000000001601</v>
      </c>
      <c r="AD3700">
        <v>-6.4428999999999806E-2</v>
      </c>
      <c r="AE3700">
        <v>-0.54359999999999697</v>
      </c>
      <c r="AF3700">
        <v>3.9541827734687E-2</v>
      </c>
      <c r="AG3700">
        <v>-6.4428999999999806E-2</v>
      </c>
      <c r="AH3700">
        <v>0.56612443001773705</v>
      </c>
      <c r="AI3700">
        <v>96.477087751626001</v>
      </c>
      <c r="AJ3700">
        <v>86.004577384038896</v>
      </c>
      <c r="AK3700">
        <v>0.57114929960957395</v>
      </c>
      <c r="AL3700">
        <v>87.210997917665395</v>
      </c>
      <c r="AM3700">
        <v>88.263622235183604</v>
      </c>
      <c r="AN3700">
        <v>1.0000000373108999</v>
      </c>
    </row>
    <row r="3701" spans="1:40" x14ac:dyDescent="0.25">
      <c r="A3701" t="str">
        <f>"20190312151100994"</f>
        <v>20190312151100994</v>
      </c>
      <c r="B3701" t="str">
        <f>"1552374660984382"</f>
        <v>1552374660984382</v>
      </c>
      <c r="C3701" t="s">
        <v>40</v>
      </c>
      <c r="D3701">
        <v>5.3884869999999996</v>
      </c>
      <c r="E3701">
        <v>0.50361999999999996</v>
      </c>
      <c r="F3701" t="s">
        <v>41</v>
      </c>
      <c r="G3701">
        <v>-189.6095</v>
      </c>
      <c r="H3701">
        <v>1.046041</v>
      </c>
      <c r="I3701">
        <v>181.64320000000001</v>
      </c>
      <c r="J3701">
        <v>-189.4384</v>
      </c>
      <c r="K3701">
        <v>1.1088370000000001</v>
      </c>
      <c r="L3701">
        <v>182.14400000000001</v>
      </c>
      <c r="M3701">
        <v>-0.25896730000000001</v>
      </c>
      <c r="N3701">
        <v>0</v>
      </c>
      <c r="O3701">
        <v>-0.96578920000000001</v>
      </c>
      <c r="P3701">
        <v>-0.28726980000000002</v>
      </c>
      <c r="Q3701">
        <v>3.5210520000000002E-2</v>
      </c>
      <c r="R3701">
        <v>-0.95720240000000001</v>
      </c>
      <c r="S3701">
        <v>-0.9067383</v>
      </c>
      <c r="T3701">
        <v>-0.2245134</v>
      </c>
      <c r="U3701">
        <v>-2.8702700000000001</v>
      </c>
      <c r="V3701">
        <v>2.972E-2</v>
      </c>
      <c r="W3701">
        <v>4.8780459999999998E-2</v>
      </c>
      <c r="X3701">
        <v>0.99836720000000001</v>
      </c>
      <c r="Y3701">
        <v>4.317841E-2</v>
      </c>
      <c r="Z3701">
        <v>7.2265889999999999E-2</v>
      </c>
      <c r="AA3701">
        <v>0.99645030000000001</v>
      </c>
      <c r="AB3701">
        <v>29</v>
      </c>
      <c r="AC3701">
        <v>-0.17109999999999501</v>
      </c>
      <c r="AD3701">
        <v>-6.2796000000000005E-2</v>
      </c>
      <c r="AE3701">
        <v>-0.50079999999999802</v>
      </c>
      <c r="AF3701">
        <v>3.5065332465953697E-2</v>
      </c>
      <c r="AG3701">
        <v>-6.2796000000000005E-2</v>
      </c>
      <c r="AH3701">
        <v>0.52069481043508903</v>
      </c>
      <c r="AI3701">
        <v>96.861290627888707</v>
      </c>
      <c r="AJ3701">
        <v>86.147327402963199</v>
      </c>
      <c r="AK3701">
        <v>0.52563865989002501</v>
      </c>
      <c r="AL3701">
        <v>87.203975727615301</v>
      </c>
      <c r="AM3701">
        <v>88.294888057888002</v>
      </c>
      <c r="AN3701">
        <v>0.99999993885682303</v>
      </c>
    </row>
    <row r="3702" spans="1:40" x14ac:dyDescent="0.25">
      <c r="A3702" t="str">
        <f>"20190312151101015"</f>
        <v>20190312151101015</v>
      </c>
      <c r="B3702" t="str">
        <f>"1552374661004878"</f>
        <v>1552374661004878</v>
      </c>
      <c r="C3702" t="s">
        <v>40</v>
      </c>
      <c r="D3702">
        <v>5.4123830000000002</v>
      </c>
      <c r="E3702">
        <v>0.5028688</v>
      </c>
      <c r="F3702" t="s">
        <v>41</v>
      </c>
      <c r="G3702">
        <v>-189.67660000000001</v>
      </c>
      <c r="H3702">
        <v>1.0485310000000001</v>
      </c>
      <c r="I3702">
        <v>181.38669999999999</v>
      </c>
      <c r="J3702">
        <v>-189.51490000000001</v>
      </c>
      <c r="K3702">
        <v>1.1090580000000001</v>
      </c>
      <c r="L3702">
        <v>181.86410000000001</v>
      </c>
      <c r="M3702">
        <v>-0.26011060000000003</v>
      </c>
      <c r="N3702">
        <v>0</v>
      </c>
      <c r="O3702">
        <v>-0.96548219999999996</v>
      </c>
      <c r="P3702">
        <v>-0.28838809999999998</v>
      </c>
      <c r="Q3702">
        <v>3.5519370000000001E-2</v>
      </c>
      <c r="R3702">
        <v>-0.95685480000000001</v>
      </c>
      <c r="S3702">
        <v>-0.90296940000000003</v>
      </c>
      <c r="T3702">
        <v>-0.2287421</v>
      </c>
      <c r="U3702">
        <v>-2.8715820000000001</v>
      </c>
      <c r="V3702">
        <v>2.9682779999999999E-2</v>
      </c>
      <c r="W3702">
        <v>4.9087640000000002E-2</v>
      </c>
      <c r="X3702">
        <v>0.9983533</v>
      </c>
      <c r="Y3702">
        <v>4.064508E-2</v>
      </c>
      <c r="Z3702">
        <v>7.3570269999999993E-2</v>
      </c>
      <c r="AA3702">
        <v>0.9964615</v>
      </c>
      <c r="AB3702">
        <v>29</v>
      </c>
      <c r="AC3702">
        <v>-0.16169999999999601</v>
      </c>
      <c r="AD3702">
        <v>-6.0527000000000199E-2</v>
      </c>
      <c r="AE3702">
        <v>-0.47740000000001698</v>
      </c>
      <c r="AF3702">
        <v>3.14905572010378E-2</v>
      </c>
      <c r="AG3702">
        <v>-6.0527000000000199E-2</v>
      </c>
      <c r="AH3702">
        <v>0.49587745488993301</v>
      </c>
      <c r="AI3702">
        <v>96.945267779764393</v>
      </c>
      <c r="AJ3702">
        <v>86.366327206813295</v>
      </c>
      <c r="AK3702">
        <v>0.50054932143590902</v>
      </c>
      <c r="AL3702">
        <v>87.186354636500198</v>
      </c>
      <c r="AM3702">
        <v>88.2969985091989</v>
      </c>
      <c r="AN3702">
        <v>0.99999998772509402</v>
      </c>
    </row>
    <row r="3703" spans="1:40" x14ac:dyDescent="0.25">
      <c r="A3703" t="str">
        <f>"20190312151101037"</f>
        <v>20190312151101037</v>
      </c>
      <c r="B3703" t="str">
        <f>"1552374661035135"</f>
        <v>1552374661035135</v>
      </c>
      <c r="C3703" t="s">
        <v>40</v>
      </c>
      <c r="D3703">
        <v>5.5569850000000001</v>
      </c>
      <c r="E3703">
        <v>0.50186609999999998</v>
      </c>
      <c r="F3703" t="s">
        <v>41</v>
      </c>
      <c r="G3703">
        <v>-189.74639999999999</v>
      </c>
      <c r="H3703">
        <v>1.049067</v>
      </c>
      <c r="I3703">
        <v>181.12700000000001</v>
      </c>
      <c r="J3703">
        <v>-189.58860000000001</v>
      </c>
      <c r="K3703">
        <v>1.1092580000000001</v>
      </c>
      <c r="L3703">
        <v>181.59520000000001</v>
      </c>
      <c r="M3703">
        <v>-0.26098680000000002</v>
      </c>
      <c r="N3703">
        <v>0</v>
      </c>
      <c r="O3703">
        <v>-0.9652461</v>
      </c>
      <c r="P3703">
        <v>-0.28858329999999999</v>
      </c>
      <c r="Q3703">
        <v>3.5544699999999901E-2</v>
      </c>
      <c r="R3703">
        <v>-0.95679499999999995</v>
      </c>
      <c r="S3703">
        <v>-0.90129090000000001</v>
      </c>
      <c r="T3703">
        <v>-0.23381360000000001</v>
      </c>
      <c r="U3703">
        <v>-2.8722989999999999</v>
      </c>
      <c r="V3703">
        <v>2.8956300000000001E-2</v>
      </c>
      <c r="W3703">
        <v>4.9113839999999999E-2</v>
      </c>
      <c r="X3703">
        <v>0.99837330000000002</v>
      </c>
      <c r="Y3703">
        <v>3.9100240000000001E-2</v>
      </c>
      <c r="Z3703">
        <v>7.5155079999999999E-2</v>
      </c>
      <c r="AA3703">
        <v>0.99640499999999999</v>
      </c>
      <c r="AB3703">
        <v>29</v>
      </c>
      <c r="AC3703">
        <v>-0.15779999999998001</v>
      </c>
      <c r="AD3703">
        <v>-6.0191000000000099E-2</v>
      </c>
      <c r="AE3703">
        <v>-0.46819999999999601</v>
      </c>
      <c r="AF3703">
        <v>2.9684062375682999E-2</v>
      </c>
      <c r="AG3703">
        <v>-6.0191000000000099E-2</v>
      </c>
      <c r="AH3703">
        <v>0.48594567439239</v>
      </c>
      <c r="AI3703">
        <v>97.047895924579095</v>
      </c>
      <c r="AJ3703">
        <v>86.504422429995998</v>
      </c>
      <c r="AK3703">
        <v>0.49055814996878599</v>
      </c>
      <c r="AL3703">
        <v>87.184851543633698</v>
      </c>
      <c r="AM3703">
        <v>88.338688735304103</v>
      </c>
      <c r="AN3703">
        <v>0.99999994137106096</v>
      </c>
    </row>
    <row r="3704" spans="1:40" x14ac:dyDescent="0.25">
      <c r="A3704" t="str">
        <f>"20190312151101059"</f>
        <v>20190312151101059</v>
      </c>
      <c r="B3704" t="str">
        <f>"1552374661054184"</f>
        <v>1552374661054184</v>
      </c>
      <c r="C3704" t="s">
        <v>40</v>
      </c>
      <c r="D3704">
        <v>5.3972470000000001</v>
      </c>
      <c r="E3704">
        <v>0.50141559999999996</v>
      </c>
      <c r="F3704" t="s">
        <v>41</v>
      </c>
      <c r="G3704">
        <v>-189.81440000000001</v>
      </c>
      <c r="H3704">
        <v>1.048781</v>
      </c>
      <c r="I3704">
        <v>180.8698</v>
      </c>
      <c r="J3704">
        <v>-189.66290000000001</v>
      </c>
      <c r="K3704">
        <v>1.1094489999999999</v>
      </c>
      <c r="L3704">
        <v>181.3237</v>
      </c>
      <c r="M3704">
        <v>-0.26166080000000003</v>
      </c>
      <c r="N3704">
        <v>0</v>
      </c>
      <c r="O3704">
        <v>-0.96506349999999996</v>
      </c>
      <c r="P3704">
        <v>-0.28872700000000001</v>
      </c>
      <c r="Q3704">
        <v>3.5825830000000003E-2</v>
      </c>
      <c r="R3704">
        <v>-0.9567407</v>
      </c>
      <c r="S3704">
        <v>-0.89448549999999905</v>
      </c>
      <c r="T3704">
        <v>-0.2397242</v>
      </c>
      <c r="U3704">
        <v>-2.874619</v>
      </c>
      <c r="V3704">
        <v>2.8389919999999999E-2</v>
      </c>
      <c r="W3704">
        <v>4.939578E-2</v>
      </c>
      <c r="X3704">
        <v>0.99837569999999998</v>
      </c>
      <c r="Y3704">
        <v>3.5979940000000002E-2</v>
      </c>
      <c r="Z3704">
        <v>7.6992930000000001E-2</v>
      </c>
      <c r="AA3704">
        <v>0.9963822</v>
      </c>
      <c r="AB3704">
        <v>29</v>
      </c>
      <c r="AC3704">
        <v>-0.151499999999998</v>
      </c>
      <c r="AD3704">
        <v>-6.0667999999999903E-2</v>
      </c>
      <c r="AE3704">
        <v>-0.45390000000000402</v>
      </c>
      <c r="AF3704">
        <v>2.7007711640341402E-2</v>
      </c>
      <c r="AG3704">
        <v>-6.0667999999999903E-2</v>
      </c>
      <c r="AH3704">
        <v>0.47017080874612499</v>
      </c>
      <c r="AI3704">
        <v>97.340506937487206</v>
      </c>
      <c r="AJ3704">
        <v>86.712409090052304</v>
      </c>
      <c r="AK3704">
        <v>0.47483745862035098</v>
      </c>
      <c r="AL3704">
        <v>87.168678061962893</v>
      </c>
      <c r="AM3704">
        <v>88.371169917661305</v>
      </c>
      <c r="AN3704">
        <v>0.99999998449495198</v>
      </c>
    </row>
    <row r="3705" spans="1:40" x14ac:dyDescent="0.25">
      <c r="A3705" t="str">
        <f>"20190312151101081"</f>
        <v>20190312151101081</v>
      </c>
      <c r="B3705" t="str">
        <f>"1552374661074680"</f>
        <v>1552374661074680</v>
      </c>
      <c r="C3705" t="s">
        <v>40</v>
      </c>
      <c r="D3705">
        <v>5.5545039999999997</v>
      </c>
      <c r="E3705">
        <v>0.50080219999999998</v>
      </c>
      <c r="F3705" t="s">
        <v>41</v>
      </c>
      <c r="G3705">
        <v>-189.953</v>
      </c>
      <c r="H3705">
        <v>1.031218</v>
      </c>
      <c r="I3705">
        <v>180.38890000000001</v>
      </c>
      <c r="J3705">
        <v>-189.7424</v>
      </c>
      <c r="K3705">
        <v>1.1096140000000001</v>
      </c>
      <c r="L3705">
        <v>181.0334</v>
      </c>
      <c r="M3705">
        <v>-0.26218029999999998</v>
      </c>
      <c r="N3705">
        <v>0</v>
      </c>
      <c r="O3705">
        <v>-0.96492299999999998</v>
      </c>
      <c r="P3705">
        <v>-0.28850799999999999</v>
      </c>
      <c r="Q3705">
        <v>3.6044920000000001E-2</v>
      </c>
      <c r="R3705">
        <v>-0.95679890000000001</v>
      </c>
      <c r="S3705">
        <v>-0.89151000000000002</v>
      </c>
      <c r="T3705">
        <v>-0.2407677</v>
      </c>
      <c r="U3705">
        <v>-2.875626</v>
      </c>
      <c r="V3705">
        <v>2.760576E-2</v>
      </c>
      <c r="W3705">
        <v>4.961438E-2</v>
      </c>
      <c r="X3705">
        <v>0.99838689999999997</v>
      </c>
      <c r="Y3705">
        <v>3.4395389999999998E-2</v>
      </c>
      <c r="Z3705">
        <v>7.7296980000000001E-2</v>
      </c>
      <c r="AA3705">
        <v>0.99641469999999999</v>
      </c>
      <c r="AB3705">
        <v>29</v>
      </c>
      <c r="AC3705">
        <v>-0.21059999999999901</v>
      </c>
      <c r="AD3705">
        <v>-7.8395999999999896E-2</v>
      </c>
      <c r="AE3705">
        <v>-0.64449999999999297</v>
      </c>
      <c r="AF3705">
        <v>3.3789040878205799E-2</v>
      </c>
      <c r="AG3705">
        <v>-7.8395999999999896E-2</v>
      </c>
      <c r="AH3705">
        <v>0.66823739002425897</v>
      </c>
      <c r="AI3705">
        <v>96.682756334049301</v>
      </c>
      <c r="AJ3705">
        <v>87.105337034065698</v>
      </c>
      <c r="AK3705">
        <v>0.67366819839287495</v>
      </c>
      <c r="AL3705">
        <v>87.156137967572406</v>
      </c>
      <c r="AM3705">
        <v>88.416154466388804</v>
      </c>
      <c r="AN3705">
        <v>1.0000000333897801</v>
      </c>
    </row>
    <row r="3706" spans="1:40" x14ac:dyDescent="0.25">
      <c r="A3706" t="str">
        <f>"20190312151101103"</f>
        <v>20190312151101103</v>
      </c>
      <c r="B3706" t="str">
        <f>"1552374661095176"</f>
        <v>1552374661095176</v>
      </c>
      <c r="C3706" t="s">
        <v>40</v>
      </c>
      <c r="D3706">
        <v>5.5514449999999904</v>
      </c>
      <c r="E3706">
        <v>0.50033879999999997</v>
      </c>
      <c r="F3706" t="s">
        <v>41</v>
      </c>
      <c r="G3706">
        <v>-190.01920000000001</v>
      </c>
      <c r="H3706">
        <v>1.033784</v>
      </c>
      <c r="I3706">
        <v>180.13480000000001</v>
      </c>
      <c r="J3706">
        <v>-189.82079999999999</v>
      </c>
      <c r="K3706">
        <v>1.1097509999999999</v>
      </c>
      <c r="L3706">
        <v>180.7475</v>
      </c>
      <c r="M3706">
        <v>-0.26255600000000001</v>
      </c>
      <c r="N3706">
        <v>0</v>
      </c>
      <c r="O3706">
        <v>-0.96482100000000004</v>
      </c>
      <c r="P3706">
        <v>-0.28842030000000002</v>
      </c>
      <c r="Q3706">
        <v>3.594754E-2</v>
      </c>
      <c r="R3706">
        <v>-0.95682940000000005</v>
      </c>
      <c r="S3706">
        <v>-0.88600159999999994</v>
      </c>
      <c r="T3706">
        <v>-0.24284629999999999</v>
      </c>
      <c r="U3706">
        <v>-2.8774570000000002</v>
      </c>
      <c r="V3706">
        <v>2.7108730000000001E-2</v>
      </c>
      <c r="W3706">
        <v>4.9514370000000002E-2</v>
      </c>
      <c r="X3706">
        <v>0.99840549999999995</v>
      </c>
      <c r="Y3706">
        <v>3.207045E-2</v>
      </c>
      <c r="Z3706">
        <v>7.7924679999999996E-2</v>
      </c>
      <c r="AA3706">
        <v>0.99644330000000003</v>
      </c>
      <c r="AB3706">
        <v>29</v>
      </c>
      <c r="AC3706">
        <v>-0.19840000000002</v>
      </c>
      <c r="AD3706">
        <v>-7.5966999999999896E-2</v>
      </c>
      <c r="AE3706">
        <v>-0.61269999999998903</v>
      </c>
      <c r="AF3706">
        <v>3.0135939779814099E-2</v>
      </c>
      <c r="AG3706">
        <v>-7.5966999999999896E-2</v>
      </c>
      <c r="AH3706">
        <v>0.63446844149652104</v>
      </c>
      <c r="AI3706">
        <v>96.820092682075696</v>
      </c>
      <c r="AJ3706">
        <v>87.280612679532496</v>
      </c>
      <c r="AK3706">
        <v>0.63971037447460399</v>
      </c>
      <c r="AL3706">
        <v>87.161875214771896</v>
      </c>
      <c r="AM3706">
        <v>88.444685759410206</v>
      </c>
      <c r="AN3706">
        <v>1.0000000492544701</v>
      </c>
    </row>
    <row r="3707" spans="1:40" x14ac:dyDescent="0.25">
      <c r="A3707" t="str">
        <f>"20190312151101126"</f>
        <v>20190312151101126</v>
      </c>
      <c r="B3707" t="str">
        <f>"1552374661114708"</f>
        <v>1552374661114708</v>
      </c>
      <c r="C3707" t="s">
        <v>40</v>
      </c>
      <c r="D3707">
        <v>5.441802</v>
      </c>
      <c r="E3707">
        <v>0.49998749999999997</v>
      </c>
      <c r="F3707" t="s">
        <v>41</v>
      </c>
      <c r="G3707">
        <v>-190.08629999999999</v>
      </c>
      <c r="H3707">
        <v>1.0357240000000001</v>
      </c>
      <c r="I3707">
        <v>179.88159999999999</v>
      </c>
      <c r="J3707">
        <v>-189.8972</v>
      </c>
      <c r="K3707">
        <v>1.109842</v>
      </c>
      <c r="L3707">
        <v>180.4683</v>
      </c>
      <c r="M3707">
        <v>-0.262822</v>
      </c>
      <c r="N3707">
        <v>0</v>
      </c>
      <c r="O3707">
        <v>-0.96474870000000001</v>
      </c>
      <c r="P3707">
        <v>-0.28906169999999998</v>
      </c>
      <c r="Q3707">
        <v>3.5832559999999999E-2</v>
      </c>
      <c r="R3707">
        <v>-0.95663989999999999</v>
      </c>
      <c r="S3707">
        <v>-0.88203430000000005</v>
      </c>
      <c r="T3707">
        <v>-0.24620259999999999</v>
      </c>
      <c r="U3707">
        <v>-2.8787229999999999</v>
      </c>
      <c r="V3707">
        <v>2.749043E-2</v>
      </c>
      <c r="W3707">
        <v>4.9395300000000003E-2</v>
      </c>
      <c r="X3707">
        <v>0.99840090000000004</v>
      </c>
      <c r="Y3707">
        <v>3.0391669999999999E-2</v>
      </c>
      <c r="Z3707">
        <v>7.8970059999999995E-2</v>
      </c>
      <c r="AA3707">
        <v>0.99641360000000001</v>
      </c>
      <c r="AB3707">
        <v>29</v>
      </c>
      <c r="AC3707">
        <v>-0.18909999999999599</v>
      </c>
      <c r="AD3707">
        <v>-7.4117999999999906E-2</v>
      </c>
      <c r="AE3707">
        <v>-0.58670000000000699</v>
      </c>
      <c r="AF3707">
        <v>2.7836473234662901E-2</v>
      </c>
      <c r="AG3707">
        <v>-7.4117999999999906E-2</v>
      </c>
      <c r="AH3707">
        <v>0.60699887028746302</v>
      </c>
      <c r="AI3707">
        <v>96.954439348577694</v>
      </c>
      <c r="AJ3707">
        <v>87.3743019113776</v>
      </c>
      <c r="AK3707">
        <v>0.61214048689528799</v>
      </c>
      <c r="AL3707">
        <v>87.168705608225295</v>
      </c>
      <c r="AM3707">
        <v>88.422790135288693</v>
      </c>
      <c r="AN3707">
        <v>0.99999998826224201</v>
      </c>
    </row>
    <row r="3708" spans="1:40" x14ac:dyDescent="0.25">
      <c r="A3708" t="str">
        <f>"20190312151101147"</f>
        <v>20190312151101147</v>
      </c>
      <c r="B3708" t="str">
        <f>"1552374661144952"</f>
        <v>1552374661144952</v>
      </c>
      <c r="C3708" t="s">
        <v>40</v>
      </c>
      <c r="D3708">
        <v>5.3293010000000001</v>
      </c>
      <c r="E3708">
        <v>0.49964969999999997</v>
      </c>
      <c r="F3708" t="s">
        <v>41</v>
      </c>
      <c r="G3708">
        <v>-190.15430000000001</v>
      </c>
      <c r="H3708">
        <v>1.037391</v>
      </c>
      <c r="I3708">
        <v>179.62899999999999</v>
      </c>
      <c r="J3708">
        <v>-189.971</v>
      </c>
      <c r="K3708">
        <v>1.10992</v>
      </c>
      <c r="L3708">
        <v>180.19900000000001</v>
      </c>
      <c r="M3708">
        <v>-0.26300770000000001</v>
      </c>
      <c r="N3708">
        <v>0</v>
      </c>
      <c r="O3708">
        <v>-0.96469800000000006</v>
      </c>
      <c r="P3708">
        <v>-0.29020309999999999</v>
      </c>
      <c r="Q3708">
        <v>3.4573949999999999E-2</v>
      </c>
      <c r="R3708">
        <v>-0.95634070000000004</v>
      </c>
      <c r="S3708">
        <v>-0.88142399999999999</v>
      </c>
      <c r="T3708">
        <v>-0.2485772</v>
      </c>
      <c r="U3708">
        <v>-2.8789370000000001</v>
      </c>
      <c r="V3708">
        <v>2.8468440000000001E-2</v>
      </c>
      <c r="W3708">
        <v>4.8132229999999998E-2</v>
      </c>
      <c r="X3708">
        <v>0.99843519999999997</v>
      </c>
      <c r="Y3708">
        <v>2.9967279999999999E-2</v>
      </c>
      <c r="Z3708">
        <v>7.9717590000000005E-2</v>
      </c>
      <c r="AA3708">
        <v>0.99636690000000006</v>
      </c>
      <c r="AB3708">
        <v>29</v>
      </c>
      <c r="AC3708">
        <v>-0.18330000000003099</v>
      </c>
      <c r="AD3708">
        <v>-7.2528999999999996E-2</v>
      </c>
      <c r="AE3708">
        <v>-0.56999999999999296</v>
      </c>
      <c r="AF3708">
        <v>2.65279805923147E-2</v>
      </c>
      <c r="AG3708">
        <v>-7.2528999999999996E-2</v>
      </c>
      <c r="AH3708">
        <v>0.58949246349646101</v>
      </c>
      <c r="AI3708">
        <v>97.007190631012804</v>
      </c>
      <c r="AJ3708">
        <v>87.423348656526798</v>
      </c>
      <c r="AK3708">
        <v>0.59452969153309199</v>
      </c>
      <c r="AL3708">
        <v>87.241160440026505</v>
      </c>
      <c r="AM3708">
        <v>88.366764667423098</v>
      </c>
      <c r="AN3708">
        <v>1.0000000061199199</v>
      </c>
    </row>
    <row r="3709" spans="1:40" x14ac:dyDescent="0.25">
      <c r="A3709" t="str">
        <f>"20190312151101172"</f>
        <v>20190312151101172</v>
      </c>
      <c r="B3709" t="str">
        <f>"1552374661164472"</f>
        <v>1552374661164472</v>
      </c>
      <c r="C3709" t="s">
        <v>40</v>
      </c>
      <c r="D3709">
        <v>5.2743549999999999</v>
      </c>
      <c r="E3709">
        <v>0.49938090000000002</v>
      </c>
      <c r="F3709" t="s">
        <v>41</v>
      </c>
      <c r="G3709">
        <v>-190.22290000000001</v>
      </c>
      <c r="H3709">
        <v>1.0376570000000001</v>
      </c>
      <c r="I3709">
        <v>179.3776</v>
      </c>
      <c r="J3709">
        <v>-190.05539999999999</v>
      </c>
      <c r="K3709">
        <v>1.1099909999999999</v>
      </c>
      <c r="L3709">
        <v>179.89070000000001</v>
      </c>
      <c r="M3709">
        <v>-0.26316309999999998</v>
      </c>
      <c r="N3709">
        <v>0</v>
      </c>
      <c r="O3709">
        <v>-0.96465599999999996</v>
      </c>
      <c r="P3709">
        <v>-0.29057959999999999</v>
      </c>
      <c r="Q3709">
        <v>3.400632E-2</v>
      </c>
      <c r="R3709">
        <v>-0.95624670000000001</v>
      </c>
      <c r="S3709">
        <v>-0.881698599999999</v>
      </c>
      <c r="T3709">
        <v>-0.253382</v>
      </c>
      <c r="U3709">
        <v>-2.8785859999999999</v>
      </c>
      <c r="V3709">
        <v>2.8686840000000002E-2</v>
      </c>
      <c r="W3709">
        <v>4.7560690000000003E-2</v>
      </c>
      <c r="X3709">
        <v>0.99845640000000002</v>
      </c>
      <c r="Y3709">
        <v>2.9889590000000001E-2</v>
      </c>
      <c r="Z3709">
        <v>8.1250729999999993E-2</v>
      </c>
      <c r="AA3709">
        <v>0.99624539999999995</v>
      </c>
      <c r="AB3709">
        <v>29</v>
      </c>
      <c r="AC3709">
        <v>-0.167500000000018</v>
      </c>
      <c r="AD3709">
        <v>-7.2333999999999898E-2</v>
      </c>
      <c r="AE3709">
        <v>-0.51310000000000799</v>
      </c>
      <c r="AF3709">
        <v>2.60848558460305E-2</v>
      </c>
      <c r="AG3709">
        <v>-7.2333999999999898E-2</v>
      </c>
      <c r="AH3709">
        <v>0.52958316811406403</v>
      </c>
      <c r="AI3709">
        <v>97.768408537955295</v>
      </c>
      <c r="AJ3709">
        <v>87.180149688361894</v>
      </c>
      <c r="AK3709">
        <v>0.53513639309080596</v>
      </c>
      <c r="AL3709">
        <v>87.2739449877743</v>
      </c>
      <c r="AM3709">
        <v>88.354276841548298</v>
      </c>
      <c r="AN3709">
        <v>1.0000000683617001</v>
      </c>
    </row>
    <row r="3710" spans="1:40" x14ac:dyDescent="0.25">
      <c r="A3710" t="str">
        <f>"20190312151101194"</f>
        <v>20190312151101194</v>
      </c>
      <c r="B3710" t="str">
        <f>"1552374661184968"</f>
        <v>1552374661184968</v>
      </c>
      <c r="C3710" t="s">
        <v>40</v>
      </c>
      <c r="D3710">
        <v>5.5153299999999996</v>
      </c>
      <c r="E3710">
        <v>0.49935689999999999</v>
      </c>
      <c r="F3710" t="s">
        <v>41</v>
      </c>
      <c r="G3710">
        <v>-190.29040000000001</v>
      </c>
      <c r="H3710">
        <v>1.041968</v>
      </c>
      <c r="I3710">
        <v>179.1225</v>
      </c>
      <c r="J3710">
        <v>-190.13030000000001</v>
      </c>
      <c r="K3710">
        <v>1.1100449999999999</v>
      </c>
      <c r="L3710">
        <v>179.61689999999999</v>
      </c>
      <c r="M3710">
        <v>-0.26326690000000003</v>
      </c>
      <c r="N3710">
        <v>0</v>
      </c>
      <c r="O3710">
        <v>-0.96462760000000003</v>
      </c>
      <c r="P3710">
        <v>-0.29065159999999901</v>
      </c>
      <c r="Q3710">
        <v>3.349796E-2</v>
      </c>
      <c r="R3710">
        <v>-0.9562425</v>
      </c>
      <c r="S3710">
        <v>-0.88066100000000003</v>
      </c>
      <c r="T3710">
        <v>-0.25493280000000001</v>
      </c>
      <c r="U3710">
        <v>-2.8787229999999999</v>
      </c>
      <c r="V3710">
        <v>2.8643439999999999E-2</v>
      </c>
      <c r="W3710">
        <v>4.7049140000000003E-2</v>
      </c>
      <c r="X3710">
        <v>0.99848179999999997</v>
      </c>
      <c r="Y3710">
        <v>2.942823E-2</v>
      </c>
      <c r="Z3710">
        <v>8.1741880000000003E-2</v>
      </c>
      <c r="AA3710">
        <v>0.99621899999999997</v>
      </c>
      <c r="AB3710">
        <v>29</v>
      </c>
      <c r="AC3710">
        <v>-0.16009999999999899</v>
      </c>
      <c r="AD3710">
        <v>-6.8077000000000096E-2</v>
      </c>
      <c r="AE3710">
        <v>-0.49439999999998402</v>
      </c>
      <c r="AF3710">
        <v>2.3870327216979001E-2</v>
      </c>
      <c r="AG3710">
        <v>-6.8077000000000096E-2</v>
      </c>
      <c r="AH3710">
        <v>0.51035073220933302</v>
      </c>
      <c r="AI3710">
        <v>97.589778036917195</v>
      </c>
      <c r="AJ3710">
        <v>87.322090680721104</v>
      </c>
      <c r="AK3710">
        <v>0.51542423334283405</v>
      </c>
      <c r="AL3710">
        <v>87.303287270449104</v>
      </c>
      <c r="AM3710">
        <v>88.356807050347399</v>
      </c>
      <c r="AN3710">
        <v>0.99999998658050604</v>
      </c>
    </row>
    <row r="3711" spans="1:40" x14ac:dyDescent="0.25">
      <c r="A3711" t="str">
        <f>"20190312151101216"</f>
        <v>20190312151101216</v>
      </c>
      <c r="B3711" t="str">
        <f>"1552374661204488"</f>
        <v>1552374661204488</v>
      </c>
      <c r="C3711" t="s">
        <v>40</v>
      </c>
      <c r="D3711">
        <v>5.3807640000000001</v>
      </c>
      <c r="E3711">
        <v>0.49914589999999998</v>
      </c>
      <c r="F3711" t="s">
        <v>41</v>
      </c>
      <c r="G3711">
        <v>-190.3586</v>
      </c>
      <c r="H3711">
        <v>1.042</v>
      </c>
      <c r="I3711">
        <v>178.8715</v>
      </c>
      <c r="J3711">
        <v>-190.20490000000001</v>
      </c>
      <c r="K3711">
        <v>1.1100909999999999</v>
      </c>
      <c r="L3711">
        <v>179.3441</v>
      </c>
      <c r="M3711">
        <v>-0.26333980000000001</v>
      </c>
      <c r="N3711">
        <v>0</v>
      </c>
      <c r="O3711">
        <v>-0.96460760000000001</v>
      </c>
      <c r="P3711">
        <v>-0.29083490000000001</v>
      </c>
      <c r="Q3711">
        <v>3.3322570000000003E-2</v>
      </c>
      <c r="R3711">
        <v>-0.95619279999999995</v>
      </c>
      <c r="S3711">
        <v>-0.88081359999999997</v>
      </c>
      <c r="T3711">
        <v>-0.26288260000000002</v>
      </c>
      <c r="U3711">
        <v>-2.8787690000000001</v>
      </c>
      <c r="V3711">
        <v>2.8752349999999999E-2</v>
      </c>
      <c r="W3711">
        <v>4.6870519999999999E-2</v>
      </c>
      <c r="X3711">
        <v>0.99848709999999996</v>
      </c>
      <c r="Y3711">
        <v>2.93327E-2</v>
      </c>
      <c r="Z3711">
        <v>8.4267419999999996E-2</v>
      </c>
      <c r="AA3711">
        <v>0.99601130000000004</v>
      </c>
      <c r="AB3711">
        <v>29</v>
      </c>
      <c r="AC3711">
        <v>-0.15369999999998599</v>
      </c>
      <c r="AD3711">
        <v>-6.8090999999999902E-2</v>
      </c>
      <c r="AE3711">
        <v>-0.47259999999999902</v>
      </c>
      <c r="AF3711">
        <v>2.3369287686565501E-2</v>
      </c>
      <c r="AG3711">
        <v>-6.8090999999999902E-2</v>
      </c>
      <c r="AH3711">
        <v>0.487247662728654</v>
      </c>
      <c r="AI3711">
        <v>97.946329204609896</v>
      </c>
      <c r="AJ3711">
        <v>87.254093997313603</v>
      </c>
      <c r="AK3711">
        <v>0.49253709781346799</v>
      </c>
      <c r="AL3711">
        <v>87.313532825047702</v>
      </c>
      <c r="AM3711">
        <v>88.3505713876919</v>
      </c>
      <c r="AN3711">
        <v>1.0000000160710001</v>
      </c>
    </row>
    <row r="3712" spans="1:40" x14ac:dyDescent="0.25">
      <c r="A3712" t="str">
        <f>"20190312151101238"</f>
        <v>20190312151101238</v>
      </c>
      <c r="B3712" t="str">
        <f>"1552374661234744"</f>
        <v>1552374661234744</v>
      </c>
      <c r="C3712" t="s">
        <v>40</v>
      </c>
      <c r="D3712">
        <v>5.3549449999999998</v>
      </c>
      <c r="E3712">
        <v>0.49918600000000002</v>
      </c>
      <c r="F3712" t="s">
        <v>41</v>
      </c>
      <c r="G3712">
        <v>-190.4265</v>
      </c>
      <c r="H3712">
        <v>1.0436099999999999</v>
      </c>
      <c r="I3712">
        <v>178.6191</v>
      </c>
      <c r="J3712">
        <v>-190.28030000000001</v>
      </c>
      <c r="K3712">
        <v>1.110128</v>
      </c>
      <c r="L3712">
        <v>179.0686</v>
      </c>
      <c r="M3712">
        <v>-0.26338149999999999</v>
      </c>
      <c r="N3712">
        <v>0</v>
      </c>
      <c r="O3712">
        <v>-0.96459669999999997</v>
      </c>
      <c r="P3712">
        <v>-0.29136509999999999</v>
      </c>
      <c r="Q3712">
        <v>3.2937649999999999E-2</v>
      </c>
      <c r="R3712">
        <v>-0.95604520000000004</v>
      </c>
      <c r="S3712">
        <v>-0.87953189999999903</v>
      </c>
      <c r="T3712">
        <v>-0.26406439999999998</v>
      </c>
      <c r="U3712">
        <v>-2.879105</v>
      </c>
      <c r="V3712">
        <v>2.9255130000000001E-2</v>
      </c>
      <c r="W3712">
        <v>4.6482809999999999E-2</v>
      </c>
      <c r="X3712">
        <v>0.99849060000000001</v>
      </c>
      <c r="Y3712">
        <v>2.8842090000000001E-2</v>
      </c>
      <c r="Z3712">
        <v>8.4638399999999905E-2</v>
      </c>
      <c r="AA3712">
        <v>0.99599420000000005</v>
      </c>
      <c r="AB3712">
        <v>29</v>
      </c>
      <c r="AC3712">
        <v>-0.146199999999993</v>
      </c>
      <c r="AD3712">
        <v>-6.6517999999999994E-2</v>
      </c>
      <c r="AE3712">
        <v>-0.44950000000000001</v>
      </c>
      <c r="AF3712">
        <v>2.2196554250728199E-2</v>
      </c>
      <c r="AG3712">
        <v>-6.6517999999999994E-2</v>
      </c>
      <c r="AH3712">
        <v>0.46296740112465001</v>
      </c>
      <c r="AI3712">
        <v>98.166905923362094</v>
      </c>
      <c r="AJ3712">
        <v>87.255107439179099</v>
      </c>
      <c r="AK3712">
        <v>0.46824795338444097</v>
      </c>
      <c r="AL3712">
        <v>87.335771157436994</v>
      </c>
      <c r="AM3712">
        <v>88.321750770155106</v>
      </c>
      <c r="AN3712">
        <v>0.99999999627258596</v>
      </c>
    </row>
    <row r="3713" spans="1:40" x14ac:dyDescent="0.25">
      <c r="A3713" t="str">
        <f>"20190312151101271"</f>
        <v>20190312151101271</v>
      </c>
      <c r="B3713" t="str">
        <f>"1552374661265000"</f>
        <v>1552374661265000</v>
      </c>
      <c r="C3713" t="s">
        <v>40</v>
      </c>
      <c r="D3713">
        <v>5.3525470000000004</v>
      </c>
      <c r="E3713">
        <v>0.49871500000000002</v>
      </c>
      <c r="F3713" t="s">
        <v>41</v>
      </c>
      <c r="G3713">
        <v>-190.5667</v>
      </c>
      <c r="H3713">
        <v>1.020805</v>
      </c>
      <c r="I3713">
        <v>178.13339999999999</v>
      </c>
      <c r="J3713">
        <v>-190.39510000000001</v>
      </c>
      <c r="K3713">
        <v>1.1101589999999999</v>
      </c>
      <c r="L3713">
        <v>178.64830000000001</v>
      </c>
      <c r="M3713">
        <v>-0.26339420000000002</v>
      </c>
      <c r="N3713">
        <v>0</v>
      </c>
      <c r="O3713">
        <v>-0.96459300000000003</v>
      </c>
      <c r="P3713">
        <v>-0.29296470000000002</v>
      </c>
      <c r="Q3713">
        <v>3.3374359999999999E-2</v>
      </c>
      <c r="R3713">
        <v>-0.95554079999999997</v>
      </c>
      <c r="S3713">
        <v>-0.88148499999999996</v>
      </c>
      <c r="T3713">
        <v>-0.27501370000000003</v>
      </c>
      <c r="U3713">
        <v>-2.8787690000000001</v>
      </c>
      <c r="V3713">
        <v>3.0913670000000001E-2</v>
      </c>
      <c r="W3713">
        <v>4.6912919999999997E-2</v>
      </c>
      <c r="X3713">
        <v>0.99842050000000004</v>
      </c>
      <c r="Y3713">
        <v>2.9387610000000002E-2</v>
      </c>
      <c r="Z3713">
        <v>8.8119429999999999E-2</v>
      </c>
      <c r="AA3713">
        <v>0.99567629999999996</v>
      </c>
      <c r="AB3713">
        <v>29</v>
      </c>
      <c r="AC3713">
        <v>-0.17159999999998299</v>
      </c>
      <c r="AD3713">
        <v>-8.93540000000001E-2</v>
      </c>
      <c r="AE3713">
        <v>-0.51490000000001102</v>
      </c>
      <c r="AF3713">
        <v>2.91160576989506E-2</v>
      </c>
      <c r="AG3713">
        <v>-8.93540000000001E-2</v>
      </c>
      <c r="AH3713">
        <v>0.527616410389385</v>
      </c>
      <c r="AI3713">
        <v>99.597742772596504</v>
      </c>
      <c r="AJ3713">
        <v>86.841385397902002</v>
      </c>
      <c r="AK3713">
        <v>0.53592066450558595</v>
      </c>
      <c r="AL3713">
        <v>87.311100727680397</v>
      </c>
      <c r="AM3713">
        <v>88.226541689584806</v>
      </c>
      <c r="AN3713">
        <v>0.99999998593802197</v>
      </c>
    </row>
    <row r="3714" spans="1:40" x14ac:dyDescent="0.25">
      <c r="A3714" t="str">
        <f>"20190312151101293"</f>
        <v>20190312151101293</v>
      </c>
      <c r="B3714" t="str">
        <f>"1552374661284523"</f>
        <v>1552374661284523</v>
      </c>
      <c r="C3714" t="s">
        <v>40</v>
      </c>
      <c r="D3714">
        <v>5.5906079999999996</v>
      </c>
      <c r="E3714">
        <v>0.4984459</v>
      </c>
      <c r="F3714" t="s">
        <v>41</v>
      </c>
      <c r="G3714">
        <v>-190.63210000000001</v>
      </c>
      <c r="H3714">
        <v>1.034044</v>
      </c>
      <c r="I3714">
        <v>177.8758</v>
      </c>
      <c r="J3714">
        <v>-190.47</v>
      </c>
      <c r="K3714">
        <v>1.110174</v>
      </c>
      <c r="L3714">
        <v>178.374</v>
      </c>
      <c r="M3714">
        <v>-0.2633778</v>
      </c>
      <c r="N3714">
        <v>0</v>
      </c>
      <c r="O3714">
        <v>-0.96459760000000005</v>
      </c>
      <c r="P3714">
        <v>-0.29453289999999999</v>
      </c>
      <c r="Q3714">
        <v>3.3363179999999999E-2</v>
      </c>
      <c r="R3714">
        <v>-0.95505910000000005</v>
      </c>
      <c r="S3714">
        <v>-0.8823242</v>
      </c>
      <c r="T3714">
        <v>-0.28383829999999999</v>
      </c>
      <c r="U3714">
        <v>-2.879013</v>
      </c>
      <c r="V3714">
        <v>3.2568689999999997E-2</v>
      </c>
      <c r="W3714">
        <v>4.689815E-2</v>
      </c>
      <c r="X3714">
        <v>0.99836860000000005</v>
      </c>
      <c r="Y3714">
        <v>2.957017E-2</v>
      </c>
      <c r="Z3714">
        <v>9.0911690000000003E-2</v>
      </c>
      <c r="AA3714">
        <v>0.99541990000000002</v>
      </c>
      <c r="AB3714">
        <v>29</v>
      </c>
      <c r="AC3714">
        <v>-0.16210000000000899</v>
      </c>
      <c r="AD3714">
        <v>-7.6130000000000003E-2</v>
      </c>
      <c r="AE3714">
        <v>-0.49820000000002501</v>
      </c>
      <c r="AF3714">
        <v>2.4628712083212E-2</v>
      </c>
      <c r="AG3714">
        <v>-7.6130000000000003E-2</v>
      </c>
      <c r="AH3714">
        <v>0.51248277492195704</v>
      </c>
      <c r="AI3714">
        <v>98.439972378889905</v>
      </c>
      <c r="AJ3714">
        <v>87.248616961026698</v>
      </c>
      <c r="AK3714">
        <v>0.518691570155702</v>
      </c>
      <c r="AL3714">
        <v>87.311947980209098</v>
      </c>
      <c r="AM3714">
        <v>88.131564874065504</v>
      </c>
      <c r="AN3714">
        <v>1.0000000087538401</v>
      </c>
    </row>
    <row r="3715" spans="1:40" x14ac:dyDescent="0.25">
      <c r="A3715" t="str">
        <f>"20190312151101305"</f>
        <v>20190312151101305</v>
      </c>
      <c r="B3715" t="str">
        <f>"1552374661295256"</f>
        <v>1552374661295256</v>
      </c>
      <c r="C3715" t="s">
        <v>40</v>
      </c>
      <c r="D3715">
        <v>5.3969899999999997</v>
      </c>
      <c r="E3715">
        <v>0.49836799999999998</v>
      </c>
      <c r="F3715" t="s">
        <v>41</v>
      </c>
      <c r="G3715">
        <v>-190.7003</v>
      </c>
      <c r="H3715">
        <v>1.035283</v>
      </c>
      <c r="I3715">
        <v>177.62540000000001</v>
      </c>
      <c r="J3715">
        <v>-190.5137</v>
      </c>
      <c r="K3715">
        <v>1.110193</v>
      </c>
      <c r="L3715">
        <v>178.214</v>
      </c>
      <c r="M3715">
        <v>-0.26334829999999998</v>
      </c>
      <c r="N3715">
        <v>0</v>
      </c>
      <c r="O3715">
        <v>-0.96460559999999995</v>
      </c>
      <c r="P3715">
        <v>-0.29505209999999998</v>
      </c>
      <c r="Q3715">
        <v>3.3264210000000002E-2</v>
      </c>
      <c r="R3715">
        <v>-0.95490220000000003</v>
      </c>
      <c r="S3715">
        <v>-0.88484189999999996</v>
      </c>
      <c r="T3715">
        <v>-0.28799279999999999</v>
      </c>
      <c r="U3715">
        <v>-2.878342</v>
      </c>
      <c r="V3715">
        <v>3.3139809999999999E-2</v>
      </c>
      <c r="W3715">
        <v>4.6797650000000003E-2</v>
      </c>
      <c r="X3715">
        <v>0.99835450000000003</v>
      </c>
      <c r="Y3715">
        <v>3.042423E-2</v>
      </c>
      <c r="Z3715">
        <v>9.2239340000000003E-2</v>
      </c>
      <c r="AA3715">
        <v>0.99527200000000005</v>
      </c>
      <c r="AB3715">
        <v>29</v>
      </c>
      <c r="AC3715">
        <v>-0.18659999999999799</v>
      </c>
      <c r="AD3715">
        <v>-7.4910000000000004E-2</v>
      </c>
      <c r="AE3715">
        <v>-0.588600000000013</v>
      </c>
      <c r="AF3715">
        <v>2.4628411335853799E-2</v>
      </c>
      <c r="AG3715">
        <v>-7.4910000000000004E-2</v>
      </c>
      <c r="AH3715">
        <v>0.60801557597308598</v>
      </c>
      <c r="AI3715">
        <v>97.017980935927099</v>
      </c>
      <c r="AJ3715">
        <v>87.680432735249397</v>
      </c>
      <c r="AK3715">
        <v>0.61310766376780101</v>
      </c>
      <c r="AL3715">
        <v>87.3177124778625</v>
      </c>
      <c r="AM3715">
        <v>88.098797263194598</v>
      </c>
      <c r="AN3715">
        <v>0.99999998736130402</v>
      </c>
    </row>
    <row r="3716" spans="1:40" x14ac:dyDescent="0.25">
      <c r="A3716" t="str">
        <f>"20190312151101319"</f>
        <v>20190312151101319</v>
      </c>
      <c r="B3716" t="str">
        <f>"1552374661314776"</f>
        <v>1552374661314776</v>
      </c>
      <c r="C3716" t="s">
        <v>40</v>
      </c>
      <c r="D3716">
        <v>5.5378769999999999</v>
      </c>
      <c r="E3716">
        <v>0.49819069999999999</v>
      </c>
      <c r="F3716" t="s">
        <v>41</v>
      </c>
      <c r="G3716">
        <v>-190.77029999999999</v>
      </c>
      <c r="H3716">
        <v>1.0269010000000001</v>
      </c>
      <c r="I3716">
        <v>177.38059999999999</v>
      </c>
      <c r="J3716">
        <v>-190.55789999999999</v>
      </c>
      <c r="K3716">
        <v>1.110212</v>
      </c>
      <c r="L3716">
        <v>178.0522</v>
      </c>
      <c r="M3716">
        <v>-0.2633064</v>
      </c>
      <c r="N3716">
        <v>0</v>
      </c>
      <c r="O3716">
        <v>-0.96461719999999895</v>
      </c>
      <c r="P3716">
        <v>-0.29570859999999999</v>
      </c>
      <c r="Q3716">
        <v>3.3222179999999997E-2</v>
      </c>
      <c r="R3716">
        <v>-0.95470060000000001</v>
      </c>
      <c r="S3716">
        <v>-0.88555910000000004</v>
      </c>
      <c r="T3716">
        <v>-0.28777999999999998</v>
      </c>
      <c r="U3716">
        <v>-2.878082</v>
      </c>
      <c r="V3716">
        <v>3.3867809999999998E-2</v>
      </c>
      <c r="W3716">
        <v>4.6753820000000001E-2</v>
      </c>
      <c r="X3716">
        <v>0.99833209999999994</v>
      </c>
      <c r="Y3716">
        <v>3.0721200000000001E-2</v>
      </c>
      <c r="Z3716">
        <v>9.2177659999999995E-2</v>
      </c>
      <c r="AA3716">
        <v>0.9952685</v>
      </c>
      <c r="AB3716">
        <v>29</v>
      </c>
      <c r="AC3716">
        <v>-0.212400000000002</v>
      </c>
      <c r="AD3716">
        <v>-8.3310999999999899E-2</v>
      </c>
      <c r="AE3716">
        <v>-0.67160000000001197</v>
      </c>
      <c r="AF3716">
        <v>2.7663703387880399E-2</v>
      </c>
      <c r="AG3716">
        <v>-8.3310999999999899E-2</v>
      </c>
      <c r="AH3716">
        <v>0.694117809344723</v>
      </c>
      <c r="AI3716">
        <v>96.838767945165202</v>
      </c>
      <c r="AJ3716">
        <v>87.717714447840606</v>
      </c>
      <c r="AK3716">
        <v>0.69964672260766703</v>
      </c>
      <c r="AL3716">
        <v>87.320226443928703</v>
      </c>
      <c r="AM3716">
        <v>88.057020627521496</v>
      </c>
      <c r="AN3716">
        <v>0.99999996506459798</v>
      </c>
    </row>
    <row r="3717" spans="1:40" x14ac:dyDescent="0.25">
      <c r="A3717" t="str">
        <f>"20190312151101331"</f>
        <v>20190312151101331</v>
      </c>
      <c r="B3717" t="str">
        <f>"1552374661324536"</f>
        <v>1552374661324536</v>
      </c>
      <c r="C3717" t="s">
        <v>40</v>
      </c>
      <c r="D3717">
        <v>5.4729910000000004</v>
      </c>
      <c r="E3717">
        <v>0.49805899999999997</v>
      </c>
      <c r="F3717" t="s">
        <v>41</v>
      </c>
      <c r="G3717">
        <v>-190.84010000000001</v>
      </c>
      <c r="H3717">
        <v>1.0186789999999999</v>
      </c>
      <c r="I3717">
        <v>177.136</v>
      </c>
      <c r="J3717">
        <v>-190.6001</v>
      </c>
      <c r="K3717">
        <v>1.110236</v>
      </c>
      <c r="L3717">
        <v>177.8972</v>
      </c>
      <c r="M3717">
        <v>-0.26323809999999997</v>
      </c>
      <c r="N3717">
        <v>0</v>
      </c>
      <c r="O3717">
        <v>-0.96463580000000004</v>
      </c>
      <c r="P3717">
        <v>-0.2962303</v>
      </c>
      <c r="Q3717">
        <v>3.3387699999999902E-2</v>
      </c>
      <c r="R3717">
        <v>-0.95453319999999997</v>
      </c>
      <c r="S3717">
        <v>-0.88613889999999995</v>
      </c>
      <c r="T3717">
        <v>-0.28755760000000002</v>
      </c>
      <c r="U3717">
        <v>-2.8778839999999999</v>
      </c>
      <c r="V3717">
        <v>3.4483180000000002E-2</v>
      </c>
      <c r="W3717">
        <v>4.691911E-2</v>
      </c>
      <c r="X3717">
        <v>0.9983033</v>
      </c>
      <c r="Y3717">
        <v>3.0996320000000001E-2</v>
      </c>
      <c r="Z3717">
        <v>9.211271E-2</v>
      </c>
      <c r="AA3717">
        <v>0.99526599999999998</v>
      </c>
      <c r="AB3717">
        <v>29</v>
      </c>
      <c r="AC3717">
        <v>-0.24000000000000901</v>
      </c>
      <c r="AD3717">
        <v>-9.1556999999999805E-2</v>
      </c>
      <c r="AE3717">
        <v>-0.76120000000000199</v>
      </c>
      <c r="AF3717">
        <v>3.0734172817893101E-2</v>
      </c>
      <c r="AG3717">
        <v>-9.1556999999999805E-2</v>
      </c>
      <c r="AH3717">
        <v>0.78717259590543598</v>
      </c>
      <c r="AI3717">
        <v>96.629325762585196</v>
      </c>
      <c r="AJ3717">
        <v>87.764093394678795</v>
      </c>
      <c r="AK3717">
        <v>0.79307500866708902</v>
      </c>
      <c r="AL3717">
        <v>87.310745675158898</v>
      </c>
      <c r="AM3717">
        <v>88.021687932835803</v>
      </c>
      <c r="AN3717">
        <v>0.99999998568849702</v>
      </c>
    </row>
    <row r="3718" spans="1:40" x14ac:dyDescent="0.25">
      <c r="A3718" t="str">
        <f>"20190312151101344"</f>
        <v>20190312151101344</v>
      </c>
      <c r="B3718" t="str">
        <f>"1552374661335273"</f>
        <v>1552374661335273</v>
      </c>
      <c r="C3718" t="s">
        <v>40</v>
      </c>
      <c r="D3718">
        <v>5.3667889999999998</v>
      </c>
      <c r="E3718">
        <v>0.4979693</v>
      </c>
      <c r="F3718" t="s">
        <v>41</v>
      </c>
      <c r="G3718">
        <v>-190.8373</v>
      </c>
      <c r="H3718">
        <v>1.033512</v>
      </c>
      <c r="I3718">
        <v>177.1276</v>
      </c>
      <c r="J3718">
        <v>-190.6405</v>
      </c>
      <c r="K3718">
        <v>1.1102650000000001</v>
      </c>
      <c r="L3718">
        <v>177.749</v>
      </c>
      <c r="M3718">
        <v>-0.26315670000000002</v>
      </c>
      <c r="N3718">
        <v>0</v>
      </c>
      <c r="O3718">
        <v>-0.96465829999999997</v>
      </c>
      <c r="P3718">
        <v>-0.29693160000000002</v>
      </c>
      <c r="Q3718">
        <v>3.2897250000000003E-2</v>
      </c>
      <c r="R3718">
        <v>-0.95433219999999996</v>
      </c>
      <c r="S3718">
        <v>-0.88667299999999905</v>
      </c>
      <c r="T3718">
        <v>-0.28694069999999999</v>
      </c>
      <c r="U3718">
        <v>-2.8777469999999998</v>
      </c>
      <c r="V3718">
        <v>3.5293940000000003E-2</v>
      </c>
      <c r="W3718">
        <v>4.6428980000000002E-2</v>
      </c>
      <c r="X3718">
        <v>0.99829789999999996</v>
      </c>
      <c r="Y3718">
        <v>3.126818E-2</v>
      </c>
      <c r="Z3718">
        <v>9.1921420000000004E-2</v>
      </c>
      <c r="AA3718">
        <v>0.99527520000000003</v>
      </c>
      <c r="AB3718">
        <v>29</v>
      </c>
      <c r="AC3718">
        <v>-0.19679999999999601</v>
      </c>
      <c r="AD3718">
        <v>-7.6753000000000002E-2</v>
      </c>
      <c r="AE3718">
        <v>-0.62140000000002205</v>
      </c>
      <c r="AF3718">
        <v>2.5961615904486202E-2</v>
      </c>
      <c r="AG3718">
        <v>-7.6753000000000002E-2</v>
      </c>
      <c r="AH3718">
        <v>0.64238052735655005</v>
      </c>
      <c r="AI3718">
        <v>96.808016187653394</v>
      </c>
      <c r="AJ3718">
        <v>87.685667783120607</v>
      </c>
      <c r="AK3718">
        <v>0.64747028536933804</v>
      </c>
      <c r="AL3718">
        <v>87.338858745388904</v>
      </c>
      <c r="AM3718">
        <v>87.975201677571803</v>
      </c>
      <c r="AN3718">
        <v>1.0000000047644799</v>
      </c>
    </row>
    <row r="3719" spans="1:40" x14ac:dyDescent="0.25">
      <c r="A3719" t="str">
        <f>"20190312151101362"</f>
        <v>20190312151101362</v>
      </c>
      <c r="B3719" t="str">
        <f>"1552374661354792"</f>
        <v>1552374661354792</v>
      </c>
      <c r="C3719" t="s">
        <v>40</v>
      </c>
      <c r="D3719">
        <v>5.3599110000000003</v>
      </c>
      <c r="E3719">
        <v>0.49787989999999999</v>
      </c>
      <c r="F3719" t="s">
        <v>41</v>
      </c>
      <c r="G3719">
        <v>-190.90770000000001</v>
      </c>
      <c r="H3719">
        <v>1.0236799999999999</v>
      </c>
      <c r="I3719">
        <v>176.88419999999999</v>
      </c>
      <c r="J3719">
        <v>-190.7029</v>
      </c>
      <c r="K3719">
        <v>1.1103190000000001</v>
      </c>
      <c r="L3719">
        <v>177.5198</v>
      </c>
      <c r="M3719">
        <v>-0.26298899999999997</v>
      </c>
      <c r="N3719">
        <v>0</v>
      </c>
      <c r="O3719">
        <v>-0.96470389999999995</v>
      </c>
      <c r="P3719">
        <v>-0.29793130000000001</v>
      </c>
      <c r="Q3719">
        <v>3.2970409999999999E-2</v>
      </c>
      <c r="R3719">
        <v>-0.95401789999999997</v>
      </c>
      <c r="S3719">
        <v>-0.88786319999999996</v>
      </c>
      <c r="T3719">
        <v>-0.28821170000000002</v>
      </c>
      <c r="U3719">
        <v>-2.877243</v>
      </c>
      <c r="V3719">
        <v>3.6508949999999998E-2</v>
      </c>
      <c r="W3719">
        <v>4.6503280000000001E-2</v>
      </c>
      <c r="X3719">
        <v>0.99825070000000005</v>
      </c>
      <c r="Y3719">
        <v>3.1855139999999997E-2</v>
      </c>
      <c r="Z3719">
        <v>9.2340469999999994E-2</v>
      </c>
      <c r="AA3719">
        <v>0.99521780000000004</v>
      </c>
      <c r="AB3719">
        <v>29</v>
      </c>
      <c r="AC3719">
        <v>-0.20480000000000501</v>
      </c>
      <c r="AD3719">
        <v>-8.6639000000000105E-2</v>
      </c>
      <c r="AE3719">
        <v>-0.63560000000001005</v>
      </c>
      <c r="AF3719">
        <v>2.99147828095708E-2</v>
      </c>
      <c r="AG3719">
        <v>-8.6639000000000105E-2</v>
      </c>
      <c r="AH3719">
        <v>0.65604390169500704</v>
      </c>
      <c r="AI3719">
        <v>97.5153876031019</v>
      </c>
      <c r="AJ3719">
        <v>87.3891924927959</v>
      </c>
      <c r="AK3719">
        <v>0.66241589013455304</v>
      </c>
      <c r="AL3719">
        <v>87.334596944445295</v>
      </c>
      <c r="AM3719">
        <v>87.905459175643202</v>
      </c>
      <c r="AN3719">
        <v>0.99999995926567398</v>
      </c>
    </row>
    <row r="3720" spans="1:40" x14ac:dyDescent="0.25">
      <c r="A3720" t="str">
        <f>"20190312151101385"</f>
        <v>20190312151101385</v>
      </c>
      <c r="B3720" t="str">
        <f>"1552374661374312"</f>
        <v>1552374661374312</v>
      </c>
      <c r="C3720" t="s">
        <v>40</v>
      </c>
      <c r="D3720">
        <v>5.2866869999999997</v>
      </c>
      <c r="E3720">
        <v>0.49770229999999999</v>
      </c>
      <c r="F3720" t="s">
        <v>41</v>
      </c>
      <c r="G3720">
        <v>-190.9761</v>
      </c>
      <c r="H3720">
        <v>1.021995</v>
      </c>
      <c r="I3720">
        <v>176.63630000000001</v>
      </c>
      <c r="J3720">
        <v>-190.7782</v>
      </c>
      <c r="K3720">
        <v>1.1103959999999999</v>
      </c>
      <c r="L3720">
        <v>177.24270000000001</v>
      </c>
      <c r="M3720">
        <v>-0.2626964</v>
      </c>
      <c r="N3720">
        <v>0</v>
      </c>
      <c r="O3720">
        <v>-0.96478359999999996</v>
      </c>
      <c r="P3720">
        <v>-0.29883880000000002</v>
      </c>
      <c r="Q3720">
        <v>3.3240409999999998E-2</v>
      </c>
      <c r="R3720">
        <v>-0.95372469999999998</v>
      </c>
      <c r="S3720">
        <v>-0.88948059999999995</v>
      </c>
      <c r="T3720">
        <v>-0.28759559999999901</v>
      </c>
      <c r="U3720">
        <v>-2.8767399999999999</v>
      </c>
      <c r="V3720">
        <v>3.7755990000000003E-2</v>
      </c>
      <c r="W3720">
        <v>4.677717E-2</v>
      </c>
      <c r="X3720">
        <v>0.99819150000000001</v>
      </c>
      <c r="Y3720">
        <v>3.2723269999999999E-2</v>
      </c>
      <c r="Z3720">
        <v>9.2162910000000001E-2</v>
      </c>
      <c r="AA3720">
        <v>0.99520609999999998</v>
      </c>
      <c r="AB3720">
        <v>29</v>
      </c>
      <c r="AC3720">
        <v>-0.19790000000000399</v>
      </c>
      <c r="AD3720">
        <v>-8.8400999999999896E-2</v>
      </c>
      <c r="AE3720">
        <v>-0.60640000000000704</v>
      </c>
      <c r="AF3720">
        <v>3.1038345616640501E-2</v>
      </c>
      <c r="AG3720">
        <v>-8.8400999999999896E-2</v>
      </c>
      <c r="AH3720">
        <v>0.62508522007841805</v>
      </c>
      <c r="AI3720">
        <v>98.039745469484203</v>
      </c>
      <c r="AJ3720">
        <v>87.157336725323901</v>
      </c>
      <c r="AK3720">
        <v>0.63206775590920805</v>
      </c>
      <c r="AL3720">
        <v>87.318887067012</v>
      </c>
      <c r="AM3720">
        <v>87.833854409951499</v>
      </c>
      <c r="AN3720">
        <v>0.99999994454316798</v>
      </c>
    </row>
    <row r="3721" spans="1:40" x14ac:dyDescent="0.25">
      <c r="A3721" t="str">
        <f>"20190312151101427"</f>
        <v>20190312151101427</v>
      </c>
      <c r="B3721" t="str">
        <f>"1552374661425064"</f>
        <v>1552374661425064</v>
      </c>
      <c r="C3721" t="s">
        <v>40</v>
      </c>
      <c r="D3721">
        <v>5.53437</v>
      </c>
      <c r="E3721">
        <v>0.49729679999999998</v>
      </c>
      <c r="F3721" t="s">
        <v>41</v>
      </c>
      <c r="G3721">
        <v>-191.0436</v>
      </c>
      <c r="H3721">
        <v>1.024966</v>
      </c>
      <c r="I3721">
        <v>176.3861</v>
      </c>
      <c r="J3721">
        <v>-190.92339999999999</v>
      </c>
      <c r="K3721">
        <v>1.1105640000000001</v>
      </c>
      <c r="L3721">
        <v>176.70580000000001</v>
      </c>
      <c r="M3721">
        <v>-0.26181850000000001</v>
      </c>
      <c r="N3721">
        <v>0</v>
      </c>
      <c r="O3721">
        <v>-0.96502250000000001</v>
      </c>
      <c r="P3721">
        <v>-0.30087989999999998</v>
      </c>
      <c r="Q3721">
        <v>3.3525979999999997E-2</v>
      </c>
      <c r="R3721">
        <v>-0.95307269999999999</v>
      </c>
      <c r="S3721">
        <v>-0.89076230000000001</v>
      </c>
      <c r="T3721">
        <v>-0.28700819999999999</v>
      </c>
      <c r="U3721">
        <v>-2.8764500000000002</v>
      </c>
      <c r="V3721">
        <v>4.0786250000000003E-2</v>
      </c>
      <c r="W3721">
        <v>4.7074390000000001E-2</v>
      </c>
      <c r="X3721">
        <v>0.99805840000000001</v>
      </c>
      <c r="Y3721">
        <v>3.4070290000000003E-2</v>
      </c>
      <c r="Z3721">
        <v>9.201115E-2</v>
      </c>
      <c r="AA3721">
        <v>0.99517489999999997</v>
      </c>
      <c r="AB3721">
        <v>29</v>
      </c>
      <c r="AC3721">
        <v>-0.12020000000001101</v>
      </c>
      <c r="AD3721">
        <v>-8.5597999999999799E-2</v>
      </c>
      <c r="AE3721">
        <v>-0.31970000000001098</v>
      </c>
      <c r="AF3721">
        <v>3.0386729147412399E-2</v>
      </c>
      <c r="AG3721">
        <v>-8.5597999999999799E-2</v>
      </c>
      <c r="AH3721">
        <v>0.319925247542583</v>
      </c>
      <c r="AI3721">
        <v>104.91487792223199</v>
      </c>
      <c r="AJ3721">
        <v>84.574282500460598</v>
      </c>
      <c r="AK3721">
        <v>0.33256959411145998</v>
      </c>
      <c r="AL3721">
        <v>87.301839099830403</v>
      </c>
      <c r="AM3721">
        <v>87.659875986863298</v>
      </c>
      <c r="AN3721">
        <v>1.00000004309674</v>
      </c>
    </row>
    <row r="3722" spans="1:40" x14ac:dyDescent="0.25">
      <c r="A3722" t="str">
        <f>"20190312151101440"</f>
        <v>20190312151101440</v>
      </c>
      <c r="B3722" t="str">
        <f>"1552374661434826"</f>
        <v>1552374661434826</v>
      </c>
      <c r="C3722" t="s">
        <v>40</v>
      </c>
      <c r="D3722">
        <v>5.5391089999999998</v>
      </c>
      <c r="E3722">
        <v>0.4972144</v>
      </c>
      <c r="F3722" t="s">
        <v>41</v>
      </c>
      <c r="G3722">
        <v>-191.17779999999999</v>
      </c>
      <c r="H3722">
        <v>1.028794</v>
      </c>
      <c r="I3722">
        <v>175.88730000000001</v>
      </c>
      <c r="J3722">
        <v>-190.9657</v>
      </c>
      <c r="K3722">
        <v>1.1106199999999999</v>
      </c>
      <c r="L3722">
        <v>176.5488</v>
      </c>
      <c r="M3722">
        <v>-0.26147690000000001</v>
      </c>
      <c r="N3722">
        <v>0</v>
      </c>
      <c r="O3722">
        <v>-0.9651149</v>
      </c>
      <c r="P3722">
        <v>-0.30113289999999998</v>
      </c>
      <c r="Q3722">
        <v>3.3609600000000003E-2</v>
      </c>
      <c r="R3722">
        <v>-0.95298970000000005</v>
      </c>
      <c r="S3722">
        <v>-0.89363099999999995</v>
      </c>
      <c r="T3722">
        <v>-0.2873656</v>
      </c>
      <c r="U3722">
        <v>-2.8756870000000001</v>
      </c>
      <c r="V3722">
        <v>4.1399180000000001E-2</v>
      </c>
      <c r="W3722">
        <v>4.7162500000000003E-2</v>
      </c>
      <c r="X3722">
        <v>0.9980289</v>
      </c>
      <c r="Y3722">
        <v>3.5400439999999998E-2</v>
      </c>
      <c r="Z3722">
        <v>9.2145840000000007E-2</v>
      </c>
      <c r="AA3722">
        <v>0.99511609999999995</v>
      </c>
      <c r="AB3722">
        <v>29</v>
      </c>
      <c r="AC3722">
        <v>-0.21209999999999199</v>
      </c>
      <c r="AD3722">
        <v>-8.1826000000000093E-2</v>
      </c>
      <c r="AE3722">
        <v>-0.66149999999998899</v>
      </c>
      <c r="AF3722">
        <v>3.13024933197509E-2</v>
      </c>
      <c r="AG3722">
        <v>-8.1826000000000093E-2</v>
      </c>
      <c r="AH3722">
        <v>0.68444974356427901</v>
      </c>
      <c r="AI3722">
        <v>96.810306230774103</v>
      </c>
      <c r="AJ3722">
        <v>87.381470412279796</v>
      </c>
      <c r="AK3722">
        <v>0.69003390628956796</v>
      </c>
      <c r="AL3722">
        <v>87.296784874949097</v>
      </c>
      <c r="AM3722">
        <v>87.624678786578798</v>
      </c>
      <c r="AN3722">
        <v>0.99999993937306397</v>
      </c>
    </row>
    <row r="3723" spans="1:40" x14ac:dyDescent="0.25">
      <c r="A3723" t="str">
        <f>"20190312151101453"</f>
        <v>20190312151101453</v>
      </c>
      <c r="B3723" t="str">
        <f>"1552374661444584"</f>
        <v>1552374661444584</v>
      </c>
      <c r="C3723" t="s">
        <v>40</v>
      </c>
      <c r="D3723">
        <v>5.5388000000000002</v>
      </c>
      <c r="E3723">
        <v>0.49714170000000002</v>
      </c>
      <c r="F3723" t="s">
        <v>41</v>
      </c>
      <c r="G3723">
        <v>-191.24690000000001</v>
      </c>
      <c r="H3723">
        <v>1.0202880000000001</v>
      </c>
      <c r="I3723">
        <v>175.64410000000001</v>
      </c>
      <c r="J3723">
        <v>-191.0104</v>
      </c>
      <c r="K3723">
        <v>1.1106879999999999</v>
      </c>
      <c r="L3723">
        <v>176.38210000000001</v>
      </c>
      <c r="M3723">
        <v>-0.26104820000000001</v>
      </c>
      <c r="N3723">
        <v>0</v>
      </c>
      <c r="O3723">
        <v>-0.9652309</v>
      </c>
      <c r="P3723">
        <v>-0.30108089999999998</v>
      </c>
      <c r="Q3723">
        <v>3.303772E-2</v>
      </c>
      <c r="R3723">
        <v>-0.95302609999999999</v>
      </c>
      <c r="S3723">
        <v>-0.89376829999999996</v>
      </c>
      <c r="T3723">
        <v>-0.2871879</v>
      </c>
      <c r="U3723">
        <v>-2.8756870000000001</v>
      </c>
      <c r="V3723">
        <v>4.1776290000000001E-2</v>
      </c>
      <c r="W3723">
        <v>4.6597119999999999E-2</v>
      </c>
      <c r="X3723">
        <v>0.99803980000000003</v>
      </c>
      <c r="Y3723">
        <v>3.5888980000000001E-2</v>
      </c>
      <c r="Z3723">
        <v>9.2104489999999997E-2</v>
      </c>
      <c r="AA3723">
        <v>0.99510240000000005</v>
      </c>
      <c r="AB3723">
        <v>29</v>
      </c>
      <c r="AC3723">
        <v>-0.23650000000000601</v>
      </c>
      <c r="AD3723">
        <v>-9.0399999999999994E-2</v>
      </c>
      <c r="AE3723">
        <v>-0.73799999999999899</v>
      </c>
      <c r="AF3723">
        <v>3.51485259148034E-2</v>
      </c>
      <c r="AG3723">
        <v>-9.0399999999999994E-2</v>
      </c>
      <c r="AH3723">
        <v>0.76375661078992096</v>
      </c>
      <c r="AI3723">
        <v>96.743184021225005</v>
      </c>
      <c r="AJ3723">
        <v>87.365073832702294</v>
      </c>
      <c r="AK3723">
        <v>0.76989073211676695</v>
      </c>
      <c r="AL3723">
        <v>87.329214572108398</v>
      </c>
      <c r="AM3723">
        <v>87.603092976007005</v>
      </c>
      <c r="AN3723">
        <v>0.99999999619124902</v>
      </c>
    </row>
    <row r="3724" spans="1:40" x14ac:dyDescent="0.25">
      <c r="A3724" t="str">
        <f>"20190312151101466"</f>
        <v>20190312151101466</v>
      </c>
      <c r="B3724" t="str">
        <f>"1552374661454345"</f>
        <v>1552374661454345</v>
      </c>
      <c r="C3724" t="s">
        <v>40</v>
      </c>
      <c r="D3724">
        <v>5.3548210000000003</v>
      </c>
      <c r="E3724">
        <v>0.49705630000000001</v>
      </c>
      <c r="F3724" t="s">
        <v>41</v>
      </c>
      <c r="G3724">
        <v>-191.2424</v>
      </c>
      <c r="H3724">
        <v>1.03569</v>
      </c>
      <c r="I3724">
        <v>175.63499999999999</v>
      </c>
      <c r="J3724">
        <v>-191.05099999999999</v>
      </c>
      <c r="K3724">
        <v>1.110752</v>
      </c>
      <c r="L3724">
        <v>176.2302</v>
      </c>
      <c r="M3724">
        <v>-0.2606059</v>
      </c>
      <c r="N3724">
        <v>0</v>
      </c>
      <c r="O3724">
        <v>-0.96535059999999995</v>
      </c>
      <c r="P3724">
        <v>-0.30082370000000003</v>
      </c>
      <c r="Q3724">
        <v>3.3174339999999997E-2</v>
      </c>
      <c r="R3724">
        <v>-0.95310289999999998</v>
      </c>
      <c r="S3724">
        <v>-0.89280700000000002</v>
      </c>
      <c r="T3724">
        <v>-0.28876249999999998</v>
      </c>
      <c r="U3724">
        <v>-2.875839</v>
      </c>
      <c r="V3724">
        <v>4.1958130000000003E-2</v>
      </c>
      <c r="W3724">
        <v>4.6739059999999999E-2</v>
      </c>
      <c r="X3724">
        <v>0.99802550000000001</v>
      </c>
      <c r="Y3724">
        <v>3.6014020000000001E-2</v>
      </c>
      <c r="Z3724">
        <v>9.2621439999999999E-2</v>
      </c>
      <c r="AA3724">
        <v>0.99504990000000004</v>
      </c>
      <c r="AB3724">
        <v>29</v>
      </c>
      <c r="AC3724">
        <v>-0.191400000000015</v>
      </c>
      <c r="AD3724">
        <v>-7.5061999999999907E-2</v>
      </c>
      <c r="AE3724">
        <v>-0.59520000000000495</v>
      </c>
      <c r="AF3724">
        <v>2.92367713774025E-2</v>
      </c>
      <c r="AG3724">
        <v>-7.5061999999999907E-2</v>
      </c>
      <c r="AH3724">
        <v>0.615640023910627</v>
      </c>
      <c r="AI3724">
        <v>96.943736291176293</v>
      </c>
      <c r="AJ3724">
        <v>87.281063733066105</v>
      </c>
      <c r="AK3724">
        <v>0.620887857575949</v>
      </c>
      <c r="AL3724">
        <v>87.321073045704694</v>
      </c>
      <c r="AM3724">
        <v>87.592637734439094</v>
      </c>
      <c r="AN3724">
        <v>0.99999996152651405</v>
      </c>
    </row>
    <row r="3725" spans="1:40" x14ac:dyDescent="0.25">
      <c r="A3725" t="str">
        <f>"20190312151101484"</f>
        <v>20190312151101484</v>
      </c>
      <c r="B3725" t="str">
        <f>"1552374661474840"</f>
        <v>1552374661474840</v>
      </c>
      <c r="C3725" t="s">
        <v>40</v>
      </c>
      <c r="D3725">
        <v>5.5345959999999996</v>
      </c>
      <c r="E3725">
        <v>0.496863</v>
      </c>
      <c r="F3725" t="s">
        <v>41</v>
      </c>
      <c r="G3725">
        <v>-191.3109</v>
      </c>
      <c r="H3725">
        <v>1.0267489999999999</v>
      </c>
      <c r="I3725">
        <v>175.3922</v>
      </c>
      <c r="J3725">
        <v>-191.11320000000001</v>
      </c>
      <c r="K3725">
        <v>1.110854</v>
      </c>
      <c r="L3725">
        <v>175.99709999999999</v>
      </c>
      <c r="M3725">
        <v>-0.25983469999999997</v>
      </c>
      <c r="N3725">
        <v>0</v>
      </c>
      <c r="O3725">
        <v>-0.96555829999999998</v>
      </c>
      <c r="P3725">
        <v>-0.30010920000000002</v>
      </c>
      <c r="Q3725">
        <v>3.3137350000000003E-2</v>
      </c>
      <c r="R3725">
        <v>-0.95332939999999999</v>
      </c>
      <c r="S3725">
        <v>-0.89147949999999998</v>
      </c>
      <c r="T3725">
        <v>-0.28846929999999998</v>
      </c>
      <c r="U3725">
        <v>-2.8762970000000001</v>
      </c>
      <c r="V3725">
        <v>4.199493E-2</v>
      </c>
      <c r="W3725">
        <v>4.6712389999999999E-2</v>
      </c>
      <c r="X3725">
        <v>0.99802519999999995</v>
      </c>
      <c r="Y3725">
        <v>3.6350750000000001E-2</v>
      </c>
      <c r="Z3725">
        <v>9.2549510000000001E-2</v>
      </c>
      <c r="AA3725">
        <v>0.99504440000000005</v>
      </c>
      <c r="AB3725">
        <v>29</v>
      </c>
      <c r="AC3725">
        <v>-0.19769999999999699</v>
      </c>
      <c r="AD3725">
        <v>-8.4105000000000096E-2</v>
      </c>
      <c r="AE3725">
        <v>-0.604899999999986</v>
      </c>
      <c r="AF3725">
        <v>3.3141101735410697E-2</v>
      </c>
      <c r="AG3725">
        <v>-8.4105000000000096E-2</v>
      </c>
      <c r="AH3725">
        <v>0.62458455703387405</v>
      </c>
      <c r="AI3725">
        <v>97.658529305331101</v>
      </c>
      <c r="AJ3725">
        <v>86.962675122983597</v>
      </c>
      <c r="AK3725">
        <v>0.63109258634089305</v>
      </c>
      <c r="AL3725">
        <v>87.322602792793802</v>
      </c>
      <c r="AM3725">
        <v>87.590528085601505</v>
      </c>
      <c r="AN3725">
        <v>0.99999996068012698</v>
      </c>
    </row>
    <row r="3726" spans="1:40" x14ac:dyDescent="0.25">
      <c r="A3726" t="str">
        <f>"20190312151101496"</f>
        <v>20190312151101496</v>
      </c>
      <c r="B3726" t="str">
        <f>"1552374661484601"</f>
        <v>1552374661484601</v>
      </c>
      <c r="C3726" t="s">
        <v>40</v>
      </c>
      <c r="D3726">
        <v>5.4893090000000004</v>
      </c>
      <c r="E3726">
        <v>0.49692370000000002</v>
      </c>
      <c r="F3726" t="s">
        <v>41</v>
      </c>
      <c r="G3726">
        <v>-191.37620000000001</v>
      </c>
      <c r="H3726">
        <v>1.0251939999999999</v>
      </c>
      <c r="I3726">
        <v>175.14510000000001</v>
      </c>
      <c r="J3726">
        <v>-191.15299999999999</v>
      </c>
      <c r="K3726">
        <v>1.110932</v>
      </c>
      <c r="L3726">
        <v>175.84719999999999</v>
      </c>
      <c r="M3726">
        <v>-0.25928179999999901</v>
      </c>
      <c r="N3726">
        <v>0</v>
      </c>
      <c r="O3726">
        <v>-0.96570710000000004</v>
      </c>
      <c r="P3726">
        <v>-0.29958360000000001</v>
      </c>
      <c r="Q3726">
        <v>3.3383669999999997E-2</v>
      </c>
      <c r="R3726">
        <v>-0.95348630000000001</v>
      </c>
      <c r="S3726">
        <v>-0.88804629999999996</v>
      </c>
      <c r="T3726">
        <v>-0.2893674</v>
      </c>
      <c r="U3726">
        <v>-2.8773650000000002</v>
      </c>
      <c r="V3726">
        <v>4.2009669999999999E-2</v>
      </c>
      <c r="W3726">
        <v>4.696579E-2</v>
      </c>
      <c r="X3726">
        <v>0.99801269999999997</v>
      </c>
      <c r="Y3726">
        <v>3.5726830000000001E-2</v>
      </c>
      <c r="Z3726">
        <v>9.2840350000000002E-2</v>
      </c>
      <c r="AA3726">
        <v>0.99503980000000003</v>
      </c>
      <c r="AB3726">
        <v>29</v>
      </c>
      <c r="AC3726">
        <v>-0.22320000000001899</v>
      </c>
      <c r="AD3726">
        <v>-8.57379999999998E-2</v>
      </c>
      <c r="AE3726">
        <v>-0.70209999999997297</v>
      </c>
      <c r="AF3726">
        <v>3.3059388869367899E-2</v>
      </c>
      <c r="AG3726">
        <v>-8.57379999999998E-2</v>
      </c>
      <c r="AH3726">
        <v>0.726127463161089</v>
      </c>
      <c r="AI3726">
        <v>96.727154435123495</v>
      </c>
      <c r="AJ3726">
        <v>87.393217559565301</v>
      </c>
      <c r="AK3726">
        <v>0.73191872540137604</v>
      </c>
      <c r="AL3726">
        <v>87.308068123811694</v>
      </c>
      <c r="AM3726">
        <v>87.589653217510502</v>
      </c>
      <c r="AN3726">
        <v>0.99999997358256099</v>
      </c>
    </row>
    <row r="3727" spans="1:40" x14ac:dyDescent="0.25">
      <c r="A3727" t="str">
        <f>"20190312151101509"</f>
        <v>20190312151101509</v>
      </c>
      <c r="B3727" t="str">
        <f>"1552374661505096"</f>
        <v>1552374661505096</v>
      </c>
      <c r="C3727" t="s">
        <v>40</v>
      </c>
      <c r="D3727">
        <v>5.4773269999999998</v>
      </c>
      <c r="E3727">
        <v>0.49749759999999998</v>
      </c>
      <c r="F3727" t="s">
        <v>41</v>
      </c>
      <c r="G3727">
        <v>-191.37200000000001</v>
      </c>
      <c r="H3727">
        <v>1.0397400000000001</v>
      </c>
      <c r="I3727">
        <v>175.13640000000001</v>
      </c>
      <c r="J3727">
        <v>-191.19149999999999</v>
      </c>
      <c r="K3727">
        <v>1.1110100000000001</v>
      </c>
      <c r="L3727">
        <v>175.7012</v>
      </c>
      <c r="M3727">
        <v>-0.25866260000000002</v>
      </c>
      <c r="N3727">
        <v>0</v>
      </c>
      <c r="O3727">
        <v>-0.96587290000000003</v>
      </c>
      <c r="P3727">
        <v>-0.2991027</v>
      </c>
      <c r="Q3727">
        <v>3.3464269999999997E-2</v>
      </c>
      <c r="R3727">
        <v>-0.95363390000000003</v>
      </c>
      <c r="S3727">
        <v>-0.88665769999999899</v>
      </c>
      <c r="T3727">
        <v>-0.288304</v>
      </c>
      <c r="U3727">
        <v>-2.877853</v>
      </c>
      <c r="V3727">
        <v>4.2138299999999997E-2</v>
      </c>
      <c r="W3727">
        <v>4.705438E-2</v>
      </c>
      <c r="X3727">
        <v>0.99800310000000003</v>
      </c>
      <c r="Y3727">
        <v>3.5890829999999999E-2</v>
      </c>
      <c r="Z3727">
        <v>9.2517119999999994E-2</v>
      </c>
      <c r="AA3727">
        <v>0.99506399999999995</v>
      </c>
      <c r="AB3727">
        <v>29</v>
      </c>
      <c r="AC3727">
        <v>-0.180500000000023</v>
      </c>
      <c r="AD3727">
        <v>-7.1270000000000097E-2</v>
      </c>
      <c r="AE3727">
        <v>-0.56479999999999098</v>
      </c>
      <c r="AF3727">
        <v>2.7847682688043301E-2</v>
      </c>
      <c r="AG3727">
        <v>-7.1270000000000097E-2</v>
      </c>
      <c r="AH3727">
        <v>0.58383298844016696</v>
      </c>
      <c r="AI3727">
        <v>96.951982727621797</v>
      </c>
      <c r="AJ3727">
        <v>87.269173973802907</v>
      </c>
      <c r="AK3727">
        <v>0.588825835644183</v>
      </c>
      <c r="AL3727">
        <v>87.302986661051094</v>
      </c>
      <c r="AM3727">
        <v>87.582258458236794</v>
      </c>
      <c r="AN3727">
        <v>0.99999996930684099</v>
      </c>
    </row>
    <row r="3728" spans="1:40" x14ac:dyDescent="0.25">
      <c r="A3728" t="str">
        <f>"20190312151101521"</f>
        <v>20190312151101521</v>
      </c>
      <c r="B3728" t="str">
        <f>"1552374661514856"</f>
        <v>1552374661514856</v>
      </c>
      <c r="C3728" t="s">
        <v>40</v>
      </c>
      <c r="D3728">
        <v>5.3949230000000004</v>
      </c>
      <c r="E3728">
        <v>0.49773129999999999</v>
      </c>
      <c r="F3728" t="s">
        <v>41</v>
      </c>
      <c r="G3728">
        <v>-191.441</v>
      </c>
      <c r="H3728">
        <v>1.030286</v>
      </c>
      <c r="I3728">
        <v>174.8947</v>
      </c>
      <c r="J3728">
        <v>-191.23310000000001</v>
      </c>
      <c r="K3728">
        <v>1.1110990000000001</v>
      </c>
      <c r="L3728">
        <v>175.54310000000001</v>
      </c>
      <c r="M3728">
        <v>-0.25795459999999998</v>
      </c>
      <c r="N3728">
        <v>0</v>
      </c>
      <c r="O3728">
        <v>-0.96606259999999999</v>
      </c>
      <c r="P3728">
        <v>-0.29853390000000002</v>
      </c>
      <c r="Q3728">
        <v>3.3625000000000002E-2</v>
      </c>
      <c r="R3728">
        <v>-0.95380699999999996</v>
      </c>
      <c r="S3728">
        <v>-0.88935849999999905</v>
      </c>
      <c r="T3728">
        <v>-0.28816370000000002</v>
      </c>
      <c r="U3728">
        <v>-2.8770289999999998</v>
      </c>
      <c r="V3728">
        <v>4.2266159999999997E-2</v>
      </c>
      <c r="W3728">
        <v>4.7224420000000003E-2</v>
      </c>
      <c r="X3728">
        <v>0.99798969999999998</v>
      </c>
      <c r="Y3728">
        <v>3.7556909999999999E-2</v>
      </c>
      <c r="Z3728">
        <v>9.2509510000000003E-2</v>
      </c>
      <c r="AA3728">
        <v>0.99500319999999998</v>
      </c>
      <c r="AB3728">
        <v>29</v>
      </c>
      <c r="AC3728">
        <v>-0.207899999999966</v>
      </c>
      <c r="AD3728">
        <v>-8.0812999999999996E-2</v>
      </c>
      <c r="AE3728">
        <v>-0.64840000000000897</v>
      </c>
      <c r="AF3728">
        <v>3.3123155529076902E-2</v>
      </c>
      <c r="AG3728">
        <v>-8.0812999999999996E-2</v>
      </c>
      <c r="AH3728">
        <v>0.67063941177848296</v>
      </c>
      <c r="AI3728">
        <v>96.8628074485555</v>
      </c>
      <c r="AJ3728">
        <v>87.172435661890901</v>
      </c>
      <c r="AK3728">
        <v>0.67630252478590802</v>
      </c>
      <c r="AL3728">
        <v>87.293233347759198</v>
      </c>
      <c r="AM3728">
        <v>87.574898541705807</v>
      </c>
      <c r="AN3728">
        <v>1.00000000771578</v>
      </c>
    </row>
    <row r="3729" spans="1:40" x14ac:dyDescent="0.25">
      <c r="A3729" t="str">
        <f>"20190312151101539"</f>
        <v>20190312151101539</v>
      </c>
      <c r="B3729" t="str">
        <f>"1552374661534376"</f>
        <v>1552374661534376</v>
      </c>
      <c r="C3729" t="s">
        <v>40</v>
      </c>
      <c r="D3729">
        <v>5.520346</v>
      </c>
      <c r="E3729">
        <v>0.49820769999999998</v>
      </c>
      <c r="F3729" t="s">
        <v>41</v>
      </c>
      <c r="G3729">
        <v>-191.5085</v>
      </c>
      <c r="H3729">
        <v>1.021997</v>
      </c>
      <c r="I3729">
        <v>174.65219999999999</v>
      </c>
      <c r="J3729">
        <v>-191.28989999999999</v>
      </c>
      <c r="K3729">
        <v>1.1112219999999999</v>
      </c>
      <c r="L3729">
        <v>175.32640000000001</v>
      </c>
      <c r="M3729">
        <v>-0.25686930000000002</v>
      </c>
      <c r="N3729">
        <v>0</v>
      </c>
      <c r="O3729">
        <v>-0.96635139999999997</v>
      </c>
      <c r="P3729">
        <v>-0.29799059999999999</v>
      </c>
      <c r="Q3729">
        <v>3.3723250000000003E-2</v>
      </c>
      <c r="R3729">
        <v>-0.95397310000000002</v>
      </c>
      <c r="S3729">
        <v>-0.88911439999999997</v>
      </c>
      <c r="T3729">
        <v>-0.28778860000000001</v>
      </c>
      <c r="U3729">
        <v>-2.877167</v>
      </c>
      <c r="V3729">
        <v>4.2805660000000002E-2</v>
      </c>
      <c r="W3729">
        <v>4.7336349999999999E-2</v>
      </c>
      <c r="X3729">
        <v>0.9979614</v>
      </c>
      <c r="Y3729">
        <v>3.8591460000000001E-2</v>
      </c>
      <c r="Z3729">
        <v>9.242649E-2</v>
      </c>
      <c r="AA3729">
        <v>0.99497139999999995</v>
      </c>
      <c r="AB3729">
        <v>29</v>
      </c>
      <c r="AC3729">
        <v>-0.21860000000000901</v>
      </c>
      <c r="AD3729">
        <v>-8.9224999999999804E-2</v>
      </c>
      <c r="AE3729">
        <v>-0.67420000000001301</v>
      </c>
      <c r="AF3729">
        <v>3.7472740653210802E-2</v>
      </c>
      <c r="AG3729">
        <v>-8.9224999999999804E-2</v>
      </c>
      <c r="AH3729">
        <v>0.69668921285580598</v>
      </c>
      <c r="AI3729">
        <v>97.287722650042397</v>
      </c>
      <c r="AJ3729">
        <v>86.921205380876302</v>
      </c>
      <c r="AK3729">
        <v>0.70337839476821096</v>
      </c>
      <c r="AL3729">
        <v>87.286813044348307</v>
      </c>
      <c r="AM3729">
        <v>87.543911805822901</v>
      </c>
      <c r="AN3729">
        <v>1.00000000522465</v>
      </c>
    </row>
    <row r="3730" spans="1:40" x14ac:dyDescent="0.25">
      <c r="A3730" t="str">
        <f>"20190312151101551"</f>
        <v>20190312151101551</v>
      </c>
      <c r="B3730" t="str">
        <f>"1552374661545112"</f>
        <v>1552374661545112</v>
      </c>
      <c r="C3730" t="s">
        <v>40</v>
      </c>
      <c r="D3730">
        <v>5.4183960000000004</v>
      </c>
      <c r="E3730">
        <v>0.49845339999999999</v>
      </c>
      <c r="F3730" t="s">
        <v>41</v>
      </c>
      <c r="G3730">
        <v>-191.57480000000001</v>
      </c>
      <c r="H3730">
        <v>1.0196190000000001</v>
      </c>
      <c r="I3730">
        <v>174.4067</v>
      </c>
      <c r="J3730">
        <v>-191.33240000000001</v>
      </c>
      <c r="K3730">
        <v>1.1113139999999999</v>
      </c>
      <c r="L3730">
        <v>175.1627</v>
      </c>
      <c r="M3730">
        <v>-0.25595050000000003</v>
      </c>
      <c r="N3730">
        <v>0</v>
      </c>
      <c r="O3730">
        <v>-0.96659539999999999</v>
      </c>
      <c r="P3730">
        <v>-0.29736560000000001</v>
      </c>
      <c r="Q3730">
        <v>3.3853179999999997E-2</v>
      </c>
      <c r="R3730">
        <v>-0.95416400000000001</v>
      </c>
      <c r="S3730">
        <v>-0.89067079999999998</v>
      </c>
      <c r="T3730">
        <v>-0.28662969999999999</v>
      </c>
      <c r="U3730">
        <v>-2.876633</v>
      </c>
      <c r="V3730">
        <v>4.3090969999999999E-2</v>
      </c>
      <c r="W3730">
        <v>4.747734E-2</v>
      </c>
      <c r="X3730">
        <v>0.99794240000000001</v>
      </c>
      <c r="Y3730">
        <v>4.0094530000000003E-2</v>
      </c>
      <c r="Z3730">
        <v>9.2098669999999994E-2</v>
      </c>
      <c r="AA3730">
        <v>0.9949424</v>
      </c>
      <c r="AB3730">
        <v>29</v>
      </c>
      <c r="AC3730">
        <v>-0.242400000000003</v>
      </c>
      <c r="AD3730">
        <v>-9.1694999999999804E-2</v>
      </c>
      <c r="AE3730">
        <v>-0.75600000000000001</v>
      </c>
      <c r="AF3730">
        <v>4.0270672938322899E-2</v>
      </c>
      <c r="AG3730">
        <v>-9.1694999999999804E-2</v>
      </c>
      <c r="AH3730">
        <v>0.78242359470094902</v>
      </c>
      <c r="AI3730">
        <v>96.675450020554294</v>
      </c>
      <c r="AJ3730">
        <v>87.053635129953705</v>
      </c>
      <c r="AK3730">
        <v>0.78880693561140802</v>
      </c>
      <c r="AL3730">
        <v>87.278725755367006</v>
      </c>
      <c r="AM3730">
        <v>87.527514621294401</v>
      </c>
      <c r="AN3730">
        <v>0.99999998161338799</v>
      </c>
    </row>
    <row r="3731" spans="1:40" x14ac:dyDescent="0.25">
      <c r="A3731" t="str">
        <f>"20190312151101564"</f>
        <v>20190312151101564</v>
      </c>
      <c r="B3731" t="str">
        <f>"1552374661554873"</f>
        <v>1552374661554873</v>
      </c>
      <c r="C3731" t="s">
        <v>40</v>
      </c>
      <c r="D3731">
        <v>5.4014920000000002</v>
      </c>
      <c r="E3731">
        <v>0.49868030000000002</v>
      </c>
      <c r="F3731" t="s">
        <v>41</v>
      </c>
      <c r="G3731">
        <v>-191.56950000000001</v>
      </c>
      <c r="H3731">
        <v>1.0354110000000001</v>
      </c>
      <c r="I3731">
        <v>174.3972</v>
      </c>
      <c r="J3731">
        <v>-191.3708</v>
      </c>
      <c r="K3731">
        <v>1.1113959999999901</v>
      </c>
      <c r="L3731">
        <v>175.01429999999999</v>
      </c>
      <c r="M3731">
        <v>-0.2550731</v>
      </c>
      <c r="N3731">
        <v>0</v>
      </c>
      <c r="O3731">
        <v>-0.9668272</v>
      </c>
      <c r="P3731">
        <v>-0.29663610000000001</v>
      </c>
      <c r="Q3731">
        <v>3.4002360000000002E-2</v>
      </c>
      <c r="R3731">
        <v>-0.95438559999999995</v>
      </c>
      <c r="S3731">
        <v>-0.89048769999999999</v>
      </c>
      <c r="T3731">
        <v>-0.28533849999999999</v>
      </c>
      <c r="U3731">
        <v>-2.8767239999999998</v>
      </c>
      <c r="V3731">
        <v>4.32255E-2</v>
      </c>
      <c r="W3731">
        <v>4.7635950000000003E-2</v>
      </c>
      <c r="X3731">
        <v>0.99792899999999995</v>
      </c>
      <c r="Y3731">
        <v>4.0945639999999998E-2</v>
      </c>
      <c r="Z3731">
        <v>9.1716770000000003E-2</v>
      </c>
      <c r="AA3731">
        <v>0.99494300000000002</v>
      </c>
      <c r="AB3731">
        <v>29</v>
      </c>
      <c r="AC3731">
        <v>-0.19870000000000199</v>
      </c>
      <c r="AD3731">
        <v>-7.5984999999999706E-2</v>
      </c>
      <c r="AE3731">
        <v>-0.61709999999999299</v>
      </c>
      <c r="AF3731">
        <v>3.42358194166692E-2</v>
      </c>
      <c r="AG3731">
        <v>-7.5984999999999706E-2</v>
      </c>
      <c r="AH3731">
        <v>0.63859864552821999</v>
      </c>
      <c r="AI3731">
        <v>96.775915682226398</v>
      </c>
      <c r="AJ3731">
        <v>86.931261997605702</v>
      </c>
      <c r="AK3731">
        <v>0.64401400732174197</v>
      </c>
      <c r="AL3731">
        <v>87.269627713957505</v>
      </c>
      <c r="AM3731">
        <v>87.519771884610293</v>
      </c>
      <c r="AN3731">
        <v>0.99999995831182498</v>
      </c>
    </row>
    <row r="3732" spans="1:40" x14ac:dyDescent="0.25">
      <c r="A3732" t="str">
        <f>"20190312151101576"</f>
        <v>20190312151101576</v>
      </c>
      <c r="B3732" t="str">
        <f>"1552374661564633"</f>
        <v>1552374661564633</v>
      </c>
      <c r="C3732" t="s">
        <v>40</v>
      </c>
      <c r="D3732">
        <v>5.4307749999999997</v>
      </c>
      <c r="E3732">
        <v>0.49893330000000002</v>
      </c>
      <c r="F3732" t="s">
        <v>41</v>
      </c>
      <c r="G3732">
        <v>-191.63659999999999</v>
      </c>
      <c r="H3732">
        <v>1.0266470000000001</v>
      </c>
      <c r="I3732">
        <v>174.15539999999999</v>
      </c>
      <c r="J3732">
        <v>-191.4111</v>
      </c>
      <c r="K3732">
        <v>1.1114790000000001</v>
      </c>
      <c r="L3732">
        <v>174.85810000000001</v>
      </c>
      <c r="M3732">
        <v>-0.25410739999999998</v>
      </c>
      <c r="N3732">
        <v>0</v>
      </c>
      <c r="O3732">
        <v>-0.96708139999999998</v>
      </c>
      <c r="P3732">
        <v>-0.29591099999999998</v>
      </c>
      <c r="Q3732">
        <v>3.4034580000000002E-2</v>
      </c>
      <c r="R3732">
        <v>-0.95460919999999905</v>
      </c>
      <c r="S3732">
        <v>-0.88993840000000002</v>
      </c>
      <c r="T3732">
        <v>-0.2839158</v>
      </c>
      <c r="U3732">
        <v>-2.8769070000000001</v>
      </c>
      <c r="V3732">
        <v>4.3454890000000003E-2</v>
      </c>
      <c r="W3732">
        <v>4.767834E-2</v>
      </c>
      <c r="X3732">
        <v>0.9979171</v>
      </c>
      <c r="Y3732">
        <v>4.1764370000000002E-2</v>
      </c>
      <c r="Z3732">
        <v>9.1294669999999994E-2</v>
      </c>
      <c r="AA3732">
        <v>0.99494769999999999</v>
      </c>
      <c r="AB3732">
        <v>29</v>
      </c>
      <c r="AC3732">
        <v>-0.22549999999998199</v>
      </c>
      <c r="AD3732">
        <v>-8.4832000000000199E-2</v>
      </c>
      <c r="AE3732">
        <v>-0.70270000000002097</v>
      </c>
      <c r="AF3732">
        <v>3.9003831817675999E-2</v>
      </c>
      <c r="AG3732">
        <v>-8.4832000000000199E-2</v>
      </c>
      <c r="AH3732">
        <v>0.72732635606790197</v>
      </c>
      <c r="AI3732">
        <v>96.643197776031002</v>
      </c>
      <c r="AJ3732">
        <v>86.930378782858497</v>
      </c>
      <c r="AK3732">
        <v>0.73329488976227997</v>
      </c>
      <c r="AL3732">
        <v>87.267196420081504</v>
      </c>
      <c r="AM3732">
        <v>87.506596629300006</v>
      </c>
      <c r="AN3732">
        <v>1.0000000450212301</v>
      </c>
    </row>
    <row r="3733" spans="1:40" x14ac:dyDescent="0.25">
      <c r="A3733" t="str">
        <f>"20190312151101590"</f>
        <v>20190312151101590</v>
      </c>
      <c r="B3733" t="str">
        <f>"1552374661585128"</f>
        <v>1552374661585128</v>
      </c>
      <c r="C3733" t="s">
        <v>40</v>
      </c>
      <c r="D3733">
        <v>5.5250300000000001</v>
      </c>
      <c r="E3733">
        <v>0.49936469999999999</v>
      </c>
      <c r="F3733" t="s">
        <v>41</v>
      </c>
      <c r="G3733">
        <v>-191.63120000000001</v>
      </c>
      <c r="H3733">
        <v>1.0415160000000001</v>
      </c>
      <c r="I3733">
        <v>174.1463</v>
      </c>
      <c r="J3733">
        <v>-191.4554</v>
      </c>
      <c r="K3733">
        <v>1.111567</v>
      </c>
      <c r="L3733">
        <v>174.68459999999999</v>
      </c>
      <c r="M3733">
        <v>-0.25293779999999999</v>
      </c>
      <c r="N3733">
        <v>0</v>
      </c>
      <c r="O3733">
        <v>-0.96738780000000002</v>
      </c>
      <c r="P3733">
        <v>-0.29529739999999999</v>
      </c>
      <c r="Q3733">
        <v>3.4246220000000001E-2</v>
      </c>
      <c r="R3733">
        <v>-0.95479139999999996</v>
      </c>
      <c r="S3733">
        <v>-0.88945010000000002</v>
      </c>
      <c r="T3733">
        <v>-0.28279130000000002</v>
      </c>
      <c r="U3733">
        <v>-2.877014</v>
      </c>
      <c r="V3733">
        <v>4.4011540000000002E-2</v>
      </c>
      <c r="W3733">
        <v>4.7901720000000002E-2</v>
      </c>
      <c r="X3733">
        <v>0.99788189999999999</v>
      </c>
      <c r="Y3733">
        <v>4.2817269999999998E-2</v>
      </c>
      <c r="Z3733">
        <v>9.097616E-2</v>
      </c>
      <c r="AA3733">
        <v>0.99493220000000004</v>
      </c>
      <c r="AB3733">
        <v>29</v>
      </c>
      <c r="AC3733">
        <v>-0.175800000000009</v>
      </c>
      <c r="AD3733">
        <v>-7.0051000000000002E-2</v>
      </c>
      <c r="AE3733">
        <v>-0.53829999999999201</v>
      </c>
      <c r="AF3733">
        <v>3.3402321682838597E-2</v>
      </c>
      <c r="AG3733">
        <v>-7.0051000000000002E-2</v>
      </c>
      <c r="AH3733">
        <v>0.55674347467268104</v>
      </c>
      <c r="AI3733">
        <v>97.158688612749003</v>
      </c>
      <c r="AJ3733">
        <v>86.566604133130895</v>
      </c>
      <c r="AK3733">
        <v>0.56212645755684998</v>
      </c>
      <c r="AL3733">
        <v>87.254382755901503</v>
      </c>
      <c r="AM3733">
        <v>87.474608665209701</v>
      </c>
      <c r="AN3733">
        <v>0.999999938389868</v>
      </c>
    </row>
    <row r="3734" spans="1:40" x14ac:dyDescent="0.25">
      <c r="A3734" t="str">
        <f>"20190312151101608"</f>
        <v>20190312151101608</v>
      </c>
      <c r="B3734" t="str">
        <f>"1552374661604649"</f>
        <v>1552374661604649</v>
      </c>
      <c r="C3734" t="s">
        <v>40</v>
      </c>
      <c r="D3734">
        <v>5.517684</v>
      </c>
      <c r="E3734">
        <v>0.49980740000000001</v>
      </c>
      <c r="F3734" t="s">
        <v>41</v>
      </c>
      <c r="G3734">
        <v>-191.69759999999999</v>
      </c>
      <c r="H3734">
        <v>1.0353730000000001</v>
      </c>
      <c r="I3734">
        <v>173.9033</v>
      </c>
      <c r="J3734">
        <v>-191.50919999999999</v>
      </c>
      <c r="K3734">
        <v>1.1116740000000001</v>
      </c>
      <c r="L3734">
        <v>174.4727</v>
      </c>
      <c r="M3734">
        <v>-0.2514266</v>
      </c>
      <c r="N3734">
        <v>0</v>
      </c>
      <c r="O3734">
        <v>-0.96778180000000003</v>
      </c>
      <c r="P3734">
        <v>-0.29445490000000002</v>
      </c>
      <c r="Q3734">
        <v>3.4092110000000002E-2</v>
      </c>
      <c r="R3734">
        <v>-0.95505759999999995</v>
      </c>
      <c r="S3734">
        <v>-0.89105219999999896</v>
      </c>
      <c r="T3734">
        <v>-0.2807019</v>
      </c>
      <c r="U3734">
        <v>-2.876541</v>
      </c>
      <c r="V3734">
        <v>4.4676830000000001E-2</v>
      </c>
      <c r="W3734">
        <v>4.7762159999999998E-2</v>
      </c>
      <c r="X3734">
        <v>0.9978591</v>
      </c>
      <c r="Y3734">
        <v>4.4946850000000003E-2</v>
      </c>
      <c r="Z3734">
        <v>9.0367299999999998E-2</v>
      </c>
      <c r="AA3734">
        <v>0.99489369999999999</v>
      </c>
      <c r="AB3734">
        <v>29</v>
      </c>
      <c r="AC3734">
        <v>-0.18840000000000101</v>
      </c>
      <c r="AD3734">
        <v>-7.6301000000000105E-2</v>
      </c>
      <c r="AE3734">
        <v>-0.56940000000000102</v>
      </c>
      <c r="AF3734">
        <v>3.8547487788111102E-2</v>
      </c>
      <c r="AG3734">
        <v>-7.6301000000000105E-2</v>
      </c>
      <c r="AH3734">
        <v>0.588946536393539</v>
      </c>
      <c r="AI3734">
        <v>97.3662531570168</v>
      </c>
      <c r="AJ3734">
        <v>86.255241385299996</v>
      </c>
      <c r="AK3734">
        <v>0.59511828584384896</v>
      </c>
      <c r="AL3734">
        <v>87.262388323467704</v>
      </c>
      <c r="AM3734">
        <v>87.436426238029696</v>
      </c>
      <c r="AN3734">
        <v>1.00000001325976</v>
      </c>
    </row>
    <row r="3735" spans="1:40" x14ac:dyDescent="0.25">
      <c r="A3735" t="str">
        <f>"20190312151101629"</f>
        <v>20190312151101629</v>
      </c>
      <c r="B3735" t="str">
        <f>"1552374661625145"</f>
        <v>1552374661625145</v>
      </c>
      <c r="C3735" t="s">
        <v>40</v>
      </c>
      <c r="D3735">
        <v>5.3679209999999999</v>
      </c>
      <c r="E3735">
        <v>0.50024579999999996</v>
      </c>
      <c r="F3735" t="s">
        <v>41</v>
      </c>
      <c r="G3735">
        <v>-191.7619</v>
      </c>
      <c r="H3735">
        <v>1.032486</v>
      </c>
      <c r="I3735">
        <v>173.6584</v>
      </c>
      <c r="J3735">
        <v>-191.57320000000001</v>
      </c>
      <c r="K3735">
        <v>1.111783</v>
      </c>
      <c r="L3735">
        <v>174.2183</v>
      </c>
      <c r="M3735">
        <v>-0.2494875</v>
      </c>
      <c r="N3735">
        <v>0</v>
      </c>
      <c r="O3735">
        <v>-0.96828380000000003</v>
      </c>
      <c r="P3735">
        <v>-0.29324050000000002</v>
      </c>
      <c r="Q3735">
        <v>3.3901750000000001E-2</v>
      </c>
      <c r="R3735">
        <v>-0.9554378</v>
      </c>
      <c r="S3735">
        <v>-0.89184569999999996</v>
      </c>
      <c r="T3735">
        <v>-0.27987590000000001</v>
      </c>
      <c r="U3735">
        <v>-2.876236</v>
      </c>
      <c r="V3735">
        <v>4.5392679999999998E-2</v>
      </c>
      <c r="W3735">
        <v>4.7589270000000003E-2</v>
      </c>
      <c r="X3735">
        <v>0.99783500000000003</v>
      </c>
      <c r="Y3735">
        <v>4.7234140000000001E-2</v>
      </c>
      <c r="Z3735">
        <v>9.0173980000000001E-2</v>
      </c>
      <c r="AA3735">
        <v>0.9948053</v>
      </c>
      <c r="AB3735">
        <v>29</v>
      </c>
      <c r="AC3735">
        <v>-0.18869999999998299</v>
      </c>
      <c r="AD3735">
        <v>-7.9296999999999895E-2</v>
      </c>
      <c r="AE3735">
        <v>-0.55989999999999895</v>
      </c>
      <c r="AF3735">
        <v>4.22696545017998E-2</v>
      </c>
      <c r="AG3735">
        <v>-7.9296999999999895E-2</v>
      </c>
      <c r="AH3735">
        <v>0.57884777965015199</v>
      </c>
      <c r="AI3735">
        <v>97.779997304593707</v>
      </c>
      <c r="AJ3735">
        <v>85.823458682044304</v>
      </c>
      <c r="AK3735">
        <v>0.58578109384531296</v>
      </c>
      <c r="AL3735">
        <v>87.272305324093594</v>
      </c>
      <c r="AM3735">
        <v>87.395343788416298</v>
      </c>
      <c r="AN3735">
        <v>0.99999996062085605</v>
      </c>
    </row>
    <row r="3736" spans="1:40" x14ac:dyDescent="0.25">
      <c r="A3736" t="str">
        <f>"20190312151101641"</f>
        <v>20190312151101641</v>
      </c>
      <c r="B3736" t="str">
        <f>"1552374661634905"</f>
        <v>1552374661634905</v>
      </c>
      <c r="C3736" t="s">
        <v>40</v>
      </c>
      <c r="D3736">
        <v>5.4237039999999999</v>
      </c>
      <c r="E3736">
        <v>0.50040879999999999</v>
      </c>
      <c r="F3736" t="s">
        <v>41</v>
      </c>
      <c r="G3736">
        <v>-191.8235</v>
      </c>
      <c r="H3736">
        <v>1.033579</v>
      </c>
      <c r="I3736">
        <v>173.4109</v>
      </c>
      <c r="J3736">
        <v>-191.61410000000001</v>
      </c>
      <c r="K3736">
        <v>1.1118509999999999</v>
      </c>
      <c r="L3736">
        <v>174.05430000000001</v>
      </c>
      <c r="M3736">
        <v>-0.24817900000000001</v>
      </c>
      <c r="N3736">
        <v>0</v>
      </c>
      <c r="O3736">
        <v>-0.96861960000000003</v>
      </c>
      <c r="P3736">
        <v>-0.29219499999999998</v>
      </c>
      <c r="Q3736">
        <v>3.3399760000000001E-2</v>
      </c>
      <c r="R3736">
        <v>-0.9557755</v>
      </c>
      <c r="S3736">
        <v>-0.89108279999999995</v>
      </c>
      <c r="T3736">
        <v>-0.2787403</v>
      </c>
      <c r="U3736">
        <v>-2.876328</v>
      </c>
      <c r="V3736">
        <v>4.5638650000000003E-2</v>
      </c>
      <c r="W3736">
        <v>4.7097729999999997E-2</v>
      </c>
      <c r="X3736">
        <v>0.99784709999999999</v>
      </c>
      <c r="Y3736">
        <v>4.8343070000000002E-2</v>
      </c>
      <c r="Z3736">
        <v>8.9855939999999995E-2</v>
      </c>
      <c r="AA3736">
        <v>0.99478080000000002</v>
      </c>
      <c r="AB3736">
        <v>29</v>
      </c>
      <c r="AC3736">
        <v>-0.20939999999998801</v>
      </c>
      <c r="AD3736">
        <v>-7.8271999999999897E-2</v>
      </c>
      <c r="AE3736">
        <v>-0.64340000000001396</v>
      </c>
      <c r="AF3736">
        <v>4.2584655866131901E-2</v>
      </c>
      <c r="AG3736">
        <v>-7.8271999999999897E-2</v>
      </c>
      <c r="AH3736">
        <v>0.666323567178154</v>
      </c>
      <c r="AI3736">
        <v>96.686226001943695</v>
      </c>
      <c r="AJ3736">
        <v>86.343207173431196</v>
      </c>
      <c r="AK3736">
        <v>0.67225520085474699</v>
      </c>
      <c r="AL3736">
        <v>87.300500103649995</v>
      </c>
      <c r="AM3736">
        <v>87.381281204654599</v>
      </c>
      <c r="AN3736">
        <v>0.99999995876169101</v>
      </c>
    </row>
    <row r="3737" spans="1:40" x14ac:dyDescent="0.25">
      <c r="A3737" t="str">
        <f>"20190312151101655"</f>
        <v>20190312151101655</v>
      </c>
      <c r="B3737" t="str">
        <f>"1552374661644665"</f>
        <v>1552374661644665</v>
      </c>
      <c r="C3737" t="s">
        <v>40</v>
      </c>
      <c r="D3737">
        <v>5.5220929999999999</v>
      </c>
      <c r="E3737">
        <v>0.50059279999999995</v>
      </c>
      <c r="F3737" t="s">
        <v>41</v>
      </c>
      <c r="G3737">
        <v>-191.8878</v>
      </c>
      <c r="H3737">
        <v>1.0257510000000001</v>
      </c>
      <c r="I3737">
        <v>173.16900000000001</v>
      </c>
      <c r="J3737">
        <v>-191.6576</v>
      </c>
      <c r="K3737">
        <v>1.111918</v>
      </c>
      <c r="L3737">
        <v>173.8785</v>
      </c>
      <c r="M3737">
        <v>-0.24672740000000001</v>
      </c>
      <c r="N3737">
        <v>0</v>
      </c>
      <c r="O3737">
        <v>-0.96899040000000003</v>
      </c>
      <c r="P3737">
        <v>-0.29126079999999999</v>
      </c>
      <c r="Q3737">
        <v>3.2676610000000002E-2</v>
      </c>
      <c r="R3737">
        <v>-0.95608579999999999</v>
      </c>
      <c r="S3737">
        <v>-0.88922119999999905</v>
      </c>
      <c r="T3737">
        <v>-0.27980850000000002</v>
      </c>
      <c r="U3737">
        <v>-2.8767239999999998</v>
      </c>
      <c r="V3737">
        <v>4.614766E-2</v>
      </c>
      <c r="W3737">
        <v>4.6385629999999997E-2</v>
      </c>
      <c r="X3737">
        <v>0.99785710000000005</v>
      </c>
      <c r="Y3737">
        <v>4.9203120000000003E-2</v>
      </c>
      <c r="Z3737">
        <v>9.0243340000000005E-2</v>
      </c>
      <c r="AA3737">
        <v>0.99470360000000002</v>
      </c>
      <c r="AB3737">
        <v>29</v>
      </c>
      <c r="AC3737">
        <v>-0.23019999999999599</v>
      </c>
      <c r="AD3737">
        <v>-8.6166999999999799E-2</v>
      </c>
      <c r="AE3737">
        <v>-0.70949999999999103</v>
      </c>
      <c r="AF3737">
        <v>4.7380617948872397E-2</v>
      </c>
      <c r="AG3737">
        <v>-8.6166999999999799E-2</v>
      </c>
      <c r="AH3737">
        <v>0.73456102838068704</v>
      </c>
      <c r="AI3737">
        <v>96.676703492833497</v>
      </c>
      <c r="AJ3737">
        <v>86.309423105788795</v>
      </c>
      <c r="AK3737">
        <v>0.74111374245921902</v>
      </c>
      <c r="AL3737">
        <v>87.341345217185804</v>
      </c>
      <c r="AM3737">
        <v>87.352142348465605</v>
      </c>
      <c r="AN3737">
        <v>1.00000001260719</v>
      </c>
    </row>
    <row r="3738" spans="1:40" x14ac:dyDescent="0.25">
      <c r="A3738" t="str">
        <f>"20190312151101674"</f>
        <v>20190312151101674</v>
      </c>
      <c r="B3738" t="str">
        <f>"1552374661665160"</f>
        <v>1552374661665160</v>
      </c>
      <c r="C3738" t="s">
        <v>40</v>
      </c>
      <c r="D3738">
        <v>5.4328430000000001</v>
      </c>
      <c r="E3738">
        <v>0.50097479999999905</v>
      </c>
      <c r="F3738" t="s">
        <v>41</v>
      </c>
      <c r="G3738">
        <v>-191.87979999999999</v>
      </c>
      <c r="H3738">
        <v>1.0415650000000001</v>
      </c>
      <c r="I3738">
        <v>173.15880000000001</v>
      </c>
      <c r="J3738">
        <v>-191.71299999999999</v>
      </c>
      <c r="K3738">
        <v>1.111991</v>
      </c>
      <c r="L3738">
        <v>173.6525</v>
      </c>
      <c r="M3738">
        <v>-0.2447937</v>
      </c>
      <c r="N3738">
        <v>0</v>
      </c>
      <c r="O3738">
        <v>-0.96948089999999998</v>
      </c>
      <c r="P3738">
        <v>-0.29005890000000001</v>
      </c>
      <c r="Q3738">
        <v>3.1543990000000001E-2</v>
      </c>
      <c r="R3738">
        <v>-0.95648920000000004</v>
      </c>
      <c r="S3738">
        <v>-0.88781739999999998</v>
      </c>
      <c r="T3738">
        <v>-0.28128700000000001</v>
      </c>
      <c r="U3738">
        <v>-2.8769230000000001</v>
      </c>
      <c r="V3738">
        <v>4.6871690000000001E-2</v>
      </c>
      <c r="W3738">
        <v>4.5266729999999998E-2</v>
      </c>
      <c r="X3738">
        <v>0.9978747</v>
      </c>
      <c r="Y3738">
        <v>5.0718970000000002E-2</v>
      </c>
      <c r="Z3738">
        <v>9.0781219999999996E-2</v>
      </c>
      <c r="AA3738">
        <v>0.99457850000000003</v>
      </c>
      <c r="AB3738">
        <v>29</v>
      </c>
      <c r="AC3738">
        <v>-0.16679999999999401</v>
      </c>
      <c r="AD3738">
        <v>-7.0425999999999794E-2</v>
      </c>
      <c r="AE3738">
        <v>-0.49369999999998898</v>
      </c>
      <c r="AF3738">
        <v>4.0125642793834501E-2</v>
      </c>
      <c r="AG3738">
        <v>-7.0425999999999794E-2</v>
      </c>
      <c r="AH3738">
        <v>0.51019359963403998</v>
      </c>
      <c r="AI3738">
        <v>97.835422306077803</v>
      </c>
      <c r="AJ3738">
        <v>85.5030653242125</v>
      </c>
      <c r="AK3738">
        <v>0.51659210001040201</v>
      </c>
      <c r="AL3738">
        <v>87.405520789712696</v>
      </c>
      <c r="AM3738">
        <v>87.310706883316001</v>
      </c>
      <c r="AN3738">
        <v>0.99999997453421896</v>
      </c>
    </row>
    <row r="3739" spans="1:40" x14ac:dyDescent="0.25">
      <c r="A3739" t="str">
        <f>"20190312151101697"</f>
        <v>20190312151101697</v>
      </c>
      <c r="B3739" t="str">
        <f>"1552374661684680"</f>
        <v>1552374661684680</v>
      </c>
      <c r="C3739" t="s">
        <v>40</v>
      </c>
      <c r="D3739">
        <v>5.3524479999999999</v>
      </c>
      <c r="E3739">
        <v>0.50130329999999901</v>
      </c>
      <c r="F3739" t="s">
        <v>41</v>
      </c>
      <c r="G3739">
        <v>-191.941</v>
      </c>
      <c r="H3739">
        <v>1.039256</v>
      </c>
      <c r="I3739">
        <v>172.9135</v>
      </c>
      <c r="J3739">
        <v>-191.7801</v>
      </c>
      <c r="K3739">
        <v>1.1120650000000001</v>
      </c>
      <c r="L3739">
        <v>173.37599999999901</v>
      </c>
      <c r="M3739">
        <v>-0.24235419999999999</v>
      </c>
      <c r="N3739">
        <v>0</v>
      </c>
      <c r="O3739">
        <v>-0.97009339999999999</v>
      </c>
      <c r="P3739">
        <v>-0.28841699999999998</v>
      </c>
      <c r="Q3739">
        <v>3.0738430000000001E-2</v>
      </c>
      <c r="R3739">
        <v>-0.95701159999999996</v>
      </c>
      <c r="S3739">
        <v>-0.88674929999999996</v>
      </c>
      <c r="T3739">
        <v>-0.28331420000000002</v>
      </c>
      <c r="U3739">
        <v>-2.8769070000000001</v>
      </c>
      <c r="V3739">
        <v>4.7658680000000002E-2</v>
      </c>
      <c r="W3739">
        <v>4.4474529999999998E-2</v>
      </c>
      <c r="X3739">
        <v>0.99787309999999996</v>
      </c>
      <c r="Y3739">
        <v>5.287563E-2</v>
      </c>
      <c r="Z3739">
        <v>9.1515849999999996E-2</v>
      </c>
      <c r="AA3739">
        <v>0.99439880000000003</v>
      </c>
      <c r="AB3739">
        <v>29</v>
      </c>
      <c r="AC3739">
        <v>-0.16089999999996901</v>
      </c>
      <c r="AD3739">
        <v>-7.2808999999999902E-2</v>
      </c>
      <c r="AE3739">
        <v>-0.46249999999997699</v>
      </c>
      <c r="AF3739">
        <v>4.3051502494866299E-2</v>
      </c>
      <c r="AG3739">
        <v>-7.2808999999999902E-2</v>
      </c>
      <c r="AH3739">
        <v>0.47715911466118299</v>
      </c>
      <c r="AI3739">
        <v>98.641190149519105</v>
      </c>
      <c r="AJ3739">
        <v>84.844469006939406</v>
      </c>
      <c r="AK3739">
        <v>0.484598187215253</v>
      </c>
      <c r="AL3739">
        <v>87.450956408975699</v>
      </c>
      <c r="AM3739">
        <v>87.2656164177059</v>
      </c>
      <c r="AN3739">
        <v>1.0000000286508299</v>
      </c>
    </row>
    <row r="3740" spans="1:40" x14ac:dyDescent="0.25">
      <c r="A3740" t="str">
        <f>"20190312151101711"</f>
        <v>20190312151101711</v>
      </c>
      <c r="B3740" t="str">
        <f>"1552374661705176"</f>
        <v>1552374661705176</v>
      </c>
      <c r="C3740" t="s">
        <v>40</v>
      </c>
      <c r="D3740">
        <v>5.3959339999999996</v>
      </c>
      <c r="E3740">
        <v>0.50163849999999999</v>
      </c>
      <c r="F3740" t="s">
        <v>41</v>
      </c>
      <c r="G3740">
        <v>-191.99850000000001</v>
      </c>
      <c r="H3740">
        <v>1.04128</v>
      </c>
      <c r="I3740">
        <v>172.6653</v>
      </c>
      <c r="J3740">
        <v>-191.82169999999999</v>
      </c>
      <c r="K3740">
        <v>1.1120989999999999</v>
      </c>
      <c r="L3740">
        <v>173.20259999999999</v>
      </c>
      <c r="M3740">
        <v>-0.2407849</v>
      </c>
      <c r="N3740">
        <v>0</v>
      </c>
      <c r="O3740">
        <v>-0.97048409999999996</v>
      </c>
      <c r="P3740">
        <v>-0.287201599999999</v>
      </c>
      <c r="Q3740">
        <v>3.0417960000000001E-2</v>
      </c>
      <c r="R3740">
        <v>-0.95738730000000005</v>
      </c>
      <c r="S3740">
        <v>-0.88413999999999904</v>
      </c>
      <c r="T3740">
        <v>-0.28657929999999998</v>
      </c>
      <c r="U3740">
        <v>-2.8775330000000001</v>
      </c>
      <c r="V3740">
        <v>4.800074E-2</v>
      </c>
      <c r="W3740">
        <v>4.4160610000000003E-2</v>
      </c>
      <c r="X3740">
        <v>0.99787060000000005</v>
      </c>
      <c r="Y3740">
        <v>5.3576039999999998E-2</v>
      </c>
      <c r="Z3740">
        <v>9.2607529999999993E-2</v>
      </c>
      <c r="AA3740">
        <v>0.99426029999999999</v>
      </c>
      <c r="AB3740">
        <v>28</v>
      </c>
      <c r="AC3740">
        <v>-0.176800000000014</v>
      </c>
      <c r="AD3740">
        <v>-7.0818999999999896E-2</v>
      </c>
      <c r="AE3740">
        <v>-0.53729999999998701</v>
      </c>
      <c r="AF3740">
        <v>4.1560256942329801E-2</v>
      </c>
      <c r="AG3740">
        <v>-7.0818999999999896E-2</v>
      </c>
      <c r="AH3740">
        <v>0.55535811020081305</v>
      </c>
      <c r="AI3740">
        <v>97.247060865317195</v>
      </c>
      <c r="AJ3740">
        <v>85.720244348653594</v>
      </c>
      <c r="AK3740">
        <v>0.56139577508557303</v>
      </c>
      <c r="AL3740">
        <v>87.468960271597297</v>
      </c>
      <c r="AM3740">
        <v>87.246014180648501</v>
      </c>
      <c r="AN3740">
        <v>0.99999998243023902</v>
      </c>
    </row>
    <row r="3741" spans="1:40" x14ac:dyDescent="0.25">
      <c r="A3741" t="str">
        <f>"20190312151101730"</f>
        <v>20190312151101730</v>
      </c>
      <c r="B3741" t="str">
        <f>"1552374661724697"</f>
        <v>1552374661724697</v>
      </c>
      <c r="C3741" t="s">
        <v>40</v>
      </c>
      <c r="D3741">
        <v>5.4560129999999996</v>
      </c>
      <c r="E3741">
        <v>0.50196809999999903</v>
      </c>
      <c r="F3741" t="s">
        <v>41</v>
      </c>
      <c r="G3741">
        <v>-192.06100000000001</v>
      </c>
      <c r="H3741">
        <v>1.0342530000000001</v>
      </c>
      <c r="I3741">
        <v>172.42320000000001</v>
      </c>
      <c r="J3741">
        <v>-191.8759</v>
      </c>
      <c r="K3741">
        <v>1.1121299999999901</v>
      </c>
      <c r="L3741">
        <v>172.97489999999999</v>
      </c>
      <c r="M3741">
        <v>-0.23869950000000001</v>
      </c>
      <c r="N3741">
        <v>0</v>
      </c>
      <c r="O3741">
        <v>-0.97099919999999995</v>
      </c>
      <c r="P3741">
        <v>-0.28561829999999999</v>
      </c>
      <c r="Q3741">
        <v>2.9624549999999999E-2</v>
      </c>
      <c r="R3741">
        <v>-0.95788569999999995</v>
      </c>
      <c r="S3741">
        <v>-0.88319400000000003</v>
      </c>
      <c r="T3741">
        <v>-0.287522</v>
      </c>
      <c r="U3741">
        <v>-2.8777309999999998</v>
      </c>
      <c r="V3741">
        <v>4.8488410000000003E-2</v>
      </c>
      <c r="W3741">
        <v>4.337506E-2</v>
      </c>
      <c r="X3741">
        <v>0.99788149999999998</v>
      </c>
      <c r="Y3741">
        <v>5.5393369999999997E-2</v>
      </c>
      <c r="Z3741">
        <v>9.2976379999999997E-2</v>
      </c>
      <c r="AA3741">
        <v>0.99412630000000002</v>
      </c>
      <c r="AB3741">
        <v>28</v>
      </c>
      <c r="AC3741">
        <v>-0.18509999999997701</v>
      </c>
      <c r="AD3741">
        <v>-7.7876999999999696E-2</v>
      </c>
      <c r="AE3741">
        <v>-0.55169999999998198</v>
      </c>
      <c r="AF3741">
        <v>4.7200493066046997E-2</v>
      </c>
      <c r="AG3741">
        <v>-7.7876999999999696E-2</v>
      </c>
      <c r="AH3741">
        <v>0.56973292421801802</v>
      </c>
      <c r="AI3741">
        <v>97.757292861392003</v>
      </c>
      <c r="AJ3741">
        <v>85.264049127306507</v>
      </c>
      <c r="AK3741">
        <v>0.57696474642103801</v>
      </c>
      <c r="AL3741">
        <v>87.514012200913996</v>
      </c>
      <c r="AM3741">
        <v>87.218108761905199</v>
      </c>
      <c r="AN3741">
        <v>1.00000000488829</v>
      </c>
    </row>
    <row r="3742" spans="1:40" x14ac:dyDescent="0.25">
      <c r="A3742" t="str">
        <f>"20190312151101752"</f>
        <v>20190312151101752</v>
      </c>
      <c r="B3742" t="str">
        <f>"1552374661745192"</f>
        <v>1552374661745192</v>
      </c>
      <c r="C3742" t="s">
        <v>40</v>
      </c>
      <c r="D3742">
        <v>5.4694010000000004</v>
      </c>
      <c r="E3742">
        <v>0.50212290000000004</v>
      </c>
      <c r="F3742" t="s">
        <v>41</v>
      </c>
      <c r="G3742">
        <v>-192.1198</v>
      </c>
      <c r="H3742">
        <v>1.0317940000000001</v>
      </c>
      <c r="I3742">
        <v>172.1781</v>
      </c>
      <c r="J3742">
        <v>-191.94049999999999</v>
      </c>
      <c r="K3742">
        <v>1.112161</v>
      </c>
      <c r="L3742">
        <v>172.70009999999999</v>
      </c>
      <c r="M3742">
        <v>-0.236155</v>
      </c>
      <c r="N3742">
        <v>0</v>
      </c>
      <c r="O3742">
        <v>-0.97162110000000002</v>
      </c>
      <c r="P3742">
        <v>-0.2836593</v>
      </c>
      <c r="Q3742">
        <v>2.8920620000000001E-2</v>
      </c>
      <c r="R3742">
        <v>-0.95848920000000004</v>
      </c>
      <c r="S3742">
        <v>-0.88081359999999997</v>
      </c>
      <c r="T3742">
        <v>-0.29028860000000001</v>
      </c>
      <c r="U3742">
        <v>-2.8782649999999999</v>
      </c>
      <c r="V3742">
        <v>4.9057469999999999E-2</v>
      </c>
      <c r="W3742">
        <v>4.2678099999999997E-2</v>
      </c>
      <c r="X3742">
        <v>0.99788370000000004</v>
      </c>
      <c r="Y3742">
        <v>5.7179019999999997E-2</v>
      </c>
      <c r="Z3742">
        <v>9.3941839999999999E-2</v>
      </c>
      <c r="AA3742">
        <v>0.99393430000000005</v>
      </c>
      <c r="AB3742">
        <v>28</v>
      </c>
      <c r="AC3742">
        <v>-0.17930000000001201</v>
      </c>
      <c r="AD3742">
        <v>-8.03669999999998E-2</v>
      </c>
      <c r="AE3742">
        <v>-0.52199999999999103</v>
      </c>
      <c r="AF3742">
        <v>4.9885737824229899E-2</v>
      </c>
      <c r="AG3742">
        <v>-8.03669999999998E-2</v>
      </c>
      <c r="AH3742">
        <v>0.53816884375292695</v>
      </c>
      <c r="AI3742">
        <v>98.457721743531806</v>
      </c>
      <c r="AJ3742">
        <v>84.704082545871302</v>
      </c>
      <c r="AK3742">
        <v>0.54641847142426503</v>
      </c>
      <c r="AL3742">
        <v>87.553981990659906</v>
      </c>
      <c r="AM3742">
        <v>87.185518870882504</v>
      </c>
      <c r="AN3742">
        <v>0.99999996715404904</v>
      </c>
    </row>
    <row r="3743" spans="1:40" x14ac:dyDescent="0.25">
      <c r="A3743" t="str">
        <f>"20190312151101765"</f>
        <v>20190312151101765</v>
      </c>
      <c r="B3743" t="str">
        <f>"1552374661754952"</f>
        <v>1552374661754952</v>
      </c>
      <c r="C3743" t="s">
        <v>40</v>
      </c>
      <c r="D3743">
        <v>5.4488099999999999</v>
      </c>
      <c r="E3743">
        <v>0.50227659999999996</v>
      </c>
      <c r="F3743" t="s">
        <v>41</v>
      </c>
      <c r="G3743">
        <v>-192.17509999999999</v>
      </c>
      <c r="H3743">
        <v>1.034022</v>
      </c>
      <c r="I3743">
        <v>171.9299</v>
      </c>
      <c r="J3743">
        <v>-191.9795</v>
      </c>
      <c r="K3743">
        <v>1.1121780000000001</v>
      </c>
      <c r="L3743">
        <v>172.53299999999999</v>
      </c>
      <c r="M3743">
        <v>-0.23459759999999999</v>
      </c>
      <c r="N3743">
        <v>0</v>
      </c>
      <c r="O3743">
        <v>-0.97199829999999998</v>
      </c>
      <c r="P3743">
        <v>-0.28212409999999999</v>
      </c>
      <c r="Q3743">
        <v>2.8894659999999999E-2</v>
      </c>
      <c r="R3743">
        <v>-0.95894270000000004</v>
      </c>
      <c r="S3743">
        <v>-0.87619020000000003</v>
      </c>
      <c r="T3743">
        <v>-0.29231430000000003</v>
      </c>
      <c r="U3743">
        <v>-2.8794400000000002</v>
      </c>
      <c r="V3743">
        <v>4.9057330000000003E-2</v>
      </c>
      <c r="W3743">
        <v>4.2654270000000001E-2</v>
      </c>
      <c r="X3743">
        <v>0.99788480000000002</v>
      </c>
      <c r="Y3743">
        <v>5.7186340000000002E-2</v>
      </c>
      <c r="Z3743">
        <v>9.4630569999999997E-2</v>
      </c>
      <c r="AA3743">
        <v>0.99386859999999999</v>
      </c>
      <c r="AB3743">
        <v>28</v>
      </c>
      <c r="AC3743">
        <v>-0.19559999999998401</v>
      </c>
      <c r="AD3743">
        <v>-7.81560000000001E-2</v>
      </c>
      <c r="AE3743">
        <v>-0.60309999999998298</v>
      </c>
      <c r="AF3743">
        <v>4.7913451080419403E-2</v>
      </c>
      <c r="AG3743">
        <v>-7.81560000000001E-2</v>
      </c>
      <c r="AH3743">
        <v>0.622695326802851</v>
      </c>
      <c r="AI3743">
        <v>97.133055994069395</v>
      </c>
      <c r="AJ3743">
        <v>85.600031377655995</v>
      </c>
      <c r="AK3743">
        <v>0.62940728400022905</v>
      </c>
      <c r="AL3743">
        <v>87.555348774765505</v>
      </c>
      <c r="AM3743">
        <v>87.185529987416899</v>
      </c>
      <c r="AN3743">
        <v>1.0000000412234999</v>
      </c>
    </row>
    <row r="3744" spans="1:40" x14ac:dyDescent="0.25">
      <c r="A3744" t="str">
        <f>"20190312151101785"</f>
        <v>20190312151101785</v>
      </c>
      <c r="B3744" t="str">
        <f>"1552374661774476"</f>
        <v>1552374661774476</v>
      </c>
      <c r="C3744" t="s">
        <v>40</v>
      </c>
      <c r="D3744">
        <v>5.4031969999999996</v>
      </c>
      <c r="E3744">
        <v>0.50260930000000004</v>
      </c>
      <c r="F3744" t="s">
        <v>41</v>
      </c>
      <c r="G3744">
        <v>-192.2355</v>
      </c>
      <c r="H3744">
        <v>1.026416</v>
      </c>
      <c r="I3744">
        <v>171.6883</v>
      </c>
      <c r="J3744">
        <v>-192.0368</v>
      </c>
      <c r="K3744">
        <v>1.1121909999999999</v>
      </c>
      <c r="L3744">
        <v>172.28450000000001</v>
      </c>
      <c r="M3744">
        <v>-0.2322727</v>
      </c>
      <c r="N3744">
        <v>0</v>
      </c>
      <c r="O3744">
        <v>-0.97255650000000005</v>
      </c>
      <c r="P3744">
        <v>-0.28005760000000002</v>
      </c>
      <c r="Q3744">
        <v>2.8910169999999999E-2</v>
      </c>
      <c r="R3744">
        <v>-0.95954810000000001</v>
      </c>
      <c r="S3744">
        <v>-0.87300109999999997</v>
      </c>
      <c r="T3744">
        <v>-0.29240129999999998</v>
      </c>
      <c r="U3744">
        <v>-2.8804020000000001</v>
      </c>
      <c r="V3744">
        <v>4.929236E-2</v>
      </c>
      <c r="W3744">
        <v>4.267286E-2</v>
      </c>
      <c r="X3744">
        <v>0.99787239999999999</v>
      </c>
      <c r="Y3744">
        <v>5.8471780000000001E-2</v>
      </c>
      <c r="Z3744">
        <v>9.4720509999999994E-2</v>
      </c>
      <c r="AA3744">
        <v>0.99378520000000004</v>
      </c>
      <c r="AB3744">
        <v>28</v>
      </c>
      <c r="AC3744">
        <v>-0.19870000000000199</v>
      </c>
      <c r="AD3744">
        <v>-8.5774999999999907E-2</v>
      </c>
      <c r="AE3744">
        <v>-0.59620000000001006</v>
      </c>
      <c r="AF3744">
        <v>5.3769330856052303E-2</v>
      </c>
      <c r="AG3744">
        <v>-8.5774999999999907E-2</v>
      </c>
      <c r="AH3744">
        <v>0.61459864307065704</v>
      </c>
      <c r="AI3744">
        <v>97.915182771503197</v>
      </c>
      <c r="AJ3744">
        <v>85.000100198324603</v>
      </c>
      <c r="AK3744">
        <v>0.62288039271596995</v>
      </c>
      <c r="AL3744">
        <v>87.554282619257506</v>
      </c>
      <c r="AM3744">
        <v>87.172032823886994</v>
      </c>
      <c r="AN3744">
        <v>1.0000000182083499</v>
      </c>
    </row>
    <row r="3745" spans="1:40" x14ac:dyDescent="0.25">
      <c r="A3745" t="str">
        <f>"20190312151101808"</f>
        <v>20190312151101808</v>
      </c>
      <c r="B3745" t="str">
        <f>"1552374661804729"</f>
        <v>1552374661804729</v>
      </c>
      <c r="C3745" t="s">
        <v>40</v>
      </c>
      <c r="D3745">
        <v>5.3471510000000002</v>
      </c>
      <c r="E3745">
        <v>0.50290449999999998</v>
      </c>
      <c r="F3745" t="s">
        <v>41</v>
      </c>
      <c r="G3745">
        <v>-192.2912</v>
      </c>
      <c r="H3745">
        <v>1.0267470000000001</v>
      </c>
      <c r="I3745">
        <v>171.44159999999999</v>
      </c>
      <c r="J3745">
        <v>-192.1018</v>
      </c>
      <c r="K3745">
        <v>1.1122019999999999</v>
      </c>
      <c r="L3745">
        <v>171.99950000000001</v>
      </c>
      <c r="M3745">
        <v>-0.2295991</v>
      </c>
      <c r="N3745">
        <v>0</v>
      </c>
      <c r="O3745">
        <v>-0.97319120000000003</v>
      </c>
      <c r="P3745">
        <v>-0.27708059999999901</v>
      </c>
      <c r="Q3745">
        <v>2.9712820000000001E-2</v>
      </c>
      <c r="R3745">
        <v>-0.96038760000000001</v>
      </c>
      <c r="S3745">
        <v>-0.8694153</v>
      </c>
      <c r="T3745">
        <v>-0.29220930000000001</v>
      </c>
      <c r="U3745">
        <v>-2.8815309999999998</v>
      </c>
      <c r="V3745">
        <v>4.8940490000000003E-2</v>
      </c>
      <c r="W3745">
        <v>4.3474619999999999E-2</v>
      </c>
      <c r="X3745">
        <v>0.99785509999999999</v>
      </c>
      <c r="Y3745">
        <v>5.9974449999999999E-2</v>
      </c>
      <c r="Z3745">
        <v>9.4727790000000006E-2</v>
      </c>
      <c r="AA3745">
        <v>0.99369499999999999</v>
      </c>
      <c r="AB3745">
        <v>28</v>
      </c>
      <c r="AC3745">
        <v>-0.18940000000000601</v>
      </c>
      <c r="AD3745">
        <v>-8.5455000000000197E-2</v>
      </c>
      <c r="AE3745">
        <v>-0.55790000000001705</v>
      </c>
      <c r="AF3745">
        <v>5.50755851581642E-2</v>
      </c>
      <c r="AG3745">
        <v>-8.5455000000000197E-2</v>
      </c>
      <c r="AH3745">
        <v>0.57439935369842399</v>
      </c>
      <c r="AI3745">
        <v>98.423910357679006</v>
      </c>
      <c r="AJ3745">
        <v>84.523007350706393</v>
      </c>
      <c r="AK3745">
        <v>0.58332709060584698</v>
      </c>
      <c r="AL3745">
        <v>87.508302453291293</v>
      </c>
      <c r="AM3745">
        <v>87.192139043723898</v>
      </c>
      <c r="AN3745">
        <v>1.00000000737079</v>
      </c>
    </row>
    <row r="3746" spans="1:40" x14ac:dyDescent="0.25">
      <c r="A3746" t="str">
        <f>"20190312151101830"</f>
        <v>20190312151101830</v>
      </c>
      <c r="B3746" t="str">
        <f>"1552374661825225"</f>
        <v>1552374661825225</v>
      </c>
      <c r="C3746" t="s">
        <v>40</v>
      </c>
      <c r="D3746">
        <v>5.3151830000000002</v>
      </c>
      <c r="E3746">
        <v>0.52530600000000005</v>
      </c>
      <c r="F3746" t="s">
        <v>41</v>
      </c>
      <c r="G3746">
        <v>-192.34350000000001</v>
      </c>
      <c r="H3746">
        <v>1.031274</v>
      </c>
      <c r="I3746">
        <v>171.19220000000001</v>
      </c>
      <c r="J3746">
        <v>-192.16079999999999</v>
      </c>
      <c r="K3746">
        <v>1.1122080000000001</v>
      </c>
      <c r="L3746">
        <v>171.73740000000001</v>
      </c>
      <c r="M3746">
        <v>-0.2271319</v>
      </c>
      <c r="N3746">
        <v>0</v>
      </c>
      <c r="O3746">
        <v>-0.97376969999999996</v>
      </c>
      <c r="P3746">
        <v>-0.27462510000000001</v>
      </c>
      <c r="Q3746">
        <v>2.998818E-2</v>
      </c>
      <c r="R3746">
        <v>-0.96108380000000004</v>
      </c>
      <c r="S3746">
        <v>-0.86300659999999896</v>
      </c>
      <c r="T3746">
        <v>-0.28913870000000003</v>
      </c>
      <c r="U3746">
        <v>-2.8837130000000002</v>
      </c>
      <c r="V3746">
        <v>4.8918799999999998E-2</v>
      </c>
      <c r="W3746">
        <v>4.375093E-2</v>
      </c>
      <c r="X3746">
        <v>0.99784410000000001</v>
      </c>
      <c r="Y3746">
        <v>6.0297490000000002E-2</v>
      </c>
      <c r="Z3746">
        <v>9.3785199999999999E-2</v>
      </c>
      <c r="AA3746">
        <v>0.9937648</v>
      </c>
      <c r="AB3746">
        <v>28</v>
      </c>
      <c r="AC3746">
        <v>-0.18270000000001099</v>
      </c>
      <c r="AD3746">
        <v>-8.0934000000000006E-2</v>
      </c>
      <c r="AE3746">
        <v>-0.54519999999999402</v>
      </c>
      <c r="AF3746">
        <v>5.3029749990174402E-2</v>
      </c>
      <c r="AG3746">
        <v>-8.0934000000000006E-2</v>
      </c>
      <c r="AH3746">
        <v>0.56132774823176002</v>
      </c>
      <c r="AI3746">
        <v>98.168665892549001</v>
      </c>
      <c r="AJ3746">
        <v>84.603171086913207</v>
      </c>
      <c r="AK3746">
        <v>0.56960627425877097</v>
      </c>
      <c r="AL3746">
        <v>87.492456011421993</v>
      </c>
      <c r="AM3746">
        <v>87.193350583125493</v>
      </c>
      <c r="AN3746">
        <v>1.00000002038705</v>
      </c>
    </row>
    <row r="3747" spans="1:40" x14ac:dyDescent="0.25">
      <c r="A3747" t="str">
        <f>"20190312151101843"</f>
        <v>20190312151101843</v>
      </c>
      <c r="B3747" t="str">
        <f>"1552374661834984"</f>
        <v>1552374661834984</v>
      </c>
      <c r="C3747" t="s">
        <v>40</v>
      </c>
      <c r="D3747">
        <v>5.5811380000000002</v>
      </c>
      <c r="E3747">
        <v>0.52530600000000005</v>
      </c>
      <c r="F3747" t="s">
        <v>41</v>
      </c>
      <c r="G3747">
        <v>-192.44110000000001</v>
      </c>
      <c r="H3747">
        <v>1.0135379999999901</v>
      </c>
      <c r="I3747">
        <v>170.9648</v>
      </c>
      <c r="J3747">
        <v>-192.19829999999999</v>
      </c>
      <c r="K3747">
        <v>1.1122110000000001</v>
      </c>
      <c r="L3747">
        <v>171.56950000000001</v>
      </c>
      <c r="M3747">
        <v>-0.22554589999999999</v>
      </c>
      <c r="N3747">
        <v>0</v>
      </c>
      <c r="O3747">
        <v>-0.97413830000000001</v>
      </c>
      <c r="P3747">
        <v>-0.27282879999999998</v>
      </c>
      <c r="Q3747">
        <v>3.0220150000000001E-2</v>
      </c>
      <c r="R3747">
        <v>-0.96158809999999995</v>
      </c>
      <c r="S3747">
        <v>-1.029236</v>
      </c>
      <c r="T3747">
        <v>-0.36270360000000001</v>
      </c>
      <c r="U3747">
        <v>-2.8387150000000001</v>
      </c>
      <c r="V3747">
        <v>4.8679090000000001E-2</v>
      </c>
      <c r="W3747">
        <v>4.3981970000000002E-2</v>
      </c>
      <c r="X3747">
        <v>0.9978456</v>
      </c>
      <c r="Y3747">
        <v>0.11758449999999999</v>
      </c>
      <c r="Z3747">
        <v>0.1178022</v>
      </c>
      <c r="AA3747">
        <v>0.98605100000000001</v>
      </c>
      <c r="AB3747">
        <v>28</v>
      </c>
      <c r="AC3747">
        <v>-0.242800000000016</v>
      </c>
      <c r="AD3747">
        <v>-9.8673000000000205E-2</v>
      </c>
      <c r="AE3747">
        <v>-0.60470000000000801</v>
      </c>
      <c r="AF3747">
        <v>9.7897584769489801E-2</v>
      </c>
      <c r="AG3747">
        <v>-9.8673000000000205E-2</v>
      </c>
      <c r="AH3747">
        <v>0.62944986075846299</v>
      </c>
      <c r="AI3747">
        <v>98.805051433253297</v>
      </c>
      <c r="AJ3747">
        <v>81.159681918118807</v>
      </c>
      <c r="AK3747">
        <v>0.64461416773256497</v>
      </c>
      <c r="AL3747">
        <v>87.479205473723098</v>
      </c>
      <c r="AM3747">
        <v>87.207085979972803</v>
      </c>
      <c r="AN3747">
        <v>0.99999995446383305</v>
      </c>
    </row>
    <row r="3748" spans="1:40" x14ac:dyDescent="0.25">
      <c r="A3748" t="str">
        <f>"20190312151101854"</f>
        <v>20190312151101854</v>
      </c>
      <c r="B3748" t="str">
        <f>"1552374661844745"</f>
        <v>1552374661844745</v>
      </c>
      <c r="C3748" t="s">
        <v>40</v>
      </c>
      <c r="D3748">
        <v>5.5799000000000003</v>
      </c>
      <c r="E3748">
        <v>0.52843459999999998</v>
      </c>
      <c r="F3748" t="s">
        <v>41</v>
      </c>
      <c r="G3748">
        <v>-192.50290000000001</v>
      </c>
      <c r="H3748">
        <v>1.0045869999999999</v>
      </c>
      <c r="I3748">
        <v>170.72470000000001</v>
      </c>
      <c r="J3748">
        <v>-192.23079999999999</v>
      </c>
      <c r="K3748">
        <v>1.1122160000000001</v>
      </c>
      <c r="L3748">
        <v>171.42250000000001</v>
      </c>
      <c r="M3748">
        <v>-0.2241532</v>
      </c>
      <c r="N3748">
        <v>0</v>
      </c>
      <c r="O3748">
        <v>-0.97445990000000005</v>
      </c>
      <c r="P3748">
        <v>-0.27176800000000001</v>
      </c>
      <c r="Q3748">
        <v>2.9823889999999999E-2</v>
      </c>
      <c r="R3748">
        <v>-0.96190050000000005</v>
      </c>
      <c r="S3748">
        <v>-1.0240940000000001</v>
      </c>
      <c r="T3748">
        <v>-0.36200700000000002</v>
      </c>
      <c r="U3748">
        <v>-2.8406370000000001</v>
      </c>
      <c r="V3748">
        <v>4.9003659999999997E-2</v>
      </c>
      <c r="W3748">
        <v>4.3588000000000002E-2</v>
      </c>
      <c r="X3748">
        <v>0.99784700000000004</v>
      </c>
      <c r="Y3748">
        <v>0.11722009999999999</v>
      </c>
      <c r="Z3748">
        <v>0.1176</v>
      </c>
      <c r="AA3748">
        <v>0.98611850000000001</v>
      </c>
      <c r="AB3748">
        <v>28</v>
      </c>
      <c r="AC3748">
        <v>-0.27210000000002299</v>
      </c>
      <c r="AD3748">
        <v>-0.107628999999999</v>
      </c>
      <c r="AE3748">
        <v>-0.69779999999999998</v>
      </c>
      <c r="AF3748">
        <v>0.10654619994789299</v>
      </c>
      <c r="AG3748">
        <v>-0.107628999999999</v>
      </c>
      <c r="AH3748">
        <v>0.72604512831222801</v>
      </c>
      <c r="AI3748">
        <v>98.3440355804955</v>
      </c>
      <c r="AJ3748">
        <v>81.651505643245201</v>
      </c>
      <c r="AK3748">
        <v>0.74167218008379998</v>
      </c>
      <c r="AL3748">
        <v>87.501799960421707</v>
      </c>
      <c r="AM3748">
        <v>87.188497819267397</v>
      </c>
      <c r="AN3748">
        <v>0.99999995392319596</v>
      </c>
    </row>
    <row r="3749" spans="1:40" x14ac:dyDescent="0.25">
      <c r="A3749" t="str">
        <f>"20190312151101868"</f>
        <v>20190312151101868</v>
      </c>
      <c r="B3749" t="str">
        <f>"1552374661865240"</f>
        <v>1552374661865240</v>
      </c>
      <c r="C3749" t="s">
        <v>40</v>
      </c>
      <c r="D3749">
        <v>5.5300830000000003</v>
      </c>
      <c r="E3749">
        <v>0.5374293</v>
      </c>
      <c r="F3749" t="s">
        <v>79</v>
      </c>
      <c r="G3749">
        <v>-197.49789999999999</v>
      </c>
      <c r="H3749" s="1">
        <v>-1.434456E-5</v>
      </c>
      <c r="I3749">
        <v>157.10079999999999</v>
      </c>
      <c r="J3749">
        <v>-192.2627</v>
      </c>
      <c r="K3749">
        <v>1.1122270000000001</v>
      </c>
      <c r="L3749">
        <v>171.27709999999999</v>
      </c>
      <c r="M3749">
        <v>-0.22276889999999999</v>
      </c>
      <c r="N3749">
        <v>0</v>
      </c>
      <c r="O3749">
        <v>-0.97477720000000001</v>
      </c>
      <c r="P3749">
        <v>-0.27061869999999999</v>
      </c>
      <c r="Q3749">
        <v>2.961099E-2</v>
      </c>
      <c r="R3749">
        <v>-0.96223130000000001</v>
      </c>
      <c r="S3749">
        <v>-1.0413209999999999</v>
      </c>
      <c r="T3749">
        <v>-0.21989110000000001</v>
      </c>
      <c r="U3749">
        <v>-2.8314360000000001</v>
      </c>
      <c r="V3749">
        <v>4.9227920000000001E-2</v>
      </c>
      <c r="W3749">
        <v>4.3376959999999999E-2</v>
      </c>
      <c r="X3749">
        <v>0.99784519999999999</v>
      </c>
      <c r="Y3749">
        <v>0.12648209999999999</v>
      </c>
      <c r="Z3749">
        <v>7.1902220000000003E-2</v>
      </c>
      <c r="AA3749">
        <v>0.98935960000000001</v>
      </c>
      <c r="AB3749">
        <v>28</v>
      </c>
      <c r="AC3749">
        <v>-5.2351999999999901</v>
      </c>
      <c r="AD3749">
        <v>-1.1122413445599999</v>
      </c>
      <c r="AE3749">
        <v>-14.1762999999999</v>
      </c>
      <c r="AF3749">
        <v>1.9348125948452</v>
      </c>
      <c r="AG3749">
        <v>-1.1122413445599999</v>
      </c>
      <c r="AH3749">
        <v>14.9056062775554</v>
      </c>
      <c r="AI3749">
        <v>94.232070887655695</v>
      </c>
      <c r="AJ3749">
        <v>82.604111537979605</v>
      </c>
      <c r="AK3749">
        <v>15.0717510292341</v>
      </c>
      <c r="AL3749">
        <v>87.513903214179095</v>
      </c>
      <c r="AM3749">
        <v>87.175646979799396</v>
      </c>
      <c r="AN3749">
        <v>0.99999999596470401</v>
      </c>
    </row>
    <row r="3750" spans="1:40" x14ac:dyDescent="0.25">
      <c r="A3750" t="str">
        <f>"20190312151101886"</f>
        <v>20190312151101886</v>
      </c>
      <c r="B3750" t="str">
        <f>"1552374661875001"</f>
        <v>1552374661875001</v>
      </c>
      <c r="C3750" t="s">
        <v>40</v>
      </c>
      <c r="D3750">
        <v>5.3233470000000001</v>
      </c>
      <c r="E3750">
        <v>0.53584350000000003</v>
      </c>
      <c r="F3750" t="s">
        <v>41</v>
      </c>
      <c r="G3750">
        <v>-192.5778</v>
      </c>
      <c r="H3750">
        <v>1.0151509999999999</v>
      </c>
      <c r="I3750">
        <v>170.4776</v>
      </c>
      <c r="J3750">
        <v>-192.31290000000001</v>
      </c>
      <c r="K3750">
        <v>1.1122369999999999</v>
      </c>
      <c r="L3750">
        <v>171.04650000000001</v>
      </c>
      <c r="M3750">
        <v>-0.2205636</v>
      </c>
      <c r="N3750">
        <v>0</v>
      </c>
      <c r="O3750">
        <v>-0.97527870000000005</v>
      </c>
      <c r="P3750">
        <v>-0.2694626</v>
      </c>
      <c r="Q3750">
        <v>2.9867919999999999E-2</v>
      </c>
      <c r="R3750">
        <v>-0.96254779999999995</v>
      </c>
      <c r="S3750">
        <v>-1.1098479999999999</v>
      </c>
      <c r="T3750">
        <v>-0.34205970000000002</v>
      </c>
      <c r="U3750">
        <v>-2.816147</v>
      </c>
      <c r="V3750">
        <v>5.0285969999999999E-2</v>
      </c>
      <c r="W3750">
        <v>4.3639459999999998E-2</v>
      </c>
      <c r="X3750">
        <v>0.99778100000000003</v>
      </c>
      <c r="Y3750">
        <v>0.15006949999999999</v>
      </c>
      <c r="Z3750">
        <v>0.1114165</v>
      </c>
      <c r="AA3750">
        <v>0.98237750000000001</v>
      </c>
      <c r="AB3750">
        <v>28</v>
      </c>
      <c r="AC3750">
        <v>-0.26489999999998298</v>
      </c>
      <c r="AD3750">
        <v>-9.70860000000002E-2</v>
      </c>
      <c r="AE3750">
        <v>-0.56890000000001295</v>
      </c>
      <c r="AF3750">
        <v>0.12977873392779801</v>
      </c>
      <c r="AG3750">
        <v>-9.70860000000002E-2</v>
      </c>
      <c r="AH3750">
        <v>0.59898341629194496</v>
      </c>
      <c r="AI3750">
        <v>99.0013786379848</v>
      </c>
      <c r="AJ3750">
        <v>77.7749692629626</v>
      </c>
      <c r="AK3750">
        <v>0.62052344368981904</v>
      </c>
      <c r="AL3750">
        <v>87.498848833101803</v>
      </c>
      <c r="AM3750">
        <v>87.114859647926096</v>
      </c>
      <c r="AN3750">
        <v>1.00000000260446</v>
      </c>
    </row>
    <row r="3751" spans="1:40" x14ac:dyDescent="0.25">
      <c r="A3751" t="str">
        <f>"20190312151101899"</f>
        <v>20190312151101899</v>
      </c>
      <c r="B3751" t="str">
        <f>"1552374661894521"</f>
        <v>1552374661894521</v>
      </c>
      <c r="C3751" t="s">
        <v>40</v>
      </c>
      <c r="D3751">
        <v>5.3339100000000004</v>
      </c>
      <c r="E3751">
        <v>0.53432809999999997</v>
      </c>
      <c r="F3751" t="s">
        <v>41</v>
      </c>
      <c r="G3751">
        <v>-192.62889999999999</v>
      </c>
      <c r="H3751">
        <v>1.013479</v>
      </c>
      <c r="I3751">
        <v>170.2319</v>
      </c>
      <c r="J3751">
        <v>-192.34690000000001</v>
      </c>
      <c r="K3751">
        <v>1.1122479999999999</v>
      </c>
      <c r="L3751">
        <v>170.88929999999999</v>
      </c>
      <c r="M3751">
        <v>-0.21905340000000001</v>
      </c>
      <c r="N3751">
        <v>0</v>
      </c>
      <c r="O3751">
        <v>-0.97561920000000002</v>
      </c>
      <c r="P3751">
        <v>-0.26855289999999998</v>
      </c>
      <c r="Q3751">
        <v>2.9838380000000001E-2</v>
      </c>
      <c r="R3751">
        <v>-0.96280310000000002</v>
      </c>
      <c r="S3751">
        <v>-1.094284</v>
      </c>
      <c r="T3751">
        <v>-0.34201999999999999</v>
      </c>
      <c r="U3751">
        <v>-2.8210139999999999</v>
      </c>
      <c r="V3751">
        <v>5.088732E-2</v>
      </c>
      <c r="W3751">
        <v>4.3613720000000002E-2</v>
      </c>
      <c r="X3751">
        <v>0.99775170000000002</v>
      </c>
      <c r="Y3751">
        <v>0.14631810000000001</v>
      </c>
      <c r="Z3751">
        <v>0.11142299999999999</v>
      </c>
      <c r="AA3751">
        <v>0.98294250000000005</v>
      </c>
      <c r="AB3751">
        <v>28</v>
      </c>
      <c r="AC3751">
        <v>-0.28199999999998199</v>
      </c>
      <c r="AD3751">
        <v>-9.8768999999999801E-2</v>
      </c>
      <c r="AE3751">
        <v>-0.65739999999999499</v>
      </c>
      <c r="AF3751">
        <v>0.12867770931029901</v>
      </c>
      <c r="AG3751">
        <v>-9.8768999999999801E-2</v>
      </c>
      <c r="AH3751">
        <v>0.69005381444982095</v>
      </c>
      <c r="AI3751">
        <v>98.009326345214305</v>
      </c>
      <c r="AJ3751">
        <v>79.437094950046202</v>
      </c>
      <c r="AK3751">
        <v>0.70886355180041105</v>
      </c>
      <c r="AL3751">
        <v>87.500325188961497</v>
      </c>
      <c r="AM3751">
        <v>87.080331150640703</v>
      </c>
      <c r="AN3751">
        <v>1.00000006538095</v>
      </c>
    </row>
    <row r="3752" spans="1:40" x14ac:dyDescent="0.25">
      <c r="A3752" t="str">
        <f>"20190312151101911"</f>
        <v>20190312151101911</v>
      </c>
      <c r="B3752" t="str">
        <f>"1552374661904281"</f>
        <v>1552374661904281</v>
      </c>
      <c r="C3752" t="s">
        <v>40</v>
      </c>
      <c r="D3752">
        <v>5.340414</v>
      </c>
      <c r="E3752">
        <v>0.53486109999999998</v>
      </c>
      <c r="F3752" t="s">
        <v>41</v>
      </c>
      <c r="G3752">
        <v>-192.68889999999999</v>
      </c>
      <c r="H3752">
        <v>0.99796620000000003</v>
      </c>
      <c r="I3752">
        <v>169.995</v>
      </c>
      <c r="J3752">
        <v>-192.37899999999999</v>
      </c>
      <c r="K3752">
        <v>1.112255</v>
      </c>
      <c r="L3752">
        <v>170.73910000000001</v>
      </c>
      <c r="M3752">
        <v>-0.2176014</v>
      </c>
      <c r="N3752">
        <v>0</v>
      </c>
      <c r="O3752">
        <v>-0.97594369999999997</v>
      </c>
      <c r="P3752">
        <v>-0.26767079999999999</v>
      </c>
      <c r="Q3752">
        <v>2.9668159999999999E-2</v>
      </c>
      <c r="R3752">
        <v>-0.96305379999999996</v>
      </c>
      <c r="S3752">
        <v>-1.080292</v>
      </c>
      <c r="T3752">
        <v>-0.3612669</v>
      </c>
      <c r="U3752">
        <v>-2.8257750000000001</v>
      </c>
      <c r="V3752">
        <v>5.1457200000000002E-2</v>
      </c>
      <c r="W3752">
        <v>4.3446510000000001E-2</v>
      </c>
      <c r="X3752">
        <v>0.99772969999999905</v>
      </c>
      <c r="Y3752">
        <v>0.14273079999999999</v>
      </c>
      <c r="Z3752">
        <v>0.11761099999999999</v>
      </c>
      <c r="AA3752">
        <v>0.98274899999999998</v>
      </c>
      <c r="AB3752">
        <v>28</v>
      </c>
      <c r="AC3752">
        <v>-0.30989999999996998</v>
      </c>
      <c r="AD3752">
        <v>-0.114288799999999</v>
      </c>
      <c r="AE3752">
        <v>-0.74410000000000298</v>
      </c>
      <c r="AF3752">
        <v>0.137770921969327</v>
      </c>
      <c r="AG3752">
        <v>-0.114288799999999</v>
      </c>
      <c r="AH3752">
        <v>0.77806511303713499</v>
      </c>
      <c r="AI3752">
        <v>98.230101951601199</v>
      </c>
      <c r="AJ3752">
        <v>79.958793308671801</v>
      </c>
      <c r="AK3752">
        <v>0.79839092985279303</v>
      </c>
      <c r="AL3752">
        <v>87.509914538656005</v>
      </c>
      <c r="AM3752">
        <v>87.0476267282679</v>
      </c>
      <c r="AN3752">
        <v>0.99999999846255405</v>
      </c>
    </row>
    <row r="3753" spans="1:40" x14ac:dyDescent="0.25">
      <c r="A3753" t="str">
        <f>"20190312151101929"</f>
        <v>20190312151101929</v>
      </c>
      <c r="B3753" t="str">
        <f>"1552374661924777"</f>
        <v>1552374661924777</v>
      </c>
      <c r="C3753" t="s">
        <v>40</v>
      </c>
      <c r="D3753">
        <v>5.3109209999999996</v>
      </c>
      <c r="E3753">
        <v>0.5366744</v>
      </c>
      <c r="F3753" t="s">
        <v>41</v>
      </c>
      <c r="G3753">
        <v>-192.66909999999999</v>
      </c>
      <c r="H3753">
        <v>1.01657</v>
      </c>
      <c r="I3753">
        <v>169.9819</v>
      </c>
      <c r="J3753">
        <v>-192.42779999999999</v>
      </c>
      <c r="K3753">
        <v>1.1122650000000001</v>
      </c>
      <c r="L3753">
        <v>170.50899999999999</v>
      </c>
      <c r="M3753">
        <v>-0.21536710000000001</v>
      </c>
      <c r="N3753">
        <v>0</v>
      </c>
      <c r="O3753">
        <v>-0.97643939999999996</v>
      </c>
      <c r="P3753">
        <v>-0.266403</v>
      </c>
      <c r="Q3753">
        <v>2.9456019999999999E-2</v>
      </c>
      <c r="R3753">
        <v>-0.96341189999999999</v>
      </c>
      <c r="S3753">
        <v>-1.081558</v>
      </c>
      <c r="T3753">
        <v>-0.35721340000000001</v>
      </c>
      <c r="U3753">
        <v>-2.8254999999999999</v>
      </c>
      <c r="V3753">
        <v>5.2426710000000001E-2</v>
      </c>
      <c r="W3753">
        <v>4.323929E-2</v>
      </c>
      <c r="X3753">
        <v>0.99768820000000003</v>
      </c>
      <c r="Y3753">
        <v>0.1454656</v>
      </c>
      <c r="Z3753">
        <v>0.1163757</v>
      </c>
      <c r="AA3753">
        <v>0.98249500000000001</v>
      </c>
      <c r="AB3753">
        <v>28</v>
      </c>
      <c r="AC3753">
        <v>-0.24129999999999499</v>
      </c>
      <c r="AD3753">
        <v>-9.5695000000000002E-2</v>
      </c>
      <c r="AE3753">
        <v>-0.527100000000018</v>
      </c>
      <c r="AF3753">
        <v>0.118866922163927</v>
      </c>
      <c r="AG3753">
        <v>-9.5695000000000002E-2</v>
      </c>
      <c r="AH3753">
        <v>0.55166838417919895</v>
      </c>
      <c r="AI3753">
        <v>99.6242673841315</v>
      </c>
      <c r="AJ3753">
        <v>77.840488756335006</v>
      </c>
      <c r="AK3753">
        <v>0.57238525864369805</v>
      </c>
      <c r="AL3753">
        <v>87.521798468146002</v>
      </c>
      <c r="AM3753">
        <v>86.991977101096694</v>
      </c>
      <c r="AN3753">
        <v>0.99999997027018295</v>
      </c>
    </row>
    <row r="3754" spans="1:40" x14ac:dyDescent="0.25">
      <c r="A3754" t="str">
        <f>"20190312151101942"</f>
        <v>20190312151101942</v>
      </c>
      <c r="B3754" t="str">
        <f>"1552374661934537"</f>
        <v>1552374661934537</v>
      </c>
      <c r="C3754" t="s">
        <v>40</v>
      </c>
      <c r="D3754">
        <v>5.3451909999999998</v>
      </c>
      <c r="E3754">
        <v>0.53695539999999997</v>
      </c>
      <c r="F3754" t="s">
        <v>41</v>
      </c>
      <c r="G3754">
        <v>-192.72640000000001</v>
      </c>
      <c r="H3754">
        <v>1.016446</v>
      </c>
      <c r="I3754">
        <v>169.7371</v>
      </c>
      <c r="J3754">
        <v>-192.459</v>
      </c>
      <c r="K3754">
        <v>1.112268</v>
      </c>
      <c r="L3754">
        <v>170.3605</v>
      </c>
      <c r="M3754">
        <v>-0.21392030000000001</v>
      </c>
      <c r="N3754">
        <v>0</v>
      </c>
      <c r="O3754">
        <v>-0.97675719999999999</v>
      </c>
      <c r="P3754">
        <v>-0.26504919999999998</v>
      </c>
      <c r="Q3754">
        <v>2.9169730000000001E-2</v>
      </c>
      <c r="R3754">
        <v>-0.96379349999999997</v>
      </c>
      <c r="S3754">
        <v>-1.0920559999999999</v>
      </c>
      <c r="T3754">
        <v>-0.35030339999999999</v>
      </c>
      <c r="U3754">
        <v>-2.8226619999999998</v>
      </c>
      <c r="V3754">
        <v>5.2502210000000001E-2</v>
      </c>
      <c r="W3754">
        <v>4.2954399999999997E-2</v>
      </c>
      <c r="X3754">
        <v>0.99769660000000004</v>
      </c>
      <c r="Y3754">
        <v>0.15053520000000001</v>
      </c>
      <c r="Z3754">
        <v>0.1141997</v>
      </c>
      <c r="AA3754">
        <v>0.98198649999999998</v>
      </c>
      <c r="AB3754">
        <v>28</v>
      </c>
      <c r="AC3754">
        <v>-0.26740000000000902</v>
      </c>
      <c r="AD3754">
        <v>-9.5822000000000004E-2</v>
      </c>
      <c r="AE3754">
        <v>-0.62340000000000295</v>
      </c>
      <c r="AF3754">
        <v>0.12533758918445501</v>
      </c>
      <c r="AG3754">
        <v>-9.5822000000000004E-2</v>
      </c>
      <c r="AH3754">
        <v>0.65314048867187902</v>
      </c>
      <c r="AI3754">
        <v>98.198792476213697</v>
      </c>
      <c r="AJ3754">
        <v>79.137006606944695</v>
      </c>
      <c r="AK3754">
        <v>0.67192549057846596</v>
      </c>
      <c r="AL3754">
        <v>87.538136800341704</v>
      </c>
      <c r="AM3754">
        <v>86.987678518371695</v>
      </c>
      <c r="AN3754">
        <v>1.0000000340929001</v>
      </c>
    </row>
    <row r="3755" spans="1:40" x14ac:dyDescent="0.25">
      <c r="A3755" t="str">
        <f>"20190312151101954"</f>
        <v>20190312151101954</v>
      </c>
      <c r="B3755" t="str">
        <f>"1552374661944296"</f>
        <v>1552374661944296</v>
      </c>
      <c r="C3755" t="s">
        <v>40</v>
      </c>
      <c r="D3755">
        <v>5.3390680000000001</v>
      </c>
      <c r="E3755">
        <v>0.53733129999999996</v>
      </c>
      <c r="F3755" t="s">
        <v>41</v>
      </c>
      <c r="G3755">
        <v>-192.79179999999999</v>
      </c>
      <c r="H3755">
        <v>1.0062150000000001</v>
      </c>
      <c r="I3755">
        <v>169.499</v>
      </c>
      <c r="J3755">
        <v>-192.49209999999999</v>
      </c>
      <c r="K3755">
        <v>1.112271</v>
      </c>
      <c r="L3755">
        <v>170.20169999999999</v>
      </c>
      <c r="M3755">
        <v>-0.21236769999999999</v>
      </c>
      <c r="N3755">
        <v>0</v>
      </c>
      <c r="O3755">
        <v>-0.97709610000000002</v>
      </c>
      <c r="P3755">
        <v>-0.26369419999999999</v>
      </c>
      <c r="Q3755">
        <v>2.8904619999999999E-2</v>
      </c>
      <c r="R3755">
        <v>-0.96417339999999996</v>
      </c>
      <c r="S3755">
        <v>-1.0902400000000001</v>
      </c>
      <c r="T3755">
        <v>-0.34761130000000001</v>
      </c>
      <c r="U3755">
        <v>-2.8233950000000001</v>
      </c>
      <c r="V3755">
        <v>5.2684729999999999E-2</v>
      </c>
      <c r="W3755">
        <v>4.2690470000000001E-2</v>
      </c>
      <c r="X3755">
        <v>0.99769819999999998</v>
      </c>
      <c r="Y3755">
        <v>0.15150629999999901</v>
      </c>
      <c r="Z3755">
        <v>0.1133691</v>
      </c>
      <c r="AA3755">
        <v>0.98193339999999996</v>
      </c>
      <c r="AB3755">
        <v>28</v>
      </c>
      <c r="AC3755">
        <v>-0.29970000000000102</v>
      </c>
      <c r="AD3755">
        <v>-0.106056</v>
      </c>
      <c r="AE3755">
        <v>-0.70269999999996402</v>
      </c>
      <c r="AF3755">
        <v>0.140902456851631</v>
      </c>
      <c r="AG3755">
        <v>-0.106056</v>
      </c>
      <c r="AH3755">
        <v>0.73613324222519805</v>
      </c>
      <c r="AI3755">
        <v>98.054048208931505</v>
      </c>
      <c r="AJ3755">
        <v>79.164141459450207</v>
      </c>
      <c r="AK3755">
        <v>0.75696335960983496</v>
      </c>
      <c r="AL3755">
        <v>87.553272498578494</v>
      </c>
      <c r="AM3755">
        <v>86.977230634276097</v>
      </c>
      <c r="AN3755">
        <v>0.99999992764361401</v>
      </c>
    </row>
    <row r="3756" spans="1:40" x14ac:dyDescent="0.25">
      <c r="A3756" t="str">
        <f>"20190312151101975"</f>
        <v>20190312151101975</v>
      </c>
      <c r="B3756" t="str">
        <f>"1552374661964795"</f>
        <v>1552374661964795</v>
      </c>
      <c r="C3756" t="s">
        <v>40</v>
      </c>
      <c r="D3756">
        <v>5.3947659999999997</v>
      </c>
      <c r="E3756">
        <v>0.53714589999999995</v>
      </c>
      <c r="F3756" t="s">
        <v>41</v>
      </c>
      <c r="G3756">
        <v>-192.7687</v>
      </c>
      <c r="H3756">
        <v>1.025096</v>
      </c>
      <c r="I3756">
        <v>169.48509999999999</v>
      </c>
      <c r="J3756">
        <v>-192.54400000000001</v>
      </c>
      <c r="K3756">
        <v>1.112276</v>
      </c>
      <c r="L3756">
        <v>169.94990000000001</v>
      </c>
      <c r="M3756">
        <v>-0.20989849999999999</v>
      </c>
      <c r="N3756">
        <v>0</v>
      </c>
      <c r="O3756">
        <v>-0.97762950000000004</v>
      </c>
      <c r="P3756">
        <v>-0.2618897</v>
      </c>
      <c r="Q3756">
        <v>2.8203309999999999E-2</v>
      </c>
      <c r="R3756">
        <v>-0.96468569999999998</v>
      </c>
      <c r="S3756">
        <v>-1.0894469999999901</v>
      </c>
      <c r="T3756">
        <v>-0.34360489999999999</v>
      </c>
      <c r="U3756">
        <v>-2.8238370000000002</v>
      </c>
      <c r="V3756">
        <v>5.3337849999999999E-2</v>
      </c>
      <c r="W3756">
        <v>4.1992059999999998E-2</v>
      </c>
      <c r="X3756">
        <v>0.99769319999999895</v>
      </c>
      <c r="Y3756">
        <v>0.15376300000000001</v>
      </c>
      <c r="Z3756">
        <v>0.1121398</v>
      </c>
      <c r="AA3756">
        <v>0.98172380000000004</v>
      </c>
      <c r="AB3756">
        <v>28</v>
      </c>
      <c r="AC3756">
        <v>-0.224699999999984</v>
      </c>
      <c r="AD3756">
        <v>-8.7179999999999994E-2</v>
      </c>
      <c r="AE3756">
        <v>-0.46480000000002503</v>
      </c>
      <c r="AF3756">
        <v>0.118737781673704</v>
      </c>
      <c r="AG3756">
        <v>-8.7179999999999994E-2</v>
      </c>
      <c r="AH3756">
        <v>0.48770492174353702</v>
      </c>
      <c r="AI3756">
        <v>99.852974535385698</v>
      </c>
      <c r="AJ3756">
        <v>76.316841377436802</v>
      </c>
      <c r="AK3756">
        <v>0.50946550804707302</v>
      </c>
      <c r="AL3756">
        <v>87.593324516890405</v>
      </c>
      <c r="AM3756">
        <v>86.939813566424107</v>
      </c>
      <c r="AN3756">
        <v>0.99999999033595199</v>
      </c>
    </row>
    <row r="3757" spans="1:40" x14ac:dyDescent="0.25">
      <c r="A3757" t="str">
        <f>"20190312151101990"</f>
        <v>20190312151101990</v>
      </c>
      <c r="B3757" t="str">
        <f>"1552374661984313"</f>
        <v>1552374661984313</v>
      </c>
      <c r="C3757" t="s">
        <v>40</v>
      </c>
      <c r="D3757">
        <v>5.4491180000000004</v>
      </c>
      <c r="E3757">
        <v>0.53730619999999996</v>
      </c>
      <c r="F3757" t="s">
        <v>41</v>
      </c>
      <c r="G3757">
        <v>-192.8169</v>
      </c>
      <c r="H3757">
        <v>1.0286879999999901</v>
      </c>
      <c r="I3757">
        <v>169.2371</v>
      </c>
      <c r="J3757">
        <v>-192.57910000000001</v>
      </c>
      <c r="K3757">
        <v>1.1122780000000001</v>
      </c>
      <c r="L3757">
        <v>169.77799999999999</v>
      </c>
      <c r="M3757">
        <v>-0.20820930000000001</v>
      </c>
      <c r="N3757">
        <v>0</v>
      </c>
      <c r="O3757">
        <v>-0.97799069999999999</v>
      </c>
      <c r="P3757">
        <v>-0.26060860000000002</v>
      </c>
      <c r="Q3757">
        <v>2.8142259999999999E-2</v>
      </c>
      <c r="R3757">
        <v>-0.96503459999999996</v>
      </c>
      <c r="S3757">
        <v>-1.0818019999999999</v>
      </c>
      <c r="T3757">
        <v>-0.33130219999999999</v>
      </c>
      <c r="U3757">
        <v>-2.8258359999999998</v>
      </c>
      <c r="V3757">
        <v>5.3736859999999997E-2</v>
      </c>
      <c r="W3757">
        <v>4.1932520000000001E-2</v>
      </c>
      <c r="X3757">
        <v>0.99767430000000001</v>
      </c>
      <c r="Y3757">
        <v>0.15308089999999999</v>
      </c>
      <c r="Z3757">
        <v>0.1082195</v>
      </c>
      <c r="AA3757">
        <v>0.98227019999999998</v>
      </c>
      <c r="AB3757">
        <v>28</v>
      </c>
      <c r="AC3757">
        <v>-0.23779999999999199</v>
      </c>
      <c r="AD3757">
        <v>-8.3590000000000206E-2</v>
      </c>
      <c r="AE3757">
        <v>-0.54089999999999305</v>
      </c>
      <c r="AF3757">
        <v>0.117603062608279</v>
      </c>
      <c r="AG3757">
        <v>-8.3590000000000206E-2</v>
      </c>
      <c r="AH3757">
        <v>0.567208251481084</v>
      </c>
      <c r="AI3757">
        <v>98.211208400691604</v>
      </c>
      <c r="AJ3757">
        <v>78.286451869377103</v>
      </c>
      <c r="AK3757">
        <v>0.58527170526437999</v>
      </c>
      <c r="AL3757">
        <v>87.596738932566197</v>
      </c>
      <c r="AM3757">
        <v>86.916906619285399</v>
      </c>
      <c r="AN3757">
        <v>0.99999999761835001</v>
      </c>
    </row>
    <row r="3758" spans="1:40" x14ac:dyDescent="0.25">
      <c r="A3758" t="str">
        <f>"20190312151102009"</f>
        <v>20190312151102009</v>
      </c>
      <c r="B3758" t="str">
        <f>"1552374662004809"</f>
        <v>1552374662004809</v>
      </c>
      <c r="C3758" t="s">
        <v>40</v>
      </c>
      <c r="D3758">
        <v>5.3955599999999997</v>
      </c>
      <c r="E3758">
        <v>0.53828759999999998</v>
      </c>
      <c r="F3758" t="s">
        <v>41</v>
      </c>
      <c r="G3758">
        <v>-192.87729999999999</v>
      </c>
      <c r="H3758">
        <v>1.0220009999999999</v>
      </c>
      <c r="I3758">
        <v>168.99680000000001</v>
      </c>
      <c r="J3758">
        <v>-192.62729999999999</v>
      </c>
      <c r="K3758">
        <v>1.1122749999999999</v>
      </c>
      <c r="L3758">
        <v>169.53909999999999</v>
      </c>
      <c r="M3758">
        <v>-0.20585980000000001</v>
      </c>
      <c r="N3758">
        <v>0</v>
      </c>
      <c r="O3758">
        <v>-0.97848780000000002</v>
      </c>
      <c r="P3758">
        <v>-0.25892169999999998</v>
      </c>
      <c r="Q3758">
        <v>2.8231050000000001E-2</v>
      </c>
      <c r="R3758">
        <v>-0.96548590000000001</v>
      </c>
      <c r="S3758">
        <v>-1.0789029999999999</v>
      </c>
      <c r="T3758">
        <v>-0.32670199999999999</v>
      </c>
      <c r="U3758">
        <v>-2.8268740000000001</v>
      </c>
      <c r="V3758">
        <v>5.4390000000000001E-2</v>
      </c>
      <c r="W3758">
        <v>4.2023030000000003E-2</v>
      </c>
      <c r="X3758">
        <v>0.9976351</v>
      </c>
      <c r="Y3758">
        <v>0.15451139999999999</v>
      </c>
      <c r="Z3758">
        <v>0.1067858</v>
      </c>
      <c r="AA3758">
        <v>0.9822031</v>
      </c>
      <c r="AB3758">
        <v>28</v>
      </c>
      <c r="AC3758">
        <v>-0.25</v>
      </c>
      <c r="AD3758">
        <v>-9.0273999999999896E-2</v>
      </c>
      <c r="AE3758">
        <v>-0.54229999999998302</v>
      </c>
      <c r="AF3758">
        <v>0.13002482257154599</v>
      </c>
      <c r="AG3758">
        <v>-9.0273999999999896E-2</v>
      </c>
      <c r="AH3758">
        <v>0.56914517081342197</v>
      </c>
      <c r="AI3758">
        <v>98.789996198630604</v>
      </c>
      <c r="AJ3758">
        <v>77.131265291788594</v>
      </c>
      <c r="AK3758">
        <v>0.59074704825415802</v>
      </c>
      <c r="AL3758">
        <v>87.591548522050502</v>
      </c>
      <c r="AM3758">
        <v>86.879384672360601</v>
      </c>
      <c r="AN3758">
        <v>0.99999999995119504</v>
      </c>
    </row>
    <row r="3759" spans="1:40" x14ac:dyDescent="0.25">
      <c r="A3759" t="str">
        <f>"20190312151102033"</f>
        <v>20190312151102033</v>
      </c>
      <c r="B3759" t="str">
        <f>"1552374662024330"</f>
        <v>1552374662024330</v>
      </c>
      <c r="C3759" t="s">
        <v>40</v>
      </c>
      <c r="D3759">
        <v>5.4687950000000001</v>
      </c>
      <c r="E3759">
        <v>0.5389832</v>
      </c>
      <c r="F3759" t="s">
        <v>41</v>
      </c>
      <c r="G3759">
        <v>-192.92840000000001</v>
      </c>
      <c r="H3759">
        <v>1.021431</v>
      </c>
      <c r="I3759">
        <v>168.7518</v>
      </c>
      <c r="J3759">
        <v>-192.68510000000001</v>
      </c>
      <c r="K3759">
        <v>1.112271</v>
      </c>
      <c r="L3759">
        <v>169.24889999999999</v>
      </c>
      <c r="M3759">
        <v>-0.20300650000000001</v>
      </c>
      <c r="N3759">
        <v>0</v>
      </c>
      <c r="O3759">
        <v>-0.97908379999999995</v>
      </c>
      <c r="P3759">
        <v>-0.25666290000000003</v>
      </c>
      <c r="Q3759">
        <v>2.8991050000000001E-2</v>
      </c>
      <c r="R3759">
        <v>-0.96606650000000005</v>
      </c>
      <c r="S3759">
        <v>-1.0812379999999999</v>
      </c>
      <c r="T3759">
        <v>-0.32616440000000002</v>
      </c>
      <c r="U3759">
        <v>-2.8268589999999998</v>
      </c>
      <c r="V3759">
        <v>5.4966260000000003E-2</v>
      </c>
      <c r="W3759">
        <v>4.2783849999999998E-2</v>
      </c>
      <c r="X3759">
        <v>0.99757119999999999</v>
      </c>
      <c r="Y3759">
        <v>0.15810550000000001</v>
      </c>
      <c r="Z3759">
        <v>0.1066631</v>
      </c>
      <c r="AA3759">
        <v>0.98164430000000003</v>
      </c>
      <c r="AB3759">
        <v>28</v>
      </c>
      <c r="AC3759">
        <v>-0.24330000000000401</v>
      </c>
      <c r="AD3759">
        <v>-9.0840000000000004E-2</v>
      </c>
      <c r="AE3759">
        <v>-0.497099999999989</v>
      </c>
      <c r="AF3759">
        <v>0.13370703175936199</v>
      </c>
      <c r="AG3759">
        <v>-9.0840000000000004E-2</v>
      </c>
      <c r="AH3759">
        <v>0.52207822238943102</v>
      </c>
      <c r="AI3759">
        <v>99.567664089447106</v>
      </c>
      <c r="AJ3759">
        <v>75.634998134630706</v>
      </c>
      <c r="AK3759">
        <v>0.54653009636726102</v>
      </c>
      <c r="AL3759">
        <v>87.547917560280794</v>
      </c>
      <c r="AM3759">
        <v>86.846186658656507</v>
      </c>
      <c r="AN3759">
        <v>1.00000002331432</v>
      </c>
    </row>
    <row r="3760" spans="1:40" x14ac:dyDescent="0.25">
      <c r="A3760" t="str">
        <f>"20190312151102052"</f>
        <v>20190312151102052</v>
      </c>
      <c r="B3760" t="str">
        <f>"1552374662044825"</f>
        <v>1552374662044825</v>
      </c>
      <c r="C3760" t="s">
        <v>40</v>
      </c>
      <c r="D3760">
        <v>5.3092920000000001</v>
      </c>
      <c r="E3760">
        <v>0.53975550000000005</v>
      </c>
      <c r="F3760" t="s">
        <v>41</v>
      </c>
      <c r="G3760">
        <v>-192.96979999999999</v>
      </c>
      <c r="H3760">
        <v>1.0234939999999999</v>
      </c>
      <c r="I3760">
        <v>168.50380000000001</v>
      </c>
      <c r="J3760">
        <v>-192.73390000000001</v>
      </c>
      <c r="K3760">
        <v>1.112268</v>
      </c>
      <c r="L3760">
        <v>168.99979999999999</v>
      </c>
      <c r="M3760">
        <v>-0.20055909999999999</v>
      </c>
      <c r="N3760">
        <v>0</v>
      </c>
      <c r="O3760">
        <v>-0.97958820000000002</v>
      </c>
      <c r="P3760">
        <v>-0.2555809</v>
      </c>
      <c r="Q3760">
        <v>2.9932319999999998E-2</v>
      </c>
      <c r="R3760">
        <v>-0.96632459999999998</v>
      </c>
      <c r="S3760">
        <v>-1.0804290000000001</v>
      </c>
      <c r="T3760">
        <v>-0.33709440000000002</v>
      </c>
      <c r="U3760">
        <v>-2.82843</v>
      </c>
      <c r="V3760">
        <v>5.6344020000000002E-2</v>
      </c>
      <c r="W3760">
        <v>4.3729480000000001E-2</v>
      </c>
      <c r="X3760">
        <v>0.99745329999999999</v>
      </c>
      <c r="Y3760">
        <v>0.1600057</v>
      </c>
      <c r="Z3760">
        <v>0.11020870000000001</v>
      </c>
      <c r="AA3760">
        <v>0.98094460000000006</v>
      </c>
      <c r="AB3760">
        <v>28</v>
      </c>
      <c r="AC3760">
        <v>-0.23589999999998601</v>
      </c>
      <c r="AD3760">
        <v>-8.8773999999999895E-2</v>
      </c>
      <c r="AE3760">
        <v>-0.49599999999998001</v>
      </c>
      <c r="AF3760">
        <v>0.128268640981819</v>
      </c>
      <c r="AG3760">
        <v>-8.8773999999999895E-2</v>
      </c>
      <c r="AH3760">
        <v>0.51966059379326401</v>
      </c>
      <c r="AI3760">
        <v>99.416959997288203</v>
      </c>
      <c r="AJ3760">
        <v>76.134742399692598</v>
      </c>
      <c r="AK3760">
        <v>0.542568705397658</v>
      </c>
      <c r="AL3760">
        <v>87.493686134209</v>
      </c>
      <c r="AM3760">
        <v>86.766918885840795</v>
      </c>
      <c r="AN3760">
        <v>1.00000000084586</v>
      </c>
    </row>
    <row r="3761" spans="1:40" x14ac:dyDescent="0.25">
      <c r="A3761" t="str">
        <f>"20190312151102064"</f>
        <v>20190312151102064</v>
      </c>
      <c r="B3761" t="str">
        <f>"1552374662054585"</f>
        <v>1552374662054585</v>
      </c>
      <c r="C3761" t="s">
        <v>40</v>
      </c>
      <c r="D3761">
        <v>5.6072810000000004</v>
      </c>
      <c r="E3761">
        <v>0.5397535</v>
      </c>
      <c r="F3761" t="s">
        <v>41</v>
      </c>
      <c r="G3761">
        <v>-193.01779999999999</v>
      </c>
      <c r="H3761">
        <v>1.023072</v>
      </c>
      <c r="I3761">
        <v>168.2586</v>
      </c>
      <c r="J3761">
        <v>-192.7619</v>
      </c>
      <c r="K3761">
        <v>1.112274</v>
      </c>
      <c r="L3761">
        <v>168.85579999999999</v>
      </c>
      <c r="M3761">
        <v>-0.19914480000000001</v>
      </c>
      <c r="N3761">
        <v>0</v>
      </c>
      <c r="O3761">
        <v>-0.97987659999999999</v>
      </c>
      <c r="P3761">
        <v>-0.25471359999999998</v>
      </c>
      <c r="Q3761">
        <v>3.0272540000000001E-2</v>
      </c>
      <c r="R3761">
        <v>-0.96654269999999998</v>
      </c>
      <c r="S3761">
        <v>-1.083145</v>
      </c>
      <c r="T3761">
        <v>-0.34038849999999998</v>
      </c>
      <c r="U3761">
        <v>-2.8286289999999998</v>
      </c>
      <c r="V3761">
        <v>5.6889679999999998E-2</v>
      </c>
      <c r="W3761">
        <v>4.4071050000000001E-2</v>
      </c>
      <c r="X3761">
        <v>0.9974073</v>
      </c>
      <c r="Y3761">
        <v>0.1621862</v>
      </c>
      <c r="Z3761">
        <v>0.11127479999999999</v>
      </c>
      <c r="AA3761">
        <v>0.98046599999999995</v>
      </c>
      <c r="AB3761">
        <v>28</v>
      </c>
      <c r="AC3761">
        <v>-0.25589999999999602</v>
      </c>
      <c r="AD3761">
        <v>-8.9202000000000004E-2</v>
      </c>
      <c r="AE3761">
        <v>-0.59719999999998596</v>
      </c>
      <c r="AF3761">
        <v>0.129394205338104</v>
      </c>
      <c r="AG3761">
        <v>-8.9202000000000004E-2</v>
      </c>
      <c r="AH3761">
        <v>0.62443150513433099</v>
      </c>
      <c r="AI3761">
        <v>97.962949138064502</v>
      </c>
      <c r="AJ3761">
        <v>78.292903685478194</v>
      </c>
      <c r="AK3761">
        <v>0.64390570876752196</v>
      </c>
      <c r="AL3761">
        <v>87.474096746052595</v>
      </c>
      <c r="AM3761">
        <v>86.735525485603006</v>
      </c>
      <c r="AN3761">
        <v>1.0000000076159401</v>
      </c>
    </row>
    <row r="3762" spans="1:40" x14ac:dyDescent="0.25">
      <c r="A3762" t="str">
        <f>"20190312151102076"</f>
        <v>20190312151102076</v>
      </c>
      <c r="B3762" t="str">
        <f>"1552374662064346"</f>
        <v>1552374662064346</v>
      </c>
      <c r="C3762" t="s">
        <v>40</v>
      </c>
      <c r="D3762">
        <v>5.4783609999999996</v>
      </c>
      <c r="E3762">
        <v>0.5394485</v>
      </c>
      <c r="F3762" t="s">
        <v>41</v>
      </c>
      <c r="G3762">
        <v>-193.08070000000001</v>
      </c>
      <c r="H3762">
        <v>1.0126930000000001</v>
      </c>
      <c r="I3762">
        <v>168.02109999999999</v>
      </c>
      <c r="J3762">
        <v>-192.79</v>
      </c>
      <c r="K3762">
        <v>1.112271</v>
      </c>
      <c r="L3762">
        <v>168.71010000000001</v>
      </c>
      <c r="M3762">
        <v>-0.19771430000000001</v>
      </c>
      <c r="N3762">
        <v>0</v>
      </c>
      <c r="O3762">
        <v>-0.98016630000000005</v>
      </c>
      <c r="P3762">
        <v>-0.25382329999999997</v>
      </c>
      <c r="Q3762">
        <v>2.9973300000000001E-2</v>
      </c>
      <c r="R3762">
        <v>-0.96678640000000005</v>
      </c>
      <c r="S3762">
        <v>-1.0807500000000001</v>
      </c>
      <c r="T3762">
        <v>-0.33766000000000002</v>
      </c>
      <c r="U3762">
        <v>-2.8296199999999998</v>
      </c>
      <c r="V3762">
        <v>5.7427079999999998E-2</v>
      </c>
      <c r="W3762">
        <v>4.377379E-2</v>
      </c>
      <c r="X3762">
        <v>0.99738959999999999</v>
      </c>
      <c r="Y3762">
        <v>0.16282240000000001</v>
      </c>
      <c r="Z3762">
        <v>0.110417</v>
      </c>
      <c r="AA3762">
        <v>0.98045749999999998</v>
      </c>
      <c r="AB3762">
        <v>28</v>
      </c>
      <c r="AC3762">
        <v>-0.290700000000015</v>
      </c>
      <c r="AD3762">
        <v>-9.9577999999999903E-2</v>
      </c>
      <c r="AE3762">
        <v>-0.68900000000002104</v>
      </c>
      <c r="AF3762">
        <v>0.14613171382446999</v>
      </c>
      <c r="AG3762">
        <v>-9.9577999999999903E-2</v>
      </c>
      <c r="AH3762">
        <v>0.72010882016713196</v>
      </c>
      <c r="AI3762">
        <v>97.7176859479992</v>
      </c>
      <c r="AJ3762">
        <v>78.5287366496283</v>
      </c>
      <c r="AK3762">
        <v>0.74150318188917796</v>
      </c>
      <c r="AL3762">
        <v>87.491144958377703</v>
      </c>
      <c r="AM3762">
        <v>86.704697396645699</v>
      </c>
      <c r="AN3762">
        <v>1.0000000141982199</v>
      </c>
    </row>
    <row r="3763" spans="1:40" x14ac:dyDescent="0.25">
      <c r="A3763" t="str">
        <f>"20190312151102087"</f>
        <v>20190312151102087</v>
      </c>
      <c r="B3763" t="str">
        <f>"1552374662084841"</f>
        <v>1552374662084841</v>
      </c>
      <c r="C3763" t="s">
        <v>40</v>
      </c>
      <c r="D3763">
        <v>5.7080859999999998</v>
      </c>
      <c r="E3763">
        <v>0.53944550000000002</v>
      </c>
      <c r="F3763" t="s">
        <v>41</v>
      </c>
      <c r="G3763">
        <v>-193.0565</v>
      </c>
      <c r="H3763">
        <v>1.0286200000000001</v>
      </c>
      <c r="I3763">
        <v>168.00890000000001</v>
      </c>
      <c r="J3763">
        <v>-192.81630000000001</v>
      </c>
      <c r="K3763">
        <v>1.1122639999999999</v>
      </c>
      <c r="L3763">
        <v>168.57239999999999</v>
      </c>
      <c r="M3763">
        <v>-0.19636429999999999</v>
      </c>
      <c r="N3763">
        <v>0</v>
      </c>
      <c r="O3763">
        <v>-0.98043760000000002</v>
      </c>
      <c r="P3763">
        <v>-0.25281389999999998</v>
      </c>
      <c r="Q3763">
        <v>2.9622019999999999E-2</v>
      </c>
      <c r="R3763">
        <v>-0.96706150000000002</v>
      </c>
      <c r="S3763">
        <v>-1.075653</v>
      </c>
      <c r="T3763">
        <v>-0.3378196</v>
      </c>
      <c r="U3763">
        <v>-2.8311310000000001</v>
      </c>
      <c r="V3763">
        <v>5.775947E-2</v>
      </c>
      <c r="W3763">
        <v>4.3423169999999997E-2</v>
      </c>
      <c r="X3763">
        <v>0.99738570000000004</v>
      </c>
      <c r="Y3763">
        <v>0.1624621</v>
      </c>
      <c r="Z3763">
        <v>0.1104967</v>
      </c>
      <c r="AA3763">
        <v>0.9805083</v>
      </c>
      <c r="AB3763">
        <v>28</v>
      </c>
      <c r="AC3763">
        <v>-0.24019999999998701</v>
      </c>
      <c r="AD3763">
        <v>-8.3643999999999802E-2</v>
      </c>
      <c r="AE3763">
        <v>-0.56349999999997602</v>
      </c>
      <c r="AF3763">
        <v>0.122575778116237</v>
      </c>
      <c r="AG3763">
        <v>-8.3643999999999802E-2</v>
      </c>
      <c r="AH3763">
        <v>0.58872121865293703</v>
      </c>
      <c r="AI3763">
        <v>97.918722223386496</v>
      </c>
      <c r="AJ3763">
        <v>78.2386579020163</v>
      </c>
      <c r="AK3763">
        <v>0.60713574545483695</v>
      </c>
      <c r="AL3763">
        <v>87.511253042689006</v>
      </c>
      <c r="AM3763">
        <v>86.685653533967098</v>
      </c>
      <c r="AN3763">
        <v>0.99999998131600898</v>
      </c>
    </row>
    <row r="3764" spans="1:40" x14ac:dyDescent="0.25">
      <c r="A3764" t="str">
        <f>"20190312151102109"</f>
        <v>20190312151102109</v>
      </c>
      <c r="B3764" t="str">
        <f>"1552374662104361"</f>
        <v>1552374662104361</v>
      </c>
      <c r="C3764" t="s">
        <v>40</v>
      </c>
      <c r="D3764">
        <v>5.5669339999999998</v>
      </c>
      <c r="E3764">
        <v>0.53948949999999996</v>
      </c>
      <c r="F3764" t="s">
        <v>41</v>
      </c>
      <c r="G3764">
        <v>-193.11949999999999</v>
      </c>
      <c r="H3764">
        <v>1.0172559999999999</v>
      </c>
      <c r="I3764">
        <v>167.77209999999999</v>
      </c>
      <c r="J3764">
        <v>-192.86500000000001</v>
      </c>
      <c r="K3764">
        <v>1.1122540000000001</v>
      </c>
      <c r="L3764">
        <v>168.31479999999999</v>
      </c>
      <c r="M3764">
        <v>-0.1938481</v>
      </c>
      <c r="N3764">
        <v>0</v>
      </c>
      <c r="O3764">
        <v>-0.98093810000000004</v>
      </c>
      <c r="P3764">
        <v>-0.25071900000000003</v>
      </c>
      <c r="Q3764">
        <v>2.8583790000000001E-2</v>
      </c>
      <c r="R3764">
        <v>-0.96763779999999999</v>
      </c>
      <c r="S3764">
        <v>-1.072586</v>
      </c>
      <c r="T3764">
        <v>-0.33640039999999999</v>
      </c>
      <c r="U3764">
        <v>-2.8320919999999998</v>
      </c>
      <c r="V3764">
        <v>5.815874E-2</v>
      </c>
      <c r="W3764">
        <v>4.2385100000000002E-2</v>
      </c>
      <c r="X3764">
        <v>0.99740720000000005</v>
      </c>
      <c r="Y3764">
        <v>0.16397110000000001</v>
      </c>
      <c r="Z3764">
        <v>0.1100935</v>
      </c>
      <c r="AA3764">
        <v>0.98030249999999997</v>
      </c>
      <c r="AB3764">
        <v>28</v>
      </c>
      <c r="AC3764">
        <v>-0.25449999999997802</v>
      </c>
      <c r="AD3764">
        <v>-9.4998000000000096E-2</v>
      </c>
      <c r="AE3764">
        <v>-0.54269999999999596</v>
      </c>
      <c r="AF3764">
        <v>0.14092101822153</v>
      </c>
      <c r="AG3764">
        <v>-9.4998000000000096E-2</v>
      </c>
      <c r="AH3764">
        <v>0.56748878298702199</v>
      </c>
      <c r="AI3764">
        <v>99.228009037408896</v>
      </c>
      <c r="AJ3764">
        <v>76.054177456459499</v>
      </c>
      <c r="AK3764">
        <v>0.59239081035806396</v>
      </c>
      <c r="AL3764">
        <v>87.570785009969796</v>
      </c>
      <c r="AM3764">
        <v>86.662866052700295</v>
      </c>
      <c r="AN3764">
        <v>1.00000002917611</v>
      </c>
    </row>
    <row r="3765" spans="1:40" x14ac:dyDescent="0.25">
      <c r="A3765" t="str">
        <f>"20190312151102120"</f>
        <v>20190312151102120</v>
      </c>
      <c r="B3765" t="str">
        <f>"1552374662115099"</f>
        <v>1552374662115099</v>
      </c>
      <c r="C3765" t="s">
        <v>40</v>
      </c>
      <c r="D3765">
        <v>5.4059850000000003</v>
      </c>
      <c r="E3765">
        <v>0.53968039999999995</v>
      </c>
      <c r="F3765" t="s">
        <v>41</v>
      </c>
      <c r="G3765">
        <v>-193.16200000000001</v>
      </c>
      <c r="H3765">
        <v>1.017741</v>
      </c>
      <c r="I3765">
        <v>167.52610000000001</v>
      </c>
      <c r="J3765">
        <v>-192.89179999999999</v>
      </c>
      <c r="K3765">
        <v>1.112247</v>
      </c>
      <c r="L3765">
        <v>168.17189999999999</v>
      </c>
      <c r="M3765">
        <v>-0.19245699999999999</v>
      </c>
      <c r="N3765">
        <v>0</v>
      </c>
      <c r="O3765">
        <v>-0.98121219999999998</v>
      </c>
      <c r="P3765">
        <v>-0.24970210000000001</v>
      </c>
      <c r="Q3765">
        <v>2.8697830000000001E-2</v>
      </c>
      <c r="R3765">
        <v>-0.96789740000000002</v>
      </c>
      <c r="S3765">
        <v>-1.0668029999999999</v>
      </c>
      <c r="T3765">
        <v>-0.3397017</v>
      </c>
      <c r="U3765">
        <v>-2.8339539999999999</v>
      </c>
      <c r="V3765">
        <v>5.8525800000000003E-2</v>
      </c>
      <c r="W3765">
        <v>4.2498960000000002E-2</v>
      </c>
      <c r="X3765">
        <v>0.99738090000000001</v>
      </c>
      <c r="Y3765">
        <v>0.16336210000000001</v>
      </c>
      <c r="Z3765">
        <v>0.11118260000000001</v>
      </c>
      <c r="AA3765">
        <v>0.98028119999999996</v>
      </c>
      <c r="AB3765">
        <v>28</v>
      </c>
      <c r="AC3765">
        <v>-0.27020000000001598</v>
      </c>
      <c r="AD3765">
        <v>-9.4505999999999896E-2</v>
      </c>
      <c r="AE3765">
        <v>-0.64579999999997995</v>
      </c>
      <c r="AF3765">
        <v>0.138326702111461</v>
      </c>
      <c r="AG3765">
        <v>-9.4505999999999896E-2</v>
      </c>
      <c r="AH3765">
        <v>0.67345775950056397</v>
      </c>
      <c r="AI3765">
        <v>97.826820050133705</v>
      </c>
      <c r="AJ3765">
        <v>78.393005713630302</v>
      </c>
      <c r="AK3765">
        <v>0.69398199860266696</v>
      </c>
      <c r="AL3765">
        <v>87.564255468337507</v>
      </c>
      <c r="AM3765">
        <v>86.641763944087302</v>
      </c>
      <c r="AN3765">
        <v>1.00000004527576</v>
      </c>
    </row>
    <row r="3766" spans="1:40" x14ac:dyDescent="0.25">
      <c r="A3766" t="str">
        <f>"20190312151102132"</f>
        <v>20190312151102132</v>
      </c>
      <c r="B3766" t="str">
        <f>"1552374662124856"</f>
        <v>1552374662124856</v>
      </c>
      <c r="C3766" t="s">
        <v>40</v>
      </c>
      <c r="D3766">
        <v>5.4427709999999996</v>
      </c>
      <c r="E3766">
        <v>0.53969449999999997</v>
      </c>
      <c r="F3766" t="s">
        <v>41</v>
      </c>
      <c r="G3766">
        <v>-193.2236</v>
      </c>
      <c r="H3766">
        <v>1.006721</v>
      </c>
      <c r="I3766">
        <v>167.28909999999999</v>
      </c>
      <c r="J3766">
        <v>-192.92070000000001</v>
      </c>
      <c r="K3766">
        <v>1.112239</v>
      </c>
      <c r="L3766">
        <v>168.01589999999999</v>
      </c>
      <c r="M3766">
        <v>-0.1909478</v>
      </c>
      <c r="N3766">
        <v>0</v>
      </c>
      <c r="O3766">
        <v>-0.98150689999999996</v>
      </c>
      <c r="P3766">
        <v>-0.248534</v>
      </c>
      <c r="Q3766">
        <v>2.8696579999999999E-2</v>
      </c>
      <c r="R3766">
        <v>-0.96819809999999995</v>
      </c>
      <c r="S3766">
        <v>-1.0652159999999999</v>
      </c>
      <c r="T3766">
        <v>-0.33894540000000001</v>
      </c>
      <c r="U3766">
        <v>-2.8347630000000001</v>
      </c>
      <c r="V3766">
        <v>5.8857409999999999E-2</v>
      </c>
      <c r="W3766">
        <v>4.2496579999999999E-2</v>
      </c>
      <c r="X3766">
        <v>0.99736139999999995</v>
      </c>
      <c r="Y3766">
        <v>0.16431519999999999</v>
      </c>
      <c r="Z3766">
        <v>0.11096</v>
      </c>
      <c r="AA3766">
        <v>0.98014710000000005</v>
      </c>
      <c r="AB3766">
        <v>28</v>
      </c>
      <c r="AC3766">
        <v>-0.30289999999999301</v>
      </c>
      <c r="AD3766">
        <v>-0.105518</v>
      </c>
      <c r="AE3766">
        <v>-0.726799999999997</v>
      </c>
      <c r="AF3766">
        <v>0.15573531937878601</v>
      </c>
      <c r="AG3766">
        <v>-0.105518</v>
      </c>
      <c r="AH3766">
        <v>0.75766144771611998</v>
      </c>
      <c r="AI3766">
        <v>97.768114207388393</v>
      </c>
      <c r="AJ3766">
        <v>78.384779755578606</v>
      </c>
      <c r="AK3766">
        <v>0.78066536197099201</v>
      </c>
      <c r="AL3766">
        <v>87.564391743181304</v>
      </c>
      <c r="AM3766">
        <v>86.6227140586426</v>
      </c>
      <c r="AN3766">
        <v>0.999999958116781</v>
      </c>
    </row>
    <row r="3767" spans="1:40" x14ac:dyDescent="0.25">
      <c r="A3767" t="str">
        <f>"20190312151102145"</f>
        <v>20190312151102145</v>
      </c>
      <c r="B3767" t="str">
        <f>"1552374662134617"</f>
        <v>1552374662134617</v>
      </c>
      <c r="C3767" t="s">
        <v>40</v>
      </c>
      <c r="D3767">
        <v>5.4256489999999999</v>
      </c>
      <c r="E3767">
        <v>0.53974979999999995</v>
      </c>
      <c r="F3767" t="s">
        <v>41</v>
      </c>
      <c r="G3767">
        <v>-193.1977</v>
      </c>
      <c r="H3767">
        <v>1.023733</v>
      </c>
      <c r="I3767">
        <v>167.27629999999999</v>
      </c>
      <c r="J3767">
        <v>-192.9479</v>
      </c>
      <c r="K3767">
        <v>1.112225</v>
      </c>
      <c r="L3767">
        <v>167.8682</v>
      </c>
      <c r="M3767">
        <v>-0.18953210000000001</v>
      </c>
      <c r="N3767">
        <v>0</v>
      </c>
      <c r="O3767">
        <v>-0.98178140000000003</v>
      </c>
      <c r="P3767">
        <v>-0.2473629</v>
      </c>
      <c r="Q3767">
        <v>2.884749E-2</v>
      </c>
      <c r="R3767">
        <v>-0.96849339999999995</v>
      </c>
      <c r="S3767">
        <v>-1.062012</v>
      </c>
      <c r="T3767">
        <v>-0.33950170000000002</v>
      </c>
      <c r="U3767">
        <v>-2.836014</v>
      </c>
      <c r="V3767">
        <v>5.9091329999999997E-2</v>
      </c>
      <c r="W3767">
        <v>4.2645219999999998E-2</v>
      </c>
      <c r="X3767">
        <v>0.99734129999999999</v>
      </c>
      <c r="Y3767">
        <v>0.16461679999999901</v>
      </c>
      <c r="Z3767">
        <v>0.1111588</v>
      </c>
      <c r="AA3767">
        <v>0.980074</v>
      </c>
      <c r="AB3767">
        <v>28</v>
      </c>
      <c r="AC3767">
        <v>-0.249799999999993</v>
      </c>
      <c r="AD3767">
        <v>-8.8492000000000001E-2</v>
      </c>
      <c r="AE3767">
        <v>-0.59190000000000897</v>
      </c>
      <c r="AF3767">
        <v>0.13059931102786301</v>
      </c>
      <c r="AG3767">
        <v>-8.8492000000000001E-2</v>
      </c>
      <c r="AH3767">
        <v>0.61681642381187896</v>
      </c>
      <c r="AI3767">
        <v>97.989510317825804</v>
      </c>
      <c r="AJ3767">
        <v>78.045250503435199</v>
      </c>
      <c r="AK3767">
        <v>0.63667064860022304</v>
      </c>
      <c r="AL3767">
        <v>87.555867757051502</v>
      </c>
      <c r="AM3767">
        <v>86.609254618629606</v>
      </c>
      <c r="AN3767">
        <v>1.0000000343778499</v>
      </c>
    </row>
    <row r="3768" spans="1:40" x14ac:dyDescent="0.25">
      <c r="A3768" t="str">
        <f>"20190312151102164"</f>
        <v>20190312151102164</v>
      </c>
      <c r="B3768" t="str">
        <f>"1552374662155116"</f>
        <v>1552374662155116</v>
      </c>
      <c r="C3768" t="s">
        <v>40</v>
      </c>
      <c r="D3768">
        <v>5.4067860000000003</v>
      </c>
      <c r="E3768">
        <v>0.540045</v>
      </c>
      <c r="F3768" t="s">
        <v>41</v>
      </c>
      <c r="G3768">
        <v>-193.25739999999999</v>
      </c>
      <c r="H3768">
        <v>1.013037</v>
      </c>
      <c r="I3768">
        <v>167.03909999999999</v>
      </c>
      <c r="J3768">
        <v>-192.9914</v>
      </c>
      <c r="K3768">
        <v>1.112195</v>
      </c>
      <c r="L3768">
        <v>167.62970000000001</v>
      </c>
      <c r="M3768">
        <v>-0.18727489999999999</v>
      </c>
      <c r="N3768">
        <v>0</v>
      </c>
      <c r="O3768">
        <v>-0.98221429999999998</v>
      </c>
      <c r="P3768">
        <v>-0.24600159999999999</v>
      </c>
      <c r="Q3768">
        <v>2.861197E-2</v>
      </c>
      <c r="R3768">
        <v>-0.96884700000000001</v>
      </c>
      <c r="S3768">
        <v>-1.0588229999999901</v>
      </c>
      <c r="T3768">
        <v>-0.33948970000000001</v>
      </c>
      <c r="U3768">
        <v>-2.8372959999999998</v>
      </c>
      <c r="V3768">
        <v>5.9985620000000003E-2</v>
      </c>
      <c r="W3768">
        <v>4.240654E-2</v>
      </c>
      <c r="X3768">
        <v>0.99729809999999997</v>
      </c>
      <c r="Y3768">
        <v>0.16577069999999999</v>
      </c>
      <c r="Z3768">
        <v>0.11119130000000001</v>
      </c>
      <c r="AA3768">
        <v>0.97987579999999996</v>
      </c>
      <c r="AB3768">
        <v>28</v>
      </c>
      <c r="AC3768">
        <v>-0.26599999999999102</v>
      </c>
      <c r="AD3768">
        <v>-9.9157999999999802E-2</v>
      </c>
      <c r="AE3768">
        <v>-0.590600000000023</v>
      </c>
      <c r="AF3768">
        <v>0.14722802421779199</v>
      </c>
      <c r="AG3768">
        <v>-9.9157999999999802E-2</v>
      </c>
      <c r="AH3768">
        <v>0.61554359329671204</v>
      </c>
      <c r="AI3768">
        <v>98.904202867061002</v>
      </c>
      <c r="AJ3768">
        <v>76.548495540844002</v>
      </c>
      <c r="AK3768">
        <v>0.64062650220522599</v>
      </c>
      <c r="AL3768">
        <v>87.569555520897197</v>
      </c>
      <c r="AM3768">
        <v>86.557912690807598</v>
      </c>
      <c r="AN3768">
        <v>1.0000000447525801</v>
      </c>
    </row>
    <row r="3769" spans="1:40" x14ac:dyDescent="0.25">
      <c r="A3769" t="str">
        <f>"20190312151102187"</f>
        <v>20190312151102187</v>
      </c>
      <c r="B3769" t="str">
        <f>"1552374662174633"</f>
        <v>1552374662174633</v>
      </c>
      <c r="C3769" t="s">
        <v>40</v>
      </c>
      <c r="D3769">
        <v>5.4708809999999897</v>
      </c>
      <c r="E3769">
        <v>0.54037869999999999</v>
      </c>
      <c r="F3769" t="s">
        <v>41</v>
      </c>
      <c r="G3769">
        <v>-193.3023</v>
      </c>
      <c r="H3769">
        <v>1.0119959999999999</v>
      </c>
      <c r="I3769">
        <v>166.79470000000001</v>
      </c>
      <c r="J3769">
        <v>-193.03989999999999</v>
      </c>
      <c r="K3769">
        <v>1.112139</v>
      </c>
      <c r="L3769">
        <v>167.36009999999999</v>
      </c>
      <c r="M3769">
        <v>-0.1847907</v>
      </c>
      <c r="N3769">
        <v>0</v>
      </c>
      <c r="O3769">
        <v>-0.98268480000000002</v>
      </c>
      <c r="P3769">
        <v>-0.24450230000000001</v>
      </c>
      <c r="Q3769">
        <v>2.7672220000000001E-2</v>
      </c>
      <c r="R3769">
        <v>-0.96925399999999995</v>
      </c>
      <c r="S3769">
        <v>-1.056473</v>
      </c>
      <c r="T3769">
        <v>-0.340698</v>
      </c>
      <c r="U3769">
        <v>-2.838257</v>
      </c>
      <c r="V3769">
        <v>6.096948E-2</v>
      </c>
      <c r="W3769">
        <v>4.146085E-2</v>
      </c>
      <c r="X3769">
        <v>0.9972782</v>
      </c>
      <c r="Y3769">
        <v>0.16742580000000001</v>
      </c>
      <c r="Z3769">
        <v>0.1116259</v>
      </c>
      <c r="AA3769">
        <v>0.97954490000000005</v>
      </c>
      <c r="AB3769">
        <v>28</v>
      </c>
      <c r="AC3769">
        <v>-0.26240000000001301</v>
      </c>
      <c r="AD3769">
        <v>-0.100143</v>
      </c>
      <c r="AE3769">
        <v>-0.56539999999998203</v>
      </c>
      <c r="AF3769">
        <v>0.149530243211765</v>
      </c>
      <c r="AG3769">
        <v>-0.100143</v>
      </c>
      <c r="AH3769">
        <v>0.58895251198499599</v>
      </c>
      <c r="AI3769">
        <v>99.358614955875296</v>
      </c>
      <c r="AJ3769">
        <v>75.754079719377202</v>
      </c>
      <c r="AK3769">
        <v>0.61583518530318304</v>
      </c>
      <c r="AL3769">
        <v>87.623787266641003</v>
      </c>
      <c r="AM3769">
        <v>86.501526410950504</v>
      </c>
      <c r="AN3769">
        <v>1.0000000438847101</v>
      </c>
    </row>
    <row r="3770" spans="1:40" x14ac:dyDescent="0.25">
      <c r="A3770" t="str">
        <f>"20190312151102199"</f>
        <v>20190312151102199</v>
      </c>
      <c r="B3770" t="str">
        <f>"1552374662195129"</f>
        <v>1552374662195129</v>
      </c>
      <c r="C3770" t="s">
        <v>40</v>
      </c>
      <c r="D3770">
        <v>5.4555189999999998</v>
      </c>
      <c r="E3770">
        <v>0.54036359999999894</v>
      </c>
      <c r="F3770" t="s">
        <v>41</v>
      </c>
      <c r="G3770">
        <v>-193.3416</v>
      </c>
      <c r="H3770">
        <v>1.013692</v>
      </c>
      <c r="I3770">
        <v>166.54830000000001</v>
      </c>
      <c r="J3770">
        <v>-193.06569999999999</v>
      </c>
      <c r="K3770">
        <v>1.1120989999999999</v>
      </c>
      <c r="L3770">
        <v>167.21530000000001</v>
      </c>
      <c r="M3770">
        <v>-0.18348349999999999</v>
      </c>
      <c r="N3770">
        <v>0</v>
      </c>
      <c r="O3770">
        <v>-0.98292990000000002</v>
      </c>
      <c r="P3770">
        <v>-0.24364069999999999</v>
      </c>
      <c r="Q3770">
        <v>2.7125389999999999E-2</v>
      </c>
      <c r="R3770">
        <v>-0.96948650000000003</v>
      </c>
      <c r="S3770">
        <v>-1.054657</v>
      </c>
      <c r="T3770">
        <v>-0.34442469999999997</v>
      </c>
      <c r="U3770">
        <v>-2.8389739999999999</v>
      </c>
      <c r="V3770">
        <v>6.1412880000000003E-2</v>
      </c>
      <c r="W3770">
        <v>4.0909139999999997E-2</v>
      </c>
      <c r="X3770">
        <v>0.99727370000000004</v>
      </c>
      <c r="Y3770">
        <v>0.16805699999999901</v>
      </c>
      <c r="Z3770">
        <v>0.11285199999999999</v>
      </c>
      <c r="AA3770">
        <v>0.97929630000000001</v>
      </c>
      <c r="AB3770">
        <v>28</v>
      </c>
      <c r="AC3770">
        <v>-0.27590000000000697</v>
      </c>
      <c r="AD3770">
        <v>-9.8406999999999897E-2</v>
      </c>
      <c r="AE3770">
        <v>-0.66700000000000104</v>
      </c>
      <c r="AF3770">
        <v>0.14610482383935899</v>
      </c>
      <c r="AG3770">
        <v>-9.8406999999999897E-2</v>
      </c>
      <c r="AH3770">
        <v>0.69341345475345195</v>
      </c>
      <c r="AI3770">
        <v>97.9059693011815</v>
      </c>
      <c r="AJ3770">
        <v>78.101606853183597</v>
      </c>
      <c r="AK3770">
        <v>0.71543886980737004</v>
      </c>
      <c r="AL3770">
        <v>87.6554245809957</v>
      </c>
      <c r="AM3770">
        <v>86.476131812752399</v>
      </c>
      <c r="AN3770">
        <v>0.99999996613856101</v>
      </c>
    </row>
    <row r="3771" spans="1:40" x14ac:dyDescent="0.25">
      <c r="A3771" t="str">
        <f>"20190312151102221"</f>
        <v>20190312151102221</v>
      </c>
      <c r="B3771" t="str">
        <f>"1552374662214650"</f>
        <v>1552374662214650</v>
      </c>
      <c r="C3771" t="s">
        <v>40</v>
      </c>
      <c r="D3771">
        <v>5.4126899999999996</v>
      </c>
      <c r="E3771">
        <v>0.54054669999999905</v>
      </c>
      <c r="F3771" t="s">
        <v>41</v>
      </c>
      <c r="G3771">
        <v>-193.40049999999999</v>
      </c>
      <c r="H3771">
        <v>1.0019549999999999</v>
      </c>
      <c r="I3771">
        <v>166.3117</v>
      </c>
      <c r="J3771">
        <v>-193.11490000000001</v>
      </c>
      <c r="K3771">
        <v>1.112006</v>
      </c>
      <c r="L3771">
        <v>166.9367</v>
      </c>
      <c r="M3771">
        <v>-0.18107980000000001</v>
      </c>
      <c r="N3771">
        <v>0</v>
      </c>
      <c r="O3771">
        <v>-0.98337560000000002</v>
      </c>
      <c r="P3771">
        <v>-0.24203179999999999</v>
      </c>
      <c r="Q3771">
        <v>2.6120049999999999E-2</v>
      </c>
      <c r="R3771">
        <v>-0.96991680000000002</v>
      </c>
      <c r="S3771">
        <v>-1.0520320000000001</v>
      </c>
      <c r="T3771">
        <v>-0.34622560000000002</v>
      </c>
      <c r="U3771">
        <v>-2.8397220000000001</v>
      </c>
      <c r="V3771">
        <v>6.220465E-2</v>
      </c>
      <c r="W3771">
        <v>3.9890500000000002E-2</v>
      </c>
      <c r="X3771">
        <v>0.99726590000000004</v>
      </c>
      <c r="Y3771">
        <v>0.16956179999999901</v>
      </c>
      <c r="Z3771">
        <v>0.1134855</v>
      </c>
      <c r="AA3771">
        <v>0.97896369999999999</v>
      </c>
      <c r="AB3771">
        <v>28</v>
      </c>
      <c r="AC3771">
        <v>-0.28559999999998797</v>
      </c>
      <c r="AD3771">
        <v>-0.110051</v>
      </c>
      <c r="AE3771">
        <v>-0.625</v>
      </c>
      <c r="AF3771">
        <v>0.163498931458092</v>
      </c>
      <c r="AG3771">
        <v>-0.110051</v>
      </c>
      <c r="AH3771">
        <v>0.64972229021877004</v>
      </c>
      <c r="AI3771">
        <v>99.328135052154494</v>
      </c>
      <c r="AJ3771">
        <v>75.875119591437794</v>
      </c>
      <c r="AK3771">
        <v>0.67895668315148106</v>
      </c>
      <c r="AL3771">
        <v>87.7138360612649</v>
      </c>
      <c r="AM3771">
        <v>86.4307889409193</v>
      </c>
      <c r="AN3771">
        <v>0.99999997288733999</v>
      </c>
    </row>
    <row r="3772" spans="1:40" x14ac:dyDescent="0.25">
      <c r="A3772" t="str">
        <f>"20190312151102243"</f>
        <v>20190312151102243</v>
      </c>
      <c r="B3772" t="str">
        <f>"1552374662235145"</f>
        <v>1552374662235145</v>
      </c>
      <c r="C3772" t="s">
        <v>40</v>
      </c>
      <c r="D3772">
        <v>5.4592769999999904</v>
      </c>
      <c r="E3772">
        <v>0.54082680000000005</v>
      </c>
      <c r="F3772" t="s">
        <v>41</v>
      </c>
      <c r="G3772">
        <v>-193.43700000000001</v>
      </c>
      <c r="H3772">
        <v>1.0031829999999999</v>
      </c>
      <c r="I3772">
        <v>166.06540000000001</v>
      </c>
      <c r="J3772">
        <v>-193.16159999999999</v>
      </c>
      <c r="K3772">
        <v>1.111899</v>
      </c>
      <c r="L3772">
        <v>166.6694</v>
      </c>
      <c r="M3772">
        <v>-0.17891550000000001</v>
      </c>
      <c r="N3772">
        <v>0</v>
      </c>
      <c r="O3772">
        <v>-0.98377179999999997</v>
      </c>
      <c r="P3772">
        <v>-0.24065220000000001</v>
      </c>
      <c r="Q3772">
        <v>2.5167120000000001E-2</v>
      </c>
      <c r="R3772">
        <v>-0.97028559999999997</v>
      </c>
      <c r="S3772">
        <v>-1.049072</v>
      </c>
      <c r="T3772">
        <v>-0.3550719</v>
      </c>
      <c r="U3772">
        <v>-2.8408509999999998</v>
      </c>
      <c r="V3772">
        <v>6.2990679999999993E-2</v>
      </c>
      <c r="W3772">
        <v>3.8920879999999998E-2</v>
      </c>
      <c r="X3772">
        <v>0.99725490000000006</v>
      </c>
      <c r="Y3772">
        <v>0.17058879999999901</v>
      </c>
      <c r="Z3772">
        <v>0.11638129999999999</v>
      </c>
      <c r="AA3772">
        <v>0.97844509999999996</v>
      </c>
      <c r="AB3772">
        <v>28</v>
      </c>
      <c r="AC3772">
        <v>-0.27540000000001802</v>
      </c>
      <c r="AD3772">
        <v>-0.10871599999999999</v>
      </c>
      <c r="AE3772">
        <v>-0.60399999999998499</v>
      </c>
      <c r="AF3772">
        <v>0.15862605815567701</v>
      </c>
      <c r="AG3772">
        <v>-0.10871599999999999</v>
      </c>
      <c r="AH3772">
        <v>0.62672060137478602</v>
      </c>
      <c r="AI3772">
        <v>99.5458383696825</v>
      </c>
      <c r="AJ3772">
        <v>75.796445882618499</v>
      </c>
      <c r="AK3772">
        <v>0.655560910342877</v>
      </c>
      <c r="AL3772">
        <v>87.769434438547805</v>
      </c>
      <c r="AM3772">
        <v>86.385766740727206</v>
      </c>
      <c r="AN3772">
        <v>0.99999999812042295</v>
      </c>
    </row>
    <row r="3773" spans="1:40" x14ac:dyDescent="0.25">
      <c r="A3773" t="str">
        <f>"20190312151102254"</f>
        <v>20190312151102254</v>
      </c>
      <c r="B3773" t="str">
        <f>"1552374662244905"</f>
        <v>1552374662244905</v>
      </c>
      <c r="C3773" t="s">
        <v>40</v>
      </c>
      <c r="D3773">
        <v>5.4435599999999997</v>
      </c>
      <c r="E3773">
        <v>0.54093159999999996</v>
      </c>
      <c r="F3773" t="s">
        <v>41</v>
      </c>
      <c r="G3773">
        <v>-193.47489999999999</v>
      </c>
      <c r="H3773">
        <v>1.0039260000000001</v>
      </c>
      <c r="I3773">
        <v>165.81979999999999</v>
      </c>
      <c r="J3773">
        <v>-193.18700000000001</v>
      </c>
      <c r="K3773">
        <v>1.1118300000000001</v>
      </c>
      <c r="L3773">
        <v>166.52269999999999</v>
      </c>
      <c r="M3773">
        <v>-0.17778369999999999</v>
      </c>
      <c r="N3773">
        <v>0</v>
      </c>
      <c r="O3773">
        <v>-0.98397679999999998</v>
      </c>
      <c r="P3773">
        <v>-0.24037439999999999</v>
      </c>
      <c r="Q3773">
        <v>2.5130570000000001E-2</v>
      </c>
      <c r="R3773">
        <v>-0.97035499999999997</v>
      </c>
      <c r="S3773">
        <v>-1.047668</v>
      </c>
      <c r="T3773">
        <v>-0.3611337</v>
      </c>
      <c r="U3773">
        <v>-2.8414000000000001</v>
      </c>
      <c r="V3773">
        <v>6.3858659999999998E-2</v>
      </c>
      <c r="W3773">
        <v>3.8875140000000002E-2</v>
      </c>
      <c r="X3773">
        <v>0.99720149999999996</v>
      </c>
      <c r="Y3773">
        <v>0.17115339999999901</v>
      </c>
      <c r="Z3773">
        <v>0.1183587</v>
      </c>
      <c r="AA3773">
        <v>0.97810920000000001</v>
      </c>
      <c r="AB3773">
        <v>28</v>
      </c>
      <c r="AC3773">
        <v>-0.28789999999997901</v>
      </c>
      <c r="AD3773">
        <v>-0.107903999999999</v>
      </c>
      <c r="AE3773">
        <v>-0.70289999999999897</v>
      </c>
      <c r="AF3773">
        <v>0.15520508974844899</v>
      </c>
      <c r="AG3773">
        <v>-0.107903999999999</v>
      </c>
      <c r="AH3773">
        <v>0.72819369478574103</v>
      </c>
      <c r="AI3773">
        <v>98.246185552991406</v>
      </c>
      <c r="AJ3773">
        <v>77.9681794020171</v>
      </c>
      <c r="AK3773">
        <v>0.75232835266626297</v>
      </c>
      <c r="AL3773">
        <v>87.772057177346596</v>
      </c>
      <c r="AM3773">
        <v>86.335903490927606</v>
      </c>
      <c r="AN3773">
        <v>1.00000001828463</v>
      </c>
    </row>
    <row r="3774" spans="1:40" x14ac:dyDescent="0.25">
      <c r="A3774" t="str">
        <f>"20190312151102277"</f>
        <v>20190312151102277</v>
      </c>
      <c r="B3774" t="str">
        <f>"1552374662264425"</f>
        <v>1552374662264425</v>
      </c>
      <c r="C3774" t="s">
        <v>40</v>
      </c>
      <c r="D3774">
        <v>5.5657290000000001</v>
      </c>
      <c r="E3774">
        <v>0.54105879999999995</v>
      </c>
      <c r="F3774" t="s">
        <v>41</v>
      </c>
      <c r="G3774">
        <v>-193.45060000000001</v>
      </c>
      <c r="H3774">
        <v>1.0204530000000001</v>
      </c>
      <c r="I3774">
        <v>165.80789999999999</v>
      </c>
      <c r="J3774">
        <v>-193.2319</v>
      </c>
      <c r="K3774">
        <v>1.1116969999999999</v>
      </c>
      <c r="L3774">
        <v>166.26220000000001</v>
      </c>
      <c r="M3774">
        <v>-0.17591599999999999</v>
      </c>
      <c r="N3774">
        <v>0</v>
      </c>
      <c r="O3774">
        <v>-0.98431239999999998</v>
      </c>
      <c r="P3774">
        <v>-0.24026739999999999</v>
      </c>
      <c r="Q3774">
        <v>2.357064E-2</v>
      </c>
      <c r="R3774">
        <v>-0.97042079999999997</v>
      </c>
      <c r="S3774">
        <v>-1.047836</v>
      </c>
      <c r="T3774">
        <v>-0.36328729999999998</v>
      </c>
      <c r="U3774">
        <v>-2.8414920000000001</v>
      </c>
      <c r="V3774">
        <v>6.5652680000000005E-2</v>
      </c>
      <c r="W3774">
        <v>3.7296049999999997E-2</v>
      </c>
      <c r="X3774">
        <v>0.99714530000000001</v>
      </c>
      <c r="Y3774">
        <v>0.17303289999999999</v>
      </c>
      <c r="Z3774">
        <v>0.119089899999999</v>
      </c>
      <c r="AA3774">
        <v>0.97768969999999999</v>
      </c>
      <c r="AB3774">
        <v>28</v>
      </c>
      <c r="AC3774">
        <v>-0.218700000000012</v>
      </c>
      <c r="AD3774">
        <v>-9.1243999999999797E-2</v>
      </c>
      <c r="AE3774">
        <v>-0.45430000000001702</v>
      </c>
      <c r="AF3774">
        <v>0.13107038300118501</v>
      </c>
      <c r="AG3774">
        <v>-9.1243999999999797E-2</v>
      </c>
      <c r="AH3774">
        <v>0.47028868720140998</v>
      </c>
      <c r="AI3774">
        <v>100.586122994056</v>
      </c>
      <c r="AJ3774">
        <v>74.426741627289005</v>
      </c>
      <c r="AK3774">
        <v>0.49666524153166097</v>
      </c>
      <c r="AL3774">
        <v>87.862598048060704</v>
      </c>
      <c r="AM3774">
        <v>86.233046435346296</v>
      </c>
      <c r="AN3774">
        <v>1.0000000095244299</v>
      </c>
    </row>
    <row r="3775" spans="1:40" x14ac:dyDescent="0.25">
      <c r="A3775" t="str">
        <f>"20190312151102290"</f>
        <v>20190312151102290</v>
      </c>
      <c r="B3775" t="str">
        <f>"1552374662284921"</f>
        <v>1552374662284921</v>
      </c>
      <c r="C3775" t="s">
        <v>40</v>
      </c>
      <c r="D3775">
        <v>5.4530500000000002</v>
      </c>
      <c r="E3775">
        <v>0.54106399999999999</v>
      </c>
      <c r="F3775" t="s">
        <v>41</v>
      </c>
      <c r="G3775">
        <v>-193.49</v>
      </c>
      <c r="H3775">
        <v>1.0199370000000001</v>
      </c>
      <c r="I3775">
        <v>165.5633</v>
      </c>
      <c r="J3775">
        <v>-193.26130000000001</v>
      </c>
      <c r="K3775">
        <v>1.1115919999999999</v>
      </c>
      <c r="L3775">
        <v>166.09039999999999</v>
      </c>
      <c r="M3775">
        <v>-0.17482819999999999</v>
      </c>
      <c r="N3775">
        <v>0</v>
      </c>
      <c r="O3775">
        <v>-0.9845064</v>
      </c>
      <c r="P3775">
        <v>-0.24028070000000001</v>
      </c>
      <c r="Q3775">
        <v>2.2906639999999999E-2</v>
      </c>
      <c r="R3775">
        <v>-0.9704334</v>
      </c>
      <c r="S3775">
        <v>-1.048721</v>
      </c>
      <c r="T3775">
        <v>-0.37303170000000002</v>
      </c>
      <c r="U3775">
        <v>-2.8408359999999999</v>
      </c>
      <c r="V3775">
        <v>6.6777749999999997E-2</v>
      </c>
      <c r="W3775">
        <v>3.6614649999999999E-2</v>
      </c>
      <c r="X3775">
        <v>0.99709579999999998</v>
      </c>
      <c r="Y3775">
        <v>0.17432700000000001</v>
      </c>
      <c r="Z3775">
        <v>0.1222766</v>
      </c>
      <c r="AA3775">
        <v>0.97706630000000005</v>
      </c>
      <c r="AB3775">
        <v>28</v>
      </c>
      <c r="AC3775">
        <v>-0.22870000000000301</v>
      </c>
      <c r="AD3775">
        <v>-9.1654999999999806E-2</v>
      </c>
      <c r="AE3775">
        <v>-0.52709999999999002</v>
      </c>
      <c r="AF3775">
        <v>0.12971605791759799</v>
      </c>
      <c r="AG3775">
        <v>-9.1654999999999806E-2</v>
      </c>
      <c r="AH3775">
        <v>0.54509702277027094</v>
      </c>
      <c r="AI3775">
        <v>99.289971259913699</v>
      </c>
      <c r="AJ3775">
        <v>76.614360797982201</v>
      </c>
      <c r="AK3775">
        <v>0.56776549643289798</v>
      </c>
      <c r="AL3775">
        <v>87.901665990926503</v>
      </c>
      <c r="AM3775">
        <v>86.168494310080206</v>
      </c>
      <c r="AN3775">
        <v>0.99999996743366104</v>
      </c>
    </row>
    <row r="3776" spans="1:40" x14ac:dyDescent="0.25">
      <c r="A3776" t="str">
        <f>"20190312151102310"</f>
        <v>20190312151102310</v>
      </c>
      <c r="B3776" t="str">
        <f>"1552374662304441"</f>
        <v>1552374662304441</v>
      </c>
      <c r="C3776" t="s">
        <v>40</v>
      </c>
      <c r="D3776">
        <v>5.2306990000000004</v>
      </c>
      <c r="E3776">
        <v>0.54190959999999999</v>
      </c>
      <c r="F3776" t="s">
        <v>41</v>
      </c>
      <c r="G3776">
        <v>-193.54349999999999</v>
      </c>
      <c r="H3776">
        <v>1.0099819999999999</v>
      </c>
      <c r="I3776">
        <v>165.32570000000001</v>
      </c>
      <c r="J3776">
        <v>-193.3014</v>
      </c>
      <c r="K3776">
        <v>1.111421</v>
      </c>
      <c r="L3776">
        <v>165.85499999999999</v>
      </c>
      <c r="M3776">
        <v>-0.17349339999999999</v>
      </c>
      <c r="N3776">
        <v>0</v>
      </c>
      <c r="O3776">
        <v>-0.98474269999999997</v>
      </c>
      <c r="P3776">
        <v>-0.24142449999999999</v>
      </c>
      <c r="Q3776">
        <v>2.199102E-2</v>
      </c>
      <c r="R3776">
        <v>-0.97017129999999996</v>
      </c>
      <c r="S3776">
        <v>-1.048859</v>
      </c>
      <c r="T3776">
        <v>-0.37743759999999998</v>
      </c>
      <c r="U3776">
        <v>-2.8406370000000001</v>
      </c>
      <c r="V3776">
        <v>6.9319290000000006E-2</v>
      </c>
      <c r="W3776">
        <v>3.5673499999999997E-2</v>
      </c>
      <c r="X3776">
        <v>0.99695650000000002</v>
      </c>
      <c r="Y3776">
        <v>0.17566209999999999</v>
      </c>
      <c r="Z3776">
        <v>0.1237341</v>
      </c>
      <c r="AA3776">
        <v>0.97664359999999995</v>
      </c>
      <c r="AB3776">
        <v>28</v>
      </c>
      <c r="AC3776">
        <v>-0.24209999999999299</v>
      </c>
      <c r="AD3776">
        <v>-0.101439</v>
      </c>
      <c r="AE3776">
        <v>-0.52929999999997701</v>
      </c>
      <c r="AF3776">
        <v>0.14226820789320699</v>
      </c>
      <c r="AG3776">
        <v>-0.101439</v>
      </c>
      <c r="AH3776">
        <v>0.54667355058460998</v>
      </c>
      <c r="AI3776">
        <v>100.18040797568</v>
      </c>
      <c r="AJ3776">
        <v>75.412719430674898</v>
      </c>
      <c r="AK3776">
        <v>0.57391818633575997</v>
      </c>
      <c r="AL3776">
        <v>87.955625267717195</v>
      </c>
      <c r="AM3776">
        <v>86.022573907026597</v>
      </c>
      <c r="AN3776">
        <v>1.0000000127302999</v>
      </c>
    </row>
    <row r="3777" spans="1:40" x14ac:dyDescent="0.25">
      <c r="A3777" t="str">
        <f>"20190312151102332"</f>
        <v>20190312151102332</v>
      </c>
      <c r="B3777" t="str">
        <f>"1552374662324937"</f>
        <v>1552374662324937</v>
      </c>
      <c r="C3777" t="s">
        <v>40</v>
      </c>
      <c r="D3777">
        <v>5.5344610000000003</v>
      </c>
      <c r="E3777">
        <v>0.54200280000000001</v>
      </c>
      <c r="F3777" t="s">
        <v>41</v>
      </c>
      <c r="G3777">
        <v>-193.5898</v>
      </c>
      <c r="H3777">
        <v>1.008988</v>
      </c>
      <c r="I3777">
        <v>165.08260000000001</v>
      </c>
      <c r="J3777">
        <v>-193.3476</v>
      </c>
      <c r="K3777">
        <v>1.111208</v>
      </c>
      <c r="L3777">
        <v>165.58349999999999</v>
      </c>
      <c r="M3777">
        <v>-0.17220539999999901</v>
      </c>
      <c r="N3777">
        <v>0</v>
      </c>
      <c r="O3777">
        <v>-0.98496870000000003</v>
      </c>
      <c r="P3777">
        <v>-0.24283450000000001</v>
      </c>
      <c r="Q3777">
        <v>2.2294540000000002E-2</v>
      </c>
      <c r="R3777">
        <v>-0.96981170000000005</v>
      </c>
      <c r="S3777">
        <v>-1.058762</v>
      </c>
      <c r="T3777">
        <v>-0.3764303</v>
      </c>
      <c r="U3777">
        <v>-2.837326</v>
      </c>
      <c r="V3777">
        <v>7.2091999999999906E-2</v>
      </c>
      <c r="W3777">
        <v>3.5939890000000002E-2</v>
      </c>
      <c r="X3777">
        <v>0.99675020000000003</v>
      </c>
      <c r="Y3777">
        <v>0.18032599999999999</v>
      </c>
      <c r="Z3777">
        <v>0.1234596</v>
      </c>
      <c r="AA3777">
        <v>0.97582800000000003</v>
      </c>
      <c r="AB3777">
        <v>28</v>
      </c>
      <c r="AC3777">
        <v>-0.242199999999996</v>
      </c>
      <c r="AD3777">
        <v>-0.10221999999999901</v>
      </c>
      <c r="AE3777">
        <v>-0.50089999999997203</v>
      </c>
      <c r="AF3777">
        <v>0.147342211004201</v>
      </c>
      <c r="AG3777">
        <v>-0.10221999999999901</v>
      </c>
      <c r="AH3777">
        <v>0.51765476494163498</v>
      </c>
      <c r="AI3777">
        <v>100.753755412388</v>
      </c>
      <c r="AJ3777">
        <v>74.111838225867601</v>
      </c>
      <c r="AK3777">
        <v>0.54783675598702397</v>
      </c>
      <c r="AL3777">
        <v>87.9403523151326</v>
      </c>
      <c r="AM3777">
        <v>85.863168877321002</v>
      </c>
      <c r="AN3777">
        <v>0.99999994667862402</v>
      </c>
    </row>
    <row r="3778" spans="1:40" x14ac:dyDescent="0.25">
      <c r="A3778" t="str">
        <f>"20190312151102343"</f>
        <v>20190312151102343</v>
      </c>
      <c r="B3778" t="str">
        <f>"1552374662334698"</f>
        <v>1552374662334698</v>
      </c>
      <c r="C3778" t="s">
        <v>40</v>
      </c>
      <c r="D3778">
        <v>5.4470619999999998</v>
      </c>
      <c r="E3778">
        <v>0.5420973</v>
      </c>
      <c r="F3778" t="s">
        <v>41</v>
      </c>
      <c r="G3778">
        <v>-193.62809999999999</v>
      </c>
      <c r="H3778">
        <v>1.012642</v>
      </c>
      <c r="I3778">
        <v>164.83629999999999</v>
      </c>
      <c r="J3778">
        <v>-193.3708</v>
      </c>
      <c r="K3778">
        <v>1.1111</v>
      </c>
      <c r="L3778">
        <v>165.44720000000001</v>
      </c>
      <c r="M3778">
        <v>-0.17166500000000001</v>
      </c>
      <c r="N3778">
        <v>0</v>
      </c>
      <c r="O3778">
        <v>-0.98506320000000003</v>
      </c>
      <c r="P3778">
        <v>-0.2437435</v>
      </c>
      <c r="Q3778">
        <v>2.2207250000000001E-2</v>
      </c>
      <c r="R3778">
        <v>-0.96958569999999999</v>
      </c>
      <c r="S3778">
        <v>-1.0638729999999901</v>
      </c>
      <c r="T3778">
        <v>-0.37413010000000002</v>
      </c>
      <c r="U3778">
        <v>-2.8356020000000002</v>
      </c>
      <c r="V3778">
        <v>7.358315E-2</v>
      </c>
      <c r="W3778">
        <v>3.5832660000000002E-2</v>
      </c>
      <c r="X3778">
        <v>0.99664520000000001</v>
      </c>
      <c r="Y3778">
        <v>0.1826344</v>
      </c>
      <c r="Z3778">
        <v>0.12273969999999999</v>
      </c>
      <c r="AA3778">
        <v>0.97548939999999995</v>
      </c>
      <c r="AB3778">
        <v>28</v>
      </c>
      <c r="AC3778">
        <v>-0.25729999999998598</v>
      </c>
      <c r="AD3778">
        <v>-9.8457999999999907E-2</v>
      </c>
      <c r="AE3778">
        <v>-0.61090000000001499</v>
      </c>
      <c r="AF3778">
        <v>0.14539249544733501</v>
      </c>
      <c r="AG3778">
        <v>-9.8457999999999907E-2</v>
      </c>
      <c r="AH3778">
        <v>0.63205885720897903</v>
      </c>
      <c r="AI3778">
        <v>98.632097297134493</v>
      </c>
      <c r="AJ3778">
        <v>77.045603283198801</v>
      </c>
      <c r="AK3778">
        <v>0.65599645919221605</v>
      </c>
      <c r="AL3778">
        <v>87.946500328628105</v>
      </c>
      <c r="AM3778">
        <v>85.777465815632794</v>
      </c>
      <c r="AN3778">
        <v>1.00000005708481</v>
      </c>
    </row>
    <row r="3779" spans="1:40" x14ac:dyDescent="0.25">
      <c r="A3779" t="str">
        <f>"20190312151102356"</f>
        <v>20190312151102356</v>
      </c>
      <c r="B3779" t="str">
        <f>"1552374662344459"</f>
        <v>1552374662344459</v>
      </c>
      <c r="C3779" t="s">
        <v>40</v>
      </c>
      <c r="D3779">
        <v>5.4089850000000004</v>
      </c>
      <c r="E3779">
        <v>0.54217579999999999</v>
      </c>
      <c r="F3779" t="s">
        <v>41</v>
      </c>
      <c r="G3779">
        <v>-193.6891</v>
      </c>
      <c r="H3779">
        <v>0.99890089999999998</v>
      </c>
      <c r="I3779">
        <v>164.6018</v>
      </c>
      <c r="J3779">
        <v>-193.39689999999999</v>
      </c>
      <c r="K3779">
        <v>1.110975</v>
      </c>
      <c r="L3779">
        <v>165.29320000000001</v>
      </c>
      <c r="M3779">
        <v>-0.1711231</v>
      </c>
      <c r="N3779">
        <v>0</v>
      </c>
      <c r="O3779">
        <v>-0.98515739999999996</v>
      </c>
      <c r="P3779">
        <v>-0.2447589</v>
      </c>
      <c r="Q3779">
        <v>2.214702E-2</v>
      </c>
      <c r="R3779">
        <v>-0.96933139999999995</v>
      </c>
      <c r="S3779">
        <v>-1.067337</v>
      </c>
      <c r="T3779">
        <v>-0.37621310000000002</v>
      </c>
      <c r="U3779">
        <v>-2.8344119999999999</v>
      </c>
      <c r="V3779">
        <v>7.5186450000000002E-2</v>
      </c>
      <c r="W3779">
        <v>3.574927E-2</v>
      </c>
      <c r="X3779">
        <v>0.99652839999999998</v>
      </c>
      <c r="Y3779">
        <v>0.18432370000000001</v>
      </c>
      <c r="Z3779">
        <v>0.1234325</v>
      </c>
      <c r="AA3779">
        <v>0.97508419999999896</v>
      </c>
      <c r="AB3779">
        <v>28</v>
      </c>
      <c r="AC3779">
        <v>-0.29220000000000801</v>
      </c>
      <c r="AD3779">
        <v>-0.1120741</v>
      </c>
      <c r="AE3779">
        <v>-0.691400000000015</v>
      </c>
      <c r="AF3779">
        <v>0.165866122887255</v>
      </c>
      <c r="AG3779">
        <v>-0.1120741</v>
      </c>
      <c r="AH3779">
        <v>0.71526064864652805</v>
      </c>
      <c r="AI3779">
        <v>98.678610165532007</v>
      </c>
      <c r="AJ3779">
        <v>76.944100460479703</v>
      </c>
      <c r="AK3779">
        <v>0.74274488898592395</v>
      </c>
      <c r="AL3779">
        <v>87.951281030795698</v>
      </c>
      <c r="AM3779">
        <v>85.685301139645205</v>
      </c>
      <c r="AN3779">
        <v>0.99999993228784501</v>
      </c>
    </row>
    <row r="3780" spans="1:40" x14ac:dyDescent="0.25">
      <c r="A3780" t="str">
        <f>"20190312151102368"</f>
        <v>20190312151102368</v>
      </c>
      <c r="B3780" t="str">
        <f>"1552374662364953"</f>
        <v>1552374662364953</v>
      </c>
      <c r="C3780" t="s">
        <v>40</v>
      </c>
      <c r="D3780">
        <v>5.4009130000000001</v>
      </c>
      <c r="E3780">
        <v>0.54232179999999997</v>
      </c>
      <c r="F3780" t="s">
        <v>41</v>
      </c>
      <c r="G3780">
        <v>-193.66309999999999</v>
      </c>
      <c r="H3780">
        <v>1.0173490000000001</v>
      </c>
      <c r="I3780">
        <v>164.589</v>
      </c>
      <c r="J3780">
        <v>-193.42179999999999</v>
      </c>
      <c r="K3780">
        <v>1.110865</v>
      </c>
      <c r="L3780">
        <v>165.14680000000001</v>
      </c>
      <c r="M3780">
        <v>-0.1707303</v>
      </c>
      <c r="N3780">
        <v>0</v>
      </c>
      <c r="O3780">
        <v>-0.98522549999999998</v>
      </c>
      <c r="P3780">
        <v>-0.24549070000000001</v>
      </c>
      <c r="Q3780">
        <v>2.2464609999999999E-2</v>
      </c>
      <c r="R3780">
        <v>-0.96913870000000002</v>
      </c>
      <c r="S3780">
        <v>-1.0709229999999901</v>
      </c>
      <c r="T3780">
        <v>-0.37670979999999998</v>
      </c>
      <c r="U3780">
        <v>-2.8330839999999999</v>
      </c>
      <c r="V3780">
        <v>7.6347429999999994E-2</v>
      </c>
      <c r="W3780">
        <v>3.6042820000000003E-2</v>
      </c>
      <c r="X3780">
        <v>0.99642960000000003</v>
      </c>
      <c r="Y3780">
        <v>0.1859384</v>
      </c>
      <c r="Z3780">
        <v>0.1236134</v>
      </c>
      <c r="AA3780">
        <v>0.97475460000000003</v>
      </c>
      <c r="AB3780">
        <v>28</v>
      </c>
      <c r="AC3780">
        <v>-0.24129999999999499</v>
      </c>
      <c r="AD3780">
        <v>-9.3515999999999905E-2</v>
      </c>
      <c r="AE3780">
        <v>-0.55779999999998597</v>
      </c>
      <c r="AF3780">
        <v>0.13921833397008701</v>
      </c>
      <c r="AG3780">
        <v>-9.3515999999999905E-2</v>
      </c>
      <c r="AH3780">
        <v>0.57714506119171505</v>
      </c>
      <c r="AI3780">
        <v>98.951354595111596</v>
      </c>
      <c r="AJ3780">
        <v>76.438247268953603</v>
      </c>
      <c r="AK3780">
        <v>0.601018642329334</v>
      </c>
      <c r="AL3780">
        <v>87.9344511084429</v>
      </c>
      <c r="AM3780">
        <v>85.618501100686203</v>
      </c>
      <c r="AN3780">
        <v>0.99999998134865797</v>
      </c>
    </row>
    <row r="3781" spans="1:40" x14ac:dyDescent="0.25">
      <c r="A3781" t="str">
        <f>"20190312151102388"</f>
        <v>20190312151102388</v>
      </c>
      <c r="B3781" t="str">
        <f>"1552374662384473"</f>
        <v>1552374662384473</v>
      </c>
      <c r="C3781" t="s">
        <v>40</v>
      </c>
      <c r="D3781">
        <v>5.3826640000000001</v>
      </c>
      <c r="E3781">
        <v>0.54251839999999996</v>
      </c>
      <c r="F3781" t="s">
        <v>41</v>
      </c>
      <c r="G3781">
        <v>-193.7226</v>
      </c>
      <c r="H3781">
        <v>1.0046999999999999</v>
      </c>
      <c r="I3781">
        <v>164.35400000000001</v>
      </c>
      <c r="J3781">
        <v>-193.46270000000001</v>
      </c>
      <c r="K3781">
        <v>1.1106720000000001</v>
      </c>
      <c r="L3781">
        <v>164.9067</v>
      </c>
      <c r="M3781">
        <v>-0.17024259999999999</v>
      </c>
      <c r="N3781">
        <v>0</v>
      </c>
      <c r="O3781">
        <v>-0.98531000000000002</v>
      </c>
      <c r="P3781">
        <v>-0.24683649999999999</v>
      </c>
      <c r="Q3781">
        <v>2.3258879999999999E-2</v>
      </c>
      <c r="R3781">
        <v>-0.96877800000000003</v>
      </c>
      <c r="S3781">
        <v>-1.074265</v>
      </c>
      <c r="T3781">
        <v>-0.379328</v>
      </c>
      <c r="U3781">
        <v>-2.8321689999999999</v>
      </c>
      <c r="V3781">
        <v>7.8244250000000001E-2</v>
      </c>
      <c r="W3781">
        <v>3.6797629999999998E-2</v>
      </c>
      <c r="X3781">
        <v>0.99625490000000005</v>
      </c>
      <c r="Y3781">
        <v>0.18749640000000001</v>
      </c>
      <c r="Z3781">
        <v>0.1244681</v>
      </c>
      <c r="AA3781">
        <v>0.97434739999999997</v>
      </c>
      <c r="AB3781">
        <v>28</v>
      </c>
      <c r="AC3781">
        <v>-0.25989999999998697</v>
      </c>
      <c r="AD3781">
        <v>-0.105971999999999</v>
      </c>
      <c r="AE3781">
        <v>-0.55269999999998698</v>
      </c>
      <c r="AF3781">
        <v>0.15726905635239299</v>
      </c>
      <c r="AG3781">
        <v>-0.105971999999999</v>
      </c>
      <c r="AH3781">
        <v>0.57167004120781695</v>
      </c>
      <c r="AI3781">
        <v>100.13361739583701</v>
      </c>
      <c r="AJ3781">
        <v>74.618177282234896</v>
      </c>
      <c r="AK3781">
        <v>0.602304123250472</v>
      </c>
      <c r="AL3781">
        <v>87.891175064619404</v>
      </c>
      <c r="AM3781">
        <v>85.509300216988507</v>
      </c>
      <c r="AN3781">
        <v>1.00000002700284</v>
      </c>
    </row>
    <row r="3782" spans="1:40" x14ac:dyDescent="0.25">
      <c r="A3782" t="str">
        <f>"20190312151102411"</f>
        <v>20190312151102411</v>
      </c>
      <c r="B3782" t="str">
        <f>"1552374662404969"</f>
        <v>1552374662404969</v>
      </c>
      <c r="C3782" t="s">
        <v>40</v>
      </c>
      <c r="D3782">
        <v>5.5988600000000002</v>
      </c>
      <c r="E3782">
        <v>0.54264959999999995</v>
      </c>
      <c r="F3782" t="s">
        <v>41</v>
      </c>
      <c r="G3782">
        <v>-193.76650000000001</v>
      </c>
      <c r="H3782">
        <v>1.0042450000000001</v>
      </c>
      <c r="I3782">
        <v>164.11089999999999</v>
      </c>
      <c r="J3782">
        <v>-193.5112</v>
      </c>
      <c r="K3782">
        <v>1.1104609999999999</v>
      </c>
      <c r="L3782">
        <v>164.62270000000001</v>
      </c>
      <c r="M3782">
        <v>-0.16994129999999999</v>
      </c>
      <c r="N3782">
        <v>0</v>
      </c>
      <c r="O3782">
        <v>-0.98536190000000001</v>
      </c>
      <c r="P3782">
        <v>-0.24717159999999999</v>
      </c>
      <c r="Q3782">
        <v>2.3462400000000001E-2</v>
      </c>
      <c r="R3782">
        <v>-0.96868770000000004</v>
      </c>
      <c r="S3782">
        <v>-1.07988</v>
      </c>
      <c r="T3782">
        <v>-0.37865409999999999</v>
      </c>
      <c r="U3782">
        <v>-2.8306269999999998</v>
      </c>
      <c r="V3782">
        <v>7.8913629999999998E-2</v>
      </c>
      <c r="W3782">
        <v>3.6955349999999998E-2</v>
      </c>
      <c r="X3782">
        <v>0.99619619999999998</v>
      </c>
      <c r="Y3782">
        <v>0.18967039999999999</v>
      </c>
      <c r="Z3782">
        <v>0.1242544</v>
      </c>
      <c r="AA3782">
        <v>0.97395379999999998</v>
      </c>
      <c r="AB3782">
        <v>28</v>
      </c>
      <c r="AC3782">
        <v>-0.25530000000000502</v>
      </c>
      <c r="AD3782">
        <v>-0.106216</v>
      </c>
      <c r="AE3782">
        <v>-0.51180000000002202</v>
      </c>
      <c r="AF3782">
        <v>0.15911426735117301</v>
      </c>
      <c r="AG3782">
        <v>-0.106216</v>
      </c>
      <c r="AH3782">
        <v>0.52948289266203297</v>
      </c>
      <c r="AI3782">
        <v>100.874944131795</v>
      </c>
      <c r="AJ3782">
        <v>73.274014606925405</v>
      </c>
      <c r="AK3782">
        <v>0.56298430027173496</v>
      </c>
      <c r="AL3782">
        <v>87.882132090131705</v>
      </c>
      <c r="AM3782">
        <v>85.470775654571597</v>
      </c>
      <c r="AN3782">
        <v>0.99999996389391899</v>
      </c>
    </row>
    <row r="3783" spans="1:40" x14ac:dyDescent="0.25">
      <c r="A3783" t="str">
        <f>"20190312151102434"</f>
        <v>20190312151102434</v>
      </c>
      <c r="B3783" t="str">
        <f>"1552374662424490"</f>
        <v>1552374662424490</v>
      </c>
      <c r="C3783" t="s">
        <v>40</v>
      </c>
      <c r="D3783">
        <v>5.3655049999999997</v>
      </c>
      <c r="E3783">
        <v>0.54289339999999997</v>
      </c>
      <c r="F3783" t="s">
        <v>41</v>
      </c>
      <c r="G3783">
        <v>-193.80119999999999</v>
      </c>
      <c r="H3783">
        <v>1.0084959999999901</v>
      </c>
      <c r="I3783">
        <v>163.86449999999999</v>
      </c>
      <c r="J3783">
        <v>-193.55840000000001</v>
      </c>
      <c r="K3783">
        <v>1.110277</v>
      </c>
      <c r="L3783">
        <v>164.34710000000001</v>
      </c>
      <c r="M3783">
        <v>-0.16989119999999999</v>
      </c>
      <c r="N3783">
        <v>0</v>
      </c>
      <c r="O3783">
        <v>-0.98537079999999999</v>
      </c>
      <c r="P3783">
        <v>-0.2486593</v>
      </c>
      <c r="Q3783">
        <v>2.3633350000000001E-2</v>
      </c>
      <c r="R3783">
        <v>-0.96830309999999997</v>
      </c>
      <c r="S3783">
        <v>-1.0820620000000001</v>
      </c>
      <c r="T3783">
        <v>-0.38061679999999998</v>
      </c>
      <c r="U3783">
        <v>-2.8300930000000002</v>
      </c>
      <c r="V3783">
        <v>8.0512769999999997E-2</v>
      </c>
      <c r="W3783">
        <v>3.7083999999999999E-2</v>
      </c>
      <c r="X3783">
        <v>0.99606349999999999</v>
      </c>
      <c r="Y3783">
        <v>0.19040840000000001</v>
      </c>
      <c r="Z3783">
        <v>0.12488589999999999</v>
      </c>
      <c r="AA3783">
        <v>0.97372899999999996</v>
      </c>
      <c r="AB3783">
        <v>28</v>
      </c>
      <c r="AC3783">
        <v>-0.242799999999988</v>
      </c>
      <c r="AD3783">
        <v>-0.101781</v>
      </c>
      <c r="AE3783">
        <v>-0.48260000000001901</v>
      </c>
      <c r="AF3783">
        <v>0.151881760381124</v>
      </c>
      <c r="AG3783">
        <v>-0.101781</v>
      </c>
      <c r="AH3783">
        <v>0.49912014456651899</v>
      </c>
      <c r="AI3783">
        <v>101.039088113175</v>
      </c>
      <c r="AJ3783">
        <v>73.075047390163306</v>
      </c>
      <c r="AK3783">
        <v>0.53155278177202003</v>
      </c>
      <c r="AL3783">
        <v>87.874756035323799</v>
      </c>
      <c r="AM3783">
        <v>85.378774082665601</v>
      </c>
      <c r="AN3783">
        <v>1.0000000126106601</v>
      </c>
    </row>
    <row r="3784" spans="1:40" x14ac:dyDescent="0.25">
      <c r="A3784" t="str">
        <f>"20190312151102455"</f>
        <v>20190312151102455</v>
      </c>
      <c r="B3784" t="str">
        <f>"1552374662444985"</f>
        <v>1552374662444985</v>
      </c>
      <c r="C3784" t="s">
        <v>40</v>
      </c>
      <c r="D3784">
        <v>5.371035</v>
      </c>
      <c r="E3784">
        <v>0.54315919999999995</v>
      </c>
      <c r="F3784" t="s">
        <v>41</v>
      </c>
      <c r="G3784">
        <v>-193.8389</v>
      </c>
      <c r="H3784">
        <v>1.012087</v>
      </c>
      <c r="I3784">
        <v>163.6189</v>
      </c>
      <c r="J3784">
        <v>-193.60409999999999</v>
      </c>
      <c r="K3784">
        <v>1.1101099999999999</v>
      </c>
      <c r="L3784">
        <v>164.0821</v>
      </c>
      <c r="M3784">
        <v>-0.17005809999999999</v>
      </c>
      <c r="N3784">
        <v>0</v>
      </c>
      <c r="O3784">
        <v>-0.9853421</v>
      </c>
      <c r="P3784">
        <v>-0.25011800000000001</v>
      </c>
      <c r="Q3784">
        <v>2.328173E-2</v>
      </c>
      <c r="R3784">
        <v>-0.96793560000000001</v>
      </c>
      <c r="S3784">
        <v>-1.0884400000000001</v>
      </c>
      <c r="T3784">
        <v>-0.38140049999999998</v>
      </c>
      <c r="U3784">
        <v>-2.8280029999999998</v>
      </c>
      <c r="V3784">
        <v>8.1858879999999995E-2</v>
      </c>
      <c r="W3784">
        <v>3.669422E-2</v>
      </c>
      <c r="X3784">
        <v>0.99596819999999997</v>
      </c>
      <c r="Y3784">
        <v>0.19238440000000001</v>
      </c>
      <c r="Z3784">
        <v>0.1251457</v>
      </c>
      <c r="AA3784">
        <v>0.97330709999999998</v>
      </c>
      <c r="AB3784">
        <v>28</v>
      </c>
      <c r="AC3784">
        <v>-0.234800000000007</v>
      </c>
      <c r="AD3784">
        <v>-9.8022999999999694E-2</v>
      </c>
      <c r="AE3784">
        <v>-0.4632</v>
      </c>
      <c r="AF3784">
        <v>0.14735131767062501</v>
      </c>
      <c r="AG3784">
        <v>-9.8022999999999694E-2</v>
      </c>
      <c r="AH3784">
        <v>0.47930800199221502</v>
      </c>
      <c r="AI3784">
        <v>101.060727791129</v>
      </c>
      <c r="AJ3784">
        <v>72.911257067727405</v>
      </c>
      <c r="AK3784">
        <v>0.51093745226009701</v>
      </c>
      <c r="AL3784">
        <v>87.897103965685801</v>
      </c>
      <c r="AM3784">
        <v>85.301406338094793</v>
      </c>
      <c r="AN3784">
        <v>0.999999998713751</v>
      </c>
    </row>
    <row r="3785" spans="1:40" x14ac:dyDescent="0.25">
      <c r="A3785" t="str">
        <f>"20190312151102467"</f>
        <v>20190312151102467</v>
      </c>
      <c r="B3785" t="str">
        <f>"1552374662464966"</f>
        <v>1552374662464966</v>
      </c>
      <c r="C3785" t="s">
        <v>40</v>
      </c>
      <c r="D3785">
        <v>5.3554570000000004</v>
      </c>
      <c r="E3785">
        <v>0.54326090000000005</v>
      </c>
      <c r="F3785" t="s">
        <v>41</v>
      </c>
      <c r="G3785">
        <v>-193.87819999999999</v>
      </c>
      <c r="H3785">
        <v>1.0138180000000001</v>
      </c>
      <c r="I3785">
        <v>163.37459999999999</v>
      </c>
      <c r="J3785">
        <v>-193.63</v>
      </c>
      <c r="K3785">
        <v>1.1100190000000001</v>
      </c>
      <c r="L3785">
        <v>163.93279999999999</v>
      </c>
      <c r="M3785">
        <v>-0.17025999999999999</v>
      </c>
      <c r="N3785">
        <v>0</v>
      </c>
      <c r="O3785">
        <v>-0.98530720000000005</v>
      </c>
      <c r="P3785">
        <v>-0.25141219999999997</v>
      </c>
      <c r="Q3785">
        <v>2.3116709999999999E-2</v>
      </c>
      <c r="R3785">
        <v>-0.96760449999999998</v>
      </c>
      <c r="S3785">
        <v>-1.094849</v>
      </c>
      <c r="T3785">
        <v>-0.38454460000000001</v>
      </c>
      <c r="U3785">
        <v>-2.8257289999999999</v>
      </c>
      <c r="V3785">
        <v>8.2994650000000003E-2</v>
      </c>
      <c r="W3785">
        <v>3.6507419999999999E-2</v>
      </c>
      <c r="X3785">
        <v>0.99588109999999996</v>
      </c>
      <c r="Y3785">
        <v>0.19431899999999999</v>
      </c>
      <c r="Z3785">
        <v>0.12617329999999999</v>
      </c>
      <c r="AA3785">
        <v>0.97279000000000004</v>
      </c>
      <c r="AB3785">
        <v>28</v>
      </c>
      <c r="AC3785">
        <v>-0.24819999999999701</v>
      </c>
      <c r="AD3785">
        <v>-9.6200999999999898E-2</v>
      </c>
      <c r="AE3785">
        <v>-0.55819999999999903</v>
      </c>
      <c r="AF3785">
        <v>0.145909308223062</v>
      </c>
      <c r="AG3785">
        <v>-9.6200999999999898E-2</v>
      </c>
      <c r="AH3785">
        <v>0.57797760932462705</v>
      </c>
      <c r="AI3785">
        <v>99.167420317998804</v>
      </c>
      <c r="AJ3785">
        <v>75.8318217262335</v>
      </c>
      <c r="AK3785">
        <v>0.60382304983144197</v>
      </c>
      <c r="AL3785">
        <v>87.907814068300993</v>
      </c>
      <c r="AM3785">
        <v>85.236097864559596</v>
      </c>
      <c r="AN3785">
        <v>1.0000000344904401</v>
      </c>
    </row>
    <row r="3786" spans="1:40" x14ac:dyDescent="0.25">
      <c r="A3786" t="str">
        <f>"20190312151102480"</f>
        <v>20190312151102480</v>
      </c>
      <c r="B3786" t="str">
        <f>"1552374662474726"</f>
        <v>1552374662474726</v>
      </c>
      <c r="C3786" t="s">
        <v>40</v>
      </c>
      <c r="D3786">
        <v>5.3679990000000002</v>
      </c>
      <c r="E3786">
        <v>0.54341139999999999</v>
      </c>
      <c r="F3786" t="s">
        <v>41</v>
      </c>
      <c r="G3786">
        <v>-193.9385</v>
      </c>
      <c r="H3786">
        <v>1.0010730000000001</v>
      </c>
      <c r="I3786">
        <v>163.14060000000001</v>
      </c>
      <c r="J3786">
        <v>-193.65530000000001</v>
      </c>
      <c r="K3786">
        <v>1.1099289999999999</v>
      </c>
      <c r="L3786">
        <v>163.78700000000001</v>
      </c>
      <c r="M3786">
        <v>-0.1704928</v>
      </c>
      <c r="N3786">
        <v>0</v>
      </c>
      <c r="O3786">
        <v>-0.98526689999999995</v>
      </c>
      <c r="P3786">
        <v>-0.25280459999999999</v>
      </c>
      <c r="Q3786">
        <v>2.2889639999999999E-2</v>
      </c>
      <c r="R3786">
        <v>-0.96724679999999996</v>
      </c>
      <c r="S3786">
        <v>-1.099548</v>
      </c>
      <c r="T3786">
        <v>-0.38834439999999998</v>
      </c>
      <c r="U3786">
        <v>-2.82402</v>
      </c>
      <c r="V3786">
        <v>8.4199979999999994E-2</v>
      </c>
      <c r="W3786">
        <v>3.6258680000000001E-2</v>
      </c>
      <c r="X3786">
        <v>0.99578900000000004</v>
      </c>
      <c r="Y3786">
        <v>0.19563420000000001</v>
      </c>
      <c r="Z3786">
        <v>0.12740850000000001</v>
      </c>
      <c r="AA3786">
        <v>0.97236529999999999</v>
      </c>
      <c r="AB3786">
        <v>28</v>
      </c>
      <c r="AC3786">
        <v>-0.28319999999999301</v>
      </c>
      <c r="AD3786">
        <v>-0.10885599999999999</v>
      </c>
      <c r="AE3786">
        <v>-0.64639999999999898</v>
      </c>
      <c r="AF3786">
        <v>0.16491262391695199</v>
      </c>
      <c r="AG3786">
        <v>-0.10885599999999999</v>
      </c>
      <c r="AH3786">
        <v>0.66929778026019704</v>
      </c>
      <c r="AI3786">
        <v>98.973983345183697</v>
      </c>
      <c r="AJ3786">
        <v>76.158241539513895</v>
      </c>
      <c r="AK3786">
        <v>0.697857665232962</v>
      </c>
      <c r="AL3786">
        <v>87.922075253860299</v>
      </c>
      <c r="AM3786">
        <v>85.166792282231299</v>
      </c>
      <c r="AN3786">
        <v>1.0000000305141701</v>
      </c>
    </row>
    <row r="3787" spans="1:40" x14ac:dyDescent="0.25">
      <c r="A3787" t="str">
        <f>"20190312151102492"</f>
        <v>20190312151102492</v>
      </c>
      <c r="B3787" t="str">
        <f>"1552374662484487"</f>
        <v>1552374662484487</v>
      </c>
      <c r="C3787" t="s">
        <v>40</v>
      </c>
      <c r="D3787">
        <v>5.3608219999999998</v>
      </c>
      <c r="E3787">
        <v>0.543562199999999</v>
      </c>
      <c r="F3787" t="s">
        <v>41</v>
      </c>
      <c r="G3787">
        <v>-193.99979999999999</v>
      </c>
      <c r="H3787">
        <v>0.98819829999999997</v>
      </c>
      <c r="I3787">
        <v>162.9068</v>
      </c>
      <c r="J3787">
        <v>-193.68199999999999</v>
      </c>
      <c r="K3787">
        <v>1.1098319999999999</v>
      </c>
      <c r="L3787">
        <v>163.63380000000001</v>
      </c>
      <c r="M3787">
        <v>-0.17082120000000001</v>
      </c>
      <c r="N3787">
        <v>0</v>
      </c>
      <c r="O3787">
        <v>-0.98521000000000003</v>
      </c>
      <c r="P3787">
        <v>-0.25427349999999999</v>
      </c>
      <c r="Q3787">
        <v>2.2938170000000001E-2</v>
      </c>
      <c r="R3787">
        <v>-0.96686030000000001</v>
      </c>
      <c r="S3787">
        <v>-1.1047670000000001</v>
      </c>
      <c r="T3787">
        <v>-0.39030130000000002</v>
      </c>
      <c r="U3787">
        <v>-2.822098</v>
      </c>
      <c r="V3787">
        <v>8.5389599999999996E-2</v>
      </c>
      <c r="W3787">
        <v>3.6283940000000001E-2</v>
      </c>
      <c r="X3787">
        <v>0.99568679999999998</v>
      </c>
      <c r="Y3787">
        <v>0.19706109999999999</v>
      </c>
      <c r="Z3787">
        <v>0.128049</v>
      </c>
      <c r="AA3787">
        <v>0.971993</v>
      </c>
      <c r="AB3787">
        <v>28</v>
      </c>
      <c r="AC3787">
        <v>-0.31779999999997699</v>
      </c>
      <c r="AD3787">
        <v>-0.121633699999999</v>
      </c>
      <c r="AE3787">
        <v>-0.72700000000000298</v>
      </c>
      <c r="AF3787">
        <v>0.18459169124694699</v>
      </c>
      <c r="AG3787">
        <v>-0.121633699999999</v>
      </c>
      <c r="AH3787">
        <v>0.752910071403736</v>
      </c>
      <c r="AI3787">
        <v>98.917265736005902</v>
      </c>
      <c r="AJ3787">
        <v>76.224458612926298</v>
      </c>
      <c r="AK3787">
        <v>0.78469256723526903</v>
      </c>
      <c r="AL3787">
        <v>87.920627062333097</v>
      </c>
      <c r="AM3787">
        <v>85.098335983804006</v>
      </c>
      <c r="AN3787">
        <v>1.00000005589216</v>
      </c>
    </row>
    <row r="3788" spans="1:40" x14ac:dyDescent="0.25">
      <c r="A3788" t="str">
        <f>"20190312151102504"</f>
        <v>20190312151102504</v>
      </c>
      <c r="B3788" t="str">
        <f>"1552374662495222"</f>
        <v>1552374662495222</v>
      </c>
      <c r="C3788" t="s">
        <v>40</v>
      </c>
      <c r="D3788">
        <v>5.3606809999999996</v>
      </c>
      <c r="E3788">
        <v>0.54369319999999999</v>
      </c>
      <c r="F3788" t="s">
        <v>41</v>
      </c>
      <c r="G3788">
        <v>-193.97329999999999</v>
      </c>
      <c r="H3788">
        <v>1.0073110000000001</v>
      </c>
      <c r="I3788">
        <v>162.8938</v>
      </c>
      <c r="J3788">
        <v>-193.70699999999999</v>
      </c>
      <c r="K3788">
        <v>1.1097459999999999</v>
      </c>
      <c r="L3788">
        <v>163.4915</v>
      </c>
      <c r="M3788">
        <v>-0.17117070000000001</v>
      </c>
      <c r="N3788">
        <v>0</v>
      </c>
      <c r="O3788">
        <v>-0.98514959999999996</v>
      </c>
      <c r="P3788">
        <v>-0.25589980000000001</v>
      </c>
      <c r="Q3788">
        <v>2.1991900000000002E-2</v>
      </c>
      <c r="R3788">
        <v>-0.96645360000000002</v>
      </c>
      <c r="S3788">
        <v>-1.1101840000000001</v>
      </c>
      <c r="T3788">
        <v>-0.39072279999999998</v>
      </c>
      <c r="U3788">
        <v>-2.8201290000000001</v>
      </c>
      <c r="V3788">
        <v>8.6714869999999999E-2</v>
      </c>
      <c r="W3788">
        <v>3.5315630000000001E-2</v>
      </c>
      <c r="X3788">
        <v>0.99560700000000002</v>
      </c>
      <c r="Y3788">
        <v>0.19855429999999999</v>
      </c>
      <c r="Z3788">
        <v>0.12819259999999999</v>
      </c>
      <c r="AA3788">
        <v>0.97167020000000004</v>
      </c>
      <c r="AB3788">
        <v>28</v>
      </c>
      <c r="AC3788">
        <v>-0.26630000000000098</v>
      </c>
      <c r="AD3788">
        <v>-0.102434999999999</v>
      </c>
      <c r="AE3788">
        <v>-0.59770000000000301</v>
      </c>
      <c r="AF3788">
        <v>0.156222543405523</v>
      </c>
      <c r="AG3788">
        <v>-0.102434999999999</v>
      </c>
      <c r="AH3788">
        <v>0.619287195511246</v>
      </c>
      <c r="AI3788">
        <v>99.111701350318597</v>
      </c>
      <c r="AJ3788">
        <v>75.841849488079603</v>
      </c>
      <c r="AK3788">
        <v>0.646850093002447</v>
      </c>
      <c r="AL3788">
        <v>87.976142571394206</v>
      </c>
      <c r="AM3788">
        <v>85.022243139096801</v>
      </c>
      <c r="AN3788">
        <v>0.99999998042520599</v>
      </c>
    </row>
    <row r="3789" spans="1:40" x14ac:dyDescent="0.25">
      <c r="A3789" t="str">
        <f>"20190312151102522"</f>
        <v>20190312151102522</v>
      </c>
      <c r="B3789" t="str">
        <f>"1552374662514742"</f>
        <v>1552374662514742</v>
      </c>
      <c r="C3789" t="s">
        <v>40</v>
      </c>
      <c r="D3789">
        <v>5.3049689999999998</v>
      </c>
      <c r="E3789">
        <v>0.54397879999999998</v>
      </c>
      <c r="F3789" t="s">
        <v>41</v>
      </c>
      <c r="G3789">
        <v>-194.0361</v>
      </c>
      <c r="H3789">
        <v>0.99353639999999999</v>
      </c>
      <c r="I3789">
        <v>162.661</v>
      </c>
      <c r="J3789">
        <v>-193.74449999999999</v>
      </c>
      <c r="K3789">
        <v>1.109618</v>
      </c>
      <c r="L3789">
        <v>163.27889999999999</v>
      </c>
      <c r="M3789">
        <v>-0.17177239999999999</v>
      </c>
      <c r="N3789">
        <v>0</v>
      </c>
      <c r="O3789">
        <v>-0.98504480000000005</v>
      </c>
      <c r="P3789">
        <v>-0.25900250000000002</v>
      </c>
      <c r="Q3789">
        <v>2.1126309999999999E-2</v>
      </c>
      <c r="R3789">
        <v>-0.9656458</v>
      </c>
      <c r="S3789">
        <v>-1.1159209999999999</v>
      </c>
      <c r="T3789">
        <v>-0.39426420000000001</v>
      </c>
      <c r="U3789">
        <v>-2.8176420000000002</v>
      </c>
      <c r="V3789">
        <v>8.9311219999999997E-2</v>
      </c>
      <c r="W3789">
        <v>3.4416860000000001E-2</v>
      </c>
      <c r="X3789">
        <v>0.99540899999999999</v>
      </c>
      <c r="Y3789">
        <v>0.19990340000000001</v>
      </c>
      <c r="Z3789">
        <v>0.12935439999999901</v>
      </c>
      <c r="AA3789">
        <v>0.97123939999999997</v>
      </c>
      <c r="AB3789">
        <v>28</v>
      </c>
      <c r="AC3789">
        <v>-0.29160000000001601</v>
      </c>
      <c r="AD3789">
        <v>-0.11608159999999999</v>
      </c>
      <c r="AE3789">
        <v>-0.61789999999999101</v>
      </c>
      <c r="AF3789">
        <v>0.176036059398478</v>
      </c>
      <c r="AG3789">
        <v>-0.11608159999999999</v>
      </c>
      <c r="AH3789">
        <v>0.64032484619796703</v>
      </c>
      <c r="AI3789">
        <v>99.915135344830603</v>
      </c>
      <c r="AJ3789">
        <v>74.628180552430706</v>
      </c>
      <c r="AK3789">
        <v>0.67415097769383503</v>
      </c>
      <c r="AL3789">
        <v>88.027669759930603</v>
      </c>
      <c r="AM3789">
        <v>84.872971343787398</v>
      </c>
      <c r="AN3789">
        <v>1.00000004577557</v>
      </c>
    </row>
    <row r="3790" spans="1:40" x14ac:dyDescent="0.25">
      <c r="A3790" t="str">
        <f>"20190312151102534"</f>
        <v>20190312151102534</v>
      </c>
      <c r="B3790" t="str">
        <f>"1552374662524502"</f>
        <v>1552374662524502</v>
      </c>
      <c r="C3790" t="s">
        <v>40</v>
      </c>
      <c r="D3790">
        <v>5.3403850000000004</v>
      </c>
      <c r="E3790">
        <v>0.54409739999999995</v>
      </c>
      <c r="F3790" t="s">
        <v>41</v>
      </c>
      <c r="G3790">
        <v>-194.08760000000001</v>
      </c>
      <c r="H3790">
        <v>0.98832759999999997</v>
      </c>
      <c r="I3790">
        <v>162.42250000000001</v>
      </c>
      <c r="J3790">
        <v>-193.77170000000001</v>
      </c>
      <c r="K3790">
        <v>1.109532</v>
      </c>
      <c r="L3790">
        <v>163.12549999999999</v>
      </c>
      <c r="M3790">
        <v>-0.17227110000000001</v>
      </c>
      <c r="N3790">
        <v>0</v>
      </c>
      <c r="O3790">
        <v>-0.98495750000000004</v>
      </c>
      <c r="P3790">
        <v>-0.26085560000000002</v>
      </c>
      <c r="Q3790">
        <v>2.09068E-2</v>
      </c>
      <c r="R3790">
        <v>-0.96515150000000005</v>
      </c>
      <c r="S3790">
        <v>-1.127167</v>
      </c>
      <c r="T3790">
        <v>-0.39841929999999998</v>
      </c>
      <c r="U3790">
        <v>-2.813126</v>
      </c>
      <c r="V3790">
        <v>9.0724120000000005E-2</v>
      </c>
      <c r="W3790">
        <v>3.4173809999999999E-2</v>
      </c>
      <c r="X3790">
        <v>0.9952896</v>
      </c>
      <c r="Y3790">
        <v>0.20322270000000001</v>
      </c>
      <c r="Z3790">
        <v>0.1307305</v>
      </c>
      <c r="AA3790">
        <v>0.9703659</v>
      </c>
      <c r="AB3790">
        <v>28</v>
      </c>
      <c r="AC3790">
        <v>-0.31589999999999901</v>
      </c>
      <c r="AD3790">
        <v>-0.1212044</v>
      </c>
      <c r="AE3790">
        <v>-0.70299999999997398</v>
      </c>
      <c r="AF3790">
        <v>0.18547175000385199</v>
      </c>
      <c r="AG3790">
        <v>-0.1212044</v>
      </c>
      <c r="AH3790">
        <v>0.72888690179138205</v>
      </c>
      <c r="AI3790">
        <v>99.154598765600298</v>
      </c>
      <c r="AJ3790">
        <v>75.723562482222405</v>
      </c>
      <c r="AK3790">
        <v>0.76181782089413697</v>
      </c>
      <c r="AL3790">
        <v>88.041603706607503</v>
      </c>
      <c r="AM3790">
        <v>84.791683175428702</v>
      </c>
      <c r="AN3790">
        <v>1.00000005155392</v>
      </c>
    </row>
    <row r="3791" spans="1:40" x14ac:dyDescent="0.25">
      <c r="A3791" t="str">
        <f>"20190312151102546"</f>
        <v>20190312151102546</v>
      </c>
      <c r="B3791" t="str">
        <f>"1552374662535239"</f>
        <v>1552374662535239</v>
      </c>
      <c r="C3791" t="s">
        <v>40</v>
      </c>
      <c r="D3791">
        <v>5.4281980000000001</v>
      </c>
      <c r="E3791">
        <v>0.54428980000000005</v>
      </c>
      <c r="F3791" t="s">
        <v>41</v>
      </c>
      <c r="G3791">
        <v>-194.06059999999999</v>
      </c>
      <c r="H3791">
        <v>1.0076499999999999</v>
      </c>
      <c r="I3791">
        <v>162.40940000000001</v>
      </c>
      <c r="J3791">
        <v>-193.79740000000001</v>
      </c>
      <c r="K3791">
        <v>1.109459</v>
      </c>
      <c r="L3791">
        <v>162.98169999999999</v>
      </c>
      <c r="M3791">
        <v>-0.17279140000000001</v>
      </c>
      <c r="N3791">
        <v>0</v>
      </c>
      <c r="O3791">
        <v>-0.98486660000000004</v>
      </c>
      <c r="P3791">
        <v>-0.26277460000000002</v>
      </c>
      <c r="Q3791">
        <v>2.091428E-2</v>
      </c>
      <c r="R3791">
        <v>-0.96463069999999895</v>
      </c>
      <c r="S3791">
        <v>-1.133759</v>
      </c>
      <c r="T3791">
        <v>-0.39983489999999999</v>
      </c>
      <c r="U3791">
        <v>-2.810562</v>
      </c>
      <c r="V3791">
        <v>9.2184329999999995E-2</v>
      </c>
      <c r="W3791">
        <v>3.4160469999999998E-2</v>
      </c>
      <c r="X3791">
        <v>0.99515580000000003</v>
      </c>
      <c r="Y3791">
        <v>0.20494660000000001</v>
      </c>
      <c r="Z3791">
        <v>0.13119929999999999</v>
      </c>
      <c r="AA3791">
        <v>0.96994000000000002</v>
      </c>
      <c r="AB3791">
        <v>28</v>
      </c>
      <c r="AC3791">
        <v>-0.263199999999983</v>
      </c>
      <c r="AD3791">
        <v>-0.101809</v>
      </c>
      <c r="AE3791">
        <v>-0.57229999999998404</v>
      </c>
      <c r="AF3791">
        <v>0.15626109301924701</v>
      </c>
      <c r="AG3791">
        <v>-0.101809</v>
      </c>
      <c r="AH3791">
        <v>0.59366549253655798</v>
      </c>
      <c r="AI3791">
        <v>99.4164237961579</v>
      </c>
      <c r="AJ3791">
        <v>75.253428637171496</v>
      </c>
      <c r="AK3791">
        <v>0.62227109743362097</v>
      </c>
      <c r="AL3791">
        <v>88.042368333453794</v>
      </c>
      <c r="AM3791">
        <v>84.707619725692197</v>
      </c>
      <c r="AN3791">
        <v>0.99999997734090396</v>
      </c>
    </row>
    <row r="3792" spans="1:40" x14ac:dyDescent="0.25">
      <c r="A3792" t="str">
        <f>"20190312151102567"</f>
        <v>20190312151102567</v>
      </c>
      <c r="B3792" t="str">
        <f>"1552374662554758"</f>
        <v>1552374662554758</v>
      </c>
      <c r="C3792" t="s">
        <v>40</v>
      </c>
      <c r="D3792">
        <v>5.7685069999999996</v>
      </c>
      <c r="E3792">
        <v>0.57381309999999996</v>
      </c>
      <c r="F3792" t="s">
        <v>41</v>
      </c>
      <c r="G3792">
        <v>-194.12469999999999</v>
      </c>
      <c r="H3792">
        <v>0.99462150000000005</v>
      </c>
      <c r="I3792">
        <v>162.17679999999999</v>
      </c>
      <c r="J3792">
        <v>-193.84180000000001</v>
      </c>
      <c r="K3792">
        <v>1.1093440000000001</v>
      </c>
      <c r="L3792">
        <v>162.73410000000001</v>
      </c>
      <c r="M3792">
        <v>-0.1737785</v>
      </c>
      <c r="N3792">
        <v>0</v>
      </c>
      <c r="O3792">
        <v>-0.98469280000000003</v>
      </c>
      <c r="P3792">
        <v>-0.26675270000000001</v>
      </c>
      <c r="Q3792">
        <v>2.0622290000000001E-2</v>
      </c>
      <c r="R3792">
        <v>-0.96354450000000003</v>
      </c>
      <c r="S3792">
        <v>-1.141052</v>
      </c>
      <c r="T3792">
        <v>-0.40061639999999998</v>
      </c>
      <c r="U3792">
        <v>-2.8078460000000001</v>
      </c>
      <c r="V3792">
        <v>9.5301339999999998E-2</v>
      </c>
      <c r="W3792">
        <v>3.3831640000000003E-2</v>
      </c>
      <c r="X3792">
        <v>0.99487340000000002</v>
      </c>
      <c r="Y3792">
        <v>0.20644280000000001</v>
      </c>
      <c r="Z3792">
        <v>0.1314506</v>
      </c>
      <c r="AA3792">
        <v>0.96958860000000002</v>
      </c>
      <c r="AB3792">
        <v>27</v>
      </c>
      <c r="AC3792">
        <v>-0.282899999999983</v>
      </c>
      <c r="AD3792">
        <v>-0.11472250000000001</v>
      </c>
      <c r="AE3792">
        <v>-0.557300000000026</v>
      </c>
      <c r="AF3792">
        <v>0.175815438030333</v>
      </c>
      <c r="AG3792">
        <v>-0.11472250000000001</v>
      </c>
      <c r="AH3792">
        <v>0.57849384734113196</v>
      </c>
      <c r="AI3792">
        <v>100.743750169138</v>
      </c>
      <c r="AJ3792">
        <v>73.094961537613202</v>
      </c>
      <c r="AK3792">
        <v>0.61540836171406799</v>
      </c>
      <c r="AL3792">
        <v>88.061219852939004</v>
      </c>
      <c r="AM3792">
        <v>84.528194099223498</v>
      </c>
      <c r="AN3792">
        <v>1.00000000364922</v>
      </c>
    </row>
    <row r="3793" spans="1:40" x14ac:dyDescent="0.25">
      <c r="A3793" t="str">
        <f>"20190312151102579"</f>
        <v>20190312151102579</v>
      </c>
      <c r="B3793" t="str">
        <f>"1552374662574278"</f>
        <v>1552374662574278</v>
      </c>
      <c r="C3793" t="s">
        <v>40</v>
      </c>
      <c r="D3793">
        <v>5.4864249999999997</v>
      </c>
      <c r="E3793">
        <v>0.57980569999999998</v>
      </c>
      <c r="F3793" t="s">
        <v>79</v>
      </c>
      <c r="G3793">
        <v>-197.93190000000001</v>
      </c>
      <c r="H3793" s="1">
        <v>-1.35382399999999E-5</v>
      </c>
      <c r="I3793">
        <v>154.6103</v>
      </c>
      <c r="J3793">
        <v>-193.86879999999999</v>
      </c>
      <c r="K3793">
        <v>1.1092799999999901</v>
      </c>
      <c r="L3793">
        <v>162.58500000000001</v>
      </c>
      <c r="M3793">
        <v>-0.17442479999999999</v>
      </c>
      <c r="N3793">
        <v>0</v>
      </c>
      <c r="O3793">
        <v>-0.98457850000000002</v>
      </c>
      <c r="P3793">
        <v>-0.26904299999999998</v>
      </c>
      <c r="Q3793">
        <v>2.0440219999999999E-2</v>
      </c>
      <c r="R3793">
        <v>-0.96291139999999997</v>
      </c>
      <c r="S3793">
        <v>-1.3793329999999999</v>
      </c>
      <c r="T3793">
        <v>-0.37412010000000001</v>
      </c>
      <c r="U3793">
        <v>-2.7396699999999998</v>
      </c>
      <c r="V3793">
        <v>9.7018560000000004E-2</v>
      </c>
      <c r="W3793">
        <v>3.3628140000000001E-2</v>
      </c>
      <c r="X3793">
        <v>0.99471430000000005</v>
      </c>
      <c r="Y3793">
        <v>0.28358489999999997</v>
      </c>
      <c r="Z3793">
        <v>0.1223008</v>
      </c>
      <c r="AA3793">
        <v>0.95111630000000003</v>
      </c>
      <c r="AB3793">
        <v>27</v>
      </c>
      <c r="AC3793">
        <v>-4.0631000000000199</v>
      </c>
      <c r="AD3793">
        <v>-1.10929353823999</v>
      </c>
      <c r="AE3793">
        <v>-7.9747000000000101</v>
      </c>
      <c r="AF3793">
        <v>2.5702094231152102</v>
      </c>
      <c r="AG3793">
        <v>-1.10929353823999</v>
      </c>
      <c r="AH3793">
        <v>8.4316753964139401</v>
      </c>
      <c r="AI3793">
        <v>97.172721510611694</v>
      </c>
      <c r="AJ3793">
        <v>73.047318929076098</v>
      </c>
      <c r="AK3793">
        <v>8.8842365244934491</v>
      </c>
      <c r="AL3793">
        <v>88.072886167043293</v>
      </c>
      <c r="AM3793">
        <v>84.429327769262201</v>
      </c>
      <c r="AN3793">
        <v>0.999999995704411</v>
      </c>
    </row>
    <row r="3794" spans="1:40" x14ac:dyDescent="0.25">
      <c r="A3794" t="str">
        <f>"20190312151102591"</f>
        <v>20190312151102591</v>
      </c>
      <c r="B3794" t="str">
        <f>"1552374662585014"</f>
        <v>1552374662585014</v>
      </c>
      <c r="C3794" t="s">
        <v>40</v>
      </c>
      <c r="D3794">
        <v>5.4553120000000002</v>
      </c>
      <c r="E3794">
        <v>0.58119109999999996</v>
      </c>
      <c r="F3794" t="s">
        <v>79</v>
      </c>
      <c r="G3794">
        <v>-198.8158</v>
      </c>
      <c r="H3794" s="1">
        <v>-1.325429E-5</v>
      </c>
      <c r="I3794">
        <v>153.17019999999999</v>
      </c>
      <c r="J3794">
        <v>-193.89750000000001</v>
      </c>
      <c r="K3794">
        <v>1.109218</v>
      </c>
      <c r="L3794">
        <v>162.42740000000001</v>
      </c>
      <c r="M3794">
        <v>-0.1751731</v>
      </c>
      <c r="N3794">
        <v>0</v>
      </c>
      <c r="O3794">
        <v>-0.98444580000000004</v>
      </c>
      <c r="P3794">
        <v>-0.27128029999999997</v>
      </c>
      <c r="Q3794">
        <v>2.026027E-2</v>
      </c>
      <c r="R3794">
        <v>-0.96228709999999995</v>
      </c>
      <c r="S3794">
        <v>-1.4306179999999999</v>
      </c>
      <c r="T3794">
        <v>-0.32079429999999998</v>
      </c>
      <c r="U3794">
        <v>-2.7226409999999999</v>
      </c>
      <c r="V3794">
        <v>9.8578789999999999E-2</v>
      </c>
      <c r="W3794">
        <v>3.3427989999999998E-2</v>
      </c>
      <c r="X3794">
        <v>0.9945676</v>
      </c>
      <c r="Y3794">
        <v>0.3002841</v>
      </c>
      <c r="Z3794">
        <v>0.10494580000000001</v>
      </c>
      <c r="AA3794">
        <v>0.94805899999999999</v>
      </c>
      <c r="AB3794">
        <v>27</v>
      </c>
      <c r="AC3794">
        <v>-4.9182999999999799</v>
      </c>
      <c r="AD3794">
        <v>-1.10923125428999</v>
      </c>
      <c r="AE3794">
        <v>-9.2572000000000099</v>
      </c>
      <c r="AF3794">
        <v>3.1848179793034799</v>
      </c>
      <c r="AG3794">
        <v>-1.10923125428999</v>
      </c>
      <c r="AH3794">
        <v>9.8652062875031401</v>
      </c>
      <c r="AI3794">
        <v>96.107468031848398</v>
      </c>
      <c r="AJ3794">
        <v>72.108188075057299</v>
      </c>
      <c r="AK3794">
        <v>10.4257256165592</v>
      </c>
      <c r="AL3794">
        <v>88.084360299377494</v>
      </c>
      <c r="AM3794">
        <v>84.339489186952605</v>
      </c>
      <c r="AN3794">
        <v>0.99999995966153099</v>
      </c>
    </row>
    <row r="3795" spans="1:40" x14ac:dyDescent="0.25">
      <c r="A3795" t="str">
        <f>"20190312151102604"</f>
        <v>20190312151102604</v>
      </c>
      <c r="B3795" t="str">
        <f>"1552374662594774"</f>
        <v>1552374662594774</v>
      </c>
      <c r="C3795" t="s">
        <v>40</v>
      </c>
      <c r="D3795">
        <v>5.4748020000000004</v>
      </c>
      <c r="E3795">
        <v>0.5823007</v>
      </c>
      <c r="F3795" t="s">
        <v>79</v>
      </c>
      <c r="G3795">
        <v>-199.05629999999999</v>
      </c>
      <c r="H3795" s="1">
        <v>-1.316918E-5</v>
      </c>
      <c r="I3795">
        <v>152.74719999999999</v>
      </c>
      <c r="J3795">
        <v>-193.92429999999999</v>
      </c>
      <c r="K3795">
        <v>1.109156</v>
      </c>
      <c r="L3795">
        <v>162.2808</v>
      </c>
      <c r="M3795">
        <v>-0.17590229999999901</v>
      </c>
      <c r="N3795">
        <v>0</v>
      </c>
      <c r="O3795">
        <v>-0.98431579999999996</v>
      </c>
      <c r="P3795">
        <v>-0.27352949999999998</v>
      </c>
      <c r="Q3795">
        <v>1.9995410000000002E-2</v>
      </c>
      <c r="R3795">
        <v>-0.96165610000000001</v>
      </c>
      <c r="S3795">
        <v>-1.447449</v>
      </c>
      <c r="T3795">
        <v>-0.31122719999999998</v>
      </c>
      <c r="U3795">
        <v>-2.7160639999999998</v>
      </c>
      <c r="V3795">
        <v>0.1001706</v>
      </c>
      <c r="W3795">
        <v>3.3144430000000003E-2</v>
      </c>
      <c r="X3795">
        <v>0.99441809999999997</v>
      </c>
      <c r="Y3795">
        <v>0.30526029999999998</v>
      </c>
      <c r="Z3795">
        <v>0.1018255</v>
      </c>
      <c r="AA3795">
        <v>0.94680920000000002</v>
      </c>
      <c r="AB3795">
        <v>27</v>
      </c>
      <c r="AC3795">
        <v>-5.1319999999999997</v>
      </c>
      <c r="AD3795">
        <v>-1.1091691691800001</v>
      </c>
      <c r="AE3795">
        <v>-9.5335999999999999</v>
      </c>
      <c r="AF3795">
        <v>3.3397817425115401</v>
      </c>
      <c r="AG3795">
        <v>-1.1091691691800001</v>
      </c>
      <c r="AH3795">
        <v>10.1808887996305</v>
      </c>
      <c r="AI3795">
        <v>95.910123388604404</v>
      </c>
      <c r="AJ3795">
        <v>71.838221956182906</v>
      </c>
      <c r="AK3795">
        <v>10.771949456060099</v>
      </c>
      <c r="AL3795">
        <v>88.100616232909701</v>
      </c>
      <c r="AM3795">
        <v>84.247834658054899</v>
      </c>
      <c r="AN3795">
        <v>1.0000000299759899</v>
      </c>
    </row>
    <row r="3796" spans="1:40" x14ac:dyDescent="0.25">
      <c r="A3796" t="str">
        <f>"20190312151102625"</f>
        <v>20190312151102625</v>
      </c>
      <c r="B3796" t="str">
        <f>"1552374662615270"</f>
        <v>1552374662615270</v>
      </c>
      <c r="C3796" t="s">
        <v>40</v>
      </c>
      <c r="D3796">
        <v>5.5470600000000001</v>
      </c>
      <c r="E3796">
        <v>0.58343559999999905</v>
      </c>
      <c r="F3796" t="s">
        <v>79</v>
      </c>
      <c r="G3796">
        <v>-199.4306</v>
      </c>
      <c r="H3796" s="1">
        <v>-1.3032669999999999E-5</v>
      </c>
      <c r="I3796">
        <v>152.0727</v>
      </c>
      <c r="J3796">
        <v>-193.96850000000001</v>
      </c>
      <c r="K3796">
        <v>1.109078</v>
      </c>
      <c r="L3796">
        <v>162.041</v>
      </c>
      <c r="M3796">
        <v>-0.17717069999999999</v>
      </c>
      <c r="N3796">
        <v>0</v>
      </c>
      <c r="O3796">
        <v>-0.98408830000000003</v>
      </c>
      <c r="P3796">
        <v>-0.2779489</v>
      </c>
      <c r="Q3796">
        <v>1.9322289999999999E-2</v>
      </c>
      <c r="R3796">
        <v>-0.96040179999999997</v>
      </c>
      <c r="S3796">
        <v>-1.461746</v>
      </c>
      <c r="T3796">
        <v>-0.29445179999999999</v>
      </c>
      <c r="U3796">
        <v>-2.709946</v>
      </c>
      <c r="V3796">
        <v>0.103464899999999</v>
      </c>
      <c r="W3796">
        <v>3.2438130000000003E-2</v>
      </c>
      <c r="X3796">
        <v>0.99410399999999999</v>
      </c>
      <c r="Y3796">
        <v>0.30905630000000001</v>
      </c>
      <c r="Z3796">
        <v>9.6376260000000005E-2</v>
      </c>
      <c r="AA3796">
        <v>0.94614790000000004</v>
      </c>
      <c r="AB3796">
        <v>27</v>
      </c>
      <c r="AC3796">
        <v>-5.4620999999999897</v>
      </c>
      <c r="AD3796">
        <v>-1.1090910326700001</v>
      </c>
      <c r="AE3796">
        <v>-9.9682999999999993</v>
      </c>
      <c r="AF3796">
        <v>3.57538426119965</v>
      </c>
      <c r="AG3796">
        <v>-1.1090910326700001</v>
      </c>
      <c r="AH3796">
        <v>10.6767361902705</v>
      </c>
      <c r="AI3796">
        <v>95.625646431607294</v>
      </c>
      <c r="AJ3796">
        <v>71.485531073844896</v>
      </c>
      <c r="AK3796">
        <v>11.31398034339</v>
      </c>
      <c r="AL3796">
        <v>88.141105942394901</v>
      </c>
      <c r="AM3796">
        <v>84.058131674065905</v>
      </c>
      <c r="AN3796">
        <v>0.99999999031295295</v>
      </c>
    </row>
    <row r="3797" spans="1:40" x14ac:dyDescent="0.25">
      <c r="A3797" t="str">
        <f>"20190312151102645"</f>
        <v>20190312151102645</v>
      </c>
      <c r="B3797" t="str">
        <f>"1552374662634790"</f>
        <v>1552374662634790</v>
      </c>
      <c r="C3797" t="s">
        <v>40</v>
      </c>
      <c r="D3797">
        <v>5.5166649999999997</v>
      </c>
      <c r="E3797">
        <v>0.59145519999999996</v>
      </c>
      <c r="F3797" t="s">
        <v>79</v>
      </c>
      <c r="G3797">
        <v>-199.62299999999999</v>
      </c>
      <c r="H3797" s="1">
        <v>-1.2966870000000001E-5</v>
      </c>
      <c r="I3797">
        <v>151.74340000000001</v>
      </c>
      <c r="J3797">
        <v>-194.01509999999999</v>
      </c>
      <c r="K3797">
        <v>1.1089979999999999</v>
      </c>
      <c r="L3797">
        <v>161.7912</v>
      </c>
      <c r="M3797">
        <v>-0.17859040000000001</v>
      </c>
      <c r="N3797">
        <v>0</v>
      </c>
      <c r="O3797">
        <v>-0.98383180000000003</v>
      </c>
      <c r="P3797">
        <v>-0.28300540000000002</v>
      </c>
      <c r="Q3797">
        <v>1.929552E-2</v>
      </c>
      <c r="R3797">
        <v>-0.95892480000000002</v>
      </c>
      <c r="S3797">
        <v>-1.4828030000000001</v>
      </c>
      <c r="T3797">
        <v>-0.29084209999999999</v>
      </c>
      <c r="U3797">
        <v>-2.7004090000000001</v>
      </c>
      <c r="V3797">
        <v>0.1072751</v>
      </c>
      <c r="W3797">
        <v>3.2375220000000003E-2</v>
      </c>
      <c r="X3797">
        <v>0.99370210000000003</v>
      </c>
      <c r="Y3797">
        <v>0.31481690000000001</v>
      </c>
      <c r="Z3797">
        <v>9.5202690000000006E-2</v>
      </c>
      <c r="AA3797">
        <v>0.94436580000000003</v>
      </c>
      <c r="AB3797">
        <v>27</v>
      </c>
      <c r="AC3797">
        <v>-5.6078999999999999</v>
      </c>
      <c r="AD3797">
        <v>-1.1090109668699999</v>
      </c>
      <c r="AE3797">
        <v>-10.047799999999899</v>
      </c>
      <c r="AF3797">
        <v>3.6888604593705399</v>
      </c>
      <c r="AG3797">
        <v>-1.1090109668699999</v>
      </c>
      <c r="AH3797">
        <v>10.787640088375801</v>
      </c>
      <c r="AI3797">
        <v>95.555901573363101</v>
      </c>
      <c r="AJ3797">
        <v>71.121748810295898</v>
      </c>
      <c r="AK3797">
        <v>11.4547272114912</v>
      </c>
      <c r="AL3797">
        <v>88.144712300067994</v>
      </c>
      <c r="AM3797">
        <v>83.838496734473296</v>
      </c>
      <c r="AN3797">
        <v>0.99999998274723401</v>
      </c>
    </row>
    <row r="3798" spans="1:40" x14ac:dyDescent="0.25">
      <c r="A3798" t="str">
        <f>"20190312151102667"</f>
        <v>20190312151102667</v>
      </c>
      <c r="B3798" t="str">
        <f>"1552374662665046"</f>
        <v>1552374662665046</v>
      </c>
      <c r="C3798" t="s">
        <v>40</v>
      </c>
      <c r="D3798">
        <v>5.5585129999999996</v>
      </c>
      <c r="E3798">
        <v>0.592084099999999</v>
      </c>
      <c r="F3798" t="s">
        <v>79</v>
      </c>
      <c r="G3798">
        <v>-197.59289999999999</v>
      </c>
      <c r="H3798" s="1">
        <v>-1.395956E-5</v>
      </c>
      <c r="I3798">
        <v>155.66499999999999</v>
      </c>
      <c r="J3798">
        <v>-194.06620000000001</v>
      </c>
      <c r="K3798">
        <v>1.1089260000000001</v>
      </c>
      <c r="L3798">
        <v>161.5196</v>
      </c>
      <c r="M3798">
        <v>-0.18023829999999999</v>
      </c>
      <c r="N3798">
        <v>0</v>
      </c>
      <c r="O3798">
        <v>-0.98353109999999999</v>
      </c>
      <c r="P3798">
        <v>-0.28825840000000003</v>
      </c>
      <c r="Q3798">
        <v>1.983675E-2</v>
      </c>
      <c r="R3798">
        <v>-0.95734759999999997</v>
      </c>
      <c r="S3798">
        <v>-1.563339</v>
      </c>
      <c r="T3798">
        <v>-0.4845892</v>
      </c>
      <c r="U3798">
        <v>-2.6768649999999998</v>
      </c>
      <c r="V3798">
        <v>0.111069</v>
      </c>
      <c r="W3798">
        <v>3.2877549999999998E-2</v>
      </c>
      <c r="X3798">
        <v>0.9932687</v>
      </c>
      <c r="Y3798">
        <v>0.33412150000000002</v>
      </c>
      <c r="Z3798">
        <v>0.1567703</v>
      </c>
      <c r="AA3798">
        <v>0.92940089999999997</v>
      </c>
      <c r="AB3798">
        <v>27</v>
      </c>
      <c r="AC3798">
        <v>-3.5266999999999702</v>
      </c>
      <c r="AD3798">
        <v>-1.10893995956</v>
      </c>
      <c r="AE3798">
        <v>-5.8545999999999996</v>
      </c>
      <c r="AF3798">
        <v>2.3517053031341399</v>
      </c>
      <c r="AG3798">
        <v>-1.10893995956</v>
      </c>
      <c r="AH3798">
        <v>6.2303900321201198</v>
      </c>
      <c r="AI3798">
        <v>99.454215251739797</v>
      </c>
      <c r="AJ3798">
        <v>69.320626937973799</v>
      </c>
      <c r="AK3798">
        <v>6.7511499479007302</v>
      </c>
      <c r="AL3798">
        <v>88.115915580387295</v>
      </c>
      <c r="AM3798">
        <v>83.619593853652702</v>
      </c>
      <c r="AN3798">
        <v>0.99999998322734596</v>
      </c>
    </row>
    <row r="3799" spans="1:40" x14ac:dyDescent="0.25">
      <c r="A3799" t="str">
        <f>"20190312151102690"</f>
        <v>20190312151102690</v>
      </c>
      <c r="B3799" t="str">
        <f>"1552374662684567"</f>
        <v>1552374662684567</v>
      </c>
      <c r="C3799" t="s">
        <v>40</v>
      </c>
      <c r="D3799">
        <v>5.5062680000000004</v>
      </c>
      <c r="E3799">
        <v>0.5925764</v>
      </c>
      <c r="F3799" t="s">
        <v>79</v>
      </c>
      <c r="G3799">
        <v>-197.66589999999999</v>
      </c>
      <c r="H3799" s="1">
        <v>-1.387481E-5</v>
      </c>
      <c r="I3799">
        <v>155.45230000000001</v>
      </c>
      <c r="J3799">
        <v>-194.1174</v>
      </c>
      <c r="K3799">
        <v>1.108849</v>
      </c>
      <c r="L3799">
        <v>161.2509</v>
      </c>
      <c r="M3799">
        <v>-0.18198130000000001</v>
      </c>
      <c r="N3799">
        <v>0</v>
      </c>
      <c r="O3799">
        <v>-0.98320989999999997</v>
      </c>
      <c r="P3799">
        <v>-0.29342580000000001</v>
      </c>
      <c r="Q3799">
        <v>1.976615E-2</v>
      </c>
      <c r="R3799">
        <v>-0.9557776</v>
      </c>
      <c r="S3799">
        <v>-1.5824739999999999</v>
      </c>
      <c r="T3799">
        <v>-0.48751080000000002</v>
      </c>
      <c r="U3799">
        <v>-2.6672820000000002</v>
      </c>
      <c r="V3799">
        <v>0.11468059999999999</v>
      </c>
      <c r="W3799">
        <v>3.2767930000000001E-2</v>
      </c>
      <c r="X3799">
        <v>0.99286180000000002</v>
      </c>
      <c r="Y3799">
        <v>0.338775299999999</v>
      </c>
      <c r="Z3799">
        <v>0.1576919</v>
      </c>
      <c r="AA3799">
        <v>0.92755840000000001</v>
      </c>
      <c r="AB3799">
        <v>27</v>
      </c>
      <c r="AC3799">
        <v>-3.54849999999999</v>
      </c>
      <c r="AD3799">
        <v>-1.10886287481</v>
      </c>
      <c r="AE3799">
        <v>-5.7985999999999898</v>
      </c>
      <c r="AF3799">
        <v>2.3708275589768899</v>
      </c>
      <c r="AG3799">
        <v>-1.10886287481</v>
      </c>
      <c r="AH3799">
        <v>6.18307427468444</v>
      </c>
      <c r="AI3799">
        <v>99.506023959736694</v>
      </c>
      <c r="AJ3799">
        <v>69.021262569188096</v>
      </c>
      <c r="AK3799">
        <v>6.7142242795278104</v>
      </c>
      <c r="AL3799">
        <v>88.122199696659294</v>
      </c>
      <c r="AM3799">
        <v>83.411242963272599</v>
      </c>
      <c r="AN3799">
        <v>0.99999996557604198</v>
      </c>
    </row>
    <row r="3800" spans="1:40" x14ac:dyDescent="0.25">
      <c r="A3800" t="str">
        <f>"20190312151102704"</f>
        <v>20190312151102704</v>
      </c>
      <c r="B3800" t="str">
        <f>"1552374662694326"</f>
        <v>1552374662694326</v>
      </c>
      <c r="C3800" t="s">
        <v>40</v>
      </c>
      <c r="D3800">
        <v>5.523212</v>
      </c>
      <c r="E3800">
        <v>0.59285710000000003</v>
      </c>
      <c r="F3800" t="s">
        <v>79</v>
      </c>
      <c r="G3800">
        <v>-197.7449</v>
      </c>
      <c r="H3800" s="1">
        <v>-1.378525E-5</v>
      </c>
      <c r="I3800">
        <v>155.22720000000001</v>
      </c>
      <c r="J3800">
        <v>-194.14879999999999</v>
      </c>
      <c r="K3800">
        <v>1.1087910000000001</v>
      </c>
      <c r="L3800">
        <v>161.08750000000001</v>
      </c>
      <c r="M3800">
        <v>-0.18310389999999999</v>
      </c>
      <c r="N3800">
        <v>0</v>
      </c>
      <c r="O3800">
        <v>-0.98300169999999998</v>
      </c>
      <c r="P3800">
        <v>-0.29604520000000001</v>
      </c>
      <c r="Q3800">
        <v>1.938761E-2</v>
      </c>
      <c r="R3800">
        <v>-0.95497790000000005</v>
      </c>
      <c r="S3800">
        <v>-1.600403</v>
      </c>
      <c r="T3800">
        <v>-0.48921369999999997</v>
      </c>
      <c r="U3800">
        <v>-2.657578</v>
      </c>
      <c r="V3800">
        <v>0.116271</v>
      </c>
      <c r="W3800">
        <v>3.2367130000000001E-2</v>
      </c>
      <c r="X3800">
        <v>0.99268999999999996</v>
      </c>
      <c r="Y3800">
        <v>0.34374320000000003</v>
      </c>
      <c r="Z3800">
        <v>0.15826370000000001</v>
      </c>
      <c r="AA3800">
        <v>0.92563130000000005</v>
      </c>
      <c r="AB3800">
        <v>27</v>
      </c>
      <c r="AC3800">
        <v>-3.5960999999999999</v>
      </c>
      <c r="AD3800">
        <v>-1.10880478525</v>
      </c>
      <c r="AE3800">
        <v>-5.8602999999999899</v>
      </c>
      <c r="AF3800">
        <v>2.3997426245801998</v>
      </c>
      <c r="AG3800">
        <v>-1.10880478525</v>
      </c>
      <c r="AH3800">
        <v>6.2570032319318898</v>
      </c>
      <c r="AI3800">
        <v>99.394957541983601</v>
      </c>
      <c r="AJ3800">
        <v>69.016729211741506</v>
      </c>
      <c r="AK3800">
        <v>6.7925181015899003</v>
      </c>
      <c r="AL3800">
        <v>88.145176109728098</v>
      </c>
      <c r="AM3800">
        <v>83.319544057219304</v>
      </c>
      <c r="AN3800">
        <v>1.0000000063227099</v>
      </c>
    </row>
    <row r="3801" spans="1:40" x14ac:dyDescent="0.25">
      <c r="A3801" t="str">
        <f>"20190312151102723"</f>
        <v>20190312151102723</v>
      </c>
      <c r="B3801" t="str">
        <f>"1552374662714822"</f>
        <v>1552374662714822</v>
      </c>
      <c r="C3801" t="s">
        <v>40</v>
      </c>
      <c r="D3801">
        <v>5.4422949999999997</v>
      </c>
      <c r="E3801">
        <v>0.5926728</v>
      </c>
      <c r="F3801" t="s">
        <v>79</v>
      </c>
      <c r="G3801">
        <v>-197.78319999999999</v>
      </c>
      <c r="H3801" s="1">
        <v>-1.373345E-5</v>
      </c>
      <c r="I3801">
        <v>155.0986</v>
      </c>
      <c r="J3801">
        <v>-194.1943</v>
      </c>
      <c r="K3801">
        <v>1.108703</v>
      </c>
      <c r="L3801">
        <v>160.85319999999999</v>
      </c>
      <c r="M3801">
        <v>-0.18481510000000001</v>
      </c>
      <c r="N3801">
        <v>0</v>
      </c>
      <c r="O3801">
        <v>-0.98268120000000003</v>
      </c>
      <c r="P3801">
        <v>-0.30078270000000001</v>
      </c>
      <c r="Q3801">
        <v>1.875222E-2</v>
      </c>
      <c r="R3801">
        <v>-0.95350869999999999</v>
      </c>
      <c r="S3801">
        <v>-1.6096189999999999</v>
      </c>
      <c r="T3801">
        <v>-0.49107149999999999</v>
      </c>
      <c r="U3801">
        <v>-2.6524200000000002</v>
      </c>
      <c r="V3801">
        <v>0.1194741</v>
      </c>
      <c r="W3801">
        <v>3.1691789999999997E-2</v>
      </c>
      <c r="X3801">
        <v>0.99233139999999997</v>
      </c>
      <c r="Y3801">
        <v>0.34521079999999998</v>
      </c>
      <c r="Z3801">
        <v>0.15885469999999999</v>
      </c>
      <c r="AA3801">
        <v>0.92498360000000002</v>
      </c>
      <c r="AB3801">
        <v>27</v>
      </c>
      <c r="AC3801">
        <v>-3.58889999999999</v>
      </c>
      <c r="AD3801">
        <v>-1.1087167334499901</v>
      </c>
      <c r="AE3801">
        <v>-5.7545999999999804</v>
      </c>
      <c r="AF3801">
        <v>2.3993080446778698</v>
      </c>
      <c r="AG3801">
        <v>-1.1087167334499901</v>
      </c>
      <c r="AH3801">
        <v>6.1543154223958698</v>
      </c>
      <c r="AI3801">
        <v>99.528176209299005</v>
      </c>
      <c r="AJ3801">
        <v>68.701287153545096</v>
      </c>
      <c r="AK3801">
        <v>6.6978750515837202</v>
      </c>
      <c r="AL3801">
        <v>88.183890127755006</v>
      </c>
      <c r="AM3801">
        <v>83.134782691647999</v>
      </c>
      <c r="AN3801">
        <v>1.0000000187750799</v>
      </c>
    </row>
    <row r="3802" spans="1:40" x14ac:dyDescent="0.25">
      <c r="A3802" t="str">
        <f>"20190312151102735"</f>
        <v>20190312151102735</v>
      </c>
      <c r="B3802" t="str">
        <f>"1552374662724583"</f>
        <v>1552374662724583</v>
      </c>
      <c r="C3802" t="s">
        <v>40</v>
      </c>
      <c r="D3802">
        <v>5.4298960000000003</v>
      </c>
      <c r="E3802">
        <v>0.5925918</v>
      </c>
      <c r="F3802" t="s">
        <v>79</v>
      </c>
      <c r="G3802">
        <v>-197.83</v>
      </c>
      <c r="H3802" s="1">
        <v>-1.366272E-5</v>
      </c>
      <c r="I3802">
        <v>154.92400000000001</v>
      </c>
      <c r="J3802">
        <v>-194.22450000000001</v>
      </c>
      <c r="K3802">
        <v>1.108635</v>
      </c>
      <c r="L3802">
        <v>160.6996</v>
      </c>
      <c r="M3802">
        <v>-0.1860028</v>
      </c>
      <c r="N3802">
        <v>0</v>
      </c>
      <c r="O3802">
        <v>-0.98245700000000002</v>
      </c>
      <c r="P3802">
        <v>-0.30353049999999998</v>
      </c>
      <c r="Q3802">
        <v>1.876104E-2</v>
      </c>
      <c r="R3802">
        <v>-0.95263710000000001</v>
      </c>
      <c r="S3802">
        <v>-1.621567</v>
      </c>
      <c r="T3802">
        <v>-0.49449979999999899</v>
      </c>
      <c r="U3802">
        <v>-2.644485</v>
      </c>
      <c r="V3802">
        <v>0.1211412</v>
      </c>
      <c r="W3802">
        <v>3.1672730000000003E-2</v>
      </c>
      <c r="X3802">
        <v>0.99212990000000001</v>
      </c>
      <c r="Y3802">
        <v>0.34825220000000001</v>
      </c>
      <c r="Z3802">
        <v>0.1600134</v>
      </c>
      <c r="AA3802">
        <v>0.92364290000000004</v>
      </c>
      <c r="AB3802">
        <v>27</v>
      </c>
      <c r="AC3802">
        <v>-3.6055000000000001</v>
      </c>
      <c r="AD3802">
        <v>-1.1086486627200001</v>
      </c>
      <c r="AE3802">
        <v>-5.7755999999999901</v>
      </c>
      <c r="AF3802">
        <v>2.4044438009048599</v>
      </c>
      <c r="AG3802">
        <v>-1.1086486627200001</v>
      </c>
      <c r="AH3802">
        <v>6.1815896828758401</v>
      </c>
      <c r="AI3802">
        <v>99.489131332141994</v>
      </c>
      <c r="AJ3802">
        <v>68.745531353437499</v>
      </c>
      <c r="AK3802">
        <v>6.7247678663651804</v>
      </c>
      <c r="AL3802">
        <v>88.184982781982796</v>
      </c>
      <c r="AM3802">
        <v>83.038521382126206</v>
      </c>
      <c r="AN3802">
        <v>1.00000004531855</v>
      </c>
    </row>
    <row r="3803" spans="1:40" x14ac:dyDescent="0.25">
      <c r="A3803" t="str">
        <f>"20190312151102747"</f>
        <v>20190312151102747</v>
      </c>
      <c r="B3803" t="str">
        <f>"1552374662745078"</f>
        <v>1552374662745078</v>
      </c>
      <c r="C3803" t="s">
        <v>40</v>
      </c>
      <c r="D3803">
        <v>5.4918940000000003</v>
      </c>
      <c r="E3803">
        <v>0.5929934</v>
      </c>
      <c r="F3803" t="s">
        <v>79</v>
      </c>
      <c r="G3803">
        <v>-197.87809999999999</v>
      </c>
      <c r="H3803" s="1">
        <v>-1.360441E-5</v>
      </c>
      <c r="I3803">
        <v>154.7782</v>
      </c>
      <c r="J3803">
        <v>-194.25129999999999</v>
      </c>
      <c r="K3803">
        <v>1.1085719999999999</v>
      </c>
      <c r="L3803">
        <v>160.56389999999999</v>
      </c>
      <c r="M3803">
        <v>-0.1871188</v>
      </c>
      <c r="N3803">
        <v>0</v>
      </c>
      <c r="O3803">
        <v>-0.98224509999999998</v>
      </c>
      <c r="P3803">
        <v>-0.3061895</v>
      </c>
      <c r="Q3803">
        <v>1.8841879999999998E-2</v>
      </c>
      <c r="R3803">
        <v>-0.95178459999999998</v>
      </c>
      <c r="S3803">
        <v>-1.62886</v>
      </c>
      <c r="T3803">
        <v>-0.49426110000000001</v>
      </c>
      <c r="U3803">
        <v>-2.6398929999999998</v>
      </c>
      <c r="V3803">
        <v>0.1227906</v>
      </c>
      <c r="W3803">
        <v>3.1726110000000002E-2</v>
      </c>
      <c r="X3803">
        <v>0.99192539999999996</v>
      </c>
      <c r="Y3803">
        <v>0.34975980000000001</v>
      </c>
      <c r="Z3803">
        <v>0.1599661</v>
      </c>
      <c r="AA3803">
        <v>0.92308120000000005</v>
      </c>
      <c r="AB3803">
        <v>27</v>
      </c>
      <c r="AC3803">
        <v>-3.6267999999999998</v>
      </c>
      <c r="AD3803">
        <v>-1.10858560441</v>
      </c>
      <c r="AE3803">
        <v>-5.7856999999999896</v>
      </c>
      <c r="AF3803">
        <v>2.4163312760028899</v>
      </c>
      <c r="AG3803">
        <v>-1.10858560441</v>
      </c>
      <c r="AH3803">
        <v>6.1988136144776496</v>
      </c>
      <c r="AI3803">
        <v>99.460085018810702</v>
      </c>
      <c r="AJ3803">
        <v>68.703892739558796</v>
      </c>
      <c r="AK3803">
        <v>6.7448431490085996</v>
      </c>
      <c r="AL3803">
        <v>88.181922782904195</v>
      </c>
      <c r="AM3803">
        <v>82.943246293344998</v>
      </c>
      <c r="AN3803">
        <v>1.0000000383346199</v>
      </c>
    </row>
    <row r="3804" spans="1:40" x14ac:dyDescent="0.25">
      <c r="A3804" t="str">
        <f>"20190312151102759"</f>
        <v>20190312151102759</v>
      </c>
      <c r="B3804" t="str">
        <f>"1552374662754839"</f>
        <v>1552374662754839</v>
      </c>
      <c r="C3804" t="s">
        <v>40</v>
      </c>
      <c r="D3804">
        <v>5.5151760000000003</v>
      </c>
      <c r="E3804">
        <v>0.59327469999999904</v>
      </c>
      <c r="F3804" t="s">
        <v>79</v>
      </c>
      <c r="G3804">
        <v>-197.9153</v>
      </c>
      <c r="H3804" s="1">
        <v>-1.3564070000000001E-5</v>
      </c>
      <c r="I3804">
        <v>154.6764</v>
      </c>
      <c r="J3804">
        <v>-194.28030000000001</v>
      </c>
      <c r="K3804">
        <v>1.108501</v>
      </c>
      <c r="L3804">
        <v>160.41829999999999</v>
      </c>
      <c r="M3804">
        <v>-0.18834429999999999</v>
      </c>
      <c r="N3804">
        <v>0</v>
      </c>
      <c r="O3804">
        <v>-0.98201090000000002</v>
      </c>
      <c r="P3804">
        <v>-0.30914770000000003</v>
      </c>
      <c r="Q3804">
        <v>1.91775E-2</v>
      </c>
      <c r="R3804">
        <v>-0.95082100000000003</v>
      </c>
      <c r="S3804">
        <v>-1.639481</v>
      </c>
      <c r="T3804">
        <v>-0.49604700000000002</v>
      </c>
      <c r="U3804">
        <v>-2.6343839999999998</v>
      </c>
      <c r="V3804">
        <v>0.1246461</v>
      </c>
      <c r="W3804">
        <v>3.2030650000000001E-2</v>
      </c>
      <c r="X3804">
        <v>0.99168409999999996</v>
      </c>
      <c r="Y3804">
        <v>0.35209410000000002</v>
      </c>
      <c r="Z3804">
        <v>0.16052159999999999</v>
      </c>
      <c r="AA3804">
        <v>0.92209680000000005</v>
      </c>
      <c r="AB3804">
        <v>27</v>
      </c>
      <c r="AC3804">
        <v>-3.63499999999999</v>
      </c>
      <c r="AD3804">
        <v>-1.10851456407</v>
      </c>
      <c r="AE3804">
        <v>-5.7418999999999798</v>
      </c>
      <c r="AF3804">
        <v>2.4238871416715702</v>
      </c>
      <c r="AG3804">
        <v>-1.10851456407</v>
      </c>
      <c r="AH3804">
        <v>6.1599124409208601</v>
      </c>
      <c r="AI3804">
        <v>99.506443116747803</v>
      </c>
      <c r="AJ3804">
        <v>68.520671602845795</v>
      </c>
      <c r="AK3804">
        <v>6.7118220100154398</v>
      </c>
      <c r="AL3804">
        <v>88.164464953308695</v>
      </c>
      <c r="AM3804">
        <v>82.835985701667596</v>
      </c>
      <c r="AN3804">
        <v>0.99999998348872099</v>
      </c>
    </row>
    <row r="3805" spans="1:40" x14ac:dyDescent="0.25">
      <c r="A3805" t="str">
        <f>"20190312151102779"</f>
        <v>20190312151102779</v>
      </c>
      <c r="B3805" t="str">
        <f>"1552374662774358"</f>
        <v>1552374662774358</v>
      </c>
      <c r="C3805" t="s">
        <v>40</v>
      </c>
      <c r="D3805">
        <v>5.4632430000000003</v>
      </c>
      <c r="E3805">
        <v>0.59349499999999999</v>
      </c>
      <c r="F3805" t="s">
        <v>79</v>
      </c>
      <c r="G3805">
        <v>-197.97499999999999</v>
      </c>
      <c r="H3805" s="1">
        <v>-1.352245E-5</v>
      </c>
      <c r="I3805">
        <v>154.5324</v>
      </c>
      <c r="J3805">
        <v>-194.32689999999999</v>
      </c>
      <c r="K3805">
        <v>1.1083769999999999</v>
      </c>
      <c r="L3805">
        <v>160.18729999999999</v>
      </c>
      <c r="M3805">
        <v>-0.19044910000000001</v>
      </c>
      <c r="N3805">
        <v>0</v>
      </c>
      <c r="O3805">
        <v>-0.98160480000000006</v>
      </c>
      <c r="P3805">
        <v>-0.31419330000000001</v>
      </c>
      <c r="Q3805">
        <v>2.0391240000000001E-2</v>
      </c>
      <c r="R3805">
        <v>-0.94914030000000005</v>
      </c>
      <c r="S3805">
        <v>-1.65004</v>
      </c>
      <c r="T3805">
        <v>-0.49506509999999998</v>
      </c>
      <c r="U3805">
        <v>-2.6286770000000002</v>
      </c>
      <c r="V3805">
        <v>0.12780810000000001</v>
      </c>
      <c r="W3805">
        <v>3.3188269999999999E-2</v>
      </c>
      <c r="X3805">
        <v>0.99124350000000006</v>
      </c>
      <c r="Y3805">
        <v>0.35367910000000002</v>
      </c>
      <c r="Z3805">
        <v>0.16019749999999999</v>
      </c>
      <c r="AA3805">
        <v>0.92154650000000005</v>
      </c>
      <c r="AB3805">
        <v>27</v>
      </c>
      <c r="AC3805">
        <v>-3.6480999999999999</v>
      </c>
      <c r="AD3805">
        <v>-1.1083905224499999</v>
      </c>
      <c r="AE3805">
        <v>-5.6548999999999898</v>
      </c>
      <c r="AF3805">
        <v>2.4381078872826101</v>
      </c>
      <c r="AG3805">
        <v>-1.1083905224499999</v>
      </c>
      <c r="AH3805">
        <v>6.0812484875786303</v>
      </c>
      <c r="AI3805">
        <v>99.602024938573095</v>
      </c>
      <c r="AJ3805">
        <v>68.153051897004204</v>
      </c>
      <c r="AK3805">
        <v>6.6448839559441604</v>
      </c>
      <c r="AL3805">
        <v>88.098102991960303</v>
      </c>
      <c r="AM3805">
        <v>82.652981427815604</v>
      </c>
      <c r="AN3805">
        <v>1.0000000239917199</v>
      </c>
    </row>
    <row r="3806" spans="1:40" x14ac:dyDescent="0.25">
      <c r="A3806" t="str">
        <f>"20190312151102790"</f>
        <v>20190312151102790</v>
      </c>
      <c r="B3806" t="str">
        <f>"1552374662785094"</f>
        <v>1552374662785094</v>
      </c>
      <c r="C3806" t="s">
        <v>40</v>
      </c>
      <c r="D3806">
        <v>5.5488920000000004</v>
      </c>
      <c r="E3806">
        <v>0.58964329999999998</v>
      </c>
      <c r="F3806" t="s">
        <v>79</v>
      </c>
      <c r="G3806">
        <v>-198.06950000000001</v>
      </c>
      <c r="H3806" s="1">
        <v>-1.347281E-5</v>
      </c>
      <c r="I3806">
        <v>154.30179999999999</v>
      </c>
      <c r="J3806">
        <v>-194.35749999999999</v>
      </c>
      <c r="K3806">
        <v>1.1082860000000001</v>
      </c>
      <c r="L3806">
        <v>160.0378</v>
      </c>
      <c r="M3806">
        <v>-0.1919198</v>
      </c>
      <c r="N3806">
        <v>0</v>
      </c>
      <c r="O3806">
        <v>-0.98131809999999997</v>
      </c>
      <c r="P3806">
        <v>-0.31701669999999998</v>
      </c>
      <c r="Q3806">
        <v>2.081508E-2</v>
      </c>
      <c r="R3806">
        <v>-0.94819149999999996</v>
      </c>
      <c r="S3806">
        <v>-1.6659550000000001</v>
      </c>
      <c r="T3806">
        <v>-0.49338290000000001</v>
      </c>
      <c r="U3806">
        <v>-2.6198730000000001</v>
      </c>
      <c r="V3806">
        <v>0.1292846</v>
      </c>
      <c r="W3806">
        <v>3.357715E-2</v>
      </c>
      <c r="X3806">
        <v>0.99103889999999994</v>
      </c>
      <c r="Y3806">
        <v>0.35771439999999999</v>
      </c>
      <c r="Z3806">
        <v>0.15967899999999999</v>
      </c>
      <c r="AA3806">
        <v>0.9200777</v>
      </c>
      <c r="AB3806">
        <v>27</v>
      </c>
      <c r="AC3806">
        <v>-3.71200000000001</v>
      </c>
      <c r="AD3806">
        <v>-1.10829947281</v>
      </c>
      <c r="AE3806">
        <v>-5.7360000000000104</v>
      </c>
      <c r="AF3806">
        <v>2.47685701020613</v>
      </c>
      <c r="AG3806">
        <v>-1.10829947281</v>
      </c>
      <c r="AH3806">
        <v>6.1792260810869504</v>
      </c>
      <c r="AI3806">
        <v>99.452058293702706</v>
      </c>
      <c r="AJ3806">
        <v>68.157303995627004</v>
      </c>
      <c r="AK3806">
        <v>6.7487764321855703</v>
      </c>
      <c r="AL3806">
        <v>88.075809370746796</v>
      </c>
      <c r="AM3806">
        <v>82.567531469526401</v>
      </c>
      <c r="AN3806">
        <v>1.00000001705624</v>
      </c>
    </row>
    <row r="3807" spans="1:40" x14ac:dyDescent="0.25">
      <c r="A3807" t="str">
        <f>"20190312151102802"</f>
        <v>20190312151102802</v>
      </c>
      <c r="B3807" t="str">
        <f>"1552374662794854"</f>
        <v>1552374662794854</v>
      </c>
      <c r="C3807" t="s">
        <v>40</v>
      </c>
      <c r="D3807">
        <v>5.6902239999999997</v>
      </c>
      <c r="E3807">
        <v>0.58947399999999905</v>
      </c>
      <c r="F3807" t="s">
        <v>79</v>
      </c>
      <c r="G3807">
        <v>-200.2501</v>
      </c>
      <c r="H3807" s="1">
        <v>-1.2569600000000001E-5</v>
      </c>
      <c r="I3807">
        <v>150.61269999999999</v>
      </c>
      <c r="J3807">
        <v>-194.38570000000001</v>
      </c>
      <c r="K3807">
        <v>1.1082050000000001</v>
      </c>
      <c r="L3807">
        <v>159.90100000000001</v>
      </c>
      <c r="M3807">
        <v>-0.19330610000000001</v>
      </c>
      <c r="N3807">
        <v>0</v>
      </c>
      <c r="O3807">
        <v>-0.98104610000000003</v>
      </c>
      <c r="P3807">
        <v>-0.31957669999999999</v>
      </c>
      <c r="Q3807">
        <v>2.098941E-2</v>
      </c>
      <c r="R3807">
        <v>-0.94732819999999995</v>
      </c>
      <c r="S3807">
        <v>-1.639572</v>
      </c>
      <c r="T3807">
        <v>-0.30837789999999998</v>
      </c>
      <c r="U3807">
        <v>-2.6224820000000002</v>
      </c>
      <c r="V3807">
        <v>0.13056999999999999</v>
      </c>
      <c r="W3807">
        <v>3.3720119999999999E-2</v>
      </c>
      <c r="X3807">
        <v>0.99086549999999995</v>
      </c>
      <c r="Y3807">
        <v>0.35347089999999998</v>
      </c>
      <c r="Z3807">
        <v>0.1008665</v>
      </c>
      <c r="AA3807">
        <v>0.92999149999999997</v>
      </c>
      <c r="AB3807">
        <v>27</v>
      </c>
      <c r="AC3807">
        <v>-5.8643999999999803</v>
      </c>
      <c r="AD3807">
        <v>-1.1082175695999901</v>
      </c>
      <c r="AE3807">
        <v>-9.2883000000000102</v>
      </c>
      <c r="AF3807">
        <v>3.9182396728014099</v>
      </c>
      <c r="AG3807">
        <v>-1.1082175695999901</v>
      </c>
      <c r="AH3807">
        <v>10.143559946274101</v>
      </c>
      <c r="AI3807">
        <v>95.819162396823501</v>
      </c>
      <c r="AJ3807">
        <v>68.879522630144095</v>
      </c>
      <c r="AK3807">
        <v>10.930350255080601</v>
      </c>
      <c r="AL3807">
        <v>88.067613129124297</v>
      </c>
      <c r="AM3807">
        <v>82.493174779194405</v>
      </c>
      <c r="AN3807">
        <v>1.0000000052415301</v>
      </c>
    </row>
    <row r="3808" spans="1:40" x14ac:dyDescent="0.25">
      <c r="A3808" t="str">
        <f>"20190312151102824"</f>
        <v>20190312151102824</v>
      </c>
      <c r="B3808" t="str">
        <f>"1552374662814374"</f>
        <v>1552374662814374</v>
      </c>
      <c r="C3808" t="s">
        <v>40</v>
      </c>
      <c r="D3808">
        <v>5.5125469999999996</v>
      </c>
      <c r="E3808">
        <v>0.59048869999999998</v>
      </c>
      <c r="F3808" t="s">
        <v>79</v>
      </c>
      <c r="G3808">
        <v>-200.19460000000001</v>
      </c>
      <c r="H3808" s="1">
        <v>-1.2607980000000001E-5</v>
      </c>
      <c r="I3808">
        <v>150.65770000000001</v>
      </c>
      <c r="J3808">
        <v>-194.43960000000001</v>
      </c>
      <c r="K3808">
        <v>1.108052</v>
      </c>
      <c r="L3808">
        <v>159.64359999999999</v>
      </c>
      <c r="M3808">
        <v>-0.19608310000000001</v>
      </c>
      <c r="N3808">
        <v>0</v>
      </c>
      <c r="O3808">
        <v>-0.98049470000000005</v>
      </c>
      <c r="P3808">
        <v>-0.32472970000000001</v>
      </c>
      <c r="Q3808">
        <v>2.033248E-2</v>
      </c>
      <c r="R3808">
        <v>-0.9455886</v>
      </c>
      <c r="S3808">
        <v>-1.6456599999999999</v>
      </c>
      <c r="T3808">
        <v>-0.31395790000000001</v>
      </c>
      <c r="U3808">
        <v>-2.6186069999999999</v>
      </c>
      <c r="V3808">
        <v>0.13316620000000001</v>
      </c>
      <c r="W3808">
        <v>3.3001929999999999E-2</v>
      </c>
      <c r="X3808">
        <v>0.99054410000000004</v>
      </c>
      <c r="Y3808">
        <v>0.35289530000000002</v>
      </c>
      <c r="Z3808">
        <v>0.1026652</v>
      </c>
      <c r="AA3808">
        <v>0.93001330000000004</v>
      </c>
      <c r="AB3808">
        <v>27</v>
      </c>
      <c r="AC3808">
        <v>-5.7549999999999901</v>
      </c>
      <c r="AD3808">
        <v>-1.1080646079799901</v>
      </c>
      <c r="AE3808">
        <v>-8.9858999999999796</v>
      </c>
      <c r="AF3808">
        <v>3.8397130781056301</v>
      </c>
      <c r="AG3808">
        <v>-1.1080646079799901</v>
      </c>
      <c r="AH3808">
        <v>9.8339497340144408</v>
      </c>
      <c r="AI3808">
        <v>95.991843843628999</v>
      </c>
      <c r="AJ3808">
        <v>68.671600913333805</v>
      </c>
      <c r="AK3808">
        <v>10.614978618384299</v>
      </c>
      <c r="AL3808">
        <v>88.108785273023798</v>
      </c>
      <c r="AM3808">
        <v>82.343210721510701</v>
      </c>
      <c r="AN3808">
        <v>0.99999998912548704</v>
      </c>
    </row>
    <row r="3809" spans="1:40" x14ac:dyDescent="0.25">
      <c r="A3809" t="str">
        <f>"20190312151102846"</f>
        <v>20190312151102846</v>
      </c>
      <c r="B3809" t="str">
        <f>"1552374662834870"</f>
        <v>1552374662834870</v>
      </c>
      <c r="C3809" t="s">
        <v>40</v>
      </c>
      <c r="D3809">
        <v>5.4987219999999999</v>
      </c>
      <c r="E3809">
        <v>0.5912693</v>
      </c>
      <c r="F3809" t="s">
        <v>79</v>
      </c>
      <c r="G3809">
        <v>-200.28659999999999</v>
      </c>
      <c r="H3809" s="1">
        <v>-1.252425E-5</v>
      </c>
      <c r="I3809">
        <v>150.50309999999999</v>
      </c>
      <c r="J3809">
        <v>-194.49610000000001</v>
      </c>
      <c r="K3809">
        <v>1.107896</v>
      </c>
      <c r="L3809">
        <v>159.37809999999999</v>
      </c>
      <c r="M3809">
        <v>-0.1991763</v>
      </c>
      <c r="N3809">
        <v>0</v>
      </c>
      <c r="O3809">
        <v>-0.97987100000000005</v>
      </c>
      <c r="P3809">
        <v>-0.3309802</v>
      </c>
      <c r="Q3809">
        <v>1.9726560000000001E-2</v>
      </c>
      <c r="R3809">
        <v>-0.94343189999999999</v>
      </c>
      <c r="S3809">
        <v>-1.6674960000000001</v>
      </c>
      <c r="T3809">
        <v>-0.31600640000000002</v>
      </c>
      <c r="U3809">
        <v>-2.6067659999999999</v>
      </c>
      <c r="V3809">
        <v>0.13660269999999999</v>
      </c>
      <c r="W3809">
        <v>3.2325659999999999E-2</v>
      </c>
      <c r="X3809">
        <v>0.99009840000000005</v>
      </c>
      <c r="Y3809">
        <v>0.35735460000000002</v>
      </c>
      <c r="Z3809">
        <v>0.1033171</v>
      </c>
      <c r="AA3809">
        <v>0.92823670000000003</v>
      </c>
      <c r="AB3809">
        <v>27</v>
      </c>
      <c r="AC3809">
        <v>-5.7904999999999802</v>
      </c>
      <c r="AD3809">
        <v>-1.10790852425</v>
      </c>
      <c r="AE3809">
        <v>-8.875</v>
      </c>
      <c r="AF3809">
        <v>3.8643681496713902</v>
      </c>
      <c r="AG3809">
        <v>-1.10790852425</v>
      </c>
      <c r="AH3809">
        <v>9.7440711995148295</v>
      </c>
      <c r="AI3809">
        <v>96.033333185406306</v>
      </c>
      <c r="AJ3809">
        <v>68.367386055893803</v>
      </c>
      <c r="AK3809">
        <v>10.5407649644375</v>
      </c>
      <c r="AL3809">
        <v>88.147553479158205</v>
      </c>
      <c r="AM3809">
        <v>82.144562627807304</v>
      </c>
      <c r="AN3809">
        <v>1.0000000438121399</v>
      </c>
    </row>
    <row r="3810" spans="1:40" x14ac:dyDescent="0.25">
      <c r="A3810" t="str">
        <f>"20190312151102859"</f>
        <v>20190312151102859</v>
      </c>
      <c r="B3810" t="str">
        <f>"1552374662854391"</f>
        <v>1552374662854391</v>
      </c>
      <c r="C3810" t="s">
        <v>40</v>
      </c>
      <c r="D3810">
        <v>5.5316720000000004</v>
      </c>
      <c r="E3810">
        <v>0.59154050000000002</v>
      </c>
      <c r="F3810" t="s">
        <v>79</v>
      </c>
      <c r="G3810">
        <v>-200.34370000000001</v>
      </c>
      <c r="H3810" s="1">
        <v>-1.247141E-5</v>
      </c>
      <c r="I3810">
        <v>150.40369999999999</v>
      </c>
      <c r="J3810">
        <v>-194.5275</v>
      </c>
      <c r="K3810">
        <v>1.107812</v>
      </c>
      <c r="L3810">
        <v>159.23220000000001</v>
      </c>
      <c r="M3810">
        <v>-0.2009512</v>
      </c>
      <c r="N3810">
        <v>0</v>
      </c>
      <c r="O3810">
        <v>-0.9795083</v>
      </c>
      <c r="P3810">
        <v>-0.33438379999999901</v>
      </c>
      <c r="Q3810">
        <v>1.934642E-2</v>
      </c>
      <c r="R3810">
        <v>-0.94223840000000003</v>
      </c>
      <c r="S3810">
        <v>-1.690002</v>
      </c>
      <c r="T3810">
        <v>-0.3201948</v>
      </c>
      <c r="U3810">
        <v>-2.593674</v>
      </c>
      <c r="V3810">
        <v>0.1383867</v>
      </c>
      <c r="W3810">
        <v>3.190722E-2</v>
      </c>
      <c r="X3810">
        <v>0.98986419999999997</v>
      </c>
      <c r="Y3810">
        <v>0.36337809999999998</v>
      </c>
      <c r="Z3810">
        <v>0.1046984</v>
      </c>
      <c r="AA3810">
        <v>0.92574000000000001</v>
      </c>
      <c r="AB3810">
        <v>27</v>
      </c>
      <c r="AC3810">
        <v>-5.8162000000000003</v>
      </c>
      <c r="AD3810">
        <v>-1.1078244714100001</v>
      </c>
      <c r="AE3810">
        <v>-8.8285000000000196</v>
      </c>
      <c r="AF3810">
        <v>3.8806648681808702</v>
      </c>
      <c r="AG3810">
        <v>-1.1078244714100001</v>
      </c>
      <c r="AH3810">
        <v>9.7106296630193807</v>
      </c>
      <c r="AI3810">
        <v>96.047218854366307</v>
      </c>
      <c r="AJ3810">
        <v>68.216838022186707</v>
      </c>
      <c r="AK3810">
        <v>10.5158529530846</v>
      </c>
      <c r="AL3810">
        <v>88.171540695014301</v>
      </c>
      <c r="AM3810">
        <v>82.041419589234906</v>
      </c>
      <c r="AN3810">
        <v>1.0000000419333199</v>
      </c>
    </row>
    <row r="3811" spans="1:40" x14ac:dyDescent="0.25">
      <c r="A3811" t="str">
        <f>"20190312151102870"</f>
        <v>20190312151102870</v>
      </c>
      <c r="B3811" t="str">
        <f>"1552374662865126"</f>
        <v>1552374662865126</v>
      </c>
      <c r="C3811" t="s">
        <v>40</v>
      </c>
      <c r="D3811">
        <v>5.5210869999999996</v>
      </c>
      <c r="E3811">
        <v>0.59179250000000005</v>
      </c>
      <c r="F3811" t="s">
        <v>79</v>
      </c>
      <c r="G3811">
        <v>-200.34899999999999</v>
      </c>
      <c r="H3811" s="1">
        <v>-1.246325E-5</v>
      </c>
      <c r="I3811">
        <v>150.38149999999999</v>
      </c>
      <c r="J3811">
        <v>-194.5607</v>
      </c>
      <c r="K3811">
        <v>1.107721</v>
      </c>
      <c r="L3811">
        <v>159.08070000000001</v>
      </c>
      <c r="M3811">
        <v>-0.20289389999999999</v>
      </c>
      <c r="N3811">
        <v>0</v>
      </c>
      <c r="O3811">
        <v>-0.97910770000000003</v>
      </c>
      <c r="P3811">
        <v>-0.33773409999999998</v>
      </c>
      <c r="Q3811">
        <v>1.9085350000000001E-2</v>
      </c>
      <c r="R3811">
        <v>-0.94104790000000005</v>
      </c>
      <c r="S3811">
        <v>-1.7014009999999999</v>
      </c>
      <c r="T3811">
        <v>-0.32377790000000001</v>
      </c>
      <c r="U3811">
        <v>-2.5867460000000002</v>
      </c>
      <c r="V3811">
        <v>0.1399494</v>
      </c>
      <c r="W3811">
        <v>3.1609350000000001E-2</v>
      </c>
      <c r="X3811">
        <v>0.98965400000000003</v>
      </c>
      <c r="Y3811">
        <v>0.36544870000000002</v>
      </c>
      <c r="Z3811">
        <v>0.105863899999999</v>
      </c>
      <c r="AA3811">
        <v>0.9247919</v>
      </c>
      <c r="AB3811">
        <v>27</v>
      </c>
      <c r="AC3811">
        <v>-5.78830000000002</v>
      </c>
      <c r="AD3811">
        <v>-1.10773346325</v>
      </c>
      <c r="AE3811">
        <v>-8.69920000000001</v>
      </c>
      <c r="AF3811">
        <v>3.8593351444813901</v>
      </c>
      <c r="AG3811">
        <v>-1.10773346325</v>
      </c>
      <c r="AH3811">
        <v>9.5850218860493204</v>
      </c>
      <c r="AI3811">
        <v>96.119044433995299</v>
      </c>
      <c r="AJ3811">
        <v>68.068199231545407</v>
      </c>
      <c r="AK3811">
        <v>10.3920251028891</v>
      </c>
      <c r="AL3811">
        <v>88.188615948281594</v>
      </c>
      <c r="AM3811">
        <v>81.951033127147795</v>
      </c>
      <c r="AN3811">
        <v>1.00000001264189</v>
      </c>
    </row>
    <row r="3812" spans="1:40" x14ac:dyDescent="0.25">
      <c r="A3812" t="str">
        <f>"20190312151102883"</f>
        <v>20190312151102883</v>
      </c>
      <c r="B3812" t="str">
        <f>"1552374662874886"</f>
        <v>1552374662874886</v>
      </c>
      <c r="C3812" t="s">
        <v>40</v>
      </c>
      <c r="D3812">
        <v>5.5495749999999999</v>
      </c>
      <c r="E3812">
        <v>0.59179250000000005</v>
      </c>
      <c r="F3812" t="s">
        <v>79</v>
      </c>
      <c r="G3812">
        <v>-200.41390000000001</v>
      </c>
      <c r="H3812" s="1">
        <v>-1.24018899999999E-5</v>
      </c>
      <c r="I3812">
        <v>150.26339999999999</v>
      </c>
      <c r="J3812">
        <v>-194.59280000000001</v>
      </c>
      <c r="K3812">
        <v>1.107639</v>
      </c>
      <c r="L3812">
        <v>158.93549999999999</v>
      </c>
      <c r="M3812">
        <v>-0.2048034</v>
      </c>
      <c r="N3812">
        <v>0</v>
      </c>
      <c r="O3812">
        <v>-0.97871010000000003</v>
      </c>
      <c r="P3812">
        <v>-0.34104129999999999</v>
      </c>
      <c r="Q3812">
        <v>1.918568E-2</v>
      </c>
      <c r="R3812">
        <v>-0.93985280000000004</v>
      </c>
      <c r="S3812">
        <v>-1.71260099999999</v>
      </c>
      <c r="T3812">
        <v>-0.32411430000000002</v>
      </c>
      <c r="U3812">
        <v>-2.579895</v>
      </c>
      <c r="V3812">
        <v>0.14150679999999999</v>
      </c>
      <c r="W3812">
        <v>3.1673680000000003E-2</v>
      </c>
      <c r="X3812">
        <v>0.98943040000000004</v>
      </c>
      <c r="Y3812">
        <v>0.36754619999999999</v>
      </c>
      <c r="Z3812">
        <v>0.1059788</v>
      </c>
      <c r="AA3812">
        <v>0.92394710000000002</v>
      </c>
      <c r="AB3812">
        <v>27</v>
      </c>
      <c r="AC3812">
        <v>-5.8211000000000004</v>
      </c>
      <c r="AD3812">
        <v>-1.1076514018899899</v>
      </c>
      <c r="AE3812">
        <v>-8.6721000000000004</v>
      </c>
      <c r="AF3812">
        <v>3.87783858573128</v>
      </c>
      <c r="AG3812">
        <v>-1.1076514018899899</v>
      </c>
      <c r="AH3812">
        <v>9.5728726631532908</v>
      </c>
      <c r="AI3812">
        <v>96.121143773561002</v>
      </c>
      <c r="AJ3812">
        <v>67.947809842667496</v>
      </c>
      <c r="AK3812">
        <v>10.387704979929</v>
      </c>
      <c r="AL3812">
        <v>88.184928162310598</v>
      </c>
      <c r="AM3812">
        <v>81.860840600662399</v>
      </c>
      <c r="AN3812">
        <v>0.99999995644757</v>
      </c>
    </row>
    <row r="3813" spans="1:40" x14ac:dyDescent="0.25">
      <c r="A3813" t="str">
        <f>"20190312151102896"</f>
        <v>20190312151102896</v>
      </c>
      <c r="B3813" t="str">
        <f>"1552374662884648"</f>
        <v>1552374662884648</v>
      </c>
      <c r="C3813" t="s">
        <v>40</v>
      </c>
      <c r="D3813">
        <v>5.5067709999999996</v>
      </c>
      <c r="E3813">
        <v>0.59684769999999998</v>
      </c>
      <c r="F3813" t="s">
        <v>79</v>
      </c>
      <c r="G3813">
        <v>-200.48330000000001</v>
      </c>
      <c r="H3813" s="1">
        <v>-1.2334899999999999E-5</v>
      </c>
      <c r="I3813">
        <v>150.1293</v>
      </c>
      <c r="J3813">
        <v>-194.62860000000001</v>
      </c>
      <c r="K3813">
        <v>1.107551</v>
      </c>
      <c r="L3813">
        <v>158.77529999999999</v>
      </c>
      <c r="M3813">
        <v>-0.20696500000000001</v>
      </c>
      <c r="N3813">
        <v>0</v>
      </c>
      <c r="O3813">
        <v>-0.97825499999999999</v>
      </c>
      <c r="P3813">
        <v>-0.34447060000000002</v>
      </c>
      <c r="Q3813">
        <v>1.9411790000000002E-2</v>
      </c>
      <c r="R3813">
        <v>-0.9385964</v>
      </c>
      <c r="S3813">
        <v>-1.7216340000000001</v>
      </c>
      <c r="T3813">
        <v>-0.32373849999999998</v>
      </c>
      <c r="U3813">
        <v>-2.5738530000000002</v>
      </c>
      <c r="V3813">
        <v>0.14294309999999999</v>
      </c>
      <c r="W3813">
        <v>3.1862420000000002E-2</v>
      </c>
      <c r="X3813">
        <v>0.98921789999999998</v>
      </c>
      <c r="Y3813">
        <v>0.36874269999999998</v>
      </c>
      <c r="Z3813">
        <v>0.1058682</v>
      </c>
      <c r="AA3813">
        <v>0.92348300000000005</v>
      </c>
      <c r="AB3813">
        <v>27</v>
      </c>
      <c r="AC3813">
        <v>-5.8547000000000002</v>
      </c>
      <c r="AD3813">
        <v>-1.1075633349</v>
      </c>
      <c r="AE3813">
        <v>-8.6459999999999795</v>
      </c>
      <c r="AF3813">
        <v>3.8945129972614501</v>
      </c>
      <c r="AG3813">
        <v>-1.1075633349</v>
      </c>
      <c r="AH3813">
        <v>9.5630013802891405</v>
      </c>
      <c r="AI3813">
        <v>96.122349646943903</v>
      </c>
      <c r="AJ3813">
        <v>67.841488794100499</v>
      </c>
      <c r="AK3813">
        <v>10.384841039999801</v>
      </c>
      <c r="AL3813">
        <v>88.174108772575096</v>
      </c>
      <c r="AM3813">
        <v>81.777609559950506</v>
      </c>
      <c r="AN3813">
        <v>0.99999999866313805</v>
      </c>
    </row>
    <row r="3814" spans="1:40" x14ac:dyDescent="0.25">
      <c r="A3814" t="str">
        <f>"20190312151102913"</f>
        <v>20190312151102913</v>
      </c>
      <c r="B3814" t="str">
        <f>"1552374662905145"</f>
        <v>1552374662905145</v>
      </c>
      <c r="C3814" t="s">
        <v>40</v>
      </c>
      <c r="D3814">
        <v>5.4895779999999998</v>
      </c>
      <c r="E3814">
        <v>0.59638819999999904</v>
      </c>
      <c r="F3814" t="s">
        <v>79</v>
      </c>
      <c r="G3814">
        <v>-198.24639999999999</v>
      </c>
      <c r="H3814" s="1">
        <v>-1.3303040000000001E-5</v>
      </c>
      <c r="I3814">
        <v>153.56469999999999</v>
      </c>
      <c r="J3814">
        <v>-194.672</v>
      </c>
      <c r="K3814">
        <v>1.107453</v>
      </c>
      <c r="L3814">
        <v>158.58410000000001</v>
      </c>
      <c r="M3814">
        <v>-0.20966080000000001</v>
      </c>
      <c r="N3814">
        <v>0</v>
      </c>
      <c r="O3814">
        <v>-0.97768100000000002</v>
      </c>
      <c r="P3814">
        <v>-0.34980430000000001</v>
      </c>
      <c r="Q3814">
        <v>2.0202899999999999E-2</v>
      </c>
      <c r="R3814">
        <v>-0.93660509999999997</v>
      </c>
      <c r="S3814">
        <v>-1.7747649999999999</v>
      </c>
      <c r="T3814">
        <v>-0.54332819999999904</v>
      </c>
      <c r="U3814">
        <v>-2.5561219999999998</v>
      </c>
      <c r="V3814">
        <v>0.1458605</v>
      </c>
      <c r="W3814">
        <v>3.2599219999999998E-2</v>
      </c>
      <c r="X3814">
        <v>0.98876790000000003</v>
      </c>
      <c r="Y3814">
        <v>0.37649250000000001</v>
      </c>
      <c r="Z3814">
        <v>0.17534749999999999</v>
      </c>
      <c r="AA3814">
        <v>0.90967390000000004</v>
      </c>
      <c r="AB3814">
        <v>27</v>
      </c>
      <c r="AC3814">
        <v>-3.57439999999999</v>
      </c>
      <c r="AD3814">
        <v>-1.1074663030399901</v>
      </c>
      <c r="AE3814">
        <v>-5.0194000000000099</v>
      </c>
      <c r="AF3814">
        <v>2.36604897680358</v>
      </c>
      <c r="AG3814">
        <v>-1.1074663030399901</v>
      </c>
      <c r="AH3814">
        <v>5.48028191712576</v>
      </c>
      <c r="AI3814">
        <v>100.510535585781</v>
      </c>
      <c r="AJ3814">
        <v>66.6482806860501</v>
      </c>
      <c r="AK3814">
        <v>6.0710920981465897</v>
      </c>
      <c r="AL3814">
        <v>88.131871256972104</v>
      </c>
      <c r="AM3814">
        <v>81.6083955585447</v>
      </c>
      <c r="AN3814">
        <v>0.99999997733763302</v>
      </c>
    </row>
    <row r="3815" spans="1:40" x14ac:dyDescent="0.25">
      <c r="A3815" t="str">
        <f>"20190312151102925"</f>
        <v>20190312151102925</v>
      </c>
      <c r="B3815" t="str">
        <f>"1552374662914902"</f>
        <v>1552374662914902</v>
      </c>
      <c r="C3815" t="s">
        <v>40</v>
      </c>
      <c r="D3815">
        <v>5.4449940000000003</v>
      </c>
      <c r="E3815">
        <v>0.59647309999999998</v>
      </c>
      <c r="F3815" t="s">
        <v>79</v>
      </c>
      <c r="G3815">
        <v>-198.30940000000001</v>
      </c>
      <c r="H3815" s="1">
        <v>-1.326624E-5</v>
      </c>
      <c r="I3815">
        <v>153.39619999999999</v>
      </c>
      <c r="J3815">
        <v>-194.7062</v>
      </c>
      <c r="K3815">
        <v>1.1073789999999999</v>
      </c>
      <c r="L3815">
        <v>158.43520000000001</v>
      </c>
      <c r="M3815">
        <v>-0.21181839999999999</v>
      </c>
      <c r="N3815">
        <v>0</v>
      </c>
      <c r="O3815">
        <v>-0.97721550000000001</v>
      </c>
      <c r="P3815">
        <v>-0.35304200000000002</v>
      </c>
      <c r="Q3815">
        <v>2.0680359999999998E-2</v>
      </c>
      <c r="R3815">
        <v>-0.93537899999999996</v>
      </c>
      <c r="S3815">
        <v>-1.7862849999999999</v>
      </c>
      <c r="T3815">
        <v>-0.54385319999999904</v>
      </c>
      <c r="U3815">
        <v>-2.5476529999999999</v>
      </c>
      <c r="V3815">
        <v>0.14710980000000001</v>
      </c>
      <c r="W3815">
        <v>3.3043400000000001E-2</v>
      </c>
      <c r="X3815">
        <v>0.98856809999999995</v>
      </c>
      <c r="Y3815">
        <v>0.37860870000000002</v>
      </c>
      <c r="Z3815">
        <v>0.1755698</v>
      </c>
      <c r="AA3815">
        <v>0.90875229999999996</v>
      </c>
      <c r="AB3815">
        <v>27</v>
      </c>
      <c r="AC3815">
        <v>-3.60320000000001</v>
      </c>
      <c r="AD3815">
        <v>-1.10739226624</v>
      </c>
      <c r="AE3815">
        <v>-5.0390000000000104</v>
      </c>
      <c r="AF3815">
        <v>2.37798228389246</v>
      </c>
      <c r="AG3815">
        <v>-1.10739226624</v>
      </c>
      <c r="AH3815">
        <v>5.5117951797975397</v>
      </c>
      <c r="AI3815">
        <v>100.45221522260699</v>
      </c>
      <c r="AJ3815">
        <v>66.662933833207603</v>
      </c>
      <c r="AK3815">
        <v>6.1041791813374804</v>
      </c>
      <c r="AL3815">
        <v>88.106407986366406</v>
      </c>
      <c r="AM3815">
        <v>81.535872015865905</v>
      </c>
      <c r="AN3815">
        <v>1.0000000239386</v>
      </c>
    </row>
    <row r="3816" spans="1:40" x14ac:dyDescent="0.25">
      <c r="A3816" t="str">
        <f>"20190312151102947"</f>
        <v>20190312151102947</v>
      </c>
      <c r="B3816" t="str">
        <f>"1552374662934422"</f>
        <v>1552374662934422</v>
      </c>
      <c r="C3816" t="s">
        <v>40</v>
      </c>
      <c r="D3816">
        <v>5.513439</v>
      </c>
      <c r="E3816">
        <v>0.59691079999999996</v>
      </c>
      <c r="F3816" t="s">
        <v>79</v>
      </c>
      <c r="G3816">
        <v>-198.41149999999999</v>
      </c>
      <c r="H3816" s="1">
        <v>-1.32238899999999E-5</v>
      </c>
      <c r="I3816">
        <v>153.1919</v>
      </c>
      <c r="J3816">
        <v>-194.76310000000001</v>
      </c>
      <c r="K3816">
        <v>1.1072660000000001</v>
      </c>
      <c r="L3816">
        <v>158.19149999999999</v>
      </c>
      <c r="M3816">
        <v>-0.21544969999999999</v>
      </c>
      <c r="N3816">
        <v>0</v>
      </c>
      <c r="O3816">
        <v>-0.97642139999999999</v>
      </c>
      <c r="P3816">
        <v>-0.35834670000000002</v>
      </c>
      <c r="Q3816">
        <v>2.0918530000000001E-2</v>
      </c>
      <c r="R3816">
        <v>-0.93335440000000003</v>
      </c>
      <c r="S3816">
        <v>-1.7958829999999999</v>
      </c>
      <c r="T3816">
        <v>-0.53673199999999999</v>
      </c>
      <c r="U3816">
        <v>-2.5413359999999998</v>
      </c>
      <c r="V3816">
        <v>0.14905959999999999</v>
      </c>
      <c r="W3816">
        <v>3.323069E-2</v>
      </c>
      <c r="X3816">
        <v>0.98826970000000003</v>
      </c>
      <c r="Y3816">
        <v>0.3787645</v>
      </c>
      <c r="Z3816">
        <v>0.17330779999999901</v>
      </c>
      <c r="AA3816">
        <v>0.90912150000000003</v>
      </c>
      <c r="AB3816">
        <v>27</v>
      </c>
      <c r="AC3816">
        <v>-3.6483999999999801</v>
      </c>
      <c r="AD3816">
        <v>-1.10727922389</v>
      </c>
      <c r="AE3816">
        <v>-4.9995999999999796</v>
      </c>
      <c r="AF3816">
        <v>2.4083574515153998</v>
      </c>
      <c r="AG3816">
        <v>-1.10727922389</v>
      </c>
      <c r="AH3816">
        <v>5.4924856356027503</v>
      </c>
      <c r="AI3816">
        <v>100.460701173272</v>
      </c>
      <c r="AJ3816">
        <v>66.323402112204803</v>
      </c>
      <c r="AK3816">
        <v>6.09865979959784</v>
      </c>
      <c r="AL3816">
        <v>88.095671158985994</v>
      </c>
      <c r="AM3816">
        <v>81.422794442504497</v>
      </c>
      <c r="AN3816">
        <v>1.0000000215240601</v>
      </c>
    </row>
    <row r="3817" spans="1:40" x14ac:dyDescent="0.25">
      <c r="A3817" t="str">
        <f>"20190312151102968"</f>
        <v>20190312151102968</v>
      </c>
      <c r="B3817" t="str">
        <f>"1552374662964678"</f>
        <v>1552374662964678</v>
      </c>
      <c r="C3817" t="s">
        <v>40</v>
      </c>
      <c r="D3817">
        <v>5.5248179999999998</v>
      </c>
      <c r="E3817">
        <v>0.59719109999999997</v>
      </c>
      <c r="F3817" t="s">
        <v>79</v>
      </c>
      <c r="G3817">
        <v>-198.47</v>
      </c>
      <c r="H3817" s="1">
        <v>-1.3186369999999999E-5</v>
      </c>
      <c r="I3817">
        <v>153.02209999999999</v>
      </c>
      <c r="J3817">
        <v>-194.8245</v>
      </c>
      <c r="K3817">
        <v>1.1071599999999999</v>
      </c>
      <c r="L3817">
        <v>157.93350000000001</v>
      </c>
      <c r="M3817">
        <v>-0.2194169</v>
      </c>
      <c r="N3817">
        <v>0</v>
      </c>
      <c r="O3817">
        <v>-0.97553749999999995</v>
      </c>
      <c r="P3817">
        <v>-0.36366229999999999</v>
      </c>
      <c r="Q3817">
        <v>2.0692120000000001E-2</v>
      </c>
      <c r="R3817">
        <v>-0.93130119999999905</v>
      </c>
      <c r="S3817">
        <v>-1.814133</v>
      </c>
      <c r="T3817">
        <v>-0.54188440000000004</v>
      </c>
      <c r="U3817">
        <v>-2.5298310000000002</v>
      </c>
      <c r="V3817">
        <v>0.15068280000000001</v>
      </c>
      <c r="W3817">
        <v>3.2959040000000002E-2</v>
      </c>
      <c r="X3817">
        <v>0.98803260000000004</v>
      </c>
      <c r="Y3817">
        <v>0.38113809999999998</v>
      </c>
      <c r="Z3817">
        <v>0.17489569999999999</v>
      </c>
      <c r="AA3817">
        <v>0.90782450000000003</v>
      </c>
      <c r="AB3817">
        <v>27</v>
      </c>
      <c r="AC3817">
        <v>-3.64549999999999</v>
      </c>
      <c r="AD3817">
        <v>-1.1071731863700001</v>
      </c>
      <c r="AE3817">
        <v>-4.9114000000000102</v>
      </c>
      <c r="AF3817">
        <v>2.4002571398451802</v>
      </c>
      <c r="AG3817">
        <v>-1.1071731863700001</v>
      </c>
      <c r="AH3817">
        <v>5.41424617061974</v>
      </c>
      <c r="AI3817">
        <v>100.588957631531</v>
      </c>
      <c r="AJ3817">
        <v>66.091212795150398</v>
      </c>
      <c r="AK3817">
        <v>6.0250417756281998</v>
      </c>
      <c r="AL3817">
        <v>88.111244069066998</v>
      </c>
      <c r="AM3817">
        <v>81.328754891802504</v>
      </c>
      <c r="AN3817">
        <v>1.00000001159816</v>
      </c>
    </row>
    <row r="3818" spans="1:40" x14ac:dyDescent="0.25">
      <c r="A3818" t="str">
        <f>"20190312151102981"</f>
        <v>20190312151102981</v>
      </c>
      <c r="B3818" t="str">
        <f>"1552374662974439"</f>
        <v>1552374662974439</v>
      </c>
      <c r="C3818" t="s">
        <v>40</v>
      </c>
      <c r="D3818">
        <v>5.4563420000000002</v>
      </c>
      <c r="E3818">
        <v>0.59685869999999996</v>
      </c>
      <c r="F3818" t="s">
        <v>79</v>
      </c>
      <c r="G3818">
        <v>-198.55430000000001</v>
      </c>
      <c r="H3818" s="1">
        <v>-1.31385999999999E-5</v>
      </c>
      <c r="I3818">
        <v>152.80260000000001</v>
      </c>
      <c r="J3818">
        <v>-194.85929999999999</v>
      </c>
      <c r="K3818">
        <v>1.1071089999999999</v>
      </c>
      <c r="L3818">
        <v>157.7895</v>
      </c>
      <c r="M3818">
        <v>-0.22166859999999999</v>
      </c>
      <c r="N3818">
        <v>0</v>
      </c>
      <c r="O3818">
        <v>-0.97502820000000001</v>
      </c>
      <c r="P3818">
        <v>-0.36648069999999999</v>
      </c>
      <c r="Q3818">
        <v>2.046334E-2</v>
      </c>
      <c r="R3818">
        <v>-0.9302009</v>
      </c>
      <c r="S3818">
        <v>-1.8307500000000001</v>
      </c>
      <c r="T3818">
        <v>-0.54345100000000002</v>
      </c>
      <c r="U3818">
        <v>-2.518478</v>
      </c>
      <c r="V3818">
        <v>0.1513948</v>
      </c>
      <c r="W3818">
        <v>3.2709790000000002E-2</v>
      </c>
      <c r="X3818">
        <v>0.98793200000000003</v>
      </c>
      <c r="Y3818">
        <v>0.3848181</v>
      </c>
      <c r="Z3818">
        <v>0.175429799999999</v>
      </c>
      <c r="AA3818">
        <v>0.90616739999999996</v>
      </c>
      <c r="AB3818">
        <v>27</v>
      </c>
      <c r="AC3818">
        <v>-3.6950000000000198</v>
      </c>
      <c r="AD3818">
        <v>-1.1071221386000001</v>
      </c>
      <c r="AE3818">
        <v>-4.9868999999999897</v>
      </c>
      <c r="AF3818">
        <v>2.4205018466269599</v>
      </c>
      <c r="AG3818">
        <v>-1.1071221386000001</v>
      </c>
      <c r="AH3818">
        <v>5.5067373917795903</v>
      </c>
      <c r="AI3818">
        <v>100.428755904005</v>
      </c>
      <c r="AJ3818">
        <v>66.271975699041704</v>
      </c>
      <c r="AK3818">
        <v>6.1162656352815699</v>
      </c>
      <c r="AL3818">
        <v>88.125532680035207</v>
      </c>
      <c r="AM3818">
        <v>81.287535529843794</v>
      </c>
      <c r="AN3818">
        <v>0.99999997622644099</v>
      </c>
    </row>
    <row r="3819" spans="1:40" x14ac:dyDescent="0.25">
      <c r="A3819" t="str">
        <f>"20190312151102994"</f>
        <v>20190312151102994</v>
      </c>
      <c r="B3819" t="str">
        <f>"1552374662985175"</f>
        <v>1552374662985175</v>
      </c>
      <c r="C3819" t="s">
        <v>40</v>
      </c>
      <c r="D3819">
        <v>5.4570959999999999</v>
      </c>
      <c r="E3819">
        <v>0.59677429999999998</v>
      </c>
      <c r="F3819" t="s">
        <v>79</v>
      </c>
      <c r="G3819">
        <v>-198.59229999999999</v>
      </c>
      <c r="H3819" s="1">
        <v>-1.31107E-5</v>
      </c>
      <c r="I3819">
        <v>152.67830000000001</v>
      </c>
      <c r="J3819">
        <v>-194.90280000000001</v>
      </c>
      <c r="K3819">
        <v>1.107059</v>
      </c>
      <c r="L3819">
        <v>157.61170000000001</v>
      </c>
      <c r="M3819">
        <v>-0.2244903</v>
      </c>
      <c r="N3819">
        <v>0</v>
      </c>
      <c r="O3819">
        <v>-0.97438230000000003</v>
      </c>
      <c r="P3819">
        <v>-0.36953039999999998</v>
      </c>
      <c r="Q3819">
        <v>2.0261680000000001E-2</v>
      </c>
      <c r="R3819">
        <v>-0.92899779999999998</v>
      </c>
      <c r="S3819">
        <v>-1.8359529999999999</v>
      </c>
      <c r="T3819">
        <v>-0.54450129999999997</v>
      </c>
      <c r="U3819">
        <v>-2.513763</v>
      </c>
      <c r="V3819">
        <v>0.15177739999999901</v>
      </c>
      <c r="W3819">
        <v>3.2490089999999999E-2</v>
      </c>
      <c r="X3819">
        <v>0.9878806</v>
      </c>
      <c r="Y3819">
        <v>0.3841482</v>
      </c>
      <c r="Z3819">
        <v>0.17577409999999999</v>
      </c>
      <c r="AA3819">
        <v>0.90638490000000005</v>
      </c>
      <c r="AB3819">
        <v>27</v>
      </c>
      <c r="AC3819">
        <v>-3.6894999999999798</v>
      </c>
      <c r="AD3819">
        <v>-1.1070721106999999</v>
      </c>
      <c r="AE3819">
        <v>-4.9333999999999998</v>
      </c>
      <c r="AF3819">
        <v>2.40988464129159</v>
      </c>
      <c r="AG3819">
        <v>-1.1070721106999999</v>
      </c>
      <c r="AH3819">
        <v>5.4594790949604404</v>
      </c>
      <c r="AI3819">
        <v>100.509505497261</v>
      </c>
      <c r="AJ3819">
        <v>66.182716875496197</v>
      </c>
      <c r="AK3819">
        <v>6.0695193080616301</v>
      </c>
      <c r="AL3819">
        <v>88.138127362149703</v>
      </c>
      <c r="AM3819">
        <v>81.265409338118204</v>
      </c>
      <c r="AN3819">
        <v>1.0000000324776599</v>
      </c>
    </row>
    <row r="3820" spans="1:40" x14ac:dyDescent="0.25">
      <c r="A3820" t="str">
        <f>"20190312151103014"</f>
        <v>20190312151103014</v>
      </c>
      <c r="B3820" t="str">
        <f>"1552374663004694"</f>
        <v>1552374663004694</v>
      </c>
      <c r="C3820" t="s">
        <v>40</v>
      </c>
      <c r="D3820">
        <v>5.5123430000000004</v>
      </c>
      <c r="E3820">
        <v>0.59666249999999998</v>
      </c>
      <c r="F3820" t="s">
        <v>79</v>
      </c>
      <c r="G3820">
        <v>-198.6472</v>
      </c>
      <c r="H3820" s="1">
        <v>-1.3075090000000001E-5</v>
      </c>
      <c r="I3820">
        <v>152.51740000000001</v>
      </c>
      <c r="J3820">
        <v>-194.9572</v>
      </c>
      <c r="K3820">
        <v>1.107011</v>
      </c>
      <c r="L3820">
        <v>157.39279999999999</v>
      </c>
      <c r="M3820">
        <v>-0.22801199999999999</v>
      </c>
      <c r="N3820">
        <v>0</v>
      </c>
      <c r="O3820">
        <v>-0.97356410000000004</v>
      </c>
      <c r="P3820">
        <v>-0.37400339999999999</v>
      </c>
      <c r="Q3820">
        <v>1.998542E-2</v>
      </c>
      <c r="R3820">
        <v>-0.92721209999999998</v>
      </c>
      <c r="S3820">
        <v>-1.8433839999999999</v>
      </c>
      <c r="T3820">
        <v>-0.54500159999999997</v>
      </c>
      <c r="U3820">
        <v>-2.5079039999999999</v>
      </c>
      <c r="V3820">
        <v>0.15296680000000001</v>
      </c>
      <c r="W3820">
        <v>3.219031E-2</v>
      </c>
      <c r="X3820">
        <v>0.98770690000000005</v>
      </c>
      <c r="Y3820">
        <v>0.38355610000000001</v>
      </c>
      <c r="Z3820">
        <v>0.17591979999999999</v>
      </c>
      <c r="AA3820">
        <v>0.90660739999999995</v>
      </c>
      <c r="AB3820">
        <v>27</v>
      </c>
      <c r="AC3820">
        <v>-3.6899999999999902</v>
      </c>
      <c r="AD3820">
        <v>-1.10702407509</v>
      </c>
      <c r="AE3820">
        <v>-4.8753999999999804</v>
      </c>
      <c r="AF3820">
        <v>2.40228251529004</v>
      </c>
      <c r="AG3820">
        <v>-1.10702407509</v>
      </c>
      <c r="AH3820">
        <v>5.4110179826318001</v>
      </c>
      <c r="AI3820">
        <v>100.591285903304</v>
      </c>
      <c r="AJ3820">
        <v>66.060631735390103</v>
      </c>
      <c r="AK3820">
        <v>6.0229211512738399</v>
      </c>
      <c r="AL3820">
        <v>88.155312399664595</v>
      </c>
      <c r="AM3820">
        <v>81.196505032401205</v>
      </c>
      <c r="AN3820">
        <v>0.999999989133873</v>
      </c>
    </row>
    <row r="3821" spans="1:40" x14ac:dyDescent="0.25">
      <c r="A3821" t="str">
        <f>"20190312151103036"</f>
        <v>20190312151103036</v>
      </c>
      <c r="B3821" t="str">
        <f>"1552374663025190"</f>
        <v>1552374663025190</v>
      </c>
      <c r="C3821" t="s">
        <v>40</v>
      </c>
      <c r="D3821">
        <v>5.6064259999999999</v>
      </c>
      <c r="E3821">
        <v>0.59643729999999995</v>
      </c>
      <c r="F3821" t="s">
        <v>79</v>
      </c>
      <c r="G3821">
        <v>-198.70140000000001</v>
      </c>
      <c r="H3821" s="1">
        <v>-1.3036739999999999E-5</v>
      </c>
      <c r="I3821">
        <v>152.3459</v>
      </c>
      <c r="J3821">
        <v>-195.023</v>
      </c>
      <c r="K3821">
        <v>1.1069719999999901</v>
      </c>
      <c r="L3821">
        <v>157.13239999999999</v>
      </c>
      <c r="M3821">
        <v>-0.23224410000000001</v>
      </c>
      <c r="N3821">
        <v>0</v>
      </c>
      <c r="O3821">
        <v>-0.97256350000000003</v>
      </c>
      <c r="P3821">
        <v>-0.37870110000000001</v>
      </c>
      <c r="Q3821">
        <v>1.9856599999999999E-2</v>
      </c>
      <c r="R3821">
        <v>-0.92530659999999998</v>
      </c>
      <c r="S3821">
        <v>-1.8542479999999999</v>
      </c>
      <c r="T3821">
        <v>-0.54822499999999996</v>
      </c>
      <c r="U3821">
        <v>-2.499374</v>
      </c>
      <c r="V3821">
        <v>0.1536817</v>
      </c>
      <c r="W3821">
        <v>3.2044950000000003E-2</v>
      </c>
      <c r="X3821">
        <v>0.9876007</v>
      </c>
      <c r="Y3821">
        <v>0.38346249999999998</v>
      </c>
      <c r="Z3821">
        <v>0.176928</v>
      </c>
      <c r="AA3821">
        <v>0.90645070000000005</v>
      </c>
      <c r="AB3821">
        <v>27</v>
      </c>
      <c r="AC3821">
        <v>-3.6784000000000101</v>
      </c>
      <c r="AD3821">
        <v>-1.10698503673999</v>
      </c>
      <c r="AE3821">
        <v>-4.7864999999999798</v>
      </c>
      <c r="AF3821">
        <v>2.3858377010719298</v>
      </c>
      <c r="AG3821">
        <v>-1.10698503673999</v>
      </c>
      <c r="AH3821">
        <v>5.3307090187118202</v>
      </c>
      <c r="AI3821">
        <v>100.73273035886</v>
      </c>
      <c r="AJ3821">
        <v>65.888390995260593</v>
      </c>
      <c r="AK3821">
        <v>5.9442489895358497</v>
      </c>
      <c r="AL3821">
        <v>88.163645312502197</v>
      </c>
      <c r="AM3821">
        <v>81.155074300036006</v>
      </c>
      <c r="AN3821">
        <v>1.0000000431879399</v>
      </c>
    </row>
    <row r="3822" spans="1:40" x14ac:dyDescent="0.25">
      <c r="A3822" t="str">
        <f>"20190312151103057"</f>
        <v>20190312151103057</v>
      </c>
      <c r="B3822" t="str">
        <f>"1552374663054471"</f>
        <v>1552374663054471</v>
      </c>
      <c r="C3822" t="s">
        <v>40</v>
      </c>
      <c r="D3822">
        <v>5.6192869999999999</v>
      </c>
      <c r="E3822">
        <v>0.59653970000000001</v>
      </c>
      <c r="F3822" t="s">
        <v>79</v>
      </c>
      <c r="G3822">
        <v>-198.74549999999999</v>
      </c>
      <c r="H3822" s="1">
        <v>-1.299444E-5</v>
      </c>
      <c r="I3822">
        <v>152.16220000000001</v>
      </c>
      <c r="J3822">
        <v>-195.08609999999999</v>
      </c>
      <c r="K3822">
        <v>1.1069519999999999</v>
      </c>
      <c r="L3822">
        <v>156.88740000000001</v>
      </c>
      <c r="M3822">
        <v>-0.2362515</v>
      </c>
      <c r="N3822">
        <v>0</v>
      </c>
      <c r="O3822">
        <v>-0.97159740000000006</v>
      </c>
      <c r="P3822">
        <v>-0.3829708</v>
      </c>
      <c r="Q3822">
        <v>2.023411E-2</v>
      </c>
      <c r="R3822">
        <v>-0.92353870000000005</v>
      </c>
      <c r="S3822">
        <v>-1.8653869999999999</v>
      </c>
      <c r="T3822">
        <v>-0.55472759999999999</v>
      </c>
      <c r="U3822">
        <v>-2.490631</v>
      </c>
      <c r="V3822">
        <v>0.1541785</v>
      </c>
      <c r="W3822">
        <v>3.2414310000000002E-2</v>
      </c>
      <c r="X3822">
        <v>0.98751120000000003</v>
      </c>
      <c r="Y3822">
        <v>0.38356469999999998</v>
      </c>
      <c r="Z3822">
        <v>0.17896289999999901</v>
      </c>
      <c r="AA3822">
        <v>0.90600789999999998</v>
      </c>
      <c r="AB3822">
        <v>27</v>
      </c>
      <c r="AC3822">
        <v>-3.6594000000000002</v>
      </c>
      <c r="AD3822">
        <v>-1.10696499444</v>
      </c>
      <c r="AE3822">
        <v>-4.7252000000000001</v>
      </c>
      <c r="AF3822">
        <v>2.35844295576269</v>
      </c>
      <c r="AG3822">
        <v>-1.10696499444</v>
      </c>
      <c r="AH3822">
        <v>5.2750648802426001</v>
      </c>
      <c r="AI3822">
        <v>100.844945683768</v>
      </c>
      <c r="AJ3822">
        <v>65.910930443167601</v>
      </c>
      <c r="AK3822">
        <v>5.88336078829703</v>
      </c>
      <c r="AL3822">
        <v>88.142471526646702</v>
      </c>
      <c r="AM3822">
        <v>81.126144570969899</v>
      </c>
      <c r="AN3822">
        <v>1.0000000337402299</v>
      </c>
    </row>
    <row r="3823" spans="1:40" x14ac:dyDescent="0.25">
      <c r="A3823" t="str">
        <f>"20190312151103070"</f>
        <v>20190312151103070</v>
      </c>
      <c r="B3823" t="str">
        <f>"1552374663065207"</f>
        <v>1552374663065207</v>
      </c>
      <c r="C3823" t="s">
        <v>40</v>
      </c>
      <c r="D3823">
        <v>5.5821940000000003</v>
      </c>
      <c r="E3823">
        <v>0.5966437</v>
      </c>
      <c r="F3823" t="s">
        <v>79</v>
      </c>
      <c r="G3823">
        <v>-198.79859999999999</v>
      </c>
      <c r="H3823" s="1">
        <v>-1.295337E-5</v>
      </c>
      <c r="I3823">
        <v>151.9803</v>
      </c>
      <c r="J3823">
        <v>-195.12270000000001</v>
      </c>
      <c r="K3823">
        <v>1.106951</v>
      </c>
      <c r="L3823">
        <v>156.74770000000001</v>
      </c>
      <c r="M3823">
        <v>-0.2385419</v>
      </c>
      <c r="N3823">
        <v>0</v>
      </c>
      <c r="O3823">
        <v>-0.97103779999999995</v>
      </c>
      <c r="P3823">
        <v>-0.38542599999999999</v>
      </c>
      <c r="Q3823">
        <v>2.0391590000000001E-2</v>
      </c>
      <c r="R3823">
        <v>-0.92251380000000005</v>
      </c>
      <c r="S3823">
        <v>-1.8777619999999999</v>
      </c>
      <c r="T3823">
        <v>-0.55989440000000001</v>
      </c>
      <c r="U3823">
        <v>-2.4819789999999999</v>
      </c>
      <c r="V3823">
        <v>0.15447910000000001</v>
      </c>
      <c r="W3823">
        <v>3.2567770000000003E-2</v>
      </c>
      <c r="X3823">
        <v>0.98745910000000003</v>
      </c>
      <c r="Y3823">
        <v>0.38560509999999998</v>
      </c>
      <c r="Z3823">
        <v>0.18058440000000001</v>
      </c>
      <c r="AA3823">
        <v>0.90481929999999999</v>
      </c>
      <c r="AB3823">
        <v>27</v>
      </c>
      <c r="AC3823">
        <v>-3.67589999999998</v>
      </c>
      <c r="AD3823">
        <v>-1.10696395337</v>
      </c>
      <c r="AE3823">
        <v>-4.7674000000000003</v>
      </c>
      <c r="AF3823">
        <v>2.3528799315584799</v>
      </c>
      <c r="AG3823">
        <v>-1.10696395337</v>
      </c>
      <c r="AH3823">
        <v>5.32658264976547</v>
      </c>
      <c r="AI3823">
        <v>100.763421944973</v>
      </c>
      <c r="AJ3823">
        <v>66.167796986384104</v>
      </c>
      <c r="AK3823">
        <v>5.9273852490937102</v>
      </c>
      <c r="AL3823">
        <v>88.133674139967198</v>
      </c>
      <c r="AM3823">
        <v>81.108657855250797</v>
      </c>
      <c r="AN3823">
        <v>0.99999996307619499</v>
      </c>
    </row>
    <row r="3824" spans="1:40" x14ac:dyDescent="0.25">
      <c r="A3824" t="str">
        <f>"20190312151103081"</f>
        <v>20190312151103081</v>
      </c>
      <c r="B3824" t="str">
        <f>"1552374663074966"</f>
        <v>1552374663074966</v>
      </c>
      <c r="C3824" t="s">
        <v>40</v>
      </c>
      <c r="D3824">
        <v>5.5802120000000004</v>
      </c>
      <c r="E3824">
        <v>0.59673019999999999</v>
      </c>
      <c r="F3824" t="s">
        <v>79</v>
      </c>
      <c r="G3824">
        <v>-198.8449</v>
      </c>
      <c r="H3824" s="1">
        <v>-1.292668E-5</v>
      </c>
      <c r="I3824">
        <v>151.8579</v>
      </c>
      <c r="J3824">
        <v>-195.1585</v>
      </c>
      <c r="K3824">
        <v>1.1069469999999999</v>
      </c>
      <c r="L3824">
        <v>156.61179999999999</v>
      </c>
      <c r="M3824">
        <v>-0.2407686</v>
      </c>
      <c r="N3824">
        <v>0</v>
      </c>
      <c r="O3824">
        <v>-0.97048800000000002</v>
      </c>
      <c r="P3824">
        <v>-0.38785120000000001</v>
      </c>
      <c r="Q3824">
        <v>2.050391E-2</v>
      </c>
      <c r="R3824">
        <v>-0.92149420000000004</v>
      </c>
      <c r="S3824">
        <v>-1.8853150000000001</v>
      </c>
      <c r="T3824">
        <v>-0.56068119999999999</v>
      </c>
      <c r="U3824">
        <v>-2.4766849999999998</v>
      </c>
      <c r="V3824">
        <v>0.15481329999999999</v>
      </c>
      <c r="W3824">
        <v>3.2676900000000002E-2</v>
      </c>
      <c r="X3824">
        <v>0.98740320000000004</v>
      </c>
      <c r="Y3824">
        <v>0.38614890000000002</v>
      </c>
      <c r="Z3824">
        <v>0.18080840000000001</v>
      </c>
      <c r="AA3824">
        <v>0.90454259999999997</v>
      </c>
      <c r="AB3824">
        <v>27</v>
      </c>
      <c r="AC3824">
        <v>-3.6863999999999901</v>
      </c>
      <c r="AD3824">
        <v>-1.1069599266800001</v>
      </c>
      <c r="AE3824">
        <v>-4.7538999999999803</v>
      </c>
      <c r="AF3824">
        <v>2.3535494151553</v>
      </c>
      <c r="AG3824">
        <v>-1.1069599266800001</v>
      </c>
      <c r="AH3824">
        <v>5.3214918612603803</v>
      </c>
      <c r="AI3824">
        <v>100.771306382291</v>
      </c>
      <c r="AJ3824">
        <v>66.141512119415907</v>
      </c>
      <c r="AK3824">
        <v>5.9230761229544999</v>
      </c>
      <c r="AL3824">
        <v>88.127418206658405</v>
      </c>
      <c r="AM3824">
        <v>81.089234299239607</v>
      </c>
      <c r="AN3824">
        <v>1.00000000851037</v>
      </c>
    </row>
    <row r="3825" spans="1:40" x14ac:dyDescent="0.25">
      <c r="A3825" t="str">
        <f>"20190312151103093"</f>
        <v>20190312151103093</v>
      </c>
      <c r="B3825" t="str">
        <f>"1552374663084727"</f>
        <v>1552374663084727</v>
      </c>
      <c r="C3825" t="s">
        <v>40</v>
      </c>
      <c r="D3825">
        <v>5.6328490000000002</v>
      </c>
      <c r="E3825">
        <v>0.59671790000000002</v>
      </c>
      <c r="F3825" t="s">
        <v>79</v>
      </c>
      <c r="G3825">
        <v>-198.88460000000001</v>
      </c>
      <c r="H3825" s="1">
        <v>-1.2902040000000001E-5</v>
      </c>
      <c r="I3825">
        <v>151.74600000000001</v>
      </c>
      <c r="J3825">
        <v>-195.1969</v>
      </c>
      <c r="K3825">
        <v>1.1069469999999999</v>
      </c>
      <c r="L3825">
        <v>156.4675</v>
      </c>
      <c r="M3825">
        <v>-0.2431325</v>
      </c>
      <c r="N3825">
        <v>0</v>
      </c>
      <c r="O3825">
        <v>-0.9698985</v>
      </c>
      <c r="P3825">
        <v>-0.39039289999999999</v>
      </c>
      <c r="Q3825">
        <v>2.0661349999999998E-2</v>
      </c>
      <c r="R3825">
        <v>-0.92041669999999998</v>
      </c>
      <c r="S3825">
        <v>-1.8926240000000001</v>
      </c>
      <c r="T3825">
        <v>-0.56226599999999904</v>
      </c>
      <c r="U3825">
        <v>-2.471527</v>
      </c>
      <c r="V3825">
        <v>0.15513469999999999</v>
      </c>
      <c r="W3825">
        <v>3.2832750000000001E-2</v>
      </c>
      <c r="X3825">
        <v>0.98734750000000004</v>
      </c>
      <c r="Y3825">
        <v>0.38645230000000003</v>
      </c>
      <c r="Z3825">
        <v>0.18127499999999999</v>
      </c>
      <c r="AA3825">
        <v>0.9043196</v>
      </c>
      <c r="AB3825">
        <v>27</v>
      </c>
      <c r="AC3825">
        <v>-3.6877</v>
      </c>
      <c r="AD3825">
        <v>-1.1069599020399901</v>
      </c>
      <c r="AE3825">
        <v>-4.72149999999999</v>
      </c>
      <c r="AF3825">
        <v>2.3487789726241699</v>
      </c>
      <c r="AG3825">
        <v>-1.1069599020399901</v>
      </c>
      <c r="AH3825">
        <v>5.2956807736838298</v>
      </c>
      <c r="AI3825">
        <v>100.817659855819</v>
      </c>
      <c r="AJ3825">
        <v>66.081406873508001</v>
      </c>
      <c r="AK3825">
        <v>5.8979960786465799</v>
      </c>
      <c r="AL3825">
        <v>88.118483708638806</v>
      </c>
      <c r="AM3825">
        <v>81.070537275453404</v>
      </c>
      <c r="AN3825">
        <v>0.99999992518644798</v>
      </c>
    </row>
    <row r="3826" spans="1:40" x14ac:dyDescent="0.25">
      <c r="A3826" t="str">
        <f>"20190312151103105"</f>
        <v>20190312151103105</v>
      </c>
      <c r="B3826" t="str">
        <f>"1552374663094487"</f>
        <v>1552374663094487</v>
      </c>
      <c r="C3826" t="s">
        <v>40</v>
      </c>
      <c r="D3826">
        <v>5.5768459999999997</v>
      </c>
      <c r="E3826">
        <v>0.5966863</v>
      </c>
      <c r="F3826" t="s">
        <v>79</v>
      </c>
      <c r="G3826">
        <v>-198.92310000000001</v>
      </c>
      <c r="H3826" s="1">
        <v>-1.2876180000000001E-5</v>
      </c>
      <c r="I3826">
        <v>151.62960000000001</v>
      </c>
      <c r="J3826">
        <v>-195.23500000000001</v>
      </c>
      <c r="K3826">
        <v>1.106951</v>
      </c>
      <c r="L3826">
        <v>156.32589999999999</v>
      </c>
      <c r="M3826">
        <v>-0.24545030000000001</v>
      </c>
      <c r="N3826">
        <v>0</v>
      </c>
      <c r="O3826">
        <v>-0.96931460000000003</v>
      </c>
      <c r="P3826">
        <v>-0.3928971</v>
      </c>
      <c r="Q3826">
        <v>2.082036E-2</v>
      </c>
      <c r="R3826">
        <v>-0.91934689999999997</v>
      </c>
      <c r="S3826">
        <v>-1.8996120000000001</v>
      </c>
      <c r="T3826">
        <v>-0.56432700000000002</v>
      </c>
      <c r="U3826">
        <v>-2.4663539999999999</v>
      </c>
      <c r="V3826">
        <v>0.15546450000000001</v>
      </c>
      <c r="W3826">
        <v>3.2990020000000002E-2</v>
      </c>
      <c r="X3826">
        <v>0.98729040000000001</v>
      </c>
      <c r="Y3826">
        <v>0.38670759999999899</v>
      </c>
      <c r="Z3826">
        <v>0.1818988</v>
      </c>
      <c r="AA3826">
        <v>0.90408520000000003</v>
      </c>
      <c r="AB3826">
        <v>27</v>
      </c>
      <c r="AC3826">
        <v>-3.6880999999999902</v>
      </c>
      <c r="AD3826">
        <v>-1.10696387617999</v>
      </c>
      <c r="AE3826">
        <v>-4.6962999999999804</v>
      </c>
      <c r="AF3826">
        <v>2.3419611783946701</v>
      </c>
      <c r="AG3826">
        <v>-1.10696387617999</v>
      </c>
      <c r="AH3826">
        <v>5.2766064279559703</v>
      </c>
      <c r="AI3826">
        <v>100.854652328971</v>
      </c>
      <c r="AJ3826">
        <v>66.066508039512797</v>
      </c>
      <c r="AK3826">
        <v>5.8781567331793303</v>
      </c>
      <c r="AL3826">
        <v>88.109467950413602</v>
      </c>
      <c r="AM3826">
        <v>81.051351890071302</v>
      </c>
      <c r="AN3826">
        <v>0.99999994305600304</v>
      </c>
    </row>
    <row r="3827" spans="1:40" x14ac:dyDescent="0.25">
      <c r="A3827" t="str">
        <f>"20190312151103116"</f>
        <v>20190312151103116</v>
      </c>
      <c r="B3827" t="str">
        <f>"1552374663114982"</f>
        <v>1552374663114982</v>
      </c>
      <c r="C3827" t="s">
        <v>40</v>
      </c>
      <c r="D3827">
        <v>5.600225</v>
      </c>
      <c r="E3827">
        <v>0.59675619999999996</v>
      </c>
      <c r="F3827" t="s">
        <v>79</v>
      </c>
      <c r="G3827">
        <v>-198.96119999999999</v>
      </c>
      <c r="H3827" s="1">
        <v>-1.2850410000000001E-5</v>
      </c>
      <c r="I3827">
        <v>151.5138</v>
      </c>
      <c r="J3827">
        <v>-195.2722</v>
      </c>
      <c r="K3827">
        <v>1.1069560000000001</v>
      </c>
      <c r="L3827">
        <v>156.18860000000001</v>
      </c>
      <c r="M3827">
        <v>-0.24769740000000001</v>
      </c>
      <c r="N3827">
        <v>0</v>
      </c>
      <c r="O3827">
        <v>-0.96874269999999996</v>
      </c>
      <c r="P3827">
        <v>-0.39554529999999999</v>
      </c>
      <c r="Q3827">
        <v>2.0872700000000001E-2</v>
      </c>
      <c r="R3827">
        <v>-0.91820959999999996</v>
      </c>
      <c r="S3827">
        <v>-1.905991</v>
      </c>
      <c r="T3827">
        <v>-0.56623169999999901</v>
      </c>
      <c r="U3827">
        <v>-2.4615019999999999</v>
      </c>
      <c r="V3827">
        <v>0.1560212</v>
      </c>
      <c r="W3827">
        <v>3.3038619999999998E-2</v>
      </c>
      <c r="X3827">
        <v>0.987201</v>
      </c>
      <c r="Y3827">
        <v>0.3868356</v>
      </c>
      <c r="Z3827">
        <v>0.18247530000000001</v>
      </c>
      <c r="AA3827">
        <v>0.9039142</v>
      </c>
      <c r="AB3827">
        <v>27</v>
      </c>
      <c r="AC3827">
        <v>-3.6889999999999898</v>
      </c>
      <c r="AD3827">
        <v>-1.1069688504099999</v>
      </c>
      <c r="AE3827">
        <v>-4.6748000000000003</v>
      </c>
      <c r="AF3827">
        <v>2.3352837569618701</v>
      </c>
      <c r="AG3827">
        <v>-1.1069688504099999</v>
      </c>
      <c r="AH3827">
        <v>5.2611388871965801</v>
      </c>
      <c r="AI3827">
        <v>100.88571041575599</v>
      </c>
      <c r="AJ3827">
        <v>66.064800628637698</v>
      </c>
      <c r="AK3827">
        <v>5.8616134853536801</v>
      </c>
      <c r="AL3827">
        <v>88.106681945203505</v>
      </c>
      <c r="AM3827">
        <v>81.019029161334601</v>
      </c>
      <c r="AN3827">
        <v>0.99999998983097205</v>
      </c>
    </row>
    <row r="3828" spans="1:40" x14ac:dyDescent="0.25">
      <c r="A3828" t="str">
        <f>"20190312151103136"</f>
        <v>20190312151103136</v>
      </c>
      <c r="B3828" t="str">
        <f>"1552374663124743"</f>
        <v>1552374663124743</v>
      </c>
      <c r="C3828" t="s">
        <v>40</v>
      </c>
      <c r="D3828">
        <v>5.6924989999999998</v>
      </c>
      <c r="E3828">
        <v>0.59687449999999997</v>
      </c>
      <c r="F3828" t="s">
        <v>79</v>
      </c>
      <c r="G3828">
        <v>-198.99610000000001</v>
      </c>
      <c r="H3828" s="1">
        <v>-1.282704E-5</v>
      </c>
      <c r="I3828">
        <v>151.40860000000001</v>
      </c>
      <c r="J3828">
        <v>-195.3322</v>
      </c>
      <c r="K3828">
        <v>1.1069659999999999</v>
      </c>
      <c r="L3828">
        <v>155.97030000000001</v>
      </c>
      <c r="M3828">
        <v>-0.25126169999999998</v>
      </c>
      <c r="N3828">
        <v>0</v>
      </c>
      <c r="O3828">
        <v>-0.96782449999999998</v>
      </c>
      <c r="P3828">
        <v>-0.39998610000000001</v>
      </c>
      <c r="Q3828">
        <v>2.1140780000000001E-2</v>
      </c>
      <c r="R3828">
        <v>-0.91627749999999997</v>
      </c>
      <c r="S3828">
        <v>-1.91333</v>
      </c>
      <c r="T3828">
        <v>-0.56876040000000005</v>
      </c>
      <c r="U3828">
        <v>-2.4559329999999999</v>
      </c>
      <c r="V3828">
        <v>0.15717010000000001</v>
      </c>
      <c r="W3828">
        <v>3.3298840000000003E-2</v>
      </c>
      <c r="X3828">
        <v>0.98701000000000005</v>
      </c>
      <c r="Y3828">
        <v>0.38603939999999998</v>
      </c>
      <c r="Z3828">
        <v>0.18320710000000001</v>
      </c>
      <c r="AA3828">
        <v>0.90410659999999998</v>
      </c>
      <c r="AB3828">
        <v>27</v>
      </c>
      <c r="AC3828">
        <v>-3.6639000000000101</v>
      </c>
      <c r="AD3828">
        <v>-1.1069788270399901</v>
      </c>
      <c r="AE3828">
        <v>-4.5617000000000001</v>
      </c>
      <c r="AF3828">
        <v>2.3171092289983499</v>
      </c>
      <c r="AG3828">
        <v>-1.1069788270399901</v>
      </c>
      <c r="AH3828">
        <v>5.1516067135304304</v>
      </c>
      <c r="AI3828">
        <v>101.087730550692</v>
      </c>
      <c r="AJ3828">
        <v>65.782556980110897</v>
      </c>
      <c r="AK3828">
        <v>5.7561661749393602</v>
      </c>
      <c r="AL3828">
        <v>88.091764241936303</v>
      </c>
      <c r="AM3828">
        <v>80.952263674365099</v>
      </c>
      <c r="AN3828">
        <v>0.99999999658967698</v>
      </c>
    </row>
    <row r="3829" spans="1:40" x14ac:dyDescent="0.25">
      <c r="A3829" t="str">
        <f>"20190312151103149"</f>
        <v>20190312151103149</v>
      </c>
      <c r="B3829" t="str">
        <f>"1552374663145239"</f>
        <v>1552374663145239</v>
      </c>
      <c r="C3829" t="s">
        <v>40</v>
      </c>
      <c r="D3829">
        <v>5.3354179999999998</v>
      </c>
      <c r="E3829">
        <v>0.59719299999999997</v>
      </c>
      <c r="F3829" t="s">
        <v>79</v>
      </c>
      <c r="G3829">
        <v>-199.0789</v>
      </c>
      <c r="H3829" s="1">
        <v>-1.2784570000000001E-5</v>
      </c>
      <c r="I3829">
        <v>151.2106</v>
      </c>
      <c r="J3829">
        <v>-195.3724</v>
      </c>
      <c r="K3829">
        <v>1.1069739999999999</v>
      </c>
      <c r="L3829">
        <v>155.82599999999999</v>
      </c>
      <c r="M3829">
        <v>-0.25361630000000002</v>
      </c>
      <c r="N3829">
        <v>0</v>
      </c>
      <c r="O3829">
        <v>-0.96720989999999996</v>
      </c>
      <c r="P3829">
        <v>-0.40284370000000003</v>
      </c>
      <c r="Q3829">
        <v>2.1180729999999998E-2</v>
      </c>
      <c r="R3829">
        <v>-0.91502399999999995</v>
      </c>
      <c r="S3829">
        <v>-1.9258729999999999</v>
      </c>
      <c r="T3829">
        <v>-0.56900450000000002</v>
      </c>
      <c r="U3829">
        <v>-2.446564</v>
      </c>
      <c r="V3829">
        <v>0.1578485</v>
      </c>
      <c r="W3829">
        <v>3.333506E-2</v>
      </c>
      <c r="X3829">
        <v>0.98690049999999996</v>
      </c>
      <c r="Y3829">
        <v>0.38833519999999999</v>
      </c>
      <c r="Z3829">
        <v>0.1833003</v>
      </c>
      <c r="AA3829">
        <v>0.90310400000000002</v>
      </c>
      <c r="AB3829">
        <v>27</v>
      </c>
      <c r="AC3829">
        <v>-3.7065000000000001</v>
      </c>
      <c r="AD3829">
        <v>-1.1069867845700001</v>
      </c>
      <c r="AE3829">
        <v>-4.6153999999999904</v>
      </c>
      <c r="AF3829">
        <v>2.33305325969833</v>
      </c>
      <c r="AG3829">
        <v>-1.1069867845700001</v>
      </c>
      <c r="AH3829">
        <v>5.2219637097126004</v>
      </c>
      <c r="AI3829">
        <v>100.95403923158899</v>
      </c>
      <c r="AJ3829">
        <v>65.926006927676497</v>
      </c>
      <c r="AK3829">
        <v>5.8255868579360399</v>
      </c>
      <c r="AL3829">
        <v>88.089687815887203</v>
      </c>
      <c r="AM3829">
        <v>80.912869331933294</v>
      </c>
      <c r="AN3829">
        <v>0.99999998603885099</v>
      </c>
    </row>
    <row r="3830" spans="1:40" x14ac:dyDescent="0.25">
      <c r="A3830" t="str">
        <f>"20190312151103161"</f>
        <v>20190312151103161</v>
      </c>
      <c r="B3830" t="str">
        <f>"1552374663154999"</f>
        <v>1552374663154999</v>
      </c>
      <c r="C3830" t="s">
        <v>40</v>
      </c>
      <c r="D3830">
        <v>5.4493530000000003</v>
      </c>
      <c r="E3830">
        <v>0.59749619999999903</v>
      </c>
      <c r="F3830" t="s">
        <v>79</v>
      </c>
      <c r="G3830">
        <v>-199.12889999999999</v>
      </c>
      <c r="H3830" s="1">
        <v>-1.275921E-5</v>
      </c>
      <c r="I3830">
        <v>151.09219999999999</v>
      </c>
      <c r="J3830">
        <v>-195.4127</v>
      </c>
      <c r="K3830">
        <v>1.106981</v>
      </c>
      <c r="L3830">
        <v>155.68209999999999</v>
      </c>
      <c r="M3830">
        <v>-0.25596000000000002</v>
      </c>
      <c r="N3830">
        <v>0</v>
      </c>
      <c r="O3830">
        <v>-0.96659229999999996</v>
      </c>
      <c r="P3830">
        <v>-0.40560980000000002</v>
      </c>
      <c r="Q3830">
        <v>2.1249879999999999E-2</v>
      </c>
      <c r="R3830">
        <v>-0.91379969999999999</v>
      </c>
      <c r="S3830">
        <v>-1.9358979999999999</v>
      </c>
      <c r="T3830">
        <v>-0.57047890000000001</v>
      </c>
      <c r="U3830">
        <v>-2.439514</v>
      </c>
      <c r="V3830">
        <v>0.15844229999999901</v>
      </c>
      <c r="W3830">
        <v>3.3400350000000002E-2</v>
      </c>
      <c r="X3830">
        <v>0.98680319999999999</v>
      </c>
      <c r="Y3830">
        <v>0.38960600000000001</v>
      </c>
      <c r="Z3830">
        <v>0.18373210000000001</v>
      </c>
      <c r="AA3830">
        <v>0.90246870000000001</v>
      </c>
      <c r="AB3830">
        <v>27</v>
      </c>
      <c r="AC3830">
        <v>-3.7161999999999802</v>
      </c>
      <c r="AD3830">
        <v>-1.1069937592100001</v>
      </c>
      <c r="AE3830">
        <v>-4.5899000000000001</v>
      </c>
      <c r="AF3830">
        <v>2.3353865089725101</v>
      </c>
      <c r="AG3830">
        <v>-1.1069937592100001</v>
      </c>
      <c r="AH3830">
        <v>5.2053623160612803</v>
      </c>
      <c r="AI3830">
        <v>100.98070627234</v>
      </c>
      <c r="AJ3830">
        <v>65.836604444041498</v>
      </c>
      <c r="AK3830">
        <v>5.8116488340824199</v>
      </c>
      <c r="AL3830">
        <v>88.085945013868994</v>
      </c>
      <c r="AM3830">
        <v>80.878374378306106</v>
      </c>
      <c r="AN3830">
        <v>1.0000000506698199</v>
      </c>
    </row>
    <row r="3831" spans="1:40" x14ac:dyDescent="0.25">
      <c r="A3831" t="str">
        <f>"20190312151103172"</f>
        <v>20190312151103172</v>
      </c>
      <c r="B3831" t="str">
        <f>"1552374663164758"</f>
        <v>1552374663164758</v>
      </c>
      <c r="C3831" t="s">
        <v>40</v>
      </c>
      <c r="D3831">
        <v>5.4131390000000001</v>
      </c>
      <c r="E3831">
        <v>0.59779789999999999</v>
      </c>
      <c r="F3831" t="s">
        <v>79</v>
      </c>
      <c r="G3831">
        <v>-199.19990000000001</v>
      </c>
      <c r="H3831" s="1">
        <v>-1.2728870000000001E-5</v>
      </c>
      <c r="I3831">
        <v>150.94659999999999</v>
      </c>
      <c r="J3831">
        <v>-195.45269999999999</v>
      </c>
      <c r="K3831">
        <v>1.1069869999999999</v>
      </c>
      <c r="L3831">
        <v>155.541</v>
      </c>
      <c r="M3831">
        <v>-0.25825670000000001</v>
      </c>
      <c r="N3831">
        <v>0</v>
      </c>
      <c r="O3831">
        <v>-0.96598130000000004</v>
      </c>
      <c r="P3831">
        <v>-0.40844989999999998</v>
      </c>
      <c r="Q3831">
        <v>2.1329009999999999E-2</v>
      </c>
      <c r="R3831">
        <v>-0.91253189999999995</v>
      </c>
      <c r="S3831">
        <v>-1.945541</v>
      </c>
      <c r="T3831">
        <v>-0.56868359999999996</v>
      </c>
      <c r="U3831">
        <v>-2.432709</v>
      </c>
      <c r="V3831">
        <v>0.1591668</v>
      </c>
      <c r="W3831">
        <v>3.3475169999999999E-2</v>
      </c>
      <c r="X3831">
        <v>0.98668400000000001</v>
      </c>
      <c r="Y3831">
        <v>0.39090760000000002</v>
      </c>
      <c r="Z3831">
        <v>0.18314349999999999</v>
      </c>
      <c r="AA3831">
        <v>0.90202530000000003</v>
      </c>
      <c r="AB3831">
        <v>27</v>
      </c>
      <c r="AC3831">
        <v>-3.7472000000000198</v>
      </c>
      <c r="AD3831">
        <v>-1.10699972887</v>
      </c>
      <c r="AE3831">
        <v>-4.5944000000000003</v>
      </c>
      <c r="AF3831">
        <v>2.35143498235777</v>
      </c>
      <c r="AG3831">
        <v>-1.10699972887</v>
      </c>
      <c r="AH3831">
        <v>5.2242068325720696</v>
      </c>
      <c r="AI3831">
        <v>100.93631084176801</v>
      </c>
      <c r="AJ3831">
        <v>65.767312421376801</v>
      </c>
      <c r="AK3831">
        <v>5.8349834537440497</v>
      </c>
      <c r="AL3831">
        <v>88.081655622246302</v>
      </c>
      <c r="AM3831">
        <v>80.836282224291907</v>
      </c>
      <c r="AN3831">
        <v>0.99999998654238398</v>
      </c>
    </row>
    <row r="3832" spans="1:40" x14ac:dyDescent="0.25">
      <c r="A3832" t="str">
        <f>"20190312151103185"</f>
        <v>20190312151103185</v>
      </c>
      <c r="B3832" t="str">
        <f>"1552374663174519"</f>
        <v>1552374663174519</v>
      </c>
      <c r="C3832" t="s">
        <v>40</v>
      </c>
      <c r="D3832">
        <v>5.4445610000000002</v>
      </c>
      <c r="E3832">
        <v>0.59805120000000001</v>
      </c>
      <c r="F3832" t="s">
        <v>79</v>
      </c>
      <c r="G3832">
        <v>-199.27279999999999</v>
      </c>
      <c r="H3832" s="1">
        <v>-1.269893E-5</v>
      </c>
      <c r="I3832">
        <v>150.80189999999999</v>
      </c>
      <c r="J3832">
        <v>-195.4914</v>
      </c>
      <c r="K3832">
        <v>1.106994</v>
      </c>
      <c r="L3832">
        <v>155.40549999999999</v>
      </c>
      <c r="M3832">
        <v>-0.26046160000000002</v>
      </c>
      <c r="N3832">
        <v>0</v>
      </c>
      <c r="O3832">
        <v>-0.96538900000000005</v>
      </c>
      <c r="P3832">
        <v>-0.41139750000000003</v>
      </c>
      <c r="Q3832">
        <v>2.1467610000000002E-2</v>
      </c>
      <c r="R3832">
        <v>-0.91120330000000005</v>
      </c>
      <c r="S3832">
        <v>-1.9552609999999999</v>
      </c>
      <c r="T3832">
        <v>-0.56659150000000003</v>
      </c>
      <c r="U3832">
        <v>-2.4255979999999999</v>
      </c>
      <c r="V3832">
        <v>0.1601052</v>
      </c>
      <c r="W3832">
        <v>3.3606700000000003E-2</v>
      </c>
      <c r="X3832">
        <v>0.98652770000000001</v>
      </c>
      <c r="Y3832">
        <v>0.39237569999999999</v>
      </c>
      <c r="Z3832">
        <v>0.18247540000000001</v>
      </c>
      <c r="AA3832">
        <v>0.90152319999999997</v>
      </c>
      <c r="AB3832">
        <v>27</v>
      </c>
      <c r="AC3832">
        <v>-3.7813999999999899</v>
      </c>
      <c r="AD3832">
        <v>-1.10700669892999</v>
      </c>
      <c r="AE3832">
        <v>-4.6036000000000001</v>
      </c>
      <c r="AF3832">
        <v>2.3698603052915899</v>
      </c>
      <c r="AG3832">
        <v>-1.10700669892999</v>
      </c>
      <c r="AH3832">
        <v>5.2484559009417699</v>
      </c>
      <c r="AI3832">
        <v>100.881363275263</v>
      </c>
      <c r="AJ3832">
        <v>65.699169383901705</v>
      </c>
      <c r="AK3832">
        <v>5.8641274749278001</v>
      </c>
      <c r="AL3832">
        <v>88.074115280216304</v>
      </c>
      <c r="AM3832">
        <v>80.781745062852494</v>
      </c>
      <c r="AN3832">
        <v>0.99999999410961005</v>
      </c>
    </row>
    <row r="3833" spans="1:40" x14ac:dyDescent="0.25">
      <c r="A3833" t="str">
        <f>"20190312151103196"</f>
        <v>20190312151103196</v>
      </c>
      <c r="B3833" t="str">
        <f>"1552374663185256"</f>
        <v>1552374663185256</v>
      </c>
      <c r="C3833" t="s">
        <v>40</v>
      </c>
      <c r="D3833">
        <v>5.416296</v>
      </c>
      <c r="E3833">
        <v>0.59826749999999995</v>
      </c>
      <c r="F3833" t="s">
        <v>79</v>
      </c>
      <c r="G3833">
        <v>-199.34049999999999</v>
      </c>
      <c r="H3833" s="1">
        <v>-1.2670999999999999E-5</v>
      </c>
      <c r="I3833">
        <v>150.6671</v>
      </c>
      <c r="J3833">
        <v>-195.5308</v>
      </c>
      <c r="K3833">
        <v>1.107</v>
      </c>
      <c r="L3833">
        <v>155.26859999999999</v>
      </c>
      <c r="M3833">
        <v>-0.26268570000000002</v>
      </c>
      <c r="N3833">
        <v>0</v>
      </c>
      <c r="O3833">
        <v>-0.96478649999999999</v>
      </c>
      <c r="P3833">
        <v>-0.41419810000000001</v>
      </c>
      <c r="Q3833">
        <v>2.1683480000000002E-2</v>
      </c>
      <c r="R3833">
        <v>-0.90992890000000004</v>
      </c>
      <c r="S3833">
        <v>-1.964691</v>
      </c>
      <c r="T3833">
        <v>-0.56505019999999995</v>
      </c>
      <c r="U3833">
        <v>-2.418625</v>
      </c>
      <c r="V3833">
        <v>0.1608686</v>
      </c>
      <c r="W3833">
        <v>3.3816869999999999E-2</v>
      </c>
      <c r="X3833">
        <v>0.9863963</v>
      </c>
      <c r="Y3833">
        <v>0.39371220000000001</v>
      </c>
      <c r="Z3833">
        <v>0.181977</v>
      </c>
      <c r="AA3833">
        <v>0.90104119999999999</v>
      </c>
      <c r="AB3833">
        <v>27</v>
      </c>
      <c r="AC3833">
        <v>-3.8096999999999901</v>
      </c>
      <c r="AD3833">
        <v>-1.1070126709999999</v>
      </c>
      <c r="AE3833">
        <v>-4.6014999999999802</v>
      </c>
      <c r="AF3833">
        <v>2.3851221993885501</v>
      </c>
      <c r="AG3833">
        <v>-1.1070126709999999</v>
      </c>
      <c r="AH3833">
        <v>5.2600910072612796</v>
      </c>
      <c r="AI3833">
        <v>100.850351739224</v>
      </c>
      <c r="AJ3833">
        <v>65.608681098931996</v>
      </c>
      <c r="AK3833">
        <v>5.8807178443147201</v>
      </c>
      <c r="AL3833">
        <v>88.062066538450793</v>
      </c>
      <c r="AM3833">
        <v>80.737338885993594</v>
      </c>
      <c r="AN3833">
        <v>0.99999997390812301</v>
      </c>
    </row>
    <row r="3834" spans="1:40" x14ac:dyDescent="0.25">
      <c r="A3834" t="str">
        <f>"20190312151103215"</f>
        <v>20190312151103215</v>
      </c>
      <c r="B3834" t="str">
        <f>"1552374663204775"</f>
        <v>1552374663204775</v>
      </c>
      <c r="C3834" t="s">
        <v>40</v>
      </c>
      <c r="D3834">
        <v>5.3816949999999997</v>
      </c>
      <c r="E3834">
        <v>0.59877029999999998</v>
      </c>
      <c r="F3834" t="s">
        <v>79</v>
      </c>
      <c r="G3834">
        <v>-199.411</v>
      </c>
      <c r="H3834" s="1">
        <v>-1.2641939999999999E-5</v>
      </c>
      <c r="I3834">
        <v>150.52670000000001</v>
      </c>
      <c r="J3834">
        <v>-195.5925</v>
      </c>
      <c r="K3834">
        <v>1.107008</v>
      </c>
      <c r="L3834">
        <v>155.05690000000001</v>
      </c>
      <c r="M3834">
        <v>-0.26612720000000001</v>
      </c>
      <c r="N3834">
        <v>0</v>
      </c>
      <c r="O3834">
        <v>-0.9638428</v>
      </c>
      <c r="P3834">
        <v>-0.41905559999999997</v>
      </c>
      <c r="Q3834">
        <v>2.1780600000000001E-2</v>
      </c>
      <c r="R3834">
        <v>-0.90769960000000005</v>
      </c>
      <c r="S3834">
        <v>-1.9736629999999999</v>
      </c>
      <c r="T3834">
        <v>-0.56307890000000005</v>
      </c>
      <c r="U3834">
        <v>-2.411972</v>
      </c>
      <c r="V3834">
        <v>0.1626214</v>
      </c>
      <c r="W3834">
        <v>3.3899789999999999E-2</v>
      </c>
      <c r="X3834">
        <v>0.98610600000000004</v>
      </c>
      <c r="Y3834">
        <v>0.39374789999999998</v>
      </c>
      <c r="Z3834">
        <v>0.1812946</v>
      </c>
      <c r="AA3834">
        <v>0.90116300000000005</v>
      </c>
      <c r="AB3834">
        <v>27</v>
      </c>
      <c r="AC3834">
        <v>-3.81849999999997</v>
      </c>
      <c r="AD3834">
        <v>-1.1070206419399999</v>
      </c>
      <c r="AE3834">
        <v>-4.5301999999999998</v>
      </c>
      <c r="AF3834">
        <v>2.3915600834761301</v>
      </c>
      <c r="AG3834">
        <v>-1.1070206419399999</v>
      </c>
      <c r="AH3834">
        <v>5.2015122734648198</v>
      </c>
      <c r="AI3834">
        <v>100.94404708901099</v>
      </c>
      <c r="AJ3834">
        <v>65.307894549847006</v>
      </c>
      <c r="AK3834">
        <v>5.8310191446746904</v>
      </c>
      <c r="AL3834">
        <v>88.057312857333599</v>
      </c>
      <c r="AM3834">
        <v>80.635484491839406</v>
      </c>
      <c r="AN3834">
        <v>0.999999979368001</v>
      </c>
    </row>
    <row r="3835" spans="1:40" x14ac:dyDescent="0.25">
      <c r="A3835" t="str">
        <f>"20190312151103237"</f>
        <v>20190312151103237</v>
      </c>
      <c r="B3835" t="str">
        <f>"1552374663235031"</f>
        <v>1552374663235031</v>
      </c>
      <c r="C3835" t="s">
        <v>40</v>
      </c>
      <c r="D3835">
        <v>5.3999670000000002</v>
      </c>
      <c r="E3835">
        <v>0.59925660000000003</v>
      </c>
      <c r="F3835" t="s">
        <v>79</v>
      </c>
      <c r="G3835">
        <v>-199.51990000000001</v>
      </c>
      <c r="H3835" s="1">
        <v>-1.259977E-5</v>
      </c>
      <c r="I3835">
        <v>150.32069999999999</v>
      </c>
      <c r="J3835">
        <v>-195.6688</v>
      </c>
      <c r="K3835">
        <v>1.1070169999999999</v>
      </c>
      <c r="L3835">
        <v>154.79849999999999</v>
      </c>
      <c r="M3835">
        <v>-0.27033000000000001</v>
      </c>
      <c r="N3835">
        <v>0</v>
      </c>
      <c r="O3835">
        <v>-0.96267250000000004</v>
      </c>
      <c r="P3835">
        <v>-0.42460009999999998</v>
      </c>
      <c r="Q3835">
        <v>2.2094699999999998E-2</v>
      </c>
      <c r="R3835">
        <v>-0.90511180000000002</v>
      </c>
      <c r="S3835">
        <v>-1.990005</v>
      </c>
      <c r="T3835">
        <v>-0.56091749999999996</v>
      </c>
      <c r="U3835">
        <v>-2.3997959999999998</v>
      </c>
      <c r="V3835">
        <v>0.1643551</v>
      </c>
      <c r="W3835">
        <v>3.4199069999999998E-2</v>
      </c>
      <c r="X3835">
        <v>0.98580820000000002</v>
      </c>
      <c r="Y3835">
        <v>0.39572089999999999</v>
      </c>
      <c r="Z3835">
        <v>0.18056800000000001</v>
      </c>
      <c r="AA3835">
        <v>0.90044439999999903</v>
      </c>
      <c r="AB3835">
        <v>27</v>
      </c>
      <c r="AC3835">
        <v>-3.8511000000000002</v>
      </c>
      <c r="AD3835">
        <v>-1.1070295997699999</v>
      </c>
      <c r="AE3835">
        <v>-4.4778000000000002</v>
      </c>
      <c r="AF3835">
        <v>2.4123394220410601</v>
      </c>
      <c r="AG3835">
        <v>-1.1070295997699999</v>
      </c>
      <c r="AH3835">
        <v>5.1705538732099399</v>
      </c>
      <c r="AI3835">
        <v>100.98036496080501</v>
      </c>
      <c r="AJ3835">
        <v>64.988436501279196</v>
      </c>
      <c r="AK3835">
        <v>5.8120154316438803</v>
      </c>
      <c r="AL3835">
        <v>88.040155450556</v>
      </c>
      <c r="AM3835">
        <v>80.534639210214905</v>
      </c>
      <c r="AN3835">
        <v>0.99999999123605698</v>
      </c>
    </row>
    <row r="3836" spans="1:40" x14ac:dyDescent="0.25">
      <c r="A3836" t="str">
        <f>"20190312151103252"</f>
        <v>20190312151103252</v>
      </c>
      <c r="B3836" t="str">
        <f>"1552374663244790"</f>
        <v>1552374663244790</v>
      </c>
      <c r="C3836" t="s">
        <v>40</v>
      </c>
      <c r="D3836">
        <v>5.4192549999999997</v>
      </c>
      <c r="E3836">
        <v>0.59941460000000002</v>
      </c>
      <c r="F3836" t="s">
        <v>79</v>
      </c>
      <c r="G3836">
        <v>-199.64089999999999</v>
      </c>
      <c r="H3836" s="1">
        <v>-1.2549740000000001E-5</v>
      </c>
      <c r="I3836">
        <v>150.07919999999999</v>
      </c>
      <c r="J3836">
        <v>-195.71610000000001</v>
      </c>
      <c r="K3836">
        <v>1.10702099999999</v>
      </c>
      <c r="L3836">
        <v>154.64089999999999</v>
      </c>
      <c r="M3836">
        <v>-0.27290170000000002</v>
      </c>
      <c r="N3836">
        <v>0</v>
      </c>
      <c r="O3836">
        <v>-0.96194639999999998</v>
      </c>
      <c r="P3836">
        <v>-0.42775750000000001</v>
      </c>
      <c r="Q3836">
        <v>2.2093640000000001E-2</v>
      </c>
      <c r="R3836">
        <v>-0.90362350000000002</v>
      </c>
      <c r="S3836">
        <v>-2.00827</v>
      </c>
      <c r="T3836">
        <v>-0.55970299999999995</v>
      </c>
      <c r="U3836">
        <v>-2.3860320000000002</v>
      </c>
      <c r="V3836">
        <v>0.16516259999999999</v>
      </c>
      <c r="W3836">
        <v>3.419001E-2</v>
      </c>
      <c r="X3836">
        <v>0.98567349999999998</v>
      </c>
      <c r="Y3836">
        <v>0.39991209999999999</v>
      </c>
      <c r="Z3836">
        <v>0.18020900000000001</v>
      </c>
      <c r="AA3836">
        <v>0.89866290000000004</v>
      </c>
      <c r="AB3836">
        <v>27</v>
      </c>
      <c r="AC3836">
        <v>-3.9247999999999701</v>
      </c>
      <c r="AD3836">
        <v>-1.1070335497399999</v>
      </c>
      <c r="AE3836">
        <v>-4.5617000000000001</v>
      </c>
      <c r="AF3836">
        <v>2.44794106790637</v>
      </c>
      <c r="AG3836">
        <v>-1.1070335497399999</v>
      </c>
      <c r="AH3836">
        <v>5.28097870504961</v>
      </c>
      <c r="AI3836">
        <v>100.76832888582901</v>
      </c>
      <c r="AJ3836">
        <v>65.130424574831295</v>
      </c>
      <c r="AK3836">
        <v>5.9250885930406101</v>
      </c>
      <c r="AL3836">
        <v>88.040674763273898</v>
      </c>
      <c r="AM3836">
        <v>80.487706135238298</v>
      </c>
      <c r="AN3836">
        <v>0.99999994491240296</v>
      </c>
    </row>
    <row r="3837" spans="1:40" x14ac:dyDescent="0.25">
      <c r="A3837" t="str">
        <f>"20190312151103271"</f>
        <v>20190312151103271</v>
      </c>
      <c r="B3837" t="str">
        <f>"1552374663264326"</f>
        <v>1552374663264326</v>
      </c>
      <c r="C3837" t="s">
        <v>40</v>
      </c>
      <c r="D3837">
        <v>5.4383650000000001</v>
      </c>
      <c r="E3837">
        <v>0.59981419999999996</v>
      </c>
      <c r="F3837" t="s">
        <v>79</v>
      </c>
      <c r="G3837">
        <v>-199.71029999999999</v>
      </c>
      <c r="H3837" s="1">
        <v>-1.251908E-5</v>
      </c>
      <c r="I3837">
        <v>149.93289999999999</v>
      </c>
      <c r="J3837">
        <v>-195.7852</v>
      </c>
      <c r="K3837">
        <v>1.1070199999999999</v>
      </c>
      <c r="L3837">
        <v>154.41299999999899</v>
      </c>
      <c r="M3837">
        <v>-0.27663510000000002</v>
      </c>
      <c r="N3837">
        <v>0</v>
      </c>
      <c r="O3837">
        <v>-0.96087959999999994</v>
      </c>
      <c r="P3837">
        <v>-0.43253570000000002</v>
      </c>
      <c r="Q3837">
        <v>2.212008E-2</v>
      </c>
      <c r="R3837">
        <v>-0.90134579999999997</v>
      </c>
      <c r="S3837">
        <v>-2.0178530000000001</v>
      </c>
      <c r="T3837">
        <v>-0.55926540000000002</v>
      </c>
      <c r="U3837">
        <v>-2.3784480000000001</v>
      </c>
      <c r="V3837">
        <v>0.1665547</v>
      </c>
      <c r="W3837">
        <v>3.4200979999999999E-2</v>
      </c>
      <c r="X3837">
        <v>0.98543890000000001</v>
      </c>
      <c r="Y3837">
        <v>0.3999066</v>
      </c>
      <c r="Z3837">
        <v>0.18000360000000001</v>
      </c>
      <c r="AA3837">
        <v>0.89870649999999996</v>
      </c>
      <c r="AB3837">
        <v>27</v>
      </c>
      <c r="AC3837">
        <v>-3.92509999999998</v>
      </c>
      <c r="AD3837">
        <v>-1.1070325190799899</v>
      </c>
      <c r="AE3837">
        <v>-4.4800999999999904</v>
      </c>
      <c r="AF3837">
        <v>2.4478700772897701</v>
      </c>
      <c r="AG3837">
        <v>-1.1070325190799899</v>
      </c>
      <c r="AH3837">
        <v>5.2111409736384102</v>
      </c>
      <c r="AI3837">
        <v>100.88392894685001</v>
      </c>
      <c r="AJ3837">
        <v>64.838779907394596</v>
      </c>
      <c r="AK3837">
        <v>5.8628985289466096</v>
      </c>
      <c r="AL3837">
        <v>88.040045969487096</v>
      </c>
      <c r="AM3837">
        <v>80.406772665727402</v>
      </c>
      <c r="AN3837">
        <v>1.0000000003791301</v>
      </c>
    </row>
    <row r="3838" spans="1:40" x14ac:dyDescent="0.25">
      <c r="A3838" t="str">
        <f>"20190312151103282"</f>
        <v>20190312151103282</v>
      </c>
      <c r="B3838" t="str">
        <f>"1552374663275047"</f>
        <v>1552374663275047</v>
      </c>
      <c r="C3838" t="s">
        <v>40</v>
      </c>
      <c r="D3838">
        <v>5.5688550000000001</v>
      </c>
      <c r="E3838">
        <v>0.59979550000000004</v>
      </c>
      <c r="F3838" t="s">
        <v>79</v>
      </c>
      <c r="G3838">
        <v>-199.82749999999999</v>
      </c>
      <c r="H3838" s="1">
        <v>-1.2473220000000001E-5</v>
      </c>
      <c r="I3838">
        <v>149.70930000000001</v>
      </c>
      <c r="J3838">
        <v>-195.82550000000001</v>
      </c>
      <c r="K3838">
        <v>1.1070150000000001</v>
      </c>
      <c r="L3838">
        <v>154.28139999999999</v>
      </c>
      <c r="M3838">
        <v>-0.27880120000000003</v>
      </c>
      <c r="N3838">
        <v>0</v>
      </c>
      <c r="O3838">
        <v>-0.96025309999999997</v>
      </c>
      <c r="P3838">
        <v>-0.4350154</v>
      </c>
      <c r="Q3838">
        <v>2.216709E-2</v>
      </c>
      <c r="R3838">
        <v>-0.90015000000000001</v>
      </c>
      <c r="S3838">
        <v>-2.033493</v>
      </c>
      <c r="T3838">
        <v>-0.55690030000000001</v>
      </c>
      <c r="U3838">
        <v>-2.366196</v>
      </c>
      <c r="V3838">
        <v>0.16704659999999999</v>
      </c>
      <c r="W3838">
        <v>3.4241010000000002E-2</v>
      </c>
      <c r="X3838">
        <v>0.98535419999999996</v>
      </c>
      <c r="Y3838">
        <v>0.40365060000000003</v>
      </c>
      <c r="Z3838">
        <v>0.1792955</v>
      </c>
      <c r="AA3838">
        <v>0.897173</v>
      </c>
      <c r="AB3838">
        <v>27</v>
      </c>
      <c r="AC3838">
        <v>-4.0019999999999802</v>
      </c>
      <c r="AD3838">
        <v>-1.1070274732199901</v>
      </c>
      <c r="AE3838">
        <v>-4.5720999999999696</v>
      </c>
      <c r="AF3838">
        <v>2.48594472014002</v>
      </c>
      <c r="AG3838">
        <v>-1.1070274732199901</v>
      </c>
      <c r="AH3838">
        <v>5.32972917762942</v>
      </c>
      <c r="AI3838">
        <v>100.660530241508</v>
      </c>
      <c r="AJ3838">
        <v>64.9942501640042</v>
      </c>
      <c r="AK3838">
        <v>5.9842663781728698</v>
      </c>
      <c r="AL3838">
        <v>88.037750988955295</v>
      </c>
      <c r="AM3838">
        <v>80.378157463747897</v>
      </c>
      <c r="AN3838">
        <v>0.99999995639750905</v>
      </c>
    </row>
    <row r="3839" spans="1:40" x14ac:dyDescent="0.25">
      <c r="A3839" t="str">
        <f>"20190312151103294"</f>
        <v>20190312151103294</v>
      </c>
      <c r="B3839" t="str">
        <f>"1552374663284806"</f>
        <v>1552374663284806</v>
      </c>
      <c r="C3839" t="s">
        <v>40</v>
      </c>
      <c r="D3839">
        <v>5.508127</v>
      </c>
      <c r="E3839">
        <v>0.59991309999999998</v>
      </c>
      <c r="F3839" t="s">
        <v>79</v>
      </c>
      <c r="G3839">
        <v>-199.88509999999999</v>
      </c>
      <c r="H3839" s="1">
        <v>-1.243981E-5</v>
      </c>
      <c r="I3839">
        <v>149.58349999999999</v>
      </c>
      <c r="J3839">
        <v>-195.86789999999999</v>
      </c>
      <c r="K3839">
        <v>1.1070059999999999</v>
      </c>
      <c r="L3839">
        <v>154.14420000000001</v>
      </c>
      <c r="M3839">
        <v>-0.281070599999999</v>
      </c>
      <c r="N3839">
        <v>0</v>
      </c>
      <c r="O3839">
        <v>-0.95959159999999999</v>
      </c>
      <c r="P3839">
        <v>-0.4376042</v>
      </c>
      <c r="Q3839">
        <v>2.2036960000000001E-2</v>
      </c>
      <c r="R3839">
        <v>-0.89889769999999902</v>
      </c>
      <c r="S3839">
        <v>-2.0398710000000002</v>
      </c>
      <c r="T3839">
        <v>-0.55626390000000003</v>
      </c>
      <c r="U3839">
        <v>-2.3606569999999998</v>
      </c>
      <c r="V3839">
        <v>0.16755200000000001</v>
      </c>
      <c r="W3839">
        <v>3.4102319999999998E-2</v>
      </c>
      <c r="X3839">
        <v>0.98527319999999996</v>
      </c>
      <c r="Y3839">
        <v>0.40394960000000002</v>
      </c>
      <c r="Z3839">
        <v>0.17907729999999999</v>
      </c>
      <c r="AA3839">
        <v>0.89708199999999905</v>
      </c>
      <c r="AB3839">
        <v>27</v>
      </c>
      <c r="AC3839">
        <v>-4.0171999999999999</v>
      </c>
      <c r="AD3839">
        <v>-1.10701843981</v>
      </c>
      <c r="AE3839">
        <v>-4.5607000000000202</v>
      </c>
      <c r="AF3839">
        <v>2.49059782684076</v>
      </c>
      <c r="AG3839">
        <v>-1.10701843981</v>
      </c>
      <c r="AH3839">
        <v>5.3292229328767498</v>
      </c>
      <c r="AI3839">
        <v>100.657771843589</v>
      </c>
      <c r="AJ3839">
        <v>64.951092524893895</v>
      </c>
      <c r="AK3839">
        <v>5.9857484435484603</v>
      </c>
      <c r="AL3839">
        <v>88.045701991149002</v>
      </c>
      <c r="AM3839">
        <v>80.348814755696296</v>
      </c>
      <c r="AN3839">
        <v>0.99999995978581002</v>
      </c>
    </row>
    <row r="3840" spans="1:40" x14ac:dyDescent="0.25">
      <c r="A3840" t="str">
        <f>"20190312151103307"</f>
        <v>20190312151103307</v>
      </c>
      <c r="B3840" t="str">
        <f>"1552374663294566"</f>
        <v>1552374663294566</v>
      </c>
      <c r="C3840" t="s">
        <v>40</v>
      </c>
      <c r="D3840">
        <v>5.5841139999999996</v>
      </c>
      <c r="E3840">
        <v>0.5999816</v>
      </c>
      <c r="F3840" t="s">
        <v>79</v>
      </c>
      <c r="G3840">
        <v>-199.95150000000001</v>
      </c>
      <c r="H3840" s="1">
        <v>-1.241082E-5</v>
      </c>
      <c r="I3840">
        <v>149.4494</v>
      </c>
      <c r="J3840">
        <v>-195.91030000000001</v>
      </c>
      <c r="K3840">
        <v>1.106994</v>
      </c>
      <c r="L3840">
        <v>154.00829999999999</v>
      </c>
      <c r="M3840">
        <v>-0.28333909999999901</v>
      </c>
      <c r="N3840">
        <v>0</v>
      </c>
      <c r="O3840">
        <v>-0.95892409999999995</v>
      </c>
      <c r="P3840">
        <v>-0.44020209999999999</v>
      </c>
      <c r="Q3840">
        <v>2.207858E-2</v>
      </c>
      <c r="R3840">
        <v>-0.89762770000000003</v>
      </c>
      <c r="S3840">
        <v>-2.0476990000000002</v>
      </c>
      <c r="T3840">
        <v>-0.5551026</v>
      </c>
      <c r="U3840">
        <v>-2.3541560000000001</v>
      </c>
      <c r="V3840">
        <v>0.16807349999999999</v>
      </c>
      <c r="W3840">
        <v>3.4133780000000002E-2</v>
      </c>
      <c r="X3840">
        <v>0.98518329999999998</v>
      </c>
      <c r="Y3840">
        <v>0.40476420000000002</v>
      </c>
      <c r="Z3840">
        <v>0.17869499999999999</v>
      </c>
      <c r="AA3840">
        <v>0.896791</v>
      </c>
      <c r="AB3840">
        <v>27</v>
      </c>
      <c r="AC3840">
        <v>-4.0411999999999999</v>
      </c>
      <c r="AD3840">
        <v>-1.10700641082</v>
      </c>
      <c r="AE3840">
        <v>-4.5588999999999897</v>
      </c>
      <c r="AF3840">
        <v>2.50114348906071</v>
      </c>
      <c r="AG3840">
        <v>-1.10700641082</v>
      </c>
      <c r="AH3840">
        <v>5.3408311294282704</v>
      </c>
      <c r="AI3840">
        <v>100.631199711129</v>
      </c>
      <c r="AJ3840">
        <v>64.906023263710793</v>
      </c>
      <c r="AK3840">
        <v>6.00047157309635</v>
      </c>
      <c r="AL3840">
        <v>88.043898446519194</v>
      </c>
      <c r="AM3840">
        <v>80.318476679587405</v>
      </c>
      <c r="AN3840">
        <v>0.99999997546911301</v>
      </c>
    </row>
    <row r="3841" spans="1:40" x14ac:dyDescent="0.25">
      <c r="A3841" t="str">
        <f>"20190312151103319"</f>
        <v>20190312151103319</v>
      </c>
      <c r="B3841" t="str">
        <f>"1552374663315065"</f>
        <v>1552374663315065</v>
      </c>
      <c r="C3841" t="s">
        <v>40</v>
      </c>
      <c r="D3841">
        <v>5.6337659999999996</v>
      </c>
      <c r="E3841">
        <v>0.60013930000000004</v>
      </c>
      <c r="F3841" t="s">
        <v>79</v>
      </c>
      <c r="G3841">
        <v>-200.02359999999999</v>
      </c>
      <c r="H3841" s="1">
        <v>-1.23407399999999E-5</v>
      </c>
      <c r="I3841">
        <v>149.30889999999999</v>
      </c>
      <c r="J3841">
        <v>-195.95740000000001</v>
      </c>
      <c r="K3841">
        <v>1.106975</v>
      </c>
      <c r="L3841">
        <v>153.85849999999999</v>
      </c>
      <c r="M3841">
        <v>-0.28585369999999999</v>
      </c>
      <c r="N3841">
        <v>0</v>
      </c>
      <c r="O3841">
        <v>-0.95817750000000002</v>
      </c>
      <c r="P3841">
        <v>-0.44303120000000001</v>
      </c>
      <c r="Q3841">
        <v>2.2195179999999998E-2</v>
      </c>
      <c r="R3841">
        <v>-0.89623149999999996</v>
      </c>
      <c r="S3841">
        <v>-2.0550989999999998</v>
      </c>
      <c r="T3841">
        <v>-0.55309049999999904</v>
      </c>
      <c r="U3841">
        <v>-2.347931</v>
      </c>
      <c r="V3841">
        <v>0.1686001</v>
      </c>
      <c r="W3841">
        <v>3.4237190000000001E-2</v>
      </c>
      <c r="X3841">
        <v>0.98508980000000002</v>
      </c>
      <c r="Y3841">
        <v>0.40523199999999998</v>
      </c>
      <c r="Z3841">
        <v>0.17803479999999999</v>
      </c>
      <c r="AA3841">
        <v>0.89671100000000004</v>
      </c>
      <c r="AB3841">
        <v>27</v>
      </c>
      <c r="AC3841">
        <v>-4.0661999999999798</v>
      </c>
      <c r="AD3841">
        <v>-1.1069873407399999</v>
      </c>
      <c r="AE3841">
        <v>-4.5495999999999901</v>
      </c>
      <c r="AF3841">
        <v>2.513146007624</v>
      </c>
      <c r="AG3841">
        <v>-1.1069873407399999</v>
      </c>
      <c r="AH3841">
        <v>5.3462129422600801</v>
      </c>
      <c r="AI3841">
        <v>100.613486017715</v>
      </c>
      <c r="AJ3841">
        <v>64.822736816472798</v>
      </c>
      <c r="AK3841">
        <v>6.01026760237714</v>
      </c>
      <c r="AL3841">
        <v>88.037970164064603</v>
      </c>
      <c r="AM3841">
        <v>80.287815542153993</v>
      </c>
      <c r="AN3841">
        <v>1.0000000464815699</v>
      </c>
    </row>
    <row r="3842" spans="1:40" x14ac:dyDescent="0.25">
      <c r="A3842" t="str">
        <f>"20190312151103337"</f>
        <v>20190312151103337</v>
      </c>
      <c r="B3842" t="str">
        <f>"1552374663324823"</f>
        <v>1552374663324823</v>
      </c>
      <c r="C3842" t="s">
        <v>40</v>
      </c>
      <c r="D3842">
        <v>5.5137179999999999</v>
      </c>
      <c r="E3842">
        <v>0.60018419999999995</v>
      </c>
      <c r="F3842" t="s">
        <v>79</v>
      </c>
      <c r="G3842">
        <v>-200.1146</v>
      </c>
      <c r="H3842" s="1">
        <v>-1.225104E-5</v>
      </c>
      <c r="I3842">
        <v>149.1431</v>
      </c>
      <c r="J3842">
        <v>-196.02099999999999</v>
      </c>
      <c r="K3842">
        <v>1.10694</v>
      </c>
      <c r="L3842">
        <v>153.65860000000001</v>
      </c>
      <c r="M3842">
        <v>-0.28925659999999997</v>
      </c>
      <c r="N3842">
        <v>0</v>
      </c>
      <c r="O3842">
        <v>-0.95715550000000005</v>
      </c>
      <c r="P3842">
        <v>-0.44709840000000001</v>
      </c>
      <c r="Q3842">
        <v>2.2386159999999999E-2</v>
      </c>
      <c r="R3842">
        <v>-0.89420480000000002</v>
      </c>
      <c r="S3842">
        <v>-2.0637210000000001</v>
      </c>
      <c r="T3842">
        <v>-0.54952990000000002</v>
      </c>
      <c r="U3842">
        <v>-2.340805</v>
      </c>
      <c r="V3842">
        <v>0.16958139999999999</v>
      </c>
      <c r="W3842">
        <v>3.4404459999999998E-2</v>
      </c>
      <c r="X3842">
        <v>0.98491550000000005</v>
      </c>
      <c r="Y3842">
        <v>0.40534880000000001</v>
      </c>
      <c r="Z3842">
        <v>0.17685699999999999</v>
      </c>
      <c r="AA3842">
        <v>0.89689129999999995</v>
      </c>
      <c r="AB3842">
        <v>27</v>
      </c>
      <c r="AC3842">
        <v>-4.0936000000000003</v>
      </c>
      <c r="AD3842">
        <v>-1.1069522510400001</v>
      </c>
      <c r="AE3842">
        <v>-4.5155000000000003</v>
      </c>
      <c r="AF3842">
        <v>2.5288955667422202</v>
      </c>
      <c r="AG3842">
        <v>-1.1069522510400001</v>
      </c>
      <c r="AH3842">
        <v>5.3308008813611298</v>
      </c>
      <c r="AI3842">
        <v>100.625832909095</v>
      </c>
      <c r="AJ3842">
        <v>64.620656447199295</v>
      </c>
      <c r="AK3842">
        <v>6.0031736698426101</v>
      </c>
      <c r="AL3842">
        <v>88.028380617683197</v>
      </c>
      <c r="AM3842">
        <v>80.230678450722294</v>
      </c>
      <c r="AN3842">
        <v>1.00000003011705</v>
      </c>
    </row>
    <row r="3843" spans="1:40" x14ac:dyDescent="0.25">
      <c r="A3843" t="str">
        <f>"20190312151103349"</f>
        <v>20190312151103349</v>
      </c>
      <c r="B3843" t="str">
        <f>"1552374663345319"</f>
        <v>1552374663345319</v>
      </c>
      <c r="C3843" t="s">
        <v>40</v>
      </c>
      <c r="D3843">
        <v>5.5171570000000001</v>
      </c>
      <c r="E3843">
        <v>0.60031380000000001</v>
      </c>
      <c r="F3843" t="s">
        <v>79</v>
      </c>
      <c r="G3843">
        <v>-200.21789999999999</v>
      </c>
      <c r="H3843" s="1">
        <v>-1.214559E-5</v>
      </c>
      <c r="I3843">
        <v>148.9426</v>
      </c>
      <c r="J3843">
        <v>-196.0635</v>
      </c>
      <c r="K3843">
        <v>1.1069100000000001</v>
      </c>
      <c r="L3843">
        <v>153.52699999999999</v>
      </c>
      <c r="M3843">
        <v>-0.29153839999999998</v>
      </c>
      <c r="N3843">
        <v>0</v>
      </c>
      <c r="O3843">
        <v>-0.95646299999999995</v>
      </c>
      <c r="P3843">
        <v>-0.44952239999999999</v>
      </c>
      <c r="Q3843">
        <v>2.2279380000000001E-2</v>
      </c>
      <c r="R3843">
        <v>-0.89299150000000005</v>
      </c>
      <c r="S3843">
        <v>-2.0746920000000002</v>
      </c>
      <c r="T3843">
        <v>-0.54720590000000002</v>
      </c>
      <c r="U3843">
        <v>-2.3312840000000001</v>
      </c>
      <c r="V3843">
        <v>0.16990529999999901</v>
      </c>
      <c r="W3843">
        <v>3.4283899999999999E-2</v>
      </c>
      <c r="X3843">
        <v>0.98486390000000001</v>
      </c>
      <c r="Y3843">
        <v>0.40743659999999998</v>
      </c>
      <c r="Z3843">
        <v>0.1761491</v>
      </c>
      <c r="AA3843">
        <v>0.896084199999999</v>
      </c>
      <c r="AB3843">
        <v>27</v>
      </c>
      <c r="AC3843">
        <v>-4.1543999999999803</v>
      </c>
      <c r="AD3843">
        <v>-1.10692214559</v>
      </c>
      <c r="AE3843">
        <v>-4.5844000000000102</v>
      </c>
      <c r="AF3843">
        <v>2.5554394839403298</v>
      </c>
      <c r="AG3843">
        <v>-1.10692214559</v>
      </c>
      <c r="AH3843">
        <v>5.4228940214792098</v>
      </c>
      <c r="AI3843">
        <v>100.461603394466</v>
      </c>
      <c r="AJ3843">
        <v>64.768701007924093</v>
      </c>
      <c r="AK3843">
        <v>6.0961731570448103</v>
      </c>
      <c r="AL3843">
        <v>88.035292311487197</v>
      </c>
      <c r="AM3843">
        <v>80.211876750492195</v>
      </c>
      <c r="AN3843">
        <v>1.0000000491452501</v>
      </c>
    </row>
    <row r="3844" spans="1:40" x14ac:dyDescent="0.25">
      <c r="A3844" t="str">
        <f>"20190312151103360"</f>
        <v>20190312151103360</v>
      </c>
      <c r="B3844" t="str">
        <f>"1552374663355079"</f>
        <v>1552374663355079</v>
      </c>
      <c r="C3844" t="s">
        <v>40</v>
      </c>
      <c r="D3844">
        <v>5.7554600000000002</v>
      </c>
      <c r="E3844">
        <v>0.60023300000000002</v>
      </c>
      <c r="F3844" t="s">
        <v>79</v>
      </c>
      <c r="G3844">
        <v>-200.292</v>
      </c>
      <c r="H3844" s="1">
        <v>-1.2071760000000001E-5</v>
      </c>
      <c r="I3844">
        <v>148.8049</v>
      </c>
      <c r="J3844">
        <v>-196.10589999999999</v>
      </c>
      <c r="K3844">
        <v>1.106876</v>
      </c>
      <c r="L3844">
        <v>153.39619999999999</v>
      </c>
      <c r="M3844">
        <v>-0.2938212</v>
      </c>
      <c r="N3844">
        <v>0</v>
      </c>
      <c r="O3844">
        <v>-0.95576439999999996</v>
      </c>
      <c r="P3844">
        <v>-0.45203460000000001</v>
      </c>
      <c r="Q3844">
        <v>2.212571E-2</v>
      </c>
      <c r="R3844">
        <v>-0.89172640000000003</v>
      </c>
      <c r="S3844">
        <v>-2.082001</v>
      </c>
      <c r="T3844">
        <v>-0.54501549999999999</v>
      </c>
      <c r="U3844">
        <v>-2.325043</v>
      </c>
      <c r="V3844">
        <v>0.17032700000000001</v>
      </c>
      <c r="W3844">
        <v>3.411376E-2</v>
      </c>
      <c r="X3844">
        <v>0.98479689999999998</v>
      </c>
      <c r="Y3844">
        <v>0.40810849999999999</v>
      </c>
      <c r="Z3844">
        <v>0.17543729999999999</v>
      </c>
      <c r="AA3844">
        <v>0.89591810000000005</v>
      </c>
      <c r="AB3844">
        <v>27</v>
      </c>
      <c r="AC3844">
        <v>-4.1860999999999997</v>
      </c>
      <c r="AD3844">
        <v>-1.10688807176</v>
      </c>
      <c r="AE3844">
        <v>-4.5912999999999897</v>
      </c>
      <c r="AF3844">
        <v>2.5705626398109702</v>
      </c>
      <c r="AG3844">
        <v>-1.10688807176</v>
      </c>
      <c r="AH3844">
        <v>5.4458408866878996</v>
      </c>
      <c r="AI3844">
        <v>100.415064528466</v>
      </c>
      <c r="AJ3844">
        <v>64.731607612436605</v>
      </c>
      <c r="AK3844">
        <v>6.1229222150635003</v>
      </c>
      <c r="AL3844">
        <v>88.045046194918498</v>
      </c>
      <c r="AM3844">
        <v>80.187399970580202</v>
      </c>
      <c r="AN3844">
        <v>0.99999998489997299</v>
      </c>
    </row>
    <row r="3845" spans="1:40" x14ac:dyDescent="0.25">
      <c r="A3845" t="str">
        <f>"20190312151103373"</f>
        <v>20190312151103373</v>
      </c>
      <c r="B3845" t="str">
        <f>"1552374663364839"</f>
        <v>1552374663364839</v>
      </c>
      <c r="C3845" t="s">
        <v>40</v>
      </c>
      <c r="D3845">
        <v>5.5214819999999998</v>
      </c>
      <c r="E3845">
        <v>0.60034759999999998</v>
      </c>
      <c r="F3845" t="s">
        <v>79</v>
      </c>
      <c r="G3845">
        <v>-200.3493</v>
      </c>
      <c r="H3845" s="1">
        <v>-1.201002E-5</v>
      </c>
      <c r="I3845">
        <v>148.68270000000001</v>
      </c>
      <c r="J3845">
        <v>-196.15379999999999</v>
      </c>
      <c r="K3845">
        <v>1.1068340000000001</v>
      </c>
      <c r="L3845">
        <v>153.2499</v>
      </c>
      <c r="M3845">
        <v>-0.29642269999999998</v>
      </c>
      <c r="N3845">
        <v>0</v>
      </c>
      <c r="O3845">
        <v>-0.9549607</v>
      </c>
      <c r="P3845">
        <v>-0.45483669999999998</v>
      </c>
      <c r="Q3845">
        <v>2.1701000000000002E-2</v>
      </c>
      <c r="R3845">
        <v>-0.89031079999999996</v>
      </c>
      <c r="S3845">
        <v>-2.0880429999999999</v>
      </c>
      <c r="T3845">
        <v>-0.54466210000000004</v>
      </c>
      <c r="U3845">
        <v>-2.3193359999999998</v>
      </c>
      <c r="V3845">
        <v>0.1707398</v>
      </c>
      <c r="W3845">
        <v>3.3668660000000003E-2</v>
      </c>
      <c r="X3845">
        <v>0.98474070000000002</v>
      </c>
      <c r="Y3845">
        <v>0.40803109999999998</v>
      </c>
      <c r="Z3845">
        <v>0.17529610000000001</v>
      </c>
      <c r="AA3845">
        <v>0.89598099999999903</v>
      </c>
      <c r="AB3845">
        <v>27</v>
      </c>
      <c r="AC3845">
        <v>-4.1955000000000098</v>
      </c>
      <c r="AD3845">
        <v>-1.1068460100199999</v>
      </c>
      <c r="AE3845">
        <v>-4.5671999999999802</v>
      </c>
      <c r="AF3845">
        <v>2.5710638586400001</v>
      </c>
      <c r="AG3845">
        <v>-1.1068460100199999</v>
      </c>
      <c r="AH3845">
        <v>5.4326088246331903</v>
      </c>
      <c r="AI3845">
        <v>100.434589319043</v>
      </c>
      <c r="AJ3845">
        <v>64.673442466456805</v>
      </c>
      <c r="AK3845">
        <v>6.1113595947697599</v>
      </c>
      <c r="AL3845">
        <v>88.070563142483806</v>
      </c>
      <c r="AM3845">
        <v>80.163531976606095</v>
      </c>
      <c r="AN3845">
        <v>0.99999995210336101</v>
      </c>
    </row>
    <row r="3846" spans="1:40" x14ac:dyDescent="0.25">
      <c r="A3846" t="str">
        <f>"20190312151103386"</f>
        <v>20190312151103386</v>
      </c>
      <c r="B3846" t="str">
        <f>"1552374663374599"</f>
        <v>1552374663374599</v>
      </c>
      <c r="C3846" t="s">
        <v>40</v>
      </c>
      <c r="D3846">
        <v>5.5479329999999996</v>
      </c>
      <c r="E3846">
        <v>0.60046259999999996</v>
      </c>
      <c r="F3846" t="s">
        <v>79</v>
      </c>
      <c r="G3846">
        <v>-200.42019999999999</v>
      </c>
      <c r="H3846" s="1">
        <v>-1.193745E-5</v>
      </c>
      <c r="I3846">
        <v>148.5445</v>
      </c>
      <c r="J3846">
        <v>-196.20089999999999</v>
      </c>
      <c r="K3846">
        <v>1.1067880000000001</v>
      </c>
      <c r="L3846">
        <v>153.1079</v>
      </c>
      <c r="M3846">
        <v>-0.29899109999999901</v>
      </c>
      <c r="N3846">
        <v>0</v>
      </c>
      <c r="O3846">
        <v>-0.95415939999999999</v>
      </c>
      <c r="P3846">
        <v>-0.45737280000000002</v>
      </c>
      <c r="Q3846">
        <v>2.1558770000000001E-2</v>
      </c>
      <c r="R3846">
        <v>-0.88901379999999997</v>
      </c>
      <c r="S3846">
        <v>-2.0962070000000002</v>
      </c>
      <c r="T3846">
        <v>-0.54383519999999996</v>
      </c>
      <c r="U3846">
        <v>-2.3119809999999998</v>
      </c>
      <c r="V3846">
        <v>0.1708991</v>
      </c>
      <c r="W3846">
        <v>3.3508049999999998E-2</v>
      </c>
      <c r="X3846">
        <v>0.9847186</v>
      </c>
      <c r="Y3846">
        <v>0.40877010000000003</v>
      </c>
      <c r="Z3846">
        <v>0.1750178</v>
      </c>
      <c r="AA3846">
        <v>0.89569849999999995</v>
      </c>
      <c r="AB3846">
        <v>27</v>
      </c>
      <c r="AC3846">
        <v>-4.2192999999999996</v>
      </c>
      <c r="AD3846">
        <v>-1.1067999374499999</v>
      </c>
      <c r="AE3846">
        <v>-4.5633999999999997</v>
      </c>
      <c r="AF3846">
        <v>2.57989599669291</v>
      </c>
      <c r="AG3846">
        <v>-1.1067999374499999</v>
      </c>
      <c r="AH3846">
        <v>5.4436242203754004</v>
      </c>
      <c r="AI3846">
        <v>100.41089380695701</v>
      </c>
      <c r="AJ3846">
        <v>64.642330352833497</v>
      </c>
      <c r="AK3846">
        <v>6.1248603337504104</v>
      </c>
      <c r="AL3846">
        <v>88.079770717854899</v>
      </c>
      <c r="AM3846">
        <v>80.154317440763094</v>
      </c>
      <c r="AN3846">
        <v>1.0000000064907799</v>
      </c>
    </row>
    <row r="3847" spans="1:40" x14ac:dyDescent="0.25">
      <c r="A3847" t="str">
        <f>"20190312151103398"</f>
        <v>20190312151103398</v>
      </c>
      <c r="B3847" t="str">
        <f>"1552374663395094"</f>
        <v>1552374663395094</v>
      </c>
      <c r="C3847" t="s">
        <v>40</v>
      </c>
      <c r="D3847">
        <v>5.5542040000000004</v>
      </c>
      <c r="E3847">
        <v>0.60075669999999903</v>
      </c>
      <c r="F3847" t="s">
        <v>79</v>
      </c>
      <c r="G3847">
        <v>-200.49010000000001</v>
      </c>
      <c r="H3847" s="1">
        <v>-1.1865750000000001E-5</v>
      </c>
      <c r="I3847">
        <v>148.40780000000001</v>
      </c>
      <c r="J3847">
        <v>-196.24600000000001</v>
      </c>
      <c r="K3847">
        <v>1.106741</v>
      </c>
      <c r="L3847">
        <v>152.97229999999999</v>
      </c>
      <c r="M3847">
        <v>-0.30146590000000001</v>
      </c>
      <c r="N3847">
        <v>0</v>
      </c>
      <c r="O3847">
        <v>-0.95338049999999996</v>
      </c>
      <c r="P3847">
        <v>-0.45992499999999997</v>
      </c>
      <c r="Q3847">
        <v>2.1211689999999998E-2</v>
      </c>
      <c r="R3847">
        <v>-0.88770469999999901</v>
      </c>
      <c r="S3847">
        <v>-2.1038060000000001</v>
      </c>
      <c r="T3847">
        <v>-0.54286269999999903</v>
      </c>
      <c r="U3847">
        <v>-2.3053439999999998</v>
      </c>
      <c r="V3847">
        <v>0.1711715</v>
      </c>
      <c r="W3847">
        <v>3.3141089999999998E-2</v>
      </c>
      <c r="X3847">
        <v>0.98468370000000005</v>
      </c>
      <c r="Y3847">
        <v>0.40934520000000002</v>
      </c>
      <c r="Z3847">
        <v>0.17467949999999999</v>
      </c>
      <c r="AA3847">
        <v>0.89550189999999996</v>
      </c>
      <c r="AB3847">
        <v>26</v>
      </c>
      <c r="AC3847">
        <v>-4.2441000000000297</v>
      </c>
      <c r="AD3847">
        <v>-1.1067528657500001</v>
      </c>
      <c r="AE3847">
        <v>-4.5644999999999802</v>
      </c>
      <c r="AF3847">
        <v>2.5888176261957798</v>
      </c>
      <c r="AG3847">
        <v>-1.1067528657500001</v>
      </c>
      <c r="AH3847">
        <v>5.4595280784239</v>
      </c>
      <c r="AI3847">
        <v>100.379798171906</v>
      </c>
      <c r="AJ3847">
        <v>64.630468222996001</v>
      </c>
      <c r="AK3847">
        <v>6.1427457579364901</v>
      </c>
      <c r="AL3847">
        <v>88.100807652185495</v>
      </c>
      <c r="AM3847">
        <v>80.138589372127996</v>
      </c>
      <c r="AN3847">
        <v>1.00000000165216</v>
      </c>
    </row>
    <row r="3848" spans="1:40" x14ac:dyDescent="0.25">
      <c r="A3848" t="str">
        <f>"20190312151103416"</f>
        <v>20190312151103416</v>
      </c>
      <c r="B3848" t="str">
        <f>"1552374663404855"</f>
        <v>1552374663404855</v>
      </c>
      <c r="C3848" t="s">
        <v>40</v>
      </c>
      <c r="D3848">
        <v>5.4910050000000004</v>
      </c>
      <c r="E3848">
        <v>0.60080349999999905</v>
      </c>
      <c r="F3848" t="s">
        <v>79</v>
      </c>
      <c r="G3848">
        <v>-200.55850000000001</v>
      </c>
      <c r="H3848" s="1">
        <v>-1.179794E-5</v>
      </c>
      <c r="I3848">
        <v>148.2817</v>
      </c>
      <c r="J3848">
        <v>-196.316</v>
      </c>
      <c r="K3848">
        <v>1.1066499999999999</v>
      </c>
      <c r="L3848">
        <v>152.76570000000001</v>
      </c>
      <c r="M3848">
        <v>-0.30534640000000002</v>
      </c>
      <c r="N3848">
        <v>0</v>
      </c>
      <c r="O3848">
        <v>-0.95214460000000001</v>
      </c>
      <c r="P3848">
        <v>-0.46381349999999999</v>
      </c>
      <c r="Q3848">
        <v>2.111942E-2</v>
      </c>
      <c r="R3848">
        <v>-0.88568099999999905</v>
      </c>
      <c r="S3848">
        <v>-2.1125949999999998</v>
      </c>
      <c r="T3848">
        <v>-0.54218140000000004</v>
      </c>
      <c r="U3848">
        <v>-2.297882</v>
      </c>
      <c r="V3848">
        <v>0.17148450000000001</v>
      </c>
      <c r="W3848">
        <v>3.3016709999999998E-2</v>
      </c>
      <c r="X3848">
        <v>0.98463339999999999</v>
      </c>
      <c r="Y3848">
        <v>0.40898190000000001</v>
      </c>
      <c r="Z3848">
        <v>0.17436660000000001</v>
      </c>
      <c r="AA3848">
        <v>0.89572879999999999</v>
      </c>
      <c r="AB3848">
        <v>26</v>
      </c>
      <c r="AC3848">
        <v>-4.2425000000000299</v>
      </c>
      <c r="AD3848">
        <v>-1.10666179794</v>
      </c>
      <c r="AE3848">
        <v>-4.484</v>
      </c>
      <c r="AF3848">
        <v>2.5873873493581998</v>
      </c>
      <c r="AG3848">
        <v>-1.10666179794</v>
      </c>
      <c r="AH3848">
        <v>5.3920598655476599</v>
      </c>
      <c r="AI3848">
        <v>100.48335410480701</v>
      </c>
      <c r="AJ3848">
        <v>64.365915490322095</v>
      </c>
      <c r="AK3848">
        <v>6.08223505171319</v>
      </c>
      <c r="AL3848">
        <v>88.107937971161107</v>
      </c>
      <c r="AM3848">
        <v>80.120417271985303</v>
      </c>
      <c r="AN3848">
        <v>0.99999998463751605</v>
      </c>
    </row>
    <row r="3849" spans="1:40" x14ac:dyDescent="0.25">
      <c r="A3849" t="str">
        <f>"20190312151103439"</f>
        <v>20190312151103439</v>
      </c>
      <c r="B3849" t="str">
        <f>"1552374663435110"</f>
        <v>1552374663435110</v>
      </c>
      <c r="C3849" t="s">
        <v>40</v>
      </c>
      <c r="D3849">
        <v>5.5372849999999998</v>
      </c>
      <c r="E3849">
        <v>0.60198739999999995</v>
      </c>
      <c r="F3849" t="s">
        <v>79</v>
      </c>
      <c r="G3849">
        <v>-200.65639999999999</v>
      </c>
      <c r="H3849" s="1">
        <v>-1.16971699999999E-5</v>
      </c>
      <c r="I3849">
        <v>148.0889</v>
      </c>
      <c r="J3849">
        <v>-196.404</v>
      </c>
      <c r="K3849">
        <v>1.106549</v>
      </c>
      <c r="L3849">
        <v>152.50960000000001</v>
      </c>
      <c r="M3849">
        <v>-0.31029289999999998</v>
      </c>
      <c r="N3849">
        <v>0</v>
      </c>
      <c r="O3849">
        <v>-0.9505441</v>
      </c>
      <c r="P3849">
        <v>-0.46871819999999997</v>
      </c>
      <c r="Q3849">
        <v>2.1106400000000001E-2</v>
      </c>
      <c r="R3849">
        <v>-0.88309559999999998</v>
      </c>
      <c r="S3849">
        <v>-2.123535</v>
      </c>
      <c r="T3849">
        <v>-0.54143069999999904</v>
      </c>
      <c r="U3849">
        <v>-2.2881010000000002</v>
      </c>
      <c r="V3849">
        <v>0.17183419999999999</v>
      </c>
      <c r="W3849">
        <v>3.2962369999999998E-2</v>
      </c>
      <c r="X3849">
        <v>0.98457430000000001</v>
      </c>
      <c r="Y3849">
        <v>0.40850189999999997</v>
      </c>
      <c r="Z3849">
        <v>0.1740168</v>
      </c>
      <c r="AA3849">
        <v>0.89601580000000003</v>
      </c>
      <c r="AB3849">
        <v>26</v>
      </c>
      <c r="AC3849">
        <v>-4.2523999999999598</v>
      </c>
      <c r="AD3849">
        <v>-1.1065606971699999</v>
      </c>
      <c r="AE3849">
        <v>-4.4207000000000098</v>
      </c>
      <c r="AF3849">
        <v>2.5864548536356202</v>
      </c>
      <c r="AG3849">
        <v>-1.1065606971699999</v>
      </c>
      <c r="AH3849">
        <v>5.3480235101660298</v>
      </c>
      <c r="AI3849">
        <v>100.55155272458801</v>
      </c>
      <c r="AJ3849">
        <v>64.1902809653849</v>
      </c>
      <c r="AK3849">
        <v>6.0428123214034404</v>
      </c>
      <c r="AL3849">
        <v>88.111053207387698</v>
      </c>
      <c r="AM3849">
        <v>80.100086023923893</v>
      </c>
      <c r="AN3849">
        <v>1.0000000311730699</v>
      </c>
    </row>
    <row r="3850" spans="1:40" x14ac:dyDescent="0.25">
      <c r="A3850" t="str">
        <f>"20190312151103453"</f>
        <v>20190312151103453</v>
      </c>
      <c r="B3850" t="str">
        <f>"1552374663444871"</f>
        <v>1552374663444871</v>
      </c>
      <c r="C3850" t="s">
        <v>40</v>
      </c>
      <c r="D3850">
        <v>5.541004</v>
      </c>
      <c r="E3850">
        <v>0.60234849999999995</v>
      </c>
      <c r="F3850" t="s">
        <v>79</v>
      </c>
      <c r="G3850">
        <v>-205.22280000000001</v>
      </c>
      <c r="H3850" s="1">
        <v>-8.415733E-6</v>
      </c>
      <c r="I3850">
        <v>143.13560000000001</v>
      </c>
      <c r="J3850">
        <v>-196.4606</v>
      </c>
      <c r="K3850">
        <v>1.1064750000000001</v>
      </c>
      <c r="L3850">
        <v>152.34799999999899</v>
      </c>
      <c r="M3850">
        <v>-0.31351770000000001</v>
      </c>
      <c r="N3850">
        <v>0</v>
      </c>
      <c r="O3850">
        <v>-0.94948509999999997</v>
      </c>
      <c r="P3850">
        <v>-0.47193099999999999</v>
      </c>
      <c r="Q3850">
        <v>2.0910970000000001E-2</v>
      </c>
      <c r="R3850">
        <v>-0.88138739999999904</v>
      </c>
      <c r="S3850">
        <v>-2.135605</v>
      </c>
      <c r="T3850">
        <v>-0.26796950000000003</v>
      </c>
      <c r="U3850">
        <v>-2.2700650000000002</v>
      </c>
      <c r="V3850">
        <v>0.17208029999999999</v>
      </c>
      <c r="W3850">
        <v>3.2738860000000002E-2</v>
      </c>
      <c r="X3850">
        <v>0.98453869999999999</v>
      </c>
      <c r="Y3850">
        <v>0.41958250000000002</v>
      </c>
      <c r="Z3850">
        <v>8.7279830000000003E-2</v>
      </c>
      <c r="AA3850">
        <v>0.90351130000000002</v>
      </c>
      <c r="AB3850">
        <v>26</v>
      </c>
      <c r="AC3850">
        <v>-8.7622</v>
      </c>
      <c r="AD3850">
        <v>-1.1064834157329999</v>
      </c>
      <c r="AE3850">
        <v>-9.2123999999999704</v>
      </c>
      <c r="AF3850">
        <v>5.3909977637381798</v>
      </c>
      <c r="AG3850">
        <v>-1.1064834157329999</v>
      </c>
      <c r="AH3850">
        <v>11.408792014017999</v>
      </c>
      <c r="AI3850">
        <v>95.011349205476094</v>
      </c>
      <c r="AJ3850">
        <v>64.707855234354199</v>
      </c>
      <c r="AK3850">
        <v>12.666795082302601</v>
      </c>
      <c r="AL3850">
        <v>88.123866163435295</v>
      </c>
      <c r="AM3850">
        <v>80.085837169879596</v>
      </c>
      <c r="AN3850">
        <v>0.99999995719993795</v>
      </c>
    </row>
    <row r="3851" spans="1:40" x14ac:dyDescent="0.25">
      <c r="A3851" t="str">
        <f>"20190312151103472"</f>
        <v>20190312151103472</v>
      </c>
      <c r="B3851" t="str">
        <f>"1552374663465368"</f>
        <v>1552374663465368</v>
      </c>
      <c r="C3851" t="s">
        <v>40</v>
      </c>
      <c r="D3851">
        <v>5.5209440000000001</v>
      </c>
      <c r="E3851">
        <v>0.60291569999999906</v>
      </c>
      <c r="F3851" t="s">
        <v>79</v>
      </c>
      <c r="G3851">
        <v>-205.4991</v>
      </c>
      <c r="H3851" s="1">
        <v>-8.2121099999999995E-6</v>
      </c>
      <c r="I3851">
        <v>142.82820000000001</v>
      </c>
      <c r="J3851">
        <v>-196.53540000000001</v>
      </c>
      <c r="K3851">
        <v>1.1063780000000001</v>
      </c>
      <c r="L3851">
        <v>152.137</v>
      </c>
      <c r="M3851">
        <v>-0.31781199999999998</v>
      </c>
      <c r="N3851">
        <v>0</v>
      </c>
      <c r="O3851">
        <v>-0.94805629999999996</v>
      </c>
      <c r="P3851">
        <v>-0.47611369999999997</v>
      </c>
      <c r="Q3851">
        <v>2.0363829999999999E-2</v>
      </c>
      <c r="R3851">
        <v>-0.87914820000000005</v>
      </c>
      <c r="S3851">
        <v>-2.1464080000000001</v>
      </c>
      <c r="T3851">
        <v>-0.262762</v>
      </c>
      <c r="U3851">
        <v>-2.2606959999999998</v>
      </c>
      <c r="V3851">
        <v>0.172300799999999</v>
      </c>
      <c r="W3851">
        <v>3.2157419999999999E-2</v>
      </c>
      <c r="X3851">
        <v>0.98451940000000004</v>
      </c>
      <c r="Y3851">
        <v>0.41972520000000002</v>
      </c>
      <c r="Z3851">
        <v>8.5540099999999994E-2</v>
      </c>
      <c r="AA3851">
        <v>0.90361139999999995</v>
      </c>
      <c r="AB3851">
        <v>26</v>
      </c>
      <c r="AC3851">
        <v>-8.9636999999999798</v>
      </c>
      <c r="AD3851">
        <v>-1.1063862121100001</v>
      </c>
      <c r="AE3851">
        <v>-9.3087999999999909</v>
      </c>
      <c r="AF3851">
        <v>5.4998430013335797</v>
      </c>
      <c r="AG3851">
        <v>-1.1063862121100001</v>
      </c>
      <c r="AH3851">
        <v>11.5901629654581</v>
      </c>
      <c r="AI3851">
        <v>94.929097436473995</v>
      </c>
      <c r="AJ3851">
        <v>64.6144069688754</v>
      </c>
      <c r="AK3851">
        <v>12.876499565314299</v>
      </c>
      <c r="AL3851">
        <v>88.157197959387005</v>
      </c>
      <c r="AM3851">
        <v>80.073195184848899</v>
      </c>
      <c r="AN3851">
        <v>1.00000005715902</v>
      </c>
    </row>
    <row r="3852" spans="1:40" x14ac:dyDescent="0.25">
      <c r="A3852" t="str">
        <f>"20190312151103493"</f>
        <v>20190312151103493</v>
      </c>
      <c r="B3852" t="str">
        <f>"1552374663484887"</f>
        <v>1552374663484887</v>
      </c>
      <c r="C3852" t="s">
        <v>40</v>
      </c>
      <c r="D3852">
        <v>5.6107750000000003</v>
      </c>
      <c r="E3852">
        <v>0.60336869999999998</v>
      </c>
      <c r="F3852" t="s">
        <v>79</v>
      </c>
      <c r="G3852">
        <v>-205.70500000000001</v>
      </c>
      <c r="H3852" s="1">
        <v>-8.0599429999999998E-6</v>
      </c>
      <c r="I3852">
        <v>142.59780000000001</v>
      </c>
      <c r="J3852">
        <v>-196.62190000000001</v>
      </c>
      <c r="K3852">
        <v>1.106268</v>
      </c>
      <c r="L3852">
        <v>151.89680000000001</v>
      </c>
      <c r="M3852">
        <v>-0.32284299999999999</v>
      </c>
      <c r="N3852">
        <v>0</v>
      </c>
      <c r="O3852">
        <v>-0.94635480000000005</v>
      </c>
      <c r="P3852">
        <v>-0.48131000000000002</v>
      </c>
      <c r="Q3852">
        <v>2.0163810000000001E-2</v>
      </c>
      <c r="R3852">
        <v>-0.87631859999999995</v>
      </c>
      <c r="S3852">
        <v>-2.1609950000000002</v>
      </c>
      <c r="T3852">
        <v>-0.26074039999999998</v>
      </c>
      <c r="U3852">
        <v>-2.2480929999999999</v>
      </c>
      <c r="V3852">
        <v>0.17290539999999999</v>
      </c>
      <c r="W3852">
        <v>3.1912929999999999E-2</v>
      </c>
      <c r="X3852">
        <v>0.98442130000000005</v>
      </c>
      <c r="Y3852">
        <v>0.4205313</v>
      </c>
      <c r="Z3852">
        <v>8.4823830000000003E-2</v>
      </c>
      <c r="AA3852">
        <v>0.9033042</v>
      </c>
      <c r="AB3852">
        <v>26</v>
      </c>
      <c r="AC3852">
        <v>-9.0831</v>
      </c>
      <c r="AD3852">
        <v>-1.1062760599429999</v>
      </c>
      <c r="AE3852">
        <v>-9.2989999999999995</v>
      </c>
      <c r="AF3852">
        <v>5.5540090774383701</v>
      </c>
      <c r="AG3852">
        <v>-1.1062760599429999</v>
      </c>
      <c r="AH3852">
        <v>11.6492804109016</v>
      </c>
      <c r="AI3852">
        <v>94.899478618239996</v>
      </c>
      <c r="AJ3852">
        <v>64.509667845026797</v>
      </c>
      <c r="AK3852">
        <v>12.9528605969835</v>
      </c>
      <c r="AL3852">
        <v>88.1712133003536</v>
      </c>
      <c r="AM3852">
        <v>80.038085935079096</v>
      </c>
      <c r="AN3852">
        <v>1.0000000041720101</v>
      </c>
    </row>
    <row r="3853" spans="1:40" x14ac:dyDescent="0.25">
      <c r="A3853" t="str">
        <f>"20190312151103505"</f>
        <v>20190312151103505</v>
      </c>
      <c r="B3853" t="str">
        <f>"1552374663494648"</f>
        <v>1552374663494648</v>
      </c>
      <c r="C3853" t="s">
        <v>40</v>
      </c>
      <c r="D3853">
        <v>5.655392</v>
      </c>
      <c r="E3853">
        <v>0.60339430000000005</v>
      </c>
      <c r="F3853" t="s">
        <v>79</v>
      </c>
      <c r="G3853">
        <v>-205.71629999999999</v>
      </c>
      <c r="H3853" s="1">
        <v>-8.0473419999999999E-6</v>
      </c>
      <c r="I3853">
        <v>142.56909999999999</v>
      </c>
      <c r="J3853">
        <v>-196.6704</v>
      </c>
      <c r="K3853">
        <v>1.106203</v>
      </c>
      <c r="L3853">
        <v>151.7646</v>
      </c>
      <c r="M3853">
        <v>-0.32569150000000002</v>
      </c>
      <c r="N3853">
        <v>0</v>
      </c>
      <c r="O3853">
        <v>-0.9453781</v>
      </c>
      <c r="P3853">
        <v>-0.48433939999999998</v>
      </c>
      <c r="Q3853">
        <v>2.0180380000000001E-2</v>
      </c>
      <c r="R3853">
        <v>-0.87464739999999996</v>
      </c>
      <c r="S3853">
        <v>-2.1776119999999999</v>
      </c>
      <c r="T3853">
        <v>-0.26489230000000002</v>
      </c>
      <c r="U3853">
        <v>-2.2334749999999999</v>
      </c>
      <c r="V3853">
        <v>0.1733527</v>
      </c>
      <c r="W3853">
        <v>3.1902930000000003E-2</v>
      </c>
      <c r="X3853">
        <v>0.98434290000000002</v>
      </c>
      <c r="Y3853">
        <v>0.42411729999999997</v>
      </c>
      <c r="Z3853">
        <v>8.6165249999999999E-2</v>
      </c>
      <c r="AA3853">
        <v>0.90149880000000004</v>
      </c>
      <c r="AB3853">
        <v>26</v>
      </c>
      <c r="AC3853">
        <v>-9.0458999999999801</v>
      </c>
      <c r="AD3853">
        <v>-1.1062110473419999</v>
      </c>
      <c r="AE3853">
        <v>-9.1955000000000098</v>
      </c>
      <c r="AF3853">
        <v>5.51684018895057</v>
      </c>
      <c r="AG3853">
        <v>-1.1062110473419999</v>
      </c>
      <c r="AH3853">
        <v>11.555489297229901</v>
      </c>
      <c r="AI3853">
        <v>94.937513582996402</v>
      </c>
      <c r="AJ3853">
        <v>64.479182708658598</v>
      </c>
      <c r="AK3853">
        <v>12.852570227393199</v>
      </c>
      <c r="AL3853">
        <v>88.171786451259194</v>
      </c>
      <c r="AM3853">
        <v>80.0120535948911</v>
      </c>
      <c r="AN3853">
        <v>0.99999995016014098</v>
      </c>
    </row>
    <row r="3854" spans="1:40" x14ac:dyDescent="0.25">
      <c r="A3854" t="str">
        <f>"20190312151103519"</f>
        <v>20190312151103519</v>
      </c>
      <c r="B3854" t="str">
        <f>"1552374663515143"</f>
        <v>1552374663515143</v>
      </c>
      <c r="C3854" t="s">
        <v>40</v>
      </c>
      <c r="D3854">
        <v>5.5945229999999997</v>
      </c>
      <c r="E3854">
        <v>0.60313760000000005</v>
      </c>
      <c r="F3854" t="s">
        <v>79</v>
      </c>
      <c r="G3854">
        <v>-205.7867</v>
      </c>
      <c r="H3854" s="1">
        <v>-7.9930359999999997E-6</v>
      </c>
      <c r="I3854">
        <v>142.48150000000001</v>
      </c>
      <c r="J3854">
        <v>-196.72569999999999</v>
      </c>
      <c r="K3854">
        <v>1.106128</v>
      </c>
      <c r="L3854">
        <v>151.6147</v>
      </c>
      <c r="M3854">
        <v>-0.32896320000000001</v>
      </c>
      <c r="N3854">
        <v>0</v>
      </c>
      <c r="O3854">
        <v>-0.94424459999999999</v>
      </c>
      <c r="P3854">
        <v>-0.48793300000000001</v>
      </c>
      <c r="Q3854">
        <v>2.010383E-2</v>
      </c>
      <c r="R3854">
        <v>-0.87264979999999903</v>
      </c>
      <c r="S3854">
        <v>-2.1857150000000001</v>
      </c>
      <c r="T3854">
        <v>-0.26522509999999999</v>
      </c>
      <c r="U3854">
        <v>-2.2257229999999999</v>
      </c>
      <c r="V3854">
        <v>0.1739975</v>
      </c>
      <c r="W3854">
        <v>3.1793309999999998E-2</v>
      </c>
      <c r="X3854">
        <v>0.98423269999999996</v>
      </c>
      <c r="Y3854">
        <v>0.42421900000000001</v>
      </c>
      <c r="Z3854">
        <v>8.6237099999999997E-2</v>
      </c>
      <c r="AA3854">
        <v>0.90144400000000002</v>
      </c>
      <c r="AB3854">
        <v>26</v>
      </c>
      <c r="AC3854">
        <v>-9.0609999999999999</v>
      </c>
      <c r="AD3854">
        <v>-1.106135993036</v>
      </c>
      <c r="AE3854">
        <v>-9.1331999999999791</v>
      </c>
      <c r="AF3854">
        <v>5.5110890318601697</v>
      </c>
      <c r="AG3854">
        <v>-1.106135993036</v>
      </c>
      <c r="AH3854">
        <v>11.5206230814634</v>
      </c>
      <c r="AI3854">
        <v>94.9502355106398</v>
      </c>
      <c r="AJ3854">
        <v>64.435073507068793</v>
      </c>
      <c r="AK3854">
        <v>12.8187517074529</v>
      </c>
      <c r="AL3854">
        <v>88.178070450031598</v>
      </c>
      <c r="AM3854">
        <v>79.974555128740903</v>
      </c>
      <c r="AN3854">
        <v>0.99999997615814695</v>
      </c>
    </row>
    <row r="3855" spans="1:40" x14ac:dyDescent="0.25">
      <c r="A3855" t="str">
        <f>"20190312151103538"</f>
        <v>20190312151103538</v>
      </c>
      <c r="B3855" t="str">
        <f>"1552374663534663"</f>
        <v>1552374663534663</v>
      </c>
      <c r="C3855" t="s">
        <v>40</v>
      </c>
      <c r="D3855">
        <v>5.5624830000000003</v>
      </c>
      <c r="E3855">
        <v>0.6027169</v>
      </c>
      <c r="F3855" t="s">
        <v>79</v>
      </c>
      <c r="G3855">
        <v>-205.77369999999999</v>
      </c>
      <c r="H3855" s="1">
        <v>-7.9947779999999999E-6</v>
      </c>
      <c r="I3855">
        <v>142.46639999999999</v>
      </c>
      <c r="J3855">
        <v>-196.80629999999999</v>
      </c>
      <c r="K3855">
        <v>1.106017</v>
      </c>
      <c r="L3855">
        <v>151.3998</v>
      </c>
      <c r="M3855">
        <v>-0.33378829999999998</v>
      </c>
      <c r="N3855">
        <v>0</v>
      </c>
      <c r="O3855">
        <v>-0.94254950000000004</v>
      </c>
      <c r="P3855">
        <v>-0.4938128</v>
      </c>
      <c r="Q3855">
        <v>1.9709600000000001E-2</v>
      </c>
      <c r="R3855">
        <v>-0.86934480000000003</v>
      </c>
      <c r="S3855">
        <v>-2.193298</v>
      </c>
      <c r="T3855">
        <v>-0.2681345</v>
      </c>
      <c r="U3855">
        <v>-2.2176209999999998</v>
      </c>
      <c r="V3855">
        <v>0.17560990000000001</v>
      </c>
      <c r="W3855">
        <v>3.1342450000000001E-2</v>
      </c>
      <c r="X3855">
        <v>0.98396070000000002</v>
      </c>
      <c r="Y3855">
        <v>0.42273810000000001</v>
      </c>
      <c r="Z3855">
        <v>8.7112289999999995E-2</v>
      </c>
      <c r="AA3855">
        <v>0.90205539999999995</v>
      </c>
      <c r="AB3855">
        <v>26</v>
      </c>
      <c r="AC3855">
        <v>-8.9673999999999907</v>
      </c>
      <c r="AD3855">
        <v>-1.1060249947779901</v>
      </c>
      <c r="AE3855">
        <v>-8.9334000000000007</v>
      </c>
      <c r="AF3855">
        <v>5.4294083317891397</v>
      </c>
      <c r="AG3855">
        <v>-1.1060249947779901</v>
      </c>
      <c r="AH3855">
        <v>11.327955602500399</v>
      </c>
      <c r="AI3855">
        <v>95.031693105339002</v>
      </c>
      <c r="AJ3855">
        <v>64.391932116204998</v>
      </c>
      <c r="AK3855">
        <v>12.6104854884574</v>
      </c>
      <c r="AL3855">
        <v>88.203915610887805</v>
      </c>
      <c r="AM3855">
        <v>79.880822936845405</v>
      </c>
      <c r="AN3855">
        <v>0.99999992264724802</v>
      </c>
    </row>
    <row r="3856" spans="1:40" x14ac:dyDescent="0.25">
      <c r="A3856" t="str">
        <f>"20190312151103551"</f>
        <v>20190312151103551</v>
      </c>
      <c r="B3856" t="str">
        <f>"1552374663544424"</f>
        <v>1552374663544424</v>
      </c>
      <c r="C3856" t="s">
        <v>40</v>
      </c>
      <c r="D3856">
        <v>5.5023929999999996</v>
      </c>
      <c r="E3856">
        <v>0.63188929999999999</v>
      </c>
      <c r="F3856" t="s">
        <v>79</v>
      </c>
      <c r="G3856">
        <v>-205.82140000000001</v>
      </c>
      <c r="H3856" s="1">
        <v>-7.9536729999999992E-6</v>
      </c>
      <c r="I3856">
        <v>142.39080000000001</v>
      </c>
      <c r="J3856">
        <v>-196.86160000000001</v>
      </c>
      <c r="K3856">
        <v>1.105942</v>
      </c>
      <c r="L3856">
        <v>151.2551</v>
      </c>
      <c r="M3856">
        <v>-0.33712449999999999</v>
      </c>
      <c r="N3856">
        <v>0</v>
      </c>
      <c r="O3856">
        <v>-0.94136140000000001</v>
      </c>
      <c r="P3856">
        <v>-0.49760589999999999</v>
      </c>
      <c r="Q3856">
        <v>1.9589559999999999E-2</v>
      </c>
      <c r="R3856">
        <v>-0.86718220000000001</v>
      </c>
      <c r="S3856">
        <v>-2.2056269999999998</v>
      </c>
      <c r="T3856">
        <v>-0.2705998</v>
      </c>
      <c r="U3856">
        <v>-2.2041469999999999</v>
      </c>
      <c r="V3856">
        <v>0.1764271</v>
      </c>
      <c r="W3856">
        <v>3.1188029999999999E-2</v>
      </c>
      <c r="X3856">
        <v>0.98381949999999996</v>
      </c>
      <c r="Y3856">
        <v>0.42475380000000001</v>
      </c>
      <c r="Z3856">
        <v>8.7927829999999998E-2</v>
      </c>
      <c r="AA3856">
        <v>0.90102879999999996</v>
      </c>
      <c r="AB3856">
        <v>26</v>
      </c>
      <c r="AC3856">
        <v>-8.9597999999999995</v>
      </c>
      <c r="AD3856">
        <v>-1.105949953673</v>
      </c>
      <c r="AE3856">
        <v>-8.8642999999999805</v>
      </c>
      <c r="AF3856">
        <v>5.4049268727658601</v>
      </c>
      <c r="AG3856">
        <v>-1.105949953673</v>
      </c>
      <c r="AH3856">
        <v>11.2792868214744</v>
      </c>
      <c r="AI3856">
        <v>95.053151600991498</v>
      </c>
      <c r="AJ3856">
        <v>64.396702799705693</v>
      </c>
      <c r="AK3856">
        <v>12.5562204106594</v>
      </c>
      <c r="AL3856">
        <v>88.212767712584693</v>
      </c>
      <c r="AM3856">
        <v>79.833284628535495</v>
      </c>
      <c r="AN3856">
        <v>1.0000000117049701</v>
      </c>
    </row>
    <row r="3857" spans="1:40" x14ac:dyDescent="0.25">
      <c r="A3857" t="str">
        <f>"20190312151103562"</f>
        <v>20190312151103562</v>
      </c>
      <c r="B3857" t="str">
        <f>"1552374663555159"</f>
        <v>1552374663555159</v>
      </c>
      <c r="C3857" t="s">
        <v>40</v>
      </c>
      <c r="D3857">
        <v>5.4318949999999999</v>
      </c>
      <c r="E3857">
        <v>0.63913209999999998</v>
      </c>
      <c r="F3857" t="s">
        <v>79</v>
      </c>
      <c r="G3857">
        <v>-204.81460000000001</v>
      </c>
      <c r="H3857" s="1">
        <v>-8.9269099999999999E-6</v>
      </c>
      <c r="I3857">
        <v>144.42250000000001</v>
      </c>
      <c r="J3857">
        <v>-196.91069999999999</v>
      </c>
      <c r="K3857">
        <v>1.10588</v>
      </c>
      <c r="L3857">
        <v>151.1275</v>
      </c>
      <c r="M3857">
        <v>-0.3400955</v>
      </c>
      <c r="N3857">
        <v>0</v>
      </c>
      <c r="O3857">
        <v>-0.94029189999999996</v>
      </c>
      <c r="P3857">
        <v>-0.50117719999999999</v>
      </c>
      <c r="Q3857">
        <v>1.9336490000000001E-2</v>
      </c>
      <c r="R3857">
        <v>-0.86512900000000004</v>
      </c>
      <c r="S3857">
        <v>-2.419556</v>
      </c>
      <c r="T3857">
        <v>-0.33646870000000001</v>
      </c>
      <c r="U3857">
        <v>-2.0787049999999998</v>
      </c>
      <c r="V3857">
        <v>0.17737720000000001</v>
      </c>
      <c r="W3857">
        <v>3.0902059999999999E-2</v>
      </c>
      <c r="X3857">
        <v>0.98365769999999997</v>
      </c>
      <c r="Y3857">
        <v>0.48704429999999999</v>
      </c>
      <c r="Z3857">
        <v>0.10799300000000001</v>
      </c>
      <c r="AA3857">
        <v>0.86667490000000003</v>
      </c>
      <c r="AB3857">
        <v>26</v>
      </c>
      <c r="AC3857">
        <v>-7.9039000000000197</v>
      </c>
      <c r="AD3857">
        <v>-1.1058889269100001</v>
      </c>
      <c r="AE3857">
        <v>-6.7049999999999796</v>
      </c>
      <c r="AF3857">
        <v>5.0941199623763698</v>
      </c>
      <c r="AG3857">
        <v>-1.1058889269100001</v>
      </c>
      <c r="AH3857">
        <v>8.8923430329033106</v>
      </c>
      <c r="AI3857">
        <v>96.159038338139695</v>
      </c>
      <c r="AJ3857">
        <v>60.1930763958865</v>
      </c>
      <c r="AK3857">
        <v>10.3076094767199</v>
      </c>
      <c r="AL3857">
        <v>88.229160537435604</v>
      </c>
      <c r="AM3857">
        <v>79.778039910480501</v>
      </c>
      <c r="AN3857">
        <v>1.0000000395806801</v>
      </c>
    </row>
    <row r="3858" spans="1:40" x14ac:dyDescent="0.25">
      <c r="A3858" t="str">
        <f>"20190312151103574"</f>
        <v>20190312151103574</v>
      </c>
      <c r="B3858" t="str">
        <f>"1552374663564919"</f>
        <v>1552374663564919</v>
      </c>
      <c r="C3858" t="s">
        <v>40</v>
      </c>
      <c r="D3858">
        <v>5.4628319999999997</v>
      </c>
      <c r="E3858">
        <v>0.64312389999999997</v>
      </c>
      <c r="F3858" t="s">
        <v>79</v>
      </c>
      <c r="G3858">
        <v>-204.30340000000001</v>
      </c>
      <c r="H3858" s="1">
        <v>-9.2841910000000004E-6</v>
      </c>
      <c r="I3858">
        <v>145.047</v>
      </c>
      <c r="J3858">
        <v>-196.9616</v>
      </c>
      <c r="K3858">
        <v>1.1058190000000001</v>
      </c>
      <c r="L3858">
        <v>150.9967</v>
      </c>
      <c r="M3858">
        <v>-0.34318019999999999</v>
      </c>
      <c r="N3858">
        <v>0</v>
      </c>
      <c r="O3858">
        <v>-0.93917039999999996</v>
      </c>
      <c r="P3858">
        <v>-0.5048184</v>
      </c>
      <c r="Q3858">
        <v>1.933816E-2</v>
      </c>
      <c r="R3858">
        <v>-0.86300900000000003</v>
      </c>
      <c r="S3858">
        <v>-2.4796299999999998</v>
      </c>
      <c r="T3858">
        <v>-0.37093510000000002</v>
      </c>
      <c r="U3858">
        <v>-2.0395050000000001</v>
      </c>
      <c r="V3858">
        <v>0.1782985</v>
      </c>
      <c r="W3858">
        <v>3.0871079999999999E-2</v>
      </c>
      <c r="X3858">
        <v>0.98349209999999998</v>
      </c>
      <c r="Y3858">
        <v>0.50174560000000001</v>
      </c>
      <c r="Z3858">
        <v>0.118495699999999</v>
      </c>
      <c r="AA3858">
        <v>0.85686059999999997</v>
      </c>
      <c r="AB3858">
        <v>26</v>
      </c>
      <c r="AC3858">
        <v>-7.3418000000000001</v>
      </c>
      <c r="AD3858">
        <v>-1.1058282841910001</v>
      </c>
      <c r="AE3858">
        <v>-5.9497</v>
      </c>
      <c r="AF3858">
        <v>4.7882653496884897</v>
      </c>
      <c r="AG3858">
        <v>-1.1058282841910001</v>
      </c>
      <c r="AH3858">
        <v>7.9985682598813197</v>
      </c>
      <c r="AI3858">
        <v>96.764945280114404</v>
      </c>
      <c r="AJ3858">
        <v>59.093560724502197</v>
      </c>
      <c r="AK3858">
        <v>9.3876213952803393</v>
      </c>
      <c r="AL3858">
        <v>88.230936416988598</v>
      </c>
      <c r="AM3858">
        <v>79.724381784185297</v>
      </c>
      <c r="AN3858">
        <v>1.0000000447225099</v>
      </c>
    </row>
    <row r="3859" spans="1:40" x14ac:dyDescent="0.25">
      <c r="A3859" t="str">
        <f>"20190312151103586"</f>
        <v>20190312151103586</v>
      </c>
      <c r="B3859" t="str">
        <f>"1552374663574679"</f>
        <v>1552374663574679</v>
      </c>
      <c r="C3859" t="s">
        <v>40</v>
      </c>
      <c r="D3859">
        <v>5.4103139999999996</v>
      </c>
      <c r="E3859">
        <v>0.64508969999999999</v>
      </c>
      <c r="F3859" t="s">
        <v>79</v>
      </c>
      <c r="G3859">
        <v>-204.10679999999999</v>
      </c>
      <c r="H3859" s="1">
        <v>-9.4201680000000008E-6</v>
      </c>
      <c r="I3859">
        <v>145.2818</v>
      </c>
      <c r="J3859">
        <v>-197.01089999999999</v>
      </c>
      <c r="K3859">
        <v>1.1057629999999901</v>
      </c>
      <c r="L3859">
        <v>150.8717</v>
      </c>
      <c r="M3859">
        <v>-0.346188</v>
      </c>
      <c r="N3859">
        <v>0</v>
      </c>
      <c r="O3859">
        <v>-0.9380657</v>
      </c>
      <c r="P3859">
        <v>-0.50845379999999996</v>
      </c>
      <c r="Q3859">
        <v>1.9290399999999999E-2</v>
      </c>
      <c r="R3859">
        <v>-0.86087329999999995</v>
      </c>
      <c r="S3859">
        <v>-2.516632</v>
      </c>
      <c r="T3859">
        <v>-0.3894842</v>
      </c>
      <c r="U3859">
        <v>-2.012848</v>
      </c>
      <c r="V3859">
        <v>0.17929870000000001</v>
      </c>
      <c r="W3859">
        <v>3.0791490000000001E-2</v>
      </c>
      <c r="X3859">
        <v>0.98331270000000004</v>
      </c>
      <c r="Y3859">
        <v>0.51012930000000001</v>
      </c>
      <c r="Z3859">
        <v>0.1240779</v>
      </c>
      <c r="AA3859">
        <v>0.85110090000000005</v>
      </c>
      <c r="AB3859">
        <v>26</v>
      </c>
      <c r="AC3859">
        <v>-7.0959000000000003</v>
      </c>
      <c r="AD3859">
        <v>-1.1057724201679999</v>
      </c>
      <c r="AE3859">
        <v>-5.5899000000000001</v>
      </c>
      <c r="AF3859">
        <v>4.6519959504378701</v>
      </c>
      <c r="AG3859">
        <v>-1.1057724201679999</v>
      </c>
      <c r="AH3859">
        <v>7.5872350707517402</v>
      </c>
      <c r="AI3859">
        <v>97.082492178473004</v>
      </c>
      <c r="AJ3859">
        <v>58.486099688025398</v>
      </c>
      <c r="AK3859">
        <v>8.96827380196099</v>
      </c>
      <c r="AL3859">
        <v>88.235498682856701</v>
      </c>
      <c r="AM3859">
        <v>79.666132484579606</v>
      </c>
      <c r="AN3859">
        <v>1.0000000028297</v>
      </c>
    </row>
    <row r="3860" spans="1:40" x14ac:dyDescent="0.25">
      <c r="A3860" t="str">
        <f>"20190312151103599"</f>
        <v>20190312151103599</v>
      </c>
      <c r="B3860" t="str">
        <f>"1552374663595176"</f>
        <v>1552374663595176</v>
      </c>
      <c r="C3860" t="s">
        <v>40</v>
      </c>
      <c r="D3860">
        <v>5.4891819999999996</v>
      </c>
      <c r="E3860">
        <v>0.64871820000000002</v>
      </c>
      <c r="F3860" t="s">
        <v>79</v>
      </c>
      <c r="G3860">
        <v>-204.1704</v>
      </c>
      <c r="H3860" s="1">
        <v>-9.3875049999999998E-6</v>
      </c>
      <c r="I3860">
        <v>145.24870000000001</v>
      </c>
      <c r="J3860">
        <v>-197.06549999999999</v>
      </c>
      <c r="K3860">
        <v>1.1057030000000001</v>
      </c>
      <c r="L3860">
        <v>150.73400000000001</v>
      </c>
      <c r="M3860">
        <v>-0.34952630000000001</v>
      </c>
      <c r="N3860">
        <v>0</v>
      </c>
      <c r="O3860">
        <v>-0.93682710000000002</v>
      </c>
      <c r="P3860">
        <v>-0.51229469999999999</v>
      </c>
      <c r="Q3860">
        <v>1.9205969999999999E-2</v>
      </c>
      <c r="R3860">
        <v>-0.858595199999999</v>
      </c>
      <c r="S3860">
        <v>-2.5389560000000002</v>
      </c>
      <c r="T3860">
        <v>-0.3921365</v>
      </c>
      <c r="U3860">
        <v>-1.994049</v>
      </c>
      <c r="V3860">
        <v>0.18019350000000001</v>
      </c>
      <c r="W3860">
        <v>3.0673760000000001E-2</v>
      </c>
      <c r="X3860">
        <v>0.98315280000000005</v>
      </c>
      <c r="Y3860">
        <v>0.51454529999999998</v>
      </c>
      <c r="Z3860">
        <v>0.1247704</v>
      </c>
      <c r="AA3860">
        <v>0.84833689999999995</v>
      </c>
      <c r="AB3860">
        <v>26</v>
      </c>
      <c r="AC3860">
        <v>-7.1049000000000104</v>
      </c>
      <c r="AD3860">
        <v>-1.1057123875049999</v>
      </c>
      <c r="AE3860">
        <v>-5.4852999999999899</v>
      </c>
      <c r="AF3860">
        <v>4.6684060251419304</v>
      </c>
      <c r="AG3860">
        <v>-1.1057123875049999</v>
      </c>
      <c r="AH3860">
        <v>7.5088919461261003</v>
      </c>
      <c r="AI3860">
        <v>97.1281239916799</v>
      </c>
      <c r="AJ3860">
        <v>58.130079427384302</v>
      </c>
      <c r="AK3860">
        <v>8.9106718578377109</v>
      </c>
      <c r="AL3860">
        <v>88.2422473022785</v>
      </c>
      <c r="AM3860">
        <v>79.614027868281198</v>
      </c>
      <c r="AN3860">
        <v>1.0000000025713101</v>
      </c>
    </row>
    <row r="3861" spans="1:40" x14ac:dyDescent="0.25">
      <c r="A3861" t="str">
        <f>"20190312151103611"</f>
        <v>20190312151103611</v>
      </c>
      <c r="B3861" t="str">
        <f>"1552374663604935"</f>
        <v>1552374663604935</v>
      </c>
      <c r="C3861" t="s">
        <v>40</v>
      </c>
      <c r="D3861">
        <v>5.4353870000000004</v>
      </c>
      <c r="E3861">
        <v>0.64965050000000002</v>
      </c>
      <c r="F3861" t="s">
        <v>79</v>
      </c>
      <c r="G3861">
        <v>-203.73099999999999</v>
      </c>
      <c r="H3861" s="1">
        <v>-9.6559709999999994E-6</v>
      </c>
      <c r="I3861">
        <v>145.63910000000001</v>
      </c>
      <c r="J3861">
        <v>-197.12280000000001</v>
      </c>
      <c r="K3861">
        <v>1.105637</v>
      </c>
      <c r="L3861">
        <v>150.59200000000001</v>
      </c>
      <c r="M3861">
        <v>-0.35305619999999999</v>
      </c>
      <c r="N3861">
        <v>0</v>
      </c>
      <c r="O3861">
        <v>-0.93550239999999996</v>
      </c>
      <c r="P3861">
        <v>-0.51641329999999996</v>
      </c>
      <c r="Q3861">
        <v>1.9304310000000002E-2</v>
      </c>
      <c r="R3861">
        <v>-0.85612219999999895</v>
      </c>
      <c r="S3861">
        <v>-2.5742189999999998</v>
      </c>
      <c r="T3861">
        <v>-0.42702780000000001</v>
      </c>
      <c r="U3861">
        <v>-1.9676670000000001</v>
      </c>
      <c r="V3861">
        <v>0.1812164</v>
      </c>
      <c r="W3861">
        <v>3.0736679999999999E-2</v>
      </c>
      <c r="X3861">
        <v>0.98296280000000003</v>
      </c>
      <c r="Y3861">
        <v>0.52128920000000001</v>
      </c>
      <c r="Z3861">
        <v>0.1353857</v>
      </c>
      <c r="AA3861">
        <v>0.8425724</v>
      </c>
      <c r="AB3861">
        <v>26</v>
      </c>
      <c r="AC3861">
        <v>-6.6081999999999796</v>
      </c>
      <c r="AD3861">
        <v>-1.1056466559710001</v>
      </c>
      <c r="AE3861">
        <v>-4.9528999999999996</v>
      </c>
      <c r="AF3861">
        <v>4.3556744866428199</v>
      </c>
      <c r="AG3861">
        <v>-1.1056466559710001</v>
      </c>
      <c r="AH3861">
        <v>6.8444807006407702</v>
      </c>
      <c r="AI3861">
        <v>97.760623796180397</v>
      </c>
      <c r="AJ3861">
        <v>57.5282365613011</v>
      </c>
      <c r="AK3861">
        <v>8.1878734005170699</v>
      </c>
      <c r="AL3861">
        <v>88.238640540774</v>
      </c>
      <c r="AM3861">
        <v>79.554389532982299</v>
      </c>
      <c r="AN3861">
        <v>0.99999999665511097</v>
      </c>
    </row>
    <row r="3862" spans="1:40" x14ac:dyDescent="0.25">
      <c r="A3862" t="str">
        <f>"20190312151103630"</f>
        <v>20190312151103630</v>
      </c>
      <c r="B3862" t="str">
        <f>"1552374663624454"</f>
        <v>1552374663624454</v>
      </c>
      <c r="C3862" t="s">
        <v>40</v>
      </c>
      <c r="D3862">
        <v>5.4605189999999997</v>
      </c>
      <c r="E3862">
        <v>0.65130189999999999</v>
      </c>
      <c r="F3862" t="s">
        <v>79</v>
      </c>
      <c r="G3862">
        <v>-203.6848</v>
      </c>
      <c r="H3862" s="1">
        <v>-9.6759139999999999E-6</v>
      </c>
      <c r="I3862">
        <v>145.64879999999999</v>
      </c>
      <c r="J3862">
        <v>-197.2022</v>
      </c>
      <c r="K3862">
        <v>1.105548</v>
      </c>
      <c r="L3862">
        <v>150.39750000000001</v>
      </c>
      <c r="M3862">
        <v>-0.3579657</v>
      </c>
      <c r="N3862">
        <v>0</v>
      </c>
      <c r="O3862">
        <v>-0.93363459999999998</v>
      </c>
      <c r="P3862">
        <v>-0.52251800000000004</v>
      </c>
      <c r="Q3862">
        <v>2.0171740000000001E-2</v>
      </c>
      <c r="R3862">
        <v>-0.85238989999999903</v>
      </c>
      <c r="S3862">
        <v>-2.5905</v>
      </c>
      <c r="T3862">
        <v>-0.43647649999999999</v>
      </c>
      <c r="U3862">
        <v>-1.9514309999999999</v>
      </c>
      <c r="V3862">
        <v>0.18310109999999999</v>
      </c>
      <c r="W3862">
        <v>3.1548809999999997E-2</v>
      </c>
      <c r="X3862">
        <v>0.98258780000000001</v>
      </c>
      <c r="Y3862">
        <v>0.52241970000000004</v>
      </c>
      <c r="Z3862">
        <v>0.13817650000000001</v>
      </c>
      <c r="AA3862">
        <v>0.84141840000000001</v>
      </c>
      <c r="AB3862">
        <v>26</v>
      </c>
      <c r="AC3862">
        <v>-6.4825999999999899</v>
      </c>
      <c r="AD3862">
        <v>-1.105557675914</v>
      </c>
      <c r="AE3862">
        <v>-4.7487000000000101</v>
      </c>
      <c r="AF3862">
        <v>4.2720537483456402</v>
      </c>
      <c r="AG3862">
        <v>-1.105557675914</v>
      </c>
      <c r="AH3862">
        <v>6.6292525286829704</v>
      </c>
      <c r="AI3862">
        <v>97.979890553980695</v>
      </c>
      <c r="AJ3862">
        <v>57.201270023299799</v>
      </c>
      <c r="AK3862">
        <v>7.96364803922022</v>
      </c>
      <c r="AL3862">
        <v>88.192086455695204</v>
      </c>
      <c r="AM3862">
        <v>79.444243437930297</v>
      </c>
      <c r="AN3862">
        <v>1.00000006247123</v>
      </c>
    </row>
    <row r="3863" spans="1:40" x14ac:dyDescent="0.25">
      <c r="A3863" t="str">
        <f>"20190312151103652"</f>
        <v>20190312151103652</v>
      </c>
      <c r="B3863" t="str">
        <f>"1552374663644951"</f>
        <v>1552374663644951</v>
      </c>
      <c r="C3863" t="s">
        <v>40</v>
      </c>
      <c r="D3863">
        <v>5.3761760000000001</v>
      </c>
      <c r="E3863">
        <v>0.65146819999999905</v>
      </c>
      <c r="F3863" t="s">
        <v>79</v>
      </c>
      <c r="G3863">
        <v>-203.64609999999999</v>
      </c>
      <c r="H3863" s="1">
        <v>-9.6914899999999996E-6</v>
      </c>
      <c r="I3863">
        <v>145.65260000000001</v>
      </c>
      <c r="J3863">
        <v>-197.3039</v>
      </c>
      <c r="K3863">
        <v>1.1054330000000001</v>
      </c>
      <c r="L3863">
        <v>150.15280000000001</v>
      </c>
      <c r="M3863">
        <v>-0.36427949999999998</v>
      </c>
      <c r="N3863">
        <v>0</v>
      </c>
      <c r="O3863">
        <v>-0.93118889999999999</v>
      </c>
      <c r="P3863">
        <v>-0.52977890000000005</v>
      </c>
      <c r="Q3863">
        <v>2.049952E-2</v>
      </c>
      <c r="R3863">
        <v>-0.84788819999999998</v>
      </c>
      <c r="S3863">
        <v>-2.6162109999999998</v>
      </c>
      <c r="T3863">
        <v>-0.44885340000000001</v>
      </c>
      <c r="U3863">
        <v>-1.9264220000000001</v>
      </c>
      <c r="V3863">
        <v>0.1848553</v>
      </c>
      <c r="W3863">
        <v>3.1816190000000001E-2</v>
      </c>
      <c r="X3863">
        <v>0.98225059999999997</v>
      </c>
      <c r="Y3863">
        <v>0.52541269999999995</v>
      </c>
      <c r="Z3863">
        <v>0.141797799999999</v>
      </c>
      <c r="AA3863">
        <v>0.83894869999999899</v>
      </c>
      <c r="AB3863">
        <v>26</v>
      </c>
      <c r="AC3863">
        <v>-6.3421999999999903</v>
      </c>
      <c r="AD3863">
        <v>-1.10544269149</v>
      </c>
      <c r="AE3863">
        <v>-4.5002000000000004</v>
      </c>
      <c r="AF3863">
        <v>4.1823448530568399</v>
      </c>
      <c r="AG3863">
        <v>-1.10544269149</v>
      </c>
      <c r="AH3863">
        <v>6.3727087279401298</v>
      </c>
      <c r="AI3863">
        <v>98.251649431518601</v>
      </c>
      <c r="AJ3863">
        <v>56.723511102226702</v>
      </c>
      <c r="AK3863">
        <v>7.7023002113150598</v>
      </c>
      <c r="AL3863">
        <v>88.176758896210103</v>
      </c>
      <c r="AM3863">
        <v>79.341844877103796</v>
      </c>
      <c r="AN3863">
        <v>0.999999996542282</v>
      </c>
    </row>
    <row r="3864" spans="1:40" x14ac:dyDescent="0.25">
      <c r="A3864" t="str">
        <f>"20190312151103674"</f>
        <v>20190312151103674</v>
      </c>
      <c r="B3864" t="str">
        <f>"1552374663664471"</f>
        <v>1552374663664471</v>
      </c>
      <c r="C3864" t="s">
        <v>40</v>
      </c>
      <c r="D3864">
        <v>5.4699920000000004</v>
      </c>
      <c r="E3864">
        <v>0.65160200000000001</v>
      </c>
      <c r="F3864" t="s">
        <v>79</v>
      </c>
      <c r="G3864">
        <v>-203.90809999999999</v>
      </c>
      <c r="H3864" s="1">
        <v>-9.5209310000000004E-6</v>
      </c>
      <c r="I3864">
        <v>145.3801</v>
      </c>
      <c r="J3864">
        <v>-197.40379999999999</v>
      </c>
      <c r="K3864">
        <v>1.1053249999999999</v>
      </c>
      <c r="L3864">
        <v>149.91730000000001</v>
      </c>
      <c r="M3864">
        <v>-0.37049959999999998</v>
      </c>
      <c r="N3864">
        <v>0</v>
      </c>
      <c r="O3864">
        <v>-0.92873150000000004</v>
      </c>
      <c r="P3864">
        <v>-0.53675799999999996</v>
      </c>
      <c r="Q3864">
        <v>2.0453470000000001E-2</v>
      </c>
      <c r="R3864">
        <v>-0.84348860000000003</v>
      </c>
      <c r="S3864">
        <v>-2.6336520000000001</v>
      </c>
      <c r="T3864">
        <v>-0.44083519999999998</v>
      </c>
      <c r="U3864">
        <v>-1.9032899999999999</v>
      </c>
      <c r="V3864">
        <v>0.18639910000000001</v>
      </c>
      <c r="W3864">
        <v>3.1714190000000003E-2</v>
      </c>
      <c r="X3864">
        <v>0.98196209999999995</v>
      </c>
      <c r="Y3864">
        <v>0.52752519999999903</v>
      </c>
      <c r="Z3864">
        <v>0.13926450000000001</v>
      </c>
      <c r="AA3864">
        <v>0.83804679999999998</v>
      </c>
      <c r="AB3864">
        <v>26</v>
      </c>
      <c r="AC3864">
        <v>-6.5042999999999997</v>
      </c>
      <c r="AD3864">
        <v>-1.1053345209309999</v>
      </c>
      <c r="AE3864">
        <v>-4.5372000000000101</v>
      </c>
      <c r="AF3864">
        <v>4.2770397495338504</v>
      </c>
      <c r="AG3864">
        <v>-1.1053345209309999</v>
      </c>
      <c r="AH3864">
        <v>6.4980695031097104</v>
      </c>
      <c r="AI3864">
        <v>98.086802662328097</v>
      </c>
      <c r="AJ3864">
        <v>56.647023513384397</v>
      </c>
      <c r="AK3864">
        <v>7.8574640113397196</v>
      </c>
      <c r="AL3864">
        <v>88.182606004695401</v>
      </c>
      <c r="AM3864">
        <v>79.251815136312601</v>
      </c>
      <c r="AN3864">
        <v>0.99999999008228802</v>
      </c>
    </row>
    <row r="3865" spans="1:40" x14ac:dyDescent="0.25">
      <c r="A3865" t="str">
        <f>"20190312151103687"</f>
        <v>20190312151103687</v>
      </c>
      <c r="B3865" t="str">
        <f>"1552374663684968"</f>
        <v>1552374663684968</v>
      </c>
      <c r="C3865" t="s">
        <v>40</v>
      </c>
      <c r="D3865">
        <v>5.3806289999999999</v>
      </c>
      <c r="E3865">
        <v>0.65180740000000004</v>
      </c>
      <c r="F3865" t="s">
        <v>79</v>
      </c>
      <c r="G3865">
        <v>-204.02359999999999</v>
      </c>
      <c r="H3865" s="1">
        <v>-9.4350080000000005E-6</v>
      </c>
      <c r="I3865">
        <v>145.2193</v>
      </c>
      <c r="J3865">
        <v>-197.4692</v>
      </c>
      <c r="K3865">
        <v>1.1052599999999999</v>
      </c>
      <c r="L3865">
        <v>149.76599999999999</v>
      </c>
      <c r="M3865">
        <v>-0.374579</v>
      </c>
      <c r="N3865">
        <v>0</v>
      </c>
      <c r="O3865">
        <v>-0.92709359999999996</v>
      </c>
      <c r="P3865">
        <v>-0.54118750000000004</v>
      </c>
      <c r="Q3865">
        <v>2.0269249999999999E-2</v>
      </c>
      <c r="R3865">
        <v>-0.84065820000000002</v>
      </c>
      <c r="S3865">
        <v>-2.6502530000000002</v>
      </c>
      <c r="T3865">
        <v>-0.4425268</v>
      </c>
      <c r="U3865">
        <v>-1.8808750000000001</v>
      </c>
      <c r="V3865">
        <v>0.18724879999999999</v>
      </c>
      <c r="W3865">
        <v>3.1496379999999997E-2</v>
      </c>
      <c r="X3865">
        <v>0.98180750000000006</v>
      </c>
      <c r="Y3865">
        <v>0.53092689999999998</v>
      </c>
      <c r="Z3865">
        <v>0.139822</v>
      </c>
      <c r="AA3865">
        <v>0.83580290000000002</v>
      </c>
      <c r="AB3865">
        <v>26</v>
      </c>
      <c r="AC3865">
        <v>-6.5543999999999798</v>
      </c>
      <c r="AD3865">
        <v>-1.1052694350079999</v>
      </c>
      <c r="AE3865">
        <v>-4.54669999999998</v>
      </c>
      <c r="AF3865">
        <v>4.2914675117510201</v>
      </c>
      <c r="AG3865">
        <v>-1.1052694350079999</v>
      </c>
      <c r="AH3865">
        <v>6.5453269695077498</v>
      </c>
      <c r="AI3865">
        <v>98.037983420053493</v>
      </c>
      <c r="AJ3865">
        <v>56.749001438960299</v>
      </c>
      <c r="AK3865">
        <v>7.9044050418828498</v>
      </c>
      <c r="AL3865">
        <v>88.195091946236403</v>
      </c>
      <c r="AM3865">
        <v>79.202308507323096</v>
      </c>
      <c r="AN3865">
        <v>1.0000000510553899</v>
      </c>
    </row>
    <row r="3866" spans="1:40" x14ac:dyDescent="0.25">
      <c r="A3866" t="str">
        <f>"20190312151103701"</f>
        <v>20190312151103701</v>
      </c>
      <c r="B3866" t="str">
        <f>"1552374663694727"</f>
        <v>1552374663694727</v>
      </c>
      <c r="C3866" t="s">
        <v>40</v>
      </c>
      <c r="D3866">
        <v>5.4217629999999897</v>
      </c>
      <c r="E3866">
        <v>0.65178249999999904</v>
      </c>
      <c r="F3866" t="s">
        <v>79</v>
      </c>
      <c r="G3866">
        <v>-204.0275</v>
      </c>
      <c r="H3866" s="1">
        <v>-9.4198530000000008E-6</v>
      </c>
      <c r="I3866">
        <v>145.16749999999999</v>
      </c>
      <c r="J3866">
        <v>-197.5361</v>
      </c>
      <c r="K3866">
        <v>1.1051959999999901</v>
      </c>
      <c r="L3866">
        <v>149.61279999999999</v>
      </c>
      <c r="M3866">
        <v>-0.37875720000000002</v>
      </c>
      <c r="N3866">
        <v>0</v>
      </c>
      <c r="O3866">
        <v>-0.92539450000000001</v>
      </c>
      <c r="P3866">
        <v>-0.54559899999999995</v>
      </c>
      <c r="Q3866">
        <v>2.0342200000000001E-2</v>
      </c>
      <c r="R3866">
        <v>-0.83779979999999998</v>
      </c>
      <c r="S3866">
        <v>-2.6614529999999998</v>
      </c>
      <c r="T3866">
        <v>-0.4485325</v>
      </c>
      <c r="U3866">
        <v>-1.8661190000000001</v>
      </c>
      <c r="V3866">
        <v>0.18798790000000001</v>
      </c>
      <c r="W3866">
        <v>3.1537370000000002E-2</v>
      </c>
      <c r="X3866">
        <v>0.98166489999999995</v>
      </c>
      <c r="Y3866">
        <v>0.53165869999999904</v>
      </c>
      <c r="Z3866">
        <v>0.1416219</v>
      </c>
      <c r="AA3866">
        <v>0.83503430000000001</v>
      </c>
      <c r="AB3866">
        <v>26</v>
      </c>
      <c r="AC3866">
        <v>-6.4913999999999898</v>
      </c>
      <c r="AD3866">
        <v>-1.1052054198529999</v>
      </c>
      <c r="AE3866">
        <v>-4.4452999999999996</v>
      </c>
      <c r="AF3866">
        <v>4.2401502257324202</v>
      </c>
      <c r="AG3866">
        <v>-1.1052054198529999</v>
      </c>
      <c r="AH3866">
        <v>6.4457419449047597</v>
      </c>
      <c r="AI3866">
        <v>98.152036603217795</v>
      </c>
      <c r="AJ3866">
        <v>56.662205269905897</v>
      </c>
      <c r="AK3866">
        <v>7.7940966235450198</v>
      </c>
      <c r="AL3866">
        <v>88.192742161815204</v>
      </c>
      <c r="AM3866">
        <v>79.159158844292605</v>
      </c>
      <c r="AN3866">
        <v>1.00000001607246</v>
      </c>
    </row>
    <row r="3867" spans="1:40" x14ac:dyDescent="0.25">
      <c r="A3867" t="str">
        <f>"20190312151103718"</f>
        <v>20190312151103718</v>
      </c>
      <c r="B3867" t="str">
        <f>"1552374663715223"</f>
        <v>1552374663715223</v>
      </c>
      <c r="C3867" t="s">
        <v>40</v>
      </c>
      <c r="D3867">
        <v>5.42767</v>
      </c>
      <c r="E3867">
        <v>0.65201180000000003</v>
      </c>
      <c r="F3867" t="s">
        <v>79</v>
      </c>
      <c r="G3867">
        <v>-204.0976</v>
      </c>
      <c r="H3867" s="1">
        <v>-9.3657430000000001E-6</v>
      </c>
      <c r="I3867">
        <v>145.0625</v>
      </c>
      <c r="J3867">
        <v>-197.6138</v>
      </c>
      <c r="K3867">
        <v>1.1051249999999999</v>
      </c>
      <c r="L3867">
        <v>149.4376</v>
      </c>
      <c r="M3867">
        <v>-0.38360830000000001</v>
      </c>
      <c r="N3867">
        <v>0</v>
      </c>
      <c r="O3867">
        <v>-0.92339360000000004</v>
      </c>
      <c r="P3867">
        <v>-0.55123549999999999</v>
      </c>
      <c r="Q3867">
        <v>2.049583E-2</v>
      </c>
      <c r="R3867">
        <v>-0.83409800000000001</v>
      </c>
      <c r="S3867">
        <v>-2.6709900000000002</v>
      </c>
      <c r="T3867">
        <v>-0.44989659999999898</v>
      </c>
      <c r="U3867">
        <v>-1.8523099999999999</v>
      </c>
      <c r="V3867">
        <v>0.18946470000000001</v>
      </c>
      <c r="W3867">
        <v>3.164604E-2</v>
      </c>
      <c r="X3867">
        <v>0.98137739999999996</v>
      </c>
      <c r="Y3867">
        <v>0.53149740000000001</v>
      </c>
      <c r="Z3867">
        <v>0.1419648</v>
      </c>
      <c r="AA3867">
        <v>0.83507869999999995</v>
      </c>
      <c r="AB3867">
        <v>26</v>
      </c>
      <c r="AC3867">
        <v>-6.4837999999999996</v>
      </c>
      <c r="AD3867">
        <v>-1.1051343657429999</v>
      </c>
      <c r="AE3867">
        <v>-4.3750999999999998</v>
      </c>
      <c r="AF3867">
        <v>4.22484387673477</v>
      </c>
      <c r="AG3867">
        <v>-1.1051343657429999</v>
      </c>
      <c r="AH3867">
        <v>6.4000355392771597</v>
      </c>
      <c r="AI3867">
        <v>98.200368079226195</v>
      </c>
      <c r="AJ3867">
        <v>56.570072966588199</v>
      </c>
      <c r="AK3867">
        <v>7.74797280926696</v>
      </c>
      <c r="AL3867">
        <v>88.1865126416956</v>
      </c>
      <c r="AM3867">
        <v>79.072913103069297</v>
      </c>
      <c r="AN3867">
        <v>0.99999997281226505</v>
      </c>
    </row>
    <row r="3868" spans="1:40" x14ac:dyDescent="0.25">
      <c r="A3868" t="str">
        <f>"20190312151103739"</f>
        <v>20190312151103739</v>
      </c>
      <c r="B3868" t="str">
        <f>"1552374663734743"</f>
        <v>1552374663734743</v>
      </c>
      <c r="C3868" t="s">
        <v>40</v>
      </c>
      <c r="D3868">
        <v>5.4011550000000002</v>
      </c>
      <c r="E3868">
        <v>0.65200740000000001</v>
      </c>
      <c r="F3868" t="s">
        <v>79</v>
      </c>
      <c r="G3868">
        <v>-204.1703</v>
      </c>
      <c r="H3868" s="1">
        <v>-9.3112770000000005E-6</v>
      </c>
      <c r="I3868">
        <v>144.9598</v>
      </c>
      <c r="J3868">
        <v>-197.71889999999999</v>
      </c>
      <c r="K3868">
        <v>1.1050310000000001</v>
      </c>
      <c r="L3868">
        <v>149.20490000000001</v>
      </c>
      <c r="M3868">
        <v>-0.39017479999999999</v>
      </c>
      <c r="N3868">
        <v>0</v>
      </c>
      <c r="O3868">
        <v>-0.92063799999999996</v>
      </c>
      <c r="P3868">
        <v>-0.55821200000000004</v>
      </c>
      <c r="Q3868">
        <v>2.0716289999999998E-2</v>
      </c>
      <c r="R3868">
        <v>-0.829439699999999</v>
      </c>
      <c r="S3868">
        <v>-2.684723</v>
      </c>
      <c r="T3868">
        <v>-0.4525245</v>
      </c>
      <c r="U3868">
        <v>-1.833542</v>
      </c>
      <c r="V3868">
        <v>0.1907191</v>
      </c>
      <c r="W3868">
        <v>3.1819519999999997E-2</v>
      </c>
      <c r="X3868">
        <v>0.98112880000000002</v>
      </c>
      <c r="Y3868">
        <v>0.53137270000000003</v>
      </c>
      <c r="Z3868">
        <v>0.1426336</v>
      </c>
      <c r="AA3868">
        <v>0.83504409999999896</v>
      </c>
      <c r="AB3868">
        <v>26</v>
      </c>
      <c r="AC3868">
        <v>-6.4513999999999996</v>
      </c>
      <c r="AD3868">
        <v>-1.105040311277</v>
      </c>
      <c r="AE3868">
        <v>-4.2450999999999999</v>
      </c>
      <c r="AF3868">
        <v>4.19753694639064</v>
      </c>
      <c r="AG3868">
        <v>-1.105040311277</v>
      </c>
      <c r="AH3868">
        <v>6.2970548028446798</v>
      </c>
      <c r="AI3868">
        <v>98.307499951247905</v>
      </c>
      <c r="AJ3868">
        <v>56.313079591438502</v>
      </c>
      <c r="AK3868">
        <v>7.6480932065378804</v>
      </c>
      <c r="AL3868">
        <v>88.176567991901095</v>
      </c>
      <c r="AM3868">
        <v>78.9996071932391</v>
      </c>
      <c r="AN3868">
        <v>0.99999998957364</v>
      </c>
    </row>
    <row r="3869" spans="1:40" x14ac:dyDescent="0.25">
      <c r="A3869" t="str">
        <f>"20190312151103751"</f>
        <v>20190312151103751</v>
      </c>
      <c r="B3869" t="str">
        <f>"1552374663744503"</f>
        <v>1552374663744503</v>
      </c>
      <c r="C3869" t="s">
        <v>40</v>
      </c>
      <c r="D3869">
        <v>5.3760279999999998</v>
      </c>
      <c r="E3869">
        <v>0.65199269999999998</v>
      </c>
      <c r="F3869" t="s">
        <v>79</v>
      </c>
      <c r="G3869">
        <v>-204.3817</v>
      </c>
      <c r="H3869" s="1">
        <v>-9.1726659999999998E-6</v>
      </c>
      <c r="I3869">
        <v>144.7362</v>
      </c>
      <c r="J3869">
        <v>-197.77690000000001</v>
      </c>
      <c r="K3869">
        <v>1.104986</v>
      </c>
      <c r="L3869">
        <v>149.0788</v>
      </c>
      <c r="M3869">
        <v>-0.3937891</v>
      </c>
      <c r="N3869">
        <v>0</v>
      </c>
      <c r="O3869">
        <v>-0.91909770000000002</v>
      </c>
      <c r="P3869">
        <v>-0.56192699999999995</v>
      </c>
      <c r="Q3869">
        <v>2.0847290000000001E-2</v>
      </c>
      <c r="R3869">
        <v>-0.8269242</v>
      </c>
      <c r="S3869">
        <v>-2.7000579999999998</v>
      </c>
      <c r="T3869">
        <v>-0.44781409999999999</v>
      </c>
      <c r="U3869">
        <v>-1.810959</v>
      </c>
      <c r="V3869">
        <v>0.19127169999999999</v>
      </c>
      <c r="W3869">
        <v>3.1928659999999998E-2</v>
      </c>
      <c r="X3869">
        <v>0.98101769999999999</v>
      </c>
      <c r="Y3869">
        <v>0.53524059999999996</v>
      </c>
      <c r="Z3869">
        <v>0.14124</v>
      </c>
      <c r="AA3869">
        <v>0.83280779999999999</v>
      </c>
      <c r="AB3869">
        <v>26</v>
      </c>
      <c r="AC3869">
        <v>-6.6047999999999796</v>
      </c>
      <c r="AD3869">
        <v>-1.1049951726659999</v>
      </c>
      <c r="AE3869">
        <v>-4.3426</v>
      </c>
      <c r="AF3869">
        <v>4.27721594970805</v>
      </c>
      <c r="AG3869">
        <v>-1.1049951726659999</v>
      </c>
      <c r="AH3869">
        <v>6.4664298784431704</v>
      </c>
      <c r="AI3869">
        <v>98.111424547428996</v>
      </c>
      <c r="AJ3869">
        <v>56.517382126247298</v>
      </c>
      <c r="AK3869">
        <v>7.8313668018344504</v>
      </c>
      <c r="AL3869">
        <v>88.170311598289203</v>
      </c>
      <c r="AM3869">
        <v>78.967296176403906</v>
      </c>
      <c r="AN3869">
        <v>1.0000000151317801</v>
      </c>
    </row>
    <row r="3870" spans="1:40" x14ac:dyDescent="0.25">
      <c r="A3870" t="str">
        <f>"20190312151103764"</f>
        <v>20190312151103764</v>
      </c>
      <c r="B3870" t="str">
        <f>"1552374663755239"</f>
        <v>1552374663755239</v>
      </c>
      <c r="C3870" t="s">
        <v>40</v>
      </c>
      <c r="D3870">
        <v>5.4514209999999999</v>
      </c>
      <c r="E3870">
        <v>0.65196200000000004</v>
      </c>
      <c r="F3870" t="s">
        <v>79</v>
      </c>
      <c r="G3870">
        <v>-204.4837</v>
      </c>
      <c r="H3870" s="1">
        <v>-9.1043709999999994E-6</v>
      </c>
      <c r="I3870">
        <v>144.62299999999999</v>
      </c>
      <c r="J3870">
        <v>-197.83600000000001</v>
      </c>
      <c r="K3870">
        <v>1.104946</v>
      </c>
      <c r="L3870">
        <v>148.95140000000001</v>
      </c>
      <c r="M3870">
        <v>-0.39746629999999999</v>
      </c>
      <c r="N3870">
        <v>0</v>
      </c>
      <c r="O3870">
        <v>-0.91751360000000004</v>
      </c>
      <c r="P3870">
        <v>-0.56564680000000001</v>
      </c>
      <c r="Q3870">
        <v>2.1164889999999999E-2</v>
      </c>
      <c r="R3870">
        <v>-0.82437669999999996</v>
      </c>
      <c r="S3870">
        <v>-2.7078700000000002</v>
      </c>
      <c r="T3870">
        <v>-0.44613789999999998</v>
      </c>
      <c r="U3870">
        <v>-1.79902599999999</v>
      </c>
      <c r="V3870">
        <v>0.1917739</v>
      </c>
      <c r="W3870">
        <v>3.2225579999999997E-2</v>
      </c>
      <c r="X3870">
        <v>0.9809099</v>
      </c>
      <c r="Y3870">
        <v>0.53559429999999997</v>
      </c>
      <c r="Z3870">
        <v>0.14066999999999999</v>
      </c>
      <c r="AA3870">
        <v>0.83267679999999999</v>
      </c>
      <c r="AB3870">
        <v>26</v>
      </c>
      <c r="AC3870">
        <v>-6.6477000000000102</v>
      </c>
      <c r="AD3870">
        <v>-1.104955104371</v>
      </c>
      <c r="AE3870">
        <v>-4.32840000000001</v>
      </c>
      <c r="AF3870">
        <v>4.29602401861899</v>
      </c>
      <c r="AG3870">
        <v>-1.104955104371</v>
      </c>
      <c r="AH3870">
        <v>6.4883402512905199</v>
      </c>
      <c r="AI3870">
        <v>98.081665168751599</v>
      </c>
      <c r="AJ3870">
        <v>56.4908805689753</v>
      </c>
      <c r="AK3870">
        <v>7.85972692704674</v>
      </c>
      <c r="AL3870">
        <v>88.153290501170005</v>
      </c>
      <c r="AM3870">
        <v>78.937856751005597</v>
      </c>
      <c r="AN3870">
        <v>0.99999997432277798</v>
      </c>
    </row>
    <row r="3871" spans="1:40" x14ac:dyDescent="0.25">
      <c r="A3871" t="str">
        <f>"20190312151103775"</f>
        <v>20190312151103775</v>
      </c>
      <c r="B3871" t="str">
        <f>"1552374663764999"</f>
        <v>1552374663764999</v>
      </c>
      <c r="C3871" t="s">
        <v>40</v>
      </c>
      <c r="D3871">
        <v>5.3965889999999996</v>
      </c>
      <c r="E3871">
        <v>0.65190209999999904</v>
      </c>
      <c r="F3871" t="s">
        <v>79</v>
      </c>
      <c r="G3871">
        <v>-204.57579999999999</v>
      </c>
      <c r="H3871" s="1">
        <v>-9.0416740000000007E-6</v>
      </c>
      <c r="I3871">
        <v>144.51679999999999</v>
      </c>
      <c r="J3871">
        <v>-197.89760000000001</v>
      </c>
      <c r="K3871">
        <v>1.104903</v>
      </c>
      <c r="L3871">
        <v>148.81979999999999</v>
      </c>
      <c r="M3871">
        <v>-0.40129330000000002</v>
      </c>
      <c r="N3871">
        <v>0</v>
      </c>
      <c r="O3871">
        <v>-0.91584589999999999</v>
      </c>
      <c r="P3871">
        <v>-0.56964700000000001</v>
      </c>
      <c r="Q3871">
        <v>2.1288439999999999E-2</v>
      </c>
      <c r="R3871">
        <v>-0.82161399999999996</v>
      </c>
      <c r="S3871">
        <v>-2.7159119999999999</v>
      </c>
      <c r="T3871">
        <v>-0.44526090000000002</v>
      </c>
      <c r="U3871">
        <v>-1.7870330000000001</v>
      </c>
      <c r="V3871">
        <v>0.19245309999999999</v>
      </c>
      <c r="W3871">
        <v>3.2325659999999999E-2</v>
      </c>
      <c r="X3871">
        <v>0.98077360000000002</v>
      </c>
      <c r="Y3871">
        <v>0.53582109999999905</v>
      </c>
      <c r="Z3871">
        <v>0.1403295</v>
      </c>
      <c r="AA3871">
        <v>0.83258840000000001</v>
      </c>
      <c r="AB3871">
        <v>26</v>
      </c>
      <c r="AC3871">
        <v>-6.6781999999999702</v>
      </c>
      <c r="AD3871">
        <v>-1.1049120416739999</v>
      </c>
      <c r="AE3871">
        <v>-4.3029999999999902</v>
      </c>
      <c r="AF3871">
        <v>4.3065514844931698</v>
      </c>
      <c r="AG3871">
        <v>-1.1049120416739999</v>
      </c>
      <c r="AH3871">
        <v>6.49578153100523</v>
      </c>
      <c r="AI3871">
        <v>98.069057210386603</v>
      </c>
      <c r="AJ3871">
        <v>56.456551163176499</v>
      </c>
      <c r="AK3871">
        <v>7.87161952885016</v>
      </c>
      <c r="AL3871">
        <v>88.147553396535102</v>
      </c>
      <c r="AM3871">
        <v>78.898145340156603</v>
      </c>
      <c r="AN3871">
        <v>0.99999999922550198</v>
      </c>
    </row>
    <row r="3872" spans="1:40" x14ac:dyDescent="0.25">
      <c r="A3872" t="str">
        <f>"20190312151103787"</f>
        <v>20190312151103787</v>
      </c>
      <c r="B3872" t="str">
        <f>"1552374663784519"</f>
        <v>1552374663784519</v>
      </c>
      <c r="C3872" t="s">
        <v>40</v>
      </c>
      <c r="D3872">
        <v>5.3960530000000002</v>
      </c>
      <c r="E3872">
        <v>0.65173400000000004</v>
      </c>
      <c r="F3872" t="s">
        <v>79</v>
      </c>
      <c r="G3872">
        <v>-204.66890000000001</v>
      </c>
      <c r="H3872" s="1">
        <v>-8.9783500000000002E-6</v>
      </c>
      <c r="I3872">
        <v>144.40960000000001</v>
      </c>
      <c r="J3872">
        <v>-197.95670000000001</v>
      </c>
      <c r="K3872">
        <v>1.104862</v>
      </c>
      <c r="L3872">
        <v>148.69579999999999</v>
      </c>
      <c r="M3872">
        <v>-0.40495379999999997</v>
      </c>
      <c r="N3872">
        <v>0</v>
      </c>
      <c r="O3872">
        <v>-0.91423330000000003</v>
      </c>
      <c r="P3872">
        <v>-0.57332989999999995</v>
      </c>
      <c r="Q3872">
        <v>2.14851E-2</v>
      </c>
      <c r="R3872">
        <v>-0.81904339999999998</v>
      </c>
      <c r="S3872">
        <v>-2.7240600000000001</v>
      </c>
      <c r="T3872">
        <v>-0.44450440000000002</v>
      </c>
      <c r="U3872">
        <v>-1.774216</v>
      </c>
      <c r="V3872">
        <v>0.1929409</v>
      </c>
      <c r="W3872">
        <v>3.250248E-2</v>
      </c>
      <c r="X3872">
        <v>0.98067190000000004</v>
      </c>
      <c r="Y3872">
        <v>0.53637900000000005</v>
      </c>
      <c r="Z3872">
        <v>0.14005190000000001</v>
      </c>
      <c r="AA3872">
        <v>0.83227580000000001</v>
      </c>
      <c r="AB3872">
        <v>26</v>
      </c>
      <c r="AC3872">
        <v>-6.7121999999999904</v>
      </c>
      <c r="AD3872">
        <v>-1.1048709783499999</v>
      </c>
      <c r="AE3872">
        <v>-4.2861999999999796</v>
      </c>
      <c r="AF3872">
        <v>4.3181112491431097</v>
      </c>
      <c r="AG3872">
        <v>-1.1048709783499999</v>
      </c>
      <c r="AH3872">
        <v>6.5120115905162601</v>
      </c>
      <c r="AI3872">
        <v>98.048465932650402</v>
      </c>
      <c r="AJ3872">
        <v>56.451664186871902</v>
      </c>
      <c r="AK3872">
        <v>7.8913319277416303</v>
      </c>
      <c r="AL3872">
        <v>88.137417010910198</v>
      </c>
      <c r="AM3872">
        <v>78.869582382720495</v>
      </c>
      <c r="AN3872">
        <v>0.99999998877428498</v>
      </c>
    </row>
    <row r="3873" spans="1:40" x14ac:dyDescent="0.25">
      <c r="A3873" t="str">
        <f>"20190312151103800"</f>
        <v>20190312151103800</v>
      </c>
      <c r="B3873" t="str">
        <f>"1552374663795255"</f>
        <v>1552374663795255</v>
      </c>
      <c r="C3873" t="s">
        <v>40</v>
      </c>
      <c r="D3873">
        <v>5.3944640000000001</v>
      </c>
      <c r="E3873">
        <v>0.65159</v>
      </c>
      <c r="F3873" t="s">
        <v>79</v>
      </c>
      <c r="G3873">
        <v>-204.76900000000001</v>
      </c>
      <c r="H3873" s="1">
        <v>-8.9112379999999993E-6</v>
      </c>
      <c r="I3873">
        <v>144.29810000000001</v>
      </c>
      <c r="J3873">
        <v>-198.02099999999999</v>
      </c>
      <c r="K3873">
        <v>1.104811</v>
      </c>
      <c r="L3873">
        <v>148.5615</v>
      </c>
      <c r="M3873">
        <v>-0.4089371</v>
      </c>
      <c r="N3873">
        <v>0</v>
      </c>
      <c r="O3873">
        <v>-0.91245830000000006</v>
      </c>
      <c r="P3873">
        <v>-0.57745349999999995</v>
      </c>
      <c r="Q3873">
        <v>2.1503439999999999E-2</v>
      </c>
      <c r="R3873">
        <v>-0.81614049999999905</v>
      </c>
      <c r="S3873">
        <v>-2.730804</v>
      </c>
      <c r="T3873">
        <v>-0.44290410000000002</v>
      </c>
      <c r="U3873">
        <v>-1.7628630000000001</v>
      </c>
      <c r="V3873">
        <v>0.19361439999999999</v>
      </c>
      <c r="W3873">
        <v>3.2496749999999998E-2</v>
      </c>
      <c r="X3873">
        <v>0.9805393</v>
      </c>
      <c r="Y3873">
        <v>0.53615840000000003</v>
      </c>
      <c r="Z3873">
        <v>0.13948929999999901</v>
      </c>
      <c r="AA3873">
        <v>0.83251239999999904</v>
      </c>
      <c r="AB3873">
        <v>26</v>
      </c>
      <c r="AC3873">
        <v>-6.74800000000001</v>
      </c>
      <c r="AD3873">
        <v>-1.1048199112379999</v>
      </c>
      <c r="AE3873">
        <v>-4.2633999999999901</v>
      </c>
      <c r="AF3873">
        <v>4.3312460917352604</v>
      </c>
      <c r="AG3873">
        <v>-1.1048199112379999</v>
      </c>
      <c r="AH3873">
        <v>6.5253002012689603</v>
      </c>
      <c r="AI3873">
        <v>98.029504102016205</v>
      </c>
      <c r="AJ3873">
        <v>56.4253057366344</v>
      </c>
      <c r="AK3873">
        <v>7.90947927869595</v>
      </c>
      <c r="AL3873">
        <v>88.137745410955304</v>
      </c>
      <c r="AM3873">
        <v>78.830232100114202</v>
      </c>
      <c r="AN3873">
        <v>0.99999994674620396</v>
      </c>
    </row>
    <row r="3874" spans="1:40" x14ac:dyDescent="0.25">
      <c r="A3874" t="str">
        <f>"20190312151103811"</f>
        <v>20190312151103811</v>
      </c>
      <c r="B3874" t="str">
        <f>"1552374663805016"</f>
        <v>1552374663805016</v>
      </c>
      <c r="C3874" t="s">
        <v>40</v>
      </c>
      <c r="D3874">
        <v>5.3652839999999999</v>
      </c>
      <c r="E3874">
        <v>0.65146519999999997</v>
      </c>
      <c r="F3874" t="s">
        <v>79</v>
      </c>
      <c r="G3874">
        <v>-204.8509</v>
      </c>
      <c r="H3874" s="1">
        <v>-8.8537979999999994E-6</v>
      </c>
      <c r="I3874">
        <v>144.19730000000001</v>
      </c>
      <c r="J3874">
        <v>-198.08199999999999</v>
      </c>
      <c r="K3874">
        <v>1.1047670000000001</v>
      </c>
      <c r="L3874">
        <v>148.43610000000001</v>
      </c>
      <c r="M3874">
        <v>-0.41271020000000003</v>
      </c>
      <c r="N3874">
        <v>0</v>
      </c>
      <c r="O3874">
        <v>-0.91075790000000001</v>
      </c>
      <c r="P3874">
        <v>-0.58113040000000005</v>
      </c>
      <c r="Q3874">
        <v>2.1610270000000001E-2</v>
      </c>
      <c r="R3874">
        <v>-0.81352389999999997</v>
      </c>
      <c r="S3874">
        <v>-2.7385410000000001</v>
      </c>
      <c r="T3874">
        <v>-0.44299480000000002</v>
      </c>
      <c r="U3874">
        <v>-1.7498779999999901</v>
      </c>
      <c r="V3874">
        <v>0.19398699999999999</v>
      </c>
      <c r="W3874">
        <v>3.2584450000000001E-2</v>
      </c>
      <c r="X3874">
        <v>0.98046279999999997</v>
      </c>
      <c r="Y3874">
        <v>0.53654740000000001</v>
      </c>
      <c r="Z3874">
        <v>0.13947470000000001</v>
      </c>
      <c r="AA3874">
        <v>0.83226420000000001</v>
      </c>
      <c r="AB3874">
        <v>26</v>
      </c>
      <c r="AC3874">
        <v>-6.7689000000000004</v>
      </c>
      <c r="AD3874">
        <v>-1.1047758537979999</v>
      </c>
      <c r="AE3874">
        <v>-4.2387999999999897</v>
      </c>
      <c r="AF3874">
        <v>4.3329428750909598</v>
      </c>
      <c r="AG3874">
        <v>-1.1047758537979999</v>
      </c>
      <c r="AH3874">
        <v>6.5298007466994399</v>
      </c>
      <c r="AI3874">
        <v>98.024447332434306</v>
      </c>
      <c r="AJ3874">
        <v>56.433166874755003</v>
      </c>
      <c r="AK3874">
        <v>7.9141153287991299</v>
      </c>
      <c r="AL3874">
        <v>88.132718012226803</v>
      </c>
      <c r="AM3874">
        <v>78.808427420641905</v>
      </c>
      <c r="AN3874">
        <v>1.0000000023673199</v>
      </c>
    </row>
    <row r="3875" spans="1:40" x14ac:dyDescent="0.25">
      <c r="A3875" t="str">
        <f>"20190312151103830"</f>
        <v>20190312151103830</v>
      </c>
      <c r="B3875" t="str">
        <f>"1552374663824535"</f>
        <v>1552374663824535</v>
      </c>
      <c r="C3875" t="s">
        <v>40</v>
      </c>
      <c r="D3875">
        <v>5.3692339999999996</v>
      </c>
      <c r="E3875">
        <v>0.65130100000000002</v>
      </c>
      <c r="F3875" t="s">
        <v>79</v>
      </c>
      <c r="G3875">
        <v>-204.93709999999999</v>
      </c>
      <c r="H3875" s="1">
        <v>-8.7947590000000004E-6</v>
      </c>
      <c r="I3875">
        <v>144.0966</v>
      </c>
      <c r="J3875">
        <v>-198.17330000000001</v>
      </c>
      <c r="K3875">
        <v>1.1047070000000001</v>
      </c>
      <c r="L3875">
        <v>148.2509</v>
      </c>
      <c r="M3875">
        <v>-0.41833949999999998</v>
      </c>
      <c r="N3875">
        <v>0</v>
      </c>
      <c r="O3875">
        <v>-0.90818560000000004</v>
      </c>
      <c r="P3875">
        <v>-0.5872385</v>
      </c>
      <c r="Q3875">
        <v>2.2176580000000001E-2</v>
      </c>
      <c r="R3875">
        <v>-0.80911009999999906</v>
      </c>
      <c r="S3875">
        <v>-2.7456670000000001</v>
      </c>
      <c r="T3875">
        <v>-0.44249670000000002</v>
      </c>
      <c r="U3875">
        <v>-1.7380979999999999</v>
      </c>
      <c r="V3875">
        <v>0.1953194</v>
      </c>
      <c r="W3875">
        <v>3.3110590000000002E-2</v>
      </c>
      <c r="X3875">
        <v>0.98018059999999996</v>
      </c>
      <c r="Y3875">
        <v>0.53490269999999995</v>
      </c>
      <c r="Z3875">
        <v>0.13915130000000001</v>
      </c>
      <c r="AA3875">
        <v>0.83337629999999996</v>
      </c>
      <c r="AB3875">
        <v>26</v>
      </c>
      <c r="AC3875">
        <v>-6.7637999999999696</v>
      </c>
      <c r="AD3875">
        <v>-1.1047157947589901</v>
      </c>
      <c r="AE3875">
        <v>-4.1543000000000001</v>
      </c>
      <c r="AF3875">
        <v>4.3215929971535498</v>
      </c>
      <c r="AG3875">
        <v>-1.1047157947589901</v>
      </c>
      <c r="AH3875">
        <v>6.4776048873947198</v>
      </c>
      <c r="AI3875">
        <v>98.074600754129307</v>
      </c>
      <c r="AJ3875">
        <v>56.290404204521103</v>
      </c>
      <c r="AK3875">
        <v>7.8648539781382203</v>
      </c>
      <c r="AL3875">
        <v>88.102556118331805</v>
      </c>
      <c r="AM3875">
        <v>78.730357196544503</v>
      </c>
      <c r="AN3875">
        <v>0.99999999390143302</v>
      </c>
    </row>
    <row r="3876" spans="1:40" x14ac:dyDescent="0.25">
      <c r="A3876" t="str">
        <f>"20190312151103852"</f>
        <v>20190312151103852</v>
      </c>
      <c r="B3876" t="str">
        <f>"1552374663845030"</f>
        <v>1552374663845030</v>
      </c>
      <c r="C3876" t="s">
        <v>40</v>
      </c>
      <c r="D3876">
        <v>5.3978960000000002</v>
      </c>
      <c r="E3876">
        <v>0.65107479999999995</v>
      </c>
      <c r="F3876" t="s">
        <v>79</v>
      </c>
      <c r="G3876">
        <v>-205.0872</v>
      </c>
      <c r="H3876" s="1">
        <v>-8.6887080000000006E-6</v>
      </c>
      <c r="I3876">
        <v>143.9417</v>
      </c>
      <c r="J3876">
        <v>-198.29499999999999</v>
      </c>
      <c r="K3876">
        <v>1.104625</v>
      </c>
      <c r="L3876">
        <v>148.00829999999999</v>
      </c>
      <c r="M3876">
        <v>-0.42581269999999999</v>
      </c>
      <c r="N3876">
        <v>0</v>
      </c>
      <c r="O3876">
        <v>-0.9047058</v>
      </c>
      <c r="P3876">
        <v>-0.59485769999999905</v>
      </c>
      <c r="Q3876">
        <v>2.2850220000000001E-2</v>
      </c>
      <c r="R3876">
        <v>-0.80350659999999996</v>
      </c>
      <c r="S3876">
        <v>-2.7573850000000002</v>
      </c>
      <c r="T3876">
        <v>-0.44058190000000003</v>
      </c>
      <c r="U3876">
        <v>-1.71856699999999</v>
      </c>
      <c r="V3876">
        <v>0.1965247</v>
      </c>
      <c r="W3876">
        <v>3.3739190000000002E-2</v>
      </c>
      <c r="X3876">
        <v>0.97991819999999996</v>
      </c>
      <c r="Y3876">
        <v>0.53389529999999996</v>
      </c>
      <c r="Z3876">
        <v>0.13836979999999999</v>
      </c>
      <c r="AA3876">
        <v>0.834152</v>
      </c>
      <c r="AB3876">
        <v>26</v>
      </c>
      <c r="AC3876">
        <v>-6.7922000000000002</v>
      </c>
      <c r="AD3876">
        <v>-1.1046336887079999</v>
      </c>
      <c r="AE3876">
        <v>-4.0665999999999896</v>
      </c>
      <c r="AF3876">
        <v>4.3294591998424803</v>
      </c>
      <c r="AG3876">
        <v>-1.1046336887079999</v>
      </c>
      <c r="AH3876">
        <v>6.4463970716399697</v>
      </c>
      <c r="AI3876">
        <v>98.096127022100902</v>
      </c>
      <c r="AJ3876">
        <v>56.1143297196313</v>
      </c>
      <c r="AK3876">
        <v>7.8434984384888899</v>
      </c>
      <c r="AL3876">
        <v>88.066519836759994</v>
      </c>
      <c r="AM3876">
        <v>78.659651760938104</v>
      </c>
      <c r="AN3876">
        <v>0.99999998467159201</v>
      </c>
    </row>
    <row r="3877" spans="1:40" x14ac:dyDescent="0.25">
      <c r="A3877" t="str">
        <f>"20190312151103873"</f>
        <v>20190312151103873</v>
      </c>
      <c r="B3877" t="str">
        <f>"1552374663864555"</f>
        <v>1552374663864555</v>
      </c>
      <c r="C3877" t="s">
        <v>40</v>
      </c>
      <c r="D3877">
        <v>5.3694870000000003</v>
      </c>
      <c r="E3877">
        <v>0.65083380000000002</v>
      </c>
      <c r="F3877" t="s">
        <v>79</v>
      </c>
      <c r="G3877">
        <v>-205.27269999999999</v>
      </c>
      <c r="H3877" s="1">
        <v>-8.5542629999999992E-6</v>
      </c>
      <c r="I3877">
        <v>143.7441</v>
      </c>
      <c r="J3877">
        <v>-198.40629999999999</v>
      </c>
      <c r="K3877">
        <v>1.104555</v>
      </c>
      <c r="L3877">
        <v>147.7911</v>
      </c>
      <c r="M3877">
        <v>-0.43261070000000001</v>
      </c>
      <c r="N3877">
        <v>0</v>
      </c>
      <c r="O3877">
        <v>-0.90147440000000001</v>
      </c>
      <c r="P3877">
        <v>-0.60195810000000005</v>
      </c>
      <c r="Q3877">
        <v>2.3569079999999999E-2</v>
      </c>
      <c r="R3877">
        <v>-0.79818</v>
      </c>
      <c r="S3877">
        <v>-2.7719269999999998</v>
      </c>
      <c r="T3877">
        <v>-0.4388222</v>
      </c>
      <c r="U3877">
        <v>-1.6939850000000001</v>
      </c>
      <c r="V3877">
        <v>0.1978616</v>
      </c>
      <c r="W3877">
        <v>3.441495E-2</v>
      </c>
      <c r="X3877">
        <v>0.97962559999999999</v>
      </c>
      <c r="Y3877">
        <v>0.53496319999999997</v>
      </c>
      <c r="Z3877">
        <v>0.13772400000000001</v>
      </c>
      <c r="AA3877">
        <v>0.8335745</v>
      </c>
      <c r="AB3877">
        <v>26</v>
      </c>
      <c r="AC3877">
        <v>-6.8663999999999898</v>
      </c>
      <c r="AD3877">
        <v>-1.1045635542629999</v>
      </c>
      <c r="AE3877">
        <v>-4.0469999999999899</v>
      </c>
      <c r="AF3877">
        <v>4.35587622750149</v>
      </c>
      <c r="AG3877">
        <v>-1.1045635542629999</v>
      </c>
      <c r="AH3877">
        <v>6.4946453144672196</v>
      </c>
      <c r="AI3877">
        <v>98.039650351314094</v>
      </c>
      <c r="AJ3877">
        <v>56.150744011153002</v>
      </c>
      <c r="AK3877">
        <v>7.8977298077010598</v>
      </c>
      <c r="AL3877">
        <v>88.027779088241502</v>
      </c>
      <c r="AM3877">
        <v>78.581205453734896</v>
      </c>
      <c r="AN3877">
        <v>0.99999995885671</v>
      </c>
    </row>
    <row r="3878" spans="1:40" x14ac:dyDescent="0.25">
      <c r="A3878" t="str">
        <f>"20190312151103886"</f>
        <v>20190312151103886</v>
      </c>
      <c r="B3878" t="str">
        <f>"1552374663874902"</f>
        <v>1552374663874902</v>
      </c>
      <c r="C3878" t="s">
        <v>40</v>
      </c>
      <c r="D3878">
        <v>5.387791</v>
      </c>
      <c r="E3878">
        <v>0.65074180000000004</v>
      </c>
      <c r="F3878" t="s">
        <v>79</v>
      </c>
      <c r="G3878">
        <v>-205.43979999999999</v>
      </c>
      <c r="H3878" s="1">
        <v>-8.4344559999999999E-6</v>
      </c>
      <c r="I3878">
        <v>143.571</v>
      </c>
      <c r="J3878">
        <v>-198.47669999999999</v>
      </c>
      <c r="K3878">
        <v>1.104517</v>
      </c>
      <c r="L3878">
        <v>147.65610000000001</v>
      </c>
      <c r="M3878">
        <v>-0.43688569999999999</v>
      </c>
      <c r="N3878">
        <v>0</v>
      </c>
      <c r="O3878">
        <v>-0.8994103</v>
      </c>
      <c r="P3878">
        <v>-0.60631499999999905</v>
      </c>
      <c r="Q3878">
        <v>2.3817359999999999E-2</v>
      </c>
      <c r="R3878">
        <v>-0.79486809999999997</v>
      </c>
      <c r="S3878">
        <v>-2.7850799999999998</v>
      </c>
      <c r="T3878">
        <v>-0.43737860000000001</v>
      </c>
      <c r="U3878">
        <v>-1.6710210000000001</v>
      </c>
      <c r="V3878">
        <v>0.19857939999999999</v>
      </c>
      <c r="W3878">
        <v>3.4639879999999998E-2</v>
      </c>
      <c r="X3878">
        <v>0.97947249999999997</v>
      </c>
      <c r="Y3878">
        <v>0.53780649999999997</v>
      </c>
      <c r="Z3878">
        <v>0.13730580000000001</v>
      </c>
      <c r="AA3878">
        <v>0.83181209999999906</v>
      </c>
      <c r="AB3878">
        <v>26</v>
      </c>
      <c r="AC3878">
        <v>-6.9630999999999901</v>
      </c>
      <c r="AD3878">
        <v>-1.104525434456</v>
      </c>
      <c r="AE3878">
        <v>-4.0851000000000104</v>
      </c>
      <c r="AF3878">
        <v>4.3961009598388703</v>
      </c>
      <c r="AG3878">
        <v>-1.104525434456</v>
      </c>
      <c r="AH3878">
        <v>6.5934806349281798</v>
      </c>
      <c r="AI3878">
        <v>97.934703954373205</v>
      </c>
      <c r="AJ3878">
        <v>56.307242188455298</v>
      </c>
      <c r="AK3878">
        <v>8.0012290910602797</v>
      </c>
      <c r="AL3878">
        <v>88.014884018037705</v>
      </c>
      <c r="AM3878">
        <v>78.539130677035203</v>
      </c>
      <c r="AN3878">
        <v>1.00000003882351</v>
      </c>
    </row>
    <row r="3879" spans="1:40" x14ac:dyDescent="0.25">
      <c r="A3879" t="str">
        <f>"20190312151103900"</f>
        <v>20190312151103900</v>
      </c>
      <c r="B3879" t="str">
        <f>"1552374663895398"</f>
        <v>1552374663895398</v>
      </c>
      <c r="C3879" t="s">
        <v>40</v>
      </c>
      <c r="D3879">
        <v>5.3929369999999999</v>
      </c>
      <c r="E3879">
        <v>0.65045350000000002</v>
      </c>
      <c r="F3879" t="s">
        <v>79</v>
      </c>
      <c r="G3879">
        <v>-205.53139999999999</v>
      </c>
      <c r="H3879" s="1">
        <v>-8.3679459999999906E-6</v>
      </c>
      <c r="I3879">
        <v>143.47290000000001</v>
      </c>
      <c r="J3879">
        <v>-198.54669999999999</v>
      </c>
      <c r="K3879">
        <v>1.1044799999999999</v>
      </c>
      <c r="L3879">
        <v>147.5231</v>
      </c>
      <c r="M3879">
        <v>-0.44112030000000002</v>
      </c>
      <c r="N3879">
        <v>0</v>
      </c>
      <c r="O3879">
        <v>-0.89734080000000005</v>
      </c>
      <c r="P3879">
        <v>-0.61059929999999996</v>
      </c>
      <c r="Q3879">
        <v>2.412224E-2</v>
      </c>
      <c r="R3879">
        <v>-0.79157250000000001</v>
      </c>
      <c r="S3879">
        <v>-2.793488</v>
      </c>
      <c r="T3879">
        <v>-0.43736839999999999</v>
      </c>
      <c r="U3879">
        <v>-1.656479</v>
      </c>
      <c r="V3879">
        <v>0.19926450000000001</v>
      </c>
      <c r="W3879">
        <v>3.4922469999999997E-2</v>
      </c>
      <c r="X3879">
        <v>0.97932330000000001</v>
      </c>
      <c r="Y3879">
        <v>0.53815639999999998</v>
      </c>
      <c r="Z3879">
        <v>0.1372177</v>
      </c>
      <c r="AA3879">
        <v>0.83160020000000001</v>
      </c>
      <c r="AB3879">
        <v>26</v>
      </c>
      <c r="AC3879">
        <v>-6.9847000000000001</v>
      </c>
      <c r="AD3879">
        <v>-1.10448836794599</v>
      </c>
      <c r="AE3879">
        <v>-4.0501999999999896</v>
      </c>
      <c r="AF3879">
        <v>4.3991413771148302</v>
      </c>
      <c r="AG3879">
        <v>-1.10448836794599</v>
      </c>
      <c r="AH3879">
        <v>6.59277890818099</v>
      </c>
      <c r="AI3879">
        <v>97.933350595757403</v>
      </c>
      <c r="AJ3879">
        <v>56.286140656086701</v>
      </c>
      <c r="AK3879">
        <v>8.0023167359788996</v>
      </c>
      <c r="AL3879">
        <v>87.998682969999194</v>
      </c>
      <c r="AM3879">
        <v>78.498936924168802</v>
      </c>
      <c r="AN3879">
        <v>1.0000000228970201</v>
      </c>
    </row>
    <row r="3880" spans="1:40" x14ac:dyDescent="0.25">
      <c r="A3880" t="str">
        <f>"20190312151103911"</f>
        <v>20190312151103911</v>
      </c>
      <c r="B3880" t="str">
        <f>"1552374663905158"</f>
        <v>1552374663905158</v>
      </c>
      <c r="C3880" t="s">
        <v>40</v>
      </c>
      <c r="D3880">
        <v>5.4110610000000001</v>
      </c>
      <c r="E3880">
        <v>0.65032939999999995</v>
      </c>
      <c r="F3880" t="s">
        <v>79</v>
      </c>
      <c r="G3880">
        <v>-205.60570000000001</v>
      </c>
      <c r="H3880" s="1">
        <v>-8.3109369999999999E-6</v>
      </c>
      <c r="I3880">
        <v>143.3817</v>
      </c>
      <c r="J3880">
        <v>-198.61779999999999</v>
      </c>
      <c r="K3880">
        <v>1.104447</v>
      </c>
      <c r="L3880">
        <v>147.38999999999999</v>
      </c>
      <c r="M3880">
        <v>-0.44540299999999999</v>
      </c>
      <c r="N3880">
        <v>0</v>
      </c>
      <c r="O3880">
        <v>-0.89522279999999999</v>
      </c>
      <c r="P3880">
        <v>-0.61497029999999997</v>
      </c>
      <c r="Q3880">
        <v>2.470232E-2</v>
      </c>
      <c r="R3880">
        <v>-0.78816370000000002</v>
      </c>
      <c r="S3880">
        <v>-2.8005369999999998</v>
      </c>
      <c r="T3880">
        <v>-0.43818770000000001</v>
      </c>
      <c r="U3880">
        <v>-1.6430209999999901</v>
      </c>
      <c r="V3880">
        <v>0.2000237</v>
      </c>
      <c r="W3880">
        <v>3.548051E-2</v>
      </c>
      <c r="X3880">
        <v>0.97914840000000003</v>
      </c>
      <c r="Y3880">
        <v>0.53800439999999905</v>
      </c>
      <c r="Z3880">
        <v>0.1373847</v>
      </c>
      <c r="AA3880">
        <v>0.831671099999999</v>
      </c>
      <c r="AB3880">
        <v>26</v>
      </c>
      <c r="AC3880">
        <v>-6.9879000000000202</v>
      </c>
      <c r="AD3880">
        <v>-1.1044553109369999</v>
      </c>
      <c r="AE3880">
        <v>-4.0082999999999904</v>
      </c>
      <c r="AF3880">
        <v>4.3883638668437701</v>
      </c>
      <c r="AG3880">
        <v>-1.1044553109369999</v>
      </c>
      <c r="AH3880">
        <v>6.5777606090422003</v>
      </c>
      <c r="AI3880">
        <v>97.951414308746905</v>
      </c>
      <c r="AJ3880">
        <v>56.290699141222802</v>
      </c>
      <c r="AK3880">
        <v>7.9840148792161099</v>
      </c>
      <c r="AL3880">
        <v>87.966689693998902</v>
      </c>
      <c r="AM3880">
        <v>78.454285208981304</v>
      </c>
      <c r="AN3880">
        <v>0.99999996818705394</v>
      </c>
    </row>
    <row r="3881" spans="1:40" x14ac:dyDescent="0.25">
      <c r="A3881" t="str">
        <f>"20190312151103923"</f>
        <v>20190312151103923</v>
      </c>
      <c r="B3881" t="str">
        <f>"1552374663914918"</f>
        <v>1552374663914918</v>
      </c>
      <c r="C3881" t="s">
        <v>40</v>
      </c>
      <c r="D3881">
        <v>5.3467260000000003</v>
      </c>
      <c r="E3881">
        <v>0.65042990000000001</v>
      </c>
      <c r="F3881" t="s">
        <v>79</v>
      </c>
      <c r="G3881">
        <v>-205.7174</v>
      </c>
      <c r="H3881" s="1">
        <v>-8.2330319999999998E-6</v>
      </c>
      <c r="I3881">
        <v>143.27430000000001</v>
      </c>
      <c r="J3881">
        <v>-198.68129999999999</v>
      </c>
      <c r="K3881">
        <v>1.1044210000000001</v>
      </c>
      <c r="L3881">
        <v>147.2723</v>
      </c>
      <c r="M3881">
        <v>-0.44920670000000001</v>
      </c>
      <c r="N3881">
        <v>0</v>
      </c>
      <c r="O3881">
        <v>-0.89332009999999995</v>
      </c>
      <c r="P3881">
        <v>-0.61907319999999999</v>
      </c>
      <c r="Q3881">
        <v>2.4919719999999999E-2</v>
      </c>
      <c r="R3881">
        <v>-0.78493800000000002</v>
      </c>
      <c r="S3881">
        <v>-2.8089140000000001</v>
      </c>
      <c r="T3881">
        <v>-0.43697009999999997</v>
      </c>
      <c r="U3881">
        <v>-1.6283259999999999</v>
      </c>
      <c r="V3881">
        <v>0.2009754</v>
      </c>
      <c r="W3881">
        <v>3.5674459999999998E-2</v>
      </c>
      <c r="X3881">
        <v>0.97894650000000005</v>
      </c>
      <c r="Y3881">
        <v>0.53881859999999904</v>
      </c>
      <c r="Z3881">
        <v>0.1369445</v>
      </c>
      <c r="AA3881">
        <v>0.83121639999999997</v>
      </c>
      <c r="AB3881">
        <v>26</v>
      </c>
      <c r="AC3881">
        <v>-7.0361000000000002</v>
      </c>
      <c r="AD3881">
        <v>-1.10442923303199</v>
      </c>
      <c r="AE3881">
        <v>-3.99799999999999</v>
      </c>
      <c r="AF3881">
        <v>4.40789640315288</v>
      </c>
      <c r="AG3881">
        <v>-1.10442923303199</v>
      </c>
      <c r="AH3881">
        <v>6.60969961298537</v>
      </c>
      <c r="AI3881">
        <v>97.914264368286595</v>
      </c>
      <c r="AJ3881">
        <v>56.301351609088201</v>
      </c>
      <c r="AK3881">
        <v>8.0210624985473604</v>
      </c>
      <c r="AL3881">
        <v>87.955570231704996</v>
      </c>
      <c r="AM3881">
        <v>78.398509333089805</v>
      </c>
      <c r="AN3881">
        <v>1.0000000141818499</v>
      </c>
    </row>
    <row r="3882" spans="1:40" x14ac:dyDescent="0.25">
      <c r="A3882" t="str">
        <f>"20190312151103941"</f>
        <v>20190312151103941</v>
      </c>
      <c r="B3882" t="str">
        <f>"1552374663934438"</f>
        <v>1552374663934438</v>
      </c>
      <c r="C3882" t="s">
        <v>40</v>
      </c>
      <c r="D3882">
        <v>5.4555749999999996</v>
      </c>
      <c r="E3882">
        <v>0.65069589999999999</v>
      </c>
      <c r="F3882" t="s">
        <v>79</v>
      </c>
      <c r="G3882">
        <v>-205.8098</v>
      </c>
      <c r="H3882" s="1">
        <v>-8.1699480000000008E-6</v>
      </c>
      <c r="I3882">
        <v>143.19049999999999</v>
      </c>
      <c r="J3882">
        <v>-198.7808</v>
      </c>
      <c r="K3882">
        <v>1.10439</v>
      </c>
      <c r="L3882">
        <v>147.09020000000001</v>
      </c>
      <c r="M3882">
        <v>-0.4551347</v>
      </c>
      <c r="N3882">
        <v>0</v>
      </c>
      <c r="O3882">
        <v>-0.8903143</v>
      </c>
      <c r="P3882">
        <v>-0.62576019999999999</v>
      </c>
      <c r="Q3882">
        <v>2.5436449999999999E-2</v>
      </c>
      <c r="R3882">
        <v>-0.77960109999999905</v>
      </c>
      <c r="S3882">
        <v>-2.8177340000000002</v>
      </c>
      <c r="T3882">
        <v>-0.43655680000000002</v>
      </c>
      <c r="U3882">
        <v>-1.613464</v>
      </c>
      <c r="V3882">
        <v>0.2028548</v>
      </c>
      <c r="W3882">
        <v>3.6150509999999997E-2</v>
      </c>
      <c r="X3882">
        <v>0.97854129999999995</v>
      </c>
      <c r="Y3882">
        <v>0.53770039999999997</v>
      </c>
      <c r="Z3882">
        <v>0.13659859999999999</v>
      </c>
      <c r="AA3882">
        <v>0.83199709999999905</v>
      </c>
      <c r="AB3882">
        <v>26</v>
      </c>
      <c r="AC3882">
        <v>-7.0289999999999901</v>
      </c>
      <c r="AD3882">
        <v>-1.1043981699480001</v>
      </c>
      <c r="AE3882">
        <v>-3.8997000000000202</v>
      </c>
      <c r="AF3882">
        <v>4.4004968211473798</v>
      </c>
      <c r="AG3882">
        <v>-1.1043981699480001</v>
      </c>
      <c r="AH3882">
        <v>6.5481379484781996</v>
      </c>
      <c r="AI3882">
        <v>97.968780563225295</v>
      </c>
      <c r="AJ3882">
        <v>56.0980064148184</v>
      </c>
      <c r="AK3882">
        <v>7.9663152199127198</v>
      </c>
      <c r="AL3882">
        <v>87.928276946020503</v>
      </c>
      <c r="AM3882">
        <v>78.288286599087797</v>
      </c>
      <c r="AN3882">
        <v>1.0000000025309901</v>
      </c>
    </row>
    <row r="3883" spans="1:40" x14ac:dyDescent="0.25">
      <c r="A3883" t="str">
        <f>"20190312151103954"</f>
        <v>20190312151103954</v>
      </c>
      <c r="B3883" t="str">
        <f>"1552374663945173"</f>
        <v>1552374663945173</v>
      </c>
      <c r="C3883" t="s">
        <v>40</v>
      </c>
      <c r="D3883">
        <v>5.4403389999999998</v>
      </c>
      <c r="E3883">
        <v>0.6675972</v>
      </c>
      <c r="F3883" t="s">
        <v>79</v>
      </c>
      <c r="G3883">
        <v>-205.97489999999999</v>
      </c>
      <c r="H3883" s="1">
        <v>-8.061515E-6</v>
      </c>
      <c r="I3883">
        <v>143.05709999999999</v>
      </c>
      <c r="J3883">
        <v>-198.85769999999999</v>
      </c>
      <c r="K3883">
        <v>1.104363</v>
      </c>
      <c r="L3883">
        <v>146.95160000000001</v>
      </c>
      <c r="M3883">
        <v>-0.45967350000000001</v>
      </c>
      <c r="N3883">
        <v>0</v>
      </c>
      <c r="O3883">
        <v>-0.88797929999999903</v>
      </c>
      <c r="P3883">
        <v>-0.63051369999999995</v>
      </c>
      <c r="Q3883">
        <v>2.6026759999999999E-2</v>
      </c>
      <c r="R3883">
        <v>-0.77574189999999998</v>
      </c>
      <c r="S3883">
        <v>-2.8331149999999998</v>
      </c>
      <c r="T3883">
        <v>-0.43492710000000001</v>
      </c>
      <c r="U3883">
        <v>-1.5882719999999999</v>
      </c>
      <c r="V3883">
        <v>0.20386090000000001</v>
      </c>
      <c r="W3883">
        <v>3.671804E-2</v>
      </c>
      <c r="X3883">
        <v>0.97831109999999999</v>
      </c>
      <c r="Y3883">
        <v>0.54103599999999996</v>
      </c>
      <c r="Z3883">
        <v>0.1360586</v>
      </c>
      <c r="AA3883">
        <v>0.82992049999999995</v>
      </c>
      <c r="AB3883">
        <v>26</v>
      </c>
      <c r="AC3883">
        <v>-7.1171999999999898</v>
      </c>
      <c r="AD3883">
        <v>-1.104371061515</v>
      </c>
      <c r="AE3883">
        <v>-3.8945000000000198</v>
      </c>
      <c r="AF3883">
        <v>4.4477509716794099</v>
      </c>
      <c r="AG3883">
        <v>-1.104371061515</v>
      </c>
      <c r="AH3883">
        <v>6.6080304759152497</v>
      </c>
      <c r="AI3883">
        <v>97.893451757898703</v>
      </c>
      <c r="AJ3883">
        <v>56.056185321667797</v>
      </c>
      <c r="AK3883">
        <v>8.0416534940403697</v>
      </c>
      <c r="AL3883">
        <v>87.895738356674599</v>
      </c>
      <c r="AM3883">
        <v>78.229124209155501</v>
      </c>
      <c r="AN3883">
        <v>1.0000000446967201</v>
      </c>
    </row>
    <row r="3884" spans="1:40" x14ac:dyDescent="0.25">
      <c r="A3884" t="str">
        <f>"20190312151103966"</f>
        <v>20190312151103966</v>
      </c>
      <c r="B3884" t="str">
        <f>"1552374663954934"</f>
        <v>1552374663954934</v>
      </c>
      <c r="C3884" t="s">
        <v>40</v>
      </c>
      <c r="D3884">
        <v>5.6907269999999999</v>
      </c>
      <c r="E3884">
        <v>0.66876599999999997</v>
      </c>
      <c r="F3884" t="s">
        <v>79</v>
      </c>
      <c r="G3884">
        <v>-206.33160000000001</v>
      </c>
      <c r="H3884" s="1">
        <v>-7.936747E-6</v>
      </c>
      <c r="I3884">
        <v>143.18369999999999</v>
      </c>
      <c r="J3884">
        <v>-198.92330000000001</v>
      </c>
      <c r="K3884">
        <v>1.1043480000000001</v>
      </c>
      <c r="L3884">
        <v>146.83500000000001</v>
      </c>
      <c r="M3884">
        <v>-0.46351629999999999</v>
      </c>
      <c r="N3884">
        <v>0</v>
      </c>
      <c r="O3884">
        <v>-0.88597939999999997</v>
      </c>
      <c r="P3884">
        <v>-0.6346794</v>
      </c>
      <c r="Q3884">
        <v>2.6029429999999999E-2</v>
      </c>
      <c r="R3884">
        <v>-0.77233750000000001</v>
      </c>
      <c r="S3884">
        <v>-2.947632</v>
      </c>
      <c r="T3884">
        <v>-0.43555500000000003</v>
      </c>
      <c r="U3884">
        <v>-1.4860530000000001</v>
      </c>
      <c r="V3884">
        <v>0.20488919999999999</v>
      </c>
      <c r="W3884">
        <v>3.669994E-2</v>
      </c>
      <c r="X3884">
        <v>0.97809690000000005</v>
      </c>
      <c r="Y3884">
        <v>0.57362040000000003</v>
      </c>
      <c r="Z3884">
        <v>0.13529949999999999</v>
      </c>
      <c r="AA3884">
        <v>0.80786990000000003</v>
      </c>
      <c r="AB3884">
        <v>26</v>
      </c>
      <c r="AC3884">
        <v>-7.4082999999999899</v>
      </c>
      <c r="AD3884">
        <v>-1.1043559367469999</v>
      </c>
      <c r="AE3884">
        <v>-3.65130000000002</v>
      </c>
      <c r="AF3884">
        <v>4.7860653959953803</v>
      </c>
      <c r="AG3884">
        <v>-1.1043559367469999</v>
      </c>
      <c r="AH3884">
        <v>6.55234037579147</v>
      </c>
      <c r="AI3884">
        <v>97.750466420231106</v>
      </c>
      <c r="AJ3884">
        <v>53.854262126884301</v>
      </c>
      <c r="AK3884">
        <v>8.1889674813128899</v>
      </c>
      <c r="AL3884">
        <v>87.896776032113607</v>
      </c>
      <c r="AM3884">
        <v>78.168901713613394</v>
      </c>
      <c r="AN3884">
        <v>1.00000000783112</v>
      </c>
    </row>
    <row r="3885" spans="1:40" x14ac:dyDescent="0.25">
      <c r="A3885" t="str">
        <f>"20190312151103979"</f>
        <v>20190312151103979</v>
      </c>
      <c r="B3885" t="str">
        <f>"1552374663974546"</f>
        <v>1552374663974546</v>
      </c>
      <c r="C3885" t="s">
        <v>40</v>
      </c>
      <c r="D3885">
        <v>5.2902550000000002</v>
      </c>
      <c r="E3885">
        <v>0.66510729999999996</v>
      </c>
      <c r="F3885" t="s">
        <v>79</v>
      </c>
      <c r="G3885">
        <v>-206.13589999999999</v>
      </c>
      <c r="H3885" s="1">
        <v>-8.0464270000000003E-6</v>
      </c>
      <c r="I3885">
        <v>143.2705</v>
      </c>
      <c r="J3885">
        <v>-198.99529999999999</v>
      </c>
      <c r="K3885">
        <v>1.1043320000000001</v>
      </c>
      <c r="L3885">
        <v>146.70779999999999</v>
      </c>
      <c r="M3885">
        <v>-0.46771160000000001</v>
      </c>
      <c r="N3885">
        <v>0</v>
      </c>
      <c r="O3885">
        <v>-0.8837718</v>
      </c>
      <c r="P3885">
        <v>-0.63890649999999904</v>
      </c>
      <c r="Q3885">
        <v>2.6028969999999998E-2</v>
      </c>
      <c r="R3885">
        <v>-0.76884449999999904</v>
      </c>
      <c r="S3885">
        <v>-2.9632869999999998</v>
      </c>
      <c r="T3885">
        <v>-0.45372249999999997</v>
      </c>
      <c r="U3885">
        <v>-1.4644779999999999</v>
      </c>
      <c r="V3885">
        <v>0.205619</v>
      </c>
      <c r="W3885">
        <v>3.6683739999999999E-2</v>
      </c>
      <c r="X3885">
        <v>0.97794429999999999</v>
      </c>
      <c r="Y3885">
        <v>0.57545639999999998</v>
      </c>
      <c r="Z3885">
        <v>0.1406443</v>
      </c>
      <c r="AA3885">
        <v>0.80564829999999998</v>
      </c>
      <c r="AB3885">
        <v>26</v>
      </c>
      <c r="AC3885">
        <v>-7.1406000000000001</v>
      </c>
      <c r="AD3885">
        <v>-1.1043400464269999</v>
      </c>
      <c r="AE3885">
        <v>-3.4372999999999898</v>
      </c>
      <c r="AF3885">
        <v>4.6138545355205398</v>
      </c>
      <c r="AG3885">
        <v>-1.1043400464269999</v>
      </c>
      <c r="AH3885">
        <v>6.2566495825177002</v>
      </c>
      <c r="AI3885">
        <v>98.085205495116199</v>
      </c>
      <c r="AJ3885">
        <v>53.593743595931898</v>
      </c>
      <c r="AK3885">
        <v>7.85193508706642</v>
      </c>
      <c r="AL3885">
        <v>87.897704752616093</v>
      </c>
      <c r="AM3885">
        <v>78.126154148989201</v>
      </c>
      <c r="AN3885">
        <v>0.99999996192193796</v>
      </c>
    </row>
    <row r="3886" spans="1:40" x14ac:dyDescent="0.25">
      <c r="A3886" t="str">
        <f>"20190312151103993"</f>
        <v>20190312151103993</v>
      </c>
      <c r="B3886" t="str">
        <f>"1552374663985283"</f>
        <v>1552374663985283</v>
      </c>
      <c r="C3886" t="s">
        <v>40</v>
      </c>
      <c r="D3886">
        <v>5.2476909999999997</v>
      </c>
      <c r="E3886">
        <v>0.66337139999999895</v>
      </c>
      <c r="F3886" t="s">
        <v>79</v>
      </c>
      <c r="G3886">
        <v>-206.51609999999999</v>
      </c>
      <c r="H3886" s="1">
        <v>-7.7974760000000005E-6</v>
      </c>
      <c r="I3886">
        <v>142.96610000000001</v>
      </c>
      <c r="J3886">
        <v>-199.07910000000001</v>
      </c>
      <c r="K3886">
        <v>1.104317</v>
      </c>
      <c r="L3886">
        <v>146.56200000000001</v>
      </c>
      <c r="M3886">
        <v>-0.47255150000000001</v>
      </c>
      <c r="N3886">
        <v>0</v>
      </c>
      <c r="O3886">
        <v>-0.88119329999999996</v>
      </c>
      <c r="P3886">
        <v>-0.64386899999999903</v>
      </c>
      <c r="Q3886">
        <v>2.6031930000000002E-2</v>
      </c>
      <c r="R3886">
        <v>-0.76469279999999995</v>
      </c>
      <c r="S3886">
        <v>-2.9481350000000002</v>
      </c>
      <c r="T3886">
        <v>-0.43289709999999998</v>
      </c>
      <c r="U3886">
        <v>-1.4667509999999999</v>
      </c>
      <c r="V3886">
        <v>0.20658689999999999</v>
      </c>
      <c r="W3886">
        <v>3.6668010000000001E-2</v>
      </c>
      <c r="X3886">
        <v>0.97774090000000002</v>
      </c>
      <c r="Y3886">
        <v>0.56966229999999995</v>
      </c>
      <c r="Z3886">
        <v>0.1344041</v>
      </c>
      <c r="AA3886">
        <v>0.81081459999999905</v>
      </c>
      <c r="AB3886">
        <v>26</v>
      </c>
      <c r="AC3886">
        <v>-7.4369999999999798</v>
      </c>
      <c r="AD3886">
        <v>-1.104324797476</v>
      </c>
      <c r="AE3886">
        <v>-3.5958999999999999</v>
      </c>
      <c r="AF3886">
        <v>4.7694201098949804</v>
      </c>
      <c r="AG3886">
        <v>-1.104324797476</v>
      </c>
      <c r="AH3886">
        <v>6.5663453604036404</v>
      </c>
      <c r="AI3886">
        <v>97.7488163933332</v>
      </c>
      <c r="AJ3886">
        <v>54.007476717054097</v>
      </c>
      <c r="AK3886">
        <v>8.1904696345866199</v>
      </c>
      <c r="AL3886">
        <v>87.898606657659997</v>
      </c>
      <c r="AM3886">
        <v>78.069448132888198</v>
      </c>
      <c r="AN3886">
        <v>0.99999997887088898</v>
      </c>
    </row>
    <row r="3887" spans="1:40" x14ac:dyDescent="0.25">
      <c r="A3887" t="str">
        <f>"20190312151104007"</f>
        <v>20190312151104007</v>
      </c>
      <c r="B3887" t="str">
        <f>"1552374664004802"</f>
        <v>1552374664004802</v>
      </c>
      <c r="C3887" t="s">
        <v>40</v>
      </c>
      <c r="D3887">
        <v>5.369084</v>
      </c>
      <c r="E3887">
        <v>0.6615335</v>
      </c>
      <c r="F3887" t="s">
        <v>79</v>
      </c>
      <c r="G3887">
        <v>-206.69560000000001</v>
      </c>
      <c r="H3887" s="1">
        <v>-7.6732399999999906E-6</v>
      </c>
      <c r="I3887">
        <v>142.797</v>
      </c>
      <c r="J3887">
        <v>-199.16380000000001</v>
      </c>
      <c r="K3887">
        <v>1.1043069999999999</v>
      </c>
      <c r="L3887">
        <v>146.41650000000001</v>
      </c>
      <c r="M3887">
        <v>-0.47739619999999999</v>
      </c>
      <c r="N3887">
        <v>0</v>
      </c>
      <c r="O3887">
        <v>-0.87857790000000002</v>
      </c>
      <c r="P3887">
        <v>-0.64880749999999998</v>
      </c>
      <c r="Q3887">
        <v>2.630033E-2</v>
      </c>
      <c r="R3887">
        <v>-0.76049800000000001</v>
      </c>
      <c r="S3887">
        <v>-2.9466399999999999</v>
      </c>
      <c r="T3887">
        <v>-0.42723739999999999</v>
      </c>
      <c r="U3887">
        <v>-1.4565889999999999</v>
      </c>
      <c r="V3887">
        <v>0.2075447</v>
      </c>
      <c r="W3887">
        <v>3.6918180000000002E-2</v>
      </c>
      <c r="X3887">
        <v>0.97752859999999997</v>
      </c>
      <c r="Y3887">
        <v>0.56745349999999894</v>
      </c>
      <c r="Z3887">
        <v>0.1326724</v>
      </c>
      <c r="AA3887">
        <v>0.8126466</v>
      </c>
      <c r="AB3887">
        <v>26</v>
      </c>
      <c r="AC3887">
        <v>-7.5317999999999996</v>
      </c>
      <c r="AD3887">
        <v>-1.10431467324</v>
      </c>
      <c r="AE3887">
        <v>-3.6195000000000102</v>
      </c>
      <c r="AF3887">
        <v>4.8058798616677896</v>
      </c>
      <c r="AG3887">
        <v>-1.10431467324</v>
      </c>
      <c r="AH3887">
        <v>6.6600094714518301</v>
      </c>
      <c r="AI3887">
        <v>97.658088452794303</v>
      </c>
      <c r="AJ3887">
        <v>54.185687314188002</v>
      </c>
      <c r="AK3887">
        <v>8.2868400673685798</v>
      </c>
      <c r="AL3887">
        <v>87.884263218602698</v>
      </c>
      <c r="AM3887">
        <v>78.013202712123899</v>
      </c>
      <c r="AN3887">
        <v>0.99999995916527995</v>
      </c>
    </row>
    <row r="3888" spans="1:40" x14ac:dyDescent="0.25">
      <c r="A3888" t="str">
        <f>"20190312151104021"</f>
        <v>20190312151104021</v>
      </c>
      <c r="B3888" t="str">
        <f>"1552374664014563"</f>
        <v>1552374664014563</v>
      </c>
      <c r="C3888" t="s">
        <v>40</v>
      </c>
      <c r="D3888">
        <v>5.3742850000000004</v>
      </c>
      <c r="E3888">
        <v>0.66083159999999996</v>
      </c>
      <c r="F3888" t="s">
        <v>79</v>
      </c>
      <c r="G3888">
        <v>-206.77430000000001</v>
      </c>
      <c r="H3888" s="1">
        <v>-7.6067600000000003E-6</v>
      </c>
      <c r="I3888">
        <v>142.6773</v>
      </c>
      <c r="J3888">
        <v>-199.24039999999999</v>
      </c>
      <c r="K3888">
        <v>1.1043000000000001</v>
      </c>
      <c r="L3888">
        <v>146.28630000000001</v>
      </c>
      <c r="M3888">
        <v>-0.48174090000000003</v>
      </c>
      <c r="N3888">
        <v>0</v>
      </c>
      <c r="O3888">
        <v>-0.87620319999999996</v>
      </c>
      <c r="P3888">
        <v>-0.65284929999999997</v>
      </c>
      <c r="Q3888">
        <v>2.6552309999999999E-2</v>
      </c>
      <c r="R3888">
        <v>-0.75702250000000004</v>
      </c>
      <c r="S3888">
        <v>-2.9451450000000001</v>
      </c>
      <c r="T3888">
        <v>-0.42735709999999999</v>
      </c>
      <c r="U3888">
        <v>-1.4470209999999999</v>
      </c>
      <c r="V3888">
        <v>0.2079202</v>
      </c>
      <c r="W3888">
        <v>3.7162630000000002E-2</v>
      </c>
      <c r="X3888">
        <v>0.97743959999999996</v>
      </c>
      <c r="Y3888">
        <v>0.5653376</v>
      </c>
      <c r="Z3888">
        <v>0.1327141</v>
      </c>
      <c r="AA3888">
        <v>0.81411330000000004</v>
      </c>
      <c r="AB3888">
        <v>26</v>
      </c>
      <c r="AC3888">
        <v>-7.5339000000000098</v>
      </c>
      <c r="AD3888">
        <v>-1.1043076067599999</v>
      </c>
      <c r="AE3888">
        <v>-3.609</v>
      </c>
      <c r="AF3888">
        <v>4.7795715502586704</v>
      </c>
      <c r="AG3888">
        <v>-1.1043076067599999</v>
      </c>
      <c r="AH3888">
        <v>6.6756056093294598</v>
      </c>
      <c r="AI3888">
        <v>97.660520139194603</v>
      </c>
      <c r="AJ3888">
        <v>54.398256053001198</v>
      </c>
      <c r="AK3888">
        <v>8.2841722426384301</v>
      </c>
      <c r="AL3888">
        <v>87.870247778826098</v>
      </c>
      <c r="AM3888">
        <v>77.9910829220876</v>
      </c>
      <c r="AN3888">
        <v>1.0000000211423501</v>
      </c>
    </row>
    <row r="3889" spans="1:40" x14ac:dyDescent="0.25">
      <c r="A3889" t="str">
        <f>"20190312151104036"</f>
        <v>20190312151104036</v>
      </c>
      <c r="B3889" t="str">
        <f>"1552374664025299"</f>
        <v>1552374664025299</v>
      </c>
      <c r="C3889" t="s">
        <v>40</v>
      </c>
      <c r="D3889">
        <v>5.3591449999999998</v>
      </c>
      <c r="E3889">
        <v>0.66035959999999905</v>
      </c>
      <c r="F3889" t="s">
        <v>79</v>
      </c>
      <c r="G3889">
        <v>-206.81290000000001</v>
      </c>
      <c r="H3889" s="1">
        <v>-7.5693539999999999E-6</v>
      </c>
      <c r="I3889">
        <v>142.60050000000001</v>
      </c>
      <c r="J3889">
        <v>-199.32820000000001</v>
      </c>
      <c r="K3889">
        <v>1.104284</v>
      </c>
      <c r="L3889">
        <v>146.13890000000001</v>
      </c>
      <c r="M3889">
        <v>-0.48667100000000002</v>
      </c>
      <c r="N3889">
        <v>0</v>
      </c>
      <c r="O3889">
        <v>-0.87347450000000004</v>
      </c>
      <c r="P3889">
        <v>-0.65733379999999997</v>
      </c>
      <c r="Q3889">
        <v>2.6870290000000002E-2</v>
      </c>
      <c r="R3889">
        <v>-0.75312069999999998</v>
      </c>
      <c r="S3889">
        <v>-2.9485320000000002</v>
      </c>
      <c r="T3889">
        <v>-0.42999280000000001</v>
      </c>
      <c r="U3889">
        <v>-1.435165</v>
      </c>
      <c r="V3889">
        <v>0.2082281</v>
      </c>
      <c r="W3889">
        <v>3.7475700000000001E-2</v>
      </c>
      <c r="X3889">
        <v>0.97736210000000001</v>
      </c>
      <c r="Y3889">
        <v>0.56362239999999997</v>
      </c>
      <c r="Z3889">
        <v>0.1333839</v>
      </c>
      <c r="AA3889">
        <v>0.81519229999999998</v>
      </c>
      <c r="AB3889">
        <v>26</v>
      </c>
      <c r="AC3889">
        <v>-7.4847000000000001</v>
      </c>
      <c r="AD3889">
        <v>-1.1042915693539901</v>
      </c>
      <c r="AE3889">
        <v>-3.53839999999999</v>
      </c>
      <c r="AF3889">
        <v>4.73193514477666</v>
      </c>
      <c r="AG3889">
        <v>-1.1042915693539901</v>
      </c>
      <c r="AH3889">
        <v>6.6162267943539597</v>
      </c>
      <c r="AI3889">
        <v>97.731131099644998</v>
      </c>
      <c r="AJ3889">
        <v>54.427594219413898</v>
      </c>
      <c r="AK3889">
        <v>8.2088444423588705</v>
      </c>
      <c r="AL3889">
        <v>87.852297687453998</v>
      </c>
      <c r="AM3889">
        <v>77.972890958052005</v>
      </c>
      <c r="AN3889">
        <v>1.0000000221182499</v>
      </c>
    </row>
    <row r="3890" spans="1:40" x14ac:dyDescent="0.25">
      <c r="A3890" t="str">
        <f>"20190312151104054"</f>
        <v>20190312151104054</v>
      </c>
      <c r="B3890" t="str">
        <f>"1552374664044818"</f>
        <v>1552374664044818</v>
      </c>
      <c r="C3890" t="s">
        <v>40</v>
      </c>
      <c r="D3890">
        <v>5.3690759999999997</v>
      </c>
      <c r="E3890">
        <v>0.65964869999999898</v>
      </c>
      <c r="F3890" t="s">
        <v>79</v>
      </c>
      <c r="G3890">
        <v>-206.89609999999999</v>
      </c>
      <c r="H3890" s="1">
        <v>-7.5060270000000003E-6</v>
      </c>
      <c r="I3890">
        <v>142.50040000000001</v>
      </c>
      <c r="J3890">
        <v>-199.43950000000001</v>
      </c>
      <c r="K3890">
        <v>1.1042809999999901</v>
      </c>
      <c r="L3890">
        <v>145.95509999999999</v>
      </c>
      <c r="M3890">
        <v>-0.49284240000000001</v>
      </c>
      <c r="N3890">
        <v>0</v>
      </c>
      <c r="O3890">
        <v>-0.87000719999999998</v>
      </c>
      <c r="P3890">
        <v>-0.6629891</v>
      </c>
      <c r="Q3890">
        <v>2.7297109999999999E-2</v>
      </c>
      <c r="R3890">
        <v>-0.74813149999999995</v>
      </c>
      <c r="S3890">
        <v>-2.9542079999999999</v>
      </c>
      <c r="T3890">
        <v>-0.43107319999999999</v>
      </c>
      <c r="U3890">
        <v>-1.4203490000000001</v>
      </c>
      <c r="V3890">
        <v>0.20868709999999999</v>
      </c>
      <c r="W3890">
        <v>3.7895970000000001E-2</v>
      </c>
      <c r="X3890">
        <v>0.97724800000000001</v>
      </c>
      <c r="Y3890">
        <v>0.56170310000000001</v>
      </c>
      <c r="Z3890">
        <v>0.1334872</v>
      </c>
      <c r="AA3890">
        <v>0.81649919999999998</v>
      </c>
      <c r="AB3890">
        <v>26</v>
      </c>
      <c r="AC3890">
        <v>-7.4565999999999804</v>
      </c>
      <c r="AD3890">
        <v>-1.10428850602699</v>
      </c>
      <c r="AE3890">
        <v>-3.4546999999999701</v>
      </c>
      <c r="AF3890">
        <v>4.7002670132749502</v>
      </c>
      <c r="AG3890">
        <v>-1.10428850602699</v>
      </c>
      <c r="AH3890">
        <v>6.56269159694856</v>
      </c>
      <c r="AI3890">
        <v>97.789730291662593</v>
      </c>
      <c r="AJ3890">
        <v>54.389373363456599</v>
      </c>
      <c r="AK3890">
        <v>8.1474464771045394</v>
      </c>
      <c r="AL3890">
        <v>87.828200894261201</v>
      </c>
      <c r="AM3890">
        <v>77.945787770255805</v>
      </c>
      <c r="AN3890">
        <v>1.00000003187632</v>
      </c>
    </row>
    <row r="3891" spans="1:40" x14ac:dyDescent="0.25">
      <c r="A3891" t="str">
        <f>"20190312151104075"</f>
        <v>20190312151104075</v>
      </c>
      <c r="B3891" t="str">
        <f>"1552374664065314"</f>
        <v>1552374664065314</v>
      </c>
      <c r="C3891" t="s">
        <v>40</v>
      </c>
      <c r="D3891">
        <v>5.3313329999999999</v>
      </c>
      <c r="E3891">
        <v>0.65903319999999999</v>
      </c>
      <c r="F3891" t="s">
        <v>79</v>
      </c>
      <c r="G3891">
        <v>-206.96420000000001</v>
      </c>
      <c r="H3891" s="1">
        <v>-7.4471899999999998E-6</v>
      </c>
      <c r="I3891">
        <v>142.39189999999999</v>
      </c>
      <c r="J3891">
        <v>-199.56780000000001</v>
      </c>
      <c r="K3891">
        <v>1.104282</v>
      </c>
      <c r="L3891">
        <v>145.7467</v>
      </c>
      <c r="M3891">
        <v>-0.49985619999999997</v>
      </c>
      <c r="N3891">
        <v>0</v>
      </c>
      <c r="O3891">
        <v>-0.86599619999999999</v>
      </c>
      <c r="P3891">
        <v>-0.66913469999999997</v>
      </c>
      <c r="Q3891">
        <v>2.76829E-2</v>
      </c>
      <c r="R3891">
        <v>-0.74262539999999999</v>
      </c>
      <c r="S3891">
        <v>-2.9607700000000001</v>
      </c>
      <c r="T3891">
        <v>-0.43451050000000002</v>
      </c>
      <c r="U3891">
        <v>-1.4020539999999999</v>
      </c>
      <c r="V3891">
        <v>0.2088612</v>
      </c>
      <c r="W3891">
        <v>3.8280969999999997E-2</v>
      </c>
      <c r="X3891">
        <v>0.97719579999999995</v>
      </c>
      <c r="Y3891">
        <v>0.55974019999999902</v>
      </c>
      <c r="Z3891">
        <v>0.13429260000000001</v>
      </c>
      <c r="AA3891">
        <v>0.81771419999999995</v>
      </c>
      <c r="AB3891">
        <v>26</v>
      </c>
      <c r="AC3891">
        <v>-7.3963999999999999</v>
      </c>
      <c r="AD3891">
        <v>-1.10428944719</v>
      </c>
      <c r="AE3891">
        <v>-3.3548000000000102</v>
      </c>
      <c r="AF3891">
        <v>4.6429600166960503</v>
      </c>
      <c r="AG3891">
        <v>-1.10428944719</v>
      </c>
      <c r="AH3891">
        <v>6.4831652854840103</v>
      </c>
      <c r="AI3891">
        <v>97.884294478711993</v>
      </c>
      <c r="AJ3891">
        <v>54.391414578349298</v>
      </c>
      <c r="AK3891">
        <v>8.05033943500014</v>
      </c>
      <c r="AL3891">
        <v>87.806126002975304</v>
      </c>
      <c r="AM3891">
        <v>77.935400311834997</v>
      </c>
      <c r="AN3891">
        <v>1.00000003253361</v>
      </c>
    </row>
    <row r="3892" spans="1:40" x14ac:dyDescent="0.25">
      <c r="A3892" t="str">
        <f>"20190312151104087"</f>
        <v>20190312151104087</v>
      </c>
      <c r="B3892" t="str">
        <f>"1552374664084834"</f>
        <v>1552374664084834</v>
      </c>
      <c r="C3892" t="s">
        <v>40</v>
      </c>
      <c r="D3892">
        <v>5.3313610000000002</v>
      </c>
      <c r="E3892">
        <v>0.6584972</v>
      </c>
      <c r="F3892" t="s">
        <v>79</v>
      </c>
      <c r="G3892">
        <v>-207.1242</v>
      </c>
      <c r="H3892" s="1">
        <v>-7.3334869999999996E-6</v>
      </c>
      <c r="I3892">
        <v>142.22989999999999</v>
      </c>
      <c r="J3892">
        <v>-199.64320000000001</v>
      </c>
      <c r="K3892">
        <v>1.104284</v>
      </c>
      <c r="L3892">
        <v>145.62629999999999</v>
      </c>
      <c r="M3892">
        <v>-0.50391709999999901</v>
      </c>
      <c r="N3892">
        <v>0</v>
      </c>
      <c r="O3892">
        <v>-0.8636395</v>
      </c>
      <c r="P3892">
        <v>-0.67275019999999996</v>
      </c>
      <c r="Q3892">
        <v>2.7639529999999999E-2</v>
      </c>
      <c r="R3892">
        <v>-0.7393535</v>
      </c>
      <c r="S3892">
        <v>-2.9682309999999998</v>
      </c>
      <c r="T3892">
        <v>-0.43377840000000001</v>
      </c>
      <c r="U3892">
        <v>-1.3814090000000001</v>
      </c>
      <c r="V3892">
        <v>0.20903930000000001</v>
      </c>
      <c r="W3892">
        <v>3.8237609999999998E-2</v>
      </c>
      <c r="X3892">
        <v>0.97715940000000001</v>
      </c>
      <c r="Y3892">
        <v>0.56134709999999999</v>
      </c>
      <c r="Z3892">
        <v>0.13407939999999999</v>
      </c>
      <c r="AA3892">
        <v>0.81664689999999995</v>
      </c>
      <c r="AB3892">
        <v>26</v>
      </c>
      <c r="AC3892">
        <v>-7.4809999999999901</v>
      </c>
      <c r="AD3892">
        <v>-1.1042913334869999</v>
      </c>
      <c r="AE3892">
        <v>-3.3963999999999999</v>
      </c>
      <c r="AF3892">
        <v>4.6655575509781499</v>
      </c>
      <c r="AG3892">
        <v>-1.1042913334869999</v>
      </c>
      <c r="AH3892">
        <v>6.58476140847206</v>
      </c>
      <c r="AI3892">
        <v>97.791812502162003</v>
      </c>
      <c r="AJ3892">
        <v>54.680956229754798</v>
      </c>
      <c r="AK3892">
        <v>8.1453035190351706</v>
      </c>
      <c r="AL3892">
        <v>87.808612137132897</v>
      </c>
      <c r="AM3892">
        <v>77.924977786546904</v>
      </c>
      <c r="AN3892">
        <v>1.0000000183856801</v>
      </c>
    </row>
    <row r="3893" spans="1:40" x14ac:dyDescent="0.25">
      <c r="A3893" t="str">
        <f>"20190312151104100"</f>
        <v>20190312151104100</v>
      </c>
      <c r="B3893" t="str">
        <f>"1552374664094594"</f>
        <v>1552374664094594</v>
      </c>
      <c r="C3893" t="s">
        <v>40</v>
      </c>
      <c r="D3893">
        <v>5.321129</v>
      </c>
      <c r="E3893">
        <v>0.65824450000000001</v>
      </c>
      <c r="F3893" t="s">
        <v>79</v>
      </c>
      <c r="G3893">
        <v>-207.1498</v>
      </c>
      <c r="H3893" s="1">
        <v>-7.305303E-6</v>
      </c>
      <c r="I3893">
        <v>142.1662</v>
      </c>
      <c r="J3893">
        <v>-199.71979999999999</v>
      </c>
      <c r="K3893">
        <v>1.1042809999999901</v>
      </c>
      <c r="L3893">
        <v>145.50460000000001</v>
      </c>
      <c r="M3893">
        <v>-0.50801870000000005</v>
      </c>
      <c r="N3893">
        <v>0</v>
      </c>
      <c r="O3893">
        <v>-0.86123320000000003</v>
      </c>
      <c r="P3893">
        <v>-0.67649979999999998</v>
      </c>
      <c r="Q3893">
        <v>2.7672909999999998E-2</v>
      </c>
      <c r="R3893">
        <v>-0.73592290000000005</v>
      </c>
      <c r="S3893">
        <v>-2.971832</v>
      </c>
      <c r="T3893">
        <v>-0.43718360000000001</v>
      </c>
      <c r="U3893">
        <v>-1.3698269999999999</v>
      </c>
      <c r="V3893">
        <v>0.2093602</v>
      </c>
      <c r="W3893">
        <v>3.8267629999999997E-2</v>
      </c>
      <c r="X3893">
        <v>0.97708950000000006</v>
      </c>
      <c r="Y3893">
        <v>0.56029399999999996</v>
      </c>
      <c r="Z3893">
        <v>0.13498760000000001</v>
      </c>
      <c r="AA3893">
        <v>0.81722030000000001</v>
      </c>
      <c r="AB3893">
        <v>26</v>
      </c>
      <c r="AC3893">
        <v>-7.43</v>
      </c>
      <c r="AD3893">
        <v>-1.1042883053029999</v>
      </c>
      <c r="AE3893">
        <v>-3.3384</v>
      </c>
      <c r="AF3893">
        <v>4.6185649277837797</v>
      </c>
      <c r="AG3893">
        <v>-1.1042883053029999</v>
      </c>
      <c r="AH3893">
        <v>6.5303441006654097</v>
      </c>
      <c r="AI3893">
        <v>97.860640235004496</v>
      </c>
      <c r="AJ3893">
        <v>54.730262581301197</v>
      </c>
      <c r="AK3893">
        <v>8.0744033046708203</v>
      </c>
      <c r="AL3893">
        <v>87.806890813177205</v>
      </c>
      <c r="AM3893">
        <v>77.906146771167897</v>
      </c>
      <c r="AN3893">
        <v>0.99999999793005301</v>
      </c>
    </row>
    <row r="3894" spans="1:40" x14ac:dyDescent="0.25">
      <c r="A3894" t="str">
        <f>"20190312151104112"</f>
        <v>20190312151104112</v>
      </c>
      <c r="B3894" t="str">
        <f>"1552374664105331"</f>
        <v>1552374664105331</v>
      </c>
      <c r="C3894" t="s">
        <v>40</v>
      </c>
      <c r="D3894">
        <v>5.3474399999999997</v>
      </c>
      <c r="E3894">
        <v>0.65797899999999998</v>
      </c>
      <c r="F3894" t="s">
        <v>79</v>
      </c>
      <c r="G3894">
        <v>-207.20339999999999</v>
      </c>
      <c r="H3894" s="1">
        <v>-7.2628159999999998E-6</v>
      </c>
      <c r="I3894">
        <v>142.09540000000001</v>
      </c>
      <c r="J3894">
        <v>-199.7997</v>
      </c>
      <c r="K3894">
        <v>1.1042829999999999</v>
      </c>
      <c r="L3894">
        <v>145.37950000000001</v>
      </c>
      <c r="M3894">
        <v>-0.51224409999999998</v>
      </c>
      <c r="N3894">
        <v>0</v>
      </c>
      <c r="O3894">
        <v>-0.85872660000000001</v>
      </c>
      <c r="P3894">
        <v>-0.68021399999999999</v>
      </c>
      <c r="Q3894">
        <v>2.7840730000000001E-2</v>
      </c>
      <c r="R3894">
        <v>-0.7324851</v>
      </c>
      <c r="S3894">
        <v>-2.9771420000000002</v>
      </c>
      <c r="T3894">
        <v>-0.4393089</v>
      </c>
      <c r="U3894">
        <v>-1.3562620000000001</v>
      </c>
      <c r="V3894">
        <v>0.20950779999999999</v>
      </c>
      <c r="W3894">
        <v>3.8436310000000001E-2</v>
      </c>
      <c r="X3894">
        <v>0.97705129999999996</v>
      </c>
      <c r="Y3894">
        <v>0.55979659999999998</v>
      </c>
      <c r="Z3894">
        <v>0.13548859999999999</v>
      </c>
      <c r="AA3894">
        <v>0.81747819999999904</v>
      </c>
      <c r="AB3894">
        <v>26</v>
      </c>
      <c r="AC3894">
        <v>-7.4036999999999802</v>
      </c>
      <c r="AD3894">
        <v>-1.1042902628159901</v>
      </c>
      <c r="AE3894">
        <v>-3.2840999999999898</v>
      </c>
      <c r="AF3894">
        <v>4.5906122128874198</v>
      </c>
      <c r="AG3894">
        <v>-1.1042902628159901</v>
      </c>
      <c r="AH3894">
        <v>6.4925966433614599</v>
      </c>
      <c r="AI3894">
        <v>97.906490860283697</v>
      </c>
      <c r="AJ3894">
        <v>54.7376512543403</v>
      </c>
      <c r="AK3894">
        <v>8.0278881810255598</v>
      </c>
      <c r="AL3894">
        <v>87.797219172363398</v>
      </c>
      <c r="AM3894">
        <v>77.897412592018597</v>
      </c>
      <c r="AN3894">
        <v>1.0000000555094699</v>
      </c>
    </row>
    <row r="3895" spans="1:40" x14ac:dyDescent="0.25">
      <c r="A3895" t="str">
        <f>"20190312151104124"</f>
        <v>20190312151104124</v>
      </c>
      <c r="B3895" t="str">
        <f>"1552374664115091"</f>
        <v>1552374664115091</v>
      </c>
      <c r="C3895" t="s">
        <v>40</v>
      </c>
      <c r="D3895">
        <v>5.307855</v>
      </c>
      <c r="E3895">
        <v>0.65778190000000003</v>
      </c>
      <c r="F3895" t="s">
        <v>79</v>
      </c>
      <c r="G3895">
        <v>-207.2938</v>
      </c>
      <c r="H3895" s="1">
        <v>-7.1989480000000003E-6</v>
      </c>
      <c r="I3895">
        <v>142.00530000000001</v>
      </c>
      <c r="J3895">
        <v>-199.87379999999999</v>
      </c>
      <c r="K3895">
        <v>1.104287</v>
      </c>
      <c r="L3895">
        <v>145.2647</v>
      </c>
      <c r="M3895">
        <v>-0.5161251</v>
      </c>
      <c r="N3895">
        <v>0</v>
      </c>
      <c r="O3895">
        <v>-0.85639969999999999</v>
      </c>
      <c r="P3895">
        <v>-0.68367449999999996</v>
      </c>
      <c r="Q3895">
        <v>2.7637950000000001E-2</v>
      </c>
      <c r="R3895">
        <v>-0.72926400000000002</v>
      </c>
      <c r="S3895">
        <v>-2.982361</v>
      </c>
      <c r="T3895">
        <v>-0.43946429999999997</v>
      </c>
      <c r="U3895">
        <v>-1.3428340000000001</v>
      </c>
      <c r="V3895">
        <v>0.2097049</v>
      </c>
      <c r="W3895">
        <v>3.8233789999999997E-2</v>
      </c>
      <c r="X3895">
        <v>0.97701689999999997</v>
      </c>
      <c r="Y3895">
        <v>0.55966059999999995</v>
      </c>
      <c r="Z3895">
        <v>0.1354136</v>
      </c>
      <c r="AA3895">
        <v>0.81758369999999903</v>
      </c>
      <c r="AB3895">
        <v>26</v>
      </c>
      <c r="AC3895">
        <v>-7.4200000000000097</v>
      </c>
      <c r="AD3895">
        <v>-1.104294198948</v>
      </c>
      <c r="AE3895">
        <v>-3.2593999999999901</v>
      </c>
      <c r="AF3895">
        <v>4.5875068263800802</v>
      </c>
      <c r="AG3895">
        <v>-1.104294198948</v>
      </c>
      <c r="AH3895">
        <v>6.5009398795039299</v>
      </c>
      <c r="AI3895">
        <v>97.901590379220096</v>
      </c>
      <c r="AJ3895">
        <v>54.790595676838798</v>
      </c>
      <c r="AK3895">
        <v>8.0328639896887797</v>
      </c>
      <c r="AL3895">
        <v>87.808831116637293</v>
      </c>
      <c r="AM3895">
        <v>77.885948972633699</v>
      </c>
      <c r="AN3895">
        <v>0.99999999533369199</v>
      </c>
    </row>
    <row r="3896" spans="1:40" x14ac:dyDescent="0.25">
      <c r="A3896" t="str">
        <f>"20190312151104143"</f>
        <v>20190312151104143</v>
      </c>
      <c r="B3896" t="str">
        <f>"1552374664134614"</f>
        <v>1552374664134614</v>
      </c>
      <c r="C3896" t="s">
        <v>40</v>
      </c>
      <c r="D3896">
        <v>5.6067470000000004</v>
      </c>
      <c r="E3896">
        <v>0.66272259999999905</v>
      </c>
      <c r="F3896" t="s">
        <v>79</v>
      </c>
      <c r="G3896">
        <v>-207.35169999999999</v>
      </c>
      <c r="H3896" s="1">
        <v>-7.1549839999999997E-6</v>
      </c>
      <c r="I3896">
        <v>141.93600000000001</v>
      </c>
      <c r="J3896">
        <v>-199.9881</v>
      </c>
      <c r="K3896">
        <v>1.1042940000000001</v>
      </c>
      <c r="L3896">
        <v>145.08959999999999</v>
      </c>
      <c r="M3896">
        <v>-0.52204410000000001</v>
      </c>
      <c r="N3896">
        <v>0</v>
      </c>
      <c r="O3896">
        <v>-0.85280440000000002</v>
      </c>
      <c r="P3896">
        <v>-0.68891279999999999</v>
      </c>
      <c r="Q3896">
        <v>2.7581089999999999E-2</v>
      </c>
      <c r="R3896">
        <v>-0.72431909999999999</v>
      </c>
      <c r="S3896">
        <v>-2.9874269999999998</v>
      </c>
      <c r="T3896">
        <v>-0.44116539999999999</v>
      </c>
      <c r="U3896">
        <v>-1.3298190000000001</v>
      </c>
      <c r="V3896">
        <v>0.20997750000000001</v>
      </c>
      <c r="W3896">
        <v>3.8178530000000002E-2</v>
      </c>
      <c r="X3896">
        <v>0.97696050000000001</v>
      </c>
      <c r="Y3896">
        <v>0.55738679999999996</v>
      </c>
      <c r="Z3896">
        <v>0.13561979999999901</v>
      </c>
      <c r="AA3896">
        <v>0.81910150000000004</v>
      </c>
      <c r="AB3896">
        <v>26</v>
      </c>
      <c r="AC3896">
        <v>-7.3635999999999902</v>
      </c>
      <c r="AD3896">
        <v>-1.1043011549840001</v>
      </c>
      <c r="AE3896">
        <v>-3.15359999999998</v>
      </c>
      <c r="AF3896">
        <v>4.5474213693017598</v>
      </c>
      <c r="AG3896">
        <v>-1.1043011549840001</v>
      </c>
      <c r="AH3896">
        <v>6.4123007561623204</v>
      </c>
      <c r="AI3896">
        <v>97.996410878003005</v>
      </c>
      <c r="AJ3896">
        <v>54.656818086689697</v>
      </c>
      <c r="AK3896">
        <v>7.9382695304682898</v>
      </c>
      <c r="AL3896">
        <v>87.811999571328101</v>
      </c>
      <c r="AM3896">
        <v>77.869988155943602</v>
      </c>
      <c r="AN3896">
        <v>0.99999998460973005</v>
      </c>
    </row>
    <row r="3897" spans="1:40" x14ac:dyDescent="0.25">
      <c r="A3897" t="str">
        <f>"20190312151104155"</f>
        <v>20190312151104155</v>
      </c>
      <c r="B3897" t="str">
        <f>"1552374664145347"</f>
        <v>1552374664145347</v>
      </c>
      <c r="C3897" t="s">
        <v>40</v>
      </c>
      <c r="D3897">
        <v>5.4461309999999896</v>
      </c>
      <c r="E3897">
        <v>0.65882659999999904</v>
      </c>
      <c r="F3897" t="s">
        <v>79</v>
      </c>
      <c r="G3897">
        <v>-206.36840000000001</v>
      </c>
      <c r="H3897" s="1">
        <v>-7.7109760000000006E-6</v>
      </c>
      <c r="I3897">
        <v>142.3903</v>
      </c>
      <c r="J3897">
        <v>-200.07050000000001</v>
      </c>
      <c r="K3897">
        <v>1.104301</v>
      </c>
      <c r="L3897">
        <v>144.965</v>
      </c>
      <c r="M3897">
        <v>-0.52625919999999904</v>
      </c>
      <c r="N3897">
        <v>0</v>
      </c>
      <c r="O3897">
        <v>-0.85021000000000002</v>
      </c>
      <c r="P3897">
        <v>-0.69255809999999995</v>
      </c>
      <c r="Q3897">
        <v>2.777427E-2</v>
      </c>
      <c r="R3897">
        <v>-0.72082760000000001</v>
      </c>
      <c r="S3897">
        <v>-3.0285340000000001</v>
      </c>
      <c r="T3897">
        <v>-0.52417609999999903</v>
      </c>
      <c r="U3897">
        <v>-1.2812809999999999</v>
      </c>
      <c r="V3897">
        <v>0.21007600000000001</v>
      </c>
      <c r="W3897">
        <v>3.8374369999999998E-2</v>
      </c>
      <c r="X3897">
        <v>0.97693169999999996</v>
      </c>
      <c r="Y3897">
        <v>0.56467829999999997</v>
      </c>
      <c r="Z3897">
        <v>0.16003539999999999</v>
      </c>
      <c r="AA3897">
        <v>0.80964630000000004</v>
      </c>
      <c r="AB3897">
        <v>26</v>
      </c>
      <c r="AC3897">
        <v>-6.2978999999999896</v>
      </c>
      <c r="AD3897">
        <v>-1.1043087109759999</v>
      </c>
      <c r="AE3897">
        <v>-2.5747</v>
      </c>
      <c r="AF3897">
        <v>3.8972989504040898</v>
      </c>
      <c r="AG3897">
        <v>-1.1043087109759999</v>
      </c>
      <c r="AH3897">
        <v>5.3626289623709997</v>
      </c>
      <c r="AI3897">
        <v>99.457584048338802</v>
      </c>
      <c r="AJ3897">
        <v>53.9921620550437</v>
      </c>
      <c r="AK3897">
        <v>6.7205822832563102</v>
      </c>
      <c r="AL3897">
        <v>87.800770641746695</v>
      </c>
      <c r="AM3897">
        <v>77.864119462314505</v>
      </c>
      <c r="AN3897">
        <v>1.00000003225689</v>
      </c>
    </row>
    <row r="3898" spans="1:40" x14ac:dyDescent="0.25">
      <c r="A3898" t="str">
        <f>"20190312151104166"</f>
        <v>20190312151104166</v>
      </c>
      <c r="B3898" t="str">
        <f>"1552374664155107"</f>
        <v>1552374664155107</v>
      </c>
      <c r="C3898" t="s">
        <v>40</v>
      </c>
      <c r="D3898">
        <v>5.4606059999999896</v>
      </c>
      <c r="E3898">
        <v>0.6568678</v>
      </c>
      <c r="F3898" t="s">
        <v>79</v>
      </c>
      <c r="G3898">
        <v>-206.5582</v>
      </c>
      <c r="H3898" s="1">
        <v>-7.5744300000000003E-6</v>
      </c>
      <c r="I3898">
        <v>142.1918</v>
      </c>
      <c r="J3898">
        <v>-200.14340000000001</v>
      </c>
      <c r="K3898">
        <v>1.1043080000000001</v>
      </c>
      <c r="L3898">
        <v>144.85589999999999</v>
      </c>
      <c r="M3898">
        <v>-0.52994919999999901</v>
      </c>
      <c r="N3898">
        <v>0</v>
      </c>
      <c r="O3898">
        <v>-0.84791450000000002</v>
      </c>
      <c r="P3898">
        <v>-0.69587410000000005</v>
      </c>
      <c r="Q3898">
        <v>2.783735E-2</v>
      </c>
      <c r="R3898">
        <v>-0.71762440000000005</v>
      </c>
      <c r="S3898">
        <v>-3.0122070000000001</v>
      </c>
      <c r="T3898">
        <v>-0.51272429999999902</v>
      </c>
      <c r="U3898">
        <v>-1.2875369999999999</v>
      </c>
      <c r="V3898">
        <v>0.210336</v>
      </c>
      <c r="W3898">
        <v>3.8436310000000001E-2</v>
      </c>
      <c r="X3898">
        <v>0.97687330000000006</v>
      </c>
      <c r="Y3898">
        <v>0.55863160000000001</v>
      </c>
      <c r="Z3898">
        <v>0.15668180000000001</v>
      </c>
      <c r="AA3898">
        <v>0.81448240000000005</v>
      </c>
      <c r="AB3898">
        <v>26</v>
      </c>
      <c r="AC3898">
        <v>-6.4147999999999801</v>
      </c>
      <c r="AD3898">
        <v>-1.1043155744299999</v>
      </c>
      <c r="AE3898">
        <v>-2.6640999999999901</v>
      </c>
      <c r="AF3898">
        <v>3.9284593601762401</v>
      </c>
      <c r="AG3898">
        <v>-1.1043155744299999</v>
      </c>
      <c r="AH3898">
        <v>5.5194857395489398</v>
      </c>
      <c r="AI3898">
        <v>99.258025389308102</v>
      </c>
      <c r="AJ3898">
        <v>54.558878848296899</v>
      </c>
      <c r="AK3898">
        <v>6.8641844862714096</v>
      </c>
      <c r="AL3898">
        <v>87.797219079863098</v>
      </c>
      <c r="AM3898">
        <v>77.848840740965898</v>
      </c>
      <c r="AN3898">
        <v>1.0000000135376499</v>
      </c>
    </row>
    <row r="3899" spans="1:40" x14ac:dyDescent="0.25">
      <c r="A3899" t="str">
        <f>"20190312151104180"</f>
        <v>20190312151104180</v>
      </c>
      <c r="B3899" t="str">
        <f>"1552374664174627"</f>
        <v>1552374664174627</v>
      </c>
      <c r="C3899" t="s">
        <v>40</v>
      </c>
      <c r="D3899">
        <v>5.4746540000000001</v>
      </c>
      <c r="E3899">
        <v>0.65481630000000002</v>
      </c>
      <c r="F3899" t="s">
        <v>79</v>
      </c>
      <c r="G3899">
        <v>-206.6859</v>
      </c>
      <c r="H3899" s="1">
        <v>-7.4832069999999998E-6</v>
      </c>
      <c r="I3899">
        <v>142.0609</v>
      </c>
      <c r="J3899">
        <v>-200.2276</v>
      </c>
      <c r="K3899">
        <v>1.104317</v>
      </c>
      <c r="L3899">
        <v>144.73099999999999</v>
      </c>
      <c r="M3899">
        <v>-0.53417380000000003</v>
      </c>
      <c r="N3899">
        <v>0</v>
      </c>
      <c r="O3899">
        <v>-0.8452596</v>
      </c>
      <c r="P3899">
        <v>-0.69973149999999995</v>
      </c>
      <c r="Q3899">
        <v>2.8051449999999999E-2</v>
      </c>
      <c r="R3899">
        <v>-0.71385540000000003</v>
      </c>
      <c r="S3899">
        <v>-3.0067439999999999</v>
      </c>
      <c r="T3899">
        <v>-0.50751270000000004</v>
      </c>
      <c r="U3899">
        <v>-1.284546</v>
      </c>
      <c r="V3899">
        <v>0.2107329</v>
      </c>
      <c r="W3899">
        <v>3.8648340000000003E-2</v>
      </c>
      <c r="X3899">
        <v>0.97677930000000002</v>
      </c>
      <c r="Y3899">
        <v>0.55491639999999998</v>
      </c>
      <c r="Z3899">
        <v>0.154997</v>
      </c>
      <c r="AA3899">
        <v>0.8173395</v>
      </c>
      <c r="AB3899">
        <v>26</v>
      </c>
      <c r="AC3899">
        <v>-6.4583000000000004</v>
      </c>
      <c r="AD3899">
        <v>-1.1043244832070001</v>
      </c>
      <c r="AE3899">
        <v>-2.6700999999999899</v>
      </c>
      <c r="AF3899">
        <v>3.9347817780758998</v>
      </c>
      <c r="AG3899">
        <v>-1.1043244832070001</v>
      </c>
      <c r="AH3899">
        <v>5.5682948406782904</v>
      </c>
      <c r="AI3899">
        <v>99.200084786657698</v>
      </c>
      <c r="AJ3899">
        <v>54.753430848127998</v>
      </c>
      <c r="AK3899">
        <v>6.9070940081928196</v>
      </c>
      <c r="AL3899">
        <v>87.785061426559395</v>
      </c>
      <c r="AM3899">
        <v>77.825458397918595</v>
      </c>
      <c r="AN3899">
        <v>0.99999992511782498</v>
      </c>
    </row>
    <row r="3900" spans="1:40" x14ac:dyDescent="0.25">
      <c r="A3900" t="str">
        <f>"20190312151104191"</f>
        <v>20190312151104191</v>
      </c>
      <c r="B3900" t="str">
        <f>"1552374664185363"</f>
        <v>1552374664185363</v>
      </c>
      <c r="C3900" t="s">
        <v>40</v>
      </c>
      <c r="D3900">
        <v>5.4524470000000003</v>
      </c>
      <c r="E3900">
        <v>0.65401969999999898</v>
      </c>
      <c r="F3900" t="s">
        <v>79</v>
      </c>
      <c r="G3900">
        <v>-206.81829999999999</v>
      </c>
      <c r="H3900" s="1">
        <v>-7.3876289999999902E-6</v>
      </c>
      <c r="I3900">
        <v>141.9212</v>
      </c>
      <c r="J3900">
        <v>-200.304</v>
      </c>
      <c r="K3900">
        <v>1.104325</v>
      </c>
      <c r="L3900">
        <v>144.6191</v>
      </c>
      <c r="M3900">
        <v>-0.53796359999999999</v>
      </c>
      <c r="N3900">
        <v>0</v>
      </c>
      <c r="O3900">
        <v>-0.8428525</v>
      </c>
      <c r="P3900">
        <v>-0.70301849999999999</v>
      </c>
      <c r="Q3900">
        <v>2.801068E-2</v>
      </c>
      <c r="R3900">
        <v>-0.71061989999999997</v>
      </c>
      <c r="S3900">
        <v>-3.0018919999999998</v>
      </c>
      <c r="T3900">
        <v>-0.50298949999999998</v>
      </c>
      <c r="U3900">
        <v>-1.2798</v>
      </c>
      <c r="V3900">
        <v>0.21085309999999999</v>
      </c>
      <c r="W3900">
        <v>3.8610230000000002E-2</v>
      </c>
      <c r="X3900">
        <v>0.97675500000000004</v>
      </c>
      <c r="Y3900">
        <v>0.55202589999999996</v>
      </c>
      <c r="Z3900">
        <v>0.1535861</v>
      </c>
      <c r="AA3900">
        <v>0.81956010000000001</v>
      </c>
      <c r="AB3900">
        <v>25</v>
      </c>
      <c r="AC3900">
        <v>-6.5142999999999898</v>
      </c>
      <c r="AD3900">
        <v>-1.1043323876289901</v>
      </c>
      <c r="AE3900">
        <v>-2.6979000000000002</v>
      </c>
      <c r="AF3900">
        <v>3.9428927139007799</v>
      </c>
      <c r="AG3900">
        <v>-1.1043323876289901</v>
      </c>
      <c r="AH3900">
        <v>5.6405822329243698</v>
      </c>
      <c r="AI3900">
        <v>99.116290825861299</v>
      </c>
      <c r="AJ3900">
        <v>55.045593456067799</v>
      </c>
      <c r="AK3900">
        <v>6.97008758209539</v>
      </c>
      <c r="AL3900">
        <v>87.787246887040297</v>
      </c>
      <c r="AM3900">
        <v>77.818427472452896</v>
      </c>
      <c r="AN3900">
        <v>1.00000005483263</v>
      </c>
    </row>
    <row r="3901" spans="1:40" x14ac:dyDescent="0.25">
      <c r="A3901" t="str">
        <f>"20190312151104208"</f>
        <v>20190312151104208</v>
      </c>
      <c r="B3901" t="str">
        <f>"1552374664204883"</f>
        <v>1552374664204883</v>
      </c>
      <c r="C3901" t="s">
        <v>40</v>
      </c>
      <c r="D3901">
        <v>5.4379109999999997</v>
      </c>
      <c r="E3901">
        <v>0.65291129999999997</v>
      </c>
      <c r="F3901" t="s">
        <v>79</v>
      </c>
      <c r="G3901">
        <v>-206.87809999999999</v>
      </c>
      <c r="H3901" s="1">
        <v>-7.3392629999999998E-6</v>
      </c>
      <c r="I3901">
        <v>141.83850000000001</v>
      </c>
      <c r="J3901">
        <v>-200.41669999999999</v>
      </c>
      <c r="K3901">
        <v>1.1043449999999999</v>
      </c>
      <c r="L3901">
        <v>144.45590000000001</v>
      </c>
      <c r="M3901">
        <v>-0.5434871</v>
      </c>
      <c r="N3901">
        <v>0</v>
      </c>
      <c r="O3901">
        <v>-0.83930159999999998</v>
      </c>
      <c r="P3901">
        <v>-0.70778459999999999</v>
      </c>
      <c r="Q3901">
        <v>2.8242980000000001E-2</v>
      </c>
      <c r="R3901">
        <v>-0.70586400000000005</v>
      </c>
      <c r="S3901">
        <v>-3.0033720000000002</v>
      </c>
      <c r="T3901">
        <v>-0.50451349999999995</v>
      </c>
      <c r="U3901">
        <v>-1.2703249999999999</v>
      </c>
      <c r="V3901">
        <v>0.21101890000000001</v>
      </c>
      <c r="W3901">
        <v>3.8845129999999999E-2</v>
      </c>
      <c r="X3901">
        <v>0.97670979999999996</v>
      </c>
      <c r="Y3901">
        <v>0.54887069999999905</v>
      </c>
      <c r="Z3901">
        <v>0.1536961</v>
      </c>
      <c r="AA3901">
        <v>0.82165589999999999</v>
      </c>
      <c r="AB3901">
        <v>25</v>
      </c>
      <c r="AC3901">
        <v>-6.4613999999999896</v>
      </c>
      <c r="AD3901">
        <v>-1.1043523392629999</v>
      </c>
      <c r="AE3901">
        <v>-2.6173999999999999</v>
      </c>
      <c r="AF3901">
        <v>3.9029868621085</v>
      </c>
      <c r="AG3901">
        <v>-1.1043523392629999</v>
      </c>
      <c r="AH3901">
        <v>5.5692741121447602</v>
      </c>
      <c r="AI3901">
        <v>99.223577485755001</v>
      </c>
      <c r="AJ3901">
        <v>54.976955558184997</v>
      </c>
      <c r="AK3901">
        <v>6.8898268970441503</v>
      </c>
      <c r="AL3901">
        <v>87.773777831115794</v>
      </c>
      <c r="AM3901">
        <v>77.808587832784895</v>
      </c>
      <c r="AN3901">
        <v>0.99999997684898301</v>
      </c>
    </row>
    <row r="3902" spans="1:40" x14ac:dyDescent="0.25">
      <c r="A3902" t="str">
        <f>"20190312151104222"</f>
        <v>20190312151104222</v>
      </c>
      <c r="B3902" t="str">
        <f>"1552374664214643"</f>
        <v>1552374664214643</v>
      </c>
      <c r="C3902" t="s">
        <v>40</v>
      </c>
      <c r="D3902">
        <v>5.4876170000000002</v>
      </c>
      <c r="E3902">
        <v>0.65264119999999903</v>
      </c>
      <c r="F3902" t="s">
        <v>79</v>
      </c>
      <c r="G3902">
        <v>-206.96700000000001</v>
      </c>
      <c r="H3902" s="1">
        <v>-7.2679009999999997E-6</v>
      </c>
      <c r="I3902">
        <v>141.7175</v>
      </c>
      <c r="J3902">
        <v>-200.5043</v>
      </c>
      <c r="K3902">
        <v>1.1043529999999999</v>
      </c>
      <c r="L3902">
        <v>144.3304</v>
      </c>
      <c r="M3902">
        <v>-0.54773579999999999</v>
      </c>
      <c r="N3902">
        <v>0</v>
      </c>
      <c r="O3902">
        <v>-0.83653489999999997</v>
      </c>
      <c r="P3902">
        <v>-0.71150049999999998</v>
      </c>
      <c r="Q3902">
        <v>2.8452479999999999E-2</v>
      </c>
      <c r="R3902">
        <v>-0.70210950000000005</v>
      </c>
      <c r="S3902">
        <v>-3.0056759999999998</v>
      </c>
      <c r="T3902">
        <v>-0.50673939999999995</v>
      </c>
      <c r="U3902">
        <v>-1.2565459999999999</v>
      </c>
      <c r="V3902">
        <v>0.211229</v>
      </c>
      <c r="W3902">
        <v>3.9055729999999997E-2</v>
      </c>
      <c r="X3902">
        <v>0.97665599999999997</v>
      </c>
      <c r="Y3902">
        <v>0.54797709999999999</v>
      </c>
      <c r="Z3902">
        <v>0.15423819999999999</v>
      </c>
      <c r="AA3902">
        <v>0.82215059999999995</v>
      </c>
      <c r="AB3902">
        <v>25</v>
      </c>
      <c r="AC3902">
        <v>-6.4627000000000097</v>
      </c>
      <c r="AD3902">
        <v>-1.1043602679009901</v>
      </c>
      <c r="AE3902">
        <v>-2.61289999999999</v>
      </c>
      <c r="AF3902">
        <v>3.8781483223279301</v>
      </c>
      <c r="AG3902">
        <v>-1.1043602679009901</v>
      </c>
      <c r="AH3902">
        <v>5.58599414161763</v>
      </c>
      <c r="AI3902">
        <v>99.2243046962775</v>
      </c>
      <c r="AJ3902">
        <v>55.229187918929597</v>
      </c>
      <c r="AK3902">
        <v>6.8893378899194504</v>
      </c>
      <c r="AL3902">
        <v>87.761702208577304</v>
      </c>
      <c r="AM3902">
        <v>77.796161031019096</v>
      </c>
      <c r="AN3902">
        <v>0.99999999141141604</v>
      </c>
    </row>
    <row r="3903" spans="1:40" x14ac:dyDescent="0.25">
      <c r="A3903" t="str">
        <f>"20190312151104236"</f>
        <v>20190312151104236</v>
      </c>
      <c r="B3903" t="str">
        <f>"1552374664225378"</f>
        <v>1552374664225378</v>
      </c>
      <c r="C3903" t="s">
        <v>40</v>
      </c>
      <c r="D3903">
        <v>5.4707869999999996</v>
      </c>
      <c r="E3903">
        <v>0.6522734</v>
      </c>
      <c r="F3903" t="s">
        <v>79</v>
      </c>
      <c r="G3903">
        <v>-207.09030000000001</v>
      </c>
      <c r="H3903" s="1">
        <v>-7.1857179999999997E-6</v>
      </c>
      <c r="I3903">
        <v>141.61330000000001</v>
      </c>
      <c r="J3903">
        <v>-200.59649999999999</v>
      </c>
      <c r="K3903">
        <v>1.104363</v>
      </c>
      <c r="L3903">
        <v>144.19980000000001</v>
      </c>
      <c r="M3903">
        <v>-0.55215700000000001</v>
      </c>
      <c r="N3903">
        <v>0</v>
      </c>
      <c r="O3903">
        <v>-0.83362349999999996</v>
      </c>
      <c r="P3903">
        <v>-0.71541369999999904</v>
      </c>
      <c r="Q3903">
        <v>2.8502130000000001E-2</v>
      </c>
      <c r="R3903">
        <v>-0.69811990000000002</v>
      </c>
      <c r="S3903">
        <v>-3.0108799999999998</v>
      </c>
      <c r="T3903">
        <v>-0.50486969999999998</v>
      </c>
      <c r="U3903">
        <v>-1.2421420000000001</v>
      </c>
      <c r="V3903">
        <v>0.21151819999999999</v>
      </c>
      <c r="W3903">
        <v>3.910433E-2</v>
      </c>
      <c r="X3903">
        <v>0.97659149999999995</v>
      </c>
      <c r="Y3903">
        <v>0.54754759999999902</v>
      </c>
      <c r="Z3903">
        <v>0.15344959999999999</v>
      </c>
      <c r="AA3903">
        <v>0.82258419999999899</v>
      </c>
      <c r="AB3903">
        <v>25</v>
      </c>
      <c r="AC3903">
        <v>-6.4938000000000198</v>
      </c>
      <c r="AD3903">
        <v>-1.1043701857179999</v>
      </c>
      <c r="AE3903">
        <v>-2.5865</v>
      </c>
      <c r="AF3903">
        <v>3.8885514479783598</v>
      </c>
      <c r="AG3903">
        <v>-1.1043701857179999</v>
      </c>
      <c r="AH3903">
        <v>5.6024733270825804</v>
      </c>
      <c r="AI3903">
        <v>99.198502279539895</v>
      </c>
      <c r="AJ3903">
        <v>55.236349837241598</v>
      </c>
      <c r="AK3903">
        <v>6.9085579719178103</v>
      </c>
      <c r="AL3903">
        <v>87.758915586259704</v>
      </c>
      <c r="AM3903">
        <v>77.779171339632896</v>
      </c>
      <c r="AN3903">
        <v>1.0000000277141099</v>
      </c>
    </row>
    <row r="3904" spans="1:40" x14ac:dyDescent="0.25">
      <c r="A3904" t="str">
        <f>"20190312151104256"</f>
        <v>20190312151104256</v>
      </c>
      <c r="B3904" t="str">
        <f>"1552374664244898"</f>
        <v>1552374664244898</v>
      </c>
      <c r="C3904" t="s">
        <v>40</v>
      </c>
      <c r="D3904">
        <v>5.5232859999999997</v>
      </c>
      <c r="E3904">
        <v>0.65156610000000004</v>
      </c>
      <c r="F3904" t="s">
        <v>79</v>
      </c>
      <c r="G3904">
        <v>-207.16409999999999</v>
      </c>
      <c r="H3904" s="1">
        <v>-7.1301919999999997E-6</v>
      </c>
      <c r="I3904">
        <v>141.52690000000001</v>
      </c>
      <c r="J3904">
        <v>-200.72890000000001</v>
      </c>
      <c r="K3904">
        <v>1.1043750000000001</v>
      </c>
      <c r="L3904">
        <v>144.01490000000001</v>
      </c>
      <c r="M3904">
        <v>-0.55841799999999997</v>
      </c>
      <c r="N3904">
        <v>0</v>
      </c>
      <c r="O3904">
        <v>-0.82944229999999997</v>
      </c>
      <c r="P3904">
        <v>-0.72070519999999905</v>
      </c>
      <c r="Q3904">
        <v>2.8934319999999999E-2</v>
      </c>
      <c r="R3904">
        <v>-0.69263809999999904</v>
      </c>
      <c r="S3904">
        <v>-3.015854</v>
      </c>
      <c r="T3904">
        <v>-0.50712879999999905</v>
      </c>
      <c r="U3904">
        <v>-1.2274020000000001</v>
      </c>
      <c r="V3904">
        <v>0.21161099999999999</v>
      </c>
      <c r="W3904">
        <v>3.9540770000000003E-2</v>
      </c>
      <c r="X3904">
        <v>0.97655380000000003</v>
      </c>
      <c r="Y3904">
        <v>0.54513400000000001</v>
      </c>
      <c r="Z3904">
        <v>0.15368499999999999</v>
      </c>
      <c r="AA3904">
        <v>0.82414189999999998</v>
      </c>
      <c r="AB3904">
        <v>25</v>
      </c>
      <c r="AC3904">
        <v>-6.4351999999999796</v>
      </c>
      <c r="AD3904">
        <v>-1.104382130192</v>
      </c>
      <c r="AE3904">
        <v>-2.4879999999999902</v>
      </c>
      <c r="AF3904">
        <v>3.8500222355456799</v>
      </c>
      <c r="AG3904">
        <v>-1.104382130192</v>
      </c>
      <c r="AH3904">
        <v>5.5163936937072702</v>
      </c>
      <c r="AI3904">
        <v>99.323096187087998</v>
      </c>
      <c r="AJ3904">
        <v>55.087896436076001</v>
      </c>
      <c r="AK3904">
        <v>6.8171057266010502</v>
      </c>
      <c r="AL3904">
        <v>87.733890012127205</v>
      </c>
      <c r="AM3904">
        <v>77.773513116154803</v>
      </c>
      <c r="AN3904">
        <v>1.0000000060538099</v>
      </c>
    </row>
    <row r="3905" spans="1:40" x14ac:dyDescent="0.25">
      <c r="A3905" t="str">
        <f>"20190312151104277"</f>
        <v>20190312151104277</v>
      </c>
      <c r="B3905" t="str">
        <f>"1552374664275155"</f>
        <v>1552374664275155</v>
      </c>
      <c r="C3905" t="s">
        <v>40</v>
      </c>
      <c r="D3905">
        <v>5.3868359999999997</v>
      </c>
      <c r="E3905">
        <v>0.65165010000000001</v>
      </c>
      <c r="F3905" t="s">
        <v>79</v>
      </c>
      <c r="G3905">
        <v>-207.267</v>
      </c>
      <c r="H3905" s="1">
        <v>-7.0509259999999898E-6</v>
      </c>
      <c r="I3905">
        <v>141.39940000000001</v>
      </c>
      <c r="J3905">
        <v>-200.8734</v>
      </c>
      <c r="K3905">
        <v>1.1043909999999999</v>
      </c>
      <c r="L3905">
        <v>143.81630000000001</v>
      </c>
      <c r="M3905">
        <v>-0.56514359999999997</v>
      </c>
      <c r="N3905">
        <v>0</v>
      </c>
      <c r="O3905">
        <v>-0.82487469999999996</v>
      </c>
      <c r="P3905">
        <v>-0.72645660000000001</v>
      </c>
      <c r="Q3905">
        <v>2.8856730000000001E-2</v>
      </c>
      <c r="R3905">
        <v>-0.68660650000000001</v>
      </c>
      <c r="S3905">
        <v>-3.0214690000000002</v>
      </c>
      <c r="T3905">
        <v>-0.51037239999999995</v>
      </c>
      <c r="U3905">
        <v>-1.2086939999999999</v>
      </c>
      <c r="V3905">
        <v>0.21181120000000001</v>
      </c>
      <c r="W3905">
        <v>3.9465979999999998E-2</v>
      </c>
      <c r="X3905">
        <v>0.97651339999999998</v>
      </c>
      <c r="Y3905">
        <v>0.54315609999999903</v>
      </c>
      <c r="Z3905">
        <v>0.1542307</v>
      </c>
      <c r="AA3905">
        <v>0.825345</v>
      </c>
      <c r="AB3905">
        <v>25</v>
      </c>
      <c r="AC3905">
        <v>-6.3935999999999904</v>
      </c>
      <c r="AD3905">
        <v>-1.1043980509260001</v>
      </c>
      <c r="AE3905">
        <v>-2.4168999999999898</v>
      </c>
      <c r="AF3905">
        <v>3.8089636437894998</v>
      </c>
      <c r="AG3905">
        <v>-1.1043980509260001</v>
      </c>
      <c r="AH3905">
        <v>5.4648183196265396</v>
      </c>
      <c r="AI3905">
        <v>99.4136697717218</v>
      </c>
      <c r="AJ3905">
        <v>55.123606998796099</v>
      </c>
      <c r="AK3905">
        <v>6.7521950772415602</v>
      </c>
      <c r="AL3905">
        <v>87.7381784614428</v>
      </c>
      <c r="AM3905">
        <v>77.761803343469296</v>
      </c>
      <c r="AN3905">
        <v>0.99999998420117997</v>
      </c>
    </row>
    <row r="3906" spans="1:40" x14ac:dyDescent="0.25">
      <c r="A3906" t="str">
        <f>"20190312151104299"</f>
        <v>20190312151104299</v>
      </c>
      <c r="B3906" t="str">
        <f>"1552374664294675"</f>
        <v>1552374664294675</v>
      </c>
      <c r="C3906" t="s">
        <v>40</v>
      </c>
      <c r="D3906">
        <v>5.3808290000000003</v>
      </c>
      <c r="E3906">
        <v>0.65205679999999999</v>
      </c>
      <c r="F3906" t="s">
        <v>79</v>
      </c>
      <c r="G3906">
        <v>-207.3938</v>
      </c>
      <c r="H3906" s="1">
        <v>-6.9612019999999898E-6</v>
      </c>
      <c r="I3906">
        <v>141.27260000000001</v>
      </c>
      <c r="J3906">
        <v>-201.02369999999999</v>
      </c>
      <c r="K3906">
        <v>1.1044039999999999</v>
      </c>
      <c r="L3906">
        <v>143.61349999999999</v>
      </c>
      <c r="M3906">
        <v>-0.57201759999999902</v>
      </c>
      <c r="N3906">
        <v>0</v>
      </c>
      <c r="O3906">
        <v>-0.82012280000000004</v>
      </c>
      <c r="P3906">
        <v>-0.7323558</v>
      </c>
      <c r="Q3906">
        <v>2.887259E-2</v>
      </c>
      <c r="R3906">
        <v>-0.68030999999999997</v>
      </c>
      <c r="S3906">
        <v>-3.0320740000000002</v>
      </c>
      <c r="T3906">
        <v>-0.51355649999999997</v>
      </c>
      <c r="U3906">
        <v>-1.1828459999999901</v>
      </c>
      <c r="V3906">
        <v>0.21207809999999999</v>
      </c>
      <c r="W3906">
        <v>3.9482639999999999E-2</v>
      </c>
      <c r="X3906">
        <v>0.97645479999999996</v>
      </c>
      <c r="Y3906">
        <v>0.5431473</v>
      </c>
      <c r="Z3906">
        <v>0.15474379999999999</v>
      </c>
      <c r="AA3906">
        <v>0.82525469999999901</v>
      </c>
      <c r="AB3906">
        <v>25</v>
      </c>
      <c r="AC3906">
        <v>-6.3700999999999999</v>
      </c>
      <c r="AD3906">
        <v>-1.1044109612019899</v>
      </c>
      <c r="AE3906">
        <v>-2.3408999999999698</v>
      </c>
      <c r="AF3906">
        <v>3.78536082343056</v>
      </c>
      <c r="AG3906">
        <v>-1.1044109612019899</v>
      </c>
      <c r="AH3906">
        <v>5.4206249340594503</v>
      </c>
      <c r="AI3906">
        <v>99.4833312704354</v>
      </c>
      <c r="AJ3906">
        <v>55.072419463006803</v>
      </c>
      <c r="AK3906">
        <v>6.7031227655871799</v>
      </c>
      <c r="AL3906">
        <v>87.737223177551002</v>
      </c>
      <c r="AM3906">
        <v>77.7461346838287</v>
      </c>
      <c r="AN3906">
        <v>0.99999998790200895</v>
      </c>
    </row>
    <row r="3907" spans="1:40" x14ac:dyDescent="0.25">
      <c r="A3907" t="str">
        <f>"20190312151104312"</f>
        <v>20190312151104312</v>
      </c>
      <c r="B3907" t="str">
        <f>"1552374664305411"</f>
        <v>1552374664305411</v>
      </c>
      <c r="C3907" t="s">
        <v>40</v>
      </c>
      <c r="D3907">
        <v>5.582821</v>
      </c>
      <c r="E3907">
        <v>0.65248169999999905</v>
      </c>
      <c r="F3907" t="s">
        <v>79</v>
      </c>
      <c r="G3907">
        <v>-207.64959999999999</v>
      </c>
      <c r="H3907" s="1">
        <v>-6.8025669999999996E-6</v>
      </c>
      <c r="I3907">
        <v>141.10140000000001</v>
      </c>
      <c r="J3907">
        <v>-201.114</v>
      </c>
      <c r="K3907">
        <v>1.1044119999999999</v>
      </c>
      <c r="L3907">
        <v>143.49350000000001</v>
      </c>
      <c r="M3907">
        <v>-0.57608789999999999</v>
      </c>
      <c r="N3907">
        <v>0</v>
      </c>
      <c r="O3907">
        <v>-0.81726869999999996</v>
      </c>
      <c r="P3907">
        <v>-0.73576219999999903</v>
      </c>
      <c r="Q3907">
        <v>2.8767919999999999E-2</v>
      </c>
      <c r="R3907">
        <v>-0.67662919999999904</v>
      </c>
      <c r="S3907">
        <v>-3.0442499999999999</v>
      </c>
      <c r="T3907">
        <v>-0.50741340000000001</v>
      </c>
      <c r="U3907">
        <v>-1.1541440000000001</v>
      </c>
      <c r="V3907">
        <v>0.21212130000000001</v>
      </c>
      <c r="W3907">
        <v>3.9380680000000001E-2</v>
      </c>
      <c r="X3907">
        <v>0.97644949999999997</v>
      </c>
      <c r="Y3907">
        <v>0.54720190000000002</v>
      </c>
      <c r="Z3907">
        <v>0.15286359999999999</v>
      </c>
      <c r="AA3907">
        <v>0.82292339999999997</v>
      </c>
      <c r="AB3907">
        <v>25</v>
      </c>
      <c r="AC3907">
        <v>-6.5355999999999801</v>
      </c>
      <c r="AD3907">
        <v>-1.1044188025669901</v>
      </c>
      <c r="AE3907">
        <v>-2.3920999999999899</v>
      </c>
      <c r="AF3907">
        <v>3.8663042499997999</v>
      </c>
      <c r="AG3907">
        <v>-1.1044188025669901</v>
      </c>
      <c r="AH3907">
        <v>5.5801046610690097</v>
      </c>
      <c r="AI3907">
        <v>99.240262182270897</v>
      </c>
      <c r="AJ3907">
        <v>55.282954065915398</v>
      </c>
      <c r="AK3907">
        <v>6.8779079285429603</v>
      </c>
      <c r="AL3907">
        <v>87.743069527860399</v>
      </c>
      <c r="AM3907">
        <v>77.743649519230999</v>
      </c>
      <c r="AN3907">
        <v>0.99999995496060001</v>
      </c>
    </row>
    <row r="3908" spans="1:40" x14ac:dyDescent="0.25">
      <c r="A3908" t="str">
        <f>"20190312151104332"</f>
        <v>20190312151104332</v>
      </c>
      <c r="B3908" t="str">
        <f>"1552374664324930"</f>
        <v>1552374664324930</v>
      </c>
      <c r="C3908" t="s">
        <v>40</v>
      </c>
      <c r="D3908">
        <v>5.6237320000000004</v>
      </c>
      <c r="E3908">
        <v>0.65266840000000004</v>
      </c>
      <c r="F3908" t="s">
        <v>79</v>
      </c>
      <c r="G3908">
        <v>-207.7534</v>
      </c>
      <c r="H3908" s="1">
        <v>-6.7355509999999996E-6</v>
      </c>
      <c r="I3908">
        <v>141.02199999999999</v>
      </c>
      <c r="J3908">
        <v>-201.25620000000001</v>
      </c>
      <c r="K3908">
        <v>1.1044229999999999</v>
      </c>
      <c r="L3908">
        <v>143.3066</v>
      </c>
      <c r="M3908">
        <v>-0.58242700000000003</v>
      </c>
      <c r="N3908">
        <v>0</v>
      </c>
      <c r="O3908">
        <v>-0.81276319999999902</v>
      </c>
      <c r="P3908">
        <v>-0.74106070000000002</v>
      </c>
      <c r="Q3908">
        <v>2.8888259999999999E-2</v>
      </c>
      <c r="R3908">
        <v>-0.67081630000000003</v>
      </c>
      <c r="S3908">
        <v>-3.0523220000000002</v>
      </c>
      <c r="T3908">
        <v>-0.50772609999999996</v>
      </c>
      <c r="U3908">
        <v>-1.1362300000000001</v>
      </c>
      <c r="V3908">
        <v>0.2122098</v>
      </c>
      <c r="W3908">
        <v>3.9504079999999997E-2</v>
      </c>
      <c r="X3908">
        <v>0.97642530000000005</v>
      </c>
      <c r="Y3908">
        <v>0.54572739999999997</v>
      </c>
      <c r="Z3908">
        <v>0.15241550000000001</v>
      </c>
      <c r="AA3908">
        <v>0.82398490000000002</v>
      </c>
      <c r="AB3908">
        <v>25</v>
      </c>
      <c r="AC3908">
        <v>-6.4971999999999897</v>
      </c>
      <c r="AD3908">
        <v>-1.104429735551</v>
      </c>
      <c r="AE3908">
        <v>-2.2845999999999802</v>
      </c>
      <c r="AF3908">
        <v>3.8514158591238501</v>
      </c>
      <c r="AG3908">
        <v>-1.104429735551</v>
      </c>
      <c r="AH3908">
        <v>5.5000950595663598</v>
      </c>
      <c r="AI3908">
        <v>99.340623740286702</v>
      </c>
      <c r="AJ3908">
        <v>54.998547226966501</v>
      </c>
      <c r="AK3908">
        <v>6.8047200401593404</v>
      </c>
      <c r="AL3908">
        <v>87.735993754121594</v>
      </c>
      <c r="AM3908">
        <v>77.738395967870304</v>
      </c>
      <c r="AN3908">
        <v>0.99999996901638699</v>
      </c>
    </row>
    <row r="3909" spans="1:40" x14ac:dyDescent="0.25">
      <c r="A3909" t="str">
        <f>"20190312151104344"</f>
        <v>20190312151104344</v>
      </c>
      <c r="B3909" t="str">
        <f>"1552374664334691"</f>
        <v>1552374664334691</v>
      </c>
      <c r="C3909" t="s">
        <v>40</v>
      </c>
      <c r="D3909">
        <v>5.3653209999999998</v>
      </c>
      <c r="E3909">
        <v>0.67264250000000003</v>
      </c>
      <c r="F3909" t="s">
        <v>79</v>
      </c>
      <c r="G3909">
        <v>-207.976</v>
      </c>
      <c r="H3909" s="1">
        <v>-6.5964470000000003E-6</v>
      </c>
      <c r="I3909">
        <v>140.8689</v>
      </c>
      <c r="J3909">
        <v>-201.33840000000001</v>
      </c>
      <c r="K3909">
        <v>1.1044309999999999</v>
      </c>
      <c r="L3909">
        <v>143.19999999999999</v>
      </c>
      <c r="M3909">
        <v>-0.58604630000000002</v>
      </c>
      <c r="N3909">
        <v>0</v>
      </c>
      <c r="O3909">
        <v>-0.81015749999999997</v>
      </c>
      <c r="P3909">
        <v>-0.7441373</v>
      </c>
      <c r="Q3909">
        <v>2.9010850000000001E-2</v>
      </c>
      <c r="R3909">
        <v>-0.66739689999999996</v>
      </c>
      <c r="S3909">
        <v>-3.0622859999999998</v>
      </c>
      <c r="T3909">
        <v>-0.50330019999999998</v>
      </c>
      <c r="U3909">
        <v>-1.110886</v>
      </c>
      <c r="V3909">
        <v>0.21234829999999999</v>
      </c>
      <c r="W3909">
        <v>3.9627009999999997E-2</v>
      </c>
      <c r="X3909">
        <v>0.97639019999999999</v>
      </c>
      <c r="Y3909">
        <v>0.54911709999999903</v>
      </c>
      <c r="Z3909">
        <v>0.15105260000000001</v>
      </c>
      <c r="AA3909">
        <v>0.82198150000000003</v>
      </c>
      <c r="AB3909">
        <v>25</v>
      </c>
      <c r="AC3909">
        <v>-6.6375999999999902</v>
      </c>
      <c r="AD3909">
        <v>-1.1044375964469999</v>
      </c>
      <c r="AE3909">
        <v>-2.33109999999999</v>
      </c>
      <c r="AF3909">
        <v>3.91526293406204</v>
      </c>
      <c r="AG3909">
        <v>-1.1044375964469999</v>
      </c>
      <c r="AH3909">
        <v>5.6400555093804297</v>
      </c>
      <c r="AI3909">
        <v>99.138327017605107</v>
      </c>
      <c r="AJ3909">
        <v>55.232054591128502</v>
      </c>
      <c r="AK3909">
        <v>6.9540845836226604</v>
      </c>
      <c r="AL3909">
        <v>87.728944847305698</v>
      </c>
      <c r="AM3909">
        <v>77.730207988991495</v>
      </c>
      <c r="AN3909">
        <v>0.99999996154523396</v>
      </c>
    </row>
    <row r="3910" spans="1:40" x14ac:dyDescent="0.25">
      <c r="A3910" t="str">
        <f>"20190312151104357"</f>
        <v>20190312151104357</v>
      </c>
      <c r="B3910" t="str">
        <f>"1552374664355187"</f>
        <v>1552374664355187</v>
      </c>
      <c r="C3910" t="s">
        <v>40</v>
      </c>
      <c r="D3910">
        <v>5.2646329999999999</v>
      </c>
      <c r="E3910">
        <v>0.67308459999999903</v>
      </c>
      <c r="F3910" t="s">
        <v>42</v>
      </c>
      <c r="G3910">
        <v>-210.39429999999999</v>
      </c>
      <c r="H3910" s="1">
        <v>-4.6998780000000003E-6</v>
      </c>
      <c r="I3910">
        <v>140.4057</v>
      </c>
      <c r="J3910">
        <v>-201.43119999999999</v>
      </c>
      <c r="K3910">
        <v>1.1044350000000001</v>
      </c>
      <c r="L3910">
        <v>143.0805</v>
      </c>
      <c r="M3910">
        <v>-0.5900995</v>
      </c>
      <c r="N3910">
        <v>0</v>
      </c>
      <c r="O3910">
        <v>-0.80721030000000005</v>
      </c>
      <c r="P3910">
        <v>-0.74737129999999996</v>
      </c>
      <c r="Q3910">
        <v>2.9243669999999999E-2</v>
      </c>
      <c r="R3910">
        <v>-0.66376299999999999</v>
      </c>
      <c r="S3910">
        <v>-3.1694789999999999</v>
      </c>
      <c r="T3910">
        <v>-0.38654159999999999</v>
      </c>
      <c r="U3910">
        <v>-0.97796629999999996</v>
      </c>
      <c r="V3910">
        <v>0.21220749999999999</v>
      </c>
      <c r="W3910">
        <v>3.9864759999999999E-2</v>
      </c>
      <c r="X3910">
        <v>0.97641120000000003</v>
      </c>
      <c r="Y3910">
        <v>0.58983059999999998</v>
      </c>
      <c r="Z3910">
        <v>0.1160086</v>
      </c>
      <c r="AA3910">
        <v>0.79915080000000005</v>
      </c>
      <c r="AB3910">
        <v>25</v>
      </c>
      <c r="AC3910">
        <v>-8.9630999999999901</v>
      </c>
      <c r="AD3910">
        <v>-1.1044396998779999</v>
      </c>
      <c r="AE3910">
        <v>-2.6747999999999998</v>
      </c>
      <c r="AF3910">
        <v>5.5794700548319902</v>
      </c>
      <c r="AG3910">
        <v>-1.1044396998779999</v>
      </c>
      <c r="AH3910">
        <v>7.3465462779540598</v>
      </c>
      <c r="AI3910">
        <v>96.8270330992666</v>
      </c>
      <c r="AJ3910">
        <v>52.784476260175197</v>
      </c>
      <c r="AK3910">
        <v>9.2909641780363206</v>
      </c>
      <c r="AL3910">
        <v>87.715312151972</v>
      </c>
      <c r="AM3910">
        <v>77.738353135991503</v>
      </c>
      <c r="AN3910">
        <v>1.00000002681577</v>
      </c>
    </row>
    <row r="3911" spans="1:40" x14ac:dyDescent="0.25">
      <c r="A3911" t="str">
        <f>"20190312151104369"</f>
        <v>20190312151104369</v>
      </c>
      <c r="B3911" t="str">
        <f>"1552374664364946"</f>
        <v>1552374664364946</v>
      </c>
      <c r="C3911" t="s">
        <v>40</v>
      </c>
      <c r="D3911">
        <v>5.3097799999999999</v>
      </c>
      <c r="E3911">
        <v>0.67282690000000001</v>
      </c>
      <c r="F3911" t="s">
        <v>42</v>
      </c>
      <c r="G3911">
        <v>-211.97280000000001</v>
      </c>
      <c r="H3911" s="1">
        <v>-3.8486779999999999E-6</v>
      </c>
      <c r="I3911">
        <v>139.89330000000001</v>
      </c>
      <c r="J3911">
        <v>-201.5171</v>
      </c>
      <c r="K3911">
        <v>1.104447</v>
      </c>
      <c r="L3911">
        <v>142.9716</v>
      </c>
      <c r="M3911">
        <v>-0.59380129999999998</v>
      </c>
      <c r="N3911">
        <v>0</v>
      </c>
      <c r="O3911">
        <v>-0.80449090000000001</v>
      </c>
      <c r="P3911">
        <v>-0.75023759999999995</v>
      </c>
      <c r="Q3911">
        <v>2.8861230000000002E-2</v>
      </c>
      <c r="R3911">
        <v>-0.66053890000000004</v>
      </c>
      <c r="S3911">
        <v>-3.1746059999999998</v>
      </c>
      <c r="T3911">
        <v>-0.33260319999999999</v>
      </c>
      <c r="U3911">
        <v>-0.9598236</v>
      </c>
      <c r="V3911">
        <v>0.2119325</v>
      </c>
      <c r="W3911">
        <v>3.9489320000000001E-2</v>
      </c>
      <c r="X3911">
        <v>0.97648610000000002</v>
      </c>
      <c r="Y3911">
        <v>0.59263940000000004</v>
      </c>
      <c r="Z3911">
        <v>9.9911929999999996E-2</v>
      </c>
      <c r="AA3911">
        <v>0.79924719999999905</v>
      </c>
      <c r="AB3911">
        <v>25</v>
      </c>
      <c r="AC3911">
        <v>-10.4557</v>
      </c>
      <c r="AD3911">
        <v>-1.104450848678</v>
      </c>
      <c r="AE3911">
        <v>-3.0782999999999801</v>
      </c>
      <c r="AF3911">
        <v>6.5173371013606998</v>
      </c>
      <c r="AG3911">
        <v>-1.104450848678</v>
      </c>
      <c r="AH3911">
        <v>8.5976365500028695</v>
      </c>
      <c r="AI3911">
        <v>95.845094201483406</v>
      </c>
      <c r="AJ3911">
        <v>52.836481953856001</v>
      </c>
      <c r="AK3911">
        <v>10.8450379813011</v>
      </c>
      <c r="AL3911">
        <v>87.736840050906196</v>
      </c>
      <c r="AM3911">
        <v>77.754674175823595</v>
      </c>
      <c r="AN3911">
        <v>0.999999947221759</v>
      </c>
    </row>
    <row r="3912" spans="1:40" x14ac:dyDescent="0.25">
      <c r="A3912" t="str">
        <f>"20190312151104388"</f>
        <v>20190312151104388</v>
      </c>
      <c r="B3912" t="str">
        <f>"1552374664384467"</f>
        <v>1552374664384467</v>
      </c>
      <c r="C3912" t="s">
        <v>40</v>
      </c>
      <c r="D3912">
        <v>5.3919800000000002</v>
      </c>
      <c r="E3912">
        <v>0.67244919999999997</v>
      </c>
      <c r="F3912" t="s">
        <v>42</v>
      </c>
      <c r="G3912">
        <v>-212.5652</v>
      </c>
      <c r="H3912" s="1">
        <v>-3.5109250000000002E-6</v>
      </c>
      <c r="I3912">
        <v>139.6764</v>
      </c>
      <c r="J3912">
        <v>-201.65039999999999</v>
      </c>
      <c r="K3912">
        <v>1.1044529999999999</v>
      </c>
      <c r="L3912">
        <v>142.80410000000001</v>
      </c>
      <c r="M3912">
        <v>-0.59949960000000002</v>
      </c>
      <c r="N3912">
        <v>0</v>
      </c>
      <c r="O3912">
        <v>-0.80025349999999995</v>
      </c>
      <c r="P3912">
        <v>-0.75415259999999995</v>
      </c>
      <c r="Q3912">
        <v>2.871491E-2</v>
      </c>
      <c r="R3912">
        <v>-0.65607169999999904</v>
      </c>
      <c r="S3912">
        <v>-3.1767270000000001</v>
      </c>
      <c r="T3912">
        <v>-0.31756839999999997</v>
      </c>
      <c r="U3912">
        <v>-0.94750979999999996</v>
      </c>
      <c r="V3912">
        <v>0.21079790000000001</v>
      </c>
      <c r="W3912">
        <v>3.9365440000000002E-2</v>
      </c>
      <c r="X3912">
        <v>0.97673670000000001</v>
      </c>
      <c r="Y3912">
        <v>0.590437199999999</v>
      </c>
      <c r="Z3912">
        <v>9.5154810000000006E-2</v>
      </c>
      <c r="AA3912">
        <v>0.80145459999999902</v>
      </c>
      <c r="AB3912">
        <v>25</v>
      </c>
      <c r="AC3912">
        <v>-10.9148</v>
      </c>
      <c r="AD3912">
        <v>-1.104456510925</v>
      </c>
      <c r="AE3912">
        <v>-3.1276999999999999</v>
      </c>
      <c r="AF3912">
        <v>6.7959150449252501</v>
      </c>
      <c r="AG3912">
        <v>-1.104456510925</v>
      </c>
      <c r="AH3912">
        <v>8.9624467422412604</v>
      </c>
      <c r="AI3912">
        <v>95.608141094048605</v>
      </c>
      <c r="AJ3912">
        <v>52.828209206669001</v>
      </c>
      <c r="AK3912">
        <v>11.3017581415405</v>
      </c>
      <c r="AL3912">
        <v>87.743943465103001</v>
      </c>
      <c r="AM3912">
        <v>77.821299966355795</v>
      </c>
      <c r="AN3912">
        <v>0.99999998681884605</v>
      </c>
    </row>
    <row r="3913" spans="1:40" x14ac:dyDescent="0.25">
      <c r="A3913" t="str">
        <f>"20190312151104401"</f>
        <v>20190312151104401</v>
      </c>
      <c r="B3913" t="str">
        <f>"1552374664395203"</f>
        <v>1552374664395203</v>
      </c>
      <c r="C3913" t="s">
        <v>40</v>
      </c>
      <c r="D3913">
        <v>5.3588779999999998</v>
      </c>
      <c r="E3913">
        <v>0.67246309999999998</v>
      </c>
      <c r="F3913" t="s">
        <v>42</v>
      </c>
      <c r="G3913">
        <v>-212.67490000000001</v>
      </c>
      <c r="H3913" s="1">
        <v>-3.4496809999999999E-6</v>
      </c>
      <c r="I3913">
        <v>139.57929999999999</v>
      </c>
      <c r="J3913">
        <v>-201.7405</v>
      </c>
      <c r="K3913">
        <v>1.1044590000000001</v>
      </c>
      <c r="L3913">
        <v>142.69220000000001</v>
      </c>
      <c r="M3913">
        <v>-0.60331080000000004</v>
      </c>
      <c r="N3913">
        <v>0</v>
      </c>
      <c r="O3913">
        <v>-0.79738419999999999</v>
      </c>
      <c r="P3913">
        <v>-0.75686260000000005</v>
      </c>
      <c r="Q3913">
        <v>2.865231E-2</v>
      </c>
      <c r="R3913">
        <v>-0.65294580000000002</v>
      </c>
      <c r="S3913">
        <v>-3.1807249999999998</v>
      </c>
      <c r="T3913">
        <v>-0.31865260000000001</v>
      </c>
      <c r="U3913">
        <v>-0.93040469999999997</v>
      </c>
      <c r="V3913">
        <v>0.21017920000000001</v>
      </c>
      <c r="W3913">
        <v>3.9313969999999997E-2</v>
      </c>
      <c r="X3913">
        <v>0.97687210000000002</v>
      </c>
      <c r="Y3913">
        <v>0.59080769999999905</v>
      </c>
      <c r="Z3913">
        <v>9.5367339999999995E-2</v>
      </c>
      <c r="AA3913">
        <v>0.80115630000000004</v>
      </c>
      <c r="AB3913">
        <v>25</v>
      </c>
      <c r="AC3913">
        <v>-10.9344</v>
      </c>
      <c r="AD3913">
        <v>-1.104462449681</v>
      </c>
      <c r="AE3913">
        <v>-3.1129000000000202</v>
      </c>
      <c r="AF3913">
        <v>6.77757219536179</v>
      </c>
      <c r="AG3913">
        <v>-1.104462449681</v>
      </c>
      <c r="AH3913">
        <v>8.9950096286028796</v>
      </c>
      <c r="AI3913">
        <v>95.600790767485407</v>
      </c>
      <c r="AJ3913">
        <v>53.002656067554497</v>
      </c>
      <c r="AK3913">
        <v>11.3166037478015</v>
      </c>
      <c r="AL3913">
        <v>87.746894775332805</v>
      </c>
      <c r="AM3913">
        <v>77.857615750932794</v>
      </c>
      <c r="AN3913">
        <v>0.99999999205410495</v>
      </c>
    </row>
    <row r="3914" spans="1:40" x14ac:dyDescent="0.25">
      <c r="A3914" t="str">
        <f>"20190312151104412"</f>
        <v>20190312151104412</v>
      </c>
      <c r="B3914" t="str">
        <f>"1552374664404963"</f>
        <v>1552374664404963</v>
      </c>
      <c r="C3914" t="s">
        <v>40</v>
      </c>
      <c r="D3914">
        <v>5.3730859999999998</v>
      </c>
      <c r="E3914">
        <v>0.67171630000000004</v>
      </c>
      <c r="F3914" t="s">
        <v>42</v>
      </c>
      <c r="G3914">
        <v>-212.8091</v>
      </c>
      <c r="H3914" s="1">
        <v>-3.3992980000000002E-6</v>
      </c>
      <c r="I3914">
        <v>139.50550000000001</v>
      </c>
      <c r="J3914">
        <v>-201.82570000000001</v>
      </c>
      <c r="K3914">
        <v>1.104463</v>
      </c>
      <c r="L3914">
        <v>142.58750000000001</v>
      </c>
      <c r="M3914">
        <v>-0.60688089999999995</v>
      </c>
      <c r="N3914">
        <v>0</v>
      </c>
      <c r="O3914">
        <v>-0.7946704</v>
      </c>
      <c r="P3914">
        <v>-0.75939469999999898</v>
      </c>
      <c r="Q3914">
        <v>2.8532020000000002E-2</v>
      </c>
      <c r="R3914">
        <v>-0.65000469999999999</v>
      </c>
      <c r="S3914">
        <v>-3.1847690000000002</v>
      </c>
      <c r="T3914">
        <v>-0.3177857</v>
      </c>
      <c r="U3914">
        <v>-0.91688539999999996</v>
      </c>
      <c r="V3914">
        <v>0.20958940000000001</v>
      </c>
      <c r="W3914">
        <v>3.9203920000000003E-2</v>
      </c>
      <c r="X3914">
        <v>0.97700319999999996</v>
      </c>
      <c r="Y3914">
        <v>0.59064859999999997</v>
      </c>
      <c r="Z3914">
        <v>9.4953309999999999E-2</v>
      </c>
      <c r="AA3914">
        <v>0.80132269999999906</v>
      </c>
      <c r="AB3914">
        <v>25</v>
      </c>
      <c r="AC3914">
        <v>-10.9833999999999</v>
      </c>
      <c r="AD3914">
        <v>-1.1044663992979999</v>
      </c>
      <c r="AE3914">
        <v>-3.0819999999999901</v>
      </c>
      <c r="AF3914">
        <v>6.7947505330381501</v>
      </c>
      <c r="AG3914">
        <v>-1.1044663992979999</v>
      </c>
      <c r="AH3914">
        <v>9.0310216832343198</v>
      </c>
      <c r="AI3914">
        <v>95.581555410929298</v>
      </c>
      <c r="AJ3914">
        <v>53.042967809459597</v>
      </c>
      <c r="AK3914">
        <v>11.355519956234801</v>
      </c>
      <c r="AL3914">
        <v>87.753204964978195</v>
      </c>
      <c r="AM3914">
        <v>77.892259394510802</v>
      </c>
      <c r="AN3914">
        <v>0.99999995837298195</v>
      </c>
    </row>
    <row r="3915" spans="1:40" x14ac:dyDescent="0.25">
      <c r="A3915" t="str">
        <f>"20190312151104434"</f>
        <v>20190312151104434</v>
      </c>
      <c r="B3915" t="str">
        <f>"1552374664424482"</f>
        <v>1552374664424482</v>
      </c>
      <c r="C3915" t="s">
        <v>40</v>
      </c>
      <c r="D3915">
        <v>5.40219</v>
      </c>
      <c r="E3915">
        <v>0.67053929999999995</v>
      </c>
      <c r="F3915" t="s">
        <v>42</v>
      </c>
      <c r="G3915">
        <v>-212.90260000000001</v>
      </c>
      <c r="H3915" s="1">
        <v>-3.3693609999999999E-6</v>
      </c>
      <c r="I3915">
        <v>139.42519999999999</v>
      </c>
      <c r="J3915">
        <v>-201.9776</v>
      </c>
      <c r="K3915">
        <v>1.104463</v>
      </c>
      <c r="L3915">
        <v>142.40299999999999</v>
      </c>
      <c r="M3915">
        <v>-0.61318890000000004</v>
      </c>
      <c r="N3915">
        <v>0</v>
      </c>
      <c r="O3915">
        <v>-0.78981309999999905</v>
      </c>
      <c r="P3915">
        <v>-0.7638355</v>
      </c>
      <c r="Q3915">
        <v>2.8118770000000001E-2</v>
      </c>
      <c r="R3915">
        <v>-0.64479830000000005</v>
      </c>
      <c r="S3915">
        <v>-3.184326</v>
      </c>
      <c r="T3915">
        <v>-0.31750400000000001</v>
      </c>
      <c r="U3915">
        <v>-0.90908809999999995</v>
      </c>
      <c r="V3915">
        <v>0.20849480000000001</v>
      </c>
      <c r="W3915">
        <v>3.880844E-2</v>
      </c>
      <c r="X3915">
        <v>0.97725320000000004</v>
      </c>
      <c r="Y3915">
        <v>0.58604809999999996</v>
      </c>
      <c r="Z3915">
        <v>9.4492359999999997E-2</v>
      </c>
      <c r="AA3915">
        <v>0.80474760000000001</v>
      </c>
      <c r="AB3915">
        <v>25</v>
      </c>
      <c r="AC3915">
        <v>-10.925000000000001</v>
      </c>
      <c r="AD3915">
        <v>-1.104466369361</v>
      </c>
      <c r="AE3915">
        <v>-2.9777999999999998</v>
      </c>
      <c r="AF3915">
        <v>6.7393021462367004</v>
      </c>
      <c r="AG3915">
        <v>-1.104466369361</v>
      </c>
      <c r="AH3915">
        <v>8.9665718650869799</v>
      </c>
      <c r="AI3915">
        <v>95.623500507909597</v>
      </c>
      <c r="AJ3915">
        <v>53.071367365245798</v>
      </c>
      <c r="AK3915">
        <v>11.271089139523699</v>
      </c>
      <c r="AL3915">
        <v>87.775881643991795</v>
      </c>
      <c r="AM3915">
        <v>77.956633197906797</v>
      </c>
      <c r="AN3915">
        <v>0.99999999677625595</v>
      </c>
    </row>
    <row r="3916" spans="1:40" x14ac:dyDescent="0.25">
      <c r="A3916" t="str">
        <f>"20190312151104456"</f>
        <v>20190312151104456</v>
      </c>
      <c r="B3916" t="str">
        <f>"1552374664444978"</f>
        <v>1552374664444978</v>
      </c>
      <c r="C3916" t="s">
        <v>40</v>
      </c>
      <c r="D3916">
        <v>5.33345</v>
      </c>
      <c r="E3916">
        <v>0.67018029999999995</v>
      </c>
      <c r="F3916" t="s">
        <v>42</v>
      </c>
      <c r="G3916">
        <v>-213.04920000000001</v>
      </c>
      <c r="H3916" s="1">
        <v>-3.323252E-6</v>
      </c>
      <c r="I3916">
        <v>139.2944</v>
      </c>
      <c r="J3916">
        <v>-202.1447</v>
      </c>
      <c r="K3916">
        <v>1.104457</v>
      </c>
      <c r="L3916">
        <v>142.20339999999999</v>
      </c>
      <c r="M3916">
        <v>-0.62003989999999998</v>
      </c>
      <c r="N3916">
        <v>0</v>
      </c>
      <c r="O3916">
        <v>-0.78444650000000005</v>
      </c>
      <c r="P3916">
        <v>-0.768192599999999</v>
      </c>
      <c r="Q3916">
        <v>2.8203820000000001E-2</v>
      </c>
      <c r="R3916">
        <v>-0.63959750000000004</v>
      </c>
      <c r="S3916">
        <v>-3.1844790000000001</v>
      </c>
      <c r="T3916">
        <v>-0.3176736</v>
      </c>
      <c r="U3916">
        <v>-0.89410400000000001</v>
      </c>
      <c r="V3916">
        <v>0.206623</v>
      </c>
      <c r="W3916">
        <v>3.892089E-2</v>
      </c>
      <c r="X3916">
        <v>0.97764620000000002</v>
      </c>
      <c r="Y3916">
        <v>0.58253789999999905</v>
      </c>
      <c r="Z3916">
        <v>9.4212589999999999E-2</v>
      </c>
      <c r="AA3916">
        <v>0.80732499999999996</v>
      </c>
      <c r="AB3916">
        <v>25</v>
      </c>
      <c r="AC3916">
        <v>-10.904500000000001</v>
      </c>
      <c r="AD3916">
        <v>-1.1044603232520001</v>
      </c>
      <c r="AE3916">
        <v>-2.90899999999999</v>
      </c>
      <c r="AF3916">
        <v>6.6869154584613097</v>
      </c>
      <c r="AG3916">
        <v>-1.1044603232520001</v>
      </c>
      <c r="AH3916">
        <v>8.9582644885055895</v>
      </c>
      <c r="AI3916">
        <v>95.642490039383205</v>
      </c>
      <c r="AJ3916">
        <v>53.260422583088499</v>
      </c>
      <c r="AK3916">
        <v>11.2332174197897</v>
      </c>
      <c r="AL3916">
        <v>87.769433860626293</v>
      </c>
      <c r="AM3916">
        <v>78.066300373069396</v>
      </c>
      <c r="AN3916">
        <v>0.99999999609091605</v>
      </c>
    </row>
    <row r="3917" spans="1:40" x14ac:dyDescent="0.25">
      <c r="A3917" t="str">
        <f>"20190312151104479"</f>
        <v>20190312151104479</v>
      </c>
      <c r="B3917" t="str">
        <f>"1552374664475235"</f>
        <v>1552374664475235</v>
      </c>
      <c r="C3917" t="s">
        <v>40</v>
      </c>
      <c r="D3917">
        <v>5.355963</v>
      </c>
      <c r="E3917">
        <v>0.66956340000000003</v>
      </c>
      <c r="F3917" t="s">
        <v>42</v>
      </c>
      <c r="G3917">
        <v>-213.25280000000001</v>
      </c>
      <c r="H3917" s="1">
        <v>-3.2510950000000002E-6</v>
      </c>
      <c r="I3917">
        <v>139.15860000000001</v>
      </c>
      <c r="J3917">
        <v>-202.30170000000001</v>
      </c>
      <c r="K3917">
        <v>1.1044400000000001</v>
      </c>
      <c r="L3917">
        <v>142.01929999999999</v>
      </c>
      <c r="M3917">
        <v>-0.62640850000000003</v>
      </c>
      <c r="N3917">
        <v>0</v>
      </c>
      <c r="O3917">
        <v>-0.77937029999999996</v>
      </c>
      <c r="P3917">
        <v>-0.77233419999999997</v>
      </c>
      <c r="Q3917">
        <v>2.8796510000000001E-2</v>
      </c>
      <c r="R3917">
        <v>-0.6345634</v>
      </c>
      <c r="S3917">
        <v>-3.1890719999999999</v>
      </c>
      <c r="T3917">
        <v>-0.31708439999999999</v>
      </c>
      <c r="U3917">
        <v>-0.87416079999999996</v>
      </c>
      <c r="V3917">
        <v>0.205042</v>
      </c>
      <c r="W3917">
        <v>3.953077E-2</v>
      </c>
      <c r="X3917">
        <v>0.97795460000000001</v>
      </c>
      <c r="Y3917">
        <v>0.58096440000000005</v>
      </c>
      <c r="Z3917">
        <v>9.3712900000000002E-2</v>
      </c>
      <c r="AA3917">
        <v>0.80851609999999996</v>
      </c>
      <c r="AB3917">
        <v>25</v>
      </c>
      <c r="AC3917">
        <v>-10.951099999999901</v>
      </c>
      <c r="AD3917">
        <v>-1.104443251095</v>
      </c>
      <c r="AE3917">
        <v>-2.8606999999999698</v>
      </c>
      <c r="AF3917">
        <v>6.6800468279509504</v>
      </c>
      <c r="AG3917">
        <v>-1.104443251095</v>
      </c>
      <c r="AH3917">
        <v>9.00455361499513</v>
      </c>
      <c r="AI3917">
        <v>95.625885251373603</v>
      </c>
      <c r="AJ3917">
        <v>53.430051242357102</v>
      </c>
      <c r="AK3917">
        <v>11.266090995719299</v>
      </c>
      <c r="AL3917">
        <v>87.734463521475604</v>
      </c>
      <c r="AM3917">
        <v>78.158653266418895</v>
      </c>
      <c r="AN3917">
        <v>1.0000000516009699</v>
      </c>
    </row>
    <row r="3918" spans="1:40" x14ac:dyDescent="0.25">
      <c r="A3918" t="str">
        <f>"20190312151104500"</f>
        <v>20190312151104500</v>
      </c>
      <c r="B3918" t="str">
        <f>"1552374664494755"</f>
        <v>1552374664494755</v>
      </c>
      <c r="C3918" t="s">
        <v>40</v>
      </c>
      <c r="D3918">
        <v>5.3588630000000004</v>
      </c>
      <c r="E3918">
        <v>0.66913</v>
      </c>
      <c r="F3918" t="s">
        <v>42</v>
      </c>
      <c r="G3918">
        <v>-213.35919999999999</v>
      </c>
      <c r="H3918" s="1">
        <v>-3.2200110000000002E-6</v>
      </c>
      <c r="I3918">
        <v>139.0505</v>
      </c>
      <c r="J3918">
        <v>-202.4682</v>
      </c>
      <c r="K3918">
        <v>1.104414</v>
      </c>
      <c r="L3918">
        <v>141.82769999999999</v>
      </c>
      <c r="M3918">
        <v>-0.63310619999999995</v>
      </c>
      <c r="N3918">
        <v>0</v>
      </c>
      <c r="O3918">
        <v>-0.77393919999999905</v>
      </c>
      <c r="P3918">
        <v>-0.77710029999999997</v>
      </c>
      <c r="Q3918">
        <v>3.012536E-2</v>
      </c>
      <c r="R3918">
        <v>-0.62865550000000003</v>
      </c>
      <c r="S3918">
        <v>-3.192062</v>
      </c>
      <c r="T3918">
        <v>-0.31883040000000001</v>
      </c>
      <c r="U3918">
        <v>-0.85704040000000004</v>
      </c>
      <c r="V3918">
        <v>0.20404929999999999</v>
      </c>
      <c r="W3918">
        <v>4.0860540000000001E-2</v>
      </c>
      <c r="X3918">
        <v>0.97810750000000002</v>
      </c>
      <c r="Y3918">
        <v>0.57816020000000001</v>
      </c>
      <c r="Z3918">
        <v>9.3841430000000003E-2</v>
      </c>
      <c r="AA3918">
        <v>0.81050880000000003</v>
      </c>
      <c r="AB3918">
        <v>25</v>
      </c>
      <c r="AC3918">
        <v>-10.890999999999901</v>
      </c>
      <c r="AD3918">
        <v>-1.1044172200110001</v>
      </c>
      <c r="AE3918">
        <v>-2.7771999999999899</v>
      </c>
      <c r="AF3918">
        <v>6.6075598664479802</v>
      </c>
      <c r="AG3918">
        <v>-1.1044172200110001</v>
      </c>
      <c r="AH3918">
        <v>8.9589218359237393</v>
      </c>
      <c r="AI3918">
        <v>95.665816757601803</v>
      </c>
      <c r="AJ3918">
        <v>53.589754877039603</v>
      </c>
      <c r="AK3918">
        <v>11.186682495125201</v>
      </c>
      <c r="AL3918">
        <v>87.658211544591097</v>
      </c>
      <c r="AM3918">
        <v>78.216166130252702</v>
      </c>
      <c r="AN3918">
        <v>0.99999999105791504</v>
      </c>
    </row>
    <row r="3919" spans="1:40" x14ac:dyDescent="0.25">
      <c r="A3919" t="str">
        <f>"20190312151104523"</f>
        <v>20190312151104523</v>
      </c>
      <c r="B3919" t="str">
        <f>"1552374664515252"</f>
        <v>1552374664515252</v>
      </c>
      <c r="C3919" t="s">
        <v>40</v>
      </c>
      <c r="D3919">
        <v>5.3351889999999997</v>
      </c>
      <c r="E3919">
        <v>0.66899929999999996</v>
      </c>
      <c r="F3919" t="s">
        <v>42</v>
      </c>
      <c r="G3919">
        <v>-213.60579999999999</v>
      </c>
      <c r="H3919" s="1">
        <v>-3.1272349999999998E-6</v>
      </c>
      <c r="I3919">
        <v>138.91630000000001</v>
      </c>
      <c r="J3919">
        <v>-202.636</v>
      </c>
      <c r="K3919">
        <v>1.1043750000000001</v>
      </c>
      <c r="L3919">
        <v>141.6379</v>
      </c>
      <c r="M3919">
        <v>-0.63980289999999995</v>
      </c>
      <c r="N3919">
        <v>0</v>
      </c>
      <c r="O3919">
        <v>-0.76841230000000005</v>
      </c>
      <c r="P3919">
        <v>-0.78187510000000005</v>
      </c>
      <c r="Q3919">
        <v>3.1350059999999999E-2</v>
      </c>
      <c r="R3919">
        <v>-0.6226469</v>
      </c>
      <c r="S3919">
        <v>-3.196777</v>
      </c>
      <c r="T3919">
        <v>-0.31699500000000003</v>
      </c>
      <c r="U3919">
        <v>-0.83564760000000005</v>
      </c>
      <c r="V3919">
        <v>0.20308019999999999</v>
      </c>
      <c r="W3919">
        <v>4.2084969999999999E-2</v>
      </c>
      <c r="X3919">
        <v>0.9782573</v>
      </c>
      <c r="Y3919">
        <v>0.57654259999999902</v>
      </c>
      <c r="Z3919">
        <v>9.2940729999999999E-2</v>
      </c>
      <c r="AA3919">
        <v>0.81176389999999998</v>
      </c>
      <c r="AB3919">
        <v>25</v>
      </c>
      <c r="AC3919">
        <v>-10.9697999999999</v>
      </c>
      <c r="AD3919">
        <v>-1.104378127235</v>
      </c>
      <c r="AE3919">
        <v>-2.7215999999999898</v>
      </c>
      <c r="AF3919">
        <v>6.6254358146587196</v>
      </c>
      <c r="AG3919">
        <v>-1.104378127235</v>
      </c>
      <c r="AH3919">
        <v>9.0245449575446006</v>
      </c>
      <c r="AI3919">
        <v>95.633714902374606</v>
      </c>
      <c r="AJ3919">
        <v>53.715473249670197</v>
      </c>
      <c r="AK3919">
        <v>11.2498205529164</v>
      </c>
      <c r="AL3919">
        <v>87.587996548418701</v>
      </c>
      <c r="AM3919">
        <v>78.272323837648003</v>
      </c>
      <c r="AN3919">
        <v>1.0000000286676101</v>
      </c>
    </row>
    <row r="3920" spans="1:40" x14ac:dyDescent="0.25">
      <c r="A3920" t="str">
        <f>"20190312151104534"</f>
        <v>20190312151104534</v>
      </c>
      <c r="B3920" t="str">
        <f>"1552374664525011"</f>
        <v>1552374664525011</v>
      </c>
      <c r="C3920" t="s">
        <v>40</v>
      </c>
      <c r="D3920">
        <v>5.2996619999999997</v>
      </c>
      <c r="E3920">
        <v>0.66881440000000003</v>
      </c>
      <c r="F3920" t="s">
        <v>42</v>
      </c>
      <c r="G3920">
        <v>-213.92920000000001</v>
      </c>
      <c r="H3920" s="1">
        <v>-2.9993470000000001E-6</v>
      </c>
      <c r="I3920">
        <v>138.77549999999999</v>
      </c>
      <c r="J3920">
        <v>-202.7321</v>
      </c>
      <c r="K3920">
        <v>1.1043510000000001</v>
      </c>
      <c r="L3920">
        <v>141.53059999999999</v>
      </c>
      <c r="M3920">
        <v>-0.64361440000000003</v>
      </c>
      <c r="N3920">
        <v>0</v>
      </c>
      <c r="O3920">
        <v>-0.76522250000000003</v>
      </c>
      <c r="P3920">
        <v>-0.7847248</v>
      </c>
      <c r="Q3920">
        <v>3.1707260000000001E-2</v>
      </c>
      <c r="R3920">
        <v>-0.61903299999999895</v>
      </c>
      <c r="S3920">
        <v>-3.2029879999999999</v>
      </c>
      <c r="T3920">
        <v>-0.31322539999999999</v>
      </c>
      <c r="U3920">
        <v>-0.81184389999999995</v>
      </c>
      <c r="V3920">
        <v>0.20272760000000001</v>
      </c>
      <c r="W3920">
        <v>4.2437500000000003E-2</v>
      </c>
      <c r="X3920">
        <v>0.97831520000000005</v>
      </c>
      <c r="Y3920">
        <v>0.57865919999999904</v>
      </c>
      <c r="Z3920">
        <v>9.1741110000000001E-2</v>
      </c>
      <c r="AA3920">
        <v>0.81039309999999998</v>
      </c>
      <c r="AB3920">
        <v>25</v>
      </c>
      <c r="AC3920">
        <v>-11.197100000000001</v>
      </c>
      <c r="AD3920">
        <v>-1.104353999347</v>
      </c>
      <c r="AE3920">
        <v>-2.7550999999999899</v>
      </c>
      <c r="AF3920">
        <v>6.7339478899410699</v>
      </c>
      <c r="AG3920">
        <v>-1.104353999347</v>
      </c>
      <c r="AH3920">
        <v>9.2311173986189896</v>
      </c>
      <c r="AI3920">
        <v>95.520516517419395</v>
      </c>
      <c r="AJ3920">
        <v>53.8898657729086</v>
      </c>
      <c r="AK3920">
        <v>11.4795113296429</v>
      </c>
      <c r="AL3920">
        <v>87.567779999394901</v>
      </c>
      <c r="AM3920">
        <v>78.292797342126704</v>
      </c>
      <c r="AN3920">
        <v>1.0000000258795201</v>
      </c>
    </row>
    <row r="3921" spans="1:40" x14ac:dyDescent="0.25">
      <c r="A3921" t="str">
        <f>"20190312151104547"</f>
        <v>20190312151104547</v>
      </c>
      <c r="B3921" t="str">
        <f>"1552374664544531"</f>
        <v>1552374664544531</v>
      </c>
      <c r="C3921" t="s">
        <v>40</v>
      </c>
      <c r="D3921">
        <v>5.3170539999999997</v>
      </c>
      <c r="E3921">
        <v>0.66842849999999998</v>
      </c>
      <c r="F3921" t="s">
        <v>42</v>
      </c>
      <c r="G3921">
        <v>-214.07689999999999</v>
      </c>
      <c r="H3921" s="1">
        <v>-2.9417510000000001E-6</v>
      </c>
      <c r="I3921">
        <v>138.70650000000001</v>
      </c>
      <c r="J3921">
        <v>-202.82550000000001</v>
      </c>
      <c r="K3921">
        <v>1.1043240000000001</v>
      </c>
      <c r="L3921">
        <v>141.42769999999999</v>
      </c>
      <c r="M3921">
        <v>-0.64730940000000003</v>
      </c>
      <c r="N3921">
        <v>0</v>
      </c>
      <c r="O3921">
        <v>-0.76209930000000004</v>
      </c>
      <c r="P3921">
        <v>-0.78754789999999997</v>
      </c>
      <c r="Q3921">
        <v>3.2006439999999997E-2</v>
      </c>
      <c r="R3921">
        <v>-0.61542200000000002</v>
      </c>
      <c r="S3921">
        <v>-3.2060550000000001</v>
      </c>
      <c r="T3921">
        <v>-0.31209170000000003</v>
      </c>
      <c r="U3921">
        <v>-0.79809569999999996</v>
      </c>
      <c r="V3921">
        <v>0.202486</v>
      </c>
      <c r="W3921">
        <v>4.2729549999999998E-2</v>
      </c>
      <c r="X3921">
        <v>0.97835249999999996</v>
      </c>
      <c r="Y3921">
        <v>0.57822439999999997</v>
      </c>
      <c r="Z3921">
        <v>9.1221250000000004E-2</v>
      </c>
      <c r="AA3921">
        <v>0.81076210000000004</v>
      </c>
      <c r="AB3921">
        <v>25</v>
      </c>
      <c r="AC3921">
        <v>-11.251399999999901</v>
      </c>
      <c r="AD3921">
        <v>-1.104326941751</v>
      </c>
      <c r="AE3921">
        <v>-2.7211999999999801</v>
      </c>
      <c r="AF3921">
        <v>6.7524361718436001</v>
      </c>
      <c r="AG3921">
        <v>-1.104326941751</v>
      </c>
      <c r="AH3921">
        <v>9.2734761048091396</v>
      </c>
      <c r="AI3921">
        <v>95.498801723120593</v>
      </c>
      <c r="AJ3921">
        <v>53.939948470748497</v>
      </c>
      <c r="AK3921">
        <v>11.5244215176105</v>
      </c>
      <c r="AL3921">
        <v>87.551031522520901</v>
      </c>
      <c r="AM3921">
        <v>78.306798471949605</v>
      </c>
      <c r="AN3921">
        <v>1.00000000444772</v>
      </c>
    </row>
    <row r="3922" spans="1:40" x14ac:dyDescent="0.25">
      <c r="A3922" t="str">
        <f>"20190312151104566"</f>
        <v>20190312151104566</v>
      </c>
      <c r="B3922" t="str">
        <f>"1552374664555270"</f>
        <v>1552374664555270</v>
      </c>
      <c r="C3922" t="s">
        <v>40</v>
      </c>
      <c r="D3922">
        <v>5.302054</v>
      </c>
      <c r="E3922">
        <v>0.66817649999999995</v>
      </c>
      <c r="F3922" t="s">
        <v>42</v>
      </c>
      <c r="G3922">
        <v>-214.2242</v>
      </c>
      <c r="H3922" s="1">
        <v>-2.8846220000000001E-6</v>
      </c>
      <c r="I3922">
        <v>138.6361</v>
      </c>
      <c r="J3922">
        <v>-202.97479999999999</v>
      </c>
      <c r="K3922">
        <v>1.1042700000000001</v>
      </c>
      <c r="L3922">
        <v>141.26499999999999</v>
      </c>
      <c r="M3922">
        <v>-0.65319850000000002</v>
      </c>
      <c r="N3922">
        <v>0</v>
      </c>
      <c r="O3922">
        <v>-0.7570578</v>
      </c>
      <c r="P3922">
        <v>-0.7926993</v>
      </c>
      <c r="Q3922">
        <v>3.240738E-2</v>
      </c>
      <c r="R3922">
        <v>-0.60875089999999998</v>
      </c>
      <c r="S3922">
        <v>-3.2079930000000001</v>
      </c>
      <c r="T3922">
        <v>-0.31079689999999999</v>
      </c>
      <c r="U3922">
        <v>-0.78565980000000002</v>
      </c>
      <c r="V3922">
        <v>0.20316000000000001</v>
      </c>
      <c r="W3922">
        <v>4.3099230000000002E-2</v>
      </c>
      <c r="X3922">
        <v>0.97819659999999997</v>
      </c>
      <c r="Y3922">
        <v>0.57505430000000002</v>
      </c>
      <c r="Z3922">
        <v>9.0448009999999995E-2</v>
      </c>
      <c r="AA3922">
        <v>0.81310009999999999</v>
      </c>
      <c r="AB3922">
        <v>25</v>
      </c>
      <c r="AC3922">
        <v>-11.2494</v>
      </c>
      <c r="AD3922">
        <v>-1.104272884622</v>
      </c>
      <c r="AE3922">
        <v>-2.6288999999999798</v>
      </c>
      <c r="AF3922">
        <v>6.7383482457378001</v>
      </c>
      <c r="AG3922">
        <v>-1.104272884622</v>
      </c>
      <c r="AH3922">
        <v>9.2546725485460808</v>
      </c>
      <c r="AI3922">
        <v>95.509748951987405</v>
      </c>
      <c r="AJ3922">
        <v>53.941551522920903</v>
      </c>
      <c r="AK3922">
        <v>11.5010312435607</v>
      </c>
      <c r="AL3922">
        <v>87.529831021898701</v>
      </c>
      <c r="AM3922">
        <v>78.267135349976101</v>
      </c>
      <c r="AN3922">
        <v>1.0000000587390701</v>
      </c>
    </row>
    <row r="3923" spans="1:40" x14ac:dyDescent="0.25">
      <c r="A3923" t="str">
        <f>"20190312151104579"</f>
        <v>20190312151104579</v>
      </c>
      <c r="B3923" t="str">
        <f>"1552374664574787"</f>
        <v>1552374664574787</v>
      </c>
      <c r="C3923" t="s">
        <v>40</v>
      </c>
      <c r="D3923">
        <v>5.2699410000000002</v>
      </c>
      <c r="E3923">
        <v>0.66794189999999998</v>
      </c>
      <c r="F3923" t="s">
        <v>42</v>
      </c>
      <c r="G3923">
        <v>-214.44479999999999</v>
      </c>
      <c r="H3923" s="1">
        <v>-2.7952029999999998E-6</v>
      </c>
      <c r="I3923">
        <v>138.5523</v>
      </c>
      <c r="J3923">
        <v>-203.07149999999999</v>
      </c>
      <c r="K3923">
        <v>1.1042339999999999</v>
      </c>
      <c r="L3923">
        <v>141.1609</v>
      </c>
      <c r="M3923">
        <v>-0.65700130000000001</v>
      </c>
      <c r="N3923">
        <v>0</v>
      </c>
      <c r="O3923">
        <v>-0.75375999999999999</v>
      </c>
      <c r="P3923">
        <v>-0.79593919999999996</v>
      </c>
      <c r="Q3923">
        <v>3.2406709999999998E-2</v>
      </c>
      <c r="R3923">
        <v>-0.60450899999999996</v>
      </c>
      <c r="S3923">
        <v>-3.213562</v>
      </c>
      <c r="T3923">
        <v>-0.30938599999999999</v>
      </c>
      <c r="U3923">
        <v>-0.76002499999999995</v>
      </c>
      <c r="V3923">
        <v>0.20346410000000001</v>
      </c>
      <c r="W3923">
        <v>4.3078749999999999E-2</v>
      </c>
      <c r="X3923">
        <v>0.97813419999999895</v>
      </c>
      <c r="Y3923">
        <v>0.57744689999999999</v>
      </c>
      <c r="Z3923">
        <v>8.9960639999999994E-2</v>
      </c>
      <c r="AA3923">
        <v>0.81145690000000004</v>
      </c>
      <c r="AB3923">
        <v>25</v>
      </c>
      <c r="AC3923">
        <v>-11.3733</v>
      </c>
      <c r="AD3923">
        <v>-1.1042367952030001</v>
      </c>
      <c r="AE3923">
        <v>-2.6085999999999898</v>
      </c>
      <c r="AF3923">
        <v>6.7986695412822602</v>
      </c>
      <c r="AG3923">
        <v>-1.1042367952030001</v>
      </c>
      <c r="AH3923">
        <v>9.3556685337724197</v>
      </c>
      <c r="AI3923">
        <v>95.454094621895393</v>
      </c>
      <c r="AJ3923">
        <v>53.994475014899599</v>
      </c>
      <c r="AK3923">
        <v>11.6176495103467</v>
      </c>
      <c r="AL3923">
        <v>87.531005300995005</v>
      </c>
      <c r="AM3923">
        <v>78.249332194748803</v>
      </c>
      <c r="AN3923">
        <v>0.99999996595000495</v>
      </c>
    </row>
    <row r="3924" spans="1:40" x14ac:dyDescent="0.25">
      <c r="A3924" t="str">
        <f>"20190312151104600"</f>
        <v>20190312151104600</v>
      </c>
      <c r="B3924" t="str">
        <f>"1552374664595284"</f>
        <v>1552374664595284</v>
      </c>
      <c r="C3924" t="s">
        <v>40</v>
      </c>
      <c r="D3924">
        <v>5.2873289999999997</v>
      </c>
      <c r="E3924">
        <v>0.66306669999999901</v>
      </c>
      <c r="F3924" t="s">
        <v>42</v>
      </c>
      <c r="G3924">
        <v>-214.51990000000001</v>
      </c>
      <c r="H3924" s="1">
        <v>-2.766843E-6</v>
      </c>
      <c r="I3924">
        <v>138.512</v>
      </c>
      <c r="J3924">
        <v>-203.2329</v>
      </c>
      <c r="K3924">
        <v>1.1041609999999999</v>
      </c>
      <c r="L3924">
        <v>140.98990000000001</v>
      </c>
      <c r="M3924">
        <v>-0.66333469999999894</v>
      </c>
      <c r="N3924">
        <v>0</v>
      </c>
      <c r="O3924">
        <v>-0.74819199999999997</v>
      </c>
      <c r="P3924">
        <v>-0.80126709999999901</v>
      </c>
      <c r="Q3924">
        <v>3.2390969999999998E-2</v>
      </c>
      <c r="R3924">
        <v>-0.59742930000000005</v>
      </c>
      <c r="S3924">
        <v>-3.2165370000000002</v>
      </c>
      <c r="T3924">
        <v>-0.31024629999999997</v>
      </c>
      <c r="U3924">
        <v>-0.74421689999999996</v>
      </c>
      <c r="V3924">
        <v>0.20389350000000001</v>
      </c>
      <c r="W3924">
        <v>4.3031100000000003E-2</v>
      </c>
      <c r="X3924">
        <v>0.97804690000000005</v>
      </c>
      <c r="Y3924">
        <v>0.57452460000000005</v>
      </c>
      <c r="Z3924">
        <v>8.9774640000000003E-2</v>
      </c>
      <c r="AA3924">
        <v>0.81354899999999997</v>
      </c>
      <c r="AB3924">
        <v>25</v>
      </c>
      <c r="AC3924">
        <v>-11.287000000000001</v>
      </c>
      <c r="AD3924">
        <v>-1.104163766843</v>
      </c>
      <c r="AE3924">
        <v>-2.4779</v>
      </c>
      <c r="AF3924">
        <v>6.7402935961853503</v>
      </c>
      <c r="AG3924">
        <v>-1.104163766843</v>
      </c>
      <c r="AH3924">
        <v>9.2573989601125</v>
      </c>
      <c r="AI3924">
        <v>95.507606498428402</v>
      </c>
      <c r="AJ3924">
        <v>53.941712331267802</v>
      </c>
      <c r="AK3924">
        <v>11.504354431843501</v>
      </c>
      <c r="AL3924">
        <v>87.533738030317096</v>
      </c>
      <c r="AM3924">
        <v>78.224203051063995</v>
      </c>
      <c r="AN3924">
        <v>0.99999998675453405</v>
      </c>
    </row>
    <row r="3925" spans="1:40" x14ac:dyDescent="0.25">
      <c r="A3925" t="str">
        <f>"20190312151104612"</f>
        <v>20190312151104612</v>
      </c>
      <c r="B3925" t="str">
        <f>"1552374664605043"</f>
        <v>1552374664605043</v>
      </c>
      <c r="C3925" t="s">
        <v>40</v>
      </c>
      <c r="D3925">
        <v>5.291493</v>
      </c>
      <c r="E3925">
        <v>0.66313549999999999</v>
      </c>
      <c r="F3925" t="s">
        <v>42</v>
      </c>
      <c r="G3925">
        <v>-225.8355</v>
      </c>
      <c r="H3925" s="1">
        <v>-2.463683E-6</v>
      </c>
      <c r="I3925">
        <v>135.69929999999999</v>
      </c>
      <c r="J3925">
        <v>-203.3339</v>
      </c>
      <c r="K3925">
        <v>1.104117</v>
      </c>
      <c r="L3925">
        <v>140.88460000000001</v>
      </c>
      <c r="M3925">
        <v>-0.66728719999999997</v>
      </c>
      <c r="N3925">
        <v>0</v>
      </c>
      <c r="O3925">
        <v>-0.74466880000000002</v>
      </c>
      <c r="P3925">
        <v>-0.80462500000000003</v>
      </c>
      <c r="Q3925">
        <v>3.2356240000000001E-2</v>
      </c>
      <c r="R3925">
        <v>-0.59290089999999995</v>
      </c>
      <c r="S3925">
        <v>-3.1930999999999998</v>
      </c>
      <c r="T3925">
        <v>-0.15598689999999901</v>
      </c>
      <c r="U3925">
        <v>-0.74740600000000001</v>
      </c>
      <c r="V3925">
        <v>0.2042358</v>
      </c>
      <c r="W3925">
        <v>4.2974890000000002E-2</v>
      </c>
      <c r="X3925">
        <v>0.97797800000000001</v>
      </c>
      <c r="Y3925">
        <v>0.57178240000000002</v>
      </c>
      <c r="Z3925">
        <v>4.5363849999999997E-2</v>
      </c>
      <c r="AA3925">
        <v>0.81915019999999905</v>
      </c>
      <c r="AB3925">
        <v>25</v>
      </c>
      <c r="AC3925">
        <v>-22.5016</v>
      </c>
      <c r="AD3925">
        <v>-1.1041194636830001</v>
      </c>
      <c r="AE3925">
        <v>-5.1853000000000096</v>
      </c>
      <c r="AF3925">
        <v>13.267126790436301</v>
      </c>
      <c r="AG3925">
        <v>-1.1041194636830001</v>
      </c>
      <c r="AH3925">
        <v>18.8351496396592</v>
      </c>
      <c r="AI3925">
        <v>92.7437810989464</v>
      </c>
      <c r="AJ3925">
        <v>54.839850652619702</v>
      </c>
      <c r="AK3925">
        <v>23.0650947323428</v>
      </c>
      <c r="AL3925">
        <v>87.536961729063293</v>
      </c>
      <c r="AM3925">
        <v>78.204179322381606</v>
      </c>
      <c r="AN3925">
        <v>1.0000000358280701</v>
      </c>
    </row>
    <row r="3926" spans="1:40" x14ac:dyDescent="0.25">
      <c r="A3926" t="str">
        <f>"20190312151104625"</f>
        <v>20190312151104625</v>
      </c>
      <c r="B3926" t="str">
        <f>"1552374664614803"</f>
        <v>1552374664614803</v>
      </c>
      <c r="C3926" t="s">
        <v>40</v>
      </c>
      <c r="D3926">
        <v>5.2858390000000002</v>
      </c>
      <c r="E3926">
        <v>0.66301279999999996</v>
      </c>
      <c r="F3926" t="s">
        <v>42</v>
      </c>
      <c r="G3926">
        <v>-225.6489</v>
      </c>
      <c r="H3926" s="1">
        <v>-2.5260679999999998E-6</v>
      </c>
      <c r="I3926">
        <v>135.7988</v>
      </c>
      <c r="J3926">
        <v>-203.43360000000001</v>
      </c>
      <c r="K3926">
        <v>1.104074</v>
      </c>
      <c r="L3926">
        <v>140.7817</v>
      </c>
      <c r="M3926">
        <v>-0.67117499999999997</v>
      </c>
      <c r="N3926">
        <v>0</v>
      </c>
      <c r="O3926">
        <v>-0.74116649999999995</v>
      </c>
      <c r="P3926">
        <v>-0.80779279999999998</v>
      </c>
      <c r="Q3926">
        <v>3.25709E-2</v>
      </c>
      <c r="R3926">
        <v>-0.58856619999999904</v>
      </c>
      <c r="S3926">
        <v>-3.197784</v>
      </c>
      <c r="T3926">
        <v>-0.1582228</v>
      </c>
      <c r="U3926">
        <v>-0.7287903</v>
      </c>
      <c r="V3926">
        <v>0.2043778</v>
      </c>
      <c r="W3926">
        <v>4.3172589999999997E-2</v>
      </c>
      <c r="X3926">
        <v>0.97793960000000002</v>
      </c>
      <c r="Y3926">
        <v>0.57225190000000004</v>
      </c>
      <c r="Z3926">
        <v>4.5908350000000001E-2</v>
      </c>
      <c r="AA3926">
        <v>0.81879190000000002</v>
      </c>
      <c r="AB3926">
        <v>25</v>
      </c>
      <c r="AC3926">
        <v>-22.2152999999999</v>
      </c>
      <c r="AD3926">
        <v>-1.1040765260680001</v>
      </c>
      <c r="AE3926">
        <v>-4.9828999999999999</v>
      </c>
      <c r="AF3926">
        <v>13.0913399935101</v>
      </c>
      <c r="AG3926">
        <v>-1.1040765260680001</v>
      </c>
      <c r="AH3926">
        <v>18.561688144801501</v>
      </c>
      <c r="AI3926">
        <v>92.782845952295403</v>
      </c>
      <c r="AJ3926">
        <v>54.805133801185399</v>
      </c>
      <c r="AK3926">
        <v>22.740677971115002</v>
      </c>
      <c r="AL3926">
        <v>87.525623765790897</v>
      </c>
      <c r="AM3926">
        <v>78.195757516578098</v>
      </c>
      <c r="AN3926">
        <v>1.0000000094541499</v>
      </c>
    </row>
    <row r="3927" spans="1:40" x14ac:dyDescent="0.25">
      <c r="A3927" t="str">
        <f>"20190312151104640"</f>
        <v>20190312151104640</v>
      </c>
      <c r="B3927" t="str">
        <f>"1552374664635299"</f>
        <v>1552374664635299</v>
      </c>
      <c r="C3927" t="s">
        <v>40</v>
      </c>
      <c r="D3927">
        <v>5.2714369999999997</v>
      </c>
      <c r="E3927">
        <v>0.66233509999999995</v>
      </c>
      <c r="F3927" t="s">
        <v>42</v>
      </c>
      <c r="G3927">
        <v>-225.61269999999999</v>
      </c>
      <c r="H3927" s="1">
        <v>-2.533127E-6</v>
      </c>
      <c r="I3927">
        <v>135.8467</v>
      </c>
      <c r="J3927">
        <v>-203.54179999999999</v>
      </c>
      <c r="K3927">
        <v>1.1040289999999999</v>
      </c>
      <c r="L3927">
        <v>140.67099999999999</v>
      </c>
      <c r="M3927">
        <v>-0.67537899999999995</v>
      </c>
      <c r="N3927">
        <v>0</v>
      </c>
      <c r="O3927">
        <v>-0.73733769999999998</v>
      </c>
      <c r="P3927">
        <v>-0.81130219999999997</v>
      </c>
      <c r="Q3927">
        <v>3.2419509999999999E-2</v>
      </c>
      <c r="R3927">
        <v>-0.58372749999999995</v>
      </c>
      <c r="S3927">
        <v>-3.201263</v>
      </c>
      <c r="T3927">
        <v>-0.15935949999999999</v>
      </c>
      <c r="U3927">
        <v>-0.71229549999999997</v>
      </c>
      <c r="V3927">
        <v>0.20466860000000001</v>
      </c>
      <c r="W3927">
        <v>4.3001089999999999E-2</v>
      </c>
      <c r="X3927">
        <v>0.97788629999999999</v>
      </c>
      <c r="Y3927">
        <v>0.57178459999999998</v>
      </c>
      <c r="Z3927">
        <v>4.6109110000000002E-2</v>
      </c>
      <c r="AA3927">
        <v>0.81910699999999903</v>
      </c>
      <c r="AB3927">
        <v>25</v>
      </c>
      <c r="AC3927">
        <v>-22.070899999999899</v>
      </c>
      <c r="AD3927">
        <v>-1.1040315331270001</v>
      </c>
      <c r="AE3927">
        <v>-4.8242999999999903</v>
      </c>
      <c r="AF3927">
        <v>12.9857422102053</v>
      </c>
      <c r="AG3927">
        <v>-1.1040315331270001</v>
      </c>
      <c r="AH3927">
        <v>18.4211815597893</v>
      </c>
      <c r="AI3927">
        <v>92.804389388888595</v>
      </c>
      <c r="AJ3927">
        <v>54.818637518887201</v>
      </c>
      <c r="AK3927">
        <v>22.565201449018101</v>
      </c>
      <c r="AL3927">
        <v>87.535459034923704</v>
      </c>
      <c r="AM3927">
        <v>78.178807856206802</v>
      </c>
      <c r="AN3927">
        <v>0.99999997264741802</v>
      </c>
    </row>
    <row r="3928" spans="1:40" x14ac:dyDescent="0.25">
      <c r="A3928" t="str">
        <f>"20190312151104659"</f>
        <v>20190312151104659</v>
      </c>
      <c r="B3928" t="str">
        <f>"1552374664654819"</f>
        <v>1552374664654819</v>
      </c>
      <c r="C3928" t="s">
        <v>40</v>
      </c>
      <c r="D3928">
        <v>5.2329470000000002</v>
      </c>
      <c r="E3928">
        <v>0.66135089999999996</v>
      </c>
      <c r="F3928" t="s">
        <v>42</v>
      </c>
      <c r="G3928">
        <v>-225.49719999999999</v>
      </c>
      <c r="H3928" s="1">
        <v>-2.5750139999999999E-6</v>
      </c>
      <c r="I3928">
        <v>135.88990000000001</v>
      </c>
      <c r="J3928">
        <v>-203.70079999999999</v>
      </c>
      <c r="K3928">
        <v>1.103969</v>
      </c>
      <c r="L3928">
        <v>140.511</v>
      </c>
      <c r="M3928">
        <v>-0.68153319999999995</v>
      </c>
      <c r="N3928">
        <v>0</v>
      </c>
      <c r="O3928">
        <v>-0.73165279999999999</v>
      </c>
      <c r="P3928">
        <v>-0.81623669999999904</v>
      </c>
      <c r="Q3928">
        <v>3.230562E-2</v>
      </c>
      <c r="R3928">
        <v>-0.57681400000000005</v>
      </c>
      <c r="S3928">
        <v>-3.2024539999999999</v>
      </c>
      <c r="T3928">
        <v>-0.1610364</v>
      </c>
      <c r="U3928">
        <v>-0.6973724</v>
      </c>
      <c r="V3928">
        <v>0.204791</v>
      </c>
      <c r="W3928">
        <v>4.2864359999999997E-2</v>
      </c>
      <c r="X3928">
        <v>0.97786669999999998</v>
      </c>
      <c r="Y3928">
        <v>0.56859490000000001</v>
      </c>
      <c r="Z3928">
        <v>4.6367310000000002E-2</v>
      </c>
      <c r="AA3928">
        <v>0.82130990000000004</v>
      </c>
      <c r="AB3928">
        <v>25</v>
      </c>
      <c r="AC3928">
        <v>-21.796399999999998</v>
      </c>
      <c r="AD3928">
        <v>-1.103971575014</v>
      </c>
      <c r="AE3928">
        <v>-4.6210999999999798</v>
      </c>
      <c r="AF3928">
        <v>12.7678776302514</v>
      </c>
      <c r="AG3928">
        <v>-1.103971575014</v>
      </c>
      <c r="AH3928">
        <v>18.193140447145701</v>
      </c>
      <c r="AI3928">
        <v>92.843520111526999</v>
      </c>
      <c r="AJ3928">
        <v>54.93896613167</v>
      </c>
      <c r="AK3928">
        <v>22.2537145606994</v>
      </c>
      <c r="AL3928">
        <v>87.543300371967206</v>
      </c>
      <c r="AM3928">
        <v>78.171707005263599</v>
      </c>
      <c r="AN3928">
        <v>0.99999999500404901</v>
      </c>
    </row>
    <row r="3929" spans="1:40" x14ac:dyDescent="0.25">
      <c r="A3929" t="str">
        <f>"20190312151104681"</f>
        <v>20190312151104681</v>
      </c>
      <c r="B3929" t="str">
        <f>"1552374664675315"</f>
        <v>1552374664675315</v>
      </c>
      <c r="C3929" t="s">
        <v>40</v>
      </c>
      <c r="D3929">
        <v>5.296926</v>
      </c>
      <c r="E3929">
        <v>0.66007660000000001</v>
      </c>
      <c r="F3929" t="s">
        <v>42</v>
      </c>
      <c r="G3929">
        <v>-226.11529999999999</v>
      </c>
      <c r="H3929" s="1">
        <v>-2.3297669999999998E-6</v>
      </c>
      <c r="I3929">
        <v>135.7775</v>
      </c>
      <c r="J3929">
        <v>-203.87469999999999</v>
      </c>
      <c r="K3929">
        <v>1.1039049999999999</v>
      </c>
      <c r="L3929">
        <v>140.33930000000001</v>
      </c>
      <c r="M3929">
        <v>-0.68822139999999998</v>
      </c>
      <c r="N3929">
        <v>0</v>
      </c>
      <c r="O3929">
        <v>-0.72536489999999998</v>
      </c>
      <c r="P3929">
        <v>-0.82132169999999904</v>
      </c>
      <c r="Q3929">
        <v>3.2008250000000002E-2</v>
      </c>
      <c r="R3929">
        <v>-0.56956680000000004</v>
      </c>
      <c r="S3929">
        <v>-3.2035680000000002</v>
      </c>
      <c r="T3929">
        <v>-0.1577839</v>
      </c>
      <c r="U3929">
        <v>-0.67652889999999999</v>
      </c>
      <c r="V3929">
        <v>0.20447870000000001</v>
      </c>
      <c r="W3929">
        <v>4.2555660000000002E-2</v>
      </c>
      <c r="X3929">
        <v>0.97794559999999997</v>
      </c>
      <c r="Y3929">
        <v>0.56627299999999903</v>
      </c>
      <c r="Z3929">
        <v>4.5224199999999999E-2</v>
      </c>
      <c r="AA3929">
        <v>0.82297609999999999</v>
      </c>
      <c r="AB3929">
        <v>25</v>
      </c>
      <c r="AC3929">
        <v>-22.240600000000001</v>
      </c>
      <c r="AD3929">
        <v>-1.1039073297669999</v>
      </c>
      <c r="AE3929">
        <v>-4.5617999999999999</v>
      </c>
      <c r="AF3929">
        <v>12.963654619554701</v>
      </c>
      <c r="AG3929">
        <v>-1.1039073297669999</v>
      </c>
      <c r="AH3929">
        <v>18.573350788064399</v>
      </c>
      <c r="AI3929">
        <v>92.790243954451995</v>
      </c>
      <c r="AJ3929">
        <v>55.086088058930301</v>
      </c>
      <c r="AK3929">
        <v>22.676955527237499</v>
      </c>
      <c r="AL3929">
        <v>87.561003891405207</v>
      </c>
      <c r="AM3929">
        <v>78.190163889176503</v>
      </c>
      <c r="AN3929">
        <v>1.0000000597555401</v>
      </c>
    </row>
    <row r="3930" spans="1:40" x14ac:dyDescent="0.25">
      <c r="A3930" t="str">
        <f>"20190312151104703"</f>
        <v>20190312151104703</v>
      </c>
      <c r="B3930" t="str">
        <f>"1552374664694836"</f>
        <v>1552374664694836</v>
      </c>
      <c r="C3930" t="s">
        <v>40</v>
      </c>
      <c r="D3930">
        <v>5.3001129999999996</v>
      </c>
      <c r="E3930">
        <v>0.65941439999999996</v>
      </c>
      <c r="F3930" t="s">
        <v>42</v>
      </c>
      <c r="G3930">
        <v>-225.5462</v>
      </c>
      <c r="H3930" s="1">
        <v>-2.5520560000000002E-6</v>
      </c>
      <c r="I3930">
        <v>135.9006</v>
      </c>
      <c r="J3930">
        <v>-204.05590000000001</v>
      </c>
      <c r="K3930">
        <v>1.1038619999999999</v>
      </c>
      <c r="L3930">
        <v>140.16390000000001</v>
      </c>
      <c r="M3930">
        <v>-0.69512559999999901</v>
      </c>
      <c r="N3930">
        <v>0</v>
      </c>
      <c r="O3930">
        <v>-0.71875119999999904</v>
      </c>
      <c r="P3930">
        <v>-0.82641100000000001</v>
      </c>
      <c r="Q3930">
        <v>3.164579E-2</v>
      </c>
      <c r="R3930">
        <v>-0.5621775</v>
      </c>
      <c r="S3930">
        <v>-3.2039490000000002</v>
      </c>
      <c r="T3930">
        <v>-0.1632035</v>
      </c>
      <c r="U3930">
        <v>-0.65621949999999996</v>
      </c>
      <c r="V3930">
        <v>0.20390849999999999</v>
      </c>
      <c r="W3930">
        <v>4.2190730000000003E-2</v>
      </c>
      <c r="X3930">
        <v>0.97808039999999996</v>
      </c>
      <c r="Y3930">
        <v>0.56333</v>
      </c>
      <c r="Z3930">
        <v>4.6538679999999999E-2</v>
      </c>
      <c r="AA3930">
        <v>0.82492030000000005</v>
      </c>
      <c r="AB3930">
        <v>25</v>
      </c>
      <c r="AC3930">
        <v>-21.490299999999898</v>
      </c>
      <c r="AD3930">
        <v>-1.103864552056</v>
      </c>
      <c r="AE3930">
        <v>-4.2633000000000099</v>
      </c>
      <c r="AF3930">
        <v>12.4522698979825</v>
      </c>
      <c r="AG3930">
        <v>-1.103864552056</v>
      </c>
      <c r="AH3930">
        <v>17.958895007434101</v>
      </c>
      <c r="AI3930">
        <v>92.891651682660694</v>
      </c>
      <c r="AJ3930">
        <v>55.263482808481498</v>
      </c>
      <c r="AK3930">
        <v>21.881486522846799</v>
      </c>
      <c r="AL3930">
        <v>87.581931494252899</v>
      </c>
      <c r="AM3930">
        <v>78.223753019408093</v>
      </c>
      <c r="AN3930">
        <v>1.0000000014671699</v>
      </c>
    </row>
    <row r="3931" spans="1:40" x14ac:dyDescent="0.25">
      <c r="A3931" t="str">
        <f>"20190312151104724"</f>
        <v>20190312151104724</v>
      </c>
      <c r="B3931" t="str">
        <f>"1552374664715331"</f>
        <v>1552374664715331</v>
      </c>
      <c r="C3931" t="s">
        <v>40</v>
      </c>
      <c r="D3931">
        <v>5.3143859999999998</v>
      </c>
      <c r="E3931">
        <v>0.64682010000000001</v>
      </c>
      <c r="F3931" t="s">
        <v>42</v>
      </c>
      <c r="G3931">
        <v>-225.06139999999999</v>
      </c>
      <c r="H3931" s="1">
        <v>-2.7378470000000001E-6</v>
      </c>
      <c r="I3931">
        <v>136.0258</v>
      </c>
      <c r="J3931">
        <v>-204.2285</v>
      </c>
      <c r="K3931">
        <v>1.1038289999999999</v>
      </c>
      <c r="L3931">
        <v>140</v>
      </c>
      <c r="M3931">
        <v>-0.7016346</v>
      </c>
      <c r="N3931">
        <v>0</v>
      </c>
      <c r="O3931">
        <v>-0.71239839999999999</v>
      </c>
      <c r="P3931">
        <v>-0.8311634</v>
      </c>
      <c r="Q3931">
        <v>3.2029000000000002E-2</v>
      </c>
      <c r="R3931">
        <v>-0.55510509999999902</v>
      </c>
      <c r="S3931">
        <v>-3.2068629999999998</v>
      </c>
      <c r="T3931">
        <v>-0.1685247</v>
      </c>
      <c r="U3931">
        <v>-0.63175959999999998</v>
      </c>
      <c r="V3931">
        <v>0.20335700000000001</v>
      </c>
      <c r="W3931">
        <v>4.2575200000000001E-2</v>
      </c>
      <c r="X3931">
        <v>0.97817860000000001</v>
      </c>
      <c r="Y3931">
        <v>0.56192900000000001</v>
      </c>
      <c r="Z3931">
        <v>4.7825479999999997E-2</v>
      </c>
      <c r="AA3931">
        <v>0.82580180000000003</v>
      </c>
      <c r="AB3931">
        <v>25</v>
      </c>
      <c r="AC3931">
        <v>-20.832899999999899</v>
      </c>
      <c r="AD3931">
        <v>-1.1038317378469999</v>
      </c>
      <c r="AE3931">
        <v>-3.97419999999999</v>
      </c>
      <c r="AF3931">
        <v>12.021513952806099</v>
      </c>
      <c r="AG3931">
        <v>-1.1038317378469999</v>
      </c>
      <c r="AH3931">
        <v>17.4028781347393</v>
      </c>
      <c r="AI3931">
        <v>92.987410430844207</v>
      </c>
      <c r="AJ3931">
        <v>55.364162261491401</v>
      </c>
      <c r="AK3931">
        <v>21.180071047935101</v>
      </c>
      <c r="AL3931">
        <v>87.559883281050404</v>
      </c>
      <c r="AM3931">
        <v>78.255863975500404</v>
      </c>
      <c r="AN3931">
        <v>1.0000000453009901</v>
      </c>
    </row>
    <row r="3932" spans="1:40" x14ac:dyDescent="0.25">
      <c r="A3932" t="str">
        <f>"20190312151104749"</f>
        <v>20190312151104749</v>
      </c>
      <c r="B3932" t="str">
        <f>"1552374664744612"</f>
        <v>1552374664744612</v>
      </c>
      <c r="C3932" t="s">
        <v>40</v>
      </c>
      <c r="D3932">
        <v>5.1737399999999996</v>
      </c>
      <c r="E3932">
        <v>0.64830449999999995</v>
      </c>
      <c r="F3932" t="s">
        <v>42</v>
      </c>
      <c r="G3932">
        <v>-213.38990000000001</v>
      </c>
      <c r="H3932" s="1">
        <v>-3.3889490000000002E-6</v>
      </c>
      <c r="I3932">
        <v>138.0163</v>
      </c>
      <c r="J3932">
        <v>-204.43430000000001</v>
      </c>
      <c r="K3932">
        <v>1.103801</v>
      </c>
      <c r="L3932">
        <v>139.80850000000001</v>
      </c>
      <c r="M3932">
        <v>-0.70929790000000004</v>
      </c>
      <c r="N3932">
        <v>0</v>
      </c>
      <c r="O3932">
        <v>-0.70476850000000002</v>
      </c>
      <c r="P3932">
        <v>-0.83677579999999996</v>
      </c>
      <c r="Q3932">
        <v>3.254195E-2</v>
      </c>
      <c r="R3932">
        <v>-0.54657800000000001</v>
      </c>
      <c r="S3932">
        <v>-3.166229</v>
      </c>
      <c r="T3932">
        <v>-0.38149189999999999</v>
      </c>
      <c r="U3932">
        <v>-0.68559269999999894</v>
      </c>
      <c r="V3932">
        <v>0.20277719999999999</v>
      </c>
      <c r="W3932">
        <v>4.309255E-2</v>
      </c>
      <c r="X3932">
        <v>0.97827629999999999</v>
      </c>
      <c r="Y3932">
        <v>0.53133090000000005</v>
      </c>
      <c r="Z3932">
        <v>0.1065991</v>
      </c>
      <c r="AA3932">
        <v>0.84043089999999998</v>
      </c>
      <c r="AB3932">
        <v>25</v>
      </c>
      <c r="AC3932">
        <v>-8.9556000000000004</v>
      </c>
      <c r="AD3932">
        <v>-1.1038043889489999</v>
      </c>
      <c r="AE3932">
        <v>-1.7922</v>
      </c>
      <c r="AF3932">
        <v>4.96835037237748</v>
      </c>
      <c r="AG3932">
        <v>-1.1038043889489999</v>
      </c>
      <c r="AH3932">
        <v>7.5063870020357797</v>
      </c>
      <c r="AI3932">
        <v>96.9908218766424</v>
      </c>
      <c r="AJ3932">
        <v>56.500099789926701</v>
      </c>
      <c r="AK3932">
        <v>9.0691088523679202</v>
      </c>
      <c r="AL3932">
        <v>87.530214067099095</v>
      </c>
      <c r="AM3932">
        <v>78.2895593344454</v>
      </c>
      <c r="AN3932">
        <v>1.0000000399235101</v>
      </c>
    </row>
    <row r="3933" spans="1:40" x14ac:dyDescent="0.25">
      <c r="A3933" t="str">
        <f>"20190312151104768"</f>
        <v>20190312151104768</v>
      </c>
      <c r="B3933" t="str">
        <f>"1552374664765107"</f>
        <v>1552374664765107</v>
      </c>
      <c r="C3933" t="s">
        <v>40</v>
      </c>
      <c r="D3933">
        <v>5.2188350000000003</v>
      </c>
      <c r="E3933">
        <v>0.64915049999999996</v>
      </c>
      <c r="F3933" t="s">
        <v>42</v>
      </c>
      <c r="G3933">
        <v>-214.28980000000001</v>
      </c>
      <c r="H3933" s="1">
        <v>-2.999874E-6</v>
      </c>
      <c r="I3933">
        <v>137.81139999999999</v>
      </c>
      <c r="J3933">
        <v>-204.58959999999999</v>
      </c>
      <c r="K3933">
        <v>1.1037809999999999</v>
      </c>
      <c r="L3933">
        <v>139.66679999999999</v>
      </c>
      <c r="M3933">
        <v>-0.71500269999999899</v>
      </c>
      <c r="N3933">
        <v>0</v>
      </c>
      <c r="O3933">
        <v>-0.69898000000000005</v>
      </c>
      <c r="P3933">
        <v>-0.84132280000000004</v>
      </c>
      <c r="Q3933">
        <v>3.3104099999999997E-2</v>
      </c>
      <c r="R3933">
        <v>-0.53951850000000001</v>
      </c>
      <c r="S3933">
        <v>-3.1783600000000001</v>
      </c>
      <c r="T3933">
        <v>-0.35597220000000002</v>
      </c>
      <c r="U3933">
        <v>-0.64404300000000003</v>
      </c>
      <c r="V3933">
        <v>0.20305219999999999</v>
      </c>
      <c r="W3933">
        <v>4.3647070000000003E-2</v>
      </c>
      <c r="X3933">
        <v>0.97819469999999997</v>
      </c>
      <c r="Y3933">
        <v>0.53662659999999995</v>
      </c>
      <c r="Z3933">
        <v>9.9234450000000002E-2</v>
      </c>
      <c r="AA3933">
        <v>0.83796440000000005</v>
      </c>
      <c r="AB3933">
        <v>25</v>
      </c>
      <c r="AC3933">
        <v>-9.7002000000000201</v>
      </c>
      <c r="AD3933">
        <v>-1.103783999874</v>
      </c>
      <c r="AE3933">
        <v>-1.8553999999999999</v>
      </c>
      <c r="AF3933">
        <v>5.3868818366406304</v>
      </c>
      <c r="AG3933">
        <v>-1.103783999874</v>
      </c>
      <c r="AH3933">
        <v>8.1317969497524398</v>
      </c>
      <c r="AI3933">
        <v>96.456112481007807</v>
      </c>
      <c r="AJ3933">
        <v>56.477650221671801</v>
      </c>
      <c r="AK3933">
        <v>9.8164635522325305</v>
      </c>
      <c r="AL3933">
        <v>87.498412557258405</v>
      </c>
      <c r="AM3933">
        <v>78.273166395726605</v>
      </c>
      <c r="AN3933">
        <v>1.0000000668762501</v>
      </c>
    </row>
    <row r="3934" spans="1:40" x14ac:dyDescent="0.25">
      <c r="A3934" t="str">
        <f>"20190312151104780"</f>
        <v>20190312151104780</v>
      </c>
      <c r="B3934" t="str">
        <f>"1552374664774869"</f>
        <v>1552374664774869</v>
      </c>
      <c r="C3934" t="s">
        <v>40</v>
      </c>
      <c r="D3934">
        <v>5.1551030000000004</v>
      </c>
      <c r="E3934">
        <v>0.6494896</v>
      </c>
      <c r="F3934" t="s">
        <v>42</v>
      </c>
      <c r="G3934">
        <v>-214.69149999999999</v>
      </c>
      <c r="H3934" s="1">
        <v>-2.8251089999999999E-6</v>
      </c>
      <c r="I3934">
        <v>137.7261</v>
      </c>
      <c r="J3934">
        <v>-204.6978</v>
      </c>
      <c r="K3934">
        <v>1.1037729999999999</v>
      </c>
      <c r="L3934">
        <v>139.5692</v>
      </c>
      <c r="M3934">
        <v>-0.71894259999999999</v>
      </c>
      <c r="N3934">
        <v>0</v>
      </c>
      <c r="O3934">
        <v>-0.69492690000000001</v>
      </c>
      <c r="P3934">
        <v>-0.84429409999999905</v>
      </c>
      <c r="Q3934">
        <v>3.3689370000000003E-2</v>
      </c>
      <c r="R3934">
        <v>-0.53482059999999998</v>
      </c>
      <c r="S3934">
        <v>-3.1869049999999999</v>
      </c>
      <c r="T3934">
        <v>-0.34821429999999998</v>
      </c>
      <c r="U3934">
        <v>-0.61222840000000001</v>
      </c>
      <c r="V3934">
        <v>0.2029697</v>
      </c>
      <c r="W3934">
        <v>4.4233019999999998E-2</v>
      </c>
      <c r="X3934">
        <v>0.97818539999999998</v>
      </c>
      <c r="Y3934">
        <v>0.54064259999999997</v>
      </c>
      <c r="Z3934">
        <v>9.6911620000000004E-2</v>
      </c>
      <c r="AA3934">
        <v>0.83565159999999905</v>
      </c>
      <c r="AB3934">
        <v>25</v>
      </c>
      <c r="AC3934">
        <v>-9.9936999999999898</v>
      </c>
      <c r="AD3934">
        <v>-1.103775825109</v>
      </c>
      <c r="AE3934">
        <v>-1.84309999999999</v>
      </c>
      <c r="AF3934">
        <v>5.5548325926283404</v>
      </c>
      <c r="AG3934">
        <v>-1.103775825109</v>
      </c>
      <c r="AH3934">
        <v>8.3678372586207495</v>
      </c>
      <c r="AI3934">
        <v>96.2714567863745</v>
      </c>
      <c r="AJ3934">
        <v>56.4225467723329</v>
      </c>
      <c r="AK3934">
        <v>10.1042162779199</v>
      </c>
      <c r="AL3934">
        <v>87.464807389476903</v>
      </c>
      <c r="AM3934">
        <v>78.277690765068897</v>
      </c>
      <c r="AN3934">
        <v>0.99999996797478397</v>
      </c>
    </row>
    <row r="3935" spans="1:40" x14ac:dyDescent="0.25">
      <c r="A3935" t="str">
        <f>"20190312151104801"</f>
        <v>20190312151104801</v>
      </c>
      <c r="B3935" t="str">
        <f>"1552374664795364"</f>
        <v>1552374664795364</v>
      </c>
      <c r="C3935" t="s">
        <v>40</v>
      </c>
      <c r="D3935">
        <v>5.2090189999999996</v>
      </c>
      <c r="E3935">
        <v>0.64970299999999903</v>
      </c>
      <c r="F3935" t="s">
        <v>42</v>
      </c>
      <c r="G3935">
        <v>-214.9863</v>
      </c>
      <c r="H3935" s="1">
        <v>-2.6976400000000001E-6</v>
      </c>
      <c r="I3935">
        <v>137.6593</v>
      </c>
      <c r="J3935">
        <v>-204.8698</v>
      </c>
      <c r="K3935">
        <v>1.103766</v>
      </c>
      <c r="L3935">
        <v>139.41679999999999</v>
      </c>
      <c r="M3935">
        <v>-0.7251263</v>
      </c>
      <c r="N3935">
        <v>0</v>
      </c>
      <c r="O3935">
        <v>-0.68847190000000003</v>
      </c>
      <c r="P3935">
        <v>-0.84917350000000003</v>
      </c>
      <c r="Q3935">
        <v>3.41775E-2</v>
      </c>
      <c r="R3935">
        <v>-0.52700689999999994</v>
      </c>
      <c r="S3935">
        <v>-3.191605</v>
      </c>
      <c r="T3935">
        <v>-0.3424044</v>
      </c>
      <c r="U3935">
        <v>-0.59248350000000005</v>
      </c>
      <c r="V3935">
        <v>0.20324710000000001</v>
      </c>
      <c r="W3935">
        <v>4.4715579999999998E-2</v>
      </c>
      <c r="X3935">
        <v>0.97810589999999997</v>
      </c>
      <c r="Y3935">
        <v>0.53861059999999905</v>
      </c>
      <c r="Z3935">
        <v>9.4691510000000007E-2</v>
      </c>
      <c r="AA3935">
        <v>0.83721690000000004</v>
      </c>
      <c r="AB3935">
        <v>25</v>
      </c>
      <c r="AC3935">
        <v>-10.1165</v>
      </c>
      <c r="AD3935">
        <v>-1.1037686976400001</v>
      </c>
      <c r="AE3935">
        <v>-1.7574999999999901</v>
      </c>
      <c r="AF3935">
        <v>5.6260697190412996</v>
      </c>
      <c r="AG3935">
        <v>-1.1037686976400001</v>
      </c>
      <c r="AH3935">
        <v>8.4489466593034006</v>
      </c>
      <c r="AI3935">
        <v>96.205836992797799</v>
      </c>
      <c r="AJ3935">
        <v>56.340748067391203</v>
      </c>
      <c r="AK3935">
        <v>10.2105663639759</v>
      </c>
      <c r="AL3935">
        <v>87.437131457999797</v>
      </c>
      <c r="AM3935">
        <v>78.261186457389499</v>
      </c>
      <c r="AN3935">
        <v>1.00000000918397</v>
      </c>
    </row>
    <row r="3936" spans="1:40" x14ac:dyDescent="0.25">
      <c r="A3936" t="str">
        <f>"20190312151104824"</f>
        <v>20190312151104824</v>
      </c>
      <c r="B3936" t="str">
        <f>"1552374664814882"</f>
        <v>1552374664814882</v>
      </c>
      <c r="C3936" t="s">
        <v>40</v>
      </c>
      <c r="D3936">
        <v>5.1010819999999999</v>
      </c>
      <c r="E3936">
        <v>0.64970799999999995</v>
      </c>
      <c r="F3936" t="s">
        <v>42</v>
      </c>
      <c r="G3936">
        <v>-215.34950000000001</v>
      </c>
      <c r="H3936" s="1">
        <v>-2.540875E-6</v>
      </c>
      <c r="I3936">
        <v>137.5752</v>
      </c>
      <c r="J3936">
        <v>-205.0643</v>
      </c>
      <c r="K3936">
        <v>1.103756</v>
      </c>
      <c r="L3936">
        <v>139.24780000000001</v>
      </c>
      <c r="M3936">
        <v>-0.73201439999999995</v>
      </c>
      <c r="N3936">
        <v>0</v>
      </c>
      <c r="O3936">
        <v>-0.68114330000000001</v>
      </c>
      <c r="P3936">
        <v>-0.85466399999999998</v>
      </c>
      <c r="Q3936">
        <v>3.4399350000000002E-2</v>
      </c>
      <c r="R3936">
        <v>-0.51804079999999997</v>
      </c>
      <c r="S3936">
        <v>-3.1976619999999998</v>
      </c>
      <c r="T3936">
        <v>-0.33679189999999998</v>
      </c>
      <c r="U3936">
        <v>-0.56193539999999997</v>
      </c>
      <c r="V3936">
        <v>0.20370170000000001</v>
      </c>
      <c r="W3936">
        <v>4.4929940000000002E-2</v>
      </c>
      <c r="X3936">
        <v>0.97800149999999997</v>
      </c>
      <c r="Y3936">
        <v>0.53842069999999997</v>
      </c>
      <c r="Z3936">
        <v>9.2577800000000002E-2</v>
      </c>
      <c r="AA3936">
        <v>0.83757539999999997</v>
      </c>
      <c r="AB3936">
        <v>25</v>
      </c>
      <c r="AC3936">
        <v>-10.2852</v>
      </c>
      <c r="AD3936">
        <v>-1.1037585408749999</v>
      </c>
      <c r="AE3936">
        <v>-1.6726000000000101</v>
      </c>
      <c r="AF3936">
        <v>5.7177500794778302</v>
      </c>
      <c r="AG3936">
        <v>-1.1037585408749999</v>
      </c>
      <c r="AH3936">
        <v>8.5728699887331299</v>
      </c>
      <c r="AI3936">
        <v>96.113766146275793</v>
      </c>
      <c r="AJ3936">
        <v>56.298350814571002</v>
      </c>
      <c r="AK3936">
        <v>10.363640708343899</v>
      </c>
      <c r="AL3936">
        <v>87.424837175558594</v>
      </c>
      <c r="AM3936">
        <v>78.234440569804306</v>
      </c>
      <c r="AN3936">
        <v>1.0000000080467699</v>
      </c>
    </row>
    <row r="3937" spans="1:40" x14ac:dyDescent="0.25">
      <c r="A3937" t="str">
        <f>"20190312151104848"</f>
        <v>20190312151104848</v>
      </c>
      <c r="B3937" t="str">
        <f>"1552374664845139"</f>
        <v>1552374664845139</v>
      </c>
      <c r="C3937" t="s">
        <v>40</v>
      </c>
      <c r="D3937">
        <v>5.1855589999999996</v>
      </c>
      <c r="E3937">
        <v>0.64796569999999998</v>
      </c>
      <c r="F3937" t="s">
        <v>42</v>
      </c>
      <c r="G3937">
        <v>-215.5746</v>
      </c>
      <c r="H3937" s="1">
        <v>-2.44551E-6</v>
      </c>
      <c r="I3937">
        <v>137.5129</v>
      </c>
      <c r="J3937">
        <v>-205.26249999999999</v>
      </c>
      <c r="K3937">
        <v>1.1037429999999999</v>
      </c>
      <c r="L3937">
        <v>139.07910000000001</v>
      </c>
      <c r="M3937">
        <v>-0.73891689999999999</v>
      </c>
      <c r="N3937">
        <v>0</v>
      </c>
      <c r="O3937">
        <v>-0.67364930000000001</v>
      </c>
      <c r="P3937">
        <v>-0.86004849999999999</v>
      </c>
      <c r="Q3937">
        <v>3.4798210000000003E-2</v>
      </c>
      <c r="R3937">
        <v>-0.50902429999999999</v>
      </c>
      <c r="S3937">
        <v>-3.203201</v>
      </c>
      <c r="T3937">
        <v>-0.336389099999999</v>
      </c>
      <c r="U3937">
        <v>-0.52874759999999998</v>
      </c>
      <c r="V3937">
        <v>0.2040178</v>
      </c>
      <c r="W3937">
        <v>4.5325789999999998E-2</v>
      </c>
      <c r="X3937">
        <v>0.97791729999999999</v>
      </c>
      <c r="Y3937">
        <v>0.53858409999999901</v>
      </c>
      <c r="Z3937">
        <v>9.1916319999999996E-2</v>
      </c>
      <c r="AA3937">
        <v>0.83754319999999904</v>
      </c>
      <c r="AB3937">
        <v>25</v>
      </c>
      <c r="AC3937">
        <v>-10.312099999999999</v>
      </c>
      <c r="AD3937">
        <v>-1.10374544551</v>
      </c>
      <c r="AE3937">
        <v>-1.5662</v>
      </c>
      <c r="AF3937">
        <v>5.7259033004532096</v>
      </c>
      <c r="AG3937">
        <v>-1.10374544551</v>
      </c>
      <c r="AH3937">
        <v>8.5796407579723102</v>
      </c>
      <c r="AI3937">
        <v>96.107719393337902</v>
      </c>
      <c r="AJ3937">
        <v>56.281541833313497</v>
      </c>
      <c r="AK3937">
        <v>10.3737388703632</v>
      </c>
      <c r="AL3937">
        <v>87.402133406575103</v>
      </c>
      <c r="AM3937">
        <v>78.2157069209361</v>
      </c>
      <c r="AN3937">
        <v>0.99999996779762601</v>
      </c>
    </row>
    <row r="3938" spans="1:40" x14ac:dyDescent="0.25">
      <c r="A3938" t="str">
        <f>"20190312151104870"</f>
        <v>20190312151104870</v>
      </c>
      <c r="B3938" t="str">
        <f>"1552374664864660"</f>
        <v>1552374664864660</v>
      </c>
      <c r="C3938" t="s">
        <v>40</v>
      </c>
      <c r="D3938">
        <v>5.2073679999999998</v>
      </c>
      <c r="E3938">
        <v>0.64721329999999999</v>
      </c>
      <c r="F3938" t="s">
        <v>42</v>
      </c>
      <c r="G3938">
        <v>-229.29480000000001</v>
      </c>
      <c r="H3938" s="1">
        <v>-1.38822E-6</v>
      </c>
      <c r="I3938">
        <v>135.2484</v>
      </c>
      <c r="J3938">
        <v>-205.4572</v>
      </c>
      <c r="K3938">
        <v>1.103747</v>
      </c>
      <c r="L3938">
        <v>138.91669999999999</v>
      </c>
      <c r="M3938">
        <v>-0.745583199999999</v>
      </c>
      <c r="N3938">
        <v>0</v>
      </c>
      <c r="O3938">
        <v>-0.66626350000000001</v>
      </c>
      <c r="P3938">
        <v>-0.86514930000000001</v>
      </c>
      <c r="Q3938">
        <v>3.4823069999999998E-2</v>
      </c>
      <c r="R3938">
        <v>-0.50030459999999999</v>
      </c>
      <c r="S3938">
        <v>-3.1929020000000001</v>
      </c>
      <c r="T3938">
        <v>-0.1466421</v>
      </c>
      <c r="U3938">
        <v>-0.5089264</v>
      </c>
      <c r="V3938">
        <v>0.20417299999999999</v>
      </c>
      <c r="W3938">
        <v>4.5351030000000001E-2</v>
      </c>
      <c r="X3938">
        <v>0.97788379999999997</v>
      </c>
      <c r="Y3938">
        <v>0.53954269999999904</v>
      </c>
      <c r="Z3938">
        <v>4.0105099999999998E-2</v>
      </c>
      <c r="AA3938">
        <v>0.84100249999999999</v>
      </c>
      <c r="AB3938">
        <v>25</v>
      </c>
      <c r="AC3938">
        <v>-23.837599999999998</v>
      </c>
      <c r="AD3938">
        <v>-1.1037483882200001</v>
      </c>
      <c r="AE3938">
        <v>-3.6682999999999799</v>
      </c>
      <c r="AF3938">
        <v>13.1209260415221</v>
      </c>
      <c r="AG3938">
        <v>-1.1037483882200001</v>
      </c>
      <c r="AH3938">
        <v>20.176719518940899</v>
      </c>
      <c r="AI3938">
        <v>92.625743172991903</v>
      </c>
      <c r="AJ3938">
        <v>56.964039978262498</v>
      </c>
      <c r="AK3938">
        <v>24.093089698865999</v>
      </c>
      <c r="AL3938">
        <v>87.400685929222405</v>
      </c>
      <c r="AM3938">
        <v>78.206600669909506</v>
      </c>
      <c r="AN3938">
        <v>1.00000002807675</v>
      </c>
    </row>
    <row r="3939" spans="1:40" x14ac:dyDescent="0.25">
      <c r="A3939" t="str">
        <f>"20190312151104891"</f>
        <v>20190312151104891</v>
      </c>
      <c r="B3939" t="str">
        <f>"1552374664884538"</f>
        <v>1552374664884538</v>
      </c>
      <c r="C3939" t="s">
        <v>40</v>
      </c>
      <c r="D3939">
        <v>5.2146290000000004</v>
      </c>
      <c r="E3939">
        <v>0.64298739999999999</v>
      </c>
      <c r="F3939" t="s">
        <v>42</v>
      </c>
      <c r="G3939">
        <v>-228.69130000000001</v>
      </c>
      <c r="H3939" s="1">
        <v>-1.550452E-6</v>
      </c>
      <c r="I3939">
        <v>135.41059999999999</v>
      </c>
      <c r="J3939">
        <v>-205.6422</v>
      </c>
      <c r="K3939">
        <v>1.103745</v>
      </c>
      <c r="L3939">
        <v>138.7654</v>
      </c>
      <c r="M3939">
        <v>-0.75181430000000005</v>
      </c>
      <c r="N3939">
        <v>0</v>
      </c>
      <c r="O3939">
        <v>-0.65922419999999904</v>
      </c>
      <c r="P3939">
        <v>-0.86973860000000003</v>
      </c>
      <c r="Q3939">
        <v>3.4903759999999999E-2</v>
      </c>
      <c r="R3939">
        <v>-0.49227720000000003</v>
      </c>
      <c r="S3939">
        <v>-3.194931</v>
      </c>
      <c r="T3939">
        <v>-0.1517771</v>
      </c>
      <c r="U3939">
        <v>-0.48211670000000001</v>
      </c>
      <c r="V3939">
        <v>0.20402729999999999</v>
      </c>
      <c r="W3939">
        <v>4.5437730000000003E-2</v>
      </c>
      <c r="X3939">
        <v>0.97791019999999895</v>
      </c>
      <c r="Y3939">
        <v>0.53853169999999995</v>
      </c>
      <c r="Z3939">
        <v>4.126726E-2</v>
      </c>
      <c r="AA3939">
        <v>0.84159409999999901</v>
      </c>
      <c r="AB3939">
        <v>25</v>
      </c>
      <c r="AC3939">
        <v>-23.049099999999999</v>
      </c>
      <c r="AD3939">
        <v>-1.1037465504520001</v>
      </c>
      <c r="AE3939">
        <v>-3.3548000000000102</v>
      </c>
      <c r="AF3939">
        <v>12.645201484909499</v>
      </c>
      <c r="AG3939">
        <v>-1.1037465504520001</v>
      </c>
      <c r="AH3939">
        <v>19.498365133872898</v>
      </c>
      <c r="AI3939">
        <v>92.719153728672197</v>
      </c>
      <c r="AJ3939">
        <v>57.0355327450335</v>
      </c>
      <c r="AK3939">
        <v>23.265975585292502</v>
      </c>
      <c r="AL3939">
        <v>87.395713297691302</v>
      </c>
      <c r="AM3939">
        <v>78.2150903666234</v>
      </c>
      <c r="AN3939">
        <v>1.0000000428584399</v>
      </c>
    </row>
    <row r="3940" spans="1:40" x14ac:dyDescent="0.25">
      <c r="A3940" t="str">
        <f>"20190312151104906"</f>
        <v>20190312151104906</v>
      </c>
      <c r="B3940" t="str">
        <f>"1552374664895274"</f>
        <v>1552374664895274</v>
      </c>
      <c r="C3940" t="s">
        <v>40</v>
      </c>
      <c r="D3940">
        <v>5.2364309999999996</v>
      </c>
      <c r="E3940">
        <v>0.64214469999999901</v>
      </c>
      <c r="F3940" t="s">
        <v>42</v>
      </c>
      <c r="G3940">
        <v>-215.9864</v>
      </c>
      <c r="H3940" s="1">
        <v>-2.3048910000000001E-6</v>
      </c>
      <c r="I3940">
        <v>137.20830000000001</v>
      </c>
      <c r="J3940">
        <v>-205.7611</v>
      </c>
      <c r="K3940">
        <v>1.103748</v>
      </c>
      <c r="L3940">
        <v>138.66980000000001</v>
      </c>
      <c r="M3940">
        <v>-0.75576889999999997</v>
      </c>
      <c r="N3940">
        <v>0</v>
      </c>
      <c r="O3940">
        <v>-0.65468649999999995</v>
      </c>
      <c r="P3940">
        <v>-0.87259759999999997</v>
      </c>
      <c r="Q3940">
        <v>3.503891E-2</v>
      </c>
      <c r="R3940">
        <v>-0.4871818</v>
      </c>
      <c r="S3940">
        <v>-3.1910859999999999</v>
      </c>
      <c r="T3940">
        <v>-0.340495099999999</v>
      </c>
      <c r="U3940">
        <v>-0.48036190000000001</v>
      </c>
      <c r="V3940">
        <v>0.20385929999999999</v>
      </c>
      <c r="W3940">
        <v>4.5577769999999997E-2</v>
      </c>
      <c r="X3940">
        <v>0.97793869999999905</v>
      </c>
      <c r="Y3940">
        <v>0.52903140000000004</v>
      </c>
      <c r="Z3940">
        <v>9.1631760000000007E-2</v>
      </c>
      <c r="AA3940">
        <v>0.84364059999999896</v>
      </c>
      <c r="AB3940">
        <v>25</v>
      </c>
      <c r="AC3940">
        <v>-10.225300000000001</v>
      </c>
      <c r="AD3940">
        <v>-1.103750304891</v>
      </c>
      <c r="AE3940">
        <v>-1.4615</v>
      </c>
      <c r="AF3940">
        <v>5.5272531570173404</v>
      </c>
      <c r="AG3940">
        <v>-1.103750304891</v>
      </c>
      <c r="AH3940">
        <v>8.5875951843387206</v>
      </c>
      <c r="AI3940">
        <v>96.168427185935997</v>
      </c>
      <c r="AJ3940">
        <v>57.233361116498799</v>
      </c>
      <c r="AK3940">
        <v>10.2720778446905</v>
      </c>
      <c r="AL3940">
        <v>87.387681226834104</v>
      </c>
      <c r="AM3940">
        <v>78.224856815554801</v>
      </c>
      <c r="AN3940">
        <v>1.00000002413617</v>
      </c>
    </row>
    <row r="3941" spans="1:40" x14ac:dyDescent="0.25">
      <c r="A3941" t="str">
        <f>"20190312151104926"</f>
        <v>20190312151104926</v>
      </c>
      <c r="B3941" t="str">
        <f>"1552374664914793"</f>
        <v>1552374664914793</v>
      </c>
      <c r="C3941" t="s">
        <v>40</v>
      </c>
      <c r="D3941">
        <v>5.2544370000000002</v>
      </c>
      <c r="E3941">
        <v>0.64102760000000003</v>
      </c>
      <c r="F3941" t="s">
        <v>42</v>
      </c>
      <c r="G3941">
        <v>-216.0763</v>
      </c>
      <c r="H3941" s="1">
        <v>-2.2711729999999998E-6</v>
      </c>
      <c r="I3941">
        <v>137.15860000000001</v>
      </c>
      <c r="J3941">
        <v>-205.9426</v>
      </c>
      <c r="K3941">
        <v>1.1037459999999999</v>
      </c>
      <c r="L3941">
        <v>138.52600000000001</v>
      </c>
      <c r="M3941">
        <v>-0.76173429999999998</v>
      </c>
      <c r="N3941">
        <v>0</v>
      </c>
      <c r="O3941">
        <v>-0.64773570000000003</v>
      </c>
      <c r="P3941">
        <v>-0.87695339999999999</v>
      </c>
      <c r="Q3941">
        <v>3.5331260000000003E-2</v>
      </c>
      <c r="R3941">
        <v>-0.47927520000000001</v>
      </c>
      <c r="S3941">
        <v>-3.1907199999999998</v>
      </c>
      <c r="T3941">
        <v>-0.34141189999999999</v>
      </c>
      <c r="U3941">
        <v>-0.46743770000000001</v>
      </c>
      <c r="V3941">
        <v>0.20373740000000001</v>
      </c>
      <c r="W3941">
        <v>4.58731E-2</v>
      </c>
      <c r="X3941">
        <v>0.97795030000000005</v>
      </c>
      <c r="Y3941">
        <v>0.52461610000000003</v>
      </c>
      <c r="Z3941">
        <v>9.1162989999999999E-2</v>
      </c>
      <c r="AA3941">
        <v>0.84644390000000003</v>
      </c>
      <c r="AB3941">
        <v>25</v>
      </c>
      <c r="AC3941">
        <v>-10.133699999999999</v>
      </c>
      <c r="AD3941">
        <v>-1.10374827117299</v>
      </c>
      <c r="AE3941">
        <v>-1.3673999999999999</v>
      </c>
      <c r="AF3941">
        <v>5.4593071864355602</v>
      </c>
      <c r="AG3941">
        <v>-1.10374827117299</v>
      </c>
      <c r="AH3941">
        <v>8.5066464177957002</v>
      </c>
      <c r="AI3941">
        <v>96.231891074000103</v>
      </c>
      <c r="AJ3941">
        <v>57.308885510118401</v>
      </c>
      <c r="AK3941">
        <v>10.1678576150229</v>
      </c>
      <c r="AL3941">
        <v>87.370742361077703</v>
      </c>
      <c r="AM3941">
        <v>78.231837172769005</v>
      </c>
      <c r="AN3941">
        <v>1.0000000293662199</v>
      </c>
    </row>
    <row r="3942" spans="1:40" x14ac:dyDescent="0.25">
      <c r="A3942" t="str">
        <f>"20190312151104950"</f>
        <v>20190312151104950</v>
      </c>
      <c r="B3942" t="str">
        <f>"1552374664945049"</f>
        <v>1552374664945049</v>
      </c>
      <c r="C3942" t="s">
        <v>40</v>
      </c>
      <c r="D3942">
        <v>5.2332900000000002</v>
      </c>
      <c r="E3942">
        <v>0.64024769999999998</v>
      </c>
      <c r="F3942" t="s">
        <v>42</v>
      </c>
      <c r="G3942">
        <v>-216.0001</v>
      </c>
      <c r="H3942" s="1">
        <v>-2.3141649999999999E-6</v>
      </c>
      <c r="I3942">
        <v>137.11940000000001</v>
      </c>
      <c r="J3942">
        <v>-206.13409999999999</v>
      </c>
      <c r="K3942">
        <v>1.1037349999999999</v>
      </c>
      <c r="L3942">
        <v>138.37729999999999</v>
      </c>
      <c r="M3942">
        <v>-0.76793639999999996</v>
      </c>
      <c r="N3942">
        <v>0</v>
      </c>
      <c r="O3942">
        <v>-0.64037040000000001</v>
      </c>
      <c r="P3942">
        <v>-0.88145289999999998</v>
      </c>
      <c r="Q3942">
        <v>3.5462149999999998E-2</v>
      </c>
      <c r="R3942">
        <v>-0.4709391</v>
      </c>
      <c r="S3942">
        <v>-3.1911320000000001</v>
      </c>
      <c r="T3942">
        <v>-0.35020820000000003</v>
      </c>
      <c r="U3942">
        <v>-0.44628909999999999</v>
      </c>
      <c r="V3942">
        <v>0.20359250000000001</v>
      </c>
      <c r="W3942">
        <v>4.6005520000000001E-2</v>
      </c>
      <c r="X3942">
        <v>0.97797420000000002</v>
      </c>
      <c r="Y3942">
        <v>0.52168400000000004</v>
      </c>
      <c r="Z3942">
        <v>9.2811660000000004E-2</v>
      </c>
      <c r="AA3942">
        <v>0.84807540000000003</v>
      </c>
      <c r="AB3942">
        <v>25</v>
      </c>
      <c r="AC3942">
        <v>-9.8660000000000103</v>
      </c>
      <c r="AD3942">
        <v>-1.103737314165</v>
      </c>
      <c r="AE3942">
        <v>-1.25789999999997</v>
      </c>
      <c r="AF3942">
        <v>5.2873257531083402</v>
      </c>
      <c r="AG3942">
        <v>-1.103737314165</v>
      </c>
      <c r="AH3942">
        <v>8.2808371416462592</v>
      </c>
      <c r="AI3942">
        <v>96.409799351064606</v>
      </c>
      <c r="AJ3942">
        <v>57.441713472810001</v>
      </c>
      <c r="AK3942">
        <v>9.88667352776611</v>
      </c>
      <c r="AL3942">
        <v>87.363147091755096</v>
      </c>
      <c r="AM3942">
        <v>78.240253023836999</v>
      </c>
      <c r="AN3942">
        <v>0.99999997489617898</v>
      </c>
    </row>
    <row r="3943" spans="1:40" x14ac:dyDescent="0.25">
      <c r="A3943" t="str">
        <f>"20190312151104971"</f>
        <v>20190312151104971</v>
      </c>
      <c r="B3943" t="str">
        <f>"1552374664964570"</f>
        <v>1552374664964570</v>
      </c>
      <c r="C3943" t="s">
        <v>40</v>
      </c>
      <c r="D3943">
        <v>5.2213710000000004</v>
      </c>
      <c r="E3943">
        <v>0.63916790000000001</v>
      </c>
      <c r="F3943" t="s">
        <v>42</v>
      </c>
      <c r="G3943">
        <v>-216.20169999999999</v>
      </c>
      <c r="H3943" s="1">
        <v>-2.2315059999999999E-6</v>
      </c>
      <c r="I3943">
        <v>137.04820000000001</v>
      </c>
      <c r="J3943">
        <v>-206.3391</v>
      </c>
      <c r="K3943">
        <v>1.103718</v>
      </c>
      <c r="L3943">
        <v>138.22139999999999</v>
      </c>
      <c r="M3943">
        <v>-0.77447390000000005</v>
      </c>
      <c r="N3943">
        <v>0</v>
      </c>
      <c r="O3943">
        <v>-0.63244809999999996</v>
      </c>
      <c r="P3943">
        <v>-0.88616550000000005</v>
      </c>
      <c r="Q3943">
        <v>3.5771030000000002E-2</v>
      </c>
      <c r="R3943">
        <v>-0.46198669999999997</v>
      </c>
      <c r="S3943">
        <v>-3.1923680000000001</v>
      </c>
      <c r="T3943">
        <v>-0.34998879999999999</v>
      </c>
      <c r="U3943">
        <v>-0.42146299999999998</v>
      </c>
      <c r="V3943">
        <v>0.20345150000000001</v>
      </c>
      <c r="W3943">
        <v>4.6314180000000003E-2</v>
      </c>
      <c r="X3943">
        <v>0.977989</v>
      </c>
      <c r="Y3943">
        <v>0.51951480000000005</v>
      </c>
      <c r="Z3943">
        <v>9.2042970000000002E-2</v>
      </c>
      <c r="AA3943">
        <v>0.84948950000000001</v>
      </c>
      <c r="AB3943">
        <v>25</v>
      </c>
      <c r="AC3943">
        <v>-9.8625999999999792</v>
      </c>
      <c r="AD3943">
        <v>-1.103720231506</v>
      </c>
      <c r="AE3943">
        <v>-1.17319999999998</v>
      </c>
      <c r="AF3943">
        <v>5.2644903483717096</v>
      </c>
      <c r="AG3943">
        <v>-1.103720231506</v>
      </c>
      <c r="AH3943">
        <v>8.2789142157676192</v>
      </c>
      <c r="AI3943">
        <v>96.418701750295895</v>
      </c>
      <c r="AJ3943">
        <v>57.548070167052501</v>
      </c>
      <c r="AK3943">
        <v>9.87286572224974</v>
      </c>
      <c r="AL3943">
        <v>87.345443371875902</v>
      </c>
      <c r="AM3943">
        <v>78.248343670095693</v>
      </c>
      <c r="AN3943">
        <v>1.00000000012116</v>
      </c>
    </row>
    <row r="3944" spans="1:40" x14ac:dyDescent="0.25">
      <c r="A3944" t="str">
        <f>"20190312151104997"</f>
        <v>20190312151104997</v>
      </c>
      <c r="B3944" t="str">
        <f>"1552374664985066"</f>
        <v>1552374664985066</v>
      </c>
      <c r="C3944" t="s">
        <v>40</v>
      </c>
      <c r="D3944">
        <v>5.2526250000000001</v>
      </c>
      <c r="E3944">
        <v>0.63814930000000003</v>
      </c>
      <c r="F3944" t="s">
        <v>42</v>
      </c>
      <c r="G3944">
        <v>-216.42920000000001</v>
      </c>
      <c r="H3944" s="1">
        <v>-2.1380320000000001E-6</v>
      </c>
      <c r="I3944">
        <v>136.96870000000001</v>
      </c>
      <c r="J3944">
        <v>-206.55930000000001</v>
      </c>
      <c r="K3944">
        <v>1.1036979999999901</v>
      </c>
      <c r="L3944">
        <v>138.0575</v>
      </c>
      <c r="M3944">
        <v>-0.78139199999999998</v>
      </c>
      <c r="N3944">
        <v>0</v>
      </c>
      <c r="O3944">
        <v>-0.6238804</v>
      </c>
      <c r="P3944">
        <v>-0.89110279999999997</v>
      </c>
      <c r="Q3944">
        <v>3.6264789999999998E-2</v>
      </c>
      <c r="R3944">
        <v>-0.45235049999999999</v>
      </c>
      <c r="S3944">
        <v>-3.192825</v>
      </c>
      <c r="T3944">
        <v>-0.34924959999999899</v>
      </c>
      <c r="U3944">
        <v>-0.39639279999999999</v>
      </c>
      <c r="V3944">
        <v>0.20328350000000001</v>
      </c>
      <c r="W3944">
        <v>4.6805270000000003E-2</v>
      </c>
      <c r="X3944">
        <v>0.9780006</v>
      </c>
      <c r="Y3944">
        <v>0.51678009999999996</v>
      </c>
      <c r="Z3944">
        <v>9.1066430000000004E-2</v>
      </c>
      <c r="AA3944">
        <v>0.85126100000000005</v>
      </c>
      <c r="AB3944">
        <v>25</v>
      </c>
      <c r="AC3944">
        <v>-9.8698999999999995</v>
      </c>
      <c r="AD3944">
        <v>-1.103700138032</v>
      </c>
      <c r="AE3944">
        <v>-1.08879999999999</v>
      </c>
      <c r="AF3944">
        <v>5.24261808472549</v>
      </c>
      <c r="AG3944">
        <v>-1.103700138032</v>
      </c>
      <c r="AH3944">
        <v>8.2899623370354991</v>
      </c>
      <c r="AI3944">
        <v>96.420132443205603</v>
      </c>
      <c r="AJ3944">
        <v>57.690512877143703</v>
      </c>
      <c r="AK3944">
        <v>9.8704951206334997</v>
      </c>
      <c r="AL3944">
        <v>87.317275557500494</v>
      </c>
      <c r="AM3944">
        <v>78.257913455811106</v>
      </c>
      <c r="AN3944">
        <v>1.00000004413619</v>
      </c>
    </row>
    <row r="3945" spans="1:40" x14ac:dyDescent="0.25">
      <c r="A3945" t="str">
        <f>"20190312151105016"</f>
        <v>20190312151105016</v>
      </c>
      <c r="B3945" t="str">
        <f>"1552374665004586"</f>
        <v>1552374665004586</v>
      </c>
      <c r="C3945" t="s">
        <v>40</v>
      </c>
      <c r="D3945">
        <v>5.2723690000000003</v>
      </c>
      <c r="E3945">
        <v>0.63716479999999998</v>
      </c>
      <c r="F3945" t="s">
        <v>42</v>
      </c>
      <c r="G3945">
        <v>-216.6773</v>
      </c>
      <c r="H3945" s="1">
        <v>-2.035085E-6</v>
      </c>
      <c r="I3945">
        <v>136.88810000000001</v>
      </c>
      <c r="J3945">
        <v>-206.7441</v>
      </c>
      <c r="K3945">
        <v>1.1036790000000001</v>
      </c>
      <c r="L3945">
        <v>137.92320000000001</v>
      </c>
      <c r="M3945">
        <v>-0.78711409999999904</v>
      </c>
      <c r="N3945">
        <v>0</v>
      </c>
      <c r="O3945">
        <v>-0.61664540000000001</v>
      </c>
      <c r="P3945">
        <v>-0.89523019999999998</v>
      </c>
      <c r="Q3945">
        <v>3.6986909999999998E-2</v>
      </c>
      <c r="R3945">
        <v>-0.44406679999999998</v>
      </c>
      <c r="S3945">
        <v>-3.193451</v>
      </c>
      <c r="T3945">
        <v>-0.3483521</v>
      </c>
      <c r="U3945">
        <v>-0.3690948</v>
      </c>
      <c r="V3945">
        <v>0.20332800000000001</v>
      </c>
      <c r="W3945">
        <v>4.752021E-2</v>
      </c>
      <c r="X3945">
        <v>0.97795679999999996</v>
      </c>
      <c r="Y3945">
        <v>0.51615920000000004</v>
      </c>
      <c r="Z3945">
        <v>9.0267429999999996E-2</v>
      </c>
      <c r="AA3945">
        <v>0.85172269999999894</v>
      </c>
      <c r="AB3945">
        <v>24</v>
      </c>
      <c r="AC3945">
        <v>-9.9331999999999994</v>
      </c>
      <c r="AD3945">
        <v>-1.1036810350849999</v>
      </c>
      <c r="AE3945">
        <v>-1.0350999999999999</v>
      </c>
      <c r="AF3945">
        <v>5.2469703564407304</v>
      </c>
      <c r="AG3945">
        <v>-1.1036810350849999</v>
      </c>
      <c r="AH3945">
        <v>8.3556499949832599</v>
      </c>
      <c r="AI3945">
        <v>96.3826631521313</v>
      </c>
      <c r="AJ3945">
        <v>57.873037172738002</v>
      </c>
      <c r="AK3945">
        <v>9.9280258151979996</v>
      </c>
      <c r="AL3945">
        <v>87.276266689796799</v>
      </c>
      <c r="AM3945">
        <v>78.254903037029095</v>
      </c>
      <c r="AN3945">
        <v>0.99999997430434096</v>
      </c>
    </row>
    <row r="3946" spans="1:40" x14ac:dyDescent="0.25">
      <c r="A3946" t="str">
        <f>"20190312151105037"</f>
        <v>20190312151105037</v>
      </c>
      <c r="B3946" t="str">
        <f>"1552374665034841"</f>
        <v>1552374665034841</v>
      </c>
      <c r="C3946" t="s">
        <v>40</v>
      </c>
      <c r="D3946">
        <v>5.2782859999999996</v>
      </c>
      <c r="E3946">
        <v>0.62818459999999998</v>
      </c>
      <c r="F3946" t="s">
        <v>42</v>
      </c>
      <c r="G3946">
        <v>-216.92439999999999</v>
      </c>
      <c r="H3946" s="1">
        <v>-1.930686E-6</v>
      </c>
      <c r="I3946">
        <v>136.81799999999899</v>
      </c>
      <c r="J3946">
        <v>-206.94049999999999</v>
      </c>
      <c r="K3946">
        <v>1.103656</v>
      </c>
      <c r="L3946">
        <v>137.78309999999999</v>
      </c>
      <c r="M3946">
        <v>-0.79311949999999998</v>
      </c>
      <c r="N3946">
        <v>0</v>
      </c>
      <c r="O3946">
        <v>-0.6089019</v>
      </c>
      <c r="P3946">
        <v>-0.8995824</v>
      </c>
      <c r="Q3946">
        <v>3.7378479999999999E-2</v>
      </c>
      <c r="R3946">
        <v>-0.4351487</v>
      </c>
      <c r="S3946">
        <v>-3.193451</v>
      </c>
      <c r="T3946">
        <v>-0.34621049999999998</v>
      </c>
      <c r="U3946">
        <v>-0.34667969999999998</v>
      </c>
      <c r="V3946">
        <v>0.2034617</v>
      </c>
      <c r="W3946">
        <v>4.7901720000000002E-2</v>
      </c>
      <c r="X3946">
        <v>0.97791039999999996</v>
      </c>
      <c r="Y3946">
        <v>0.51380709999999996</v>
      </c>
      <c r="Z3946">
        <v>8.9008480000000001E-2</v>
      </c>
      <c r="AA3946">
        <v>0.85327589999999998</v>
      </c>
      <c r="AB3946">
        <v>24</v>
      </c>
      <c r="AC3946">
        <v>-9.9839000000000002</v>
      </c>
      <c r="AD3946">
        <v>-1.1036579306859999</v>
      </c>
      <c r="AE3946">
        <v>-0.96510000000000595</v>
      </c>
      <c r="AF3946">
        <v>5.2507377242913398</v>
      </c>
      <c r="AG3946">
        <v>-1.1036579306859999</v>
      </c>
      <c r="AH3946">
        <v>8.4051678069116207</v>
      </c>
      <c r="AI3946">
        <v>96.354447950526193</v>
      </c>
      <c r="AJ3946">
        <v>58.006834764248197</v>
      </c>
      <c r="AK3946">
        <v>9.9717176724777907</v>
      </c>
      <c r="AL3946">
        <v>87.254382909491198</v>
      </c>
      <c r="AM3946">
        <v>78.246852573507994</v>
      </c>
      <c r="AN3946">
        <v>0.99999999428700403</v>
      </c>
    </row>
    <row r="3947" spans="1:40" x14ac:dyDescent="0.25">
      <c r="A3947" t="str">
        <f>"20190312151105062"</f>
        <v>20190312151105062</v>
      </c>
      <c r="B3947" t="str">
        <f>"1552374665055338"</f>
        <v>1552374665055338</v>
      </c>
      <c r="C3947" t="s">
        <v>40</v>
      </c>
      <c r="D3947">
        <v>5.3489879999999896</v>
      </c>
      <c r="E3947">
        <v>0.62772530000000004</v>
      </c>
      <c r="F3947" t="s">
        <v>42</v>
      </c>
      <c r="G3947">
        <v>-216.1249</v>
      </c>
      <c r="H3947" s="1">
        <v>-2.3322580000000002E-6</v>
      </c>
      <c r="I3947">
        <v>136.68469999999999</v>
      </c>
      <c r="J3947">
        <v>-207.15520000000001</v>
      </c>
      <c r="K3947">
        <v>1.103626</v>
      </c>
      <c r="L3947">
        <v>137.6337</v>
      </c>
      <c r="M3947">
        <v>-0.79959329999999995</v>
      </c>
      <c r="N3947">
        <v>0</v>
      </c>
      <c r="O3947">
        <v>-0.60037529999999995</v>
      </c>
      <c r="P3947">
        <v>-0.90418430000000005</v>
      </c>
      <c r="Q3947">
        <v>3.7853900000000003E-2</v>
      </c>
      <c r="R3947">
        <v>-0.42546240000000002</v>
      </c>
      <c r="S3947">
        <v>-3.1674500000000001</v>
      </c>
      <c r="T3947">
        <v>-0.38061889999999998</v>
      </c>
      <c r="U3947">
        <v>-0.3788147</v>
      </c>
      <c r="V3947">
        <v>0.20349400000000001</v>
      </c>
      <c r="W3947">
        <v>4.8368000000000001E-2</v>
      </c>
      <c r="X3947">
        <v>0.97788070000000005</v>
      </c>
      <c r="Y3947">
        <v>0.49407060000000003</v>
      </c>
      <c r="Z3947">
        <v>9.6498009999999995E-2</v>
      </c>
      <c r="AA3947">
        <v>0.86404999999999998</v>
      </c>
      <c r="AB3947">
        <v>24</v>
      </c>
      <c r="AC3947">
        <v>-8.96969999999998</v>
      </c>
      <c r="AD3947">
        <v>-1.1036283322579901</v>
      </c>
      <c r="AE3947">
        <v>-0.94900000000001195</v>
      </c>
      <c r="AF3947">
        <v>4.5585877697165502</v>
      </c>
      <c r="AG3947">
        <v>-1.1036283322579901</v>
      </c>
      <c r="AH3947">
        <v>7.6284361537098002</v>
      </c>
      <c r="AI3947">
        <v>97.079232385452599</v>
      </c>
      <c r="AJ3947">
        <v>59.138377650258597</v>
      </c>
      <c r="AK3947">
        <v>8.9549849860956598</v>
      </c>
      <c r="AL3947">
        <v>87.227635954793797</v>
      </c>
      <c r="AM3947">
        <v>78.244691565195893</v>
      </c>
      <c r="AN3947">
        <v>0.99999996744624398</v>
      </c>
    </row>
    <row r="3948" spans="1:40" x14ac:dyDescent="0.25">
      <c r="A3948" t="str">
        <f>"20190312151105083"</f>
        <v>20190312151105083</v>
      </c>
      <c r="B3948" t="str">
        <f>"1552374665074858"</f>
        <v>1552374665074858</v>
      </c>
      <c r="C3948" t="s">
        <v>40</v>
      </c>
      <c r="D3948">
        <v>5.3064780000000003</v>
      </c>
      <c r="E3948">
        <v>0.62683619999999995</v>
      </c>
      <c r="F3948" t="s">
        <v>42</v>
      </c>
      <c r="G3948">
        <v>-216.24029999999999</v>
      </c>
      <c r="H3948" s="1">
        <v>-2.286259E-6</v>
      </c>
      <c r="I3948">
        <v>136.63659999999999</v>
      </c>
      <c r="J3948">
        <v>-207.3509</v>
      </c>
      <c r="K3948">
        <v>1.103599</v>
      </c>
      <c r="L3948">
        <v>137.50049999999999</v>
      </c>
      <c r="M3948">
        <v>-0.8054057</v>
      </c>
      <c r="N3948">
        <v>0</v>
      </c>
      <c r="O3948">
        <v>-0.59255480000000005</v>
      </c>
      <c r="P3948">
        <v>-0.90841090000000002</v>
      </c>
      <c r="Q3948">
        <v>3.8023250000000001E-2</v>
      </c>
      <c r="R3948">
        <v>-0.41634579999999999</v>
      </c>
      <c r="S3948">
        <v>-3.1702880000000002</v>
      </c>
      <c r="T3948">
        <v>-0.38511659999999998</v>
      </c>
      <c r="U3948">
        <v>-0.34793089999999999</v>
      </c>
      <c r="V3948">
        <v>0.2038027</v>
      </c>
      <c r="W3948">
        <v>4.8525649999999997E-2</v>
      </c>
      <c r="X3948">
        <v>0.97780869999999998</v>
      </c>
      <c r="Y3948">
        <v>0.49390030000000001</v>
      </c>
      <c r="Z3948">
        <v>9.6888409999999994E-2</v>
      </c>
      <c r="AA3948">
        <v>0.86410370000000003</v>
      </c>
      <c r="AB3948">
        <v>24</v>
      </c>
      <c r="AC3948">
        <v>-8.8893999999999895</v>
      </c>
      <c r="AD3948">
        <v>-1.1036012862589999</v>
      </c>
      <c r="AE3948">
        <v>-0.863900000000001</v>
      </c>
      <c r="AF3948">
        <v>4.5033652240230699</v>
      </c>
      <c r="AG3948">
        <v>-1.1036012862589999</v>
      </c>
      <c r="AH3948">
        <v>7.55686836064588</v>
      </c>
      <c r="AI3948">
        <v>97.150544241754702</v>
      </c>
      <c r="AJ3948">
        <v>59.208013732448499</v>
      </c>
      <c r="AK3948">
        <v>8.8659175250000892</v>
      </c>
      <c r="AL3948">
        <v>87.218592931643002</v>
      </c>
      <c r="AM3948">
        <v>78.226513448125999</v>
      </c>
      <c r="AN3948">
        <v>1.00000006651544</v>
      </c>
    </row>
    <row r="3949" spans="1:40" x14ac:dyDescent="0.25">
      <c r="A3949" t="str">
        <f>"20190312151105107"</f>
        <v>20190312151105107</v>
      </c>
      <c r="B3949" t="str">
        <f>"1552374665095354"</f>
        <v>1552374665095354</v>
      </c>
      <c r="C3949" t="s">
        <v>40</v>
      </c>
      <c r="D3949">
        <v>5.3123620000000003</v>
      </c>
      <c r="E3949">
        <v>0.6259633</v>
      </c>
      <c r="F3949" t="s">
        <v>42</v>
      </c>
      <c r="G3949">
        <v>-216.23570000000001</v>
      </c>
      <c r="H3949" s="1">
        <v>-2.2955680000000001E-6</v>
      </c>
      <c r="I3949">
        <v>136.59639999999999</v>
      </c>
      <c r="J3949">
        <v>-207.57149999999999</v>
      </c>
      <c r="K3949">
        <v>1.1035779999999999</v>
      </c>
      <c r="L3949">
        <v>137.3536</v>
      </c>
      <c r="M3949">
        <v>-0.81185160000000001</v>
      </c>
      <c r="N3949">
        <v>0</v>
      </c>
      <c r="O3949">
        <v>-0.58369199999999999</v>
      </c>
      <c r="P3949">
        <v>-0.91285190000000005</v>
      </c>
      <c r="Q3949">
        <v>3.7369769999999997E-2</v>
      </c>
      <c r="R3949">
        <v>-0.40657710000000002</v>
      </c>
      <c r="S3949">
        <v>-3.1710660000000002</v>
      </c>
      <c r="T3949">
        <v>-0.39388469999999998</v>
      </c>
      <c r="U3949">
        <v>-0.32266240000000002</v>
      </c>
      <c r="V3949">
        <v>0.2035824</v>
      </c>
      <c r="W3949">
        <v>4.7873140000000002E-2</v>
      </c>
      <c r="X3949">
        <v>0.9778867</v>
      </c>
      <c r="Y3949">
        <v>0.49096479999999998</v>
      </c>
      <c r="Z3949">
        <v>9.8076720000000006E-2</v>
      </c>
      <c r="AA3949">
        <v>0.86564110000000005</v>
      </c>
      <c r="AB3949">
        <v>24</v>
      </c>
      <c r="AC3949">
        <v>-8.6642000000000206</v>
      </c>
      <c r="AD3949">
        <v>-1.1035802955679901</v>
      </c>
      <c r="AE3949">
        <v>-0.75720000000001098</v>
      </c>
      <c r="AF3949">
        <v>4.3725347520818101</v>
      </c>
      <c r="AG3949">
        <v>-1.1035802955679901</v>
      </c>
      <c r="AH3949">
        <v>7.35829214556599</v>
      </c>
      <c r="AI3949">
        <v>97.346717576011798</v>
      </c>
      <c r="AJ3949">
        <v>59.279851407539397</v>
      </c>
      <c r="AK3949">
        <v>8.6302614633872601</v>
      </c>
      <c r="AL3949">
        <v>87.256022359418594</v>
      </c>
      <c r="AM3949">
        <v>78.239797273887902</v>
      </c>
      <c r="AN3949">
        <v>1.0000000145800501</v>
      </c>
    </row>
    <row r="3950" spans="1:40" x14ac:dyDescent="0.25">
      <c r="A3950" t="str">
        <f>"20190312151105127"</f>
        <v>20190312151105127</v>
      </c>
      <c r="B3950" t="str">
        <f>"1552374665114874"</f>
        <v>1552374665114874</v>
      </c>
      <c r="C3950" t="s">
        <v>40</v>
      </c>
      <c r="D3950">
        <v>5.3894549999999999</v>
      </c>
      <c r="E3950">
        <v>0.6248899</v>
      </c>
      <c r="F3950" t="s">
        <v>42</v>
      </c>
      <c r="G3950">
        <v>-216.3366</v>
      </c>
      <c r="H3950" s="1">
        <v>-2.257985E-6</v>
      </c>
      <c r="I3950">
        <v>136.53919999999999</v>
      </c>
      <c r="J3950">
        <v>-207.76159999999999</v>
      </c>
      <c r="K3950">
        <v>1.103567</v>
      </c>
      <c r="L3950">
        <v>137.22980000000001</v>
      </c>
      <c r="M3950">
        <v>-0.81731160000000003</v>
      </c>
      <c r="N3950">
        <v>0</v>
      </c>
      <c r="O3950">
        <v>-0.57602159999999902</v>
      </c>
      <c r="P3950">
        <v>-0.91659809999999997</v>
      </c>
      <c r="Q3950">
        <v>3.6683019999999997E-2</v>
      </c>
      <c r="R3950">
        <v>-0.39812370000000002</v>
      </c>
      <c r="S3950">
        <v>-3.171494</v>
      </c>
      <c r="T3950">
        <v>-0.39930870000000002</v>
      </c>
      <c r="U3950">
        <v>-0.29467769999999999</v>
      </c>
      <c r="V3950">
        <v>0.2034173</v>
      </c>
      <c r="W3950">
        <v>4.7190120000000002E-2</v>
      </c>
      <c r="X3950">
        <v>0.9779542</v>
      </c>
      <c r="Y3950">
        <v>0.49020269999999999</v>
      </c>
      <c r="Z3950">
        <v>9.8664169999999995E-2</v>
      </c>
      <c r="AA3950">
        <v>0.86600619999999995</v>
      </c>
      <c r="AB3950">
        <v>24</v>
      </c>
      <c r="AC3950">
        <v>-8.5750000000000099</v>
      </c>
      <c r="AD3950">
        <v>-1.1035692579850001</v>
      </c>
      <c r="AE3950">
        <v>-0.69060000000001698</v>
      </c>
      <c r="AF3950">
        <v>4.3045537314317999</v>
      </c>
      <c r="AG3950">
        <v>-1.1035692579850001</v>
      </c>
      <c r="AH3950">
        <v>7.2870756241099102</v>
      </c>
      <c r="AI3950">
        <v>97.428983983723299</v>
      </c>
      <c r="AJ3950">
        <v>59.429197889911698</v>
      </c>
      <c r="AK3950">
        <v>8.5351343917626608</v>
      </c>
      <c r="AL3950">
        <v>87.295200660894494</v>
      </c>
      <c r="AM3950">
        <v>78.249857703978606</v>
      </c>
      <c r="AN3950">
        <v>0.999999961331271</v>
      </c>
    </row>
    <row r="3951" spans="1:40" x14ac:dyDescent="0.25">
      <c r="A3951" t="str">
        <f>"20190312151105150"</f>
        <v>20190312151105150</v>
      </c>
      <c r="B3951" t="str">
        <f>"1552374665145130"</f>
        <v>1552374665145130</v>
      </c>
      <c r="C3951" t="s">
        <v>40</v>
      </c>
      <c r="D3951">
        <v>5.3481880000000004</v>
      </c>
      <c r="E3951">
        <v>0.61926130000000001</v>
      </c>
      <c r="F3951" t="s">
        <v>42</v>
      </c>
      <c r="G3951">
        <v>-216.27600000000001</v>
      </c>
      <c r="H3951" s="1">
        <v>-2.294239E-6</v>
      </c>
      <c r="I3951">
        <v>136.49639999999999</v>
      </c>
      <c r="J3951">
        <v>-207.97</v>
      </c>
      <c r="K3951">
        <v>1.103558</v>
      </c>
      <c r="L3951">
        <v>137.09710000000001</v>
      </c>
      <c r="M3951">
        <v>-0.82318959999999997</v>
      </c>
      <c r="N3951">
        <v>0</v>
      </c>
      <c r="O3951">
        <v>-0.56759009999999999</v>
      </c>
      <c r="P3951">
        <v>-0.92051039999999995</v>
      </c>
      <c r="Q3951">
        <v>3.6433649999999998E-2</v>
      </c>
      <c r="R3951">
        <v>-0.389017</v>
      </c>
      <c r="S3951">
        <v>-3.170776</v>
      </c>
      <c r="T3951">
        <v>-0.41097129999999998</v>
      </c>
      <c r="U3951">
        <v>-0.27314759999999999</v>
      </c>
      <c r="V3951">
        <v>0.2030621</v>
      </c>
      <c r="W3951">
        <v>4.6951029999999998E-2</v>
      </c>
      <c r="X3951">
        <v>0.97803960000000001</v>
      </c>
      <c r="Y3951">
        <v>0.48670059999999898</v>
      </c>
      <c r="Z3951">
        <v>0.10049470000000001</v>
      </c>
      <c r="AA3951">
        <v>0.86776919999999902</v>
      </c>
      <c r="AB3951">
        <v>24</v>
      </c>
      <c r="AC3951">
        <v>-8.3059999999999796</v>
      </c>
      <c r="AD3951">
        <v>-1.1035602942389999</v>
      </c>
      <c r="AE3951">
        <v>-0.600700000000017</v>
      </c>
      <c r="AF3951">
        <v>4.1475029941095301</v>
      </c>
      <c r="AG3951">
        <v>-1.1035602942389999</v>
      </c>
      <c r="AH3951">
        <v>7.0551891253676899</v>
      </c>
      <c r="AI3951">
        <v>97.679670389013793</v>
      </c>
      <c r="AJ3951">
        <v>59.550194278836202</v>
      </c>
      <c r="AK3951">
        <v>8.2580457739028592</v>
      </c>
      <c r="AL3951">
        <v>87.308914915414107</v>
      </c>
      <c r="AM3951">
        <v>78.270802239915398</v>
      </c>
      <c r="AN3951">
        <v>1.0000000374213101</v>
      </c>
    </row>
    <row r="3952" spans="1:40" x14ac:dyDescent="0.25">
      <c r="A3952" t="str">
        <f>"20190312151105171"</f>
        <v>20190312151105171</v>
      </c>
      <c r="B3952" t="str">
        <f>"1552374665164650"</f>
        <v>1552374665164650</v>
      </c>
      <c r="C3952" t="s">
        <v>40</v>
      </c>
      <c r="D3952">
        <v>5.1982080000000002</v>
      </c>
      <c r="E3952">
        <v>0.634723699999999</v>
      </c>
      <c r="F3952" t="s">
        <v>42</v>
      </c>
      <c r="G3952">
        <v>-216.3355</v>
      </c>
      <c r="H3952" s="1">
        <v>-2.2928100000000002E-6</v>
      </c>
      <c r="I3952">
        <v>136.34610000000001</v>
      </c>
      <c r="J3952">
        <v>-208.17660000000001</v>
      </c>
      <c r="K3952">
        <v>1.1035680000000001</v>
      </c>
      <c r="L3952">
        <v>136.96850000000001</v>
      </c>
      <c r="M3952">
        <v>-0.82890489999999994</v>
      </c>
      <c r="N3952">
        <v>0</v>
      </c>
      <c r="O3952">
        <v>-0.55920990000000004</v>
      </c>
      <c r="P3952">
        <v>-0.92425089999999999</v>
      </c>
      <c r="Q3952">
        <v>3.642016E-2</v>
      </c>
      <c r="R3952">
        <v>-0.38004510000000002</v>
      </c>
      <c r="S3952">
        <v>-3.1558069999999998</v>
      </c>
      <c r="T3952">
        <v>-0.41631079999999998</v>
      </c>
      <c r="U3952">
        <v>-0.2833252</v>
      </c>
      <c r="V3952">
        <v>0.20265259999999999</v>
      </c>
      <c r="W3952">
        <v>4.6951020000000003E-2</v>
      </c>
      <c r="X3952">
        <v>0.97812449999999995</v>
      </c>
      <c r="Y3952">
        <v>0.47457159999999898</v>
      </c>
      <c r="Z3952">
        <v>0.1005323</v>
      </c>
      <c r="AA3952">
        <v>0.87445699999999904</v>
      </c>
      <c r="AB3952">
        <v>24</v>
      </c>
      <c r="AC3952">
        <v>-8.1588999999999796</v>
      </c>
      <c r="AD3952">
        <v>-1.10357029281</v>
      </c>
      <c r="AE3952">
        <v>-0.62239999999999895</v>
      </c>
      <c r="AF3952">
        <v>3.97473609795408</v>
      </c>
      <c r="AG3952">
        <v>-1.10357029281</v>
      </c>
      <c r="AH3952">
        <v>6.9846724944955403</v>
      </c>
      <c r="AI3952">
        <v>97.819010256186004</v>
      </c>
      <c r="AJ3952">
        <v>60.357289152789697</v>
      </c>
      <c r="AK3952">
        <v>8.11184592401227</v>
      </c>
      <c r="AL3952">
        <v>87.308915404473694</v>
      </c>
      <c r="AM3952">
        <v>78.294790269558703</v>
      </c>
      <c r="AN3952">
        <v>1.0000000060330201</v>
      </c>
    </row>
    <row r="3953" spans="1:40" x14ac:dyDescent="0.25">
      <c r="A3953" t="str">
        <f>"20190312151105195"</f>
        <v>20190312151105195</v>
      </c>
      <c r="B3953" t="str">
        <f>"1552374665185146"</f>
        <v>1552374665185146</v>
      </c>
      <c r="C3953" t="s">
        <v>40</v>
      </c>
      <c r="D3953">
        <v>5.2424369999999998</v>
      </c>
      <c r="E3953">
        <v>0.63607530000000001</v>
      </c>
      <c r="F3953" t="s">
        <v>42</v>
      </c>
      <c r="G3953">
        <v>-219.17269999999999</v>
      </c>
      <c r="H3953" s="1">
        <v>-1.1340559999999999E-6</v>
      </c>
      <c r="I3953">
        <v>136.4889</v>
      </c>
      <c r="J3953">
        <v>-208.4007</v>
      </c>
      <c r="K3953">
        <v>1.103586</v>
      </c>
      <c r="L3953">
        <v>136.8321</v>
      </c>
      <c r="M3953">
        <v>-0.83497199999999905</v>
      </c>
      <c r="N3953">
        <v>0</v>
      </c>
      <c r="O3953">
        <v>-0.55010990000000004</v>
      </c>
      <c r="P3953">
        <v>-0.92809339999999996</v>
      </c>
      <c r="Q3953">
        <v>3.6723150000000003E-2</v>
      </c>
      <c r="R3953">
        <v>-0.3705328</v>
      </c>
      <c r="S3953">
        <v>-3.2011259999999999</v>
      </c>
      <c r="T3953">
        <v>-0.32126690000000002</v>
      </c>
      <c r="U3953">
        <v>-0.13961789999999999</v>
      </c>
      <c r="V3953">
        <v>0.20199600000000001</v>
      </c>
      <c r="W3953">
        <v>4.7274429999999999E-2</v>
      </c>
      <c r="X3953">
        <v>0.97824469999999997</v>
      </c>
      <c r="Y3953">
        <v>0.50822900000000004</v>
      </c>
      <c r="Z3953">
        <v>7.7835899999999902E-2</v>
      </c>
      <c r="AA3953">
        <v>0.85769740000000005</v>
      </c>
      <c r="AB3953">
        <v>24</v>
      </c>
      <c r="AC3953">
        <v>-10.771999999999901</v>
      </c>
      <c r="AD3953">
        <v>-1.103587134056</v>
      </c>
      <c r="AE3953">
        <v>-0.34319999999999501</v>
      </c>
      <c r="AF3953">
        <v>5.5812667437148704</v>
      </c>
      <c r="AG3953">
        <v>-1.103587134056</v>
      </c>
      <c r="AH3953">
        <v>9.0887405175702298</v>
      </c>
      <c r="AI3953">
        <v>95.907447113655394</v>
      </c>
      <c r="AJ3953">
        <v>58.446503911590398</v>
      </c>
      <c r="AK3953">
        <v>10.722576519786299</v>
      </c>
      <c r="AL3953">
        <v>87.290364691704397</v>
      </c>
      <c r="AM3953">
        <v>78.333068338940706</v>
      </c>
      <c r="AN3953">
        <v>0.99999997441295696</v>
      </c>
    </row>
    <row r="3954" spans="1:40" x14ac:dyDescent="0.25">
      <c r="A3954" t="str">
        <f>"20190312151105218"</f>
        <v>20190312151105218</v>
      </c>
      <c r="B3954" t="str">
        <f>"1552374665215402"</f>
        <v>1552374665215402</v>
      </c>
      <c r="C3954" t="s">
        <v>40</v>
      </c>
      <c r="D3954">
        <v>5.256812</v>
      </c>
      <c r="E3954">
        <v>0.63528309999999999</v>
      </c>
      <c r="F3954" t="s">
        <v>42</v>
      </c>
      <c r="G3954">
        <v>-219.58760000000001</v>
      </c>
      <c r="H3954" s="1">
        <v>-9.7325969999999999E-7</v>
      </c>
      <c r="I3954">
        <v>136.49440000000001</v>
      </c>
      <c r="J3954">
        <v>-208.61240000000001</v>
      </c>
      <c r="K3954">
        <v>1.1035999999999999</v>
      </c>
      <c r="L3954">
        <v>136.7064</v>
      </c>
      <c r="M3954">
        <v>-0.84057729999999997</v>
      </c>
      <c r="N3954">
        <v>0</v>
      </c>
      <c r="O3954">
        <v>-0.5415063</v>
      </c>
      <c r="P3954">
        <v>-0.93189809999999995</v>
      </c>
      <c r="Q3954">
        <v>3.7426180000000003E-2</v>
      </c>
      <c r="R3954">
        <v>-0.36078500000000002</v>
      </c>
      <c r="S3954">
        <v>-3.2063290000000002</v>
      </c>
      <c r="T3954">
        <v>-0.3163048</v>
      </c>
      <c r="U3954">
        <v>-9.6801760000000001E-2</v>
      </c>
      <c r="V3954">
        <v>0.20219799999999999</v>
      </c>
      <c r="W3954">
        <v>4.7980780000000001E-2</v>
      </c>
      <c r="X3954">
        <v>0.97816860000000005</v>
      </c>
      <c r="Y3954">
        <v>0.5110886</v>
      </c>
      <c r="Z3954">
        <v>7.6007749999999999E-2</v>
      </c>
      <c r="AA3954">
        <v>0.85616080000000006</v>
      </c>
      <c r="AB3954">
        <v>24</v>
      </c>
      <c r="AC3954">
        <v>-10.975199999999999</v>
      </c>
      <c r="AD3954">
        <v>-1.1036009732597001</v>
      </c>
      <c r="AE3954">
        <v>-0.211999999999989</v>
      </c>
      <c r="AF3954">
        <v>5.7078252602140997</v>
      </c>
      <c r="AG3954">
        <v>-1.1036009732597001</v>
      </c>
      <c r="AH3954">
        <v>9.2477704572484001</v>
      </c>
      <c r="AI3954">
        <v>95.798591332183904</v>
      </c>
      <c r="AJ3954">
        <v>58.316660700858499</v>
      </c>
      <c r="AK3954">
        <v>10.9232990776264</v>
      </c>
      <c r="AL3954">
        <v>87.249847901455794</v>
      </c>
      <c r="AM3954">
        <v>78.320837891717701</v>
      </c>
      <c r="AN3954">
        <v>0.999999998239684</v>
      </c>
    </row>
    <row r="3955" spans="1:40" x14ac:dyDescent="0.25">
      <c r="A3955" t="str">
        <f>"20190312151105239"</f>
        <v>20190312151105239</v>
      </c>
      <c r="B3955" t="str">
        <f>"1552374665234923"</f>
        <v>1552374665234923</v>
      </c>
      <c r="C3955" t="s">
        <v>40</v>
      </c>
      <c r="D3955">
        <v>5.2339510000000002</v>
      </c>
      <c r="E3955">
        <v>0.63444999999999996</v>
      </c>
      <c r="F3955" t="s">
        <v>42</v>
      </c>
      <c r="G3955">
        <v>-220.03559999999999</v>
      </c>
      <c r="H3955" s="1">
        <v>-4.8168019999999998E-6</v>
      </c>
      <c r="I3955">
        <v>136.46029999999999</v>
      </c>
      <c r="J3955">
        <v>-208.81780000000001</v>
      </c>
      <c r="K3955">
        <v>1.1036189999999999</v>
      </c>
      <c r="L3955">
        <v>136.5873</v>
      </c>
      <c r="M3955">
        <v>-0.84589720000000002</v>
      </c>
      <c r="N3955">
        <v>0</v>
      </c>
      <c r="O3955">
        <v>-0.53315729999999995</v>
      </c>
      <c r="P3955">
        <v>-0.93556090000000003</v>
      </c>
      <c r="Q3955">
        <v>3.7613649999999998E-2</v>
      </c>
      <c r="R3955">
        <v>-0.35115649999999998</v>
      </c>
      <c r="S3955">
        <v>-3.2049409999999998</v>
      </c>
      <c r="T3955">
        <v>-0.3096312</v>
      </c>
      <c r="U3955">
        <v>-6.9030759999999997E-2</v>
      </c>
      <c r="V3955">
        <v>0.20259730000000001</v>
      </c>
      <c r="W3955">
        <v>4.8167960000000003E-2</v>
      </c>
      <c r="X3955">
        <v>0.97807679999999997</v>
      </c>
      <c r="Y3955">
        <v>0.51023529999999995</v>
      </c>
      <c r="Z3955">
        <v>7.3754120000000006E-2</v>
      </c>
      <c r="AA3955">
        <v>0.85686649999999998</v>
      </c>
      <c r="AB3955">
        <v>24</v>
      </c>
      <c r="AC3955">
        <v>-11.217799999999899</v>
      </c>
      <c r="AD3955">
        <v>-1.1036238168020001</v>
      </c>
      <c r="AE3955">
        <v>-0.12700000000000899</v>
      </c>
      <c r="AF3955">
        <v>5.8177120980018504</v>
      </c>
      <c r="AG3955">
        <v>-1.1036238168020001</v>
      </c>
      <c r="AH3955">
        <v>9.4661677408528497</v>
      </c>
      <c r="AI3955">
        <v>95.672424995520501</v>
      </c>
      <c r="AJ3955">
        <v>58.425971037540798</v>
      </c>
      <c r="AK3955">
        <v>11.165665733945801</v>
      </c>
      <c r="AL3955">
        <v>87.239110929889605</v>
      </c>
      <c r="AM3955">
        <v>78.297341334421304</v>
      </c>
      <c r="AN3955">
        <v>1.0000000225180401</v>
      </c>
    </row>
    <row r="3956" spans="1:40" x14ac:dyDescent="0.25">
      <c r="A3956" t="str">
        <f>"20190312151105263"</f>
        <v>20190312151105263</v>
      </c>
      <c r="B3956" t="str">
        <f>"1552374665255420"</f>
        <v>1552374665255420</v>
      </c>
      <c r="C3956" t="s">
        <v>40</v>
      </c>
      <c r="D3956">
        <v>5.2747440000000001</v>
      </c>
      <c r="E3956">
        <v>0.63360890000000003</v>
      </c>
      <c r="F3956" t="s">
        <v>42</v>
      </c>
      <c r="G3956">
        <v>-220.33580000000001</v>
      </c>
      <c r="H3956" s="1">
        <v>-4.692449E-6</v>
      </c>
      <c r="I3956">
        <v>136.43539999999999</v>
      </c>
      <c r="J3956">
        <v>-209.04130000000001</v>
      </c>
      <c r="K3956">
        <v>1.10364</v>
      </c>
      <c r="L3956">
        <v>136.46100000000001</v>
      </c>
      <c r="M3956">
        <v>-0.85155110000000001</v>
      </c>
      <c r="N3956">
        <v>0</v>
      </c>
      <c r="O3956">
        <v>-0.52407970000000004</v>
      </c>
      <c r="P3956">
        <v>-0.93937110000000001</v>
      </c>
      <c r="Q3956">
        <v>3.7546179999999998E-2</v>
      </c>
      <c r="R3956">
        <v>-0.34084009999999998</v>
      </c>
      <c r="S3956">
        <v>-3.2031559999999999</v>
      </c>
      <c r="T3956">
        <v>-0.30691929999999901</v>
      </c>
      <c r="U3956">
        <v>-4.2221069999999999E-2</v>
      </c>
      <c r="V3956">
        <v>0.20289769999999999</v>
      </c>
      <c r="W3956">
        <v>4.810271E-2</v>
      </c>
      <c r="X3956">
        <v>0.97801769999999999</v>
      </c>
      <c r="Y3956">
        <v>0.50833539999999999</v>
      </c>
      <c r="Z3956">
        <v>7.2347110000000006E-2</v>
      </c>
      <c r="AA3956">
        <v>0.85811479999999996</v>
      </c>
      <c r="AB3956">
        <v>24</v>
      </c>
      <c r="AC3956">
        <v>-11.294499999999999</v>
      </c>
      <c r="AD3956">
        <v>-1.103644692449</v>
      </c>
      <c r="AE3956">
        <v>-2.5600000000025599E-2</v>
      </c>
      <c r="AF3956">
        <v>5.84222893702451</v>
      </c>
      <c r="AG3956">
        <v>-1.103644692449</v>
      </c>
      <c r="AH3956">
        <v>9.5411285806572206</v>
      </c>
      <c r="AI3956">
        <v>95.633885157110498</v>
      </c>
      <c r="AJ3956">
        <v>58.520008716226599</v>
      </c>
      <c r="AK3956">
        <v>11.2420107255068</v>
      </c>
      <c r="AL3956">
        <v>87.242853713032403</v>
      </c>
      <c r="AM3956">
        <v>78.279780296427901</v>
      </c>
      <c r="AN3956">
        <v>0.99999998444396099</v>
      </c>
    </row>
    <row r="3957" spans="1:40" x14ac:dyDescent="0.25">
      <c r="A3957" t="str">
        <f>"20190312151105286"</f>
        <v>20190312151105286</v>
      </c>
      <c r="B3957" t="str">
        <f>"1552374665274938"</f>
        <v>1552374665274938</v>
      </c>
      <c r="C3957" t="s">
        <v>40</v>
      </c>
      <c r="D3957">
        <v>5.2712070000000004</v>
      </c>
      <c r="E3957">
        <v>0.63321850000000002</v>
      </c>
      <c r="F3957" t="s">
        <v>42</v>
      </c>
      <c r="G3957">
        <v>-220.5078</v>
      </c>
      <c r="H3957" s="1">
        <v>-4.6223359999999999E-6</v>
      </c>
      <c r="I3957">
        <v>136.41460000000001</v>
      </c>
      <c r="J3957">
        <v>-209.26349999999999</v>
      </c>
      <c r="K3957">
        <v>1.103653</v>
      </c>
      <c r="L3957">
        <v>136.33840000000001</v>
      </c>
      <c r="M3957">
        <v>-0.85704460000000005</v>
      </c>
      <c r="N3957">
        <v>0</v>
      </c>
      <c r="O3957">
        <v>-0.51504709999999998</v>
      </c>
      <c r="P3957">
        <v>-0.9428571</v>
      </c>
      <c r="Q3957">
        <v>3.7466510000000001E-2</v>
      </c>
      <c r="R3957">
        <v>-0.33108409999999999</v>
      </c>
      <c r="S3957">
        <v>-3.2012480000000001</v>
      </c>
      <c r="T3957">
        <v>-0.30811640000000001</v>
      </c>
      <c r="U3957">
        <v>-1.293945E-2</v>
      </c>
      <c r="V3957">
        <v>0.20269390000000001</v>
      </c>
      <c r="W3957">
        <v>4.8034599999999997E-2</v>
      </c>
      <c r="X3957">
        <v>0.97806329999999997</v>
      </c>
      <c r="Y3957">
        <v>0.5070924</v>
      </c>
      <c r="Z3957">
        <v>7.1890949999999995E-2</v>
      </c>
      <c r="AA3957">
        <v>0.85888819999999999</v>
      </c>
      <c r="AB3957">
        <v>24</v>
      </c>
      <c r="AC3957">
        <v>-11.244300000000001</v>
      </c>
      <c r="AD3957">
        <v>-1.103657622336</v>
      </c>
      <c r="AE3957">
        <v>7.6200000000000004E-2</v>
      </c>
      <c r="AF3957">
        <v>5.8013523920201404</v>
      </c>
      <c r="AG3957">
        <v>-1.103657622336</v>
      </c>
      <c r="AH3957">
        <v>9.5069992537726904</v>
      </c>
      <c r="AI3957">
        <v>95.659300781893606</v>
      </c>
      <c r="AJ3957">
        <v>58.607661315093601</v>
      </c>
      <c r="AK3957">
        <v>11.1918177493637</v>
      </c>
      <c r="AL3957">
        <v>87.246760630882804</v>
      </c>
      <c r="AM3957">
        <v>78.291758276713395</v>
      </c>
      <c r="AN3957">
        <v>0.99999997935062901</v>
      </c>
    </row>
    <row r="3958" spans="1:40" x14ac:dyDescent="0.25">
      <c r="A3958" t="str">
        <f>"20190312151105307"</f>
        <v>20190312151105307</v>
      </c>
      <c r="B3958" t="str">
        <f>"1552374665294458"</f>
        <v>1552374665294458</v>
      </c>
      <c r="C3958" t="s">
        <v>40</v>
      </c>
      <c r="D3958">
        <v>5.3139529999999997</v>
      </c>
      <c r="E3958">
        <v>0.62521890000000002</v>
      </c>
      <c r="F3958" t="s">
        <v>42</v>
      </c>
      <c r="G3958">
        <v>-220.7457</v>
      </c>
      <c r="H3958" s="1">
        <v>-4.5226529999999997E-6</v>
      </c>
      <c r="I3958">
        <v>136.40129999999999</v>
      </c>
      <c r="J3958">
        <v>-209.46690000000001</v>
      </c>
      <c r="K3958">
        <v>1.1036709999999901</v>
      </c>
      <c r="L3958">
        <v>136.2287</v>
      </c>
      <c r="M3958">
        <v>-0.86196260000000002</v>
      </c>
      <c r="N3958">
        <v>0</v>
      </c>
      <c r="O3958">
        <v>-0.50677349999999999</v>
      </c>
      <c r="P3958">
        <v>-0.9457622</v>
      </c>
      <c r="Q3958">
        <v>3.7209359999999997E-2</v>
      </c>
      <c r="R3958">
        <v>-0.32272199999999901</v>
      </c>
      <c r="S3958">
        <v>-3.2001949999999999</v>
      </c>
      <c r="T3958">
        <v>-0.30759910000000001</v>
      </c>
      <c r="U3958">
        <v>1.7547610000000002E-2</v>
      </c>
      <c r="V3958">
        <v>0.2019389</v>
      </c>
      <c r="W3958">
        <v>4.7798840000000002E-2</v>
      </c>
      <c r="X3958">
        <v>0.97823099999999996</v>
      </c>
      <c r="Y3958">
        <v>0.50704139999999998</v>
      </c>
      <c r="Z3958">
        <v>7.1127460000000003E-2</v>
      </c>
      <c r="AA3958">
        <v>0.85898189999999996</v>
      </c>
      <c r="AB3958">
        <v>24</v>
      </c>
      <c r="AC3958">
        <v>-11.278799999999899</v>
      </c>
      <c r="AD3958">
        <v>-1.103675522653</v>
      </c>
      <c r="AE3958">
        <v>0.17259999999998801</v>
      </c>
      <c r="AF3958">
        <v>5.8095457426425101</v>
      </c>
      <c r="AG3958">
        <v>-1.103675522653</v>
      </c>
      <c r="AH3958">
        <v>9.5440369386209092</v>
      </c>
      <c r="AI3958">
        <v>95.641330145933907</v>
      </c>
      <c r="AJ3958">
        <v>58.670729132239899</v>
      </c>
      <c r="AK3958">
        <v>11.2275359042365</v>
      </c>
      <c r="AL3958">
        <v>87.260284189599304</v>
      </c>
      <c r="AM3958">
        <v>78.336117086085395</v>
      </c>
      <c r="AN3958">
        <v>0.99999996889977705</v>
      </c>
    </row>
    <row r="3959" spans="1:40" x14ac:dyDescent="0.25">
      <c r="A3959" t="str">
        <f>"20190312151105332"</f>
        <v>20190312151105332</v>
      </c>
      <c r="B3959" t="str">
        <f>"1552374665324714"</f>
        <v>1552374665324714</v>
      </c>
      <c r="C3959" t="s">
        <v>40</v>
      </c>
      <c r="D3959">
        <v>5.3025739999999999</v>
      </c>
      <c r="E3959">
        <v>0.62394240000000001</v>
      </c>
      <c r="F3959" t="s">
        <v>42</v>
      </c>
      <c r="G3959">
        <v>-219.7585</v>
      </c>
      <c r="H3959" s="1">
        <v>-9.9009030000000002E-7</v>
      </c>
      <c r="I3959">
        <v>136.18450000000001</v>
      </c>
      <c r="J3959">
        <v>-209.7</v>
      </c>
      <c r="K3959">
        <v>1.1036859999999999</v>
      </c>
      <c r="L3959">
        <v>136.1062</v>
      </c>
      <c r="M3959">
        <v>-0.86746590000000001</v>
      </c>
      <c r="N3959">
        <v>0</v>
      </c>
      <c r="O3959">
        <v>-0.49729489999999998</v>
      </c>
      <c r="P3959">
        <v>-0.94895339999999995</v>
      </c>
      <c r="Q3959">
        <v>3.719476E-2</v>
      </c>
      <c r="R3959">
        <v>-0.31321579999999999</v>
      </c>
      <c r="S3959">
        <v>-3.1808169999999998</v>
      </c>
      <c r="T3959">
        <v>-0.34111449999999999</v>
      </c>
      <c r="U3959">
        <v>-1.365662E-2</v>
      </c>
      <c r="V3959">
        <v>0.20102929999999999</v>
      </c>
      <c r="W3959">
        <v>4.7808839999999998E-2</v>
      </c>
      <c r="X3959">
        <v>0.97841789999999995</v>
      </c>
      <c r="Y3959">
        <v>0.48817060000000001</v>
      </c>
      <c r="Z3959">
        <v>7.7379210000000004E-2</v>
      </c>
      <c r="AA3959">
        <v>0.86931119999999995</v>
      </c>
      <c r="AB3959">
        <v>24</v>
      </c>
      <c r="AC3959">
        <v>-10.0585</v>
      </c>
      <c r="AD3959">
        <v>-1.1036869900902999</v>
      </c>
      <c r="AE3959">
        <v>7.8300000000012901E-2</v>
      </c>
      <c r="AF3959">
        <v>5.0101537202875397</v>
      </c>
      <c r="AG3959">
        <v>-1.1036869900902999</v>
      </c>
      <c r="AH3959">
        <v>8.5839945849135706</v>
      </c>
      <c r="AI3959">
        <v>96.336419465907198</v>
      </c>
      <c r="AJ3959">
        <v>59.729503299064199</v>
      </c>
      <c r="AK3959">
        <v>10.000236412547</v>
      </c>
      <c r="AL3959">
        <v>87.259710732151703</v>
      </c>
      <c r="AM3959">
        <v>78.389383019412193</v>
      </c>
      <c r="AN3959">
        <v>1.0000000258405199</v>
      </c>
    </row>
    <row r="3960" spans="1:40" x14ac:dyDescent="0.25">
      <c r="A3960" t="str">
        <f>"20190312151105352"</f>
        <v>20190312151105352</v>
      </c>
      <c r="B3960" t="str">
        <f>"1552374665345211"</f>
        <v>1552374665345211</v>
      </c>
      <c r="C3960" t="s">
        <v>40</v>
      </c>
      <c r="D3960">
        <v>5.3186010000000001</v>
      </c>
      <c r="E3960">
        <v>0.62256119999999904</v>
      </c>
      <c r="F3960" t="s">
        <v>42</v>
      </c>
      <c r="G3960">
        <v>-219.9033</v>
      </c>
      <c r="H3960" s="1">
        <v>-9.4769719999999995E-7</v>
      </c>
      <c r="I3960">
        <v>136.13480000000001</v>
      </c>
      <c r="J3960">
        <v>-209.90190000000001</v>
      </c>
      <c r="K3960">
        <v>1.103693</v>
      </c>
      <c r="L3960">
        <v>136.0026</v>
      </c>
      <c r="M3960">
        <v>-0.87212469999999997</v>
      </c>
      <c r="N3960">
        <v>0</v>
      </c>
      <c r="O3960">
        <v>-0.48907859999999997</v>
      </c>
      <c r="P3960">
        <v>-0.95131580000000004</v>
      </c>
      <c r="Q3960">
        <v>3.6757610000000003E-2</v>
      </c>
      <c r="R3960">
        <v>-0.30601889999999998</v>
      </c>
      <c r="S3960">
        <v>-3.1777950000000001</v>
      </c>
      <c r="T3960">
        <v>-0.34374070000000001</v>
      </c>
      <c r="U3960">
        <v>8.9111329999999999E-3</v>
      </c>
      <c r="V3960">
        <v>0.19919629999999999</v>
      </c>
      <c r="W3960">
        <v>4.7413039999999997E-2</v>
      </c>
      <c r="X3960">
        <v>0.97881200000000002</v>
      </c>
      <c r="Y3960">
        <v>0.48607630000000002</v>
      </c>
      <c r="Z3960">
        <v>7.7171279999999995E-2</v>
      </c>
      <c r="AA3960">
        <v>0.87050239999999901</v>
      </c>
      <c r="AB3960">
        <v>24</v>
      </c>
      <c r="AC3960">
        <v>-10.001399999999901</v>
      </c>
      <c r="AD3960">
        <v>-1.1036939476971901</v>
      </c>
      <c r="AE3960">
        <v>0.132200000000011</v>
      </c>
      <c r="AF3960">
        <v>4.9470335098993701</v>
      </c>
      <c r="AG3960">
        <v>-1.1036939476971901</v>
      </c>
      <c r="AH3960">
        <v>8.5545217167125696</v>
      </c>
      <c r="AI3960">
        <v>96.372831026040402</v>
      </c>
      <c r="AJ3960">
        <v>59.959437992086599</v>
      </c>
      <c r="AK3960">
        <v>9.9433959329777206</v>
      </c>
      <c r="AL3960">
        <v>87.282414204969598</v>
      </c>
      <c r="AM3960">
        <v>78.496922688554505</v>
      </c>
      <c r="AN3960">
        <v>1.00000004681986</v>
      </c>
    </row>
    <row r="3961" spans="1:40" x14ac:dyDescent="0.25">
      <c r="A3961" t="str">
        <f>"20190312151105374"</f>
        <v>20190312151105374</v>
      </c>
      <c r="B3961" t="str">
        <f>"1552374665364730"</f>
        <v>1552374665364730</v>
      </c>
      <c r="C3961" t="s">
        <v>40</v>
      </c>
      <c r="D3961">
        <v>5.5736439999999998</v>
      </c>
      <c r="E3961">
        <v>0.62122319999999998</v>
      </c>
      <c r="F3961" t="s">
        <v>42</v>
      </c>
      <c r="G3961">
        <v>-220.1103</v>
      </c>
      <c r="H3961" s="1">
        <v>-4.8529550000000002E-6</v>
      </c>
      <c r="I3961">
        <v>136.07599999999999</v>
      </c>
      <c r="J3961">
        <v>-210.1216</v>
      </c>
      <c r="K3961">
        <v>1.1037129999999999</v>
      </c>
      <c r="L3961">
        <v>135.89259999999999</v>
      </c>
      <c r="M3961">
        <v>-0.87708249999999999</v>
      </c>
      <c r="N3961">
        <v>0</v>
      </c>
      <c r="O3961">
        <v>-0.48013050000000002</v>
      </c>
      <c r="P3961">
        <v>-0.95382979999999995</v>
      </c>
      <c r="Q3961">
        <v>3.6920759999999997E-2</v>
      </c>
      <c r="R3961">
        <v>-0.29807030000000001</v>
      </c>
      <c r="S3961">
        <v>-3.1741030000000001</v>
      </c>
      <c r="T3961">
        <v>-0.34317360000000002</v>
      </c>
      <c r="U3961">
        <v>2.2827150000000001E-2</v>
      </c>
      <c r="V3961">
        <v>0.1973461</v>
      </c>
      <c r="W3961">
        <v>4.7617369999999999E-2</v>
      </c>
      <c r="X3961">
        <v>0.97917679999999996</v>
      </c>
      <c r="Y3961">
        <v>0.48105189999999998</v>
      </c>
      <c r="Z3961">
        <v>7.6016920000000002E-2</v>
      </c>
      <c r="AA3961">
        <v>0.87339029999999995</v>
      </c>
      <c r="AB3961">
        <v>24</v>
      </c>
      <c r="AC3961">
        <v>-9.9886999999999908</v>
      </c>
      <c r="AD3961">
        <v>-1.103717852955</v>
      </c>
      <c r="AE3961">
        <v>0.183400000000006</v>
      </c>
      <c r="AF3961">
        <v>4.8974592402520898</v>
      </c>
      <c r="AG3961">
        <v>-1.103717852955</v>
      </c>
      <c r="AH3961">
        <v>8.5691400171423808</v>
      </c>
      <c r="AI3961">
        <v>96.380674854077895</v>
      </c>
      <c r="AJ3961">
        <v>60.251047194586697</v>
      </c>
      <c r="AK3961">
        <v>9.9314379997185291</v>
      </c>
      <c r="AL3961">
        <v>87.270693733224704</v>
      </c>
      <c r="AM3961">
        <v>78.605093000208598</v>
      </c>
      <c r="AN3961">
        <v>1.0000000513845799</v>
      </c>
    </row>
    <row r="3962" spans="1:40" x14ac:dyDescent="0.25">
      <c r="A3962" t="str">
        <f>"20190312151105396"</f>
        <v>20190312151105396</v>
      </c>
      <c r="B3962" t="str">
        <f>"1552374665385149"</f>
        <v>1552374665385149</v>
      </c>
      <c r="C3962" t="s">
        <v>40</v>
      </c>
      <c r="D3962">
        <v>5.2710239999999997</v>
      </c>
      <c r="E3962">
        <v>0.62030850000000004</v>
      </c>
      <c r="F3962" t="s">
        <v>42</v>
      </c>
      <c r="G3962">
        <v>-220.81460000000001</v>
      </c>
      <c r="H3962" s="1">
        <v>-4.5601279999999997E-6</v>
      </c>
      <c r="I3962">
        <v>136.02350000000001</v>
      </c>
      <c r="J3962">
        <v>-210.3372</v>
      </c>
      <c r="K3962">
        <v>1.103729</v>
      </c>
      <c r="L3962">
        <v>135.78739999999999</v>
      </c>
      <c r="M3962">
        <v>-0.88183400000000001</v>
      </c>
      <c r="N3962">
        <v>0</v>
      </c>
      <c r="O3962">
        <v>-0.47134720000000002</v>
      </c>
      <c r="P3962">
        <v>-0.95611520000000005</v>
      </c>
      <c r="Q3962">
        <v>3.69716E-2</v>
      </c>
      <c r="R3962">
        <v>-0.29064889999999999</v>
      </c>
      <c r="S3962">
        <v>-3.1699980000000001</v>
      </c>
      <c r="T3962">
        <v>-0.32720549999999998</v>
      </c>
      <c r="U3962">
        <v>3.8818360000000003E-2</v>
      </c>
      <c r="V3962">
        <v>0.19517290000000001</v>
      </c>
      <c r="W3962">
        <v>4.7715E-2</v>
      </c>
      <c r="X3962">
        <v>0.97960749999999996</v>
      </c>
      <c r="Y3962">
        <v>0.47726869999999999</v>
      </c>
      <c r="Z3962">
        <v>7.16006E-2</v>
      </c>
      <c r="AA3962">
        <v>0.87583559999999905</v>
      </c>
      <c r="AB3962">
        <v>24</v>
      </c>
      <c r="AC3962">
        <v>-10.477399999999999</v>
      </c>
      <c r="AD3962">
        <v>-1.1037335601280001</v>
      </c>
      <c r="AE3962">
        <v>0.23610000000002099</v>
      </c>
      <c r="AF3962">
        <v>5.0907450976053497</v>
      </c>
      <c r="AG3962">
        <v>-1.1037335601280001</v>
      </c>
      <c r="AH3962">
        <v>9.02881267921369</v>
      </c>
      <c r="AI3962">
        <v>96.078272817593501</v>
      </c>
      <c r="AJ3962">
        <v>60.584249174077399</v>
      </c>
      <c r="AK3962">
        <v>10.423692810941599</v>
      </c>
      <c r="AL3962">
        <v>87.265093489850699</v>
      </c>
      <c r="AM3962">
        <v>78.732174183130496</v>
      </c>
      <c r="AN3962">
        <v>1.0000000180878299</v>
      </c>
    </row>
    <row r="3963" spans="1:40" x14ac:dyDescent="0.25">
      <c r="A3963" t="str">
        <f>"20190312151105419"</f>
        <v>20190312151105419</v>
      </c>
      <c r="B3963" t="str">
        <f>"1552374665415404"</f>
        <v>1552374665415404</v>
      </c>
      <c r="C3963" t="s">
        <v>40</v>
      </c>
      <c r="D3963">
        <v>5.5630949999999997</v>
      </c>
      <c r="E3963">
        <v>0.61961309999999903</v>
      </c>
      <c r="F3963" t="s">
        <v>42</v>
      </c>
      <c r="G3963">
        <v>-220.85409999999999</v>
      </c>
      <c r="H3963" s="1">
        <v>-4.5516380000000004E-6</v>
      </c>
      <c r="I3963">
        <v>135.97569999999999</v>
      </c>
      <c r="J3963">
        <v>-210.55369999999999</v>
      </c>
      <c r="K3963">
        <v>1.1037410000000001</v>
      </c>
      <c r="L3963">
        <v>135.68430000000001</v>
      </c>
      <c r="M3963">
        <v>-0.88649619999999996</v>
      </c>
      <c r="N3963">
        <v>0</v>
      </c>
      <c r="O3963">
        <v>-0.46251880000000001</v>
      </c>
      <c r="P3963">
        <v>-0.95830970000000004</v>
      </c>
      <c r="Q3963">
        <v>3.6792650000000003E-2</v>
      </c>
      <c r="R3963">
        <v>-0.28335329999999997</v>
      </c>
      <c r="S3963">
        <v>-3.1678310000000001</v>
      </c>
      <c r="T3963">
        <v>-0.33245930000000001</v>
      </c>
      <c r="U3963">
        <v>5.6747440000000003E-2</v>
      </c>
      <c r="V3963">
        <v>0.19285479999999999</v>
      </c>
      <c r="W3963">
        <v>4.7584979999999999E-2</v>
      </c>
      <c r="X3963">
        <v>0.98007279999999997</v>
      </c>
      <c r="Y3963">
        <v>0.47337430000000003</v>
      </c>
      <c r="Z3963">
        <v>7.1769830000000007E-2</v>
      </c>
      <c r="AA3963">
        <v>0.87793269999999901</v>
      </c>
      <c r="AB3963">
        <v>24</v>
      </c>
      <c r="AC3963">
        <v>-10.3003999999999</v>
      </c>
      <c r="AD3963">
        <v>-1.1037455516379999</v>
      </c>
      <c r="AE3963">
        <v>0.29139999999998101</v>
      </c>
      <c r="AF3963">
        <v>4.9659826718770104</v>
      </c>
      <c r="AG3963">
        <v>-1.1037455516379999</v>
      </c>
      <c r="AH3963">
        <v>8.8953336625431199</v>
      </c>
      <c r="AI3963">
        <v>96.183402060852103</v>
      </c>
      <c r="AJ3963">
        <v>60.826762261937297</v>
      </c>
      <c r="AK3963">
        <v>10.2472532469982</v>
      </c>
      <c r="AL3963">
        <v>87.272551505861003</v>
      </c>
      <c r="AM3963">
        <v>78.867794361140895</v>
      </c>
      <c r="AN3963">
        <v>0.99999999875223999</v>
      </c>
    </row>
    <row r="3964" spans="1:40" x14ac:dyDescent="0.25">
      <c r="A3964" t="str">
        <f>"20190312151105441"</f>
        <v>20190312151105441</v>
      </c>
      <c r="B3964" t="str">
        <f>"1552374665434924"</f>
        <v>1552374665434924</v>
      </c>
      <c r="C3964" t="s">
        <v>40</v>
      </c>
      <c r="D3964">
        <v>5.2476949999999896</v>
      </c>
      <c r="E3964">
        <v>0.61860109999999902</v>
      </c>
      <c r="F3964" t="s">
        <v>42</v>
      </c>
      <c r="G3964">
        <v>-220.66460000000001</v>
      </c>
      <c r="H3964" s="1">
        <v>-4.6417400000000002E-6</v>
      </c>
      <c r="I3964">
        <v>135.92619999999999</v>
      </c>
      <c r="J3964">
        <v>-210.7799</v>
      </c>
      <c r="K3964">
        <v>1.1037619999999999</v>
      </c>
      <c r="L3964">
        <v>135.57980000000001</v>
      </c>
      <c r="M3964">
        <v>-0.89124639999999999</v>
      </c>
      <c r="N3964">
        <v>0</v>
      </c>
      <c r="O3964">
        <v>-0.45329819999999998</v>
      </c>
      <c r="P3964">
        <v>-0.96065440000000002</v>
      </c>
      <c r="Q3964">
        <v>3.6408219999999998E-2</v>
      </c>
      <c r="R3964">
        <v>-0.27535009999999999</v>
      </c>
      <c r="S3964">
        <v>-3.1661679999999999</v>
      </c>
      <c r="T3964">
        <v>-0.34563480000000002</v>
      </c>
      <c r="U3964">
        <v>7.5744629999999993E-2</v>
      </c>
      <c r="V3964">
        <v>0.19086049999999999</v>
      </c>
      <c r="W3964">
        <v>4.7243E-2</v>
      </c>
      <c r="X3964">
        <v>0.98047969999999895</v>
      </c>
      <c r="Y3964">
        <v>0.469194</v>
      </c>
      <c r="Z3964">
        <v>7.3511430000000003E-2</v>
      </c>
      <c r="AA3964">
        <v>0.88003009999999904</v>
      </c>
      <c r="AB3964">
        <v>24</v>
      </c>
      <c r="AC3964">
        <v>-9.8847000000000094</v>
      </c>
      <c r="AD3964">
        <v>-1.1037666417400001</v>
      </c>
      <c r="AE3964">
        <v>0.346399999999988</v>
      </c>
      <c r="AF3964">
        <v>4.7310069011335996</v>
      </c>
      <c r="AG3964">
        <v>-1.1037666417400001</v>
      </c>
      <c r="AH3964">
        <v>8.5471066216484104</v>
      </c>
      <c r="AI3964">
        <v>96.446249859025897</v>
      </c>
      <c r="AJ3964">
        <v>61.034531019558202</v>
      </c>
      <c r="AK3964">
        <v>9.8312643489948908</v>
      </c>
      <c r="AL3964">
        <v>87.292167681511899</v>
      </c>
      <c r="AM3964">
        <v>78.984541039584997</v>
      </c>
      <c r="AN3964">
        <v>1.0000000368106601</v>
      </c>
    </row>
    <row r="3965" spans="1:40" x14ac:dyDescent="0.25">
      <c r="A3965" t="str">
        <f>"20190312151105468"</f>
        <v>20190312151105468</v>
      </c>
      <c r="B3965" t="str">
        <f>"1552374665454444"</f>
        <v>1552374665454444</v>
      </c>
      <c r="C3965" t="s">
        <v>40</v>
      </c>
      <c r="D3965">
        <v>5.2632969999999997</v>
      </c>
      <c r="E3965">
        <v>0.61770890000000001</v>
      </c>
      <c r="F3965" t="s">
        <v>42</v>
      </c>
      <c r="G3965">
        <v>-220.90270000000001</v>
      </c>
      <c r="H3965" s="1">
        <v>-4.5476119999999998E-6</v>
      </c>
      <c r="I3965">
        <v>135.881</v>
      </c>
      <c r="J3965">
        <v>-211.02979999999999</v>
      </c>
      <c r="K3965">
        <v>1.103777</v>
      </c>
      <c r="L3965">
        <v>135.4675</v>
      </c>
      <c r="M3965">
        <v>-0.89636150000000003</v>
      </c>
      <c r="N3965">
        <v>0</v>
      </c>
      <c r="O3965">
        <v>-0.44309789999999999</v>
      </c>
      <c r="P3965">
        <v>-0.96339649999999999</v>
      </c>
      <c r="Q3965">
        <v>3.6352250000000003E-2</v>
      </c>
      <c r="R3965">
        <v>-0.26560519999999999</v>
      </c>
      <c r="S3965">
        <v>-3.1629179999999999</v>
      </c>
      <c r="T3965">
        <v>-0.34487770000000001</v>
      </c>
      <c r="U3965">
        <v>9.4116210000000006E-2</v>
      </c>
      <c r="V3965">
        <v>0.18960050000000001</v>
      </c>
      <c r="W3965">
        <v>4.721537E-2</v>
      </c>
      <c r="X3965">
        <v>0.98072539999999997</v>
      </c>
      <c r="Y3965">
        <v>0.46436110000000003</v>
      </c>
      <c r="Z3965">
        <v>7.2162569999999995E-2</v>
      </c>
      <c r="AA3965">
        <v>0.88270119999999896</v>
      </c>
      <c r="AB3965">
        <v>24</v>
      </c>
      <c r="AC3965">
        <v>-9.8729000000000102</v>
      </c>
      <c r="AD3965">
        <v>-1.1037815476119901</v>
      </c>
      <c r="AE3965">
        <v>0.41349999999999898</v>
      </c>
      <c r="AF3965">
        <v>4.6872979279399196</v>
      </c>
      <c r="AG3965">
        <v>-1.1037815476119901</v>
      </c>
      <c r="AH3965">
        <v>8.5605236047759004</v>
      </c>
      <c r="AI3965">
        <v>96.452444254534697</v>
      </c>
      <c r="AJ3965">
        <v>61.2971773551605</v>
      </c>
      <c r="AK3965">
        <v>9.8219987761170096</v>
      </c>
      <c r="AL3965">
        <v>87.293752366322806</v>
      </c>
      <c r="AM3965">
        <v>79.058175619911495</v>
      </c>
      <c r="AN3965">
        <v>0.999999975484823</v>
      </c>
    </row>
    <row r="3966" spans="1:40" x14ac:dyDescent="0.25">
      <c r="A3966" t="str">
        <f>"20190312151105486"</f>
        <v>20190312151105486</v>
      </c>
      <c r="B3966" t="str">
        <f>"1552374665474941"</f>
        <v>1552374665474941</v>
      </c>
      <c r="C3966" t="s">
        <v>40</v>
      </c>
      <c r="D3966">
        <v>5.2728859999999997</v>
      </c>
      <c r="E3966">
        <v>0.61694209999999905</v>
      </c>
      <c r="F3966" t="s">
        <v>42</v>
      </c>
      <c r="G3966">
        <v>-221.2039</v>
      </c>
      <c r="H3966" s="1">
        <v>-4.4239960000000002E-6</v>
      </c>
      <c r="I3966">
        <v>135.8493</v>
      </c>
      <c r="J3966">
        <v>-211.22489999999999</v>
      </c>
      <c r="K3966">
        <v>1.1037980000000001</v>
      </c>
      <c r="L3966">
        <v>135.38210000000001</v>
      </c>
      <c r="M3966">
        <v>-0.90025880000000003</v>
      </c>
      <c r="N3966">
        <v>0</v>
      </c>
      <c r="O3966">
        <v>-0.43512479999999998</v>
      </c>
      <c r="P3966">
        <v>-0.96554059999999997</v>
      </c>
      <c r="Q3966">
        <v>3.6505740000000002E-2</v>
      </c>
      <c r="R3966">
        <v>-0.25768010000000002</v>
      </c>
      <c r="S3966">
        <v>-3.159592</v>
      </c>
      <c r="T3966">
        <v>-0.34278039999999999</v>
      </c>
      <c r="U3966">
        <v>0.118576</v>
      </c>
      <c r="V3966">
        <v>0.1889526</v>
      </c>
      <c r="W3966">
        <v>4.7383990000000001E-2</v>
      </c>
      <c r="X3966">
        <v>0.98084229999999994</v>
      </c>
      <c r="Y3966">
        <v>0.46347450000000001</v>
      </c>
      <c r="Z3966">
        <v>7.0973649999999999E-2</v>
      </c>
      <c r="AA3966">
        <v>0.88326329999999997</v>
      </c>
      <c r="AB3966">
        <v>24</v>
      </c>
      <c r="AC3966">
        <v>-9.9790000000000099</v>
      </c>
      <c r="AD3966">
        <v>-1.103802423996</v>
      </c>
      <c r="AE3966">
        <v>0.46719999999999101</v>
      </c>
      <c r="AF3966">
        <v>4.7057394135867199</v>
      </c>
      <c r="AG3966">
        <v>-1.103802423996</v>
      </c>
      <c r="AH3966">
        <v>8.6753606081749002</v>
      </c>
      <c r="AI3966">
        <v>96.381465169652799</v>
      </c>
      <c r="AJ3966">
        <v>61.523453636436599</v>
      </c>
      <c r="AK3966">
        <v>9.9309740157587694</v>
      </c>
      <c r="AL3966">
        <v>87.284080318161799</v>
      </c>
      <c r="AM3966">
        <v>79.095936451504699</v>
      </c>
      <c r="AN3966">
        <v>0.99999997251218398</v>
      </c>
    </row>
    <row r="3967" spans="1:40" x14ac:dyDescent="0.25">
      <c r="A3967" t="str">
        <f>"20190312151105509"</f>
        <v>20190312151105509</v>
      </c>
      <c r="B3967" t="str">
        <f>"1552374665505196"</f>
        <v>1552374665505196</v>
      </c>
      <c r="C3967" t="s">
        <v>40</v>
      </c>
      <c r="D3967">
        <v>5.2972020000000004</v>
      </c>
      <c r="E3967">
        <v>0.61582619999999999</v>
      </c>
      <c r="F3967" t="s">
        <v>42</v>
      </c>
      <c r="G3967">
        <v>-221.3912</v>
      </c>
      <c r="H3967" s="1">
        <v>-4.3476819999999998E-6</v>
      </c>
      <c r="I3967">
        <v>135.82669999999999</v>
      </c>
      <c r="J3967">
        <v>-211.4512</v>
      </c>
      <c r="K3967">
        <v>1.10381</v>
      </c>
      <c r="L3967">
        <v>135.28569999999999</v>
      </c>
      <c r="M3967">
        <v>-0.90467089999999994</v>
      </c>
      <c r="N3967">
        <v>0</v>
      </c>
      <c r="O3967">
        <v>-0.42587570000000002</v>
      </c>
      <c r="P3967">
        <v>-0.96797979999999995</v>
      </c>
      <c r="Q3967">
        <v>3.6415040000000003E-2</v>
      </c>
      <c r="R3967">
        <v>-0.24837300000000001</v>
      </c>
      <c r="S3967">
        <v>-3.15686</v>
      </c>
      <c r="T3967">
        <v>-0.34275899999999998</v>
      </c>
      <c r="U3967">
        <v>0.138076799999999</v>
      </c>
      <c r="V3967">
        <v>0.18834100000000001</v>
      </c>
      <c r="W3967">
        <v>4.7308250000000003E-2</v>
      </c>
      <c r="X3967">
        <v>0.98096360000000005</v>
      </c>
      <c r="Y3967">
        <v>0.45995130000000001</v>
      </c>
      <c r="Z3967">
        <v>6.9923799999999994E-2</v>
      </c>
      <c r="AA3967">
        <v>0.88518669999999999</v>
      </c>
      <c r="AB3967">
        <v>24</v>
      </c>
      <c r="AC3967">
        <v>-9.9399999999999906</v>
      </c>
      <c r="AD3967">
        <v>-1.1038143476819999</v>
      </c>
      <c r="AE3967">
        <v>0.54099999999999604</v>
      </c>
      <c r="AF3967">
        <v>4.66573873960896</v>
      </c>
      <c r="AG3967">
        <v>-1.1038143476819999</v>
      </c>
      <c r="AH3967">
        <v>8.65647542251725</v>
      </c>
      <c r="AI3967">
        <v>96.404468464423005</v>
      </c>
      <c r="AJ3967">
        <v>61.675853208356799</v>
      </c>
      <c r="AK3967">
        <v>9.8955591474702302</v>
      </c>
      <c r="AL3967">
        <v>87.288424830131106</v>
      </c>
      <c r="AM3967">
        <v>79.131700615160796</v>
      </c>
      <c r="AN3967">
        <v>0.99999999366201098</v>
      </c>
    </row>
    <row r="3968" spans="1:40" x14ac:dyDescent="0.25">
      <c r="A3968" t="str">
        <f>"20190312151105530"</f>
        <v>20190312151105530</v>
      </c>
      <c r="B3968" t="str">
        <f>"1552374665524717"</f>
        <v>1552374665524717</v>
      </c>
      <c r="C3968" t="s">
        <v>40</v>
      </c>
      <c r="D3968">
        <v>5.3798789999999999</v>
      </c>
      <c r="E3968">
        <v>0.61523439999999996</v>
      </c>
      <c r="F3968" t="s">
        <v>42</v>
      </c>
      <c r="G3968">
        <v>-221.5812</v>
      </c>
      <c r="H3968" s="1">
        <v>-4.2710549999999999E-6</v>
      </c>
      <c r="I3968">
        <v>135.79900000000001</v>
      </c>
      <c r="J3968">
        <v>-211.66800000000001</v>
      </c>
      <c r="K3968">
        <v>1.103823</v>
      </c>
      <c r="L3968">
        <v>135.19579999999999</v>
      </c>
      <c r="M3968">
        <v>-0.90879239999999994</v>
      </c>
      <c r="N3968">
        <v>0</v>
      </c>
      <c r="O3968">
        <v>-0.41700870000000001</v>
      </c>
      <c r="P3968">
        <v>-0.97040709999999997</v>
      </c>
      <c r="Q3968">
        <v>3.6702989999999998E-2</v>
      </c>
      <c r="R3968">
        <v>-0.2386701</v>
      </c>
      <c r="S3968">
        <v>-3.153168</v>
      </c>
      <c r="T3968">
        <v>-0.34358509999999998</v>
      </c>
      <c r="U3968">
        <v>0.15978999999999999</v>
      </c>
      <c r="V3968">
        <v>0.18856729999999999</v>
      </c>
      <c r="W3968">
        <v>4.7595459999999999E-2</v>
      </c>
      <c r="X3968">
        <v>0.98090619999999995</v>
      </c>
      <c r="Y3968">
        <v>0.45744269999999998</v>
      </c>
      <c r="Z3968">
        <v>6.9150130000000004E-2</v>
      </c>
      <c r="AA3968">
        <v>0.88654630000000001</v>
      </c>
      <c r="AB3968">
        <v>24</v>
      </c>
      <c r="AC3968">
        <v>-9.9131999999999891</v>
      </c>
      <c r="AD3968">
        <v>-1.1038272710549999</v>
      </c>
      <c r="AE3968">
        <v>0.60320000000001495</v>
      </c>
      <c r="AF3968">
        <v>4.6254055269808099</v>
      </c>
      <c r="AG3968">
        <v>-1.1038272710549999</v>
      </c>
      <c r="AH3968">
        <v>8.6515062373938001</v>
      </c>
      <c r="AI3968">
        <v>96.419727220535094</v>
      </c>
      <c r="AJ3968">
        <v>61.869441855331999</v>
      </c>
      <c r="AK3968">
        <v>9.8722525853532197</v>
      </c>
      <c r="AL3968">
        <v>87.271950269595905</v>
      </c>
      <c r="AM3968">
        <v>79.118331892161606</v>
      </c>
      <c r="AN3968">
        <v>0.99999996382016998</v>
      </c>
    </row>
    <row r="3969" spans="1:40" x14ac:dyDescent="0.25">
      <c r="A3969" t="str">
        <f>"20190312151105553"</f>
        <v>20190312151105553</v>
      </c>
      <c r="B3969" t="str">
        <f>"1552374665545215"</f>
        <v>1552374665545215</v>
      </c>
      <c r="C3969" t="s">
        <v>40</v>
      </c>
      <c r="D3969">
        <v>5.2770130000000002</v>
      </c>
      <c r="E3969">
        <v>0.61446840000000003</v>
      </c>
      <c r="F3969" t="s">
        <v>42</v>
      </c>
      <c r="G3969">
        <v>-221.767</v>
      </c>
      <c r="H3969" s="1">
        <v>-4.1921679999999901E-6</v>
      </c>
      <c r="I3969">
        <v>135.7945</v>
      </c>
      <c r="J3969">
        <v>-211.89</v>
      </c>
      <c r="K3969">
        <v>1.103839</v>
      </c>
      <c r="L3969">
        <v>135.10640000000001</v>
      </c>
      <c r="M3969">
        <v>-0.91290709999999997</v>
      </c>
      <c r="N3969">
        <v>0</v>
      </c>
      <c r="O3969">
        <v>-0.40792230000000002</v>
      </c>
      <c r="P3969">
        <v>-0.97271799999999997</v>
      </c>
      <c r="Q3969">
        <v>3.718378E-2</v>
      </c>
      <c r="R3969">
        <v>-0.22899230000000001</v>
      </c>
      <c r="S3969">
        <v>-3.1504210000000001</v>
      </c>
      <c r="T3969">
        <v>-0.34434559999999997</v>
      </c>
      <c r="U3969">
        <v>0.18676760000000001</v>
      </c>
      <c r="V3969">
        <v>0.18855140000000001</v>
      </c>
      <c r="W3969">
        <v>4.807985E-2</v>
      </c>
      <c r="X3969">
        <v>0.98088569999999997</v>
      </c>
      <c r="Y3969">
        <v>0.456229</v>
      </c>
      <c r="Z3969">
        <v>6.8378869999999994E-2</v>
      </c>
      <c r="AA3969">
        <v>0.88723129999999994</v>
      </c>
      <c r="AB3969">
        <v>24</v>
      </c>
      <c r="AC3969">
        <v>-9.8770000000000095</v>
      </c>
      <c r="AD3969">
        <v>-1.1038431921680001</v>
      </c>
      <c r="AE3969">
        <v>0.68809999999999105</v>
      </c>
      <c r="AF3969">
        <v>4.6005027436504102</v>
      </c>
      <c r="AG3969">
        <v>-1.1038431921680001</v>
      </c>
      <c r="AH3969">
        <v>8.6297010276315707</v>
      </c>
      <c r="AI3969">
        <v>96.439975131490002</v>
      </c>
      <c r="AJ3969">
        <v>61.937875294380298</v>
      </c>
      <c r="AK3969">
        <v>9.8414854119455004</v>
      </c>
      <c r="AL3969">
        <v>87.244165135918095</v>
      </c>
      <c r="AM3969">
        <v>79.119005557973594</v>
      </c>
      <c r="AN3969">
        <v>1.0000000294412299</v>
      </c>
    </row>
    <row r="3970" spans="1:40" x14ac:dyDescent="0.25">
      <c r="A3970" t="str">
        <f>"20190312151105574"</f>
        <v>20190312151105574</v>
      </c>
      <c r="B3970" t="str">
        <f>"1552374665564732"</f>
        <v>1552374665564732</v>
      </c>
      <c r="C3970" t="s">
        <v>40</v>
      </c>
      <c r="D3970">
        <v>5.2822500000000003</v>
      </c>
      <c r="E3970">
        <v>0.61349730000000002</v>
      </c>
      <c r="F3970" t="s">
        <v>42</v>
      </c>
      <c r="G3970">
        <v>-222.0095</v>
      </c>
      <c r="H3970" s="1">
        <v>-4.0892289999999999E-6</v>
      </c>
      <c r="I3970">
        <v>135.78829999999999</v>
      </c>
      <c r="J3970">
        <v>-212.11189999999999</v>
      </c>
      <c r="K3970">
        <v>1.103864</v>
      </c>
      <c r="L3970">
        <v>135.01949999999999</v>
      </c>
      <c r="M3970">
        <v>-0.91691310000000004</v>
      </c>
      <c r="N3970">
        <v>0</v>
      </c>
      <c r="O3970">
        <v>-0.39883629999999998</v>
      </c>
      <c r="P3970">
        <v>-0.97520309999999999</v>
      </c>
      <c r="Q3970">
        <v>3.7227959999999997E-2</v>
      </c>
      <c r="R3970">
        <v>-0.21815909999999999</v>
      </c>
      <c r="S3970">
        <v>-3.1472169999999999</v>
      </c>
      <c r="T3970">
        <v>-0.34330429999999901</v>
      </c>
      <c r="U3970">
        <v>0.21211240000000001</v>
      </c>
      <c r="V3970">
        <v>0.1897192</v>
      </c>
      <c r="W3970">
        <v>4.8106049999999997E-2</v>
      </c>
      <c r="X3970">
        <v>0.98065919999999895</v>
      </c>
      <c r="Y3970">
        <v>0.45466430000000002</v>
      </c>
      <c r="Z3970">
        <v>6.7234520000000006E-2</v>
      </c>
      <c r="AA3970">
        <v>0.88812150000000001</v>
      </c>
      <c r="AB3970">
        <v>24</v>
      </c>
      <c r="AC3970">
        <v>-9.8976000000000095</v>
      </c>
      <c r="AD3970">
        <v>-1.103868089229</v>
      </c>
      <c r="AE3970">
        <v>0.76879999999999804</v>
      </c>
      <c r="AF3970">
        <v>4.5960838146157199</v>
      </c>
      <c r="AG3970">
        <v>-1.103868089229</v>
      </c>
      <c r="AH3970">
        <v>8.6623880852376196</v>
      </c>
      <c r="AI3970">
        <v>96.422675882753396</v>
      </c>
      <c r="AJ3970">
        <v>62.050503858260697</v>
      </c>
      <c r="AK3970">
        <v>9.8681041000111698</v>
      </c>
      <c r="AL3970">
        <v>87.242662212389703</v>
      </c>
      <c r="AM3970">
        <v>79.050769722222</v>
      </c>
      <c r="AN3970">
        <v>1.0000000167199401</v>
      </c>
    </row>
    <row r="3971" spans="1:40" x14ac:dyDescent="0.25">
      <c r="A3971" t="str">
        <f>"20190312151105596"</f>
        <v>20190312151105596</v>
      </c>
      <c r="B3971" t="str">
        <f>"1552374665585228"</f>
        <v>1552374665585228</v>
      </c>
      <c r="C3971" t="s">
        <v>40</v>
      </c>
      <c r="D3971">
        <v>5.2873010000000003</v>
      </c>
      <c r="E3971">
        <v>0.61253169999999901</v>
      </c>
      <c r="F3971" t="s">
        <v>42</v>
      </c>
      <c r="G3971">
        <v>-222.27959999999999</v>
      </c>
      <c r="H3971" s="1">
        <v>-3.9724570000000004E-6</v>
      </c>
      <c r="I3971">
        <v>135.79320000000001</v>
      </c>
      <c r="J3971">
        <v>-212.3389</v>
      </c>
      <c r="K3971">
        <v>1.1038809999999999</v>
      </c>
      <c r="L3971">
        <v>134.9332</v>
      </c>
      <c r="M3971">
        <v>-0.92090539999999999</v>
      </c>
      <c r="N3971">
        <v>0</v>
      </c>
      <c r="O3971">
        <v>-0.38952959999999998</v>
      </c>
      <c r="P3971">
        <v>-0.9774098</v>
      </c>
      <c r="Q3971">
        <v>3.710422E-2</v>
      </c>
      <c r="R3971">
        <v>-0.20807149999999999</v>
      </c>
      <c r="S3971">
        <v>-3.1428069999999999</v>
      </c>
      <c r="T3971">
        <v>-0.34120070000000002</v>
      </c>
      <c r="U3971">
        <v>0.2391663</v>
      </c>
      <c r="V3971">
        <v>0.189918</v>
      </c>
      <c r="W3971">
        <v>4.7981259999999998E-2</v>
      </c>
      <c r="X3971">
        <v>0.98062680000000002</v>
      </c>
      <c r="Y3971">
        <v>0.45346249999999999</v>
      </c>
      <c r="Z3971">
        <v>6.5905409999999998E-2</v>
      </c>
      <c r="AA3971">
        <v>0.88883539999999905</v>
      </c>
      <c r="AB3971">
        <v>24</v>
      </c>
      <c r="AC3971">
        <v>-9.9406999999999908</v>
      </c>
      <c r="AD3971">
        <v>-1.1038849724569999</v>
      </c>
      <c r="AE3971">
        <v>0.86000000000001298</v>
      </c>
      <c r="AF3971">
        <v>4.6082378337566299</v>
      </c>
      <c r="AG3971">
        <v>-1.1038849724569999</v>
      </c>
      <c r="AH3971">
        <v>8.7136767352508304</v>
      </c>
      <c r="AI3971">
        <v>96.389810435062799</v>
      </c>
      <c r="AJ3971">
        <v>62.127824438156303</v>
      </c>
      <c r="AK3971">
        <v>9.9187993331518705</v>
      </c>
      <c r="AL3971">
        <v>87.249820329834805</v>
      </c>
      <c r="AM3971">
        <v>79.039220771862105</v>
      </c>
      <c r="AN3971">
        <v>0.99999998445671301</v>
      </c>
    </row>
    <row r="3972" spans="1:40" x14ac:dyDescent="0.25">
      <c r="A3972" t="str">
        <f>"20190312151105620"</f>
        <v>20190312151105620</v>
      </c>
      <c r="B3972" t="str">
        <f>"1552374665615485"</f>
        <v>1552374665615485</v>
      </c>
      <c r="C3972" t="s">
        <v>40</v>
      </c>
      <c r="D3972">
        <v>5.3318570000000003</v>
      </c>
      <c r="E3972">
        <v>0.61159410000000003</v>
      </c>
      <c r="F3972" t="s">
        <v>42</v>
      </c>
      <c r="G3972">
        <v>-222.53200000000001</v>
      </c>
      <c r="H3972" s="1">
        <v>-3.8647880000000003E-6</v>
      </c>
      <c r="I3972">
        <v>135.78989999999999</v>
      </c>
      <c r="J3972">
        <v>-212.56790000000001</v>
      </c>
      <c r="K3972">
        <v>1.10389</v>
      </c>
      <c r="L3972">
        <v>134.84889999999999</v>
      </c>
      <c r="M3972">
        <v>-0.92482129999999996</v>
      </c>
      <c r="N3972">
        <v>0</v>
      </c>
      <c r="O3972">
        <v>-0.3801387</v>
      </c>
      <c r="P3972">
        <v>-0.97945550000000003</v>
      </c>
      <c r="Q3972">
        <v>3.7080340000000003E-2</v>
      </c>
      <c r="R3972">
        <v>-0.1982218</v>
      </c>
      <c r="S3972">
        <v>-3.138382</v>
      </c>
      <c r="T3972">
        <v>-0.33987990000000001</v>
      </c>
      <c r="U3972">
        <v>0.26379390000000003</v>
      </c>
      <c r="V3972">
        <v>0.18980929999999999</v>
      </c>
      <c r="W3972">
        <v>4.7963159999999998E-2</v>
      </c>
      <c r="X3972">
        <v>0.98064879999999999</v>
      </c>
      <c r="Y3972">
        <v>0.4515285</v>
      </c>
      <c r="Z3972">
        <v>6.4679099999999906E-2</v>
      </c>
      <c r="AA3972">
        <v>0.88990939999999996</v>
      </c>
      <c r="AB3972">
        <v>24</v>
      </c>
      <c r="AC3972">
        <v>-9.9641000000000002</v>
      </c>
      <c r="AD3972">
        <v>-1.1038938647879999</v>
      </c>
      <c r="AE3972">
        <v>0.94100000000000195</v>
      </c>
      <c r="AF3972">
        <v>4.6024726477297397</v>
      </c>
      <c r="AG3972">
        <v>-1.1038938647879999</v>
      </c>
      <c r="AH3972">
        <v>8.7517206667135099</v>
      </c>
      <c r="AI3972">
        <v>96.370018232800504</v>
      </c>
      <c r="AJ3972">
        <v>62.2604115105689</v>
      </c>
      <c r="AK3972">
        <v>9.9495703809761302</v>
      </c>
      <c r="AL3972">
        <v>87.250858764689795</v>
      </c>
      <c r="AM3972">
        <v>79.045582198351596</v>
      </c>
      <c r="AN3972">
        <v>1.00000005201255</v>
      </c>
    </row>
    <row r="3973" spans="1:40" x14ac:dyDescent="0.25">
      <c r="A3973" t="str">
        <f>"20190312151105640"</f>
        <v>20190312151105640</v>
      </c>
      <c r="B3973" t="str">
        <f>"1552374665635006"</f>
        <v>1552374665635006</v>
      </c>
      <c r="C3973" t="s">
        <v>40</v>
      </c>
      <c r="D3973">
        <v>5.3093079999999997</v>
      </c>
      <c r="E3973">
        <v>0.59179389999999998</v>
      </c>
      <c r="F3973" t="s">
        <v>42</v>
      </c>
      <c r="G3973">
        <v>-222.77610000000001</v>
      </c>
      <c r="H3973" s="1">
        <v>-3.760628E-6</v>
      </c>
      <c r="I3973">
        <v>135.7868</v>
      </c>
      <c r="J3973">
        <v>-212.78899999999999</v>
      </c>
      <c r="K3973">
        <v>1.1039019999999999</v>
      </c>
      <c r="L3973">
        <v>134.77010000000001</v>
      </c>
      <c r="M3973">
        <v>-0.92849570000000003</v>
      </c>
      <c r="N3973">
        <v>0</v>
      </c>
      <c r="O3973">
        <v>-0.37107390000000001</v>
      </c>
      <c r="P3973">
        <v>-0.98130390000000001</v>
      </c>
      <c r="Q3973">
        <v>3.7208039999999998E-2</v>
      </c>
      <c r="R3973">
        <v>-0.18883459999999999</v>
      </c>
      <c r="S3973">
        <v>-3.1340029999999999</v>
      </c>
      <c r="T3973">
        <v>-0.33890690000000001</v>
      </c>
      <c r="U3973">
        <v>0.2879486</v>
      </c>
      <c r="V3973">
        <v>0.18960460000000001</v>
      </c>
      <c r="W3973">
        <v>4.809795E-2</v>
      </c>
      <c r="X3973">
        <v>0.98068180000000005</v>
      </c>
      <c r="Y3973">
        <v>0.44980680000000001</v>
      </c>
      <c r="Z3973">
        <v>6.3560199999999997E-2</v>
      </c>
      <c r="AA3973">
        <v>0.89086139999999903</v>
      </c>
      <c r="AB3973">
        <v>24</v>
      </c>
      <c r="AC3973">
        <v>-9.9870999999999892</v>
      </c>
      <c r="AD3973">
        <v>-1.1039057606279901</v>
      </c>
      <c r="AE3973">
        <v>1.01669999999998</v>
      </c>
      <c r="AF3973">
        <v>4.59485634083057</v>
      </c>
      <c r="AG3973">
        <v>-1.1039057606279901</v>
      </c>
      <c r="AH3973">
        <v>8.7903031629110302</v>
      </c>
      <c r="AI3973">
        <v>96.3505733682982</v>
      </c>
      <c r="AJ3973">
        <v>62.403087350094502</v>
      </c>
      <c r="AK3973">
        <v>9.9800171551506995</v>
      </c>
      <c r="AL3973">
        <v>87.2431269516388</v>
      </c>
      <c r="AM3973">
        <v>79.057469992107301</v>
      </c>
      <c r="AN3973">
        <v>1.0000000549932999</v>
      </c>
    </row>
    <row r="3974" spans="1:40" x14ac:dyDescent="0.25">
      <c r="A3974" t="str">
        <f>"20190312151105665"</f>
        <v>20190312151105665</v>
      </c>
      <c r="B3974" t="str">
        <f>"1552374665655502"</f>
        <v>1552374665655502</v>
      </c>
      <c r="C3974" t="s">
        <v>40</v>
      </c>
      <c r="D3974">
        <v>5.300859</v>
      </c>
      <c r="E3974">
        <v>0.59042659999999902</v>
      </c>
      <c r="F3974" t="s">
        <v>42</v>
      </c>
      <c r="G3974">
        <v>-223.93790000000001</v>
      </c>
      <c r="H3974" s="1">
        <v>-3.3392370000000001E-6</v>
      </c>
      <c r="I3974">
        <v>135.3527</v>
      </c>
      <c r="J3974">
        <v>-213.03030000000001</v>
      </c>
      <c r="K3974">
        <v>1.103918</v>
      </c>
      <c r="L3974">
        <v>134.68690000000001</v>
      </c>
      <c r="M3974">
        <v>-0.93239179999999999</v>
      </c>
      <c r="N3974">
        <v>0</v>
      </c>
      <c r="O3974">
        <v>-0.36117290000000002</v>
      </c>
      <c r="P3974">
        <v>-0.98306099999999996</v>
      </c>
      <c r="Q3974">
        <v>3.6721869999999997E-2</v>
      </c>
      <c r="R3974">
        <v>-0.179561</v>
      </c>
      <c r="S3974">
        <v>-3.0999599999999998</v>
      </c>
      <c r="T3974">
        <v>-0.30694260000000001</v>
      </c>
      <c r="U3974">
        <v>0.161987299999999</v>
      </c>
      <c r="V3974">
        <v>0.18842429999999999</v>
      </c>
      <c r="W3974">
        <v>4.7637850000000002E-2</v>
      </c>
      <c r="X3974">
        <v>0.98093160000000001</v>
      </c>
      <c r="Y3974">
        <v>0.40568100000000001</v>
      </c>
      <c r="Z3974">
        <v>5.513531E-2</v>
      </c>
      <c r="AA3974">
        <v>0.91235029999999995</v>
      </c>
      <c r="AB3974">
        <v>24</v>
      </c>
      <c r="AC3974">
        <v>-10.9076</v>
      </c>
      <c r="AD3974">
        <v>-1.103921339237</v>
      </c>
      <c r="AE3974">
        <v>0.66579999999998996</v>
      </c>
      <c r="AF3974">
        <v>4.5146999045553802</v>
      </c>
      <c r="AG3974">
        <v>-1.103921339237</v>
      </c>
      <c r="AH3974">
        <v>9.8303628697113794</v>
      </c>
      <c r="AI3974">
        <v>95.826833004474295</v>
      </c>
      <c r="AJ3974">
        <v>65.332537849987204</v>
      </c>
      <c r="AK3974">
        <v>10.873692643330299</v>
      </c>
      <c r="AL3974">
        <v>87.269518685666597</v>
      </c>
      <c r="AM3974">
        <v>79.126662060056006</v>
      </c>
      <c r="AN3974">
        <v>0.99999994273083403</v>
      </c>
    </row>
    <row r="3975" spans="1:40" x14ac:dyDescent="0.25">
      <c r="A3975" t="str">
        <f>"20190312151105687"</f>
        <v>20190312151105687</v>
      </c>
      <c r="B3975" t="str">
        <f>"1552374665675021"</f>
        <v>1552374665675021</v>
      </c>
      <c r="C3975" t="s">
        <v>40</v>
      </c>
      <c r="D3975">
        <v>5.3651119999999999</v>
      </c>
      <c r="E3975">
        <v>0.58904029999999996</v>
      </c>
      <c r="F3975" t="s">
        <v>42</v>
      </c>
      <c r="G3975">
        <v>-224.03489999999999</v>
      </c>
      <c r="H3975" s="1">
        <v>-3.3020610000000001E-6</v>
      </c>
      <c r="I3975">
        <v>135.32749999999999</v>
      </c>
      <c r="J3975">
        <v>-213.25649999999999</v>
      </c>
      <c r="K3975">
        <v>1.1039350000000001</v>
      </c>
      <c r="L3975">
        <v>134.6114</v>
      </c>
      <c r="M3975">
        <v>-0.93593599999999999</v>
      </c>
      <c r="N3975">
        <v>0</v>
      </c>
      <c r="O3975">
        <v>-0.35188589999999997</v>
      </c>
      <c r="P3975">
        <v>-0.98462749999999999</v>
      </c>
      <c r="Q3975">
        <v>3.6434330000000001E-2</v>
      </c>
      <c r="R3975">
        <v>-0.17082429999999901</v>
      </c>
      <c r="S3975">
        <v>-3.096222</v>
      </c>
      <c r="T3975">
        <v>-0.31059530000000002</v>
      </c>
      <c r="U3975">
        <v>0.1802521</v>
      </c>
      <c r="V3975">
        <v>0.1873803</v>
      </c>
      <c r="W3975">
        <v>4.7373980000000003E-2</v>
      </c>
      <c r="X3975">
        <v>0.98114440000000003</v>
      </c>
      <c r="Y3975">
        <v>0.40199439999999997</v>
      </c>
      <c r="Z3975">
        <v>5.4787780000000001E-2</v>
      </c>
      <c r="AA3975">
        <v>0.91400150000000002</v>
      </c>
      <c r="AB3975">
        <v>24</v>
      </c>
      <c r="AC3975">
        <v>-10.7784</v>
      </c>
      <c r="AD3975">
        <v>-1.1039383020610001</v>
      </c>
      <c r="AE3975">
        <v>0.71609999999998297</v>
      </c>
      <c r="AF3975">
        <v>4.4173029256372303</v>
      </c>
      <c r="AG3975">
        <v>-1.1039383020610001</v>
      </c>
      <c r="AH3975">
        <v>9.7352164850102998</v>
      </c>
      <c r="AI3975">
        <v>95.895659863947202</v>
      </c>
      <c r="AJ3975">
        <v>65.594080197627406</v>
      </c>
      <c r="AK3975">
        <v>10.747357113337999</v>
      </c>
      <c r="AL3975">
        <v>87.284654574493302</v>
      </c>
      <c r="AM3975">
        <v>79.187773547614597</v>
      </c>
      <c r="AN3975">
        <v>1.00000000223024</v>
      </c>
    </row>
    <row r="3976" spans="1:40" x14ac:dyDescent="0.25">
      <c r="A3976" t="str">
        <f>"20190312151105709"</f>
        <v>20190312151105709</v>
      </c>
      <c r="B3976" t="str">
        <f>"1552374665704809"</f>
        <v>1552374665704809</v>
      </c>
      <c r="C3976" t="s">
        <v>40</v>
      </c>
      <c r="D3976">
        <v>5.2485119999999998</v>
      </c>
      <c r="E3976">
        <v>0.58740599999999998</v>
      </c>
      <c r="F3976" t="s">
        <v>42</v>
      </c>
      <c r="G3976">
        <v>-224.27449999999999</v>
      </c>
      <c r="H3976" s="1">
        <v>-3.2017720000000001E-6</v>
      </c>
      <c r="I3976">
        <v>135.31360000000001</v>
      </c>
      <c r="J3976">
        <v>-213.4845</v>
      </c>
      <c r="K3976">
        <v>1.10395</v>
      </c>
      <c r="L3976">
        <v>134.5378</v>
      </c>
      <c r="M3976">
        <v>-0.93940140000000005</v>
      </c>
      <c r="N3976">
        <v>0</v>
      </c>
      <c r="O3976">
        <v>-0.34252830000000001</v>
      </c>
      <c r="P3976">
        <v>-0.98605220000000005</v>
      </c>
      <c r="Q3976">
        <v>3.7150450000000002E-2</v>
      </c>
      <c r="R3976">
        <v>-0.16223879999999999</v>
      </c>
      <c r="S3976">
        <v>-3.0924839999999998</v>
      </c>
      <c r="T3976">
        <v>-0.3098515</v>
      </c>
      <c r="U3976">
        <v>0.19711300000000001</v>
      </c>
      <c r="V3976">
        <v>0.1861371</v>
      </c>
      <c r="W3976">
        <v>4.8116529999999998E-2</v>
      </c>
      <c r="X3976">
        <v>0.98134489999999996</v>
      </c>
      <c r="Y3976">
        <v>0.3979705</v>
      </c>
      <c r="Z3976">
        <v>5.3629089999999997E-2</v>
      </c>
      <c r="AA3976">
        <v>0.91582940000000002</v>
      </c>
      <c r="AB3976">
        <v>24</v>
      </c>
      <c r="AC3976">
        <v>-10.7899999999999</v>
      </c>
      <c r="AD3976">
        <v>-1.103953201772</v>
      </c>
      <c r="AE3976">
        <v>0.77580000000000304</v>
      </c>
      <c r="AF3976">
        <v>4.3795008283266004</v>
      </c>
      <c r="AG3976">
        <v>-1.103953201772</v>
      </c>
      <c r="AH3976">
        <v>9.7696502524409201</v>
      </c>
      <c r="AI3976">
        <v>95.887073328602895</v>
      </c>
      <c r="AJ3976">
        <v>65.854446127606494</v>
      </c>
      <c r="AK3976">
        <v>10.7631225131016</v>
      </c>
      <c r="AL3976">
        <v>87.242061056165795</v>
      </c>
      <c r="AM3976">
        <v>79.259977787474199</v>
      </c>
      <c r="AN3976">
        <v>1.00000001660583</v>
      </c>
    </row>
    <row r="3977" spans="1:40" x14ac:dyDescent="0.25">
      <c r="A3977" t="str">
        <f>"20190312151105753"</f>
        <v>20190312151105753</v>
      </c>
      <c r="B3977" t="str">
        <f>"1552374665744825"</f>
        <v>1552374665744825</v>
      </c>
      <c r="C3977" t="s">
        <v>40</v>
      </c>
      <c r="D3977">
        <v>5.2804779999999996</v>
      </c>
      <c r="E3977">
        <v>0.58580369999999904</v>
      </c>
      <c r="F3977" t="s">
        <v>42</v>
      </c>
      <c r="G3977">
        <v>-224.6662</v>
      </c>
      <c r="H3977" s="1">
        <v>-3.03599E-6</v>
      </c>
      <c r="I3977">
        <v>135.30080000000001</v>
      </c>
      <c r="J3977">
        <v>-213.93709999999999</v>
      </c>
      <c r="K3977">
        <v>1.10399</v>
      </c>
      <c r="L3977">
        <v>134.399</v>
      </c>
      <c r="M3977">
        <v>-0.94596270000000005</v>
      </c>
      <c r="N3977">
        <v>0</v>
      </c>
      <c r="O3977">
        <v>-0.32396799999999998</v>
      </c>
      <c r="P3977">
        <v>-0.9886218</v>
      </c>
      <c r="Q3977">
        <v>3.6553189999999999E-2</v>
      </c>
      <c r="R3977">
        <v>-0.14591419999999999</v>
      </c>
      <c r="S3977">
        <v>-3.0886079999999998</v>
      </c>
      <c r="T3977">
        <v>-0.30493589999999998</v>
      </c>
      <c r="U3977">
        <v>0.21080019999999999</v>
      </c>
      <c r="V3977">
        <v>0.1830319</v>
      </c>
      <c r="W3977">
        <v>4.7586410000000003E-2</v>
      </c>
      <c r="X3977">
        <v>0.98195460000000001</v>
      </c>
      <c r="Y3977">
        <v>0.38426440000000001</v>
      </c>
      <c r="Z3977">
        <v>5.0420560000000003E-2</v>
      </c>
      <c r="AA3977">
        <v>0.92184529999999998</v>
      </c>
      <c r="AB3977">
        <v>24</v>
      </c>
      <c r="AC3977">
        <v>-10.729100000000001</v>
      </c>
      <c r="AD3977">
        <v>-1.1039930359899901</v>
      </c>
      <c r="AE3977">
        <v>0.90180000000000804</v>
      </c>
      <c r="AF3977">
        <v>4.2843421128845698</v>
      </c>
      <c r="AG3977">
        <v>-1.1039930359899901</v>
      </c>
      <c r="AH3977">
        <v>9.7555907705667995</v>
      </c>
      <c r="AI3977">
        <v>95.915509310412801</v>
      </c>
      <c r="AJ3977">
        <v>66.290461613786107</v>
      </c>
      <c r="AK3977">
        <v>10.711953101396499</v>
      </c>
      <c r="AL3977">
        <v>87.272469455122305</v>
      </c>
      <c r="AM3977">
        <v>79.441491933012003</v>
      </c>
      <c r="AN3977">
        <v>0.99999998964772896</v>
      </c>
    </row>
    <row r="3978" spans="1:40" x14ac:dyDescent="0.25">
      <c r="A3978" t="str">
        <f>"20190312151105776"</f>
        <v>20190312151105776</v>
      </c>
      <c r="B3978" t="str">
        <f>"1552374665765322"</f>
        <v>1552374665765322</v>
      </c>
      <c r="C3978" t="s">
        <v>40</v>
      </c>
      <c r="D3978">
        <v>5.2834320000000004</v>
      </c>
      <c r="E3978">
        <v>0.58517580000000002</v>
      </c>
      <c r="F3978" t="s">
        <v>42</v>
      </c>
      <c r="G3978">
        <v>-225.1508</v>
      </c>
      <c r="H3978" s="1">
        <v>-2.8275719999999999E-6</v>
      </c>
      <c r="I3978">
        <v>135.3038</v>
      </c>
      <c r="J3978">
        <v>-214.16720000000001</v>
      </c>
      <c r="K3978">
        <v>1.1040160000000001</v>
      </c>
      <c r="L3978">
        <v>134.33199999999999</v>
      </c>
      <c r="M3978">
        <v>-0.94914109999999996</v>
      </c>
      <c r="N3978">
        <v>0</v>
      </c>
      <c r="O3978">
        <v>-0.31453500000000001</v>
      </c>
      <c r="P3978">
        <v>-0.98980829999999997</v>
      </c>
      <c r="Q3978">
        <v>3.6133159999999998E-2</v>
      </c>
      <c r="R3978">
        <v>-0.137746799999999</v>
      </c>
      <c r="S3978">
        <v>-3.0824579999999999</v>
      </c>
      <c r="T3978">
        <v>-0.3034693</v>
      </c>
      <c r="U3978">
        <v>0.2487335</v>
      </c>
      <c r="V3978">
        <v>0.18135860000000001</v>
      </c>
      <c r="W3978">
        <v>4.7202510000000003E-2</v>
      </c>
      <c r="X3978">
        <v>0.98228349999999998</v>
      </c>
      <c r="Y3978">
        <v>0.386546</v>
      </c>
      <c r="Z3978">
        <v>4.9491519999999997E-2</v>
      </c>
      <c r="AA3978">
        <v>0.92094120000000002</v>
      </c>
      <c r="AB3978">
        <v>24</v>
      </c>
      <c r="AC3978">
        <v>-10.9835999999999</v>
      </c>
      <c r="AD3978">
        <v>-1.104018827572</v>
      </c>
      <c r="AE3978">
        <v>0.971800000000001</v>
      </c>
      <c r="AF3978">
        <v>4.3340888242455096</v>
      </c>
      <c r="AG3978">
        <v>-1.104018827572</v>
      </c>
      <c r="AH3978">
        <v>10.019880026218701</v>
      </c>
      <c r="AI3978">
        <v>95.774564360279797</v>
      </c>
      <c r="AJ3978">
        <v>66.609153782901302</v>
      </c>
      <c r="AK3978">
        <v>10.9727471149161</v>
      </c>
      <c r="AL3978">
        <v>87.294489934194701</v>
      </c>
      <c r="AM3978">
        <v>79.539303819089298</v>
      </c>
      <c r="AN3978">
        <v>0.99999994655825297</v>
      </c>
    </row>
    <row r="3979" spans="1:40" x14ac:dyDescent="0.25">
      <c r="A3979" t="str">
        <f>"20190312151105799"</f>
        <v>20190312151105799</v>
      </c>
      <c r="B3979" t="str">
        <f>"1552374665795108"</f>
        <v>1552374665795108</v>
      </c>
      <c r="C3979" t="s">
        <v>40</v>
      </c>
      <c r="D3979">
        <v>5.3501180000000002</v>
      </c>
      <c r="E3979">
        <v>0.58411800000000003</v>
      </c>
      <c r="F3979" t="s">
        <v>42</v>
      </c>
      <c r="G3979">
        <v>-225.2473</v>
      </c>
      <c r="H3979" s="1">
        <v>-2.7866390000000002E-6</v>
      </c>
      <c r="I3979">
        <v>135.30099999999999</v>
      </c>
      <c r="J3979">
        <v>-214.39879999999999</v>
      </c>
      <c r="K3979">
        <v>1.1040410000000001</v>
      </c>
      <c r="L3979">
        <v>134.2672</v>
      </c>
      <c r="M3979">
        <v>-0.9522294</v>
      </c>
      <c r="N3979">
        <v>0</v>
      </c>
      <c r="O3979">
        <v>-0.30505759999999998</v>
      </c>
      <c r="P3979">
        <v>-0.99101110000000003</v>
      </c>
      <c r="Q3979">
        <v>3.5844059999999997E-2</v>
      </c>
      <c r="R3979">
        <v>-0.1288888</v>
      </c>
      <c r="S3979">
        <v>-3.0795750000000002</v>
      </c>
      <c r="T3979">
        <v>-0.30684860000000003</v>
      </c>
      <c r="U3979">
        <v>0.26933289999999999</v>
      </c>
      <c r="V3979">
        <v>0.18034720000000001</v>
      </c>
      <c r="W3979">
        <v>4.6937680000000002E-2</v>
      </c>
      <c r="X3979">
        <v>0.98248239999999998</v>
      </c>
      <c r="Y3979">
        <v>0.38352900000000001</v>
      </c>
      <c r="Z3979">
        <v>4.9021380000000003E-2</v>
      </c>
      <c r="AA3979">
        <v>0.92222680000000001</v>
      </c>
      <c r="AB3979">
        <v>24</v>
      </c>
      <c r="AC3979">
        <v>-10.8485</v>
      </c>
      <c r="AD3979">
        <v>-1.104043786639</v>
      </c>
      <c r="AE3979">
        <v>1.03380000000001</v>
      </c>
      <c r="AF3979">
        <v>4.2506319570170996</v>
      </c>
      <c r="AG3979">
        <v>-1.104043786639</v>
      </c>
      <c r="AH3979">
        <v>9.91413244391142</v>
      </c>
      <c r="AI3979">
        <v>95.843880858277799</v>
      </c>
      <c r="AJ3979">
        <v>66.793021742149605</v>
      </c>
      <c r="AK3979">
        <v>10.843283950549599</v>
      </c>
      <c r="AL3979">
        <v>87.309680456102399</v>
      </c>
      <c r="AM3979">
        <v>79.598423907170897</v>
      </c>
      <c r="AN3979">
        <v>0.99999996233069</v>
      </c>
    </row>
    <row r="3980" spans="1:40" x14ac:dyDescent="0.25">
      <c r="A3980" t="str">
        <f>"20190312151105821"</f>
        <v>20190312151105821</v>
      </c>
      <c r="B3980" t="str">
        <f>"1552374665814628"</f>
        <v>1552374665814628</v>
      </c>
      <c r="C3980" t="s">
        <v>40</v>
      </c>
      <c r="D3980">
        <v>5.3895869999999997</v>
      </c>
      <c r="E3980">
        <v>0.58338950000000001</v>
      </c>
      <c r="F3980" t="s">
        <v>42</v>
      </c>
      <c r="G3980">
        <v>-225.4512</v>
      </c>
      <c r="H3980" s="1">
        <v>-2.6985129999999998E-6</v>
      </c>
      <c r="I3980">
        <v>135.3048</v>
      </c>
      <c r="J3980">
        <v>-214.63149999999999</v>
      </c>
      <c r="K3980">
        <v>1.1040700000000001</v>
      </c>
      <c r="L3980">
        <v>134.2047</v>
      </c>
      <c r="M3980">
        <v>-0.95522359999999995</v>
      </c>
      <c r="N3980">
        <v>0</v>
      </c>
      <c r="O3980">
        <v>-0.2955489</v>
      </c>
      <c r="P3980">
        <v>-0.99213240000000003</v>
      </c>
      <c r="Q3980">
        <v>3.5660869999999997E-2</v>
      </c>
      <c r="R3980">
        <v>-0.120008199999999</v>
      </c>
      <c r="S3980">
        <v>-3.075882</v>
      </c>
      <c r="T3980">
        <v>-0.30725540000000001</v>
      </c>
      <c r="U3980">
        <v>0.28878779999999998</v>
      </c>
      <c r="V3980">
        <v>0.17934629999999999</v>
      </c>
      <c r="W3980">
        <v>4.6779069999999999E-2</v>
      </c>
      <c r="X3980">
        <v>0.98267320000000002</v>
      </c>
      <c r="Y3980">
        <v>0.38025979999999998</v>
      </c>
      <c r="Z3980">
        <v>4.8057950000000002E-2</v>
      </c>
      <c r="AA3980">
        <v>0.92363030000000002</v>
      </c>
      <c r="AB3980">
        <v>23</v>
      </c>
      <c r="AC3980">
        <v>-10.819699999999999</v>
      </c>
      <c r="AD3980">
        <v>-1.1040726985130001</v>
      </c>
      <c r="AE3980">
        <v>1.1000999999999901</v>
      </c>
      <c r="AF3980">
        <v>4.2056696817527603</v>
      </c>
      <c r="AG3980">
        <v>-1.1040726985130001</v>
      </c>
      <c r="AH3980">
        <v>9.9089704451945106</v>
      </c>
      <c r="AI3980">
        <v>95.856103995210802</v>
      </c>
      <c r="AJ3980">
        <v>67.002149548966003</v>
      </c>
      <c r="AK3980">
        <v>10.821013320357499</v>
      </c>
      <c r="AL3980">
        <v>87.318778227429902</v>
      </c>
      <c r="AM3980">
        <v>79.656866562679397</v>
      </c>
      <c r="AN3980">
        <v>0.99999999735599698</v>
      </c>
    </row>
    <row r="3981" spans="1:40" x14ac:dyDescent="0.25">
      <c r="A3981" t="str">
        <f>"20190312151105841"</f>
        <v>20190312151105841</v>
      </c>
      <c r="B3981" t="str">
        <f>"1552374665835124"</f>
        <v>1552374665835124</v>
      </c>
      <c r="C3981" t="s">
        <v>40</v>
      </c>
      <c r="D3981">
        <v>5.3999280000000001</v>
      </c>
      <c r="E3981">
        <v>0.58253089999999996</v>
      </c>
      <c r="F3981" t="s">
        <v>42</v>
      </c>
      <c r="G3981">
        <v>-225.6576</v>
      </c>
      <c r="H3981" s="1">
        <v>-2.607275E-6</v>
      </c>
      <c r="I3981">
        <v>135.3201</v>
      </c>
      <c r="J3981">
        <v>-214.84989999999999</v>
      </c>
      <c r="K3981">
        <v>1.104093</v>
      </c>
      <c r="L3981">
        <v>134.1482</v>
      </c>
      <c r="M3981">
        <v>-0.95793640000000002</v>
      </c>
      <c r="N3981">
        <v>0</v>
      </c>
      <c r="O3981">
        <v>-0.286634</v>
      </c>
      <c r="P3981">
        <v>-0.99301680000000003</v>
      </c>
      <c r="Q3981">
        <v>3.5747790000000002E-2</v>
      </c>
      <c r="R3981">
        <v>-0.1124279</v>
      </c>
      <c r="S3981">
        <v>-3.0724330000000002</v>
      </c>
      <c r="T3981">
        <v>-0.3076525</v>
      </c>
      <c r="U3981">
        <v>0.31082149999999997</v>
      </c>
      <c r="V3981">
        <v>0.17768909999999999</v>
      </c>
      <c r="W3981">
        <v>4.6901480000000002E-2</v>
      </c>
      <c r="X3981">
        <v>0.98296839999999996</v>
      </c>
      <c r="Y3981">
        <v>0.37834770000000001</v>
      </c>
      <c r="Z3981">
        <v>4.7204959999999997E-2</v>
      </c>
      <c r="AA3981">
        <v>0.92445920000000004</v>
      </c>
      <c r="AB3981">
        <v>23</v>
      </c>
      <c r="AC3981">
        <v>-10.807700000000001</v>
      </c>
      <c r="AD3981">
        <v>-1.1040956072749999</v>
      </c>
      <c r="AE3981">
        <v>1.1718999999999899</v>
      </c>
      <c r="AF3981">
        <v>4.1777855614199604</v>
      </c>
      <c r="AG3981">
        <v>-1.1040956072749999</v>
      </c>
      <c r="AH3981">
        <v>9.9158959840617005</v>
      </c>
      <c r="AI3981">
        <v>95.858646903609696</v>
      </c>
      <c r="AJ3981">
        <v>67.153235413334102</v>
      </c>
      <c r="AK3981">
        <v>10.816557330035399</v>
      </c>
      <c r="AL3981">
        <v>87.311757005987602</v>
      </c>
      <c r="AM3981">
        <v>79.753417228587097</v>
      </c>
      <c r="AN3981">
        <v>1.00000002024178</v>
      </c>
    </row>
    <row r="3982" spans="1:40" x14ac:dyDescent="0.25">
      <c r="A3982" t="str">
        <f>"20190312151105865"</f>
        <v>20190312151105865</v>
      </c>
      <c r="B3982" t="str">
        <f>"1552374665854644"</f>
        <v>1552374665854644</v>
      </c>
      <c r="C3982" t="s">
        <v>40</v>
      </c>
      <c r="D3982">
        <v>5.4151689999999997</v>
      </c>
      <c r="E3982">
        <v>0.58176459999999997</v>
      </c>
      <c r="F3982" t="s">
        <v>42</v>
      </c>
      <c r="G3982">
        <v>-225.7252</v>
      </c>
      <c r="H3982" s="1">
        <v>-2.5868010000000002E-6</v>
      </c>
      <c r="I3982">
        <v>135.3092</v>
      </c>
      <c r="J3982">
        <v>-215.0898</v>
      </c>
      <c r="K3982">
        <v>1.10412</v>
      </c>
      <c r="L3982">
        <v>134.08860000000001</v>
      </c>
      <c r="M3982">
        <v>-0.96080770000000004</v>
      </c>
      <c r="N3982">
        <v>0</v>
      </c>
      <c r="O3982">
        <v>-0.27685729999999997</v>
      </c>
      <c r="P3982">
        <v>-0.99395250000000002</v>
      </c>
      <c r="Q3982">
        <v>3.5510949999999999E-2</v>
      </c>
      <c r="R3982">
        <v>-0.1039115</v>
      </c>
      <c r="S3982">
        <v>-3.0693820000000001</v>
      </c>
      <c r="T3982">
        <v>-0.3116157</v>
      </c>
      <c r="U3982">
        <v>0.32769779999999998</v>
      </c>
      <c r="V3982">
        <v>0.176093</v>
      </c>
      <c r="W3982">
        <v>4.6699049999999999E-2</v>
      </c>
      <c r="X3982">
        <v>0.98326519999999995</v>
      </c>
      <c r="Y3982">
        <v>0.37402469999999999</v>
      </c>
      <c r="Z3982">
        <v>4.6667889999999997E-2</v>
      </c>
      <c r="AA3982">
        <v>0.92624379999999995</v>
      </c>
      <c r="AB3982">
        <v>23</v>
      </c>
      <c r="AC3982">
        <v>-10.635400000000001</v>
      </c>
      <c r="AD3982">
        <v>-1.1041225868009901</v>
      </c>
      <c r="AE3982">
        <v>1.2205999999999899</v>
      </c>
      <c r="AF3982">
        <v>4.0743179185849199</v>
      </c>
      <c r="AG3982">
        <v>-1.1041225868009901</v>
      </c>
      <c r="AH3982">
        <v>9.7776130820261997</v>
      </c>
      <c r="AI3982">
        <v>95.950788480545796</v>
      </c>
      <c r="AJ3982">
        <v>67.378574903839393</v>
      </c>
      <c r="AK3982">
        <v>10.6499235100631</v>
      </c>
      <c r="AL3982">
        <v>87.323368058134506</v>
      </c>
      <c r="AM3982">
        <v>79.846535150846094</v>
      </c>
      <c r="AN3982">
        <v>0.99999999972547104</v>
      </c>
    </row>
    <row r="3983" spans="1:40" x14ac:dyDescent="0.25">
      <c r="A3983" t="str">
        <f>"20190312151105887"</f>
        <v>20190312151105887</v>
      </c>
      <c r="B3983" t="str">
        <f>"1552374665875140"</f>
        <v>1552374665875140</v>
      </c>
      <c r="C3983" t="s">
        <v>40</v>
      </c>
      <c r="D3983">
        <v>5.4416799999999999</v>
      </c>
      <c r="E3983">
        <v>0.58231630000000001</v>
      </c>
      <c r="F3983" t="s">
        <v>42</v>
      </c>
      <c r="G3983">
        <v>-225.91489999999999</v>
      </c>
      <c r="H3983" s="1">
        <v>-2.520214E-6</v>
      </c>
      <c r="I3983">
        <v>135.3169</v>
      </c>
      <c r="J3983">
        <v>-215.32400000000001</v>
      </c>
      <c r="K3983">
        <v>1.1041479999999999</v>
      </c>
      <c r="L3983">
        <v>134.03290000000001</v>
      </c>
      <c r="M3983">
        <v>-0.96350369999999996</v>
      </c>
      <c r="N3983">
        <v>0</v>
      </c>
      <c r="O3983">
        <v>-0.26732489999999998</v>
      </c>
      <c r="P3983">
        <v>-0.99478699999999998</v>
      </c>
      <c r="Q3983">
        <v>3.5760849999999997E-2</v>
      </c>
      <c r="R3983">
        <v>-9.5499169999999994E-2</v>
      </c>
      <c r="S3983">
        <v>-3.0657809999999999</v>
      </c>
      <c r="T3983">
        <v>-0.31270170000000003</v>
      </c>
      <c r="U3983">
        <v>0.34786990000000001</v>
      </c>
      <c r="V3983">
        <v>0.174667299999999</v>
      </c>
      <c r="W3983">
        <v>4.6979600000000003E-2</v>
      </c>
      <c r="X3983">
        <v>0.98350610000000005</v>
      </c>
      <c r="Y3983">
        <v>0.37101800000000001</v>
      </c>
      <c r="Z3983">
        <v>4.577589E-2</v>
      </c>
      <c r="AA3983">
        <v>0.92749669999999895</v>
      </c>
      <c r="AB3983">
        <v>23</v>
      </c>
      <c r="AC3983">
        <v>-10.5908999999999</v>
      </c>
      <c r="AD3983">
        <v>-1.1041505202139901</v>
      </c>
      <c r="AE3983">
        <v>1.28399999999999</v>
      </c>
      <c r="AF3983">
        <v>4.0256319784578203</v>
      </c>
      <c r="AG3983">
        <v>-1.1041505202139901</v>
      </c>
      <c r="AH3983">
        <v>9.7575834179796193</v>
      </c>
      <c r="AI3983">
        <v>95.971731154048996</v>
      </c>
      <c r="AJ3983">
        <v>67.580697138426999</v>
      </c>
      <c r="AK3983">
        <v>10.612977685649801</v>
      </c>
      <c r="AL3983">
        <v>87.307276062175006</v>
      </c>
      <c r="AM3983">
        <v>79.929467245166805</v>
      </c>
      <c r="AN3983">
        <v>0.99999999862133004</v>
      </c>
    </row>
    <row r="3984" spans="1:40" x14ac:dyDescent="0.25">
      <c r="A3984" t="str">
        <f>"20190312151105910"</f>
        <v>20190312151105910</v>
      </c>
      <c r="B3984" t="str">
        <f>"1552374665905396"</f>
        <v>1552374665905396</v>
      </c>
      <c r="C3984" t="s">
        <v>40</v>
      </c>
      <c r="D3984">
        <v>5.4292610000000003</v>
      </c>
      <c r="E3984">
        <v>0.60194150000000002</v>
      </c>
      <c r="F3984" t="s">
        <v>42</v>
      </c>
      <c r="G3984">
        <v>-226.2133</v>
      </c>
      <c r="H3984" s="1">
        <v>-2.4025459999999999E-6</v>
      </c>
      <c r="I3984">
        <v>135.37739999999999</v>
      </c>
      <c r="J3984">
        <v>-215.55330000000001</v>
      </c>
      <c r="K3984">
        <v>1.1041729999999901</v>
      </c>
      <c r="L3984">
        <v>133.98070000000001</v>
      </c>
      <c r="M3984">
        <v>-0.96604259999999997</v>
      </c>
      <c r="N3984">
        <v>0</v>
      </c>
      <c r="O3984">
        <v>-0.25799919999999998</v>
      </c>
      <c r="P3984">
        <v>-0.99552399999999996</v>
      </c>
      <c r="Q3984">
        <v>3.6128550000000002E-2</v>
      </c>
      <c r="R3984">
        <v>-8.7332279999999998E-2</v>
      </c>
      <c r="S3984">
        <v>-3.063202</v>
      </c>
      <c r="T3984">
        <v>-0.31060330000000003</v>
      </c>
      <c r="U3984">
        <v>0.37821959999999999</v>
      </c>
      <c r="V3984">
        <v>0.173230299999999</v>
      </c>
      <c r="W3984">
        <v>4.7376359999999999E-2</v>
      </c>
      <c r="X3984">
        <v>0.98374119999999998</v>
      </c>
      <c r="Y3984">
        <v>0.37129020000000001</v>
      </c>
      <c r="Z3984">
        <v>4.4583079999999997E-2</v>
      </c>
      <c r="AA3984">
        <v>0.92744590000000005</v>
      </c>
      <c r="AB3984">
        <v>23</v>
      </c>
      <c r="AC3984">
        <v>-10.659999999999901</v>
      </c>
      <c r="AD3984">
        <v>-1.10417540254599</v>
      </c>
      <c r="AE3984">
        <v>1.3966999999999801</v>
      </c>
      <c r="AF3984">
        <v>4.05715450217658</v>
      </c>
      <c r="AG3984">
        <v>-1.10417540254599</v>
      </c>
      <c r="AH3984">
        <v>9.8349126321558202</v>
      </c>
      <c r="AI3984">
        <v>95.925325296090605</v>
      </c>
      <c r="AJ3984">
        <v>67.5825927371056</v>
      </c>
      <c r="AK3984">
        <v>10.6960372314356</v>
      </c>
      <c r="AL3984">
        <v>87.284518057852694</v>
      </c>
      <c r="AM3984">
        <v>80.012981997709602</v>
      </c>
      <c r="AN3984">
        <v>1.0000000024511799</v>
      </c>
    </row>
    <row r="3985" spans="1:40" x14ac:dyDescent="0.25">
      <c r="A3985" t="str">
        <f>"20190312151105930"</f>
        <v>20190312151105930</v>
      </c>
      <c r="B3985" t="str">
        <f>"1552374665924916"</f>
        <v>1552374665924916</v>
      </c>
      <c r="C3985" t="s">
        <v>40</v>
      </c>
      <c r="D3985">
        <v>5.4336520000000004</v>
      </c>
      <c r="E3985">
        <v>0.60204569999999902</v>
      </c>
      <c r="F3985" t="s">
        <v>42</v>
      </c>
      <c r="G3985">
        <v>-226.041</v>
      </c>
      <c r="H3985" s="1">
        <v>-2.3416690000000002E-6</v>
      </c>
      <c r="I3985">
        <v>135.89019999999999</v>
      </c>
      <c r="J3985">
        <v>-215.77189999999999</v>
      </c>
      <c r="K3985">
        <v>1.1041939999999999</v>
      </c>
      <c r="L3985">
        <v>133.9332</v>
      </c>
      <c r="M3985">
        <v>-0.96837079999999998</v>
      </c>
      <c r="N3985">
        <v>0</v>
      </c>
      <c r="O3985">
        <v>-0.24911800000000001</v>
      </c>
      <c r="P3985">
        <v>-0.99621210000000004</v>
      </c>
      <c r="Q3985">
        <v>3.5804509999999998E-2</v>
      </c>
      <c r="R3985">
        <v>-7.9242720000000003E-2</v>
      </c>
      <c r="S3985">
        <v>-3.074341</v>
      </c>
      <c r="T3985">
        <v>-0.32367889999999999</v>
      </c>
      <c r="U3985">
        <v>0.55975339999999996</v>
      </c>
      <c r="V3985">
        <v>0.1721837</v>
      </c>
      <c r="W3985">
        <v>4.7074860000000003E-2</v>
      </c>
      <c r="X3985">
        <v>0.98393940000000002</v>
      </c>
      <c r="Y3985">
        <v>0.41501900000000003</v>
      </c>
      <c r="Z3985">
        <v>4.7496679999999999E-2</v>
      </c>
      <c r="AA3985">
        <v>0.90857209999999999</v>
      </c>
      <c r="AB3985">
        <v>23</v>
      </c>
      <c r="AC3985">
        <v>-10.2691</v>
      </c>
      <c r="AD3985">
        <v>-1.1041963416689999</v>
      </c>
      <c r="AE3985">
        <v>1.9569999999999901</v>
      </c>
      <c r="AF3985">
        <v>4.40461980045266</v>
      </c>
      <c r="AG3985">
        <v>-1.1041963416689999</v>
      </c>
      <c r="AH3985">
        <v>9.3533576185091398</v>
      </c>
      <c r="AI3985">
        <v>96.096286208091001</v>
      </c>
      <c r="AJ3985">
        <v>64.783633687816604</v>
      </c>
      <c r="AK3985">
        <v>10.397366199534201</v>
      </c>
      <c r="AL3985">
        <v>87.301812040573594</v>
      </c>
      <c r="AM3985">
        <v>80.074076264987696</v>
      </c>
      <c r="AN3985">
        <v>1.0000000059310299</v>
      </c>
    </row>
    <row r="3986" spans="1:40" x14ac:dyDescent="0.25">
      <c r="A3986" t="str">
        <f>"20190312151105954"</f>
        <v>20190312151105954</v>
      </c>
      <c r="B3986" t="str">
        <f>"1552374665945412"</f>
        <v>1552374665945412</v>
      </c>
      <c r="C3986" t="s">
        <v>40</v>
      </c>
      <c r="D3986">
        <v>5.4450820000000002</v>
      </c>
      <c r="E3986">
        <v>0.60154510000000005</v>
      </c>
      <c r="F3986" t="s">
        <v>42</v>
      </c>
      <c r="G3986">
        <v>-226.11439999999999</v>
      </c>
      <c r="H3986" s="1">
        <v>-2.3074339999999998E-6</v>
      </c>
      <c r="I3986">
        <v>135.90549999999999</v>
      </c>
      <c r="J3986">
        <v>-216.0146</v>
      </c>
      <c r="K3986">
        <v>1.1042160000000001</v>
      </c>
      <c r="L3986">
        <v>133.8827</v>
      </c>
      <c r="M3986">
        <v>-0.97085339999999998</v>
      </c>
      <c r="N3986">
        <v>0</v>
      </c>
      <c r="O3986">
        <v>-0.2392608</v>
      </c>
      <c r="P3986">
        <v>-0.99686039999999998</v>
      </c>
      <c r="Q3986">
        <v>3.6285369999999997E-2</v>
      </c>
      <c r="R3986">
        <v>-7.0379230000000001E-2</v>
      </c>
      <c r="S3986">
        <v>-3.0697480000000001</v>
      </c>
      <c r="T3986">
        <v>-0.3277352</v>
      </c>
      <c r="U3986">
        <v>0.58541869999999996</v>
      </c>
      <c r="V3986">
        <v>0.17093220000000001</v>
      </c>
      <c r="W3986">
        <v>4.7580219999999999E-2</v>
      </c>
      <c r="X3986">
        <v>0.98413320000000004</v>
      </c>
      <c r="Y3986">
        <v>0.4133347</v>
      </c>
      <c r="Z3986">
        <v>4.7013100000000002E-2</v>
      </c>
      <c r="AA3986">
        <v>0.90936479999999997</v>
      </c>
      <c r="AB3986">
        <v>23</v>
      </c>
      <c r="AC3986">
        <v>-10.099799999999901</v>
      </c>
      <c r="AD3986">
        <v>-1.104218307434</v>
      </c>
      <c r="AE3986">
        <v>2.0227999999999802</v>
      </c>
      <c r="AF3986">
        <v>4.3309893916959901</v>
      </c>
      <c r="AG3986">
        <v>-1.104218307434</v>
      </c>
      <c r="AH3986">
        <v>9.2164535994343293</v>
      </c>
      <c r="AI3986">
        <v>96.188617804198401</v>
      </c>
      <c r="AJ3986">
        <v>64.8302629383588</v>
      </c>
      <c r="AK3986">
        <v>10.2430358845403</v>
      </c>
      <c r="AL3986">
        <v>87.272824341307498</v>
      </c>
      <c r="AM3986">
        <v>80.146704921114804</v>
      </c>
      <c r="AN3986">
        <v>0.99999992483716105</v>
      </c>
    </row>
    <row r="3987" spans="1:40" x14ac:dyDescent="0.25">
      <c r="A3987" t="str">
        <f>"20190312151105976"</f>
        <v>20190312151105976</v>
      </c>
      <c r="B3987" t="str">
        <f>"1552374665964932"</f>
        <v>1552374665964932</v>
      </c>
      <c r="C3987" t="s">
        <v>40</v>
      </c>
      <c r="D3987">
        <v>5.4708809999999897</v>
      </c>
      <c r="E3987">
        <v>0.600178199999999</v>
      </c>
      <c r="F3987" t="s">
        <v>42</v>
      </c>
      <c r="G3987">
        <v>-226.41159999999999</v>
      </c>
      <c r="H3987" s="1">
        <v>-2.1834210000000001E-6</v>
      </c>
      <c r="I3987">
        <v>135.94730000000001</v>
      </c>
      <c r="J3987">
        <v>-216.2482</v>
      </c>
      <c r="K3987">
        <v>1.1042369999999999</v>
      </c>
      <c r="L3987">
        <v>133.8365</v>
      </c>
      <c r="M3987">
        <v>-0.97314179999999995</v>
      </c>
      <c r="N3987">
        <v>0</v>
      </c>
      <c r="O3987">
        <v>-0.22977639999999999</v>
      </c>
      <c r="P3987">
        <v>-0.99742839999999999</v>
      </c>
      <c r="Q3987">
        <v>3.6671080000000002E-2</v>
      </c>
      <c r="R3987">
        <v>-6.1581499999999997E-2</v>
      </c>
      <c r="S3987">
        <v>-3.0642399999999999</v>
      </c>
      <c r="T3987">
        <v>-0.32543899999999998</v>
      </c>
      <c r="U3987">
        <v>0.60850519999999997</v>
      </c>
      <c r="V3987">
        <v>0.1700121</v>
      </c>
      <c r="W3987">
        <v>4.7984590000000001E-2</v>
      </c>
      <c r="X3987">
        <v>0.98427299999999995</v>
      </c>
      <c r="Y3987">
        <v>0.41147080000000003</v>
      </c>
      <c r="Z3987">
        <v>4.565752E-2</v>
      </c>
      <c r="AA3987">
        <v>0.91027860000000005</v>
      </c>
      <c r="AB3987">
        <v>23</v>
      </c>
      <c r="AC3987">
        <v>-10.1633999999999</v>
      </c>
      <c r="AD3987">
        <v>-1.1042391834209999</v>
      </c>
      <c r="AE3987">
        <v>2.11080000000001</v>
      </c>
      <c r="AF3987">
        <v>4.3407300072932404</v>
      </c>
      <c r="AG3987">
        <v>-1.1042391834209999</v>
      </c>
      <c r="AH3987">
        <v>9.3010929859264309</v>
      </c>
      <c r="AI3987">
        <v>96.140400271343594</v>
      </c>
      <c r="AJ3987">
        <v>64.981993932053598</v>
      </c>
      <c r="AK3987">
        <v>10.3233527452697</v>
      </c>
      <c r="AL3987">
        <v>87.249629321251604</v>
      </c>
      <c r="AM3987">
        <v>80.200077334961705</v>
      </c>
      <c r="AN3987">
        <v>0.99999998677643898</v>
      </c>
    </row>
    <row r="3988" spans="1:40" x14ac:dyDescent="0.25">
      <c r="A3988" t="str">
        <f>"20190312151105999"</f>
        <v>20190312151105999</v>
      </c>
      <c r="B3988" t="str">
        <f>"1552374665995189"</f>
        <v>1552374665995189</v>
      </c>
      <c r="C3988" t="s">
        <v>40</v>
      </c>
      <c r="D3988">
        <v>5.481528</v>
      </c>
      <c r="E3988">
        <v>0.59838749999999996</v>
      </c>
      <c r="F3988" t="s">
        <v>42</v>
      </c>
      <c r="G3988">
        <v>-226.8229</v>
      </c>
      <c r="H3988" s="1">
        <v>-2.0304340000000002E-6</v>
      </c>
      <c r="I3988">
        <v>135.99629999999999</v>
      </c>
      <c r="J3988">
        <v>-216.47040000000001</v>
      </c>
      <c r="K3988">
        <v>1.104257</v>
      </c>
      <c r="L3988">
        <v>133.79480000000001</v>
      </c>
      <c r="M3988">
        <v>-0.97522790000000004</v>
      </c>
      <c r="N3988">
        <v>0</v>
      </c>
      <c r="O3988">
        <v>-0.22075520000000001</v>
      </c>
      <c r="P3988">
        <v>-0.99785579999999996</v>
      </c>
      <c r="Q3988">
        <v>3.7335699999999999E-2</v>
      </c>
      <c r="R3988">
        <v>-5.3759609999999999E-2</v>
      </c>
      <c r="S3988">
        <v>-3.0580440000000002</v>
      </c>
      <c r="T3988">
        <v>-0.31932969999999999</v>
      </c>
      <c r="U3988">
        <v>0.62458800000000003</v>
      </c>
      <c r="V3988">
        <v>0.16861609999999999</v>
      </c>
      <c r="W3988">
        <v>4.867519E-2</v>
      </c>
      <c r="X3988">
        <v>0.9844792</v>
      </c>
      <c r="Y3988">
        <v>0.40817959999999998</v>
      </c>
      <c r="Z3988">
        <v>4.378257E-2</v>
      </c>
      <c r="AA3988">
        <v>0.91185110000000003</v>
      </c>
      <c r="AB3988">
        <v>23</v>
      </c>
      <c r="AC3988">
        <v>-10.3524999999999</v>
      </c>
      <c r="AD3988">
        <v>-1.1042590304340001</v>
      </c>
      <c r="AE3988">
        <v>2.2014999999999798</v>
      </c>
      <c r="AF3988">
        <v>4.3850378565447201</v>
      </c>
      <c r="AG3988">
        <v>-1.1042590304340001</v>
      </c>
      <c r="AH3988">
        <v>9.5075115436515194</v>
      </c>
      <c r="AI3988">
        <v>96.0206509717909</v>
      </c>
      <c r="AJ3988">
        <v>65.239986069754707</v>
      </c>
      <c r="AK3988">
        <v>10.52809198109</v>
      </c>
      <c r="AL3988">
        <v>87.210014540938005</v>
      </c>
      <c r="AM3988">
        <v>80.281001971010994</v>
      </c>
      <c r="AN3988">
        <v>0.99999997926669204</v>
      </c>
    </row>
    <row r="3989" spans="1:40" x14ac:dyDescent="0.25">
      <c r="A3989" t="str">
        <f>"20190312151106020"</f>
        <v>20190312151106020</v>
      </c>
      <c r="B3989" t="str">
        <f>"1552374666014709"</f>
        <v>1552374666014709</v>
      </c>
      <c r="C3989" t="s">
        <v>40</v>
      </c>
      <c r="D3989">
        <v>5.4439950000000001</v>
      </c>
      <c r="E3989">
        <v>0.59224239999999995</v>
      </c>
      <c r="F3989" t="s">
        <v>42</v>
      </c>
      <c r="G3989">
        <v>-257.10050000000001</v>
      </c>
      <c r="H3989" s="1">
        <v>-1.9079879999999999E-6</v>
      </c>
      <c r="I3989">
        <v>142.17859999999999</v>
      </c>
      <c r="J3989">
        <v>-216.70679999999999</v>
      </c>
      <c r="K3989">
        <v>1.1042860000000001</v>
      </c>
      <c r="L3989">
        <v>133.75290000000001</v>
      </c>
      <c r="M3989">
        <v>-0.9773501</v>
      </c>
      <c r="N3989">
        <v>0</v>
      </c>
      <c r="O3989">
        <v>-0.2111614</v>
      </c>
      <c r="P3989">
        <v>-0.99826130000000002</v>
      </c>
      <c r="Q3989">
        <v>3.7712320000000001E-2</v>
      </c>
      <c r="R3989">
        <v>-4.5299029999999997E-2</v>
      </c>
      <c r="S3989">
        <v>-3.0433810000000001</v>
      </c>
      <c r="T3989">
        <v>-8.2714199999999904E-2</v>
      </c>
      <c r="U3989">
        <v>0.62799069999999901</v>
      </c>
      <c r="V3989">
        <v>0.16728680000000001</v>
      </c>
      <c r="W3989">
        <v>4.9076689999999999E-2</v>
      </c>
      <c r="X3989">
        <v>0.98468610000000001</v>
      </c>
      <c r="Y3989">
        <v>0.40413660000000001</v>
      </c>
      <c r="Z3989">
        <v>1.111097E-2</v>
      </c>
      <c r="AA3989">
        <v>0.91463110000000003</v>
      </c>
      <c r="AB3989">
        <v>23</v>
      </c>
      <c r="AC3989">
        <v>-40.393700000000003</v>
      </c>
      <c r="AD3989">
        <v>-1.1042879079879999</v>
      </c>
      <c r="AE3989">
        <v>8.4256999999999707</v>
      </c>
      <c r="AF3989">
        <v>16.754106458900601</v>
      </c>
      <c r="AG3989">
        <v>-1.1042879079879999</v>
      </c>
      <c r="AH3989">
        <v>37.676346041389003</v>
      </c>
      <c r="AI3989">
        <v>91.534087861184702</v>
      </c>
      <c r="AJ3989">
        <v>66.026002029904106</v>
      </c>
      <c r="AK3989">
        <v>41.248352525287501</v>
      </c>
      <c r="AL3989">
        <v>87.186982972455795</v>
      </c>
      <c r="AM3989">
        <v>80.358166353147197</v>
      </c>
      <c r="AN3989">
        <v>1.0000000552443999</v>
      </c>
    </row>
    <row r="3990" spans="1:40" x14ac:dyDescent="0.25">
      <c r="A3990" t="str">
        <f>"20190312151106043"</f>
        <v>20190312151106043</v>
      </c>
      <c r="B3990" t="str">
        <f>"1552374666035204"</f>
        <v>1552374666035204</v>
      </c>
      <c r="C3990" t="s">
        <v>40</v>
      </c>
      <c r="D3990">
        <v>5.4743440000000003</v>
      </c>
      <c r="E3990">
        <v>0.59029779999999998</v>
      </c>
      <c r="F3990" t="s">
        <v>42</v>
      </c>
      <c r="G3990">
        <v>-228.51849999999999</v>
      </c>
      <c r="H3990" s="1">
        <v>-1.4197079999999999E-6</v>
      </c>
      <c r="I3990">
        <v>136.12289999999999</v>
      </c>
      <c r="J3990">
        <v>-216.9453</v>
      </c>
      <c r="K3990">
        <v>1.1043080000000001</v>
      </c>
      <c r="L3990">
        <v>133.7131</v>
      </c>
      <c r="M3990">
        <v>-0.97939279999999995</v>
      </c>
      <c r="N3990">
        <v>0</v>
      </c>
      <c r="O3990">
        <v>-0.20147509999999999</v>
      </c>
      <c r="P3990">
        <v>-0.99855050000000001</v>
      </c>
      <c r="Q3990">
        <v>3.9070140000000003E-2</v>
      </c>
      <c r="R3990">
        <v>-3.7024880000000003E-2</v>
      </c>
      <c r="S3990">
        <v>-3.0436709999999998</v>
      </c>
      <c r="T3990">
        <v>-0.28455540000000001</v>
      </c>
      <c r="U3990">
        <v>0.61071779999999998</v>
      </c>
      <c r="V3990">
        <v>0.1657052</v>
      </c>
      <c r="W3990">
        <v>5.0463040000000001E-2</v>
      </c>
      <c r="X3990">
        <v>0.98488339999999996</v>
      </c>
      <c r="Y3990">
        <v>0.38776569999999999</v>
      </c>
      <c r="Z3990">
        <v>3.65194E-2</v>
      </c>
      <c r="AA3990">
        <v>0.92103429999999997</v>
      </c>
      <c r="AB3990">
        <v>23</v>
      </c>
      <c r="AC3990">
        <v>-11.5731999999999</v>
      </c>
      <c r="AD3990">
        <v>-1.1043094197079999</v>
      </c>
      <c r="AE3990">
        <v>2.40979999999999</v>
      </c>
      <c r="AF3990">
        <v>4.6517224278028202</v>
      </c>
      <c r="AG3990">
        <v>-1.1043094197079999</v>
      </c>
      <c r="AH3990">
        <v>10.7563996159149</v>
      </c>
      <c r="AI3990">
        <v>95.3831501633599</v>
      </c>
      <c r="AJ3990">
        <v>66.613404083030503</v>
      </c>
      <c r="AK3990">
        <v>11.7710727436812</v>
      </c>
      <c r="AL3990">
        <v>87.1074523080094</v>
      </c>
      <c r="AM3990">
        <v>80.449515064185405</v>
      </c>
      <c r="AN3990">
        <v>1.0000000216543199</v>
      </c>
    </row>
    <row r="3991" spans="1:40" x14ac:dyDescent="0.25">
      <c r="A3991" t="str">
        <f>"20190312151106066"</f>
        <v>20190312151106066</v>
      </c>
      <c r="B3991" t="str">
        <f>"1552374666054725"</f>
        <v>1552374666054725</v>
      </c>
      <c r="C3991" t="s">
        <v>40</v>
      </c>
      <c r="D3991">
        <v>5.4855179999999999</v>
      </c>
      <c r="E3991">
        <v>0.58963710000000003</v>
      </c>
      <c r="F3991" t="s">
        <v>42</v>
      </c>
      <c r="G3991">
        <v>-229.03899999999999</v>
      </c>
      <c r="H3991" s="1">
        <v>-1.226677E-6</v>
      </c>
      <c r="I3991">
        <v>136.18260000000001</v>
      </c>
      <c r="J3991">
        <v>-217.18299999999999</v>
      </c>
      <c r="K3991">
        <v>1.1043289999999999</v>
      </c>
      <c r="L3991">
        <v>133.67580000000001</v>
      </c>
      <c r="M3991">
        <v>-0.98133000000000004</v>
      </c>
      <c r="N3991">
        <v>0</v>
      </c>
      <c r="O3991">
        <v>-0.19181860000000001</v>
      </c>
      <c r="P3991">
        <v>-0.99877819999999995</v>
      </c>
      <c r="Q3991">
        <v>3.9975440000000001E-2</v>
      </c>
      <c r="R3991">
        <v>-2.9064389999999999E-2</v>
      </c>
      <c r="S3991">
        <v>-3.0382229999999999</v>
      </c>
      <c r="T3991">
        <v>-0.27742830000000002</v>
      </c>
      <c r="U3991">
        <v>0.62042240000000004</v>
      </c>
      <c r="V3991">
        <v>0.16385820000000001</v>
      </c>
      <c r="W3991">
        <v>5.1401669999999997E-2</v>
      </c>
      <c r="X3991">
        <v>0.98514380000000001</v>
      </c>
      <c r="Y3991">
        <v>0.3820115</v>
      </c>
      <c r="Z3991">
        <v>3.4534990000000002E-2</v>
      </c>
      <c r="AA3991">
        <v>0.92351209999999995</v>
      </c>
      <c r="AB3991">
        <v>23</v>
      </c>
      <c r="AC3991">
        <v>-11.856</v>
      </c>
      <c r="AD3991">
        <v>-1.1043302266769901</v>
      </c>
      <c r="AE3991">
        <v>2.5067999999999899</v>
      </c>
      <c r="AF3991">
        <v>4.6956694341823102</v>
      </c>
      <c r="AG3991">
        <v>-1.1043302266769901</v>
      </c>
      <c r="AH3991">
        <v>11.06302090052</v>
      </c>
      <c r="AI3991">
        <v>95.250013226387694</v>
      </c>
      <c r="AJ3991">
        <v>67.001335516054496</v>
      </c>
      <c r="AK3991">
        <v>12.0689389811205</v>
      </c>
      <c r="AL3991">
        <v>87.053602738333893</v>
      </c>
      <c r="AM3991">
        <v>80.556490533779296</v>
      </c>
      <c r="AN3991">
        <v>0.99999997403223395</v>
      </c>
    </row>
    <row r="3992" spans="1:40" x14ac:dyDescent="0.25">
      <c r="A3992" t="str">
        <f>"20190312151106088"</f>
        <v>20190312151106088</v>
      </c>
      <c r="B3992" t="str">
        <f>"1552374666084980"</f>
        <v>1552374666084980</v>
      </c>
      <c r="C3992" t="s">
        <v>40</v>
      </c>
      <c r="D3992">
        <v>5.5048769999999996</v>
      </c>
      <c r="E3992">
        <v>0.5891845</v>
      </c>
      <c r="F3992" t="s">
        <v>42</v>
      </c>
      <c r="G3992">
        <v>-229.5138</v>
      </c>
      <c r="H3992" s="1">
        <v>-1.04029E-6</v>
      </c>
      <c r="I3992">
        <v>136.27600000000001</v>
      </c>
      <c r="J3992">
        <v>-217.41220000000001</v>
      </c>
      <c r="K3992">
        <v>1.104347</v>
      </c>
      <c r="L3992">
        <v>133.642</v>
      </c>
      <c r="M3992">
        <v>-0.98310489999999995</v>
      </c>
      <c r="N3992">
        <v>0</v>
      </c>
      <c r="O3992">
        <v>-0.1825029</v>
      </c>
      <c r="P3992">
        <v>-0.99892309999999995</v>
      </c>
      <c r="Q3992">
        <v>4.0853880000000002E-2</v>
      </c>
      <c r="R3992">
        <v>-2.1990470000000002E-2</v>
      </c>
      <c r="S3992">
        <v>-3.0331570000000001</v>
      </c>
      <c r="T3992">
        <v>-0.27164670000000002</v>
      </c>
      <c r="U3992">
        <v>0.63961789999999996</v>
      </c>
      <c r="V3992">
        <v>0.16149430000000001</v>
      </c>
      <c r="W3992">
        <v>5.2321199999999998E-2</v>
      </c>
      <c r="X3992">
        <v>0.98548570000000002</v>
      </c>
      <c r="Y3992">
        <v>0.37929629999999998</v>
      </c>
      <c r="Z3992">
        <v>3.2913749999999999E-2</v>
      </c>
      <c r="AA3992">
        <v>0.92468969999999995</v>
      </c>
      <c r="AB3992">
        <v>23</v>
      </c>
      <c r="AC3992">
        <v>-12.1015999999999</v>
      </c>
      <c r="AD3992">
        <v>-1.1043480402900001</v>
      </c>
      <c r="AE3992">
        <v>2.6340000000000101</v>
      </c>
      <c r="AF3992">
        <v>4.7606966346980597</v>
      </c>
      <c r="AG3992">
        <v>-1.1043480402900001</v>
      </c>
      <c r="AH3992">
        <v>11.3274914467865</v>
      </c>
      <c r="AI3992">
        <v>95.135809195051394</v>
      </c>
      <c r="AJ3992">
        <v>67.204050716788799</v>
      </c>
      <c r="AK3992">
        <v>12.336769411752</v>
      </c>
      <c r="AL3992">
        <v>87.000846603084696</v>
      </c>
      <c r="AM3992">
        <v>80.693498431045001</v>
      </c>
      <c r="AN3992">
        <v>0.99999999090321001</v>
      </c>
    </row>
    <row r="3993" spans="1:40" x14ac:dyDescent="0.25">
      <c r="A3993" t="str">
        <f>"20190312151106111"</f>
        <v>20190312151106111</v>
      </c>
      <c r="B3993" t="str">
        <f>"1552374666105477"</f>
        <v>1552374666105477</v>
      </c>
      <c r="C3993" t="s">
        <v>40</v>
      </c>
      <c r="D3993">
        <v>5.4945469999999998</v>
      </c>
      <c r="E3993">
        <v>0.58871019999999996</v>
      </c>
      <c r="F3993" t="s">
        <v>42</v>
      </c>
      <c r="G3993">
        <v>-229.7336</v>
      </c>
      <c r="H3993" s="1">
        <v>-9.5438160000000009E-7</v>
      </c>
      <c r="I3993">
        <v>136.31780000000001</v>
      </c>
      <c r="J3993">
        <v>-217.64570000000001</v>
      </c>
      <c r="K3993">
        <v>1.1043689999999999</v>
      </c>
      <c r="L3993">
        <v>133.60980000000001</v>
      </c>
      <c r="M3993">
        <v>-0.98482020000000003</v>
      </c>
      <c r="N3993">
        <v>0</v>
      </c>
      <c r="O3993">
        <v>-0.17300929999999901</v>
      </c>
      <c r="P3993">
        <v>-0.99900359999999999</v>
      </c>
      <c r="Q3993">
        <v>4.204683E-2</v>
      </c>
      <c r="R3993">
        <v>-1.4973510000000001E-2</v>
      </c>
      <c r="S3993">
        <v>-3.0288240000000002</v>
      </c>
      <c r="T3993">
        <v>-0.27147080000000001</v>
      </c>
      <c r="U3993">
        <v>0.65777589999999997</v>
      </c>
      <c r="V3993">
        <v>0.1589139</v>
      </c>
      <c r="W3993">
        <v>5.3558769999999999E-2</v>
      </c>
      <c r="X3993">
        <v>0.98583869999999896</v>
      </c>
      <c r="Y3993">
        <v>0.3759921</v>
      </c>
      <c r="Z3993">
        <v>3.1936840000000001E-2</v>
      </c>
      <c r="AA3993">
        <v>0.92607240000000002</v>
      </c>
      <c r="AB3993">
        <v>23</v>
      </c>
      <c r="AC3993">
        <v>-12.0878999999999</v>
      </c>
      <c r="AD3993">
        <v>-1.1043699543815999</v>
      </c>
      <c r="AE3993">
        <v>2.70799999999999</v>
      </c>
      <c r="AF3993">
        <v>4.7211568751544997</v>
      </c>
      <c r="AG3993">
        <v>-1.1043699543815999</v>
      </c>
      <c r="AH3993">
        <v>11.3468400067792</v>
      </c>
      <c r="AI3993">
        <v>95.134831439841605</v>
      </c>
      <c r="AJ3993">
        <v>67.408938436387899</v>
      </c>
      <c r="AK3993">
        <v>12.339357089224899</v>
      </c>
      <c r="AL3993">
        <v>86.929839686286201</v>
      </c>
      <c r="AM3993">
        <v>80.842883760229597</v>
      </c>
      <c r="AN3993">
        <v>1.0000000559374</v>
      </c>
    </row>
    <row r="3994" spans="1:40" x14ac:dyDescent="0.25">
      <c r="A3994" t="str">
        <f>"20190312151106132"</f>
        <v>20190312151106132</v>
      </c>
      <c r="B3994" t="str">
        <f>"1552374666124997"</f>
        <v>1552374666124997</v>
      </c>
      <c r="C3994" t="s">
        <v>40</v>
      </c>
      <c r="D3994">
        <v>5.4704169999999896</v>
      </c>
      <c r="E3994">
        <v>0.58785829999999994</v>
      </c>
      <c r="F3994" t="s">
        <v>42</v>
      </c>
      <c r="G3994">
        <v>-230.1206</v>
      </c>
      <c r="H3994" s="1">
        <v>-4.7923699999999997E-6</v>
      </c>
      <c r="I3994">
        <v>136.39269999999999</v>
      </c>
      <c r="J3994">
        <v>-217.874</v>
      </c>
      <c r="K3994">
        <v>1.104392</v>
      </c>
      <c r="L3994">
        <v>133.58070000000001</v>
      </c>
      <c r="M3994">
        <v>-0.98640649999999996</v>
      </c>
      <c r="N3994">
        <v>0</v>
      </c>
      <c r="O3994">
        <v>-0.163722799999999</v>
      </c>
      <c r="P3994">
        <v>-0.99900710000000004</v>
      </c>
      <c r="Q3994">
        <v>4.3895709999999998E-2</v>
      </c>
      <c r="R3994">
        <v>-7.63189199999999E-3</v>
      </c>
      <c r="S3994">
        <v>-3.0243530000000001</v>
      </c>
      <c r="T3994">
        <v>-0.2677406</v>
      </c>
      <c r="U3994">
        <v>0.67466740000000003</v>
      </c>
      <c r="V3994">
        <v>0.15688089999999999</v>
      </c>
      <c r="W3994">
        <v>5.5441850000000001E-2</v>
      </c>
      <c r="X3994">
        <v>0.98606009999999999</v>
      </c>
      <c r="Y3994">
        <v>0.37258609999999998</v>
      </c>
      <c r="Z3994">
        <v>3.0570170000000001E-2</v>
      </c>
      <c r="AA3994">
        <v>0.92749389999999998</v>
      </c>
      <c r="AB3994">
        <v>23</v>
      </c>
      <c r="AC3994">
        <v>-12.2465999999999</v>
      </c>
      <c r="AD3994">
        <v>-1.10439679237</v>
      </c>
      <c r="AE3994">
        <v>2.8119999999999798</v>
      </c>
      <c r="AF3994">
        <v>4.7426560732326903</v>
      </c>
      <c r="AG3994">
        <v>-1.10439679237</v>
      </c>
      <c r="AH3994">
        <v>11.5317979003494</v>
      </c>
      <c r="AI3994">
        <v>95.061572352652107</v>
      </c>
      <c r="AJ3994">
        <v>67.644217006496703</v>
      </c>
      <c r="AK3994">
        <v>12.517781022148901</v>
      </c>
      <c r="AL3994">
        <v>86.821786266887599</v>
      </c>
      <c r="AM3994">
        <v>80.960080698447598</v>
      </c>
      <c r="AN3994">
        <v>0.99999996816411996</v>
      </c>
    </row>
    <row r="3995" spans="1:40" x14ac:dyDescent="0.25">
      <c r="A3995" t="str">
        <f>"20190312151106154"</f>
        <v>20190312151106154</v>
      </c>
      <c r="B3995" t="str">
        <f>"1552374666145497"</f>
        <v>1552374666145497</v>
      </c>
      <c r="C3995" t="s">
        <v>40</v>
      </c>
      <c r="D3995">
        <v>5.4713010000000004</v>
      </c>
      <c r="E3995">
        <v>0.58828400000000003</v>
      </c>
      <c r="F3995" t="s">
        <v>42</v>
      </c>
      <c r="G3995">
        <v>-230.8031</v>
      </c>
      <c r="H3995" s="1">
        <v>-4.4747429999999998E-6</v>
      </c>
      <c r="I3995">
        <v>136.5325</v>
      </c>
      <c r="J3995">
        <v>-218.1019</v>
      </c>
      <c r="K3995">
        <v>1.1044080000000001</v>
      </c>
      <c r="L3995">
        <v>133.55359999999999</v>
      </c>
      <c r="M3995">
        <v>-0.98790199999999995</v>
      </c>
      <c r="N3995">
        <v>0</v>
      </c>
      <c r="O3995">
        <v>-0.15444349999999901</v>
      </c>
      <c r="P3995">
        <v>-0.99898509999999996</v>
      </c>
      <c r="Q3995">
        <v>4.5045849999999998E-2</v>
      </c>
      <c r="R3995">
        <v>-1.8321139999999999E-4</v>
      </c>
      <c r="S3995">
        <v>-3.019577</v>
      </c>
      <c r="T3995">
        <v>-0.2579302</v>
      </c>
      <c r="U3995">
        <v>0.6894226</v>
      </c>
      <c r="V3995">
        <v>0.15496979999999999</v>
      </c>
      <c r="W3995">
        <v>5.6624929999999997E-2</v>
      </c>
      <c r="X3995">
        <v>0.98629500000000003</v>
      </c>
      <c r="Y3995">
        <v>0.36867830000000001</v>
      </c>
      <c r="Z3995">
        <v>2.8539930000000002E-2</v>
      </c>
      <c r="AA3995">
        <v>0.92911880000000002</v>
      </c>
      <c r="AB3995">
        <v>23</v>
      </c>
      <c r="AC3995">
        <v>-12.7012</v>
      </c>
      <c r="AD3995">
        <v>-1.104412474743</v>
      </c>
      <c r="AE3995">
        <v>2.9788999999999999</v>
      </c>
      <c r="AF3995">
        <v>4.8700597086618203</v>
      </c>
      <c r="AG3995">
        <v>-1.104412474743</v>
      </c>
      <c r="AH3995">
        <v>12.002640003044601</v>
      </c>
      <c r="AI3995">
        <v>94.873417711297904</v>
      </c>
      <c r="AJ3995">
        <v>67.915192605318097</v>
      </c>
      <c r="AK3995">
        <v>13.0000221354806</v>
      </c>
      <c r="AL3995">
        <v>86.753893961721403</v>
      </c>
      <c r="AM3995">
        <v>81.070510537287703</v>
      </c>
      <c r="AN3995">
        <v>0.99999992431726903</v>
      </c>
    </row>
    <row r="3996" spans="1:40" x14ac:dyDescent="0.25">
      <c r="A3996" t="str">
        <f>"20190312151106177"</f>
        <v>20190312151106177</v>
      </c>
      <c r="B3996" t="str">
        <f>"1552374666165012"</f>
        <v>1552374666165012</v>
      </c>
      <c r="C3996" t="s">
        <v>40</v>
      </c>
      <c r="D3996">
        <v>5.5183749999999998</v>
      </c>
      <c r="E3996">
        <v>0.58729049999999905</v>
      </c>
      <c r="F3996" t="s">
        <v>42</v>
      </c>
      <c r="G3996">
        <v>-270.39729999999997</v>
      </c>
      <c r="H3996" s="1">
        <v>-5.254237E-6</v>
      </c>
      <c r="I3996">
        <v>145.893</v>
      </c>
      <c r="J3996">
        <v>-218.3408</v>
      </c>
      <c r="K3996">
        <v>1.1044210000000001</v>
      </c>
      <c r="L3996">
        <v>133.52760000000001</v>
      </c>
      <c r="M3996">
        <v>-0.98937379999999997</v>
      </c>
      <c r="N3996">
        <v>0</v>
      </c>
      <c r="O3996">
        <v>-0.14471510000000001</v>
      </c>
      <c r="P3996">
        <v>-0.9989287</v>
      </c>
      <c r="Q3996">
        <v>4.5670049999999997E-2</v>
      </c>
      <c r="R3996">
        <v>7.462888E-3</v>
      </c>
      <c r="S3996">
        <v>-3.0060730000000002</v>
      </c>
      <c r="T3996">
        <v>-6.3484550000000001E-2</v>
      </c>
      <c r="U3996">
        <v>0.70930479999999996</v>
      </c>
      <c r="V3996">
        <v>0.15281529999999999</v>
      </c>
      <c r="W3996">
        <v>5.7285700000000002E-2</v>
      </c>
      <c r="X3996">
        <v>0.9865931</v>
      </c>
      <c r="Y3996">
        <v>0.36798520000000001</v>
      </c>
      <c r="Z3996">
        <v>6.8522649999999997E-3</v>
      </c>
      <c r="AA3996">
        <v>0.92980640000000003</v>
      </c>
      <c r="AB3996">
        <v>23</v>
      </c>
      <c r="AC3996">
        <v>-52.0564999999999</v>
      </c>
      <c r="AD3996">
        <v>-1.10442625423699</v>
      </c>
      <c r="AE3996">
        <v>12.3653999999999</v>
      </c>
      <c r="AF3996">
        <v>19.760892393027401</v>
      </c>
      <c r="AG3996">
        <v>-1.10442625423699</v>
      </c>
      <c r="AH3996">
        <v>49.697600392522098</v>
      </c>
      <c r="AI3996">
        <v>91.183010154798893</v>
      </c>
      <c r="AJ3996">
        <v>68.316110109396703</v>
      </c>
      <c r="AK3996">
        <v>53.493589431769003</v>
      </c>
      <c r="AL3996">
        <v>86.715973503446094</v>
      </c>
      <c r="AM3996">
        <v>81.195314328413701</v>
      </c>
      <c r="AN3996">
        <v>1.00000005615309</v>
      </c>
    </row>
    <row r="3997" spans="1:40" x14ac:dyDescent="0.25">
      <c r="A3997" t="str">
        <f>"20190312151106199"</f>
        <v>20190312151106199</v>
      </c>
      <c r="B3997" t="str">
        <f>"1552374666195269"</f>
        <v>1552374666195269</v>
      </c>
      <c r="C3997" t="s">
        <v>40</v>
      </c>
      <c r="D3997">
        <v>5.4450770000000004</v>
      </c>
      <c r="E3997">
        <v>0.58675710000000003</v>
      </c>
      <c r="F3997" t="s">
        <v>42</v>
      </c>
      <c r="G3997">
        <v>-268.65129999999999</v>
      </c>
      <c r="H3997" s="1">
        <v>-2.17126E-6</v>
      </c>
      <c r="I3997">
        <v>145.66839999999999</v>
      </c>
      <c r="J3997">
        <v>-218.5668</v>
      </c>
      <c r="K3997">
        <v>1.104436</v>
      </c>
      <c r="L3997">
        <v>133.50530000000001</v>
      </c>
      <c r="M3997">
        <v>-0.99067740000000004</v>
      </c>
      <c r="N3997">
        <v>0</v>
      </c>
      <c r="O3997">
        <v>-0.1355056</v>
      </c>
      <c r="P3997">
        <v>-0.99878400000000001</v>
      </c>
      <c r="Q3997">
        <v>4.7164850000000001E-2</v>
      </c>
      <c r="R3997">
        <v>1.4365899999999999E-2</v>
      </c>
      <c r="S3997">
        <v>-3.0008240000000002</v>
      </c>
      <c r="T3997">
        <v>-6.5874580000000002E-2</v>
      </c>
      <c r="U3997">
        <v>0.72415160000000001</v>
      </c>
      <c r="V3997">
        <v>0.1504646</v>
      </c>
      <c r="W3997">
        <v>5.882043E-2</v>
      </c>
      <c r="X3997">
        <v>0.98686399999999996</v>
      </c>
      <c r="Y3997">
        <v>0.36404259999999999</v>
      </c>
      <c r="Z3997">
        <v>6.8763879999999998E-3</v>
      </c>
      <c r="AA3997">
        <v>0.93135690000000004</v>
      </c>
      <c r="AB3997">
        <v>23</v>
      </c>
      <c r="AC3997">
        <v>-50.084499999999899</v>
      </c>
      <c r="AD3997">
        <v>-1.10443817126</v>
      </c>
      <c r="AE3997">
        <v>12.163099999999901</v>
      </c>
      <c r="AF3997">
        <v>18.8296433338299</v>
      </c>
      <c r="AG3997">
        <v>-1.10443817126</v>
      </c>
      <c r="AH3997">
        <v>47.952109293866897</v>
      </c>
      <c r="AI3997">
        <v>91.228146885961394</v>
      </c>
      <c r="AJ3997">
        <v>68.561254400903294</v>
      </c>
      <c r="AK3997">
        <v>51.528439113603397</v>
      </c>
      <c r="AL3997">
        <v>86.627891196548603</v>
      </c>
      <c r="AM3997">
        <v>81.331023278328402</v>
      </c>
      <c r="AN3997">
        <v>0.99999999666727202</v>
      </c>
    </row>
    <row r="3998" spans="1:40" x14ac:dyDescent="0.25">
      <c r="A3998" t="str">
        <f>"20190312151106221"</f>
        <v>20190312151106221</v>
      </c>
      <c r="B3998" t="str">
        <f>"1552374666214788"</f>
        <v>1552374666214788</v>
      </c>
      <c r="C3998" t="s">
        <v>40</v>
      </c>
      <c r="D3998">
        <v>5.4955679999999996</v>
      </c>
      <c r="E3998">
        <v>0.58605289999999999</v>
      </c>
      <c r="F3998" t="s">
        <v>42</v>
      </c>
      <c r="G3998">
        <v>-270.89440000000002</v>
      </c>
      <c r="H3998" s="1">
        <v>-5.1815119999999998E-6</v>
      </c>
      <c r="I3998">
        <v>146.43680000000001</v>
      </c>
      <c r="J3998">
        <v>-218.80260000000001</v>
      </c>
      <c r="K3998">
        <v>1.1044480000000001</v>
      </c>
      <c r="L3998">
        <v>133.48439999999999</v>
      </c>
      <c r="M3998">
        <v>-0.99194479999999996</v>
      </c>
      <c r="N3998">
        <v>0</v>
      </c>
      <c r="O3998">
        <v>-0.12589330000000001</v>
      </c>
      <c r="P3998">
        <v>-0.99865269999999995</v>
      </c>
      <c r="Q3998">
        <v>4.7354189999999997E-2</v>
      </c>
      <c r="R3998">
        <v>2.1225009999999999E-2</v>
      </c>
      <c r="S3998">
        <v>-2.995987</v>
      </c>
      <c r="T3998">
        <v>-6.3234090000000007E-2</v>
      </c>
      <c r="U3998">
        <v>0.74038700000000002</v>
      </c>
      <c r="V3998">
        <v>0.1476703</v>
      </c>
      <c r="W3998">
        <v>5.9057970000000001E-2</v>
      </c>
      <c r="X3998">
        <v>0.98727180000000003</v>
      </c>
      <c r="Y3998">
        <v>0.3601259</v>
      </c>
      <c r="Z3998">
        <v>6.3663599999999997E-3</v>
      </c>
      <c r="AA3998">
        <v>0.93288199999999999</v>
      </c>
      <c r="AB3998">
        <v>23</v>
      </c>
      <c r="AC3998">
        <v>-52.091799999999999</v>
      </c>
      <c r="AD3998">
        <v>-1.10445318151199</v>
      </c>
      <c r="AE3998">
        <v>12.952400000000001</v>
      </c>
      <c r="AF3998">
        <v>19.3997673420638</v>
      </c>
      <c r="AG3998">
        <v>-1.10445318151199</v>
      </c>
      <c r="AH3998">
        <v>50.025305943895702</v>
      </c>
      <c r="AI3998">
        <v>91.179224972873698</v>
      </c>
      <c r="AJ3998">
        <v>68.803753415480998</v>
      </c>
      <c r="AK3998">
        <v>53.666582009074602</v>
      </c>
      <c r="AL3998">
        <v>86.614257413495807</v>
      </c>
      <c r="AM3998">
        <v>81.493100668758501</v>
      </c>
      <c r="AN3998">
        <v>0.999999984198925</v>
      </c>
    </row>
    <row r="3999" spans="1:40" x14ac:dyDescent="0.25">
      <c r="A3999" t="str">
        <f>"20190312151106244"</f>
        <v>20190312151106244</v>
      </c>
      <c r="B3999" t="str">
        <f>"1552374666235284"</f>
        <v>1552374666235284</v>
      </c>
      <c r="C3999" t="s">
        <v>40</v>
      </c>
      <c r="D3999">
        <v>5.4208089999999904</v>
      </c>
      <c r="E3999">
        <v>0.58566589999999996</v>
      </c>
      <c r="F3999" t="s">
        <v>42</v>
      </c>
      <c r="G3999">
        <v>-270.5693</v>
      </c>
      <c r="H3999" s="1">
        <v>-5.3136229999999998E-6</v>
      </c>
      <c r="I3999">
        <v>146.55789999999999</v>
      </c>
      <c r="J3999">
        <v>-219.0369</v>
      </c>
      <c r="K3999">
        <v>1.1044659999999999</v>
      </c>
      <c r="L3999">
        <v>133.4658</v>
      </c>
      <c r="M3999">
        <v>-0.99311070000000001</v>
      </c>
      <c r="N3999">
        <v>0</v>
      </c>
      <c r="O3999">
        <v>-0.11634</v>
      </c>
      <c r="P3999">
        <v>-0.99846389999999996</v>
      </c>
      <c r="Q3999">
        <v>4.699648E-2</v>
      </c>
      <c r="R3999">
        <v>2.9357319999999999E-2</v>
      </c>
      <c r="S3999">
        <v>-2.9909970000000001</v>
      </c>
      <c r="T3999">
        <v>-6.381357E-2</v>
      </c>
      <c r="U3999">
        <v>0.75537109999999996</v>
      </c>
      <c r="V3999">
        <v>0.14620159999999999</v>
      </c>
      <c r="W3999">
        <v>5.872666E-2</v>
      </c>
      <c r="X3999">
        <v>0.98751009999999995</v>
      </c>
      <c r="Y3999">
        <v>0.35590500000000003</v>
      </c>
      <c r="Z3999">
        <v>6.1860530000000004E-3</v>
      </c>
      <c r="AA3999">
        <v>0.93450160000000004</v>
      </c>
      <c r="AB3999">
        <v>23</v>
      </c>
      <c r="AC3999">
        <v>-51.532400000000003</v>
      </c>
      <c r="AD3999">
        <v>-1.104471313623</v>
      </c>
      <c r="AE3999">
        <v>13.092099999999901</v>
      </c>
      <c r="AF3999">
        <v>18.9908527369426</v>
      </c>
      <c r="AG3999">
        <v>-1.104471313623</v>
      </c>
      <c r="AH3999">
        <v>49.637694436167401</v>
      </c>
      <c r="AI3999">
        <v>91.190528194138196</v>
      </c>
      <c r="AJ3999">
        <v>69.063682131207102</v>
      </c>
      <c r="AK3999">
        <v>53.158000841803499</v>
      </c>
      <c r="AL3999">
        <v>86.633273011919897</v>
      </c>
      <c r="AM3999">
        <v>81.578492329693105</v>
      </c>
      <c r="AN3999">
        <v>0.99999996301966199</v>
      </c>
    </row>
    <row r="4000" spans="1:40" x14ac:dyDescent="0.25">
      <c r="A4000" t="str">
        <f>"20190312151106265"</f>
        <v>20190312151106265</v>
      </c>
      <c r="B4000" t="str">
        <f>"1552374666254804"</f>
        <v>1552374666254804</v>
      </c>
      <c r="C4000" t="s">
        <v>40</v>
      </c>
      <c r="D4000">
        <v>5.4286849999999998</v>
      </c>
      <c r="E4000">
        <v>0.58507580000000003</v>
      </c>
      <c r="F4000" t="s">
        <v>42</v>
      </c>
      <c r="G4000">
        <v>-269.01049999999998</v>
      </c>
      <c r="H4000" s="1">
        <v>-2.2302339999999999E-6</v>
      </c>
      <c r="I4000">
        <v>146.4692</v>
      </c>
      <c r="J4000">
        <v>-219.26480000000001</v>
      </c>
      <c r="K4000">
        <v>1.104484</v>
      </c>
      <c r="L4000">
        <v>133.44990000000001</v>
      </c>
      <c r="M4000">
        <v>-0.9941546</v>
      </c>
      <c r="N4000">
        <v>0</v>
      </c>
      <c r="O4000">
        <v>-0.1070516</v>
      </c>
      <c r="P4000">
        <v>-0.99826380000000003</v>
      </c>
      <c r="Q4000">
        <v>4.6695050000000002E-2</v>
      </c>
      <c r="R4000">
        <v>3.590459E-2</v>
      </c>
      <c r="S4000">
        <v>-2.9848789999999998</v>
      </c>
      <c r="T4000">
        <v>-6.5968990000000005E-2</v>
      </c>
      <c r="U4000">
        <v>0.77668760000000003</v>
      </c>
      <c r="V4000">
        <v>0.14343910000000001</v>
      </c>
      <c r="W4000">
        <v>5.8472950000000003E-2</v>
      </c>
      <c r="X4000">
        <v>0.98793019999999998</v>
      </c>
      <c r="Y4000">
        <v>0.35388029999999998</v>
      </c>
      <c r="Z4000">
        <v>6.17791E-3</v>
      </c>
      <c r="AA4000">
        <v>0.9352703</v>
      </c>
      <c r="AB4000">
        <v>23</v>
      </c>
      <c r="AC4000">
        <v>-49.7456999999999</v>
      </c>
      <c r="AD4000">
        <v>-1.1044862302339999</v>
      </c>
      <c r="AE4000">
        <v>13.0192999999999</v>
      </c>
      <c r="AF4000">
        <v>18.2619244414769</v>
      </c>
      <c r="AG4000">
        <v>-1.1044862302339999</v>
      </c>
      <c r="AH4000">
        <v>48.043739075790903</v>
      </c>
      <c r="AI4000">
        <v>91.231046496619697</v>
      </c>
      <c r="AJ4000">
        <v>69.187682333932798</v>
      </c>
      <c r="AK4000">
        <v>51.409324431679401</v>
      </c>
      <c r="AL4000">
        <v>86.647834573631599</v>
      </c>
      <c r="AM4000">
        <v>81.738865022223706</v>
      </c>
      <c r="AN4000">
        <v>0.999999970681275</v>
      </c>
    </row>
    <row r="4001" spans="1:40" x14ac:dyDescent="0.25">
      <c r="A4001" t="str">
        <f>"20190312151106289"</f>
        <v>20190312151106289</v>
      </c>
      <c r="B4001" t="str">
        <f>"1552374666285061"</f>
        <v>1552374666285061</v>
      </c>
      <c r="C4001" t="s">
        <v>40</v>
      </c>
      <c r="D4001">
        <v>5.4296309999999997</v>
      </c>
      <c r="E4001">
        <v>0.58492949999999999</v>
      </c>
      <c r="F4001" t="s">
        <v>42</v>
      </c>
      <c r="G4001">
        <v>-247.65430000000001</v>
      </c>
      <c r="H4001" s="1">
        <v>-1.3556429999999999E-6</v>
      </c>
      <c r="I4001">
        <v>140.9956</v>
      </c>
      <c r="J4001">
        <v>-219.51390000000001</v>
      </c>
      <c r="K4001">
        <v>1.1045049999999901</v>
      </c>
      <c r="L4001">
        <v>133.435</v>
      </c>
      <c r="M4001">
        <v>-0.99519519999999995</v>
      </c>
      <c r="N4001">
        <v>0</v>
      </c>
      <c r="O4001">
        <v>-9.6903580000000003E-2</v>
      </c>
      <c r="P4001">
        <v>-0.9979576</v>
      </c>
      <c r="Q4001">
        <v>4.6893039999999997E-2</v>
      </c>
      <c r="R4001">
        <v>4.3378359999999998E-2</v>
      </c>
      <c r="S4001">
        <v>-2.982132</v>
      </c>
      <c r="T4001">
        <v>-0.1160191</v>
      </c>
      <c r="U4001">
        <v>0.79263309999999998</v>
      </c>
      <c r="V4001">
        <v>0.14075379999999901</v>
      </c>
      <c r="W4001">
        <v>5.8718569999999998E-2</v>
      </c>
      <c r="X4001">
        <v>0.98830180000000001</v>
      </c>
      <c r="Y4001">
        <v>0.34901019999999999</v>
      </c>
      <c r="Z4001">
        <v>1.038297E-2</v>
      </c>
      <c r="AA4001">
        <v>0.93706140000000004</v>
      </c>
      <c r="AB4001">
        <v>23</v>
      </c>
      <c r="AC4001">
        <v>-28.1404</v>
      </c>
      <c r="AD4001">
        <v>-1.1045063556429999</v>
      </c>
      <c r="AE4001">
        <v>7.5605999999999902</v>
      </c>
      <c r="AF4001">
        <v>10.2374746460005</v>
      </c>
      <c r="AG4001">
        <v>-1.1045063556429999</v>
      </c>
      <c r="AH4001">
        <v>27.236084103210199</v>
      </c>
      <c r="AI4001">
        <v>92.173905402514706</v>
      </c>
      <c r="AJ4001">
        <v>69.399808918055598</v>
      </c>
      <c r="AK4001">
        <v>29.117522193591601</v>
      </c>
      <c r="AL4001">
        <v>86.633737377379703</v>
      </c>
      <c r="AM4001">
        <v>81.894452747435196</v>
      </c>
      <c r="AN4001">
        <v>0.99999997528026197</v>
      </c>
    </row>
    <row r="4002" spans="1:40" x14ac:dyDescent="0.25">
      <c r="A4002" t="str">
        <f>"20190312151106312"</f>
        <v>20190312151106312</v>
      </c>
      <c r="B4002" t="str">
        <f>"1552374666304581"</f>
        <v>1552374666304581</v>
      </c>
      <c r="C4002" t="s">
        <v>40</v>
      </c>
      <c r="D4002">
        <v>5.4021730000000003</v>
      </c>
      <c r="E4002">
        <v>0.58459090000000002</v>
      </c>
      <c r="F4002" t="s">
        <v>42</v>
      </c>
      <c r="G4002">
        <v>-240.042</v>
      </c>
      <c r="H4002" s="1">
        <v>-4.3544909999999999E-6</v>
      </c>
      <c r="I4002">
        <v>139.05109999999999</v>
      </c>
      <c r="J4002">
        <v>-219.74270000000001</v>
      </c>
      <c r="K4002">
        <v>1.1045290000000001</v>
      </c>
      <c r="L4002">
        <v>133.42339999999999</v>
      </c>
      <c r="M4002">
        <v>-0.99605670000000002</v>
      </c>
      <c r="N4002">
        <v>0</v>
      </c>
      <c r="O4002">
        <v>-8.7606390000000006E-2</v>
      </c>
      <c r="P4002">
        <v>-0.99763590000000002</v>
      </c>
      <c r="Q4002">
        <v>4.755144E-2</v>
      </c>
      <c r="R4002">
        <v>4.9612490000000002E-2</v>
      </c>
      <c r="S4002">
        <v>-2.978256</v>
      </c>
      <c r="T4002">
        <v>-0.16024479999999999</v>
      </c>
      <c r="U4002">
        <v>0.81481930000000002</v>
      </c>
      <c r="V4002">
        <v>0.13770019999999999</v>
      </c>
      <c r="W4002">
        <v>5.9430669999999998E-2</v>
      </c>
      <c r="X4002">
        <v>0.98868940000000005</v>
      </c>
      <c r="Y4002">
        <v>0.34679789999999999</v>
      </c>
      <c r="Z4002">
        <v>1.3790210000000001E-2</v>
      </c>
      <c r="AA4002">
        <v>0.93783859999999997</v>
      </c>
      <c r="AB4002">
        <v>23</v>
      </c>
      <c r="AC4002">
        <v>-20.299299999999899</v>
      </c>
      <c r="AD4002">
        <v>-1.1045333544910001</v>
      </c>
      <c r="AE4002">
        <v>5.6276999999999999</v>
      </c>
      <c r="AF4002">
        <v>7.3643336132335602</v>
      </c>
      <c r="AG4002">
        <v>-1.1045333544910001</v>
      </c>
      <c r="AH4002">
        <v>19.674074725532002</v>
      </c>
      <c r="AI4002">
        <v>93.009771211141498</v>
      </c>
      <c r="AJ4002">
        <v>69.478288801563707</v>
      </c>
      <c r="AK4002">
        <v>21.0362216142539</v>
      </c>
      <c r="AL4002">
        <v>86.592865890869803</v>
      </c>
      <c r="AM4002">
        <v>82.071107068910493</v>
      </c>
      <c r="AN4002">
        <v>1.0000000396445199</v>
      </c>
    </row>
    <row r="4003" spans="1:40" x14ac:dyDescent="0.25">
      <c r="A4003" t="str">
        <f>"20190312151106334"</f>
        <v>20190312151106334</v>
      </c>
      <c r="B4003" t="str">
        <f>"1552374666325077"</f>
        <v>1552374666325077</v>
      </c>
      <c r="C4003" t="s">
        <v>40</v>
      </c>
      <c r="D4003">
        <v>5.4396519999999997</v>
      </c>
      <c r="E4003">
        <v>0.58420660000000002</v>
      </c>
      <c r="F4003" t="s">
        <v>42</v>
      </c>
      <c r="G4003">
        <v>-237.60400000000001</v>
      </c>
      <c r="H4003" s="1">
        <v>-1.2229739999999999E-6</v>
      </c>
      <c r="I4003">
        <v>138.41669999999999</v>
      </c>
      <c r="J4003">
        <v>-219.97499999999999</v>
      </c>
      <c r="K4003">
        <v>1.1045609999999999</v>
      </c>
      <c r="L4003">
        <v>133.41380000000001</v>
      </c>
      <c r="M4003">
        <v>-0.9968397</v>
      </c>
      <c r="N4003">
        <v>0</v>
      </c>
      <c r="O4003">
        <v>-7.8195840000000003E-2</v>
      </c>
      <c r="P4003">
        <v>-0.99724389999999996</v>
      </c>
      <c r="Q4003">
        <v>4.8111800000000003E-2</v>
      </c>
      <c r="R4003">
        <v>5.6482240000000003E-2</v>
      </c>
      <c r="S4003">
        <v>-2.9745029999999999</v>
      </c>
      <c r="T4003">
        <v>-0.1839414</v>
      </c>
      <c r="U4003">
        <v>0.83155820000000003</v>
      </c>
      <c r="V4003">
        <v>0.13517119999999999</v>
      </c>
      <c r="W4003">
        <v>6.0038029999999999E-2</v>
      </c>
      <c r="X4003">
        <v>0.98900160000000004</v>
      </c>
      <c r="Y4003">
        <v>0.3429798</v>
      </c>
      <c r="Z4003">
        <v>1.51459E-2</v>
      </c>
      <c r="AA4003">
        <v>0.93922070000000002</v>
      </c>
      <c r="AB4003">
        <v>23</v>
      </c>
      <c r="AC4003">
        <v>-17.629000000000001</v>
      </c>
      <c r="AD4003">
        <v>-1.104562222974</v>
      </c>
      <c r="AE4003">
        <v>5.0028999999999799</v>
      </c>
      <c r="AF4003">
        <v>6.3431819247244201</v>
      </c>
      <c r="AG4003">
        <v>-1.104562222974</v>
      </c>
      <c r="AH4003">
        <v>17.1215598290709</v>
      </c>
      <c r="AI4003">
        <v>93.461877108829199</v>
      </c>
      <c r="AJ4003">
        <v>69.671379653282301</v>
      </c>
      <c r="AK4003">
        <v>18.2921793566274</v>
      </c>
      <c r="AL4003">
        <v>86.558004309723501</v>
      </c>
      <c r="AM4003">
        <v>82.217354329095102</v>
      </c>
      <c r="AN4003">
        <v>0.99999999157913999</v>
      </c>
    </row>
    <row r="4004" spans="1:40" x14ac:dyDescent="0.25">
      <c r="A4004" t="str">
        <f>"20190312151106356"</f>
        <v>20190312151106356</v>
      </c>
      <c r="B4004" t="str">
        <f>"1552374666344597"</f>
        <v>1552374666344597</v>
      </c>
      <c r="C4004" t="s">
        <v>40</v>
      </c>
      <c r="D4004">
        <v>5.4797129999999896</v>
      </c>
      <c r="E4004">
        <v>0.58375080000000001</v>
      </c>
      <c r="F4004" t="s">
        <v>42</v>
      </c>
      <c r="G4004">
        <v>-236.09129999999999</v>
      </c>
      <c r="H4004" s="1">
        <v>-1.9419649999999999E-6</v>
      </c>
      <c r="I4004">
        <v>138.02170000000001</v>
      </c>
      <c r="J4004">
        <v>-220.20590000000001</v>
      </c>
      <c r="K4004">
        <v>1.1046069999999999</v>
      </c>
      <c r="L4004">
        <v>133.40639999999999</v>
      </c>
      <c r="M4004">
        <v>-0.99752660000000004</v>
      </c>
      <c r="N4004">
        <v>0</v>
      </c>
      <c r="O4004">
        <v>-6.8882700000000005E-2</v>
      </c>
      <c r="P4004">
        <v>-0.99689850000000002</v>
      </c>
      <c r="Q4004">
        <v>4.8111979999999999E-2</v>
      </c>
      <c r="R4004">
        <v>6.2278269999999997E-2</v>
      </c>
      <c r="S4004">
        <v>-2.9700009999999999</v>
      </c>
      <c r="T4004">
        <v>-0.2035546</v>
      </c>
      <c r="U4004">
        <v>0.84918209999999905</v>
      </c>
      <c r="V4004">
        <v>0.1316736</v>
      </c>
      <c r="W4004">
        <v>6.0101809999999999E-2</v>
      </c>
      <c r="X4004">
        <v>0.9894695</v>
      </c>
      <c r="Y4004">
        <v>0.3395958</v>
      </c>
      <c r="Z4004">
        <v>1.6028290000000001E-2</v>
      </c>
      <c r="AA4004">
        <v>0.94043489999999996</v>
      </c>
      <c r="AB4004">
        <v>23</v>
      </c>
      <c r="AC4004">
        <v>-15.885399999999899</v>
      </c>
      <c r="AD4004">
        <v>-1.10460894196499</v>
      </c>
      <c r="AE4004">
        <v>4.6153000000000102</v>
      </c>
      <c r="AF4004">
        <v>5.6733749047236701</v>
      </c>
      <c r="AG4004">
        <v>-1.10460894196499</v>
      </c>
      <c r="AH4004">
        <v>15.4607777228416</v>
      </c>
      <c r="AI4004">
        <v>93.837232125483396</v>
      </c>
      <c r="AJ4004">
        <v>69.849249094900799</v>
      </c>
      <c r="AK4004">
        <v>16.505847191808499</v>
      </c>
      <c r="AL4004">
        <v>86.554343499382398</v>
      </c>
      <c r="AM4004">
        <v>82.419903049215407</v>
      </c>
      <c r="AN4004">
        <v>1.00000002796624</v>
      </c>
    </row>
    <row r="4005" spans="1:40" x14ac:dyDescent="0.25">
      <c r="A4005" t="str">
        <f>"20190312151106378"</f>
        <v>20190312151106378</v>
      </c>
      <c r="B4005" t="str">
        <f>"1552374666374853"</f>
        <v>1552374666374853</v>
      </c>
      <c r="C4005" t="s">
        <v>40</v>
      </c>
      <c r="D4005">
        <v>5.4828789999999996</v>
      </c>
      <c r="E4005">
        <v>0.58305499999999999</v>
      </c>
      <c r="F4005" t="s">
        <v>42</v>
      </c>
      <c r="G4005">
        <v>-235.12430000000001</v>
      </c>
      <c r="H4005" s="1">
        <v>-2.4055909999999999E-6</v>
      </c>
      <c r="I4005">
        <v>137.7467</v>
      </c>
      <c r="J4005">
        <v>-220.43469999999999</v>
      </c>
      <c r="K4005">
        <v>1.104663</v>
      </c>
      <c r="L4005">
        <v>133.40110000000001</v>
      </c>
      <c r="M4005">
        <v>-0.99811749999999999</v>
      </c>
      <c r="N4005">
        <v>0</v>
      </c>
      <c r="O4005">
        <v>-5.9717390000000002E-2</v>
      </c>
      <c r="P4005">
        <v>-0.996583</v>
      </c>
      <c r="Q4005">
        <v>4.7835740000000002E-2</v>
      </c>
      <c r="R4005">
        <v>6.7336720000000003E-2</v>
      </c>
      <c r="S4005">
        <v>-2.9660190000000002</v>
      </c>
      <c r="T4005">
        <v>-0.2196149</v>
      </c>
      <c r="U4005">
        <v>0.86294559999999998</v>
      </c>
      <c r="V4005">
        <v>0.1275917</v>
      </c>
      <c r="W4005">
        <v>5.9899050000000002E-2</v>
      </c>
      <c r="X4005">
        <v>0.99001640000000002</v>
      </c>
      <c r="Y4005">
        <v>0.33520620000000001</v>
      </c>
      <c r="Z4005">
        <v>1.6476279999999999E-2</v>
      </c>
      <c r="AA4005">
        <v>0.94200070000000002</v>
      </c>
      <c r="AB4005">
        <v>23</v>
      </c>
      <c r="AC4005">
        <v>-14.6896</v>
      </c>
      <c r="AD4005">
        <v>-1.1046654055909999</v>
      </c>
      <c r="AE4005">
        <v>4.3455999999999904</v>
      </c>
      <c r="AF4005">
        <v>5.1881745308008096</v>
      </c>
      <c r="AG4005">
        <v>-1.1046654055909999</v>
      </c>
      <c r="AH4005">
        <v>14.329332388587201</v>
      </c>
      <c r="AI4005">
        <v>94.145906438960694</v>
      </c>
      <c r="AJ4005">
        <v>70.096363668746406</v>
      </c>
      <c r="AK4005">
        <v>15.279633743089899</v>
      </c>
      <c r="AL4005">
        <v>86.565981681060293</v>
      </c>
      <c r="AM4005">
        <v>82.656293545379</v>
      </c>
      <c r="AN4005">
        <v>1.00000000518437</v>
      </c>
    </row>
    <row r="4006" spans="1:40" x14ac:dyDescent="0.25">
      <c r="A4006" t="str">
        <f>"20190312151106401"</f>
        <v>20190312151106401</v>
      </c>
      <c r="B4006" t="str">
        <f>"1552374666395349"</f>
        <v>1552374666395349</v>
      </c>
      <c r="C4006" t="s">
        <v>40</v>
      </c>
      <c r="D4006">
        <v>5.4912609999999997</v>
      </c>
      <c r="E4006">
        <v>0.58251260000000005</v>
      </c>
      <c r="F4006" t="s">
        <v>42</v>
      </c>
      <c r="G4006">
        <v>-234.21039999999999</v>
      </c>
      <c r="H4006" s="1">
        <v>-2.8486300000000001E-6</v>
      </c>
      <c r="I4006">
        <v>137.45949999999999</v>
      </c>
      <c r="J4006">
        <v>-220.66659999999999</v>
      </c>
      <c r="K4006">
        <v>1.10473</v>
      </c>
      <c r="L4006">
        <v>133.398</v>
      </c>
      <c r="M4006">
        <v>-0.99862649999999997</v>
      </c>
      <c r="N4006">
        <v>0</v>
      </c>
      <c r="O4006">
        <v>-5.049824E-2</v>
      </c>
      <c r="P4006">
        <v>-0.99626590000000004</v>
      </c>
      <c r="Q4006">
        <v>4.7225379999999997E-2</v>
      </c>
      <c r="R4006">
        <v>7.2279070000000001E-2</v>
      </c>
      <c r="S4006">
        <v>-2.962723</v>
      </c>
      <c r="T4006">
        <v>-0.23757929999999999</v>
      </c>
      <c r="U4006">
        <v>0.87283330000000003</v>
      </c>
      <c r="V4006">
        <v>0.12334000000000001</v>
      </c>
      <c r="W4006">
        <v>5.9365469999999997E-2</v>
      </c>
      <c r="X4006">
        <v>0.9905872</v>
      </c>
      <c r="Y4006">
        <v>0.32955380000000001</v>
      </c>
      <c r="Z4006">
        <v>1.688456E-2</v>
      </c>
      <c r="AA4006">
        <v>0.94398579999999999</v>
      </c>
      <c r="AB4006">
        <v>23</v>
      </c>
      <c r="AC4006">
        <v>-13.543799999999999</v>
      </c>
      <c r="AD4006">
        <v>-1.1047328486299901</v>
      </c>
      <c r="AE4006">
        <v>4.0614999999999899</v>
      </c>
      <c r="AF4006">
        <v>4.7115611087749096</v>
      </c>
      <c r="AG4006">
        <v>-1.1047328486299901</v>
      </c>
      <c r="AH4006">
        <v>13.240573720470699</v>
      </c>
      <c r="AI4006">
        <v>94.494604398986695</v>
      </c>
      <c r="AJ4006">
        <v>70.412271290871701</v>
      </c>
      <c r="AK4006">
        <v>14.097235019527099</v>
      </c>
      <c r="AL4006">
        <v>86.596608074234197</v>
      </c>
      <c r="AM4006">
        <v>82.902515110628102</v>
      </c>
      <c r="AN4006">
        <v>1.00000000771608</v>
      </c>
    </row>
    <row r="4007" spans="1:40" x14ac:dyDescent="0.25">
      <c r="A4007" t="str">
        <f>"20190312151106422"</f>
        <v>20190312151106422</v>
      </c>
      <c r="B4007" t="str">
        <f>"1552374666414869"</f>
        <v>1552374666414869</v>
      </c>
      <c r="C4007" t="s">
        <v>40</v>
      </c>
      <c r="D4007">
        <v>5.5634329999999999</v>
      </c>
      <c r="E4007">
        <v>0.58162910000000001</v>
      </c>
      <c r="F4007" t="s">
        <v>42</v>
      </c>
      <c r="G4007">
        <v>-233.7261</v>
      </c>
      <c r="H4007" s="1">
        <v>-3.0852210000000001E-6</v>
      </c>
      <c r="I4007">
        <v>137.29689999999999</v>
      </c>
      <c r="J4007">
        <v>-220.89510000000001</v>
      </c>
      <c r="K4007">
        <v>1.1047880000000001</v>
      </c>
      <c r="L4007">
        <v>133.39689999999999</v>
      </c>
      <c r="M4007">
        <v>-0.99904159999999997</v>
      </c>
      <c r="N4007">
        <v>0</v>
      </c>
      <c r="O4007">
        <v>-4.1482369999999998E-2</v>
      </c>
      <c r="P4007">
        <v>-0.99594130000000003</v>
      </c>
      <c r="Q4007">
        <v>4.6989339999999997E-2</v>
      </c>
      <c r="R4007">
        <v>7.6766639999999997E-2</v>
      </c>
      <c r="S4007">
        <v>-2.9590299999999998</v>
      </c>
      <c r="T4007">
        <v>-0.25031209999999998</v>
      </c>
      <c r="U4007">
        <v>0.883438099999999</v>
      </c>
      <c r="V4007">
        <v>0.1188452</v>
      </c>
      <c r="W4007">
        <v>5.9206960000000003E-2</v>
      </c>
      <c r="X4007">
        <v>0.99114599999999997</v>
      </c>
      <c r="Y4007">
        <v>0.32438139999999999</v>
      </c>
      <c r="Z4007">
        <v>1.6838120000000002E-2</v>
      </c>
      <c r="AA4007">
        <v>0.94577650000000002</v>
      </c>
      <c r="AB4007">
        <v>23</v>
      </c>
      <c r="AC4007">
        <v>-12.8309999999999</v>
      </c>
      <c r="AD4007">
        <v>-1.1047910852209999</v>
      </c>
      <c r="AE4007">
        <v>3.9</v>
      </c>
      <c r="AF4007">
        <v>4.3990989182587397</v>
      </c>
      <c r="AG4007">
        <v>-1.1047910852209999</v>
      </c>
      <c r="AH4007">
        <v>12.572827489446</v>
      </c>
      <c r="AI4007">
        <v>94.741314114641497</v>
      </c>
      <c r="AJ4007">
        <v>70.715599934684306</v>
      </c>
      <c r="AK4007">
        <v>13.365950236102901</v>
      </c>
      <c r="AL4007">
        <v>86.6057060712903</v>
      </c>
      <c r="AM4007">
        <v>83.1624876847346</v>
      </c>
      <c r="AN4007">
        <v>1.0000000194957399</v>
      </c>
    </row>
    <row r="4008" spans="1:40" x14ac:dyDescent="0.25">
      <c r="A4008" t="str">
        <f>"20190312151106447"</f>
        <v>20190312151106447</v>
      </c>
      <c r="B4008" t="str">
        <f>"1552374666435365"</f>
        <v>1552374666435365</v>
      </c>
      <c r="C4008" t="s">
        <v>40</v>
      </c>
      <c r="D4008">
        <v>5.5861289999999997</v>
      </c>
      <c r="E4008">
        <v>0.58095369999999902</v>
      </c>
      <c r="F4008" t="s">
        <v>42</v>
      </c>
      <c r="G4008">
        <v>-233.76009999999999</v>
      </c>
      <c r="H4008" s="1">
        <v>-3.0757020000000001E-6</v>
      </c>
      <c r="I4008">
        <v>137.26830000000001</v>
      </c>
      <c r="J4008">
        <v>-221.14019999999999</v>
      </c>
      <c r="K4008">
        <v>1.1048480000000001</v>
      </c>
      <c r="L4008">
        <v>133.39789999999999</v>
      </c>
      <c r="M4008">
        <v>-0.999394</v>
      </c>
      <c r="N4008">
        <v>0</v>
      </c>
      <c r="O4008">
        <v>-3.1889559999999997E-2</v>
      </c>
      <c r="P4008">
        <v>-0.99551719999999999</v>
      </c>
      <c r="Q4008">
        <v>4.7295860000000002E-2</v>
      </c>
      <c r="R4008">
        <v>8.1908019999999998E-2</v>
      </c>
      <c r="S4008">
        <v>-2.9556429999999998</v>
      </c>
      <c r="T4008">
        <v>-0.25381819999999999</v>
      </c>
      <c r="U4008">
        <v>0.88945010000000002</v>
      </c>
      <c r="V4008">
        <v>0.1144375</v>
      </c>
      <c r="W4008">
        <v>5.9587750000000002E-2</v>
      </c>
      <c r="X4008">
        <v>0.99164180000000002</v>
      </c>
      <c r="Y4008">
        <v>0.31737880000000002</v>
      </c>
      <c r="Z4008">
        <v>1.598697E-2</v>
      </c>
      <c r="AA4008">
        <v>0.94816409999999995</v>
      </c>
      <c r="AB4008">
        <v>23</v>
      </c>
      <c r="AC4008">
        <v>-12.619899999999999</v>
      </c>
      <c r="AD4008">
        <v>-1.104851075702</v>
      </c>
      <c r="AE4008">
        <v>3.8704000000000098</v>
      </c>
      <c r="AF4008">
        <v>4.2412005526601604</v>
      </c>
      <c r="AG4008">
        <v>-1.104851075702</v>
      </c>
      <c r="AH4008">
        <v>12.4031494534341</v>
      </c>
      <c r="AI4008">
        <v>94.817888765289396</v>
      </c>
      <c r="AJ4008">
        <v>71.122110148081205</v>
      </c>
      <c r="AK4008">
        <v>13.154717571715</v>
      </c>
      <c r="AL4008">
        <v>86.583849928521403</v>
      </c>
      <c r="AM4008">
        <v>83.417069346844599</v>
      </c>
      <c r="AN4008">
        <v>1.0000000504317701</v>
      </c>
    </row>
    <row r="4009" spans="1:40" x14ac:dyDescent="0.25">
      <c r="A4009" t="str">
        <f>"20190312151106468"</f>
        <v>20190312151106468</v>
      </c>
      <c r="B4009" t="str">
        <f>"1552374666464645"</f>
        <v>1552374666464645</v>
      </c>
      <c r="C4009" t="s">
        <v>40</v>
      </c>
      <c r="D4009">
        <v>5.5271229999999996</v>
      </c>
      <c r="E4009">
        <v>0.57953789999999905</v>
      </c>
      <c r="F4009" t="s">
        <v>42</v>
      </c>
      <c r="G4009">
        <v>-234.67660000000001</v>
      </c>
      <c r="H4009" s="1">
        <v>-2.6380870000000001E-6</v>
      </c>
      <c r="I4009">
        <v>137.5188</v>
      </c>
      <c r="J4009">
        <v>-221.36250000000001</v>
      </c>
      <c r="K4009">
        <v>1.10491299999999</v>
      </c>
      <c r="L4009">
        <v>133.4007</v>
      </c>
      <c r="M4009">
        <v>-0.99963179999999996</v>
      </c>
      <c r="N4009">
        <v>0</v>
      </c>
      <c r="O4009">
        <v>-2.3275859999999999E-2</v>
      </c>
      <c r="P4009">
        <v>-0.99516899999999997</v>
      </c>
      <c r="Q4009">
        <v>4.7195130000000002E-2</v>
      </c>
      <c r="R4009">
        <v>8.6089959999999993E-2</v>
      </c>
      <c r="S4009">
        <v>-2.9510350000000001</v>
      </c>
      <c r="T4009">
        <v>-0.24086589999999999</v>
      </c>
      <c r="U4009">
        <v>0.89839169999999902</v>
      </c>
      <c r="V4009">
        <v>0.1100434</v>
      </c>
      <c r="W4009">
        <v>5.9558710000000001E-2</v>
      </c>
      <c r="X4009">
        <v>0.99214069999999999</v>
      </c>
      <c r="Y4009">
        <v>0.31240259999999997</v>
      </c>
      <c r="Z4009">
        <v>1.4303949999999999E-2</v>
      </c>
      <c r="AA4009">
        <v>0.94984210000000002</v>
      </c>
      <c r="AB4009">
        <v>23</v>
      </c>
      <c r="AC4009">
        <v>-13.3140999999999</v>
      </c>
      <c r="AD4009">
        <v>-1.10491563808699</v>
      </c>
      <c r="AE4009">
        <v>4.1180999999999903</v>
      </c>
      <c r="AF4009">
        <v>4.3992588500572802</v>
      </c>
      <c r="AG4009">
        <v>-1.10491563808699</v>
      </c>
      <c r="AH4009">
        <v>13.1320859341327</v>
      </c>
      <c r="AI4009">
        <v>94.5614478548882</v>
      </c>
      <c r="AJ4009">
        <v>71.479111050833794</v>
      </c>
      <c r="AK4009">
        <v>13.8933796456637</v>
      </c>
      <c r="AL4009">
        <v>86.585516514788296</v>
      </c>
      <c r="AM4009">
        <v>83.670901285062598</v>
      </c>
      <c r="AN4009">
        <v>0.99999997920845596</v>
      </c>
    </row>
    <row r="4010" spans="1:40" x14ac:dyDescent="0.25">
      <c r="A4010" t="str">
        <f>"20190312151106490"</f>
        <v>20190312151106490</v>
      </c>
      <c r="B4010" t="str">
        <f>"1552374666485141"</f>
        <v>1552374666485141</v>
      </c>
      <c r="C4010" t="s">
        <v>40</v>
      </c>
      <c r="D4010">
        <v>5.4861909999999998</v>
      </c>
      <c r="E4010">
        <v>0.57911999999999997</v>
      </c>
      <c r="F4010" t="s">
        <v>42</v>
      </c>
      <c r="G4010">
        <v>-235.72040000000001</v>
      </c>
      <c r="H4010" s="1">
        <v>-2.1441259999999998E-6</v>
      </c>
      <c r="I4010">
        <v>137.7792</v>
      </c>
      <c r="J4010">
        <v>-221.60120000000001</v>
      </c>
      <c r="K4010">
        <v>1.104986</v>
      </c>
      <c r="L4010">
        <v>133.4058</v>
      </c>
      <c r="M4010">
        <v>-0.99980309999999994</v>
      </c>
      <c r="N4010">
        <v>0</v>
      </c>
      <c r="O4010">
        <v>-1.413303E-2</v>
      </c>
      <c r="P4010">
        <v>-0.9947838</v>
      </c>
      <c r="Q4010">
        <v>4.7345320000000003E-2</v>
      </c>
      <c r="R4010">
        <v>9.0352740000000001E-2</v>
      </c>
      <c r="S4010">
        <v>-2.9475560000000001</v>
      </c>
      <c r="T4010">
        <v>-0.22683120000000001</v>
      </c>
      <c r="U4010">
        <v>0.89887999999999901</v>
      </c>
      <c r="V4010">
        <v>0.1052066</v>
      </c>
      <c r="W4010">
        <v>5.9786230000000003E-2</v>
      </c>
      <c r="X4010">
        <v>0.99265159999999997</v>
      </c>
      <c r="Y4010">
        <v>0.30432360000000003</v>
      </c>
      <c r="Z4010">
        <v>1.2496230000000001E-2</v>
      </c>
      <c r="AA4010">
        <v>0.95248679999999997</v>
      </c>
      <c r="AB4010">
        <v>23</v>
      </c>
      <c r="AC4010">
        <v>-14.119199999999999</v>
      </c>
      <c r="AD4010">
        <v>-1.1049881441259899</v>
      </c>
      <c r="AE4010">
        <v>4.3734000000000002</v>
      </c>
      <c r="AF4010">
        <v>4.5471173219733902</v>
      </c>
      <c r="AG4010">
        <v>-1.1049881441259899</v>
      </c>
      <c r="AH4010">
        <v>13.977856859067201</v>
      </c>
      <c r="AI4010">
        <v>94.299126376893696</v>
      </c>
      <c r="AJ4010">
        <v>71.979846529719495</v>
      </c>
      <c r="AK4010">
        <v>14.7403445384096</v>
      </c>
      <c r="AL4010">
        <v>86.5724574146804</v>
      </c>
      <c r="AM4010">
        <v>83.950067878061901</v>
      </c>
      <c r="AN4010">
        <v>1.00000001048186</v>
      </c>
    </row>
    <row r="4011" spans="1:40" x14ac:dyDescent="0.25">
      <c r="A4011" t="str">
        <f>"20190312151106513"</f>
        <v>20190312151106513</v>
      </c>
      <c r="B4011" t="str">
        <f>"1552374666504661"</f>
        <v>1552374666504661</v>
      </c>
      <c r="C4011" t="s">
        <v>40</v>
      </c>
      <c r="D4011">
        <v>5.4770450000000004</v>
      </c>
      <c r="E4011">
        <v>0.57862040000000003</v>
      </c>
      <c r="F4011" t="s">
        <v>42</v>
      </c>
      <c r="G4011">
        <v>-235.44370000000001</v>
      </c>
      <c r="H4011" s="1">
        <v>-2.2808700000000001E-6</v>
      </c>
      <c r="I4011">
        <v>137.6773</v>
      </c>
      <c r="J4011">
        <v>-221.8322</v>
      </c>
      <c r="K4011">
        <v>1.105067</v>
      </c>
      <c r="L4011">
        <v>133.4126</v>
      </c>
      <c r="M4011">
        <v>-0.99988869999999996</v>
      </c>
      <c r="N4011">
        <v>0</v>
      </c>
      <c r="O4011">
        <v>-5.3909179999999998E-3</v>
      </c>
      <c r="P4011">
        <v>-0.99443389999999998</v>
      </c>
      <c r="Q4011">
        <v>4.7630310000000002E-2</v>
      </c>
      <c r="R4011">
        <v>9.3981220000000004E-2</v>
      </c>
      <c r="S4011">
        <v>-2.9443969999999999</v>
      </c>
      <c r="T4011">
        <v>-0.23503779999999999</v>
      </c>
      <c r="U4011">
        <v>0.90859990000000002</v>
      </c>
      <c r="V4011">
        <v>0.1001348</v>
      </c>
      <c r="W4011">
        <v>6.0150839999999997E-2</v>
      </c>
      <c r="X4011">
        <v>0.99315399999999998</v>
      </c>
      <c r="Y4011">
        <v>0.29912850000000002</v>
      </c>
      <c r="Z4011">
        <v>1.2070330000000001E-2</v>
      </c>
      <c r="AA4011">
        <v>0.95413650000000005</v>
      </c>
      <c r="AB4011">
        <v>23</v>
      </c>
      <c r="AC4011">
        <v>-13.611499999999999</v>
      </c>
      <c r="AD4011">
        <v>-1.10506928087</v>
      </c>
      <c r="AE4011">
        <v>4.2647000000000004</v>
      </c>
      <c r="AF4011">
        <v>4.3121419616817001</v>
      </c>
      <c r="AG4011">
        <v>-1.10506928087</v>
      </c>
      <c r="AH4011">
        <v>13.507238349233701</v>
      </c>
      <c r="AI4011">
        <v>94.456498873454507</v>
      </c>
      <c r="AJ4011">
        <v>72.294486035255403</v>
      </c>
      <c r="AK4011">
        <v>14.221857622555101</v>
      </c>
      <c r="AL4011">
        <v>86.551529046371101</v>
      </c>
      <c r="AM4011">
        <v>84.242606948998301</v>
      </c>
      <c r="AN4011">
        <v>0.99999998471987195</v>
      </c>
    </row>
    <row r="4012" spans="1:40" x14ac:dyDescent="0.25">
      <c r="A4012" t="str">
        <f>"20190312151106537"</f>
        <v>20190312151106537</v>
      </c>
      <c r="B4012" t="str">
        <f>"1552374666525157"</f>
        <v>1552374666525157</v>
      </c>
      <c r="C4012" t="s">
        <v>40</v>
      </c>
      <c r="D4012">
        <v>5.6014160000000004</v>
      </c>
      <c r="E4012">
        <v>0.57837729999999998</v>
      </c>
      <c r="F4012" t="s">
        <v>42</v>
      </c>
      <c r="G4012">
        <v>-235.21629999999999</v>
      </c>
      <c r="H4012" s="1">
        <v>-2.396124E-6</v>
      </c>
      <c r="I4012">
        <v>137.57769999999999</v>
      </c>
      <c r="J4012">
        <v>-222.0702</v>
      </c>
      <c r="K4012">
        <v>1.1051679999999999</v>
      </c>
      <c r="L4012">
        <v>133.42150000000001</v>
      </c>
      <c r="M4012">
        <v>-0.99989740000000005</v>
      </c>
      <c r="N4012">
        <v>0</v>
      </c>
      <c r="O4012">
        <v>3.4913230000000002E-3</v>
      </c>
      <c r="P4012">
        <v>-0.99399729999999997</v>
      </c>
      <c r="Q4012">
        <v>4.8632549999999997E-2</v>
      </c>
      <c r="R4012">
        <v>9.8002220000000001E-2</v>
      </c>
      <c r="S4012">
        <v>-2.94191</v>
      </c>
      <c r="T4012">
        <v>-0.24290300000000001</v>
      </c>
      <c r="U4012">
        <v>0.91554259999999998</v>
      </c>
      <c r="V4012">
        <v>9.5323409999999997E-2</v>
      </c>
      <c r="W4012">
        <v>6.1226500000000003E-2</v>
      </c>
      <c r="X4012">
        <v>0.99356169999999999</v>
      </c>
      <c r="Y4012">
        <v>0.29291640000000002</v>
      </c>
      <c r="Z4012">
        <v>1.1513249999999999E-2</v>
      </c>
      <c r="AA4012">
        <v>0.95606880000000005</v>
      </c>
      <c r="AB4012">
        <v>23</v>
      </c>
      <c r="AC4012">
        <v>-13.146099999999899</v>
      </c>
      <c r="AD4012">
        <v>-1.105170396124</v>
      </c>
      <c r="AE4012">
        <v>4.1561999999999797</v>
      </c>
      <c r="AF4012">
        <v>4.0840320160474102</v>
      </c>
      <c r="AG4012">
        <v>-1.105170396124</v>
      </c>
      <c r="AH4012">
        <v>13.076512007612701</v>
      </c>
      <c r="AI4012">
        <v>94.612217348869706</v>
      </c>
      <c r="AJ4012">
        <v>72.655468204506505</v>
      </c>
      <c r="AK4012">
        <v>13.743939951768199</v>
      </c>
      <c r="AL4012">
        <v>86.489784662350601</v>
      </c>
      <c r="AM4012">
        <v>84.519753044895594</v>
      </c>
      <c r="AN4012">
        <v>1.00000004425158</v>
      </c>
    </row>
    <row r="4013" spans="1:40" x14ac:dyDescent="0.25">
      <c r="A4013" t="str">
        <f>"20190312151106559"</f>
        <v>20190312151106559</v>
      </c>
      <c r="B4013" t="str">
        <f>"1552374666555413"</f>
        <v>1552374666555413</v>
      </c>
      <c r="C4013" t="s">
        <v>40</v>
      </c>
      <c r="D4013">
        <v>5.5037129999999896</v>
      </c>
      <c r="E4013">
        <v>0.56782060000000001</v>
      </c>
      <c r="F4013" t="s">
        <v>42</v>
      </c>
      <c r="G4013">
        <v>-235.3441</v>
      </c>
      <c r="H4013" s="1">
        <v>-2.3372810000000002E-6</v>
      </c>
      <c r="I4013">
        <v>137.6003</v>
      </c>
      <c r="J4013">
        <v>-222.29599999999999</v>
      </c>
      <c r="K4013">
        <v>1.1052660000000001</v>
      </c>
      <c r="L4013">
        <v>133.43190000000001</v>
      </c>
      <c r="M4013">
        <v>-0.99983440000000001</v>
      </c>
      <c r="N4013">
        <v>0</v>
      </c>
      <c r="O4013">
        <v>1.1787600000000001E-2</v>
      </c>
      <c r="P4013">
        <v>-0.99365650000000005</v>
      </c>
      <c r="Q4013">
        <v>4.9185430000000002E-2</v>
      </c>
      <c r="R4013">
        <v>0.1011338</v>
      </c>
      <c r="S4013">
        <v>-2.9388890000000001</v>
      </c>
      <c r="T4013">
        <v>-0.24468909999999999</v>
      </c>
      <c r="U4013">
        <v>0.92520139999999995</v>
      </c>
      <c r="V4013">
        <v>9.0197659999999999E-2</v>
      </c>
      <c r="W4013">
        <v>6.1855680000000003E-2</v>
      </c>
      <c r="X4013">
        <v>0.99400120000000003</v>
      </c>
      <c r="Y4013">
        <v>0.28814980000000001</v>
      </c>
      <c r="Z4013">
        <v>1.073702E-2</v>
      </c>
      <c r="AA4013">
        <v>0.95752510000000002</v>
      </c>
      <c r="AB4013">
        <v>23</v>
      </c>
      <c r="AC4013">
        <v>-13.0481</v>
      </c>
      <c r="AD4013">
        <v>-1.1052683372809999</v>
      </c>
      <c r="AE4013">
        <v>4.1683999999999903</v>
      </c>
      <c r="AF4013">
        <v>3.9883224604594099</v>
      </c>
      <c r="AG4013">
        <v>-1.1052683372809999</v>
      </c>
      <c r="AH4013">
        <v>13.0116169525568</v>
      </c>
      <c r="AI4013">
        <v>94.643092220383394</v>
      </c>
      <c r="AJ4013">
        <v>72.958643797203493</v>
      </c>
      <c r="AK4013">
        <v>13.6539558321412</v>
      </c>
      <c r="AL4013">
        <v>86.453666916528505</v>
      </c>
      <c r="AM4013">
        <v>84.815066189174601</v>
      </c>
      <c r="AN4013">
        <v>1.0000000643095801</v>
      </c>
    </row>
    <row r="4014" spans="1:40" x14ac:dyDescent="0.25">
      <c r="A4014" t="str">
        <f>"20190312151106580"</f>
        <v>20190312151106580</v>
      </c>
      <c r="B4014" t="str">
        <f>"1552374666574933"</f>
        <v>1552374666574933</v>
      </c>
      <c r="C4014" t="s">
        <v>40</v>
      </c>
      <c r="D4014">
        <v>5.4382070000000002</v>
      </c>
      <c r="E4014">
        <v>0.54195000000000004</v>
      </c>
      <c r="F4014" t="s">
        <v>42</v>
      </c>
      <c r="G4014">
        <v>-231.00020000000001</v>
      </c>
      <c r="H4014" s="1">
        <v>-4.4934580000000004E-6</v>
      </c>
      <c r="I4014">
        <v>135.9504</v>
      </c>
      <c r="J4014">
        <v>-222.51740000000001</v>
      </c>
      <c r="K4014">
        <v>1.1053729999999999</v>
      </c>
      <c r="L4014">
        <v>133.44380000000001</v>
      </c>
      <c r="M4014">
        <v>-0.99970809999999999</v>
      </c>
      <c r="N4014">
        <v>0</v>
      </c>
      <c r="O4014">
        <v>1.9789790000000002E-2</v>
      </c>
      <c r="P4014">
        <v>-0.99343250000000005</v>
      </c>
      <c r="Q4014">
        <v>4.9794690000000003E-2</v>
      </c>
      <c r="R4014">
        <v>0.1030184</v>
      </c>
      <c r="S4014">
        <v>-2.950806</v>
      </c>
      <c r="T4014">
        <v>-0.37469740000000001</v>
      </c>
      <c r="U4014">
        <v>0.85380549999999999</v>
      </c>
      <c r="V4014">
        <v>8.4114019999999998E-2</v>
      </c>
      <c r="W4014">
        <v>6.2550999999999995E-2</v>
      </c>
      <c r="X4014">
        <v>0.99449089999999996</v>
      </c>
      <c r="Y4014">
        <v>0.25712259999999998</v>
      </c>
      <c r="Z4014">
        <v>1.3485E-2</v>
      </c>
      <c r="AA4014">
        <v>0.9662847</v>
      </c>
      <c r="AB4014">
        <v>23</v>
      </c>
      <c r="AC4014">
        <v>-8.4827999999999903</v>
      </c>
      <c r="AD4014">
        <v>-1.1053774934579901</v>
      </c>
      <c r="AE4014">
        <v>2.5065999999999899</v>
      </c>
      <c r="AF4014">
        <v>2.30226643379121</v>
      </c>
      <c r="AG4014">
        <v>-1.1053774934579901</v>
      </c>
      <c r="AH4014">
        <v>8.3995752700883095</v>
      </c>
      <c r="AI4014">
        <v>97.233196143370904</v>
      </c>
      <c r="AJ4014">
        <v>74.672063040683298</v>
      </c>
      <c r="AK4014">
        <v>8.7792456881604792</v>
      </c>
      <c r="AL4014">
        <v>86.4137503914191</v>
      </c>
      <c r="AM4014">
        <v>85.165430699431397</v>
      </c>
      <c r="AN4014">
        <v>0.99999997307218402</v>
      </c>
    </row>
    <row r="4015" spans="1:40" x14ac:dyDescent="0.25">
      <c r="A4015" t="str">
        <f>"20190312151106602"</f>
        <v>20190312151106602</v>
      </c>
      <c r="B4015" t="str">
        <f>"1552374666595429"</f>
        <v>1552374666595429</v>
      </c>
      <c r="C4015" t="s">
        <v>40</v>
      </c>
      <c r="D4015">
        <v>5.3172540000000001</v>
      </c>
      <c r="E4015">
        <v>0.52596419999999999</v>
      </c>
      <c r="F4015" t="s">
        <v>42</v>
      </c>
      <c r="G4015">
        <v>-249.78829999999999</v>
      </c>
      <c r="H4015" s="1">
        <v>-1.1055070000000001E-7</v>
      </c>
      <c r="I4015">
        <v>139.41909999999999</v>
      </c>
      <c r="J4015">
        <v>-222.73779999999999</v>
      </c>
      <c r="K4015">
        <v>1.105467</v>
      </c>
      <c r="L4015">
        <v>133.4573</v>
      </c>
      <c r="M4015">
        <v>-0.99952209999999997</v>
      </c>
      <c r="N4015">
        <v>0</v>
      </c>
      <c r="O4015">
        <v>2.7642699999999999E-2</v>
      </c>
      <c r="P4015">
        <v>-0.99314789999999997</v>
      </c>
      <c r="Q4015">
        <v>5.1114979999999997E-2</v>
      </c>
      <c r="R4015">
        <v>0.10509309999999999</v>
      </c>
      <c r="S4015">
        <v>-2.958618</v>
      </c>
      <c r="T4015">
        <v>-0.119922</v>
      </c>
      <c r="U4015">
        <v>0.64826969999999995</v>
      </c>
      <c r="V4015">
        <v>7.8376550000000003E-2</v>
      </c>
      <c r="W4015">
        <v>6.3946279999999994E-2</v>
      </c>
      <c r="X4015">
        <v>0.99487080000000006</v>
      </c>
      <c r="Y4015">
        <v>0.18682360000000001</v>
      </c>
      <c r="Z4015">
        <v>2.6343590000000002E-3</v>
      </c>
      <c r="AA4015">
        <v>0.98238990000000004</v>
      </c>
      <c r="AB4015">
        <v>23</v>
      </c>
      <c r="AC4015">
        <v>-27.0505</v>
      </c>
      <c r="AD4015">
        <v>-1.1054671105506999</v>
      </c>
      <c r="AE4015">
        <v>5.9617999999999798</v>
      </c>
      <c r="AF4015">
        <v>5.2034132919618701</v>
      </c>
      <c r="AG4015">
        <v>-1.1054671105506999</v>
      </c>
      <c r="AH4015">
        <v>27.161715913811701</v>
      </c>
      <c r="AI4015">
        <v>92.289041298231496</v>
      </c>
      <c r="AJ4015">
        <v>79.155149544778894</v>
      </c>
      <c r="AK4015">
        <v>27.677723511916302</v>
      </c>
      <c r="AL4015">
        <v>86.333646293320399</v>
      </c>
      <c r="AM4015">
        <v>85.495505807341601</v>
      </c>
      <c r="AN4015">
        <v>0.99999995950418896</v>
      </c>
    </row>
    <row r="4016" spans="1:40" x14ac:dyDescent="0.25">
      <c r="A4016" t="str">
        <f>"20190312151106623"</f>
        <v>20190312151106623</v>
      </c>
      <c r="B4016" t="str">
        <f>"1552374666614949"</f>
        <v>1552374666614949</v>
      </c>
      <c r="C4016" t="s">
        <v>40</v>
      </c>
      <c r="D4016">
        <v>5.469373</v>
      </c>
      <c r="E4016">
        <v>0.51912000000000003</v>
      </c>
      <c r="F4016" t="s">
        <v>79</v>
      </c>
      <c r="G4016">
        <v>-300.5419</v>
      </c>
      <c r="H4016" s="1">
        <v>-1.016522E-5</v>
      </c>
      <c r="I4016">
        <v>147.24279999999999</v>
      </c>
      <c r="J4016">
        <v>-222.9607</v>
      </c>
      <c r="K4016">
        <v>1.105551</v>
      </c>
      <c r="L4016">
        <v>133.4726</v>
      </c>
      <c r="M4016">
        <v>-0.99927529999999998</v>
      </c>
      <c r="N4016">
        <v>0</v>
      </c>
      <c r="O4016">
        <v>3.5467810000000002E-2</v>
      </c>
      <c r="P4016">
        <v>-0.99283359999999998</v>
      </c>
      <c r="Q4016">
        <v>5.1379660000000001E-2</v>
      </c>
      <c r="R4016">
        <v>0.1078979</v>
      </c>
      <c r="S4016">
        <v>-2.9672390000000002</v>
      </c>
      <c r="T4016">
        <v>-4.2159910000000002E-2</v>
      </c>
      <c r="U4016">
        <v>0.52574160000000003</v>
      </c>
      <c r="V4016">
        <v>7.3382439999999993E-2</v>
      </c>
      <c r="W4016">
        <v>6.4274150000000002E-2</v>
      </c>
      <c r="X4016">
        <v>0.99523059999999997</v>
      </c>
      <c r="Y4016">
        <v>0.1394175</v>
      </c>
      <c r="Z4016">
        <v>4.831484E-4</v>
      </c>
      <c r="AA4016">
        <v>0.99023349999999999</v>
      </c>
      <c r="AB4016">
        <v>23</v>
      </c>
      <c r="AC4016">
        <v>-77.581199999999995</v>
      </c>
      <c r="AD4016">
        <v>-1.1055611652199999</v>
      </c>
      <c r="AE4016">
        <v>13.7701999999999</v>
      </c>
      <c r="AF4016">
        <v>11.007469395109499</v>
      </c>
      <c r="AG4016">
        <v>-1.1055611652199999</v>
      </c>
      <c r="AH4016">
        <v>78.005466537364001</v>
      </c>
      <c r="AI4016">
        <v>90.804026589702204</v>
      </c>
      <c r="AJ4016">
        <v>81.967938396497999</v>
      </c>
      <c r="AK4016">
        <v>78.786035930779803</v>
      </c>
      <c r="AL4016">
        <v>86.314822326999405</v>
      </c>
      <c r="AM4016">
        <v>85.782978042504595</v>
      </c>
      <c r="AN4016">
        <v>1.00000004801746</v>
      </c>
    </row>
    <row r="4017" spans="1:40" x14ac:dyDescent="0.25">
      <c r="A4017" t="str">
        <f>"20190312151106646"</f>
        <v>20190312151106646</v>
      </c>
      <c r="B4017" t="str">
        <f>"1552374666635449"</f>
        <v>1552374666635449</v>
      </c>
      <c r="C4017" t="s">
        <v>40</v>
      </c>
      <c r="D4017">
        <v>5.4659129999999996</v>
      </c>
      <c r="E4017">
        <v>0.51532889999999998</v>
      </c>
      <c r="F4017" t="s">
        <v>42</v>
      </c>
      <c r="G4017">
        <v>-323.1259</v>
      </c>
      <c r="H4017">
        <v>7.0107210000000003E-2</v>
      </c>
      <c r="I4017">
        <v>149.63650000000001</v>
      </c>
      <c r="J4017">
        <v>-223.19120000000001</v>
      </c>
      <c r="K4017">
        <v>1.1056330000000001</v>
      </c>
      <c r="L4017">
        <v>133.49010000000001</v>
      </c>
      <c r="M4017">
        <v>-0.99896119999999999</v>
      </c>
      <c r="N4017">
        <v>0</v>
      </c>
      <c r="O4017">
        <v>4.3427809999999997E-2</v>
      </c>
      <c r="P4017">
        <v>-0.99250119999999997</v>
      </c>
      <c r="Q4017">
        <v>5.1304280000000001E-2</v>
      </c>
      <c r="R4017">
        <v>0.11094759999999999</v>
      </c>
      <c r="S4017">
        <v>-2.97113</v>
      </c>
      <c r="T4017">
        <v>-3.071368E-2</v>
      </c>
      <c r="U4017">
        <v>0.47946169999999999</v>
      </c>
      <c r="V4017">
        <v>6.8491570000000002E-2</v>
      </c>
      <c r="W4017">
        <v>6.4257019999999998E-2</v>
      </c>
      <c r="X4017">
        <v>0.99558020000000003</v>
      </c>
      <c r="Y4017">
        <v>0.1162811</v>
      </c>
      <c r="Z4017">
        <v>1.5155999999999999E-4</v>
      </c>
      <c r="AA4017">
        <v>0.99321630000000005</v>
      </c>
      <c r="AB4017">
        <v>23</v>
      </c>
      <c r="AC4017">
        <v>-99.934700000000007</v>
      </c>
      <c r="AD4017">
        <v>-1.0355257899999999</v>
      </c>
      <c r="AE4017">
        <v>16.1464</v>
      </c>
      <c r="AF4017">
        <v>11.789571695623</v>
      </c>
      <c r="AG4017">
        <v>-1.0355257899999999</v>
      </c>
      <c r="AH4017">
        <v>100.531150423805</v>
      </c>
      <c r="AI4017">
        <v>90.586140446665894</v>
      </c>
      <c r="AJ4017">
        <v>83.311313581732094</v>
      </c>
      <c r="AK4017">
        <v>101.22538476074899</v>
      </c>
      <c r="AL4017">
        <v>86.315805649279298</v>
      </c>
      <c r="AM4017">
        <v>86.064501460931496</v>
      </c>
      <c r="AN4017">
        <v>0.99999999720619204</v>
      </c>
    </row>
    <row r="4018" spans="1:40" x14ac:dyDescent="0.25">
      <c r="A4018" t="str">
        <f>"20190312151106670"</f>
        <v>20190312151106670</v>
      </c>
      <c r="B4018" t="str">
        <f>"1552374666664725"</f>
        <v>1552374666664725</v>
      </c>
      <c r="C4018" t="s">
        <v>40</v>
      </c>
      <c r="D4018">
        <v>5.48339</v>
      </c>
      <c r="E4018">
        <v>0.51244599999999996</v>
      </c>
      <c r="F4018" t="s">
        <v>42</v>
      </c>
      <c r="G4018">
        <v>-351.5016</v>
      </c>
      <c r="H4018">
        <v>7.9985979999999998E-2</v>
      </c>
      <c r="I4018">
        <v>153.28290000000001</v>
      </c>
      <c r="J4018">
        <v>-223.43360000000001</v>
      </c>
      <c r="K4018">
        <v>1.1057319999999999</v>
      </c>
      <c r="L4018">
        <v>133.5103</v>
      </c>
      <c r="M4018">
        <v>-0.99857019999999996</v>
      </c>
      <c r="N4018">
        <v>0</v>
      </c>
      <c r="O4018">
        <v>5.1650590000000003E-2</v>
      </c>
      <c r="P4018">
        <v>-0.99217500000000003</v>
      </c>
      <c r="Q4018">
        <v>5.1831710000000003E-2</v>
      </c>
      <c r="R4018">
        <v>0.1135877</v>
      </c>
      <c r="S4018">
        <v>-2.9726720000000002</v>
      </c>
      <c r="T4018">
        <v>-2.376199E-2</v>
      </c>
      <c r="U4018">
        <v>0.4585571</v>
      </c>
      <c r="V4018">
        <v>6.2929940000000004E-2</v>
      </c>
      <c r="W4018">
        <v>6.4848489999999995E-2</v>
      </c>
      <c r="X4018">
        <v>0.99590889999999999</v>
      </c>
      <c r="Y4018">
        <v>0.1011977</v>
      </c>
      <c r="Z4018" s="1">
        <v>-7.8539309999999993E-6</v>
      </c>
      <c r="AA4018">
        <v>0.99486629999999998</v>
      </c>
      <c r="AB4018">
        <v>23</v>
      </c>
      <c r="AC4018">
        <v>-128.06799999999899</v>
      </c>
      <c r="AD4018">
        <v>-1.0257460199999999</v>
      </c>
      <c r="AE4018">
        <v>19.772600000000001</v>
      </c>
      <c r="AF4018">
        <v>13.1299646842219</v>
      </c>
      <c r="AG4018">
        <v>-1.0257460199999999</v>
      </c>
      <c r="AH4018">
        <v>128.91031087586899</v>
      </c>
      <c r="AI4018">
        <v>90.453549441295195</v>
      </c>
      <c r="AJ4018">
        <v>84.184280740395096</v>
      </c>
      <c r="AK4018">
        <v>129.58131183785599</v>
      </c>
      <c r="AL4018">
        <v>86.281846171290496</v>
      </c>
      <c r="AM4018">
        <v>86.384375503989304</v>
      </c>
      <c r="AN4018">
        <v>1.0000000205514401</v>
      </c>
    </row>
    <row r="4019" spans="1:40" x14ac:dyDescent="0.25">
      <c r="A4019" t="str">
        <f>"20190312151106692"</f>
        <v>20190312151106692</v>
      </c>
      <c r="B4019" t="str">
        <f>"1552374666685221"</f>
        <v>1552374666685221</v>
      </c>
      <c r="C4019" t="s">
        <v>40</v>
      </c>
      <c r="D4019">
        <v>5.3735179999999998</v>
      </c>
      <c r="E4019">
        <v>0.51187680000000002</v>
      </c>
      <c r="F4019" t="s">
        <v>43</v>
      </c>
      <c r="G4019">
        <v>-469.42230000000001</v>
      </c>
      <c r="H4019">
        <v>-0.05</v>
      </c>
      <c r="I4019">
        <v>170.21979999999999</v>
      </c>
      <c r="J4019">
        <v>-223.65819999999999</v>
      </c>
      <c r="K4019">
        <v>1.105837</v>
      </c>
      <c r="L4019">
        <v>133.53059999999999</v>
      </c>
      <c r="M4019">
        <v>-0.9981563</v>
      </c>
      <c r="N4019">
        <v>0</v>
      </c>
      <c r="O4019">
        <v>5.9115689999999999E-2</v>
      </c>
      <c r="P4019">
        <v>-0.99189309999999997</v>
      </c>
      <c r="Q4019">
        <v>5.2242900000000002E-2</v>
      </c>
      <c r="R4019">
        <v>0.1158397</v>
      </c>
      <c r="S4019">
        <v>-2.9735870000000002</v>
      </c>
      <c r="T4019">
        <v>-1.397085E-2</v>
      </c>
      <c r="U4019">
        <v>0.44375609999999999</v>
      </c>
      <c r="V4019">
        <v>5.7728479999999999E-2</v>
      </c>
      <c r="W4019">
        <v>6.5317180000000002E-2</v>
      </c>
      <c r="X4019">
        <v>0.99619329999999995</v>
      </c>
      <c r="Y4019">
        <v>8.8865849999999996E-2</v>
      </c>
      <c r="Z4019" s="1">
        <v>-6.8206940000000002E-5</v>
      </c>
      <c r="AA4019">
        <v>0.99604360000000003</v>
      </c>
      <c r="AB4019">
        <v>23</v>
      </c>
      <c r="AC4019">
        <v>-245.76410000000001</v>
      </c>
      <c r="AD4019">
        <v>-1.155837</v>
      </c>
      <c r="AE4019">
        <v>36.6892</v>
      </c>
      <c r="AF4019">
        <v>22.094655526583701</v>
      </c>
      <c r="AG4019">
        <v>-1.155837</v>
      </c>
      <c r="AH4019">
        <v>247.49796890274399</v>
      </c>
      <c r="AI4019">
        <v>90.266514448075995</v>
      </c>
      <c r="AJ4019">
        <v>84.898610435530401</v>
      </c>
      <c r="AK4019">
        <v>248.484917797826</v>
      </c>
      <c r="AL4019">
        <v>86.254935085077904</v>
      </c>
      <c r="AM4019">
        <v>86.683471677969393</v>
      </c>
      <c r="AN4019">
        <v>1.0000000011855701</v>
      </c>
    </row>
    <row r="4020" spans="1:40" x14ac:dyDescent="0.25">
      <c r="A4020" t="str">
        <f>"20190312151106715"</f>
        <v>20190312151106715</v>
      </c>
      <c r="B4020" t="str">
        <f>"1552374666704742"</f>
        <v>1552374666704742</v>
      </c>
      <c r="C4020" t="s">
        <v>40</v>
      </c>
      <c r="D4020">
        <v>5.4274269999999998</v>
      </c>
      <c r="E4020">
        <v>0.51146670000000005</v>
      </c>
      <c r="F4020" t="s">
        <v>80</v>
      </c>
      <c r="G4020">
        <v>-459.875</v>
      </c>
      <c r="H4020">
        <v>1.0328170000000001</v>
      </c>
      <c r="I4020">
        <v>168.94380000000001</v>
      </c>
      <c r="J4020">
        <v>-223.89490000000001</v>
      </c>
      <c r="K4020">
        <v>1.105966</v>
      </c>
      <c r="L4020">
        <v>133.55359999999999</v>
      </c>
      <c r="M4020">
        <v>-0.99767169999999905</v>
      </c>
      <c r="N4020">
        <v>0</v>
      </c>
      <c r="O4020">
        <v>6.6802230000000004E-2</v>
      </c>
      <c r="P4020">
        <v>-0.99161440000000001</v>
      </c>
      <c r="Q4020">
        <v>5.1909619999999997E-2</v>
      </c>
      <c r="R4020">
        <v>0.11834790000000001</v>
      </c>
      <c r="S4020">
        <v>-2.9725039999999998</v>
      </c>
      <c r="T4020">
        <v>-9.1886520000000001E-4</v>
      </c>
      <c r="U4020">
        <v>0.4456329</v>
      </c>
      <c r="V4020">
        <v>5.2544239999999999E-2</v>
      </c>
      <c r="W4020">
        <v>6.5039310000000003E-2</v>
      </c>
      <c r="X4020">
        <v>0.99649829999999995</v>
      </c>
      <c r="Y4020">
        <v>8.1860069999999993E-2</v>
      </c>
      <c r="Z4020" s="1">
        <v>-7.9181639999999997E-6</v>
      </c>
      <c r="AA4020">
        <v>0.99664379999999997</v>
      </c>
      <c r="AB4020">
        <v>23</v>
      </c>
      <c r="AC4020">
        <v>-235.98009999999999</v>
      </c>
      <c r="AD4020">
        <v>-7.3148999999999895E-2</v>
      </c>
      <c r="AE4020">
        <v>35.3902</v>
      </c>
      <c r="AF4020">
        <v>19.545645887998901</v>
      </c>
      <c r="AG4020">
        <v>-7.3148999999999895E-2</v>
      </c>
      <c r="AH4020">
        <v>237.81722157429999</v>
      </c>
      <c r="AI4020">
        <v>90.017564098080101</v>
      </c>
      <c r="AJ4020">
        <v>85.301552822213594</v>
      </c>
      <c r="AK4020">
        <v>238.619086624006</v>
      </c>
      <c r="AL4020">
        <v>86.270889543376398</v>
      </c>
      <c r="AM4020">
        <v>86.981652943722807</v>
      </c>
      <c r="AN4020">
        <v>0.99999993545266896</v>
      </c>
    </row>
    <row r="4021" spans="1:40" x14ac:dyDescent="0.25">
      <c r="A4021" t="str">
        <f>"20190312151106738"</f>
        <v>20190312151106738</v>
      </c>
      <c r="B4021" t="str">
        <f>"1552374666734997"</f>
        <v>1552374666734997</v>
      </c>
      <c r="C4021" t="s">
        <v>40</v>
      </c>
      <c r="D4021">
        <v>4.6758550000000003</v>
      </c>
      <c r="E4021">
        <v>0.51063019999999903</v>
      </c>
      <c r="F4021" t="s">
        <v>75</v>
      </c>
      <c r="G4021">
        <v>-450.62360000000001</v>
      </c>
      <c r="H4021">
        <v>1.616665</v>
      </c>
      <c r="I4021">
        <v>167.8544</v>
      </c>
      <c r="J4021">
        <v>-224.11879999999999</v>
      </c>
      <c r="K4021">
        <v>1.106101</v>
      </c>
      <c r="L4021">
        <v>133.57679999999999</v>
      </c>
      <c r="M4021">
        <v>-0.99717270000000002</v>
      </c>
      <c r="N4021">
        <v>0</v>
      </c>
      <c r="O4021">
        <v>7.3881779999999994E-2</v>
      </c>
      <c r="P4021">
        <v>-0.99142810000000003</v>
      </c>
      <c r="Q4021">
        <v>5.1862749999999999E-2</v>
      </c>
      <c r="R4021">
        <v>0.1199196</v>
      </c>
      <c r="S4021">
        <v>-2.9713750000000001</v>
      </c>
      <c r="T4021">
        <v>6.6936019999999999E-3</v>
      </c>
      <c r="U4021">
        <v>0.44952389999999998</v>
      </c>
      <c r="V4021">
        <v>4.7022979999999999E-2</v>
      </c>
      <c r="W4021">
        <v>6.5048809999999999E-2</v>
      </c>
      <c r="X4021">
        <v>0.99677349999999998</v>
      </c>
      <c r="Y4021">
        <v>7.6116470000000006E-2</v>
      </c>
      <c r="Z4021" s="1">
        <v>7.9915890000000004E-5</v>
      </c>
      <c r="AA4021">
        <v>0.99709890000000001</v>
      </c>
      <c r="AB4021">
        <v>22</v>
      </c>
      <c r="AC4021">
        <v>-226.50479999999999</v>
      </c>
      <c r="AD4021">
        <v>0.51056400000000002</v>
      </c>
      <c r="AE4021">
        <v>34.2776</v>
      </c>
      <c r="AF4021">
        <v>17.447663414669101</v>
      </c>
      <c r="AG4021">
        <v>0.51056400000000002</v>
      </c>
      <c r="AH4021">
        <v>228.41724098424899</v>
      </c>
      <c r="AI4021">
        <v>89.872303227952401</v>
      </c>
      <c r="AJ4021">
        <v>85.631940981910205</v>
      </c>
      <c r="AK4021">
        <v>229.083211111347</v>
      </c>
      <c r="AL4021">
        <v>86.270344167484595</v>
      </c>
      <c r="AM4021">
        <v>87.299063128182297</v>
      </c>
      <c r="AN4021">
        <v>0.99999995931637198</v>
      </c>
    </row>
    <row r="4022" spans="1:40" x14ac:dyDescent="0.25">
      <c r="A4022" t="str">
        <f>"20190312151106759"</f>
        <v>20190312151106759</v>
      </c>
      <c r="B4022" t="str">
        <f>"1552374666755493"</f>
        <v>1552374666755493</v>
      </c>
      <c r="C4022" t="s">
        <v>40</v>
      </c>
      <c r="D4022">
        <v>5.4342090000000001</v>
      </c>
      <c r="E4022">
        <v>0.50992309999999996</v>
      </c>
      <c r="F4022" t="s">
        <v>81</v>
      </c>
      <c r="G4022">
        <v>-444.1481</v>
      </c>
      <c r="H4022">
        <v>2.252516</v>
      </c>
      <c r="I4022">
        <v>166.71</v>
      </c>
      <c r="J4022">
        <v>-224.3304</v>
      </c>
      <c r="K4022">
        <v>1.106241</v>
      </c>
      <c r="L4022">
        <v>133.6001</v>
      </c>
      <c r="M4022">
        <v>-0.99667059999999996</v>
      </c>
      <c r="N4022">
        <v>0</v>
      </c>
      <c r="O4022">
        <v>8.0375840000000004E-2</v>
      </c>
      <c r="P4022">
        <v>-0.99167320000000003</v>
      </c>
      <c r="Q4022">
        <v>5.2551960000000002E-2</v>
      </c>
      <c r="R4022">
        <v>0.1175697</v>
      </c>
      <c r="S4022">
        <v>-2.970993</v>
      </c>
      <c r="T4022">
        <v>1.54804E-2</v>
      </c>
      <c r="U4022">
        <v>0.4473877</v>
      </c>
      <c r="V4022">
        <v>3.8146310000000003E-2</v>
      </c>
      <c r="W4022">
        <v>6.5825830000000002E-2</v>
      </c>
      <c r="X4022">
        <v>0.99710169999999998</v>
      </c>
      <c r="Y4022">
        <v>6.8937509999999994E-2</v>
      </c>
      <c r="Z4022">
        <v>2.3693379999999999E-4</v>
      </c>
      <c r="AA4022">
        <v>0.99762090000000003</v>
      </c>
      <c r="AB4022">
        <v>22</v>
      </c>
      <c r="AC4022">
        <v>-219.8177</v>
      </c>
      <c r="AD4022">
        <v>1.1462749999999999</v>
      </c>
      <c r="AE4022">
        <v>33.109900000000003</v>
      </c>
      <c r="AF4022">
        <v>15.3326610058567</v>
      </c>
      <c r="AG4022">
        <v>1.1462749999999999</v>
      </c>
      <c r="AH4022">
        <v>221.761963442416</v>
      </c>
      <c r="AI4022">
        <v>89.704549332175901</v>
      </c>
      <c r="AJ4022">
        <v>86.044854097572099</v>
      </c>
      <c r="AK4022">
        <v>222.29433836634701</v>
      </c>
      <c r="AL4022">
        <v>86.225728690381302</v>
      </c>
      <c r="AM4022">
        <v>87.809092893132501</v>
      </c>
      <c r="AN4022">
        <v>0.999999990502347</v>
      </c>
    </row>
    <row r="4023" spans="1:40" x14ac:dyDescent="0.25">
      <c r="A4023" t="str">
        <f>"20190312151106791"</f>
        <v>20190312151106791</v>
      </c>
      <c r="B4023" t="str">
        <f>"1552374666784774"</f>
        <v>1552374666784774</v>
      </c>
      <c r="C4023" t="s">
        <v>40</v>
      </c>
      <c r="D4023">
        <v>5.3325610000000001</v>
      </c>
      <c r="E4023">
        <v>0.50915770000000005</v>
      </c>
      <c r="F4023" t="s">
        <v>81</v>
      </c>
      <c r="G4023">
        <v>-443.92489999999998</v>
      </c>
      <c r="H4023">
        <v>2.827826</v>
      </c>
      <c r="I4023">
        <v>165.7184</v>
      </c>
      <c r="J4023">
        <v>-224.66409999999999</v>
      </c>
      <c r="K4023">
        <v>1.106468</v>
      </c>
      <c r="L4023">
        <v>133.63929999999999</v>
      </c>
      <c r="M4023">
        <v>-0.99582930000000003</v>
      </c>
      <c r="N4023">
        <v>0</v>
      </c>
      <c r="O4023">
        <v>9.0207739999999995E-2</v>
      </c>
      <c r="P4023">
        <v>-0.99164189999999997</v>
      </c>
      <c r="Q4023">
        <v>5.2834369999999999E-2</v>
      </c>
      <c r="R4023">
        <v>0.1177071</v>
      </c>
      <c r="S4023">
        <v>-2.9724270000000002</v>
      </c>
      <c r="T4023">
        <v>2.3303750000000002E-2</v>
      </c>
      <c r="U4023">
        <v>0.43475340000000001</v>
      </c>
      <c r="V4023">
        <v>2.8403210000000002E-2</v>
      </c>
      <c r="W4023">
        <v>6.6188839999999999E-2</v>
      </c>
      <c r="X4023">
        <v>0.99740280000000003</v>
      </c>
      <c r="Y4023">
        <v>5.4866810000000002E-2</v>
      </c>
      <c r="Z4023">
        <v>4.8773380000000002E-4</v>
      </c>
      <c r="AA4023">
        <v>0.99849359999999998</v>
      </c>
      <c r="AB4023">
        <v>22</v>
      </c>
      <c r="AC4023">
        <v>-219.26079999999999</v>
      </c>
      <c r="AD4023">
        <v>1.7213579999999999</v>
      </c>
      <c r="AE4023">
        <v>32.079099999999997</v>
      </c>
      <c r="AF4023">
        <v>12.166687376622001</v>
      </c>
      <c r="AG4023">
        <v>1.7213579999999999</v>
      </c>
      <c r="AH4023">
        <v>221.24740265448199</v>
      </c>
      <c r="AI4023">
        <v>89.5549065070567</v>
      </c>
      <c r="AJ4023">
        <v>86.852399558253893</v>
      </c>
      <c r="AK4023">
        <v>221.58836733104701</v>
      </c>
      <c r="AL4023">
        <v>86.204884422116393</v>
      </c>
      <c r="AM4023">
        <v>88.368819134143195</v>
      </c>
      <c r="AN4023">
        <v>1.0000000251633401</v>
      </c>
    </row>
    <row r="4024" spans="1:40" x14ac:dyDescent="0.25">
      <c r="A4024" t="str">
        <f>"20190312151106814"</f>
        <v>20190312151106814</v>
      </c>
      <c r="B4024" t="str">
        <f>"1552374666805269"</f>
        <v>1552374666805269</v>
      </c>
      <c r="C4024" t="s">
        <v>40</v>
      </c>
      <c r="D4024">
        <v>5.6308049999999996</v>
      </c>
      <c r="E4024">
        <v>0.50868610000000003</v>
      </c>
      <c r="F4024" t="s">
        <v>81</v>
      </c>
      <c r="G4024">
        <v>-444.15</v>
      </c>
      <c r="H4024">
        <v>3.1461199999999998</v>
      </c>
      <c r="I4024">
        <v>165.32689999999999</v>
      </c>
      <c r="J4024">
        <v>-224.8886</v>
      </c>
      <c r="K4024">
        <v>1.106595</v>
      </c>
      <c r="L4024">
        <v>133.6671</v>
      </c>
      <c r="M4024">
        <v>-0.99522999999999995</v>
      </c>
      <c r="N4024">
        <v>0</v>
      </c>
      <c r="O4024">
        <v>9.6599539999999998E-2</v>
      </c>
      <c r="P4024">
        <v>-0.99155369999999998</v>
      </c>
      <c r="Q4024">
        <v>5.3345589999999998E-2</v>
      </c>
      <c r="R4024">
        <v>0.11821710000000001</v>
      </c>
      <c r="S4024">
        <v>-2.9728699999999999</v>
      </c>
      <c r="T4024">
        <v>2.7626990000000001E-2</v>
      </c>
      <c r="U4024">
        <v>0.4291992</v>
      </c>
      <c r="V4024">
        <v>2.2493550000000001E-2</v>
      </c>
      <c r="W4024">
        <v>6.6741699999999904E-2</v>
      </c>
      <c r="X4024">
        <v>0.99751670000000003</v>
      </c>
      <c r="Y4024">
        <v>4.6607099999999999E-2</v>
      </c>
      <c r="Z4024">
        <v>6.7510759999999997E-4</v>
      </c>
      <c r="AA4024">
        <v>0.99891300000000005</v>
      </c>
      <c r="AB4024">
        <v>22</v>
      </c>
      <c r="AC4024">
        <v>-219.26140000000001</v>
      </c>
      <c r="AD4024">
        <v>2.0395249999999998</v>
      </c>
      <c r="AE4024">
        <v>31.659799999999901</v>
      </c>
      <c r="AF4024">
        <v>10.328316486615</v>
      </c>
      <c r="AG4024">
        <v>2.0395249999999998</v>
      </c>
      <c r="AH4024">
        <v>221.27564727654601</v>
      </c>
      <c r="AI4024">
        <v>89.472486964082506</v>
      </c>
      <c r="AJ4024">
        <v>87.327587759655202</v>
      </c>
      <c r="AK4024">
        <v>221.52594850564901</v>
      </c>
      <c r="AL4024">
        <v>86.173137544831803</v>
      </c>
      <c r="AM4024">
        <v>88.708225028769505</v>
      </c>
      <c r="AN4024">
        <v>0.99999999054469102</v>
      </c>
    </row>
    <row r="4025" spans="1:40" x14ac:dyDescent="0.25">
      <c r="A4025" t="str">
        <f>"20190312151106836"</f>
        <v>20190312151106836</v>
      </c>
      <c r="B4025" t="str">
        <f>"1552374666824789"</f>
        <v>1552374666824789</v>
      </c>
      <c r="C4025" t="s">
        <v>40</v>
      </c>
      <c r="D4025">
        <v>5.6013919999999997</v>
      </c>
      <c r="E4025">
        <v>0.50815109999999997</v>
      </c>
      <c r="F4025" t="s">
        <v>81</v>
      </c>
      <c r="G4025">
        <v>-444.26339999999999</v>
      </c>
      <c r="H4025">
        <v>3.4406469999999998</v>
      </c>
      <c r="I4025">
        <v>165.1688</v>
      </c>
      <c r="J4025">
        <v>-225.11429999999999</v>
      </c>
      <c r="K4025">
        <v>1.1067229999999999</v>
      </c>
      <c r="L4025">
        <v>133.69640000000001</v>
      </c>
      <c r="M4025">
        <v>-0.99460720000000002</v>
      </c>
      <c r="N4025">
        <v>0</v>
      </c>
      <c r="O4025">
        <v>0.1028167</v>
      </c>
      <c r="P4025">
        <v>-0.99128620000000001</v>
      </c>
      <c r="Q4025">
        <v>5.4648719999999998E-2</v>
      </c>
      <c r="R4025">
        <v>0.11985469999999999</v>
      </c>
      <c r="S4025">
        <v>-2.9729610000000002</v>
      </c>
      <c r="T4025">
        <v>3.1631470000000002E-2</v>
      </c>
      <c r="U4025">
        <v>0.42691040000000002</v>
      </c>
      <c r="V4025">
        <v>1.7902299999999999E-2</v>
      </c>
      <c r="W4025">
        <v>6.8070019999999995E-2</v>
      </c>
      <c r="X4025">
        <v>0.99751990000000001</v>
      </c>
      <c r="Y4025">
        <v>3.9607509999999999E-2</v>
      </c>
      <c r="Z4025">
        <v>8.7536669999999995E-4</v>
      </c>
      <c r="AA4025">
        <v>0.99921490000000002</v>
      </c>
      <c r="AB4025">
        <v>22</v>
      </c>
      <c r="AC4025">
        <v>-219.1491</v>
      </c>
      <c r="AD4025">
        <v>2.3339240000000001</v>
      </c>
      <c r="AE4025">
        <v>31.4724</v>
      </c>
      <c r="AF4025">
        <v>8.7703261848063896</v>
      </c>
      <c r="AG4025">
        <v>2.3339240000000001</v>
      </c>
      <c r="AH4025">
        <v>221.199070487347</v>
      </c>
      <c r="AI4025">
        <v>89.395955607322406</v>
      </c>
      <c r="AJ4025">
        <v>87.729467834407203</v>
      </c>
      <c r="AK4025">
        <v>221.38517250957</v>
      </c>
      <c r="AL4025">
        <v>86.096856898875203</v>
      </c>
      <c r="AM4025">
        <v>88.971833915137395</v>
      </c>
      <c r="AN4025">
        <v>0.99999998543205004</v>
      </c>
    </row>
    <row r="4026" spans="1:40" x14ac:dyDescent="0.25">
      <c r="A4026" t="str">
        <f>"20190312151106858"</f>
        <v>20190312151106858</v>
      </c>
      <c r="B4026" t="str">
        <f>"1552374666855045"</f>
        <v>1552374666855045</v>
      </c>
      <c r="C4026" t="s">
        <v>40</v>
      </c>
      <c r="D4026">
        <v>5.4219540000000004</v>
      </c>
      <c r="E4026">
        <v>0.50766579999999994</v>
      </c>
      <c r="F4026" t="s">
        <v>81</v>
      </c>
      <c r="G4026">
        <v>-444.22</v>
      </c>
      <c r="H4026">
        <v>3.2294049999999999</v>
      </c>
      <c r="I4026">
        <v>165.20070000000001</v>
      </c>
      <c r="J4026">
        <v>-225.33369999999999</v>
      </c>
      <c r="K4026">
        <v>1.106854</v>
      </c>
      <c r="L4026">
        <v>133.726</v>
      </c>
      <c r="M4026">
        <v>-0.99399000000000004</v>
      </c>
      <c r="N4026">
        <v>0</v>
      </c>
      <c r="O4026">
        <v>0.1086261</v>
      </c>
      <c r="P4026">
        <v>-0.99123139999999998</v>
      </c>
      <c r="Q4026">
        <v>5.5533829999999999E-2</v>
      </c>
      <c r="R4026">
        <v>0.1199012</v>
      </c>
      <c r="S4026">
        <v>-2.9730989999999999</v>
      </c>
      <c r="T4026">
        <v>2.880371E-2</v>
      </c>
      <c r="U4026">
        <v>0.42749019999999999</v>
      </c>
      <c r="V4026">
        <v>1.2106169999999999E-2</v>
      </c>
      <c r="W4026">
        <v>6.8987190000000004E-2</v>
      </c>
      <c r="X4026">
        <v>0.99754410000000004</v>
      </c>
      <c r="Y4026">
        <v>3.3953240000000003E-2</v>
      </c>
      <c r="Z4026">
        <v>8.7986439999999998E-4</v>
      </c>
      <c r="AA4026">
        <v>0.99942299999999995</v>
      </c>
      <c r="AB4026">
        <v>22</v>
      </c>
      <c r="AC4026">
        <v>-218.88630000000001</v>
      </c>
      <c r="AD4026">
        <v>2.1225510000000001</v>
      </c>
      <c r="AE4026">
        <v>31.474699999999999</v>
      </c>
      <c r="AF4026">
        <v>7.5087720160916396</v>
      </c>
      <c r="AG4026">
        <v>2.1225510000000001</v>
      </c>
      <c r="AH4026">
        <v>220.989769469338</v>
      </c>
      <c r="AI4026">
        <v>89.450022772628301</v>
      </c>
      <c r="AJ4026">
        <v>88.053957437585694</v>
      </c>
      <c r="AK4026">
        <v>221.12748605736101</v>
      </c>
      <c r="AL4026">
        <v>86.0441832016717</v>
      </c>
      <c r="AM4026">
        <v>89.304694001084698</v>
      </c>
      <c r="AN4026">
        <v>1.0000000115904799</v>
      </c>
    </row>
    <row r="4027" spans="1:40" x14ac:dyDescent="0.25">
      <c r="A4027" t="str">
        <f>"20190312151106880"</f>
        <v>20190312151106880</v>
      </c>
      <c r="B4027" t="str">
        <f>"1552374666874565"</f>
        <v>1552374666874565</v>
      </c>
      <c r="C4027" t="s">
        <v>40</v>
      </c>
      <c r="D4027">
        <v>5.4533809999999896</v>
      </c>
      <c r="E4027">
        <v>0.50720940000000003</v>
      </c>
      <c r="F4027" t="s">
        <v>81</v>
      </c>
      <c r="G4027">
        <v>-444.33539999999999</v>
      </c>
      <c r="H4027">
        <v>3.5965029999999998</v>
      </c>
      <c r="I4027">
        <v>164.92310000000001</v>
      </c>
      <c r="J4027">
        <v>-225.54949999999999</v>
      </c>
      <c r="K4027">
        <v>1.107005</v>
      </c>
      <c r="L4027">
        <v>133.75620000000001</v>
      </c>
      <c r="M4027">
        <v>-0.99337629999999999</v>
      </c>
      <c r="N4027">
        <v>0</v>
      </c>
      <c r="O4027">
        <v>0.1141031</v>
      </c>
      <c r="P4027">
        <v>-0.99139639999999996</v>
      </c>
      <c r="Q4027">
        <v>5.4999369999999999E-2</v>
      </c>
      <c r="R4027">
        <v>0.1187786</v>
      </c>
      <c r="S4027">
        <v>-2.9734189999999998</v>
      </c>
      <c r="T4027">
        <v>3.3802869999999999E-2</v>
      </c>
      <c r="U4027">
        <v>0.42356870000000002</v>
      </c>
      <c r="V4027">
        <v>5.4389299999999998E-3</v>
      </c>
      <c r="W4027">
        <v>6.8488170000000001E-2</v>
      </c>
      <c r="X4027">
        <v>0.99763710000000005</v>
      </c>
      <c r="Y4027">
        <v>2.7139130000000001E-2</v>
      </c>
      <c r="Z4027">
        <v>1.132529E-3</v>
      </c>
      <c r="AA4027">
        <v>0.99963100000000005</v>
      </c>
      <c r="AB4027">
        <v>22</v>
      </c>
      <c r="AC4027">
        <v>-218.7859</v>
      </c>
      <c r="AD4027">
        <v>2.4894980000000002</v>
      </c>
      <c r="AE4027">
        <v>31.166899999999998</v>
      </c>
      <c r="AF4027">
        <v>5.9961012400527602</v>
      </c>
      <c r="AG4027">
        <v>2.4894980000000002</v>
      </c>
      <c r="AH4027">
        <v>220.88526348032599</v>
      </c>
      <c r="AI4027">
        <v>89.354510262417406</v>
      </c>
      <c r="AJ4027">
        <v>88.445043641121003</v>
      </c>
      <c r="AK4027">
        <v>220.98065628725499</v>
      </c>
      <c r="AL4027">
        <v>86.072842671907495</v>
      </c>
      <c r="AM4027">
        <v>89.687637271412797</v>
      </c>
      <c r="AN4027">
        <v>0.99999999734295197</v>
      </c>
    </row>
    <row r="4028" spans="1:40" x14ac:dyDescent="0.25">
      <c r="A4028" t="str">
        <f>"20190312151106903"</f>
        <v>20190312151106903</v>
      </c>
      <c r="B4028" t="str">
        <f>"1552374666895061"</f>
        <v>1552374666895061</v>
      </c>
      <c r="C4028" t="s">
        <v>40</v>
      </c>
      <c r="D4028">
        <v>5.397265</v>
      </c>
      <c r="E4028">
        <v>0.4771262</v>
      </c>
      <c r="F4028" t="s">
        <v>77</v>
      </c>
      <c r="G4028">
        <v>-445.65</v>
      </c>
      <c r="H4028">
        <v>3.5872739999999999</v>
      </c>
      <c r="I4028">
        <v>164.57470000000001</v>
      </c>
      <c r="J4028">
        <v>-225.78739999999999</v>
      </c>
      <c r="K4028">
        <v>1.107172</v>
      </c>
      <c r="L4028">
        <v>133.79060000000001</v>
      </c>
      <c r="M4028">
        <v>-0.99269039999999997</v>
      </c>
      <c r="N4028">
        <v>0</v>
      </c>
      <c r="O4028">
        <v>0.1199281</v>
      </c>
      <c r="P4028">
        <v>-0.99149860000000001</v>
      </c>
      <c r="Q4028">
        <v>5.439691E-2</v>
      </c>
      <c r="R4028">
        <v>0.1182018</v>
      </c>
      <c r="S4028">
        <v>-2.9742739999999999</v>
      </c>
      <c r="T4028">
        <v>3.3516999999999998E-2</v>
      </c>
      <c r="U4028">
        <v>0.4164581</v>
      </c>
      <c r="V4028">
        <v>-1.0350279999999999E-3</v>
      </c>
      <c r="W4028">
        <v>6.7912559999999997E-2</v>
      </c>
      <c r="X4028">
        <v>0.99769070000000004</v>
      </c>
      <c r="Y4028">
        <v>1.8892249999999999E-2</v>
      </c>
      <c r="Z4028">
        <v>1.233825E-3</v>
      </c>
      <c r="AA4028">
        <v>0.99982079999999995</v>
      </c>
      <c r="AB4028">
        <v>22</v>
      </c>
      <c r="AC4028">
        <v>-219.86259999999999</v>
      </c>
      <c r="AD4028">
        <v>2.480102</v>
      </c>
      <c r="AE4028">
        <v>30.784099999999899</v>
      </c>
      <c r="AF4028">
        <v>4.19123721579248</v>
      </c>
      <c r="AG4028">
        <v>2.480102</v>
      </c>
      <c r="AH4028">
        <v>221.939986736896</v>
      </c>
      <c r="AI4028">
        <v>89.359880403439703</v>
      </c>
      <c r="AJ4028">
        <v>88.918123469911393</v>
      </c>
      <c r="AK4028">
        <v>221.99341226284901</v>
      </c>
      <c r="AL4028">
        <v>86.105899518807007</v>
      </c>
      <c r="AM4028">
        <v>90.059439979547804</v>
      </c>
      <c r="AN4028">
        <v>0.99999995997760105</v>
      </c>
    </row>
    <row r="4029" spans="1:40" x14ac:dyDescent="0.25">
      <c r="A4029" t="str">
        <f>"20190312151106927"</f>
        <v>20190312151106927</v>
      </c>
      <c r="B4029" t="str">
        <f>"1552374666914581"</f>
        <v>1552374666914581</v>
      </c>
      <c r="C4029" t="s">
        <v>40</v>
      </c>
      <c r="D4029">
        <v>5.4281230000000003</v>
      </c>
      <c r="E4029">
        <v>0.47539609999999899</v>
      </c>
      <c r="F4029" t="s">
        <v>82</v>
      </c>
      <c r="G4029">
        <v>-510.17610000000002</v>
      </c>
      <c r="H4029">
        <v>7.1670170000000004</v>
      </c>
      <c r="I4029">
        <v>150.43389999999999</v>
      </c>
      <c r="J4029">
        <v>-226.0163</v>
      </c>
      <c r="K4029">
        <v>1.1073230000000001</v>
      </c>
      <c r="L4029">
        <v>133.82480000000001</v>
      </c>
      <c r="M4029">
        <v>-0.9920253</v>
      </c>
      <c r="N4029">
        <v>0</v>
      </c>
      <c r="O4029">
        <v>0.12531389999999901</v>
      </c>
      <c r="P4029">
        <v>-0.99143020000000004</v>
      </c>
      <c r="Q4029">
        <v>5.5079660000000003E-2</v>
      </c>
      <c r="R4029">
        <v>0.1184598</v>
      </c>
      <c r="S4029">
        <v>-3.0012819999999998</v>
      </c>
      <c r="T4029">
        <v>6.3952679999999998E-2</v>
      </c>
      <c r="U4029">
        <v>0.17564389999999999</v>
      </c>
      <c r="V4029">
        <v>-6.2102260000000001E-3</v>
      </c>
      <c r="W4029">
        <v>6.8609489999999995E-2</v>
      </c>
      <c r="X4029">
        <v>0.99762430000000002</v>
      </c>
      <c r="Y4029">
        <v>-6.7105529999999997E-2</v>
      </c>
      <c r="Z4029">
        <v>3.374452E-3</v>
      </c>
      <c r="AA4029">
        <v>0.99774010000000002</v>
      </c>
      <c r="AB4029">
        <v>22</v>
      </c>
      <c r="AC4029">
        <v>-284.15980000000002</v>
      </c>
      <c r="AD4029">
        <v>6.0596940000000004</v>
      </c>
      <c r="AE4029">
        <v>16.609099999999899</v>
      </c>
      <c r="AF4029">
        <v>-19.125601032729499</v>
      </c>
      <c r="AG4029">
        <v>6.0596940000000004</v>
      </c>
      <c r="AH4029">
        <v>283.87228754499699</v>
      </c>
      <c r="AI4029">
        <v>88.779883729281906</v>
      </c>
      <c r="AJ4029">
        <v>93.854418720909607</v>
      </c>
      <c r="AK4029">
        <v>284.58036499777398</v>
      </c>
      <c r="AL4029">
        <v>86.065875312910705</v>
      </c>
      <c r="AM4029">
        <v>90.356662466650306</v>
      </c>
      <c r="AN4029">
        <v>1.0000000364877599</v>
      </c>
    </row>
    <row r="4030" spans="1:40" x14ac:dyDescent="0.25">
      <c r="A4030" t="str">
        <f>"20190312151106948"</f>
        <v>20190312151106948</v>
      </c>
      <c r="B4030" t="str">
        <f>"1552374666944838"</f>
        <v>1552374666944838</v>
      </c>
      <c r="C4030" t="s">
        <v>40</v>
      </c>
      <c r="D4030">
        <v>5.4792290000000001</v>
      </c>
      <c r="E4030">
        <v>0.47490470000000001</v>
      </c>
      <c r="F4030" t="s">
        <v>82</v>
      </c>
      <c r="G4030">
        <v>-510.17610000000002</v>
      </c>
      <c r="H4030">
        <v>7.0740360000000004</v>
      </c>
      <c r="I4030">
        <v>149.2296</v>
      </c>
      <c r="J4030">
        <v>-226.233</v>
      </c>
      <c r="K4030">
        <v>1.107472</v>
      </c>
      <c r="L4030">
        <v>133.858</v>
      </c>
      <c r="M4030">
        <v>-0.99139889999999997</v>
      </c>
      <c r="N4030">
        <v>0</v>
      </c>
      <c r="O4030">
        <v>0.13017880000000001</v>
      </c>
      <c r="P4030">
        <v>-0.99136349999999995</v>
      </c>
      <c r="Q4030">
        <v>5.6220640000000002E-2</v>
      </c>
      <c r="R4030">
        <v>0.1184817</v>
      </c>
      <c r="S4030">
        <v>-3.0029599999999999</v>
      </c>
      <c r="T4030">
        <v>6.3055749999999994E-2</v>
      </c>
      <c r="U4030">
        <v>0.162796</v>
      </c>
      <c r="V4030">
        <v>-1.1093779999999999E-2</v>
      </c>
      <c r="W4030">
        <v>6.975924E-2</v>
      </c>
      <c r="X4030">
        <v>0.99750209999999995</v>
      </c>
      <c r="Y4030">
        <v>-7.6282900000000001E-2</v>
      </c>
      <c r="Z4030">
        <v>3.5233920000000002E-3</v>
      </c>
      <c r="AA4030">
        <v>0.99707999999999997</v>
      </c>
      <c r="AB4030">
        <v>22</v>
      </c>
      <c r="AC4030">
        <v>-283.94310000000002</v>
      </c>
      <c r="AD4030">
        <v>5.966564</v>
      </c>
      <c r="AE4030">
        <v>15.371600000000001</v>
      </c>
      <c r="AF4030">
        <v>-21.716397611177399</v>
      </c>
      <c r="AG4030">
        <v>5.966564</v>
      </c>
      <c r="AH4030">
        <v>283.40292062660501</v>
      </c>
      <c r="AI4030">
        <v>88.7974378471839</v>
      </c>
      <c r="AJ4030">
        <v>94.3818572872392</v>
      </c>
      <c r="AK4030">
        <v>284.29635458595402</v>
      </c>
      <c r="AL4030">
        <v>85.999840843761802</v>
      </c>
      <c r="AM4030">
        <v>90.637192210510904</v>
      </c>
      <c r="AN4030">
        <v>0.99999993151223499</v>
      </c>
    </row>
    <row r="4031" spans="1:40" x14ac:dyDescent="0.25">
      <c r="A4031" t="str">
        <f>"20190312151106970"</f>
        <v>20190312151106970</v>
      </c>
      <c r="B4031" t="str">
        <f>"1552374666965335"</f>
        <v>1552374666965335</v>
      </c>
      <c r="C4031" t="s">
        <v>40</v>
      </c>
      <c r="D4031">
        <v>5.47621</v>
      </c>
      <c r="E4031">
        <v>0.4747228</v>
      </c>
      <c r="F4031" t="s">
        <v>82</v>
      </c>
      <c r="G4031">
        <v>-510.35070000000002</v>
      </c>
      <c r="H4031">
        <v>6.9811610000000002</v>
      </c>
      <c r="I4031">
        <v>148.9051</v>
      </c>
      <c r="J4031">
        <v>-226.44309999999999</v>
      </c>
      <c r="K4031">
        <v>1.1076189999999999</v>
      </c>
      <c r="L4031">
        <v>133.89109999999999</v>
      </c>
      <c r="M4031">
        <v>-0.99080089999999998</v>
      </c>
      <c r="N4031">
        <v>0</v>
      </c>
      <c r="O4031">
        <v>0.13465639999999901</v>
      </c>
      <c r="P4031">
        <v>-0.99126369999999997</v>
      </c>
      <c r="Q4031">
        <v>5.7377949999999997E-2</v>
      </c>
      <c r="R4031">
        <v>0.1187604</v>
      </c>
      <c r="S4031">
        <v>-3.0036010000000002</v>
      </c>
      <c r="T4031">
        <v>6.2095169999999998E-2</v>
      </c>
      <c r="U4031">
        <v>0.15907289999999999</v>
      </c>
      <c r="V4031">
        <v>-1.5331849999999999E-2</v>
      </c>
      <c r="W4031">
        <v>7.0916519999999997E-2</v>
      </c>
      <c r="X4031">
        <v>0.99736440000000004</v>
      </c>
      <c r="Y4031">
        <v>-8.2029329999999998E-2</v>
      </c>
      <c r="Z4031">
        <v>3.6202320000000001E-3</v>
      </c>
      <c r="AA4031">
        <v>0.99662329999999999</v>
      </c>
      <c r="AB4031">
        <v>22</v>
      </c>
      <c r="AC4031">
        <v>-283.9076</v>
      </c>
      <c r="AD4031">
        <v>5.8735419999999996</v>
      </c>
      <c r="AE4031">
        <v>15.013999999999999</v>
      </c>
      <c r="AF4031">
        <v>-23.3462427813826</v>
      </c>
      <c r="AG4031">
        <v>5.8735419999999996</v>
      </c>
      <c r="AH4031">
        <v>283.22243138238298</v>
      </c>
      <c r="AI4031">
        <v>88.815969888175005</v>
      </c>
      <c r="AJ4031">
        <v>94.712281376204601</v>
      </c>
      <c r="AK4031">
        <v>284.24371793547499</v>
      </c>
      <c r="AL4031">
        <v>85.933369147031698</v>
      </c>
      <c r="AM4031">
        <v>90.880702290475597</v>
      </c>
      <c r="AN4031">
        <v>0.99999998241034604</v>
      </c>
    </row>
    <row r="4032" spans="1:40" x14ac:dyDescent="0.25">
      <c r="A4032" t="str">
        <f>"20190312151106993"</f>
        <v>20190312151106993</v>
      </c>
      <c r="B4032" t="str">
        <f>"1552374666984855"</f>
        <v>1552374666984855</v>
      </c>
      <c r="C4032" t="s">
        <v>40</v>
      </c>
      <c r="D4032">
        <v>5.3691279999999999</v>
      </c>
      <c r="E4032">
        <v>0.47456199999999998</v>
      </c>
      <c r="F4032" t="s">
        <v>82</v>
      </c>
      <c r="G4032">
        <v>-510.97719999999998</v>
      </c>
      <c r="H4032">
        <v>6.8906229999999997</v>
      </c>
      <c r="I4032">
        <v>148.9051</v>
      </c>
      <c r="J4032">
        <v>-226.67529999999999</v>
      </c>
      <c r="K4032">
        <v>1.107799</v>
      </c>
      <c r="L4032">
        <v>133.92840000000001</v>
      </c>
      <c r="M4032">
        <v>-0.99015710000000001</v>
      </c>
      <c r="N4032">
        <v>0</v>
      </c>
      <c r="O4032">
        <v>0.13931370000000001</v>
      </c>
      <c r="P4032">
        <v>-0.99123099999999997</v>
      </c>
      <c r="Q4032">
        <v>5.7422059999999997E-2</v>
      </c>
      <c r="R4032">
        <v>0.1190118</v>
      </c>
      <c r="S4032">
        <v>-3.0039220000000002</v>
      </c>
      <c r="T4032">
        <v>6.1053509999999998E-2</v>
      </c>
      <c r="U4032">
        <v>0.15850829999999999</v>
      </c>
      <c r="V4032">
        <v>-1.9803979999999999E-2</v>
      </c>
      <c r="W4032">
        <v>7.0955030000000002E-2</v>
      </c>
      <c r="X4032">
        <v>0.99728289999999997</v>
      </c>
      <c r="Y4032">
        <v>-8.6906460000000005E-2</v>
      </c>
      <c r="Z4032">
        <v>3.7024279999999998E-3</v>
      </c>
      <c r="AA4032">
        <v>0.99620960000000003</v>
      </c>
      <c r="AB4032">
        <v>22</v>
      </c>
      <c r="AC4032">
        <v>-284.30189999999999</v>
      </c>
      <c r="AD4032">
        <v>5.7828239999999997</v>
      </c>
      <c r="AE4032">
        <v>14.9766999999999</v>
      </c>
      <c r="AF4032">
        <v>-24.769881875188101</v>
      </c>
      <c r="AG4032">
        <v>5.7828239999999997</v>
      </c>
      <c r="AH4032">
        <v>283.49864920482702</v>
      </c>
      <c r="AI4032">
        <v>88.835872728124002</v>
      </c>
      <c r="AJ4032">
        <v>94.993373981180994</v>
      </c>
      <c r="AK4032">
        <v>284.637439916971</v>
      </c>
      <c r="AL4032">
        <v>85.931157178794393</v>
      </c>
      <c r="AM4032">
        <v>91.137626401945298</v>
      </c>
      <c r="AN4032">
        <v>0.99999999826927499</v>
      </c>
    </row>
    <row r="4033" spans="1:40" x14ac:dyDescent="0.25">
      <c r="A4033" t="str">
        <f>"20190312151107015"</f>
        <v>20190312151107015</v>
      </c>
      <c r="B4033" t="str">
        <f>"1552374667005353"</f>
        <v>1552374667005353</v>
      </c>
      <c r="C4033" t="s">
        <v>40</v>
      </c>
      <c r="D4033">
        <v>5.4355190000000002</v>
      </c>
      <c r="E4033">
        <v>0.47447129999999998</v>
      </c>
      <c r="F4033" t="s">
        <v>82</v>
      </c>
      <c r="G4033">
        <v>-511.59530000000001</v>
      </c>
      <c r="H4033">
        <v>6.710553</v>
      </c>
      <c r="I4033">
        <v>148.9051</v>
      </c>
      <c r="J4033">
        <v>-226.8913</v>
      </c>
      <c r="K4033">
        <v>1.107982</v>
      </c>
      <c r="L4033">
        <v>133.96369999999999</v>
      </c>
      <c r="M4033">
        <v>-0.9895794</v>
      </c>
      <c r="N4033">
        <v>0</v>
      </c>
      <c r="O4033">
        <v>0.14336199999999999</v>
      </c>
      <c r="P4033">
        <v>-0.99134540000000004</v>
      </c>
      <c r="Q4033">
        <v>5.6656289999999998E-2</v>
      </c>
      <c r="R4033">
        <v>0.1184262</v>
      </c>
      <c r="S4033">
        <v>-3.0041660000000001</v>
      </c>
      <c r="T4033">
        <v>5.9075240000000001E-2</v>
      </c>
      <c r="U4033">
        <v>0.1579132</v>
      </c>
      <c r="V4033">
        <v>-2.452008E-2</v>
      </c>
      <c r="W4033">
        <v>7.0183049999999997E-2</v>
      </c>
      <c r="X4033">
        <v>0.99723269999999997</v>
      </c>
      <c r="Y4033">
        <v>-9.1182250000000006E-2</v>
      </c>
      <c r="Z4033">
        <v>3.7030269999999998E-3</v>
      </c>
      <c r="AA4033">
        <v>0.99582729999999997</v>
      </c>
      <c r="AB4033">
        <v>22</v>
      </c>
      <c r="AC4033">
        <v>-284.70400000000001</v>
      </c>
      <c r="AD4033">
        <v>5.6025710000000002</v>
      </c>
      <c r="AE4033">
        <v>14.9414</v>
      </c>
      <c r="AF4033">
        <v>-26.022326164823099</v>
      </c>
      <c r="AG4033">
        <v>5.6025710000000002</v>
      </c>
      <c r="AH4033">
        <v>283.79519082263698</v>
      </c>
      <c r="AI4033">
        <v>88.873760038825097</v>
      </c>
      <c r="AJ4033">
        <v>95.239031087360104</v>
      </c>
      <c r="AK4033">
        <v>285.04080514006301</v>
      </c>
      <c r="AL4033">
        <v>85.975498836177593</v>
      </c>
      <c r="AM4033">
        <v>91.408511852577604</v>
      </c>
      <c r="AN4033">
        <v>0.99999997638989901</v>
      </c>
    </row>
    <row r="4034" spans="1:40" x14ac:dyDescent="0.25">
      <c r="A4034" t="str">
        <f>"20190312151107036"</f>
        <v>20190312151107036</v>
      </c>
      <c r="B4034" t="str">
        <f>"1552374667024869"</f>
        <v>1552374667024869</v>
      </c>
      <c r="C4034" t="s">
        <v>40</v>
      </c>
      <c r="D4034">
        <v>4.9591200000000004</v>
      </c>
      <c r="E4034">
        <v>0.47456009999999998</v>
      </c>
      <c r="F4034" t="s">
        <v>82</v>
      </c>
      <c r="G4034">
        <v>-515.70569999999998</v>
      </c>
      <c r="H4034">
        <v>6.0996410000000001</v>
      </c>
      <c r="I4034">
        <v>148.9051</v>
      </c>
      <c r="J4034">
        <v>-227.1044</v>
      </c>
      <c r="K4034">
        <v>1.108169</v>
      </c>
      <c r="L4034">
        <v>133.9992</v>
      </c>
      <c r="M4034">
        <v>-0.98903509999999994</v>
      </c>
      <c r="N4034">
        <v>0</v>
      </c>
      <c r="O4034">
        <v>0.14707290000000001</v>
      </c>
      <c r="P4034">
        <v>-0.99154560000000003</v>
      </c>
      <c r="Q4034">
        <v>5.5134740000000002E-2</v>
      </c>
      <c r="R4034">
        <v>0.117464</v>
      </c>
      <c r="S4034">
        <v>-3.0046539999999999</v>
      </c>
      <c r="T4034">
        <v>5.1930669999999998E-2</v>
      </c>
      <c r="U4034">
        <v>0.15544129999999901</v>
      </c>
      <c r="V4034">
        <v>-2.92876E-2</v>
      </c>
      <c r="W4034">
        <v>6.8652299999999999E-2</v>
      </c>
      <c r="X4034">
        <v>0.99721070000000001</v>
      </c>
      <c r="Y4034">
        <v>-9.5751119999999995E-2</v>
      </c>
      <c r="Z4034">
        <v>3.3577440000000002E-3</v>
      </c>
      <c r="AA4034">
        <v>0.9953997</v>
      </c>
      <c r="AB4034">
        <v>22</v>
      </c>
      <c r="AC4034">
        <v>-288.60129999999998</v>
      </c>
      <c r="AD4034">
        <v>4.9914719999999999</v>
      </c>
      <c r="AE4034">
        <v>14.905900000000001</v>
      </c>
      <c r="AF4034">
        <v>-27.697190397767901</v>
      </c>
      <c r="AG4034">
        <v>4.9914719999999999</v>
      </c>
      <c r="AH4034">
        <v>287.569043127192</v>
      </c>
      <c r="AI4034">
        <v>89.010169489684898</v>
      </c>
      <c r="AJ4034">
        <v>95.501468924308796</v>
      </c>
      <c r="AK4034">
        <v>288.942907360167</v>
      </c>
      <c r="AL4034">
        <v>86.063416701324996</v>
      </c>
      <c r="AM4034">
        <v>91.682265986626305</v>
      </c>
      <c r="AN4034">
        <v>1.00000004100176</v>
      </c>
    </row>
    <row r="4035" spans="1:40" x14ac:dyDescent="0.25">
      <c r="A4035" t="str">
        <f>"20190312151107060"</f>
        <v>20190312151107060</v>
      </c>
      <c r="B4035" t="str">
        <f>"1552374667055125"</f>
        <v>1552374667055125</v>
      </c>
      <c r="C4035" t="s">
        <v>40</v>
      </c>
      <c r="D4035">
        <v>4.9553760000000002</v>
      </c>
      <c r="E4035">
        <v>0.47442709999999999</v>
      </c>
      <c r="F4035" t="s">
        <v>82</v>
      </c>
      <c r="G4035">
        <v>-537.62829999999997</v>
      </c>
      <c r="H4035">
        <v>5.5165459999999999</v>
      </c>
      <c r="I4035">
        <v>149.8297</v>
      </c>
      <c r="J4035">
        <v>-227.32390000000001</v>
      </c>
      <c r="K4035">
        <v>1.108371</v>
      </c>
      <c r="L4035">
        <v>134.03620000000001</v>
      </c>
      <c r="M4035">
        <v>-0.98850789999999999</v>
      </c>
      <c r="N4035">
        <v>0</v>
      </c>
      <c r="O4035">
        <v>0.1505773</v>
      </c>
      <c r="P4035">
        <v>-0.99177709999999997</v>
      </c>
      <c r="Q4035">
        <v>5.3952220000000002E-2</v>
      </c>
      <c r="R4035">
        <v>0.11604979999999999</v>
      </c>
      <c r="S4035">
        <v>-3.0050659999999998</v>
      </c>
      <c r="T4035">
        <v>4.2662020000000002E-2</v>
      </c>
      <c r="U4035">
        <v>0.15319820000000001</v>
      </c>
      <c r="V4035">
        <v>-3.4297569999999999E-2</v>
      </c>
      <c r="W4035">
        <v>6.7455829999999994E-2</v>
      </c>
      <c r="X4035">
        <v>0.99713260000000004</v>
      </c>
      <c r="Y4035">
        <v>-0.1000371</v>
      </c>
      <c r="Z4035">
        <v>2.8378280000000001E-3</v>
      </c>
      <c r="AA4035">
        <v>0.99497970000000002</v>
      </c>
      <c r="AB4035">
        <v>22</v>
      </c>
      <c r="AC4035">
        <v>-310.30439999999999</v>
      </c>
      <c r="AD4035">
        <v>4.408175</v>
      </c>
      <c r="AE4035">
        <v>15.7934999999999</v>
      </c>
      <c r="AF4035">
        <v>-31.109316150079099</v>
      </c>
      <c r="AG4035">
        <v>4.408175</v>
      </c>
      <c r="AH4035">
        <v>309.08188796461798</v>
      </c>
      <c r="AI4035">
        <v>89.1870010256916</v>
      </c>
      <c r="AJ4035">
        <v>95.747505411549099</v>
      </c>
      <c r="AK4035">
        <v>310.67480590792798</v>
      </c>
      <c r="AL4035">
        <v>86.1321285910428</v>
      </c>
      <c r="AM4035">
        <v>91.969980308480004</v>
      </c>
      <c r="AN4035">
        <v>1.0000000171458201</v>
      </c>
    </row>
    <row r="4036" spans="1:40" x14ac:dyDescent="0.25">
      <c r="A4036" t="str">
        <f>"20190312151107081"</f>
        <v>20190312151107081</v>
      </c>
      <c r="B4036" t="str">
        <f>"1552374667074645"</f>
        <v>1552374667074645</v>
      </c>
      <c r="C4036" t="s">
        <v>40</v>
      </c>
      <c r="D4036">
        <v>5.4355630000000001</v>
      </c>
      <c r="E4036">
        <v>0.47426839999999998</v>
      </c>
      <c r="F4036" t="s">
        <v>82</v>
      </c>
      <c r="G4036">
        <v>-550.1635</v>
      </c>
      <c r="H4036">
        <v>4.907915</v>
      </c>
      <c r="I4036">
        <v>149.8929</v>
      </c>
      <c r="J4036">
        <v>-227.5455</v>
      </c>
      <c r="K4036">
        <v>1.1085670000000001</v>
      </c>
      <c r="L4036">
        <v>134.07399999999899</v>
      </c>
      <c r="M4036">
        <v>-0.9880139</v>
      </c>
      <c r="N4036">
        <v>0</v>
      </c>
      <c r="O4036">
        <v>0.1537868</v>
      </c>
      <c r="P4036">
        <v>-0.99176960000000003</v>
      </c>
      <c r="Q4036">
        <v>5.3973260000000002E-2</v>
      </c>
      <c r="R4036">
        <v>0.116103399999999</v>
      </c>
      <c r="S4036">
        <v>-3.0056919999999998</v>
      </c>
      <c r="T4036">
        <v>3.5374759999999998E-2</v>
      </c>
      <c r="U4036">
        <v>0.14762879999999901</v>
      </c>
      <c r="V4036">
        <v>-3.7516809999999998E-2</v>
      </c>
      <c r="W4036">
        <v>6.7450129999999997E-2</v>
      </c>
      <c r="X4036">
        <v>0.99701700000000004</v>
      </c>
      <c r="Y4036">
        <v>-0.105124</v>
      </c>
      <c r="Z4036">
        <v>2.4200710000000002E-3</v>
      </c>
      <c r="AA4036">
        <v>0.99445620000000001</v>
      </c>
      <c r="AB4036">
        <v>22</v>
      </c>
      <c r="AC4036">
        <v>-322.61799999999999</v>
      </c>
      <c r="AD4036">
        <v>3.7993480000000002</v>
      </c>
      <c r="AE4036">
        <v>15.818899999999999</v>
      </c>
      <c r="AF4036">
        <v>-33.983422635889397</v>
      </c>
      <c r="AG4036">
        <v>3.7993480000000002</v>
      </c>
      <c r="AH4036">
        <v>321.16798471692499</v>
      </c>
      <c r="AI4036">
        <v>89.325997174110896</v>
      </c>
      <c r="AJ4036">
        <v>96.040105161820506</v>
      </c>
      <c r="AK4036">
        <v>322.98325415786798</v>
      </c>
      <c r="AL4036">
        <v>86.132455719267398</v>
      </c>
      <c r="AM4036">
        <v>92.154969457560497</v>
      </c>
      <c r="AN4036">
        <v>0.99999996467929497</v>
      </c>
    </row>
    <row r="4037" spans="1:40" x14ac:dyDescent="0.25">
      <c r="A4037" t="str">
        <f>"20190312151107106"</f>
        <v>20190312151107106</v>
      </c>
      <c r="B4037" t="str">
        <f>"1552374667095141"</f>
        <v>1552374667095141</v>
      </c>
      <c r="C4037" t="s">
        <v>40</v>
      </c>
      <c r="D4037">
        <v>5.4340640000000002</v>
      </c>
      <c r="E4037">
        <v>0.47409269999999998</v>
      </c>
      <c r="F4037" t="s">
        <v>82</v>
      </c>
      <c r="G4037">
        <v>-550.97130000000004</v>
      </c>
      <c r="H4037">
        <v>4.6256130000000004</v>
      </c>
      <c r="I4037">
        <v>149.8432</v>
      </c>
      <c r="J4037">
        <v>-227.7809</v>
      </c>
      <c r="K4037">
        <v>1.1087450000000001</v>
      </c>
      <c r="L4037">
        <v>134.1147</v>
      </c>
      <c r="M4037">
        <v>-0.98752189999999995</v>
      </c>
      <c r="N4037">
        <v>0</v>
      </c>
      <c r="O4037">
        <v>0.15691729999999901</v>
      </c>
      <c r="P4037">
        <v>-0.99165460000000005</v>
      </c>
      <c r="Q4037">
        <v>5.5382389999999997E-2</v>
      </c>
      <c r="R4037">
        <v>0.116421</v>
      </c>
      <c r="S4037">
        <v>-3.005951</v>
      </c>
      <c r="T4037">
        <v>3.2688139999999997E-2</v>
      </c>
      <c r="U4037">
        <v>0.14656069999999999</v>
      </c>
      <c r="V4037">
        <v>-4.0371020000000001E-2</v>
      </c>
      <c r="W4037">
        <v>6.883069E-2</v>
      </c>
      <c r="X4037">
        <v>0.99681120000000001</v>
      </c>
      <c r="Y4037">
        <v>-0.10863390000000001</v>
      </c>
      <c r="Z4037">
        <v>2.288839E-3</v>
      </c>
      <c r="AA4037">
        <v>0.99407920000000005</v>
      </c>
      <c r="AB4037">
        <v>22</v>
      </c>
      <c r="AC4037">
        <v>-323.19040000000001</v>
      </c>
      <c r="AD4037">
        <v>3.5168680000000001</v>
      </c>
      <c r="AE4037">
        <v>15.728499999999899</v>
      </c>
      <c r="AF4037">
        <v>-35.180892830027197</v>
      </c>
      <c r="AG4037">
        <v>3.5168680000000001</v>
      </c>
      <c r="AH4037">
        <v>321.61621974900999</v>
      </c>
      <c r="AI4037">
        <v>89.3772112507949</v>
      </c>
      <c r="AJ4037">
        <v>96.242639433675805</v>
      </c>
      <c r="AK4037">
        <v>323.55379210649102</v>
      </c>
      <c r="AL4037">
        <v>86.053171412475095</v>
      </c>
      <c r="AM4037">
        <v>92.319221144354302</v>
      </c>
      <c r="AN4037">
        <v>1.0000000257935699</v>
      </c>
    </row>
    <row r="4038" spans="1:40" x14ac:dyDescent="0.25">
      <c r="A4038" t="str">
        <f>"20190312151107127"</f>
        <v>20190312151107127</v>
      </c>
      <c r="B4038" t="str">
        <f>"1552374667125398"</f>
        <v>1552374667125398</v>
      </c>
      <c r="C4038" t="s">
        <v>40</v>
      </c>
      <c r="D4038">
        <v>5.7766929999999999</v>
      </c>
      <c r="E4038">
        <v>0.4739794</v>
      </c>
      <c r="F4038" t="s">
        <v>82</v>
      </c>
      <c r="G4038">
        <v>-551.64380000000006</v>
      </c>
      <c r="H4038">
        <v>4.8824110000000003</v>
      </c>
      <c r="I4038">
        <v>149.8432</v>
      </c>
      <c r="J4038">
        <v>-227.99250000000001</v>
      </c>
      <c r="K4038">
        <v>1.108878</v>
      </c>
      <c r="L4038">
        <v>134.1516</v>
      </c>
      <c r="M4038">
        <v>-0.98710759999999997</v>
      </c>
      <c r="N4038">
        <v>0</v>
      </c>
      <c r="O4038">
        <v>0.15950400000000001</v>
      </c>
      <c r="P4038">
        <v>-0.99161299999999997</v>
      </c>
      <c r="Q4038">
        <v>5.5728050000000001E-2</v>
      </c>
      <c r="R4038">
        <v>0.1166112</v>
      </c>
      <c r="S4038">
        <v>-3.0061650000000002</v>
      </c>
      <c r="T4038">
        <v>3.5028339999999998E-2</v>
      </c>
      <c r="U4038">
        <v>0.14599609999999999</v>
      </c>
      <c r="V4038">
        <v>-4.28107E-2</v>
      </c>
      <c r="W4038">
        <v>6.9152740000000004E-2</v>
      </c>
      <c r="X4038">
        <v>0.99668710000000005</v>
      </c>
      <c r="Y4038">
        <v>-0.1114248</v>
      </c>
      <c r="Z4038">
        <v>2.4985609999999998E-3</v>
      </c>
      <c r="AA4038">
        <v>0.99376969999999998</v>
      </c>
      <c r="AB4038">
        <v>22</v>
      </c>
      <c r="AC4038">
        <v>-323.65129999999999</v>
      </c>
      <c r="AD4038">
        <v>3.773533</v>
      </c>
      <c r="AE4038">
        <v>15.6915999999999</v>
      </c>
      <c r="AF4038">
        <v>-36.132678447131099</v>
      </c>
      <c r="AG4038">
        <v>3.773533</v>
      </c>
      <c r="AH4038">
        <v>321.96637485972701</v>
      </c>
      <c r="AI4038">
        <v>89.332697336843793</v>
      </c>
      <c r="AJ4038">
        <v>96.403227196233203</v>
      </c>
      <c r="AK4038">
        <v>324.00950069925398</v>
      </c>
      <c r="AL4038">
        <v>86.034675197668307</v>
      </c>
      <c r="AM4038">
        <v>92.459513734772599</v>
      </c>
      <c r="AN4038">
        <v>1.0000000163952001</v>
      </c>
    </row>
    <row r="4039" spans="1:40" x14ac:dyDescent="0.25">
      <c r="A4039" t="str">
        <f>"20190312151107149"</f>
        <v>20190312151107149</v>
      </c>
      <c r="B4039" t="str">
        <f>"1552374667144917"</f>
        <v>1552374667144917</v>
      </c>
      <c r="C4039" t="s">
        <v>40</v>
      </c>
      <c r="D4039">
        <v>5.3737649999999997</v>
      </c>
      <c r="E4039">
        <v>0.47394619999999998</v>
      </c>
      <c r="F4039" t="s">
        <v>82</v>
      </c>
      <c r="G4039">
        <v>-552.39030000000002</v>
      </c>
      <c r="H4039">
        <v>5.014068</v>
      </c>
      <c r="I4039">
        <v>149.8432</v>
      </c>
      <c r="J4039">
        <v>-228.21190000000001</v>
      </c>
      <c r="K4039">
        <v>1.109011</v>
      </c>
      <c r="L4039">
        <v>134.1902</v>
      </c>
      <c r="M4039">
        <v>-0.98670959999999996</v>
      </c>
      <c r="N4039">
        <v>0</v>
      </c>
      <c r="O4039">
        <v>0.16195010000000001</v>
      </c>
      <c r="P4039">
        <v>-0.99166799999999999</v>
      </c>
      <c r="Q4039">
        <v>5.6172619999999999E-2</v>
      </c>
      <c r="R4039">
        <v>0.11592810000000001</v>
      </c>
      <c r="S4039">
        <v>-3.0062259999999998</v>
      </c>
      <c r="T4039">
        <v>3.6190149999999997E-2</v>
      </c>
      <c r="U4039">
        <v>0.145416299999999</v>
      </c>
      <c r="V4039">
        <v>-4.5986699999999998E-2</v>
      </c>
      <c r="W4039">
        <v>6.9574200000000003E-2</v>
      </c>
      <c r="X4039">
        <v>0.99651630000000002</v>
      </c>
      <c r="Y4039">
        <v>-0.1140781</v>
      </c>
      <c r="Z4039">
        <v>2.626438E-3</v>
      </c>
      <c r="AA4039">
        <v>0.99346829999999997</v>
      </c>
      <c r="AB4039">
        <v>22</v>
      </c>
      <c r="AC4039">
        <v>-324.17840000000001</v>
      </c>
      <c r="AD4039">
        <v>3.9050569999999998</v>
      </c>
      <c r="AE4039">
        <v>15.652999999999899</v>
      </c>
      <c r="AF4039">
        <v>-37.053662171579901</v>
      </c>
      <c r="AG4039">
        <v>3.9050569999999998</v>
      </c>
      <c r="AH4039">
        <v>322.38670139532098</v>
      </c>
      <c r="AI4039">
        <v>89.310550975864004</v>
      </c>
      <c r="AJ4039">
        <v>96.556546480612894</v>
      </c>
      <c r="AK4039">
        <v>324.53260019149798</v>
      </c>
      <c r="AL4039">
        <v>86.010469115366703</v>
      </c>
      <c r="AM4039">
        <v>92.642180396194505</v>
      </c>
      <c r="AN4039">
        <v>1.0000000410240999</v>
      </c>
    </row>
    <row r="4040" spans="1:40" x14ac:dyDescent="0.25">
      <c r="A4040" t="str">
        <f>"20190312151107170"</f>
        <v>20190312151107170</v>
      </c>
      <c r="B4040" t="str">
        <f>"1552374667165414"</f>
        <v>1552374667165414</v>
      </c>
      <c r="C4040" t="s">
        <v>40</v>
      </c>
      <c r="D4040">
        <v>5.4263219999999999</v>
      </c>
      <c r="E4040">
        <v>0.4738502</v>
      </c>
      <c r="F4040" t="s">
        <v>44</v>
      </c>
      <c r="G4040">
        <v>0</v>
      </c>
      <c r="H4040">
        <v>0</v>
      </c>
      <c r="I4040">
        <v>0</v>
      </c>
      <c r="J4040">
        <v>-228.4101</v>
      </c>
      <c r="K4040">
        <v>1.1091359999999999</v>
      </c>
      <c r="L4040">
        <v>134.2253</v>
      </c>
      <c r="M4040">
        <v>-0.98637940000000002</v>
      </c>
      <c r="N4040">
        <v>0</v>
      </c>
      <c r="O4040">
        <v>0.1639496</v>
      </c>
      <c r="P4040">
        <v>-0.99174470000000003</v>
      </c>
      <c r="Q4040">
        <v>5.5991449999999998E-2</v>
      </c>
      <c r="R4040">
        <v>0.11535819999999999</v>
      </c>
      <c r="S4040">
        <v>-3.0065309999999998</v>
      </c>
      <c r="T4040">
        <v>3.5051939999999997E-2</v>
      </c>
      <c r="U4040">
        <v>0.14289859999999999</v>
      </c>
      <c r="V4040">
        <v>-4.8604969999999997E-2</v>
      </c>
      <c r="W4040">
        <v>6.9370119999999993E-2</v>
      </c>
      <c r="X4040">
        <v>0.99640620000000002</v>
      </c>
      <c r="Y4040">
        <v>-0.1169269</v>
      </c>
      <c r="Z4040">
        <v>2.583278E-3</v>
      </c>
      <c r="AA4040">
        <v>0.99313720000000005</v>
      </c>
      <c r="AB4040">
        <v>22</v>
      </c>
      <c r="AC4040">
        <v>-3.0065309999999998</v>
      </c>
      <c r="AD4040">
        <v>3.5051939999999997E-2</v>
      </c>
      <c r="AE4040">
        <v>0.14289859999999999</v>
      </c>
      <c r="AF4040">
        <v>-0.35195060298693698</v>
      </c>
      <c r="AG4040">
        <v>3.5051939999999997E-2</v>
      </c>
      <c r="AH4040">
        <v>2.98886645062729</v>
      </c>
      <c r="AI4040">
        <v>89.332704385086899</v>
      </c>
      <c r="AJ4040">
        <v>96.715873233045201</v>
      </c>
      <c r="AK4040">
        <v>3.0097210045328202</v>
      </c>
      <c r="AL4040">
        <v>86.022190138273999</v>
      </c>
      <c r="AM4040">
        <v>92.792690290885005</v>
      </c>
      <c r="AN4040">
        <v>0.99999998602797702</v>
      </c>
    </row>
    <row r="4041" spans="1:40" x14ac:dyDescent="0.25">
      <c r="A4041" t="str">
        <f>"20190312151107194"</f>
        <v>20190312151107194</v>
      </c>
      <c r="B4041" t="str">
        <f>"1552374667184933"</f>
        <v>1552374667184933</v>
      </c>
      <c r="C4041" t="s">
        <v>40</v>
      </c>
      <c r="D4041">
        <v>5.3671509999999998</v>
      </c>
      <c r="E4041">
        <v>0.47412739999999998</v>
      </c>
      <c r="F4041" t="s">
        <v>44</v>
      </c>
      <c r="G4041">
        <v>0</v>
      </c>
      <c r="H4041">
        <v>0</v>
      </c>
      <c r="I4041">
        <v>0</v>
      </c>
      <c r="J4041">
        <v>-228.6454</v>
      </c>
      <c r="K4041">
        <v>1.1093059999999999</v>
      </c>
      <c r="L4041">
        <v>134.26730000000001</v>
      </c>
      <c r="M4041">
        <v>-0.98602440000000002</v>
      </c>
      <c r="N4041">
        <v>0</v>
      </c>
      <c r="O4041">
        <v>0.1660732</v>
      </c>
      <c r="P4041">
        <v>-0.99178770000000005</v>
      </c>
      <c r="Q4041">
        <v>5.5346899999999997E-2</v>
      </c>
      <c r="R4041">
        <v>0.11530079999999999</v>
      </c>
      <c r="S4041">
        <v>-3.0068049999999999</v>
      </c>
      <c r="T4041">
        <v>3.2813429999999998E-2</v>
      </c>
      <c r="U4041">
        <v>0.14025879999999999</v>
      </c>
      <c r="V4041">
        <v>-5.0846969999999998E-2</v>
      </c>
      <c r="W4041">
        <v>6.8692749999999997E-2</v>
      </c>
      <c r="X4041">
        <v>0.99634120000000004</v>
      </c>
      <c r="Y4041">
        <v>-0.1199412</v>
      </c>
      <c r="Z4041">
        <v>2.4574900000000001E-3</v>
      </c>
      <c r="AA4041">
        <v>0.99277789999999999</v>
      </c>
      <c r="AB4041">
        <v>22</v>
      </c>
      <c r="AC4041">
        <v>-3.0068049999999999</v>
      </c>
      <c r="AD4041">
        <v>3.2813429999999998E-2</v>
      </c>
      <c r="AE4041">
        <v>0.14025879999999999</v>
      </c>
      <c r="AF4041">
        <v>-0.36103992432144899</v>
      </c>
      <c r="AG4041">
        <v>3.2813429999999998E-2</v>
      </c>
      <c r="AH4041">
        <v>2.9879835932399601</v>
      </c>
      <c r="AI4041">
        <v>89.375357672884903</v>
      </c>
      <c r="AJ4041">
        <v>96.889684499167402</v>
      </c>
      <c r="AK4041">
        <v>3.00989576258275</v>
      </c>
      <c r="AL4041">
        <v>86.061093234175601</v>
      </c>
      <c r="AM4041">
        <v>92.921480656331994</v>
      </c>
      <c r="AN4041">
        <v>0.99999994753909005</v>
      </c>
    </row>
    <row r="4042" spans="1:40" x14ac:dyDescent="0.25">
      <c r="A4042" t="str">
        <f>"20190312151107216"</f>
        <v>20190312151107216</v>
      </c>
      <c r="B4042" t="str">
        <f>"1552374667205432"</f>
        <v>1552374667205432</v>
      </c>
      <c r="C4042" t="s">
        <v>40</v>
      </c>
      <c r="D4042">
        <v>5.3824949999999996</v>
      </c>
      <c r="E4042">
        <v>0.50405999999999995</v>
      </c>
      <c r="F4042" t="s">
        <v>44</v>
      </c>
      <c r="G4042">
        <v>0</v>
      </c>
      <c r="H4042">
        <v>0</v>
      </c>
      <c r="I4042">
        <v>0</v>
      </c>
      <c r="J4042">
        <v>-228.85570000000001</v>
      </c>
      <c r="K4042">
        <v>1.1094790000000001</v>
      </c>
      <c r="L4042">
        <v>134.3049</v>
      </c>
      <c r="M4042">
        <v>-0.98574499999999998</v>
      </c>
      <c r="N4042">
        <v>0</v>
      </c>
      <c r="O4042">
        <v>0.1677244</v>
      </c>
      <c r="P4042">
        <v>-0.99188390000000004</v>
      </c>
      <c r="Q4042">
        <v>5.4447290000000002E-2</v>
      </c>
      <c r="R4042">
        <v>0.1149</v>
      </c>
      <c r="S4042">
        <v>-3.0065919999999999</v>
      </c>
      <c r="T4042">
        <v>3.098762E-2</v>
      </c>
      <c r="U4042">
        <v>0.14195250000000001</v>
      </c>
      <c r="V4042">
        <v>-5.2958690000000003E-2</v>
      </c>
      <c r="W4042">
        <v>6.7762210000000003E-2</v>
      </c>
      <c r="X4042">
        <v>0.99629500000000004</v>
      </c>
      <c r="Y4042">
        <v>-0.12104429999999999</v>
      </c>
      <c r="Z4042">
        <v>2.343347E-3</v>
      </c>
      <c r="AA4042">
        <v>0.99264439999999998</v>
      </c>
      <c r="AB4042">
        <v>22</v>
      </c>
      <c r="AC4042">
        <v>-3.0065919999999999</v>
      </c>
      <c r="AD4042">
        <v>3.098762E-2</v>
      </c>
      <c r="AE4042">
        <v>0.14195250000000001</v>
      </c>
      <c r="AF4042">
        <v>-0.36434319901700102</v>
      </c>
      <c r="AG4042">
        <v>3.098762E-2</v>
      </c>
      <c r="AH4042">
        <v>2.9874872117119802</v>
      </c>
      <c r="AI4042">
        <v>89.410093032431206</v>
      </c>
      <c r="AJ4042">
        <v>96.953250196013201</v>
      </c>
      <c r="AK4042">
        <v>3.00978172620637</v>
      </c>
      <c r="AL4042">
        <v>86.114534115745201</v>
      </c>
      <c r="AM4042">
        <v>93.042729739217805</v>
      </c>
      <c r="AN4042">
        <v>1.0000000334877901</v>
      </c>
    </row>
    <row r="4043" spans="1:40" x14ac:dyDescent="0.25">
      <c r="A4043" t="str">
        <f>"20190312151107238"</f>
        <v>20190312151107238</v>
      </c>
      <c r="B4043" t="str">
        <f>"1552374667234709"</f>
        <v>1552374667234709</v>
      </c>
      <c r="C4043" t="s">
        <v>40</v>
      </c>
      <c r="D4043">
        <v>5.30091</v>
      </c>
      <c r="E4043">
        <v>0.50499369999999999</v>
      </c>
      <c r="F4043" t="s">
        <v>80</v>
      </c>
      <c r="G4043">
        <v>-459.875</v>
      </c>
      <c r="H4043">
        <v>6.9575539999999902</v>
      </c>
      <c r="I4043">
        <v>163.6027</v>
      </c>
      <c r="J4043">
        <v>-229.06989999999999</v>
      </c>
      <c r="K4043">
        <v>1.1096569999999999</v>
      </c>
      <c r="L4043">
        <v>134.3432</v>
      </c>
      <c r="M4043">
        <v>-0.98550190000000004</v>
      </c>
      <c r="N4043">
        <v>0</v>
      </c>
      <c r="O4043">
        <v>0.1691474</v>
      </c>
      <c r="P4043">
        <v>-0.99197469999999999</v>
      </c>
      <c r="Q4043">
        <v>5.4009559999999998E-2</v>
      </c>
      <c r="R4043">
        <v>0.1143204</v>
      </c>
      <c r="S4043">
        <v>-2.9766849999999998</v>
      </c>
      <c r="T4043">
        <v>7.5352429999999998E-2</v>
      </c>
      <c r="U4043">
        <v>0.37750240000000002</v>
      </c>
      <c r="V4043">
        <v>-5.5015019999999998E-2</v>
      </c>
      <c r="W4043">
        <v>6.7290730000000007E-2</v>
      </c>
      <c r="X4043">
        <v>0.99621550000000003</v>
      </c>
      <c r="Y4043">
        <v>-4.3752729999999997E-2</v>
      </c>
      <c r="Z4043">
        <v>4.7891330000000001E-3</v>
      </c>
      <c r="AA4043">
        <v>0.99903090000000005</v>
      </c>
      <c r="AB4043">
        <v>22</v>
      </c>
      <c r="AC4043">
        <v>-230.80510000000001</v>
      </c>
      <c r="AD4043">
        <v>5.8478969999999997</v>
      </c>
      <c r="AE4043">
        <v>29.259499999999999</v>
      </c>
      <c r="AF4043">
        <v>-10.1992396396522</v>
      </c>
      <c r="AG4043">
        <v>5.8478969999999997</v>
      </c>
      <c r="AH4043">
        <v>232.28163294428401</v>
      </c>
      <c r="AI4043">
        <v>88.559220014100006</v>
      </c>
      <c r="AJ4043">
        <v>92.514181839348794</v>
      </c>
      <c r="AK4043">
        <v>232.578974526531</v>
      </c>
      <c r="AL4043">
        <v>86.141609633612404</v>
      </c>
      <c r="AM4043">
        <v>93.160892363415996</v>
      </c>
      <c r="AN4043">
        <v>1.0000000086048899</v>
      </c>
    </row>
    <row r="4044" spans="1:40" x14ac:dyDescent="0.25">
      <c r="A4044" t="str">
        <f>"20190312151107260"</f>
        <v>20190312151107260</v>
      </c>
      <c r="B4044" t="str">
        <f>"1552374667255206"</f>
        <v>1552374667255206</v>
      </c>
      <c r="C4044" t="s">
        <v>40</v>
      </c>
      <c r="D4044">
        <v>5.4907370000000002</v>
      </c>
      <c r="E4044">
        <v>0.50555839999999996</v>
      </c>
      <c r="F4044" t="s">
        <v>80</v>
      </c>
      <c r="G4044">
        <v>-459.875</v>
      </c>
      <c r="H4044">
        <v>6.5150550000000003</v>
      </c>
      <c r="I4044">
        <v>164.04669999999999</v>
      </c>
      <c r="J4044">
        <v>-229.28190000000001</v>
      </c>
      <c r="K4044">
        <v>1.109831</v>
      </c>
      <c r="L4044">
        <v>134.3811</v>
      </c>
      <c r="M4044">
        <v>-0.9853113</v>
      </c>
      <c r="N4044">
        <v>0</v>
      </c>
      <c r="O4044">
        <v>0.17025570000000001</v>
      </c>
      <c r="P4044">
        <v>-0.99196510000000004</v>
      </c>
      <c r="Q4044">
        <v>5.4539740000000003E-2</v>
      </c>
      <c r="R4044">
        <v>0.11415359999999999</v>
      </c>
      <c r="S4044">
        <v>-2.9763489999999999</v>
      </c>
      <c r="T4044">
        <v>6.9705370000000003E-2</v>
      </c>
      <c r="U4044">
        <v>0.38304139999999998</v>
      </c>
      <c r="V4044">
        <v>-5.6327969999999998E-2</v>
      </c>
      <c r="W4044">
        <v>6.7785520000000002E-2</v>
      </c>
      <c r="X4044">
        <v>0.99610860000000001</v>
      </c>
      <c r="Y4044">
        <v>-4.3042490000000003E-2</v>
      </c>
      <c r="Z4044">
        <v>4.4472920000000003E-3</v>
      </c>
      <c r="AA4044">
        <v>0.99906340000000005</v>
      </c>
      <c r="AB4044">
        <v>22</v>
      </c>
      <c r="AC4044">
        <v>-230.59309999999999</v>
      </c>
      <c r="AD4044">
        <v>5.4052239999999996</v>
      </c>
      <c r="AE4044">
        <v>29.665599999999898</v>
      </c>
      <c r="AF4044">
        <v>-10.0253958246964</v>
      </c>
      <c r="AG4044">
        <v>5.4052239999999996</v>
      </c>
      <c r="AH4044">
        <v>232.151526977522</v>
      </c>
      <c r="AI4044">
        <v>88.667454994248004</v>
      </c>
      <c r="AJ4044">
        <v>92.472765083128195</v>
      </c>
      <c r="AK4044">
        <v>232.43075632524901</v>
      </c>
      <c r="AL4044">
        <v>86.113195459506898</v>
      </c>
      <c r="AM4044">
        <v>93.2365160985849</v>
      </c>
      <c r="AN4044">
        <v>1.0000000299599701</v>
      </c>
    </row>
    <row r="4045" spans="1:40" x14ac:dyDescent="0.25">
      <c r="A4045" t="str">
        <f>"20190312151107283"</f>
        <v>20190312151107283</v>
      </c>
      <c r="B4045" t="str">
        <f>"1552374667274726"</f>
        <v>1552374667274726</v>
      </c>
      <c r="C4045" t="s">
        <v>40</v>
      </c>
      <c r="D4045">
        <v>5.0249050000000004</v>
      </c>
      <c r="E4045">
        <v>0.50815180000000004</v>
      </c>
      <c r="F4045" t="s">
        <v>80</v>
      </c>
      <c r="G4045">
        <v>-459.875</v>
      </c>
      <c r="H4045">
        <v>6.8170330000000003</v>
      </c>
      <c r="I4045">
        <v>164.3724</v>
      </c>
      <c r="J4045">
        <v>-229.50489999999999</v>
      </c>
      <c r="K4045">
        <v>1.10998</v>
      </c>
      <c r="L4045">
        <v>134.42099999999999</v>
      </c>
      <c r="M4045">
        <v>-0.98515359999999996</v>
      </c>
      <c r="N4045">
        <v>0</v>
      </c>
      <c r="O4045">
        <v>0.17116609999999999</v>
      </c>
      <c r="P4045">
        <v>-0.99183639999999995</v>
      </c>
      <c r="Q4045">
        <v>5.4118020000000003E-2</v>
      </c>
      <c r="R4045">
        <v>0.1154637</v>
      </c>
      <c r="S4045">
        <v>-2.975708</v>
      </c>
      <c r="T4045">
        <v>7.3649049999999994E-2</v>
      </c>
      <c r="U4045">
        <v>0.38702389999999998</v>
      </c>
      <c r="V4045">
        <v>-5.5962999999999999E-2</v>
      </c>
      <c r="W4045">
        <v>6.7331669999999996E-2</v>
      </c>
      <c r="X4045">
        <v>0.99615989999999999</v>
      </c>
      <c r="Y4045">
        <v>-4.261653E-2</v>
      </c>
      <c r="Z4045">
        <v>4.7161249999999998E-3</v>
      </c>
      <c r="AA4045">
        <v>0.99908039999999998</v>
      </c>
      <c r="AB4045">
        <v>22</v>
      </c>
      <c r="AC4045">
        <v>-230.37010000000001</v>
      </c>
      <c r="AD4045">
        <v>5.7070530000000002</v>
      </c>
      <c r="AE4045">
        <v>29.9514</v>
      </c>
      <c r="AF4045">
        <v>-9.9197016043200392</v>
      </c>
      <c r="AG4045">
        <v>5.7070530000000002</v>
      </c>
      <c r="AH4045">
        <v>231.956864247466</v>
      </c>
      <c r="AI4045">
        <v>88.591868911874499</v>
      </c>
      <c r="AJ4045">
        <v>92.448778284094203</v>
      </c>
      <c r="AK4045">
        <v>232.239010085259</v>
      </c>
      <c r="AL4045">
        <v>86.139258496977803</v>
      </c>
      <c r="AM4045">
        <v>93.215424401282206</v>
      </c>
      <c r="AN4045">
        <v>0.999999978760999</v>
      </c>
    </row>
    <row r="4046" spans="1:40" x14ac:dyDescent="0.25">
      <c r="A4046" t="str">
        <f>"20190312151107305"</f>
        <v>20190312151107305</v>
      </c>
      <c r="B4046" t="str">
        <f>"1552374667294771"</f>
        <v>1552374667294771</v>
      </c>
      <c r="C4046" t="s">
        <v>40</v>
      </c>
      <c r="D4046">
        <v>5.3732610000000003</v>
      </c>
      <c r="E4046">
        <v>0.50861029999999996</v>
      </c>
      <c r="F4046" t="s">
        <v>75</v>
      </c>
      <c r="G4046">
        <v>-451.41419999999999</v>
      </c>
      <c r="H4046">
        <v>5.7679269999999896</v>
      </c>
      <c r="I4046">
        <v>165.1319</v>
      </c>
      <c r="J4046">
        <v>-229.7235</v>
      </c>
      <c r="K4046">
        <v>1.110112</v>
      </c>
      <c r="L4046">
        <v>134.4599</v>
      </c>
      <c r="M4046">
        <v>-0.98504100000000006</v>
      </c>
      <c r="N4046">
        <v>0</v>
      </c>
      <c r="O4046">
        <v>0.17181459999999901</v>
      </c>
      <c r="P4046">
        <v>-0.99188509999999996</v>
      </c>
      <c r="Q4046">
        <v>5.292881E-2</v>
      </c>
      <c r="R4046">
        <v>0.1155968</v>
      </c>
      <c r="S4046">
        <v>-2.9734039999999999</v>
      </c>
      <c r="T4046">
        <v>6.2413219999999998E-2</v>
      </c>
      <c r="U4046">
        <v>0.411499</v>
      </c>
      <c r="V4046">
        <v>-5.6519079999999999E-2</v>
      </c>
      <c r="W4046">
        <v>6.6116060000000004E-2</v>
      </c>
      <c r="X4046">
        <v>0.99620989999999998</v>
      </c>
      <c r="Y4046">
        <v>-3.5115359999999998E-2</v>
      </c>
      <c r="Z4046">
        <v>3.9320450000000003E-3</v>
      </c>
      <c r="AA4046">
        <v>0.99937549999999997</v>
      </c>
      <c r="AB4046">
        <v>22</v>
      </c>
      <c r="AC4046">
        <v>-221.69069999999999</v>
      </c>
      <c r="AD4046">
        <v>4.6578149999999896</v>
      </c>
      <c r="AE4046">
        <v>30.672000000000001</v>
      </c>
      <c r="AF4046">
        <v>-7.87379611989269</v>
      </c>
      <c r="AG4046">
        <v>4.6578149999999896</v>
      </c>
      <c r="AH4046">
        <v>223.566945408712</v>
      </c>
      <c r="AI4046">
        <v>88.807206262316299</v>
      </c>
      <c r="AJ4046">
        <v>92.017064278364202</v>
      </c>
      <c r="AK4046">
        <v>223.75404127142301</v>
      </c>
      <c r="AL4046">
        <v>86.209063286612604</v>
      </c>
      <c r="AM4046">
        <v>93.247144000228602</v>
      </c>
      <c r="AN4046">
        <v>0.99999995232598804</v>
      </c>
    </row>
    <row r="4047" spans="1:40" x14ac:dyDescent="0.25">
      <c r="A4047" t="str">
        <f>"20190312151107328"</f>
        <v>20190312151107328</v>
      </c>
      <c r="B4047" t="str">
        <f>"1552374667325028"</f>
        <v>1552374667325028</v>
      </c>
      <c r="C4047" t="s">
        <v>40</v>
      </c>
      <c r="D4047">
        <v>5.2122929999999998</v>
      </c>
      <c r="E4047">
        <v>0.50902579999999997</v>
      </c>
      <c r="F4047" t="s">
        <v>81</v>
      </c>
      <c r="G4047">
        <v>-442.67500000000001</v>
      </c>
      <c r="H4047">
        <v>5.453379</v>
      </c>
      <c r="I4047">
        <v>164.21260000000001</v>
      </c>
      <c r="J4047">
        <v>-229.9442</v>
      </c>
      <c r="K4047">
        <v>1.1102369999999999</v>
      </c>
      <c r="L4047">
        <v>134.4992</v>
      </c>
      <c r="M4047">
        <v>-0.98497069999999998</v>
      </c>
      <c r="N4047">
        <v>0</v>
      </c>
      <c r="O4047">
        <v>0.1722175</v>
      </c>
      <c r="P4047">
        <v>-0.99190239999999996</v>
      </c>
      <c r="Q4047">
        <v>5.2136290000000002E-2</v>
      </c>
      <c r="R4047">
        <v>0.1158087</v>
      </c>
      <c r="S4047">
        <v>-2.9728850000000002</v>
      </c>
      <c r="T4047">
        <v>6.0634140000000003E-2</v>
      </c>
      <c r="U4047">
        <v>0.41535949999999999</v>
      </c>
      <c r="V4047">
        <v>-5.6741609999999998E-2</v>
      </c>
      <c r="W4047">
        <v>6.5297190000000005E-2</v>
      </c>
      <c r="X4047">
        <v>0.99625129999999995</v>
      </c>
      <c r="Y4047">
        <v>-3.4229879999999997E-2</v>
      </c>
      <c r="Z4047">
        <v>3.819261E-3</v>
      </c>
      <c r="AA4047">
        <v>0.99940669999999998</v>
      </c>
      <c r="AB4047">
        <v>22</v>
      </c>
      <c r="AC4047">
        <v>-212.73079999999999</v>
      </c>
      <c r="AD4047">
        <v>4.3431419999999896</v>
      </c>
      <c r="AE4047">
        <v>29.7134</v>
      </c>
      <c r="AF4047">
        <v>-7.3667669602322103</v>
      </c>
      <c r="AG4047">
        <v>4.3431419999999896</v>
      </c>
      <c r="AH4047">
        <v>214.58170357961501</v>
      </c>
      <c r="AI4047">
        <v>88.841172031762994</v>
      </c>
      <c r="AJ4047">
        <v>91.966239161267197</v>
      </c>
      <c r="AK4047">
        <v>214.75204224641999</v>
      </c>
      <c r="AL4047">
        <v>86.256082847467397</v>
      </c>
      <c r="AM4047">
        <v>93.259766137582801</v>
      </c>
      <c r="AN4047">
        <v>0.99999999303948905</v>
      </c>
    </row>
    <row r="4048" spans="1:40" x14ac:dyDescent="0.25">
      <c r="A4048" t="str">
        <f>"20190312151107351"</f>
        <v>20190312151107351</v>
      </c>
      <c r="B4048" t="str">
        <f>"1552374667345524"</f>
        <v>1552374667345524</v>
      </c>
      <c r="C4048" t="s">
        <v>40</v>
      </c>
      <c r="D4048">
        <v>5.4178930000000003</v>
      </c>
      <c r="E4048">
        <v>0.50906720000000005</v>
      </c>
      <c r="F4048" t="s">
        <v>46</v>
      </c>
      <c r="G4048">
        <v>-434.13339999999999</v>
      </c>
      <c r="H4048">
        <v>5.0447870000000004</v>
      </c>
      <c r="I4048">
        <v>163.29069999999999</v>
      </c>
      <c r="J4048">
        <v>-230.1627</v>
      </c>
      <c r="K4048">
        <v>1.110368</v>
      </c>
      <c r="L4048">
        <v>134.5378</v>
      </c>
      <c r="M4048">
        <v>-0.98494199999999998</v>
      </c>
      <c r="N4048">
        <v>0</v>
      </c>
      <c r="O4048">
        <v>0.1723819</v>
      </c>
      <c r="P4048">
        <v>-0.99189870000000002</v>
      </c>
      <c r="Q4048">
        <v>5.193362E-2</v>
      </c>
      <c r="R4048">
        <v>0.1159313</v>
      </c>
      <c r="S4048">
        <v>-2.9725649999999999</v>
      </c>
      <c r="T4048">
        <v>5.7278750000000003E-2</v>
      </c>
      <c r="U4048">
        <v>0.41914370000000001</v>
      </c>
      <c r="V4048">
        <v>-5.6807539999999997E-2</v>
      </c>
      <c r="W4048">
        <v>6.5069279999999993E-2</v>
      </c>
      <c r="X4048">
        <v>0.99626250000000005</v>
      </c>
      <c r="Y4048">
        <v>-3.3138849999999997E-2</v>
      </c>
      <c r="Z4048">
        <v>3.6005659999999999E-3</v>
      </c>
      <c r="AA4048">
        <v>0.9994442</v>
      </c>
      <c r="AB4048">
        <v>22</v>
      </c>
      <c r="AC4048">
        <v>-203.97069999999999</v>
      </c>
      <c r="AD4048">
        <v>3.9344190000000001</v>
      </c>
      <c r="AE4048">
        <v>28.752899999999901</v>
      </c>
      <c r="AF4048">
        <v>-6.8390172973816199</v>
      </c>
      <c r="AG4048">
        <v>3.9344190000000001</v>
      </c>
      <c r="AH4048">
        <v>205.798593744605</v>
      </c>
      <c r="AI4048">
        <v>88.905367539119595</v>
      </c>
      <c r="AJ4048">
        <v>91.903330200450398</v>
      </c>
      <c r="AK4048">
        <v>205.94978270859701</v>
      </c>
      <c r="AL4048">
        <v>86.269169128076101</v>
      </c>
      <c r="AM4048">
        <v>93.263508978477304</v>
      </c>
      <c r="AN4048">
        <v>1.0000000383534</v>
      </c>
    </row>
    <row r="4049" spans="1:40" x14ac:dyDescent="0.25">
      <c r="A4049" t="str">
        <f>"20190312151107370"</f>
        <v>20190312151107370</v>
      </c>
      <c r="B4049" t="str">
        <f>"1552374667365043"</f>
        <v>1552374667365043</v>
      </c>
      <c r="C4049" t="s">
        <v>40</v>
      </c>
      <c r="D4049">
        <v>5.441408</v>
      </c>
      <c r="E4049">
        <v>0.50891540000000002</v>
      </c>
      <c r="F4049" t="s">
        <v>81</v>
      </c>
      <c r="G4049">
        <v>-441.89409999999998</v>
      </c>
      <c r="H4049">
        <v>5.0466300000000004</v>
      </c>
      <c r="I4049">
        <v>164.43190000000001</v>
      </c>
      <c r="J4049">
        <v>-230.34809999999999</v>
      </c>
      <c r="K4049">
        <v>1.1104810000000001</v>
      </c>
      <c r="L4049">
        <v>134.57040000000001</v>
      </c>
      <c r="M4049">
        <v>-0.98494769999999998</v>
      </c>
      <c r="N4049">
        <v>0</v>
      </c>
      <c r="O4049">
        <v>0.17235010000000001</v>
      </c>
      <c r="P4049">
        <v>-0.99187369999999997</v>
      </c>
      <c r="Q4049">
        <v>5.1600970000000003E-2</v>
      </c>
      <c r="R4049">
        <v>0.1162933</v>
      </c>
      <c r="S4049">
        <v>-2.9725649999999999</v>
      </c>
      <c r="T4049">
        <v>5.5263039999999999E-2</v>
      </c>
      <c r="U4049">
        <v>0.41969299999999998</v>
      </c>
      <c r="V4049">
        <v>-5.6433539999999997E-2</v>
      </c>
      <c r="W4049">
        <v>6.4715729999999999E-2</v>
      </c>
      <c r="X4049">
        <v>0.99630669999999999</v>
      </c>
      <c r="Y4049">
        <v>-3.2928140000000002E-2</v>
      </c>
      <c r="Z4049">
        <v>3.4712969999999999E-3</v>
      </c>
      <c r="AA4049">
        <v>0.99945170000000005</v>
      </c>
      <c r="AB4049">
        <v>22</v>
      </c>
      <c r="AC4049">
        <v>-211.54599999999999</v>
      </c>
      <c r="AD4049">
        <v>3.9361489999999999</v>
      </c>
      <c r="AE4049">
        <v>29.861499999999999</v>
      </c>
      <c r="AF4049">
        <v>-7.0461781348354604</v>
      </c>
      <c r="AG4049">
        <v>3.9361489999999999</v>
      </c>
      <c r="AH4049">
        <v>213.45444456388699</v>
      </c>
      <c r="AI4049">
        <v>88.944147375174794</v>
      </c>
      <c r="AJ4049">
        <v>91.890659740806399</v>
      </c>
      <c r="AK4049">
        <v>213.60697975332101</v>
      </c>
      <c r="AL4049">
        <v>86.289468528172804</v>
      </c>
      <c r="AM4049">
        <v>93.241925693483907</v>
      </c>
      <c r="AN4049">
        <v>0.99999995530562602</v>
      </c>
    </row>
    <row r="4050" spans="1:40" x14ac:dyDescent="0.25">
      <c r="A4050" t="str">
        <f>"20190312151107395"</f>
        <v>20190312151107395</v>
      </c>
      <c r="B4050" t="str">
        <f>"1552374667385545"</f>
        <v>1552374667385545</v>
      </c>
      <c r="C4050" t="s">
        <v>40</v>
      </c>
      <c r="D4050">
        <v>5.3295849999999998</v>
      </c>
      <c r="E4050">
        <v>0.5088722</v>
      </c>
      <c r="F4050" t="s">
        <v>46</v>
      </c>
      <c r="G4050">
        <v>-434.21460000000002</v>
      </c>
      <c r="H4050">
        <v>4.8919259999999998</v>
      </c>
      <c r="I4050">
        <v>163.3408</v>
      </c>
      <c r="J4050">
        <v>-230.5814</v>
      </c>
      <c r="K4050">
        <v>1.1106370000000001</v>
      </c>
      <c r="L4050">
        <v>134.6112</v>
      </c>
      <c r="M4050">
        <v>-0.98499110000000001</v>
      </c>
      <c r="N4050">
        <v>0</v>
      </c>
      <c r="O4050">
        <v>0.17210220000000001</v>
      </c>
      <c r="P4050">
        <v>-0.99194300000000002</v>
      </c>
      <c r="Q4050">
        <v>5.1669699999999999E-2</v>
      </c>
      <c r="R4050">
        <v>0.11566940000000001</v>
      </c>
      <c r="S4050">
        <v>-2.972534</v>
      </c>
      <c r="T4050">
        <v>5.5136440000000002E-2</v>
      </c>
      <c r="U4050">
        <v>0.4194946</v>
      </c>
      <c r="V4050">
        <v>-5.683291E-2</v>
      </c>
      <c r="W4050">
        <v>6.4758079999999996E-2</v>
      </c>
      <c r="X4050">
        <v>0.99628130000000004</v>
      </c>
      <c r="Y4050">
        <v>-3.2740690000000003E-2</v>
      </c>
      <c r="Z4050">
        <v>3.4571749999999998E-3</v>
      </c>
      <c r="AA4050">
        <v>0.99945790000000001</v>
      </c>
      <c r="AB4050">
        <v>22</v>
      </c>
      <c r="AC4050">
        <v>-203.63319999999999</v>
      </c>
      <c r="AD4050">
        <v>3.7812890000000001</v>
      </c>
      <c r="AE4050">
        <v>28.729600000000001</v>
      </c>
      <c r="AF4050">
        <v>-6.7456257806273001</v>
      </c>
      <c r="AG4050">
        <v>3.7812890000000001</v>
      </c>
      <c r="AH4050">
        <v>205.46966879214801</v>
      </c>
      <c r="AI4050">
        <v>88.946263816240702</v>
      </c>
      <c r="AJ4050">
        <v>91.880360837888702</v>
      </c>
      <c r="AK4050">
        <v>205.61514148337599</v>
      </c>
      <c r="AL4050">
        <v>86.287037149613695</v>
      </c>
      <c r="AM4050">
        <v>93.264901817844702</v>
      </c>
      <c r="AN4050">
        <v>1.00000000865702</v>
      </c>
    </row>
    <row r="4051" spans="1:40" x14ac:dyDescent="0.25">
      <c r="A4051" t="str">
        <f>"20190312151107416"</f>
        <v>20190312151107416</v>
      </c>
      <c r="B4051" t="str">
        <f>"1552374667414759"</f>
        <v>1552374667414759</v>
      </c>
      <c r="C4051" t="s">
        <v>40</v>
      </c>
      <c r="D4051">
        <v>5.2218830000000001</v>
      </c>
      <c r="E4051">
        <v>0.50879989999999997</v>
      </c>
      <c r="F4051" t="s">
        <v>46</v>
      </c>
      <c r="G4051">
        <v>-434.13499999999999</v>
      </c>
      <c r="H4051">
        <v>4.9442279999999998</v>
      </c>
      <c r="I4051">
        <v>163.17590000000001</v>
      </c>
      <c r="J4051">
        <v>-230.79300000000001</v>
      </c>
      <c r="K4051">
        <v>1.110771</v>
      </c>
      <c r="L4051">
        <v>134.64779999999999</v>
      </c>
      <c r="M4051">
        <v>-0.98506729999999998</v>
      </c>
      <c r="N4051">
        <v>0</v>
      </c>
      <c r="O4051">
        <v>0.17166609999999999</v>
      </c>
      <c r="P4051">
        <v>-0.99211170000000004</v>
      </c>
      <c r="Q4051">
        <v>5.2707780000000003E-2</v>
      </c>
      <c r="R4051">
        <v>0.1137382</v>
      </c>
      <c r="S4051">
        <v>-2.9728089999999998</v>
      </c>
      <c r="T4051">
        <v>5.5987830000000002E-2</v>
      </c>
      <c r="U4051">
        <v>0.41717530000000003</v>
      </c>
      <c r="V4051">
        <v>-5.8344439999999997E-2</v>
      </c>
      <c r="W4051">
        <v>6.5769670000000002E-2</v>
      </c>
      <c r="X4051">
        <v>0.99612769999999995</v>
      </c>
      <c r="Y4051">
        <v>-3.3074510000000001E-2</v>
      </c>
      <c r="Z4051">
        <v>3.5055669999999998E-3</v>
      </c>
      <c r="AA4051">
        <v>0.99944670000000002</v>
      </c>
      <c r="AB4051">
        <v>22</v>
      </c>
      <c r="AC4051">
        <v>-203.34200000000001</v>
      </c>
      <c r="AD4051">
        <v>3.8334570000000001</v>
      </c>
      <c r="AE4051">
        <v>28.528099999999998</v>
      </c>
      <c r="AF4051">
        <v>-6.8030477348491596</v>
      </c>
      <c r="AG4051">
        <v>3.8334570000000001</v>
      </c>
      <c r="AH4051">
        <v>205.14912763394699</v>
      </c>
      <c r="AI4051">
        <v>88.930072359988998</v>
      </c>
      <c r="AJ4051">
        <v>91.899316567177294</v>
      </c>
      <c r="AK4051">
        <v>205.29768975812399</v>
      </c>
      <c r="AL4051">
        <v>86.228953667871593</v>
      </c>
      <c r="AM4051">
        <v>93.352055487674704</v>
      </c>
      <c r="AN4051">
        <v>1.0000000589390501</v>
      </c>
    </row>
    <row r="4052" spans="1:40" x14ac:dyDescent="0.25">
      <c r="A4052" t="str">
        <f>"20190312151107440"</f>
        <v>20190312151107440</v>
      </c>
      <c r="B4052" t="str">
        <f>"1552374667435255"</f>
        <v>1552374667435255</v>
      </c>
      <c r="C4052" t="s">
        <v>40</v>
      </c>
      <c r="D4052">
        <v>5.0146509999999997</v>
      </c>
      <c r="E4052">
        <v>0.50907150000000001</v>
      </c>
      <c r="F4052" t="s">
        <v>80</v>
      </c>
      <c r="G4052">
        <v>-459.875</v>
      </c>
      <c r="H4052">
        <v>5.6889379999999896</v>
      </c>
      <c r="I4052">
        <v>166.2901</v>
      </c>
      <c r="J4052">
        <v>-231.00810000000001</v>
      </c>
      <c r="K4052">
        <v>1.110895</v>
      </c>
      <c r="L4052">
        <v>134.68459999999999</v>
      </c>
      <c r="M4052">
        <v>-0.98518130000000004</v>
      </c>
      <c r="N4052">
        <v>0</v>
      </c>
      <c r="O4052">
        <v>0.17101069999999999</v>
      </c>
      <c r="P4052">
        <v>-0.99232339999999997</v>
      </c>
      <c r="Q4052">
        <v>5.4294149999999999E-2</v>
      </c>
      <c r="R4052">
        <v>0.11111509999999999</v>
      </c>
      <c r="S4052">
        <v>-2.9736180000000001</v>
      </c>
      <c r="T4052">
        <v>5.9427260000000003E-2</v>
      </c>
      <c r="U4052">
        <v>0.41073609999999999</v>
      </c>
      <c r="V4052">
        <v>-6.032349E-2</v>
      </c>
      <c r="W4052">
        <v>6.733024E-2</v>
      </c>
      <c r="X4052">
        <v>0.9959055</v>
      </c>
      <c r="Y4052">
        <v>-3.4565539999999999E-2</v>
      </c>
      <c r="Z4052">
        <v>3.7226030000000001E-3</v>
      </c>
      <c r="AA4052">
        <v>0.99939549999999999</v>
      </c>
      <c r="AB4052">
        <v>22</v>
      </c>
      <c r="AC4052">
        <v>-228.86689999999999</v>
      </c>
      <c r="AD4052">
        <v>4.5780429999999903</v>
      </c>
      <c r="AE4052">
        <v>31.605499999999999</v>
      </c>
      <c r="AF4052">
        <v>-7.99909328041743</v>
      </c>
      <c r="AG4052">
        <v>4.5780429999999903</v>
      </c>
      <c r="AH4052">
        <v>230.80963535204</v>
      </c>
      <c r="AI4052">
        <v>88.864385224323399</v>
      </c>
      <c r="AJ4052">
        <v>91.984886483996902</v>
      </c>
      <c r="AK4052">
        <v>230.99357511056499</v>
      </c>
      <c r="AL4052">
        <v>86.139340794297595</v>
      </c>
      <c r="AM4052">
        <v>93.466256325081702</v>
      </c>
      <c r="AN4052">
        <v>1.00000002479724</v>
      </c>
    </row>
    <row r="4053" spans="1:40" x14ac:dyDescent="0.25">
      <c r="A4053" t="str">
        <f>"20190312151107460"</f>
        <v>20190312151107460</v>
      </c>
      <c r="B4053" t="str">
        <f>"1552374667454775"</f>
        <v>1552374667454775</v>
      </c>
      <c r="C4053" t="s">
        <v>40</v>
      </c>
      <c r="D4053">
        <v>5.2726949999999997</v>
      </c>
      <c r="E4053">
        <v>0.50901770000000002</v>
      </c>
      <c r="F4053" t="s">
        <v>80</v>
      </c>
      <c r="G4053">
        <v>-459.875</v>
      </c>
      <c r="H4053">
        <v>6.2655079999999996</v>
      </c>
      <c r="I4053">
        <v>165.85579999999999</v>
      </c>
      <c r="J4053">
        <v>-231.21279999999999</v>
      </c>
      <c r="K4053">
        <v>1.1110009999999999</v>
      </c>
      <c r="L4053">
        <v>134.7193</v>
      </c>
      <c r="M4053">
        <v>-0.98532070000000005</v>
      </c>
      <c r="N4053">
        <v>0</v>
      </c>
      <c r="O4053">
        <v>0.17020539999999901</v>
      </c>
      <c r="P4053">
        <v>-0.99269439999999998</v>
      </c>
      <c r="Q4053">
        <v>5.481892E-2</v>
      </c>
      <c r="R4053">
        <v>0.107483</v>
      </c>
      <c r="S4053">
        <v>-2.974167</v>
      </c>
      <c r="T4053">
        <v>6.6985130000000004E-2</v>
      </c>
      <c r="U4053">
        <v>0.40507510000000002</v>
      </c>
      <c r="V4053">
        <v>-6.3168989999999994E-2</v>
      </c>
      <c r="W4053">
        <v>6.7830249999999995E-2</v>
      </c>
      <c r="X4053">
        <v>0.99569510000000006</v>
      </c>
      <c r="Y4053">
        <v>-3.5629929999999997E-2</v>
      </c>
      <c r="Z4053">
        <v>4.1900339999999996E-3</v>
      </c>
      <c r="AA4053">
        <v>0.99935629999999998</v>
      </c>
      <c r="AB4053">
        <v>22</v>
      </c>
      <c r="AC4053">
        <v>-228.66220000000001</v>
      </c>
      <c r="AD4053">
        <v>5.1545069999999997</v>
      </c>
      <c r="AE4053">
        <v>31.136499999999899</v>
      </c>
      <c r="AF4053">
        <v>-8.2367078617331906</v>
      </c>
      <c r="AG4053">
        <v>5.1545069999999997</v>
      </c>
      <c r="AH4053">
        <v>230.51017729926801</v>
      </c>
      <c r="AI4053">
        <v>88.719822165270301</v>
      </c>
      <c r="AJ4053">
        <v>92.046451493142797</v>
      </c>
      <c r="AK4053">
        <v>230.71487628099001</v>
      </c>
      <c r="AL4053">
        <v>86.110626583160496</v>
      </c>
      <c r="AM4053">
        <v>93.630099635829694</v>
      </c>
      <c r="AN4053">
        <v>0.99999999813834595</v>
      </c>
    </row>
    <row r="4054" spans="1:40" x14ac:dyDescent="0.25">
      <c r="A4054" t="str">
        <f>"20190312151107484"</f>
        <v>20190312151107484</v>
      </c>
      <c r="B4054" t="str">
        <f>"1552374667475271"</f>
        <v>1552374667475271</v>
      </c>
      <c r="C4054" t="s">
        <v>40</v>
      </c>
      <c r="D4054">
        <v>5.2538710000000002</v>
      </c>
      <c r="E4054">
        <v>0.50895420000000002</v>
      </c>
      <c r="F4054" t="s">
        <v>80</v>
      </c>
      <c r="G4054">
        <v>-459.875</v>
      </c>
      <c r="H4054">
        <v>6.3114970000000001</v>
      </c>
      <c r="I4054">
        <v>164.97030000000001</v>
      </c>
      <c r="J4054">
        <v>-231.4359</v>
      </c>
      <c r="K4054">
        <v>1.111084</v>
      </c>
      <c r="L4054">
        <v>134.7567</v>
      </c>
      <c r="M4054">
        <v>-0.98549799999999999</v>
      </c>
      <c r="N4054">
        <v>0</v>
      </c>
      <c r="O4054">
        <v>0.16917660000000001</v>
      </c>
      <c r="P4054">
        <v>-0.99299999999999999</v>
      </c>
      <c r="Q4054">
        <v>5.5328889999999999E-2</v>
      </c>
      <c r="R4054">
        <v>0.1043549</v>
      </c>
      <c r="S4054">
        <v>-2.9757389999999999</v>
      </c>
      <c r="T4054">
        <v>6.7677619999999994E-2</v>
      </c>
      <c r="U4054">
        <v>0.39367679999999999</v>
      </c>
      <c r="V4054">
        <v>-6.5278500000000003E-2</v>
      </c>
      <c r="W4054">
        <v>6.8318809999999994E-2</v>
      </c>
      <c r="X4054">
        <v>0.99552560000000001</v>
      </c>
      <c r="Y4054">
        <v>-3.8415709999999999E-2</v>
      </c>
      <c r="Z4054">
        <v>4.2411369999999999E-3</v>
      </c>
      <c r="AA4054">
        <v>0.9992529</v>
      </c>
      <c r="AB4054">
        <v>22</v>
      </c>
      <c r="AC4054">
        <v>-228.4391</v>
      </c>
      <c r="AD4054">
        <v>5.2004130000000002</v>
      </c>
      <c r="AE4054">
        <v>30.2136</v>
      </c>
      <c r="AF4054">
        <v>-8.8673587350794403</v>
      </c>
      <c r="AG4054">
        <v>5.2004130000000002</v>
      </c>
      <c r="AH4054">
        <v>230.14040646494499</v>
      </c>
      <c r="AI4054">
        <v>88.706484412664693</v>
      </c>
      <c r="AJ4054">
        <v>92.206527064281403</v>
      </c>
      <c r="AK4054">
        <v>230.369878747542</v>
      </c>
      <c r="AL4054">
        <v>86.082569004016094</v>
      </c>
      <c r="AM4054">
        <v>93.751622066352994</v>
      </c>
      <c r="AN4054">
        <v>0.99999998130871204</v>
      </c>
    </row>
    <row r="4055" spans="1:40" x14ac:dyDescent="0.25">
      <c r="A4055" t="str">
        <f>"20190312151107506"</f>
        <v>20190312151107506</v>
      </c>
      <c r="B4055" t="str">
        <f>"1552374667494654"</f>
        <v>1552374667494654</v>
      </c>
      <c r="C4055" t="s">
        <v>40</v>
      </c>
      <c r="D4055">
        <v>5.8519949999999996</v>
      </c>
      <c r="E4055">
        <v>0.50917990000000002</v>
      </c>
      <c r="F4055" t="s">
        <v>80</v>
      </c>
      <c r="G4055">
        <v>-459.875</v>
      </c>
      <c r="H4055">
        <v>6.4178790000000001</v>
      </c>
      <c r="I4055">
        <v>164.19399999999999</v>
      </c>
      <c r="J4055">
        <v>-231.64619999999999</v>
      </c>
      <c r="K4055">
        <v>1.111146</v>
      </c>
      <c r="L4055">
        <v>134.79159999999999</v>
      </c>
      <c r="M4055">
        <v>-0.98568440000000002</v>
      </c>
      <c r="N4055">
        <v>0</v>
      </c>
      <c r="O4055">
        <v>0.1680875</v>
      </c>
      <c r="P4055">
        <v>-0.99330439999999998</v>
      </c>
      <c r="Q4055">
        <v>5.5959750000000003E-2</v>
      </c>
      <c r="R4055">
        <v>0.10106809999999999</v>
      </c>
      <c r="S4055">
        <v>-2.9769739999999998</v>
      </c>
      <c r="T4055">
        <v>6.9157120000000002E-2</v>
      </c>
      <c r="U4055">
        <v>0.3836212</v>
      </c>
      <c r="V4055">
        <v>-6.7480020000000002E-2</v>
      </c>
      <c r="W4055">
        <v>6.893059E-2</v>
      </c>
      <c r="X4055">
        <v>0.99533669999999996</v>
      </c>
      <c r="Y4055">
        <v>-4.0681349999999998E-2</v>
      </c>
      <c r="Z4055">
        <v>4.3346840000000001E-3</v>
      </c>
      <c r="AA4055">
        <v>0.99916280000000002</v>
      </c>
      <c r="AB4055">
        <v>22</v>
      </c>
      <c r="AC4055">
        <v>-228.22880000000001</v>
      </c>
      <c r="AD4055">
        <v>5.3067330000000004</v>
      </c>
      <c r="AE4055">
        <v>29.4024</v>
      </c>
      <c r="AF4055">
        <v>-9.3767455537665008</v>
      </c>
      <c r="AG4055">
        <v>5.3067330000000004</v>
      </c>
      <c r="AH4055">
        <v>229.80140336025701</v>
      </c>
      <c r="AI4055">
        <v>88.678220830182397</v>
      </c>
      <c r="AJ4055">
        <v>92.336583125085099</v>
      </c>
      <c r="AK4055">
        <v>230.053840999573</v>
      </c>
      <c r="AL4055">
        <v>86.047434083925395</v>
      </c>
      <c r="AM4055">
        <v>93.878499620684593</v>
      </c>
      <c r="AN4055">
        <v>1.0000000628519099</v>
      </c>
    </row>
    <row r="4056" spans="1:40" x14ac:dyDescent="0.25">
      <c r="A4056" t="str">
        <f>"20190312151107529"</f>
        <v>20190312151107529</v>
      </c>
      <c r="B4056" t="str">
        <f>"1552374667524911"</f>
        <v>1552374667524911</v>
      </c>
      <c r="C4056" t="s">
        <v>40</v>
      </c>
      <c r="D4056">
        <v>5.4487940000000004</v>
      </c>
      <c r="E4056">
        <v>0.50751429999999997</v>
      </c>
      <c r="F4056" t="s">
        <v>80</v>
      </c>
      <c r="G4056">
        <v>-459.875</v>
      </c>
      <c r="H4056">
        <v>4.7728120000000001</v>
      </c>
      <c r="I4056">
        <v>163.53440000000001</v>
      </c>
      <c r="J4056">
        <v>-231.87190000000001</v>
      </c>
      <c r="K4056">
        <v>1.111199</v>
      </c>
      <c r="L4056">
        <v>134.82859999999999</v>
      </c>
      <c r="M4056">
        <v>-0.98590339999999999</v>
      </c>
      <c r="N4056">
        <v>0</v>
      </c>
      <c r="O4056">
        <v>0.16679749999999999</v>
      </c>
      <c r="P4056">
        <v>-0.993591</v>
      </c>
      <c r="Q4056">
        <v>5.6474719999999999E-2</v>
      </c>
      <c r="R4056">
        <v>9.7917580000000004E-2</v>
      </c>
      <c r="S4056">
        <v>-2.9793400000000001</v>
      </c>
      <c r="T4056">
        <v>4.7800059999999998E-2</v>
      </c>
      <c r="U4056">
        <v>0.37521359999999998</v>
      </c>
      <c r="V4056">
        <v>-6.9340840000000001E-2</v>
      </c>
      <c r="W4056">
        <v>6.9429119999999997E-2</v>
      </c>
      <c r="X4056">
        <v>0.99517409999999995</v>
      </c>
      <c r="Y4056">
        <v>-4.227765E-2</v>
      </c>
      <c r="Z4056">
        <v>2.9870610000000001E-3</v>
      </c>
      <c r="AA4056">
        <v>0.99910149999999998</v>
      </c>
      <c r="AB4056">
        <v>22</v>
      </c>
      <c r="AC4056">
        <v>-228.00309999999999</v>
      </c>
      <c r="AD4056">
        <v>3.6616129999999898</v>
      </c>
      <c r="AE4056">
        <v>28.7058</v>
      </c>
      <c r="AF4056">
        <v>-9.72757366221418</v>
      </c>
      <c r="AG4056">
        <v>3.6616129999999898</v>
      </c>
      <c r="AH4056">
        <v>229.538681408277</v>
      </c>
      <c r="AI4056">
        <v>89.086911685595197</v>
      </c>
      <c r="AJ4056">
        <v>92.426674284881699</v>
      </c>
      <c r="AK4056">
        <v>229.773887467149</v>
      </c>
      <c r="AL4056">
        <v>86.0188016607203</v>
      </c>
      <c r="AM4056">
        <v>93.985761629242006</v>
      </c>
      <c r="AN4056">
        <v>1.00000002205334</v>
      </c>
    </row>
    <row r="4057" spans="1:40" x14ac:dyDescent="0.25">
      <c r="A4057" t="str">
        <f>"20190312151107552"</f>
        <v>20190312151107552</v>
      </c>
      <c r="B4057" t="str">
        <f>"1552374667545407"</f>
        <v>1552374667545407</v>
      </c>
      <c r="C4057" t="s">
        <v>40</v>
      </c>
      <c r="D4057">
        <v>5.0311190000000003</v>
      </c>
      <c r="E4057">
        <v>0.505139</v>
      </c>
      <c r="F4057" t="s">
        <v>80</v>
      </c>
      <c r="G4057">
        <v>-459.58620000000002</v>
      </c>
      <c r="H4057">
        <v>4.5125729999999997</v>
      </c>
      <c r="I4057">
        <v>161.7371</v>
      </c>
      <c r="J4057">
        <v>-232.0873</v>
      </c>
      <c r="K4057">
        <v>1.1112390000000001</v>
      </c>
      <c r="L4057">
        <v>134.86349999999999</v>
      </c>
      <c r="M4057">
        <v>-0.98612829999999996</v>
      </c>
      <c r="N4057">
        <v>0</v>
      </c>
      <c r="O4057">
        <v>0.165463</v>
      </c>
      <c r="P4057">
        <v>-0.99396649999999998</v>
      </c>
      <c r="Q4057">
        <v>5.5896620000000001E-2</v>
      </c>
      <c r="R4057">
        <v>9.4372399999999995E-2</v>
      </c>
      <c r="S4057">
        <v>-2.9820859999999998</v>
      </c>
      <c r="T4057">
        <v>4.45435E-2</v>
      </c>
      <c r="U4057">
        <v>0.35238649999999999</v>
      </c>
      <c r="V4057">
        <v>-7.1557309999999999E-2</v>
      </c>
      <c r="W4057">
        <v>6.8836410000000001E-2</v>
      </c>
      <c r="X4057">
        <v>0.99505840000000001</v>
      </c>
      <c r="Y4057">
        <v>-4.8577229999999999E-2</v>
      </c>
      <c r="Z4057">
        <v>2.8100389999999999E-3</v>
      </c>
      <c r="AA4057">
        <v>0.99881549999999997</v>
      </c>
      <c r="AB4057">
        <v>22</v>
      </c>
      <c r="AC4057">
        <v>-227.49889999999999</v>
      </c>
      <c r="AD4057">
        <v>3.4013339999999999</v>
      </c>
      <c r="AE4057">
        <v>26.8736</v>
      </c>
      <c r="AF4057">
        <v>-11.140340788844201</v>
      </c>
      <c r="AG4057">
        <v>3.4013339999999999</v>
      </c>
      <c r="AH4057">
        <v>228.75904832046101</v>
      </c>
      <c r="AI4057">
        <v>89.149161112859204</v>
      </c>
      <c r="AJ4057">
        <v>92.788045496579201</v>
      </c>
      <c r="AK4057">
        <v>229.05540477001199</v>
      </c>
      <c r="AL4057">
        <v>86.052843035428793</v>
      </c>
      <c r="AM4057">
        <v>94.113212046627496</v>
      </c>
      <c r="AN4057">
        <v>1.00000005968334</v>
      </c>
    </row>
    <row r="4058" spans="1:40" x14ac:dyDescent="0.25">
      <c r="A4058" t="str">
        <f>"20190312151107573"</f>
        <v>20190312151107573</v>
      </c>
      <c r="B4058" t="str">
        <f>"1552374667564927"</f>
        <v>1552374667564927</v>
      </c>
      <c r="C4058" t="s">
        <v>40</v>
      </c>
      <c r="D4058">
        <v>5.4273189999999998</v>
      </c>
      <c r="E4058">
        <v>0.50345949999999995</v>
      </c>
      <c r="F4058" t="s">
        <v>80</v>
      </c>
      <c r="G4058">
        <v>-472.62060000000002</v>
      </c>
      <c r="H4058">
        <v>5.4314489999999997</v>
      </c>
      <c r="I4058">
        <v>160.87260000000001</v>
      </c>
      <c r="J4058">
        <v>-232.29050000000001</v>
      </c>
      <c r="K4058">
        <v>1.111272</v>
      </c>
      <c r="L4058">
        <v>134.89609999999999</v>
      </c>
      <c r="M4058">
        <v>-0.98635139999999999</v>
      </c>
      <c r="N4058">
        <v>0</v>
      </c>
      <c r="O4058">
        <v>0.16412769999999999</v>
      </c>
      <c r="P4058">
        <v>-0.99433640000000001</v>
      </c>
      <c r="Q4058">
        <v>5.4873860000000003E-2</v>
      </c>
      <c r="R4058">
        <v>9.1014460000000005E-2</v>
      </c>
      <c r="S4058">
        <v>-2.9845579999999998</v>
      </c>
      <c r="T4058">
        <v>5.3605559999999997E-2</v>
      </c>
      <c r="U4058">
        <v>0.32272339999999999</v>
      </c>
      <c r="V4058">
        <v>-7.3586529999999997E-2</v>
      </c>
      <c r="W4058">
        <v>6.7799799999999993E-2</v>
      </c>
      <c r="X4058">
        <v>0.99498149999999996</v>
      </c>
      <c r="Y4058">
        <v>-5.7109439999999997E-2</v>
      </c>
      <c r="Z4058">
        <v>3.4341760000000002E-3</v>
      </c>
      <c r="AA4058">
        <v>0.99836199999999997</v>
      </c>
      <c r="AB4058">
        <v>22</v>
      </c>
      <c r="AC4058">
        <v>-240.33009999999999</v>
      </c>
      <c r="AD4058">
        <v>4.3201769999999904</v>
      </c>
      <c r="AE4058">
        <v>25.976500000000001</v>
      </c>
      <c r="AF4058">
        <v>-13.819651267756299</v>
      </c>
      <c r="AG4058">
        <v>4.3201769999999904</v>
      </c>
      <c r="AH4058">
        <v>241.25721289724601</v>
      </c>
      <c r="AI4058">
        <v>88.975796475156102</v>
      </c>
      <c r="AJ4058">
        <v>93.278423701017005</v>
      </c>
      <c r="AK4058">
        <v>241.69131028115299</v>
      </c>
      <c r="AL4058">
        <v>86.112375225056198</v>
      </c>
      <c r="AM4058">
        <v>94.229762624282699</v>
      </c>
      <c r="AN4058">
        <v>0.99999998780986499</v>
      </c>
    </row>
    <row r="4059" spans="1:40" x14ac:dyDescent="0.25">
      <c r="A4059" t="str">
        <f>"20190312151107596"</f>
        <v>20190312151107596</v>
      </c>
      <c r="B4059" t="str">
        <f>"1552374667585422"</f>
        <v>1552374667585422</v>
      </c>
      <c r="C4059" t="s">
        <v>40</v>
      </c>
      <c r="D4059">
        <v>5.4303589999999904</v>
      </c>
      <c r="E4059">
        <v>0.50161709999999904</v>
      </c>
      <c r="F4059" t="s">
        <v>82</v>
      </c>
      <c r="G4059">
        <v>-510.17570000000001</v>
      </c>
      <c r="H4059">
        <v>5.7709130000000002</v>
      </c>
      <c r="I4059">
        <v>162.7253</v>
      </c>
      <c r="J4059">
        <v>-232.50219999999999</v>
      </c>
      <c r="K4059">
        <v>1.111302</v>
      </c>
      <c r="L4059">
        <v>134.92959999999999</v>
      </c>
      <c r="M4059">
        <v>-0.98659180000000002</v>
      </c>
      <c r="N4059">
        <v>0</v>
      </c>
      <c r="O4059">
        <v>0.16267609999999999</v>
      </c>
      <c r="P4059">
        <v>-0.99468210000000001</v>
      </c>
      <c r="Q4059">
        <v>5.3759759999999997E-2</v>
      </c>
      <c r="R4059">
        <v>8.7849419999999998E-2</v>
      </c>
      <c r="S4059">
        <v>-2.9869539999999999</v>
      </c>
      <c r="T4059">
        <v>5.008638E-2</v>
      </c>
      <c r="U4059">
        <v>0.29913329999999999</v>
      </c>
      <c r="V4059">
        <v>-7.5302480000000005E-2</v>
      </c>
      <c r="W4059">
        <v>6.6681290000000004E-2</v>
      </c>
      <c r="X4059">
        <v>0.9949287</v>
      </c>
      <c r="Y4059">
        <v>-6.3528660000000001E-2</v>
      </c>
      <c r="Z4059">
        <v>3.2376969999999999E-3</v>
      </c>
      <c r="AA4059">
        <v>0.99797480000000005</v>
      </c>
      <c r="AB4059">
        <v>22</v>
      </c>
      <c r="AC4059">
        <v>-277.67349999999999</v>
      </c>
      <c r="AD4059">
        <v>4.6596109999999999</v>
      </c>
      <c r="AE4059">
        <v>27.7957</v>
      </c>
      <c r="AF4059">
        <v>-17.7444214611163</v>
      </c>
      <c r="AG4059">
        <v>4.6596109999999999</v>
      </c>
      <c r="AH4059">
        <v>278.41857562287299</v>
      </c>
      <c r="AI4059">
        <v>89.043128833196704</v>
      </c>
      <c r="AJ4059">
        <v>93.646693677699105</v>
      </c>
      <c r="AK4059">
        <v>279.02236419242502</v>
      </c>
      <c r="AL4059">
        <v>86.176606500979702</v>
      </c>
      <c r="AM4059">
        <v>94.328253919597898</v>
      </c>
      <c r="AN4059">
        <v>0.999999988006952</v>
      </c>
    </row>
    <row r="4060" spans="1:40" x14ac:dyDescent="0.25">
      <c r="A4060" t="str">
        <f>"20190312151107617"</f>
        <v>20190312151107617</v>
      </c>
      <c r="B4060" t="str">
        <f>"1552374667614703"</f>
        <v>1552374667614703</v>
      </c>
      <c r="C4060" t="s">
        <v>40</v>
      </c>
      <c r="D4060">
        <v>5.48658</v>
      </c>
      <c r="E4060">
        <v>0.49936009999999997</v>
      </c>
      <c r="F4060" t="s">
        <v>82</v>
      </c>
      <c r="G4060">
        <v>-510.17559999999997</v>
      </c>
      <c r="H4060">
        <v>5.5690470000000003</v>
      </c>
      <c r="I4060">
        <v>160.47479999999999</v>
      </c>
      <c r="J4060">
        <v>-232.71119999999999</v>
      </c>
      <c r="K4060">
        <v>1.111267</v>
      </c>
      <c r="L4060">
        <v>134.9622</v>
      </c>
      <c r="M4060">
        <v>-0.98683929999999997</v>
      </c>
      <c r="N4060">
        <v>0</v>
      </c>
      <c r="O4060">
        <v>0.16118279999999999</v>
      </c>
      <c r="P4060">
        <v>-0.99499400000000005</v>
      </c>
      <c r="Q4060">
        <v>5.3172530000000003E-2</v>
      </c>
      <c r="R4060">
        <v>8.4613820000000006E-2</v>
      </c>
      <c r="S4060">
        <v>-2.9891510000000001</v>
      </c>
      <c r="T4060">
        <v>4.7988059999999999E-2</v>
      </c>
      <c r="U4060">
        <v>0.27499390000000001</v>
      </c>
      <c r="V4060">
        <v>-7.7039930000000006E-2</v>
      </c>
      <c r="W4060">
        <v>6.5896250000000003E-2</v>
      </c>
      <c r="X4060">
        <v>0.99484799999999995</v>
      </c>
      <c r="Y4060">
        <v>-7.0076760000000002E-2</v>
      </c>
      <c r="Z4060">
        <v>3.1302719999999999E-3</v>
      </c>
      <c r="AA4060">
        <v>0.99753670000000005</v>
      </c>
      <c r="AB4060">
        <v>22</v>
      </c>
      <c r="AC4060">
        <v>-277.46440000000001</v>
      </c>
      <c r="AD4060">
        <v>4.4577799999999996</v>
      </c>
      <c r="AE4060">
        <v>25.5125999999999</v>
      </c>
      <c r="AF4060">
        <v>-19.542295570999698</v>
      </c>
      <c r="AG4060">
        <v>4.4577799999999996</v>
      </c>
      <c r="AH4060">
        <v>277.87723253017799</v>
      </c>
      <c r="AI4060">
        <v>89.083188843680702</v>
      </c>
      <c r="AJ4060">
        <v>94.022821686991193</v>
      </c>
      <c r="AK4060">
        <v>278.599227345202</v>
      </c>
      <c r="AL4060">
        <v>86.221685196471199</v>
      </c>
      <c r="AM4060">
        <v>94.428084554844901</v>
      </c>
      <c r="AN4060">
        <v>1.0000000048412301</v>
      </c>
    </row>
    <row r="4061" spans="1:40" x14ac:dyDescent="0.25">
      <c r="A4061" t="str">
        <f>"20190312151107640"</f>
        <v>20190312151107640</v>
      </c>
      <c r="B4061" t="str">
        <f>"1552374667635199"</f>
        <v>1552374667635199</v>
      </c>
      <c r="C4061" t="s">
        <v>40</v>
      </c>
      <c r="D4061">
        <v>5.4753920000000003</v>
      </c>
      <c r="E4061">
        <v>0.49806230000000001</v>
      </c>
      <c r="F4061" t="s">
        <v>82</v>
      </c>
      <c r="G4061">
        <v>-510.17559999999997</v>
      </c>
      <c r="H4061">
        <v>5.6620850000000003</v>
      </c>
      <c r="I4061">
        <v>157.917</v>
      </c>
      <c r="J4061">
        <v>-232.9186</v>
      </c>
      <c r="K4061">
        <v>1.1112109999999999</v>
      </c>
      <c r="L4061">
        <v>134.99430000000001</v>
      </c>
      <c r="M4061">
        <v>-0.98708819999999997</v>
      </c>
      <c r="N4061">
        <v>0</v>
      </c>
      <c r="O4061">
        <v>0.15967029999999999</v>
      </c>
      <c r="P4061">
        <v>-0.9953111</v>
      </c>
      <c r="Q4061">
        <v>5.2705340000000003E-2</v>
      </c>
      <c r="R4061">
        <v>8.1104969999999998E-2</v>
      </c>
      <c r="S4061">
        <v>-2.991425</v>
      </c>
      <c r="T4061">
        <v>4.9064160000000002E-2</v>
      </c>
      <c r="U4061">
        <v>0.24748229999999999</v>
      </c>
      <c r="V4061">
        <v>-7.9026780000000005E-2</v>
      </c>
      <c r="W4061">
        <v>6.5196809999999994E-2</v>
      </c>
      <c r="X4061">
        <v>0.99473820000000002</v>
      </c>
      <c r="Y4061">
        <v>-7.7717209999999995E-2</v>
      </c>
      <c r="Z4061">
        <v>3.2378979999999999E-3</v>
      </c>
      <c r="AA4061">
        <v>0.99697020000000003</v>
      </c>
      <c r="AB4061">
        <v>22</v>
      </c>
      <c r="AC4061">
        <v>-277.25699999999898</v>
      </c>
      <c r="AD4061">
        <v>4.5508739999999896</v>
      </c>
      <c r="AE4061">
        <v>22.922699999999899</v>
      </c>
      <c r="AF4061">
        <v>-21.638947702560401</v>
      </c>
      <c r="AG4061">
        <v>4.5508739999999896</v>
      </c>
      <c r="AH4061">
        <v>277.285495253438</v>
      </c>
      <c r="AI4061">
        <v>89.062582364229499</v>
      </c>
      <c r="AJ4061">
        <v>94.462233744932206</v>
      </c>
      <c r="AK4061">
        <v>278.165778610134</v>
      </c>
      <c r="AL4061">
        <v>86.261846397814907</v>
      </c>
      <c r="AM4061">
        <v>94.542311696145504</v>
      </c>
      <c r="AN4061">
        <v>0.99999997126529105</v>
      </c>
    </row>
    <row r="4062" spans="1:40" x14ac:dyDescent="0.25">
      <c r="A4062" t="str">
        <f>"20190312151107663"</f>
        <v>20190312151107663</v>
      </c>
      <c r="B4062" t="str">
        <f>"1552374667655695"</f>
        <v>1552374667655695</v>
      </c>
      <c r="C4062" t="s">
        <v>40</v>
      </c>
      <c r="D4062">
        <v>5.421475</v>
      </c>
      <c r="E4062">
        <v>0.4968786</v>
      </c>
      <c r="F4062" t="s">
        <v>82</v>
      </c>
      <c r="G4062">
        <v>-510.17570000000001</v>
      </c>
      <c r="H4062">
        <v>5.7933979999999998</v>
      </c>
      <c r="I4062">
        <v>155.9906</v>
      </c>
      <c r="J4062">
        <v>-233.14330000000001</v>
      </c>
      <c r="K4062">
        <v>1.1111869999999999</v>
      </c>
      <c r="L4062">
        <v>135.02869999999999</v>
      </c>
      <c r="M4062">
        <v>-0.98735550000000005</v>
      </c>
      <c r="N4062">
        <v>0</v>
      </c>
      <c r="O4062">
        <v>0.1580154</v>
      </c>
      <c r="P4062">
        <v>-0.9955967</v>
      </c>
      <c r="Q4062">
        <v>5.2396329999999998E-2</v>
      </c>
      <c r="R4062">
        <v>7.7729519999999996E-2</v>
      </c>
      <c r="S4062">
        <v>-2.9929809999999999</v>
      </c>
      <c r="T4062">
        <v>5.0544499999999999E-2</v>
      </c>
      <c r="U4062">
        <v>0.2266541</v>
      </c>
      <c r="V4062">
        <v>-8.0733040000000006E-2</v>
      </c>
      <c r="W4062">
        <v>6.4799490000000001E-2</v>
      </c>
      <c r="X4062">
        <v>0.99462720000000004</v>
      </c>
      <c r="Y4062">
        <v>-8.2979499999999998E-2</v>
      </c>
      <c r="Z4062">
        <v>3.3519449999999998E-3</v>
      </c>
      <c r="AA4062">
        <v>0.99654560000000003</v>
      </c>
      <c r="AB4062">
        <v>22</v>
      </c>
      <c r="AC4062">
        <v>-277.0324</v>
      </c>
      <c r="AD4062">
        <v>4.6822109999999997</v>
      </c>
      <c r="AE4062">
        <v>20.9619</v>
      </c>
      <c r="AF4062">
        <v>-23.073834014143401</v>
      </c>
      <c r="AG4062">
        <v>4.6822109999999997</v>
      </c>
      <c r="AH4062">
        <v>276.78533660369999</v>
      </c>
      <c r="AI4062">
        <v>89.034203661581898</v>
      </c>
      <c r="AJ4062">
        <v>94.765366331035906</v>
      </c>
      <c r="AK4062">
        <v>277.78489425234102</v>
      </c>
      <c r="AL4062">
        <v>86.284659625608299</v>
      </c>
      <c r="AM4062">
        <v>94.640476161094497</v>
      </c>
      <c r="AN4062">
        <v>1.00000003231587</v>
      </c>
    </row>
    <row r="4063" spans="1:40" x14ac:dyDescent="0.25">
      <c r="A4063" t="str">
        <f>"20190312151107685"</f>
        <v>20190312151107685</v>
      </c>
      <c r="B4063" t="str">
        <f>"1552374667675215"</f>
        <v>1552374667675215</v>
      </c>
      <c r="C4063" t="s">
        <v>40</v>
      </c>
      <c r="D4063">
        <v>5.4196339999999896</v>
      </c>
      <c r="E4063">
        <v>0.49578129999999998</v>
      </c>
      <c r="F4063" t="s">
        <v>82</v>
      </c>
      <c r="G4063">
        <v>-510.17570000000001</v>
      </c>
      <c r="H4063">
        <v>5.7432869999999996</v>
      </c>
      <c r="I4063">
        <v>154.20769999999999</v>
      </c>
      <c r="J4063">
        <v>-233.3621</v>
      </c>
      <c r="K4063">
        <v>1.1111839999999999</v>
      </c>
      <c r="L4063">
        <v>135.0617</v>
      </c>
      <c r="M4063">
        <v>-0.98761279999999996</v>
      </c>
      <c r="N4063">
        <v>0</v>
      </c>
      <c r="O4063">
        <v>0.15639910000000001</v>
      </c>
      <c r="P4063">
        <v>-0.99590619999999996</v>
      </c>
      <c r="Q4063">
        <v>5.2059710000000002E-2</v>
      </c>
      <c r="R4063">
        <v>7.3895279999999994E-2</v>
      </c>
      <c r="S4063">
        <v>-2.9944459999999999</v>
      </c>
      <c r="T4063">
        <v>5.006886E-2</v>
      </c>
      <c r="U4063">
        <v>0.20730589999999999</v>
      </c>
      <c r="V4063">
        <v>-8.2935309999999998E-2</v>
      </c>
      <c r="W4063">
        <v>6.4456399999999997E-2</v>
      </c>
      <c r="X4063">
        <v>0.99446829999999997</v>
      </c>
      <c r="Y4063">
        <v>-8.7789599999999995E-2</v>
      </c>
      <c r="Z4063">
        <v>3.333393E-3</v>
      </c>
      <c r="AA4063">
        <v>0.99613339999999995</v>
      </c>
      <c r="AB4063">
        <v>22</v>
      </c>
      <c r="AC4063">
        <v>-276.81360000000001</v>
      </c>
      <c r="AD4063">
        <v>4.6321029999999999</v>
      </c>
      <c r="AE4063">
        <v>19.145999999999901</v>
      </c>
      <c r="AF4063">
        <v>-24.3797234482306</v>
      </c>
      <c r="AG4063">
        <v>4.6321029999999999</v>
      </c>
      <c r="AH4063">
        <v>276.32421667490098</v>
      </c>
      <c r="AI4063">
        <v>89.043339731975095</v>
      </c>
      <c r="AJ4063">
        <v>95.042075562026199</v>
      </c>
      <c r="AK4063">
        <v>277.43629902125701</v>
      </c>
      <c r="AL4063">
        <v>86.304358467994604</v>
      </c>
      <c r="AM4063">
        <v>94.767243586446398</v>
      </c>
      <c r="AN4063">
        <v>1.00000004642532</v>
      </c>
    </row>
    <row r="4064" spans="1:40" x14ac:dyDescent="0.25">
      <c r="A4064" t="str">
        <f>"20190312151107708"</f>
        <v>20190312151107708</v>
      </c>
      <c r="B4064" t="str">
        <f>"1552374667705471"</f>
        <v>1552374667705471</v>
      </c>
      <c r="C4064" t="s">
        <v>40</v>
      </c>
      <c r="D4064">
        <v>5.4260409999999997</v>
      </c>
      <c r="E4064">
        <v>0.49438130000000002</v>
      </c>
      <c r="F4064" t="s">
        <v>82</v>
      </c>
      <c r="G4064">
        <v>-510.17559999999997</v>
      </c>
      <c r="H4064">
        <v>5.626576</v>
      </c>
      <c r="I4064">
        <v>152.3383</v>
      </c>
      <c r="J4064">
        <v>-233.5727</v>
      </c>
      <c r="K4064">
        <v>1.111173</v>
      </c>
      <c r="L4064">
        <v>135.0932</v>
      </c>
      <c r="M4064">
        <v>-0.98785780000000001</v>
      </c>
      <c r="N4064">
        <v>0</v>
      </c>
      <c r="O4064">
        <v>0.1548476</v>
      </c>
      <c r="P4064">
        <v>-0.99615299999999996</v>
      </c>
      <c r="Q4064">
        <v>5.1985719999999999E-2</v>
      </c>
      <c r="R4064">
        <v>7.0549189999999998E-2</v>
      </c>
      <c r="S4064">
        <v>-2.995911</v>
      </c>
      <c r="T4064">
        <v>4.8869849999999999E-2</v>
      </c>
      <c r="U4064">
        <v>0.18698119999999999</v>
      </c>
      <c r="V4064">
        <v>-8.471302E-2</v>
      </c>
      <c r="W4064">
        <v>6.4358380000000007E-2</v>
      </c>
      <c r="X4064">
        <v>0.99432469999999995</v>
      </c>
      <c r="Y4064">
        <v>-9.2987040000000007E-2</v>
      </c>
      <c r="Z4064">
        <v>3.2704090000000002E-3</v>
      </c>
      <c r="AA4064">
        <v>0.99566200000000005</v>
      </c>
      <c r="AB4064">
        <v>22</v>
      </c>
      <c r="AC4064">
        <v>-276.60289999999998</v>
      </c>
      <c r="AD4064">
        <v>4.5154030000000001</v>
      </c>
      <c r="AE4064">
        <v>17.245100000000001</v>
      </c>
      <c r="AF4064">
        <v>-25.7907957313842</v>
      </c>
      <c r="AG4064">
        <v>4.5154030000000001</v>
      </c>
      <c r="AH4064">
        <v>275.86342838591798</v>
      </c>
      <c r="AI4064">
        <v>89.066322646180097</v>
      </c>
      <c r="AJ4064">
        <v>95.341124244457205</v>
      </c>
      <c r="AK4064">
        <v>277.103203030104</v>
      </c>
      <c r="AL4064">
        <v>86.309985939674505</v>
      </c>
      <c r="AM4064">
        <v>94.869642636274904</v>
      </c>
      <c r="AN4064">
        <v>0.99999995293191601</v>
      </c>
    </row>
    <row r="4065" spans="1:40" x14ac:dyDescent="0.25">
      <c r="A4065" t="str">
        <f>"20190312151107731"</f>
        <v>20190312151107731</v>
      </c>
      <c r="B4065" t="str">
        <f>"1552374667724990"</f>
        <v>1552374667724990</v>
      </c>
      <c r="C4065" t="s">
        <v>40</v>
      </c>
      <c r="D4065">
        <v>5.4329599999999996</v>
      </c>
      <c r="E4065">
        <v>0.49361690000000003</v>
      </c>
      <c r="F4065" t="s">
        <v>82</v>
      </c>
      <c r="G4065">
        <v>-510.17559999999997</v>
      </c>
      <c r="H4065">
        <v>5.5995089999999896</v>
      </c>
      <c r="I4065">
        <v>150.37710000000001</v>
      </c>
      <c r="J4065">
        <v>-233.79130000000001</v>
      </c>
      <c r="K4065">
        <v>1.1111580000000001</v>
      </c>
      <c r="L4065">
        <v>135.12559999999999</v>
      </c>
      <c r="M4065">
        <v>-0.98810580000000003</v>
      </c>
      <c r="N4065">
        <v>0</v>
      </c>
      <c r="O4065">
        <v>0.15326020000000001</v>
      </c>
      <c r="P4065">
        <v>-0.99636270000000005</v>
      </c>
      <c r="Q4065">
        <v>5.198821E-2</v>
      </c>
      <c r="R4065">
        <v>6.7515919999999993E-2</v>
      </c>
      <c r="S4065">
        <v>-2.9973139999999998</v>
      </c>
      <c r="T4065">
        <v>4.8636789999999999E-2</v>
      </c>
      <c r="U4065">
        <v>0.16561890000000001</v>
      </c>
      <c r="V4065">
        <v>-8.6141750000000003E-2</v>
      </c>
      <c r="W4065">
        <v>6.4308400000000002E-2</v>
      </c>
      <c r="X4065">
        <v>0.99420520000000001</v>
      </c>
      <c r="Y4065">
        <v>-9.848635E-2</v>
      </c>
      <c r="Z4065">
        <v>3.2734489999999999E-3</v>
      </c>
      <c r="AA4065">
        <v>0.99513300000000005</v>
      </c>
      <c r="AB4065">
        <v>22</v>
      </c>
      <c r="AC4065">
        <v>-276.38429999999897</v>
      </c>
      <c r="AD4065">
        <v>4.4883509999999998</v>
      </c>
      <c r="AE4065">
        <v>15.2515</v>
      </c>
      <c r="AF4065">
        <v>-27.283603354162</v>
      </c>
      <c r="AG4065">
        <v>4.4883509999999998</v>
      </c>
      <c r="AH4065">
        <v>275.38376826111403</v>
      </c>
      <c r="AI4065">
        <v>89.070794133608999</v>
      </c>
      <c r="AJ4065">
        <v>95.658105528761197</v>
      </c>
      <c r="AK4065">
        <v>276.76842328628697</v>
      </c>
      <c r="AL4065">
        <v>86.312855610861703</v>
      </c>
      <c r="AM4065">
        <v>94.951958994979094</v>
      </c>
      <c r="AN4065">
        <v>0.99999997555533005</v>
      </c>
    </row>
    <row r="4066" spans="1:40" x14ac:dyDescent="0.25">
      <c r="A4066" t="str">
        <f>"20190312151107753"</f>
        <v>20190312151107753</v>
      </c>
      <c r="B4066" t="str">
        <f>"1552374667745487"</f>
        <v>1552374667745487</v>
      </c>
      <c r="C4066" t="s">
        <v>40</v>
      </c>
      <c r="D4066">
        <v>5.4870970000000003</v>
      </c>
      <c r="E4066">
        <v>0.49292550000000002</v>
      </c>
      <c r="F4066" t="s">
        <v>82</v>
      </c>
      <c r="G4066">
        <v>-510.17559999999997</v>
      </c>
      <c r="H4066">
        <v>5.6071720000000003</v>
      </c>
      <c r="I4066">
        <v>148.9778</v>
      </c>
      <c r="J4066">
        <v>-233.99969999999999</v>
      </c>
      <c r="K4066">
        <v>1.1111489999999999</v>
      </c>
      <c r="L4066">
        <v>135.15610000000001</v>
      </c>
      <c r="M4066">
        <v>-0.98833530000000003</v>
      </c>
      <c r="N4066">
        <v>0</v>
      </c>
      <c r="O4066">
        <v>0.15177579999999999</v>
      </c>
      <c r="P4066">
        <v>-0.99653139999999996</v>
      </c>
      <c r="Q4066">
        <v>5.2442610000000001E-2</v>
      </c>
      <c r="R4066">
        <v>6.4613729999999994E-2</v>
      </c>
      <c r="S4066">
        <v>-2.9982150000000001</v>
      </c>
      <c r="T4066">
        <v>4.8773169999999998E-2</v>
      </c>
      <c r="U4066">
        <v>0.1502686</v>
      </c>
      <c r="V4066">
        <v>-8.7541160000000007E-2</v>
      </c>
      <c r="W4066">
        <v>6.472145E-2</v>
      </c>
      <c r="X4066">
        <v>0.99405619999999995</v>
      </c>
      <c r="Y4066">
        <v>-0.1020876</v>
      </c>
      <c r="Z4066">
        <v>3.287725E-3</v>
      </c>
      <c r="AA4066">
        <v>0.99477000000000004</v>
      </c>
      <c r="AB4066">
        <v>22</v>
      </c>
      <c r="AC4066">
        <v>-276.17590000000001</v>
      </c>
      <c r="AD4066">
        <v>4.4960230000000001</v>
      </c>
      <c r="AE4066">
        <v>13.8216999999999</v>
      </c>
      <c r="AF4066">
        <v>-28.251100249444601</v>
      </c>
      <c r="AG4066">
        <v>4.4960230000000001</v>
      </c>
      <c r="AH4066">
        <v>275.00114553712802</v>
      </c>
      <c r="AI4066">
        <v>89.068251536883594</v>
      </c>
      <c r="AJ4066">
        <v>95.865467650552006</v>
      </c>
      <c r="AK4066">
        <v>276.48502479312202</v>
      </c>
      <c r="AL4066">
        <v>86.289140365922407</v>
      </c>
      <c r="AM4066">
        <v>95.032746332496501</v>
      </c>
      <c r="AN4066">
        <v>1.0000000247713401</v>
      </c>
    </row>
    <row r="4067" spans="1:40" x14ac:dyDescent="0.25">
      <c r="A4067" t="str">
        <f>"20190312151107774"</f>
        <v>20190312151107774</v>
      </c>
      <c r="B4067" t="str">
        <f>"1552374667765006"</f>
        <v>1552374667765006</v>
      </c>
      <c r="C4067" t="s">
        <v>40</v>
      </c>
      <c r="D4067">
        <v>5.4830610000000002</v>
      </c>
      <c r="E4067">
        <v>0.49232670000000001</v>
      </c>
      <c r="F4067" t="s">
        <v>82</v>
      </c>
      <c r="G4067">
        <v>-537.41909999999996</v>
      </c>
      <c r="H4067">
        <v>6.1645339999999997</v>
      </c>
      <c r="I4067">
        <v>148.9051</v>
      </c>
      <c r="J4067">
        <v>-234.20830000000001</v>
      </c>
      <c r="K4067">
        <v>1.1111470000000001</v>
      </c>
      <c r="L4067">
        <v>135.18639999999999</v>
      </c>
      <c r="M4067">
        <v>-0.98856060000000001</v>
      </c>
      <c r="N4067">
        <v>0</v>
      </c>
      <c r="O4067">
        <v>0.15030360000000001</v>
      </c>
      <c r="P4067">
        <v>-0.99670119999999895</v>
      </c>
      <c r="Q4067">
        <v>5.2859110000000001E-2</v>
      </c>
      <c r="R4067">
        <v>6.1584350000000003E-2</v>
      </c>
      <c r="S4067">
        <v>-2.998993</v>
      </c>
      <c r="T4067">
        <v>4.9947980000000003E-2</v>
      </c>
      <c r="U4067">
        <v>0.13589479999999901</v>
      </c>
      <c r="V4067">
        <v>-8.9078809999999994E-2</v>
      </c>
      <c r="W4067">
        <v>6.5117339999999996E-2</v>
      </c>
      <c r="X4067">
        <v>0.99389369999999999</v>
      </c>
      <c r="Y4067">
        <v>-0.10537340000000001</v>
      </c>
      <c r="Z4067">
        <v>3.3697430000000001E-3</v>
      </c>
      <c r="AA4067">
        <v>0.99442699999999995</v>
      </c>
      <c r="AB4067">
        <v>22</v>
      </c>
      <c r="AC4067">
        <v>-303.21079999999898</v>
      </c>
      <c r="AD4067">
        <v>5.0533869999999999</v>
      </c>
      <c r="AE4067">
        <v>13.7187</v>
      </c>
      <c r="AF4067">
        <v>-32.005546187842803</v>
      </c>
      <c r="AG4067">
        <v>5.0533869999999999</v>
      </c>
      <c r="AH4067">
        <v>301.744237339211</v>
      </c>
      <c r="AI4067">
        <v>89.045893878705499</v>
      </c>
      <c r="AJ4067">
        <v>96.054636814214206</v>
      </c>
      <c r="AK4067">
        <v>303.47895557085297</v>
      </c>
      <c r="AL4067">
        <v>86.266409477168807</v>
      </c>
      <c r="AM4067">
        <v>95.121512737218694</v>
      </c>
      <c r="AN4067">
        <v>0.99999999462969003</v>
      </c>
    </row>
    <row r="4068" spans="1:40" x14ac:dyDescent="0.25">
      <c r="A4068" t="str">
        <f>"20190312151107796"</f>
        <v>20190312151107796</v>
      </c>
      <c r="B4068" t="str">
        <f>"1552374667785502"</f>
        <v>1552374667785502</v>
      </c>
      <c r="C4068" t="s">
        <v>40</v>
      </c>
      <c r="D4068">
        <v>5.4268769999999904</v>
      </c>
      <c r="E4068">
        <v>0.49182670000000001</v>
      </c>
      <c r="F4068" t="s">
        <v>44</v>
      </c>
      <c r="G4068">
        <v>0</v>
      </c>
      <c r="H4068">
        <v>0</v>
      </c>
      <c r="I4068">
        <v>0</v>
      </c>
      <c r="J4068">
        <v>-234.41759999999999</v>
      </c>
      <c r="K4068">
        <v>1.111143</v>
      </c>
      <c r="L4068">
        <v>135.21639999999999</v>
      </c>
      <c r="M4068">
        <v>-0.98878410000000005</v>
      </c>
      <c r="N4068">
        <v>0</v>
      </c>
      <c r="O4068">
        <v>0.14882690000000001</v>
      </c>
      <c r="P4068">
        <v>-0.99685400000000002</v>
      </c>
      <c r="Q4068">
        <v>5.3789089999999998E-2</v>
      </c>
      <c r="R4068">
        <v>5.8216570000000002E-2</v>
      </c>
      <c r="S4068">
        <v>-2.999695</v>
      </c>
      <c r="T4068">
        <v>5.1359420000000003E-2</v>
      </c>
      <c r="U4068">
        <v>0.1219025</v>
      </c>
      <c r="V4068">
        <v>-9.0946109999999997E-2</v>
      </c>
      <c r="W4068">
        <v>6.6034229999999999E-2</v>
      </c>
      <c r="X4068">
        <v>0.99366410000000005</v>
      </c>
      <c r="Y4068">
        <v>-0.10852580000000001</v>
      </c>
      <c r="Z4068">
        <v>3.4666670000000001E-3</v>
      </c>
      <c r="AA4068">
        <v>0.99408759999999996</v>
      </c>
      <c r="AB4068">
        <v>22</v>
      </c>
      <c r="AC4068">
        <v>-2.999695</v>
      </c>
      <c r="AD4068">
        <v>5.1359420000000003E-2</v>
      </c>
      <c r="AE4068">
        <v>0.1219025</v>
      </c>
      <c r="AF4068">
        <v>-0.32583020928635398</v>
      </c>
      <c r="AG4068">
        <v>5.1359420000000003E-2</v>
      </c>
      <c r="AH4068">
        <v>2.9835535393650598</v>
      </c>
      <c r="AI4068">
        <v>89.019625460350099</v>
      </c>
      <c r="AJ4068">
        <v>96.2325024354557</v>
      </c>
      <c r="AK4068">
        <v>3.00173197297228</v>
      </c>
      <c r="AL4068">
        <v>86.213762359851103</v>
      </c>
      <c r="AM4068">
        <v>95.229484065105098</v>
      </c>
      <c r="AN4068">
        <v>1.0000000290423099</v>
      </c>
    </row>
    <row r="4069" spans="1:40" x14ac:dyDescent="0.25">
      <c r="A4069" t="str">
        <f>"20190312151107830"</f>
        <v>20190312151107830</v>
      </c>
      <c r="B4069" t="str">
        <f>"1552374667825518"</f>
        <v>1552374667825518</v>
      </c>
      <c r="C4069" t="s">
        <v>40</v>
      </c>
      <c r="D4069">
        <v>5.484858</v>
      </c>
      <c r="E4069">
        <v>0.49052109999999899</v>
      </c>
      <c r="F4069" t="s">
        <v>44</v>
      </c>
      <c r="G4069">
        <v>0</v>
      </c>
      <c r="H4069">
        <v>0</v>
      </c>
      <c r="I4069">
        <v>0</v>
      </c>
      <c r="J4069">
        <v>-234.7379</v>
      </c>
      <c r="K4069">
        <v>1.1111310000000001</v>
      </c>
      <c r="L4069">
        <v>135.26169999999999</v>
      </c>
      <c r="M4069">
        <v>-0.98912219999999995</v>
      </c>
      <c r="N4069">
        <v>0</v>
      </c>
      <c r="O4069">
        <v>0.14656420000000001</v>
      </c>
      <c r="P4069">
        <v>-0.99704550000000003</v>
      </c>
      <c r="Q4069">
        <v>5.4287490000000001E-2</v>
      </c>
      <c r="R4069">
        <v>5.4343519999999999E-2</v>
      </c>
      <c r="S4069">
        <v>-3.000229</v>
      </c>
      <c r="T4069">
        <v>5.4749609999999997E-2</v>
      </c>
      <c r="U4069">
        <v>0.1076202</v>
      </c>
      <c r="V4069">
        <v>-9.2528429999999995E-2</v>
      </c>
      <c r="W4069">
        <v>6.6513820000000001E-2</v>
      </c>
      <c r="X4069">
        <v>0.99348599999999998</v>
      </c>
      <c r="Y4069">
        <v>-0.1109783</v>
      </c>
      <c r="Z4069">
        <v>3.6768690000000001E-3</v>
      </c>
      <c r="AA4069">
        <v>0.99381600000000003</v>
      </c>
      <c r="AB4069">
        <v>22</v>
      </c>
      <c r="AC4069">
        <v>-3.000229</v>
      </c>
      <c r="AD4069">
        <v>5.4749609999999997E-2</v>
      </c>
      <c r="AE4069">
        <v>0.1076202</v>
      </c>
      <c r="AF4069">
        <v>-0.33319185501750798</v>
      </c>
      <c r="AG4069">
        <v>5.4749609999999997E-2</v>
      </c>
      <c r="AH4069">
        <v>2.9826074662045801</v>
      </c>
      <c r="AI4069">
        <v>88.954879719256397</v>
      </c>
      <c r="AJ4069">
        <v>96.374175455164902</v>
      </c>
      <c r="AK4069">
        <v>3.0016598124212002</v>
      </c>
      <c r="AL4069">
        <v>86.186223279738101</v>
      </c>
      <c r="AM4069">
        <v>95.320899516170201</v>
      </c>
      <c r="AN4069">
        <v>1.0000000154026201</v>
      </c>
    </row>
    <row r="4070" spans="1:40" x14ac:dyDescent="0.25">
      <c r="A4070" t="str">
        <f>"20190312151107851"</f>
        <v>20190312151107851</v>
      </c>
      <c r="B4070" t="str">
        <f>"1552374667845039"</f>
        <v>1552374667845039</v>
      </c>
      <c r="C4070" t="s">
        <v>40</v>
      </c>
      <c r="D4070">
        <v>5.440677</v>
      </c>
      <c r="E4070">
        <v>0.48986350000000001</v>
      </c>
      <c r="F4070" t="s">
        <v>44</v>
      </c>
      <c r="G4070">
        <v>0</v>
      </c>
      <c r="H4070">
        <v>0</v>
      </c>
      <c r="I4070">
        <v>0</v>
      </c>
      <c r="J4070">
        <v>-234.9511</v>
      </c>
      <c r="K4070">
        <v>1.11112099999999</v>
      </c>
      <c r="L4070">
        <v>135.29150000000001</v>
      </c>
      <c r="M4070">
        <v>-0.98934429999999995</v>
      </c>
      <c r="N4070">
        <v>0</v>
      </c>
      <c r="O4070">
        <v>0.145058399999999</v>
      </c>
      <c r="P4070">
        <v>-0.99718549999999995</v>
      </c>
      <c r="Q4070">
        <v>5.3824450000000003E-2</v>
      </c>
      <c r="R4070">
        <v>5.2191330000000001E-2</v>
      </c>
      <c r="S4070">
        <v>-3.0011290000000002</v>
      </c>
      <c r="T4070">
        <v>5.6673290000000001E-2</v>
      </c>
      <c r="U4070">
        <v>8.5617070000000003E-2</v>
      </c>
      <c r="V4070">
        <v>-9.3162339999999996E-2</v>
      </c>
      <c r="W4070">
        <v>6.6040399999999999E-2</v>
      </c>
      <c r="X4070">
        <v>0.99345830000000002</v>
      </c>
      <c r="Y4070">
        <v>-0.1167493</v>
      </c>
      <c r="Z4070">
        <v>3.8320210000000001E-3</v>
      </c>
      <c r="AA4070">
        <v>0.99315399999999998</v>
      </c>
      <c r="AB4070">
        <v>22</v>
      </c>
      <c r="AC4070">
        <v>-3.0011290000000002</v>
      </c>
      <c r="AD4070">
        <v>5.6673290000000001E-2</v>
      </c>
      <c r="AE4070">
        <v>8.5617070000000003E-2</v>
      </c>
      <c r="AF4070">
        <v>-0.350536647302777</v>
      </c>
      <c r="AG4070">
        <v>5.6673290000000001E-2</v>
      </c>
      <c r="AH4070">
        <v>2.98073972770004</v>
      </c>
      <c r="AI4070">
        <v>88.918210292355894</v>
      </c>
      <c r="AJ4070">
        <v>96.707208715051195</v>
      </c>
      <c r="AK4070">
        <v>3.0018156384413399</v>
      </c>
      <c r="AL4070">
        <v>86.213407866354999</v>
      </c>
      <c r="AM4070">
        <v>95.357289999814697</v>
      </c>
      <c r="AN4070">
        <v>0.99999997493266202</v>
      </c>
    </row>
    <row r="4071" spans="1:40" x14ac:dyDescent="0.25">
      <c r="A4071" t="str">
        <f>"20190312151107874"</f>
        <v>20190312151107874</v>
      </c>
      <c r="B4071" t="str">
        <f>"1552374667865538"</f>
        <v>1552374667865538</v>
      </c>
      <c r="C4071" t="s">
        <v>40</v>
      </c>
      <c r="D4071">
        <v>5.4382210000000004</v>
      </c>
      <c r="E4071">
        <v>0.4895698</v>
      </c>
      <c r="F4071" t="s">
        <v>44</v>
      </c>
      <c r="G4071">
        <v>0</v>
      </c>
      <c r="H4071">
        <v>0</v>
      </c>
      <c r="I4071">
        <v>0</v>
      </c>
      <c r="J4071">
        <v>-235.1635</v>
      </c>
      <c r="K4071">
        <v>1.1111150000000001</v>
      </c>
      <c r="L4071">
        <v>135.32079999999999</v>
      </c>
      <c r="M4071">
        <v>-0.98956299999999997</v>
      </c>
      <c r="N4071">
        <v>0</v>
      </c>
      <c r="O4071">
        <v>0.14355809999999999</v>
      </c>
      <c r="P4071">
        <v>-0.99729540000000005</v>
      </c>
      <c r="Q4071">
        <v>5.3518709999999997E-2</v>
      </c>
      <c r="R4071">
        <v>5.0373050000000003E-2</v>
      </c>
      <c r="S4071">
        <v>-3.0016630000000002</v>
      </c>
      <c r="T4071">
        <v>5.4447049999999997E-2</v>
      </c>
      <c r="U4071">
        <v>7.3898320000000003E-2</v>
      </c>
      <c r="V4071">
        <v>-9.3468410000000002E-2</v>
      </c>
      <c r="W4071">
        <v>6.5727800000000003E-2</v>
      </c>
      <c r="X4071">
        <v>0.99345030000000001</v>
      </c>
      <c r="Y4071">
        <v>-0.1191261</v>
      </c>
      <c r="Z4071">
        <v>3.675822E-3</v>
      </c>
      <c r="AA4071">
        <v>0.99287230000000004</v>
      </c>
      <c r="AB4071">
        <v>22</v>
      </c>
      <c r="AC4071">
        <v>-3.0016630000000002</v>
      </c>
      <c r="AD4071">
        <v>5.4447049999999997E-2</v>
      </c>
      <c r="AE4071">
        <v>7.3898320000000003E-2</v>
      </c>
      <c r="AF4071">
        <v>-0.35769631103956601</v>
      </c>
      <c r="AG4071">
        <v>5.4447049999999997E-2</v>
      </c>
      <c r="AH4071">
        <v>2.9801961406781698</v>
      </c>
      <c r="AI4071">
        <v>88.960801198478904</v>
      </c>
      <c r="AJ4071">
        <v>96.844152667353598</v>
      </c>
      <c r="AK4071">
        <v>3.0020793075963299</v>
      </c>
      <c r="AL4071">
        <v>86.231357595158201</v>
      </c>
      <c r="AM4071">
        <v>95.374830643068506</v>
      </c>
      <c r="AN4071">
        <v>0.99999999296542896</v>
      </c>
    </row>
    <row r="4072" spans="1:40" x14ac:dyDescent="0.25">
      <c r="A4072" t="str">
        <f>"20190312151107896"</f>
        <v>20190312151107896</v>
      </c>
      <c r="B4072" t="str">
        <f>"1552374667885058"</f>
        <v>1552374667885058</v>
      </c>
      <c r="C4072" t="s">
        <v>40</v>
      </c>
      <c r="D4072">
        <v>5.4307530000000002</v>
      </c>
      <c r="E4072">
        <v>0.48931970000000002</v>
      </c>
      <c r="F4072" t="s">
        <v>44</v>
      </c>
      <c r="G4072">
        <v>0</v>
      </c>
      <c r="H4072">
        <v>0</v>
      </c>
      <c r="I4072">
        <v>0</v>
      </c>
      <c r="J4072">
        <v>-235.37289999999999</v>
      </c>
      <c r="K4072">
        <v>1.111105</v>
      </c>
      <c r="L4072">
        <v>135.3494</v>
      </c>
      <c r="M4072">
        <v>-0.98977700000000002</v>
      </c>
      <c r="N4072">
        <v>0</v>
      </c>
      <c r="O4072">
        <v>0.1420766</v>
      </c>
      <c r="P4072">
        <v>-0.99740910000000005</v>
      </c>
      <c r="Q4072">
        <v>5.2977669999999998E-2</v>
      </c>
      <c r="R4072">
        <v>4.8665180000000002E-2</v>
      </c>
      <c r="S4072">
        <v>-3.001938</v>
      </c>
      <c r="T4072">
        <v>5.3234820000000002E-2</v>
      </c>
      <c r="U4072">
        <v>6.6024780000000005E-2</v>
      </c>
      <c r="V4072">
        <v>-9.368493E-2</v>
      </c>
      <c r="W4072">
        <v>6.5181100000000006E-2</v>
      </c>
      <c r="X4072">
        <v>0.99346599999999996</v>
      </c>
      <c r="Y4072">
        <v>-0.1202466</v>
      </c>
      <c r="Z4072">
        <v>3.577785E-3</v>
      </c>
      <c r="AA4072">
        <v>0.9927376</v>
      </c>
      <c r="AB4072">
        <v>22</v>
      </c>
      <c r="AC4072">
        <v>-3.001938</v>
      </c>
      <c r="AD4072">
        <v>5.3234820000000002E-2</v>
      </c>
      <c r="AE4072">
        <v>6.6024780000000005E-2</v>
      </c>
      <c r="AF4072">
        <v>-0.36106996731805902</v>
      </c>
      <c r="AG4072">
        <v>5.3234820000000002E-2</v>
      </c>
      <c r="AH4072">
        <v>2.9799252147015101</v>
      </c>
      <c r="AI4072">
        <v>88.983979082092901</v>
      </c>
      <c r="AJ4072">
        <v>96.908705221830502</v>
      </c>
      <c r="AK4072">
        <v>3.0021924909261402</v>
      </c>
      <c r="AL4072">
        <v>86.262748793503206</v>
      </c>
      <c r="AM4072">
        <v>95.387123659893803</v>
      </c>
      <c r="AN4072">
        <v>1.00000006753115</v>
      </c>
    </row>
    <row r="4073" spans="1:40" x14ac:dyDescent="0.25">
      <c r="A4073" t="str">
        <f>"20190312151107920"</f>
        <v>20190312151107920</v>
      </c>
      <c r="B4073" t="str">
        <f>"1552374667915311"</f>
        <v>1552374667915311</v>
      </c>
      <c r="C4073" t="s">
        <v>40</v>
      </c>
      <c r="D4073">
        <v>5.422936</v>
      </c>
      <c r="E4073">
        <v>0.4885563</v>
      </c>
      <c r="F4073" t="s">
        <v>44</v>
      </c>
      <c r="G4073">
        <v>0</v>
      </c>
      <c r="H4073">
        <v>0</v>
      </c>
      <c r="I4073">
        <v>0</v>
      </c>
      <c r="J4073">
        <v>-235.58799999999999</v>
      </c>
      <c r="K4073">
        <v>1.111111</v>
      </c>
      <c r="L4073">
        <v>135.3784</v>
      </c>
      <c r="M4073">
        <v>-0.98999289999999995</v>
      </c>
      <c r="N4073">
        <v>0</v>
      </c>
      <c r="O4073">
        <v>0.1405614</v>
      </c>
      <c r="P4073">
        <v>-0.99751230000000002</v>
      </c>
      <c r="Q4073">
        <v>5.261942E-2</v>
      </c>
      <c r="R4073">
        <v>4.690913E-2</v>
      </c>
      <c r="S4073">
        <v>-3.0021819999999999</v>
      </c>
      <c r="T4073">
        <v>5.1286940000000003E-2</v>
      </c>
      <c r="U4073">
        <v>5.8822630000000001E-2</v>
      </c>
      <c r="V4073">
        <v>-9.3914730000000002E-2</v>
      </c>
      <c r="W4073">
        <v>6.4866569999999998E-2</v>
      </c>
      <c r="X4073">
        <v>0.99346480000000004</v>
      </c>
      <c r="Y4073">
        <v>-0.1211124</v>
      </c>
      <c r="Z4073">
        <v>3.428529E-3</v>
      </c>
      <c r="AA4073">
        <v>0.99263290000000004</v>
      </c>
      <c r="AB4073">
        <v>22</v>
      </c>
      <c r="AC4073">
        <v>-3.0021819999999999</v>
      </c>
      <c r="AD4073">
        <v>5.1286940000000003E-2</v>
      </c>
      <c r="AE4073">
        <v>5.8822630000000001E-2</v>
      </c>
      <c r="AF4073">
        <v>-0.36367930132455301</v>
      </c>
      <c r="AG4073">
        <v>5.1286940000000003E-2</v>
      </c>
      <c r="AH4073">
        <v>2.9797711035246501</v>
      </c>
      <c r="AI4073">
        <v>89.021201077666305</v>
      </c>
      <c r="AJ4073">
        <v>96.958500788520098</v>
      </c>
      <c r="AK4073">
        <v>3.0023205714625099</v>
      </c>
      <c r="AL4073">
        <v>86.280807921802705</v>
      </c>
      <c r="AM4073">
        <v>95.400266208793298</v>
      </c>
      <c r="AN4073">
        <v>0.99999997862678802</v>
      </c>
    </row>
    <row r="4074" spans="1:40" x14ac:dyDescent="0.25">
      <c r="A4074" t="str">
        <f>"20190312151107941"</f>
        <v>20190312151107941</v>
      </c>
      <c r="B4074" t="str">
        <f>"1552374667934831"</f>
        <v>1552374667934831</v>
      </c>
      <c r="C4074" t="s">
        <v>40</v>
      </c>
      <c r="D4074">
        <v>5.299188</v>
      </c>
      <c r="E4074">
        <v>0.48816979999999999</v>
      </c>
      <c r="F4074" t="s">
        <v>44</v>
      </c>
      <c r="G4074">
        <v>0</v>
      </c>
      <c r="H4074">
        <v>0</v>
      </c>
      <c r="I4074">
        <v>0</v>
      </c>
      <c r="J4074">
        <v>-235.80080000000001</v>
      </c>
      <c r="K4074">
        <v>1.1113379999999999</v>
      </c>
      <c r="L4074">
        <v>135.40690000000001</v>
      </c>
      <c r="M4074">
        <v>-0.99016530000000003</v>
      </c>
      <c r="N4074">
        <v>0</v>
      </c>
      <c r="O4074">
        <v>0.1392311</v>
      </c>
      <c r="P4074">
        <v>-0.99765250000000005</v>
      </c>
      <c r="Q4074">
        <v>5.1447930000000003E-2</v>
      </c>
      <c r="R4074">
        <v>4.5197469999999997E-2</v>
      </c>
      <c r="S4074">
        <v>-3.0026700000000002</v>
      </c>
      <c r="T4074">
        <v>4.9082880000000002E-2</v>
      </c>
      <c r="U4074">
        <v>4.7164919999999999E-2</v>
      </c>
      <c r="V4074">
        <v>-9.4283190000000003E-2</v>
      </c>
      <c r="W4074">
        <v>6.4878459999999999E-2</v>
      </c>
      <c r="X4074">
        <v>0.99342909999999995</v>
      </c>
      <c r="Y4074">
        <v>-0.1236392</v>
      </c>
      <c r="Z4074">
        <v>3.2800569999999999E-3</v>
      </c>
      <c r="AA4074">
        <v>0.99232180000000003</v>
      </c>
      <c r="AB4074">
        <v>22</v>
      </c>
      <c r="AC4074">
        <v>-3.0026700000000002</v>
      </c>
      <c r="AD4074">
        <v>4.9082880000000002E-2</v>
      </c>
      <c r="AE4074">
        <v>4.7164919999999999E-2</v>
      </c>
      <c r="AF4074">
        <v>-0.371299589059847</v>
      </c>
      <c r="AG4074">
        <v>4.9082880000000002E-2</v>
      </c>
      <c r="AH4074">
        <v>2.9791898136164199</v>
      </c>
      <c r="AI4074">
        <v>89.063368395687604</v>
      </c>
      <c r="AJ4074">
        <v>97.104201998642395</v>
      </c>
      <c r="AK4074">
        <v>3.0026395820179501</v>
      </c>
      <c r="AL4074">
        <v>86.280125151186098</v>
      </c>
      <c r="AM4074">
        <v>95.421520995988601</v>
      </c>
      <c r="AN4074">
        <v>0.99999995560767696</v>
      </c>
    </row>
    <row r="4075" spans="1:40" x14ac:dyDescent="0.25">
      <c r="A4075" t="str">
        <f>"20190312151107965"</f>
        <v>20190312151107965</v>
      </c>
      <c r="B4075" t="str">
        <f>"1552374667955327"</f>
        <v>1552374667955327</v>
      </c>
      <c r="C4075" t="s">
        <v>40</v>
      </c>
      <c r="D4075">
        <v>6.0697140000000003</v>
      </c>
      <c r="E4075">
        <v>0.48783189999999998</v>
      </c>
      <c r="F4075" t="s">
        <v>44</v>
      </c>
      <c r="G4075">
        <v>0</v>
      </c>
      <c r="H4075">
        <v>0</v>
      </c>
      <c r="I4075">
        <v>0</v>
      </c>
      <c r="J4075">
        <v>-236.0138</v>
      </c>
      <c r="K4075">
        <v>1.1116220000000001</v>
      </c>
      <c r="L4075">
        <v>135.43520000000001</v>
      </c>
      <c r="M4075">
        <v>-0.99031279999999999</v>
      </c>
      <c r="N4075">
        <v>0</v>
      </c>
      <c r="O4075">
        <v>0.13799839999999999</v>
      </c>
      <c r="P4075">
        <v>-0.99780950000000002</v>
      </c>
      <c r="Q4075">
        <v>4.9999229999999999E-2</v>
      </c>
      <c r="R4075">
        <v>4.3316920000000002E-2</v>
      </c>
      <c r="S4075">
        <v>-3.0029750000000002</v>
      </c>
      <c r="T4075">
        <v>4.5415039999999997E-2</v>
      </c>
      <c r="U4075">
        <v>3.8940429999999998E-2</v>
      </c>
      <c r="V4075">
        <v>-9.491484E-2</v>
      </c>
      <c r="W4075">
        <v>6.5146350000000006E-2</v>
      </c>
      <c r="X4075">
        <v>0.99335150000000005</v>
      </c>
      <c r="Y4075">
        <v>-0.1251311</v>
      </c>
      <c r="Z4075">
        <v>3.0276610000000001E-3</v>
      </c>
      <c r="AA4075">
        <v>0.99213560000000001</v>
      </c>
      <c r="AB4075">
        <v>21</v>
      </c>
      <c r="AC4075">
        <v>-3.0029750000000002</v>
      </c>
      <c r="AD4075">
        <v>4.5415039999999997E-2</v>
      </c>
      <c r="AE4075">
        <v>3.8940429999999998E-2</v>
      </c>
      <c r="AF4075">
        <v>-0.37580114701581602</v>
      </c>
      <c r="AG4075">
        <v>4.5415039999999997E-2</v>
      </c>
      <c r="AH4075">
        <v>2.9789301885787198</v>
      </c>
      <c r="AI4075">
        <v>89.133436700268305</v>
      </c>
      <c r="AJ4075">
        <v>97.190055947088197</v>
      </c>
      <c r="AK4075">
        <v>3.0028842962029398</v>
      </c>
      <c r="AL4075">
        <v>86.264743952620094</v>
      </c>
      <c r="AM4075">
        <v>95.458047653300099</v>
      </c>
      <c r="AN4075">
        <v>1.00000003816139</v>
      </c>
    </row>
    <row r="4076" spans="1:40" x14ac:dyDescent="0.25">
      <c r="A4076" t="str">
        <f>"20190312151107987"</f>
        <v>20190312151107987</v>
      </c>
      <c r="B4076" t="str">
        <f>"1552374667974847"</f>
        <v>1552374667974847</v>
      </c>
      <c r="C4076" t="s">
        <v>40</v>
      </c>
      <c r="D4076">
        <v>5.9719419999999896</v>
      </c>
      <c r="E4076">
        <v>0.48748780000000003</v>
      </c>
      <c r="F4076" t="s">
        <v>44</v>
      </c>
      <c r="G4076">
        <v>0</v>
      </c>
      <c r="H4076">
        <v>0</v>
      </c>
      <c r="I4076">
        <v>0</v>
      </c>
      <c r="J4076">
        <v>-236.2149</v>
      </c>
      <c r="K4076">
        <v>1.1119059999999901</v>
      </c>
      <c r="L4076">
        <v>135.46180000000001</v>
      </c>
      <c r="M4076">
        <v>-0.99043099999999995</v>
      </c>
      <c r="N4076">
        <v>0</v>
      </c>
      <c r="O4076">
        <v>0.13693350000000001</v>
      </c>
      <c r="P4076">
        <v>-0.99797329999999995</v>
      </c>
      <c r="Q4076">
        <v>4.8189129999999997E-2</v>
      </c>
      <c r="R4076">
        <v>4.1559810000000003E-2</v>
      </c>
      <c r="S4076">
        <v>-3.0032040000000002</v>
      </c>
      <c r="T4076">
        <v>4.061294E-2</v>
      </c>
      <c r="U4076">
        <v>3.056335E-2</v>
      </c>
      <c r="V4076">
        <v>-9.5599760000000006E-2</v>
      </c>
      <c r="W4076">
        <v>6.514636E-2</v>
      </c>
      <c r="X4076">
        <v>0.9932858</v>
      </c>
      <c r="Y4076">
        <v>-0.12684210000000001</v>
      </c>
      <c r="Z4076">
        <v>2.7048089999999999E-3</v>
      </c>
      <c r="AA4076">
        <v>0.9919192</v>
      </c>
      <c r="AB4076">
        <v>21</v>
      </c>
      <c r="AC4076">
        <v>-3.0032040000000002</v>
      </c>
      <c r="AD4076">
        <v>4.061294E-2</v>
      </c>
      <c r="AE4076">
        <v>3.056335E-2</v>
      </c>
      <c r="AF4076">
        <v>-0.38095501421017602</v>
      </c>
      <c r="AG4076">
        <v>4.061294E-2</v>
      </c>
      <c r="AH4076">
        <v>2.9785472539377902</v>
      </c>
      <c r="AI4076">
        <v>89.225123183372801</v>
      </c>
      <c r="AJ4076">
        <v>97.288536694637401</v>
      </c>
      <c r="AK4076">
        <v>3.00308506001539</v>
      </c>
      <c r="AL4076">
        <v>86.2647433157736</v>
      </c>
      <c r="AM4076">
        <v>95.497554733077493</v>
      </c>
      <c r="AN4076">
        <v>1.00000002140747</v>
      </c>
    </row>
    <row r="4077" spans="1:40" x14ac:dyDescent="0.25">
      <c r="A4077" t="str">
        <f>"20190312151108009"</f>
        <v>20190312151108009</v>
      </c>
      <c r="B4077" t="str">
        <f>"1552374668005103"</f>
        <v>1552374668005103</v>
      </c>
      <c r="C4077" t="s">
        <v>40</v>
      </c>
      <c r="D4077">
        <v>4.9484830000000004</v>
      </c>
      <c r="E4077">
        <v>0.4870196</v>
      </c>
      <c r="F4077" t="s">
        <v>44</v>
      </c>
      <c r="G4077">
        <v>0</v>
      </c>
      <c r="H4077">
        <v>0</v>
      </c>
      <c r="I4077">
        <v>0</v>
      </c>
      <c r="J4077">
        <v>-236.40430000000001</v>
      </c>
      <c r="K4077">
        <v>1.112161</v>
      </c>
      <c r="L4077">
        <v>135.48670000000001</v>
      </c>
      <c r="M4077">
        <v>-0.99053780000000002</v>
      </c>
      <c r="N4077">
        <v>0</v>
      </c>
      <c r="O4077">
        <v>0.1359378</v>
      </c>
      <c r="P4077">
        <v>-0.99811850000000002</v>
      </c>
      <c r="Q4077">
        <v>4.705115E-2</v>
      </c>
      <c r="R4077">
        <v>3.9316259999999999E-2</v>
      </c>
      <c r="S4077">
        <v>-3.003479</v>
      </c>
      <c r="T4077">
        <v>3.5037760000000001E-2</v>
      </c>
      <c r="U4077">
        <v>2.2262569999999999E-2</v>
      </c>
      <c r="V4077">
        <v>-9.6843440000000003E-2</v>
      </c>
      <c r="W4077">
        <v>6.5668809999999994E-2</v>
      </c>
      <c r="X4077">
        <v>0.99313090000000004</v>
      </c>
      <c r="Y4077">
        <v>-0.12859699999999999</v>
      </c>
      <c r="Z4077">
        <v>2.3321729999999999E-3</v>
      </c>
      <c r="AA4077">
        <v>0.99169419999999997</v>
      </c>
      <c r="AB4077">
        <v>20</v>
      </c>
      <c r="AC4077">
        <v>-3.003479</v>
      </c>
      <c r="AD4077">
        <v>3.5037760000000001E-2</v>
      </c>
      <c r="AE4077">
        <v>2.2262569999999999E-2</v>
      </c>
      <c r="AF4077">
        <v>-0.38625057470544699</v>
      </c>
      <c r="AG4077">
        <v>3.5037760000000001E-2</v>
      </c>
      <c r="AH4077">
        <v>2.9782104409932</v>
      </c>
      <c r="AI4077">
        <v>89.331560928143205</v>
      </c>
      <c r="AJ4077">
        <v>97.389567202376796</v>
      </c>
      <c r="AK4077">
        <v>3.00335721850182</v>
      </c>
      <c r="AL4077">
        <v>86.234744872366704</v>
      </c>
      <c r="AM4077">
        <v>95.569490141053905</v>
      </c>
      <c r="AN4077">
        <v>1.0000000145063299</v>
      </c>
    </row>
    <row r="4078" spans="1:40" x14ac:dyDescent="0.25">
      <c r="A4078" t="str">
        <f>"20190312151108030"</f>
        <v>20190312151108030</v>
      </c>
      <c r="B4078" t="str">
        <f>"1552374668025600"</f>
        <v>1552374668025600</v>
      </c>
      <c r="C4078" t="s">
        <v>40</v>
      </c>
      <c r="D4078">
        <v>5.7186879999999896</v>
      </c>
      <c r="E4078">
        <v>0.47919850000000003</v>
      </c>
      <c r="F4078" t="s">
        <v>44</v>
      </c>
      <c r="G4078">
        <v>0</v>
      </c>
      <c r="H4078">
        <v>0</v>
      </c>
      <c r="I4078">
        <v>0</v>
      </c>
      <c r="J4078">
        <v>-236.596</v>
      </c>
      <c r="K4078">
        <v>1.1122209999999999</v>
      </c>
      <c r="L4078">
        <v>135.51159999999999</v>
      </c>
      <c r="M4078">
        <v>-0.99069510000000005</v>
      </c>
      <c r="N4078">
        <v>0</v>
      </c>
      <c r="O4078">
        <v>0.13467709999999999</v>
      </c>
      <c r="P4078">
        <v>-0.99822469999999996</v>
      </c>
      <c r="Q4078">
        <v>4.6698299999999998E-2</v>
      </c>
      <c r="R4078">
        <v>3.6972480000000002E-2</v>
      </c>
      <c r="S4078">
        <v>-3.0037229999999999</v>
      </c>
      <c r="T4078">
        <v>3.0873419999999999E-2</v>
      </c>
      <c r="U4078">
        <v>1.164246E-2</v>
      </c>
      <c r="V4078">
        <v>-9.7925769999999995E-2</v>
      </c>
      <c r="W4078">
        <v>6.6062300000000004E-2</v>
      </c>
      <c r="X4078">
        <v>0.99299870000000001</v>
      </c>
      <c r="Y4078">
        <v>-0.13084749999999901</v>
      </c>
      <c r="Z4078">
        <v>2.0536590000000002E-3</v>
      </c>
      <c r="AA4078">
        <v>0.99140039999999996</v>
      </c>
      <c r="AB4078">
        <v>20</v>
      </c>
      <c r="AC4078">
        <v>-3.0037229999999999</v>
      </c>
      <c r="AD4078">
        <v>3.0873419999999999E-2</v>
      </c>
      <c r="AE4078">
        <v>1.164246E-2</v>
      </c>
      <c r="AF4078">
        <v>-0.393032785954048</v>
      </c>
      <c r="AG4078">
        <v>3.0873419999999999E-2</v>
      </c>
      <c r="AH4078">
        <v>2.9776008131866498</v>
      </c>
      <c r="AI4078">
        <v>89.411054899506894</v>
      </c>
      <c r="AJ4078">
        <v>97.519371336973904</v>
      </c>
      <c r="AK4078">
        <v>3.0035869459010298</v>
      </c>
      <c r="AL4078">
        <v>86.212150631369894</v>
      </c>
      <c r="AM4078">
        <v>95.632082201915395</v>
      </c>
      <c r="AN4078">
        <v>1.0000000510565299</v>
      </c>
    </row>
    <row r="4079" spans="1:40" x14ac:dyDescent="0.25">
      <c r="A4079" t="str">
        <f>"20190312151108053"</f>
        <v>20190312151108053</v>
      </c>
      <c r="B4079" t="str">
        <f>"1552374668045119"</f>
        <v>1552374668045119</v>
      </c>
      <c r="C4079" t="s">
        <v>40</v>
      </c>
      <c r="D4079">
        <v>5.3021310000000001</v>
      </c>
      <c r="E4079">
        <v>0.47881319999999999</v>
      </c>
      <c r="F4079" t="s">
        <v>42</v>
      </c>
      <c r="G4079">
        <v>-247.36099999999999</v>
      </c>
      <c r="H4079" s="1">
        <v>-2.0395710000000002E-6</v>
      </c>
      <c r="I4079">
        <v>135.27369999999999</v>
      </c>
      <c r="J4079">
        <v>-236.79929999999999</v>
      </c>
      <c r="K4079">
        <v>1.11199</v>
      </c>
      <c r="L4079">
        <v>135.5377</v>
      </c>
      <c r="M4079">
        <v>-0.9909095</v>
      </c>
      <c r="N4079">
        <v>0</v>
      </c>
      <c r="O4079">
        <v>0.13318669999999999</v>
      </c>
      <c r="P4079">
        <v>-0.9982607</v>
      </c>
      <c r="Q4079">
        <v>4.7836280000000002E-2</v>
      </c>
      <c r="R4079">
        <v>3.4458580000000003E-2</v>
      </c>
      <c r="S4079">
        <v>-3.0224150000000001</v>
      </c>
      <c r="T4079">
        <v>-0.31227179999999999</v>
      </c>
      <c r="U4079">
        <v>-6.6802979999999998E-2</v>
      </c>
      <c r="V4079">
        <v>-9.8949899999999993E-2</v>
      </c>
      <c r="W4079">
        <v>6.6493360000000001E-2</v>
      </c>
      <c r="X4079">
        <v>0.99286839999999998</v>
      </c>
      <c r="Y4079">
        <v>-0.15355469999999999</v>
      </c>
      <c r="Z4079">
        <v>-2.1609710000000001E-2</v>
      </c>
      <c r="AA4079">
        <v>0.9879038</v>
      </c>
      <c r="AB4079">
        <v>20</v>
      </c>
      <c r="AC4079">
        <v>-10.5617</v>
      </c>
      <c r="AD4079">
        <v>-1.1119920395709999</v>
      </c>
      <c r="AE4079">
        <v>-0.26400000000001</v>
      </c>
      <c r="AF4079">
        <v>-1.65029606021982</v>
      </c>
      <c r="AG4079">
        <v>-1.1119920395709999</v>
      </c>
      <c r="AH4079">
        <v>10.3180991228063</v>
      </c>
      <c r="AI4079">
        <v>96.074465805988297</v>
      </c>
      <c r="AJ4079">
        <v>99.087029377818197</v>
      </c>
      <c r="AK4079">
        <v>10.508243092472799</v>
      </c>
      <c r="AL4079">
        <v>86.187398302274801</v>
      </c>
      <c r="AM4079">
        <v>95.691341099167204</v>
      </c>
      <c r="AN4079">
        <v>1.0000000546763199</v>
      </c>
    </row>
    <row r="4080" spans="1:40" x14ac:dyDescent="0.25">
      <c r="A4080" t="str">
        <f>"20190312151108075"</f>
        <v>20190312151108075</v>
      </c>
      <c r="B4080" t="str">
        <f>"1552374668065615"</f>
        <v>1552374668065615</v>
      </c>
      <c r="C4080" t="s">
        <v>40</v>
      </c>
      <c r="D4080">
        <v>5.6840710000000003</v>
      </c>
      <c r="E4080">
        <v>0.47911239999999999</v>
      </c>
      <c r="F4080" t="s">
        <v>42</v>
      </c>
      <c r="G4080">
        <v>-258.49970000000002</v>
      </c>
      <c r="H4080" s="1">
        <v>-1.7232299999999899E-6</v>
      </c>
      <c r="I4080">
        <v>135.00620000000001</v>
      </c>
      <c r="J4080">
        <v>-236.99950000000001</v>
      </c>
      <c r="K4080">
        <v>1.111748</v>
      </c>
      <c r="L4080">
        <v>135.56280000000001</v>
      </c>
      <c r="M4080">
        <v>-0.99111300000000002</v>
      </c>
      <c r="N4080">
        <v>0</v>
      </c>
      <c r="O4080">
        <v>0.1317981</v>
      </c>
      <c r="P4080">
        <v>-0.99826890000000001</v>
      </c>
      <c r="Q4080">
        <v>4.960999E-2</v>
      </c>
      <c r="R4080">
        <v>3.1588930000000001E-2</v>
      </c>
      <c r="S4080">
        <v>-3.0151819999999998</v>
      </c>
      <c r="T4080">
        <v>-0.15450739999999999</v>
      </c>
      <c r="U4080">
        <v>-7.3837280000000005E-2</v>
      </c>
      <c r="V4080">
        <v>-0.1004225</v>
      </c>
      <c r="W4080">
        <v>6.7280290000000006E-2</v>
      </c>
      <c r="X4080">
        <v>0.99266739999999998</v>
      </c>
      <c r="Y4080">
        <v>-0.155670899999999</v>
      </c>
      <c r="Z4080">
        <v>-1.072265E-2</v>
      </c>
      <c r="AA4080">
        <v>0.98775080000000004</v>
      </c>
      <c r="AB4080">
        <v>20</v>
      </c>
      <c r="AC4080">
        <v>-21.5002</v>
      </c>
      <c r="AD4080">
        <v>-1.11174972323</v>
      </c>
      <c r="AE4080">
        <v>-0.55660000000000298</v>
      </c>
      <c r="AF4080">
        <v>-3.3768650238657099</v>
      </c>
      <c r="AG4080">
        <v>-1.11174972323</v>
      </c>
      <c r="AH4080">
        <v>21.182612772005399</v>
      </c>
      <c r="AI4080">
        <v>92.966963071336394</v>
      </c>
      <c r="AJ4080">
        <v>99.057694924401005</v>
      </c>
      <c r="AK4080">
        <v>21.4788800612424</v>
      </c>
      <c r="AL4080">
        <v>86.142208900852907</v>
      </c>
      <c r="AM4080">
        <v>95.776634329786901</v>
      </c>
      <c r="AN4080">
        <v>0.999999941475745</v>
      </c>
    </row>
    <row r="4081" spans="1:40" x14ac:dyDescent="0.25">
      <c r="A4081" t="str">
        <f>"20190312151108098"</f>
        <v>20190312151108098</v>
      </c>
      <c r="B4081" t="str">
        <f>"1552374668094895"</f>
        <v>1552374668094895</v>
      </c>
      <c r="C4081" t="s">
        <v>40</v>
      </c>
      <c r="D4081">
        <v>5.7545449999999896</v>
      </c>
      <c r="E4081">
        <v>0.47932930000000001</v>
      </c>
      <c r="F4081" t="s">
        <v>42</v>
      </c>
      <c r="G4081">
        <v>-272.07859999999999</v>
      </c>
      <c r="H4081" s="1">
        <v>-4.2622770000000003E-6</v>
      </c>
      <c r="I4081">
        <v>134.64529999999999</v>
      </c>
      <c r="J4081">
        <v>-237.19759999999999</v>
      </c>
      <c r="K4081">
        <v>1.1116539999999999</v>
      </c>
      <c r="L4081">
        <v>135.5872</v>
      </c>
      <c r="M4081">
        <v>-0.99129339999999999</v>
      </c>
      <c r="N4081">
        <v>0</v>
      </c>
      <c r="O4081">
        <v>0.1304835</v>
      </c>
      <c r="P4081">
        <v>-0.99828989999999995</v>
      </c>
      <c r="Q4081">
        <v>5.0884869999999999E-2</v>
      </c>
      <c r="R4081">
        <v>2.8776779999999998E-2</v>
      </c>
      <c r="S4081">
        <v>-3.012451</v>
      </c>
      <c r="T4081">
        <v>-9.5472810000000005E-2</v>
      </c>
      <c r="U4081">
        <v>-7.8781130000000005E-2</v>
      </c>
      <c r="V4081">
        <v>-0.1019005</v>
      </c>
      <c r="W4081">
        <v>6.8192749999999996E-2</v>
      </c>
      <c r="X4081">
        <v>0.99245450000000002</v>
      </c>
      <c r="Y4081">
        <v>-0.15623480000000001</v>
      </c>
      <c r="Z4081">
        <v>-6.6018730000000003E-3</v>
      </c>
      <c r="AA4081">
        <v>0.98769790000000002</v>
      </c>
      <c r="AB4081">
        <v>20</v>
      </c>
      <c r="AC4081">
        <v>-34.881</v>
      </c>
      <c r="AD4081">
        <v>-1.1116582622769999</v>
      </c>
      <c r="AE4081">
        <v>-0.94190000000000396</v>
      </c>
      <c r="AF4081">
        <v>-5.4803862232234204</v>
      </c>
      <c r="AG4081">
        <v>-1.1116582622769999</v>
      </c>
      <c r="AH4081">
        <v>34.424829600047197</v>
      </c>
      <c r="AI4081">
        <v>91.826586014909097</v>
      </c>
      <c r="AJ4081">
        <v>99.045503133227797</v>
      </c>
      <c r="AK4081">
        <v>34.876056403212701</v>
      </c>
      <c r="AL4081">
        <v>86.089808466628995</v>
      </c>
      <c r="AM4081">
        <v>95.862314706052899</v>
      </c>
      <c r="AN4081">
        <v>0.99999994881152998</v>
      </c>
    </row>
    <row r="4082" spans="1:40" x14ac:dyDescent="0.25">
      <c r="A4082" t="str">
        <f>"20190312151108120"</f>
        <v>20190312151108120</v>
      </c>
      <c r="B4082" t="str">
        <f>"1552374668115391"</f>
        <v>1552374668115391</v>
      </c>
      <c r="C4082" t="s">
        <v>40</v>
      </c>
      <c r="D4082">
        <v>5.6704040000000004</v>
      </c>
      <c r="E4082">
        <v>0.47978399999999999</v>
      </c>
      <c r="F4082" t="s">
        <v>79</v>
      </c>
      <c r="G4082">
        <v>-300.36739999999998</v>
      </c>
      <c r="H4082" s="1">
        <v>-6.2529230000000003E-6</v>
      </c>
      <c r="I4082">
        <v>133.8133</v>
      </c>
      <c r="J4082">
        <v>-237.38419999999999</v>
      </c>
      <c r="K4082">
        <v>1.111588</v>
      </c>
      <c r="L4082">
        <v>135.60990000000001</v>
      </c>
      <c r="M4082">
        <v>-0.99147059999999998</v>
      </c>
      <c r="N4082">
        <v>0</v>
      </c>
      <c r="O4082">
        <v>0.12913849999999999</v>
      </c>
      <c r="P4082">
        <v>-0.99830669999999999</v>
      </c>
      <c r="Q4082">
        <v>5.1823319999999999E-2</v>
      </c>
      <c r="R4082">
        <v>2.6425919999999999E-2</v>
      </c>
      <c r="S4082">
        <v>-3.010284</v>
      </c>
      <c r="T4082">
        <v>-5.2974939999999998E-2</v>
      </c>
      <c r="U4082">
        <v>-8.4533689999999995E-2</v>
      </c>
      <c r="V4082">
        <v>-0.1028781</v>
      </c>
      <c r="W4082">
        <v>6.9075670000000006E-2</v>
      </c>
      <c r="X4082">
        <v>0.99229259999999997</v>
      </c>
      <c r="Y4082">
        <v>-0.15689879999999901</v>
      </c>
      <c r="Z4082">
        <v>-3.6487300000000002E-3</v>
      </c>
      <c r="AA4082">
        <v>0.98760800000000004</v>
      </c>
      <c r="AB4082">
        <v>20</v>
      </c>
      <c r="AC4082">
        <v>-62.983199999999897</v>
      </c>
      <c r="AD4082">
        <v>-1.1115942529230001</v>
      </c>
      <c r="AE4082">
        <v>-1.79660000000001</v>
      </c>
      <c r="AF4082">
        <v>-9.91328035328862</v>
      </c>
      <c r="AG4082">
        <v>-1.1115942529230001</v>
      </c>
      <c r="AH4082">
        <v>62.204244197008599</v>
      </c>
      <c r="AI4082">
        <v>91.011015131774201</v>
      </c>
      <c r="AJ4082">
        <v>99.054889447455693</v>
      </c>
      <c r="AK4082">
        <v>62.999021938972298</v>
      </c>
      <c r="AL4082">
        <v>86.039101414866394</v>
      </c>
      <c r="AM4082">
        <v>95.919117268817104</v>
      </c>
      <c r="AN4082">
        <v>0.99999997783015904</v>
      </c>
    </row>
    <row r="4083" spans="1:40" x14ac:dyDescent="0.25">
      <c r="A4083" t="str">
        <f>"20190312151108143"</f>
        <v>20190312151108143</v>
      </c>
      <c r="B4083" t="str">
        <f>"1552374668134910"</f>
        <v>1552374668134910</v>
      </c>
      <c r="C4083" t="s">
        <v>40</v>
      </c>
      <c r="D4083">
        <v>5.6305909999999999</v>
      </c>
      <c r="E4083">
        <v>0.48016769999999998</v>
      </c>
      <c r="F4083" t="s">
        <v>42</v>
      </c>
      <c r="G4083">
        <v>-330.43</v>
      </c>
      <c r="H4083" s="1">
        <v>-5.6962529999999998E-6</v>
      </c>
      <c r="I4083">
        <v>132.89660000000001</v>
      </c>
      <c r="J4083">
        <v>-237.59569999999999</v>
      </c>
      <c r="K4083">
        <v>1.111426</v>
      </c>
      <c r="L4083">
        <v>135.63550000000001</v>
      </c>
      <c r="M4083">
        <v>-0.99169839999999998</v>
      </c>
      <c r="N4083">
        <v>0</v>
      </c>
      <c r="O4083">
        <v>0.12742580000000001</v>
      </c>
      <c r="P4083">
        <v>-0.9982588</v>
      </c>
      <c r="Q4083">
        <v>5.3709130000000001E-2</v>
      </c>
      <c r="R4083">
        <v>2.4391010000000001E-2</v>
      </c>
      <c r="S4083">
        <v>-3.009293</v>
      </c>
      <c r="T4083">
        <v>-3.5951259999999999E-2</v>
      </c>
      <c r="U4083">
        <v>-8.7753300000000006E-2</v>
      </c>
      <c r="V4083">
        <v>-0.10316160000000001</v>
      </c>
      <c r="W4083">
        <v>7.0633520000000005E-2</v>
      </c>
      <c r="X4083">
        <v>0.99215350000000002</v>
      </c>
      <c r="Y4083">
        <v>-0.15628110000000001</v>
      </c>
      <c r="Z4083">
        <v>-2.4530580000000001E-3</v>
      </c>
      <c r="AA4083">
        <v>0.98770959999999997</v>
      </c>
      <c r="AB4083">
        <v>20</v>
      </c>
      <c r="AC4083">
        <v>-92.834299999999999</v>
      </c>
      <c r="AD4083">
        <v>-1.111431696253</v>
      </c>
      <c r="AE4083">
        <v>-2.7389000000000001</v>
      </c>
      <c r="AF4083">
        <v>-14.5457247502186</v>
      </c>
      <c r="AG4083">
        <v>-1.111431696253</v>
      </c>
      <c r="AH4083">
        <v>91.7151061219963</v>
      </c>
      <c r="AI4083">
        <v>90.685724186002602</v>
      </c>
      <c r="AJ4083">
        <v>99.011870635348799</v>
      </c>
      <c r="AK4083">
        <v>92.8680466031972</v>
      </c>
      <c r="AL4083">
        <v>85.949624642319606</v>
      </c>
      <c r="AM4083">
        <v>95.936138419334299</v>
      </c>
      <c r="AN4083">
        <v>0.99999998871219997</v>
      </c>
    </row>
    <row r="4084" spans="1:40" x14ac:dyDescent="0.25">
      <c r="A4084" t="str">
        <f>"20190312151108166"</f>
        <v>20190312151108166</v>
      </c>
      <c r="B4084" t="str">
        <f>"1552374668155407"</f>
        <v>1552374668155407</v>
      </c>
      <c r="C4084" t="s">
        <v>40</v>
      </c>
      <c r="D4084">
        <v>5.6924970000000004</v>
      </c>
      <c r="E4084">
        <v>0.48042180000000001</v>
      </c>
      <c r="F4084" t="s">
        <v>42</v>
      </c>
      <c r="G4084">
        <v>-395.83339999999998</v>
      </c>
      <c r="H4084" s="1">
        <v>-3.7306879999999998E-6</v>
      </c>
      <c r="I4084">
        <v>130.8716</v>
      </c>
      <c r="J4084">
        <v>-237.7946</v>
      </c>
      <c r="K4084">
        <v>1.1112879999999901</v>
      </c>
      <c r="L4084">
        <v>135.65940000000001</v>
      </c>
      <c r="M4084">
        <v>-0.99191490000000004</v>
      </c>
      <c r="N4084">
        <v>0</v>
      </c>
      <c r="O4084">
        <v>0.12579939999999901</v>
      </c>
      <c r="P4084">
        <v>-0.99819789999999997</v>
      </c>
      <c r="Q4084">
        <v>5.5494880000000003E-2</v>
      </c>
      <c r="R4084">
        <v>2.283365E-2</v>
      </c>
      <c r="S4084">
        <v>-3.008575</v>
      </c>
      <c r="T4084">
        <v>-2.1131629999999998E-2</v>
      </c>
      <c r="U4084">
        <v>-9.0576169999999998E-2</v>
      </c>
      <c r="V4084">
        <v>-0.10306319999999999</v>
      </c>
      <c r="W4084">
        <v>7.1912459999999997E-2</v>
      </c>
      <c r="X4084">
        <v>0.99207190000000001</v>
      </c>
      <c r="Y4084">
        <v>-0.155606299999999</v>
      </c>
      <c r="Z4084">
        <v>-1.4285019999999999E-3</v>
      </c>
      <c r="AA4084">
        <v>0.98781810000000003</v>
      </c>
      <c r="AB4084">
        <v>20</v>
      </c>
      <c r="AC4084">
        <v>-158.03879999999899</v>
      </c>
      <c r="AD4084">
        <v>-1.1112917306879999</v>
      </c>
      <c r="AE4084">
        <v>-4.7877999999999998</v>
      </c>
      <c r="AF4084">
        <v>-24.632500377685599</v>
      </c>
      <c r="AG4084">
        <v>-1.1112917306879999</v>
      </c>
      <c r="AH4084">
        <v>156.172838559762</v>
      </c>
      <c r="AI4084">
        <v>90.402718971233</v>
      </c>
      <c r="AJ4084">
        <v>98.963187627745299</v>
      </c>
      <c r="AK4084">
        <v>158.107401939254</v>
      </c>
      <c r="AL4084">
        <v>85.876160151730701</v>
      </c>
      <c r="AM4084">
        <v>95.931000968144005</v>
      </c>
      <c r="AN4084">
        <v>1.00000003993355</v>
      </c>
    </row>
    <row r="4085" spans="1:40" x14ac:dyDescent="0.25">
      <c r="A4085" t="str">
        <f>"20190312151108187"</f>
        <v>20190312151108187</v>
      </c>
      <c r="B4085" t="str">
        <f>"1552374668184687"</f>
        <v>1552374668184687</v>
      </c>
      <c r="C4085" t="s">
        <v>40</v>
      </c>
      <c r="D4085">
        <v>5.6135099999999998</v>
      </c>
      <c r="E4085">
        <v>0.48104350000000001</v>
      </c>
      <c r="F4085" t="s">
        <v>47</v>
      </c>
      <c r="G4085">
        <v>-621.03470000000004</v>
      </c>
      <c r="H4085">
        <v>-0.1</v>
      </c>
      <c r="I4085">
        <v>123.7949</v>
      </c>
      <c r="J4085">
        <v>-237.98599999999999</v>
      </c>
      <c r="K4085">
        <v>1.1112310000000001</v>
      </c>
      <c r="L4085">
        <v>135.68209999999999</v>
      </c>
      <c r="M4085">
        <v>-0.99210549999999997</v>
      </c>
      <c r="N4085">
        <v>0</v>
      </c>
      <c r="O4085">
        <v>0.124345899999999</v>
      </c>
      <c r="P4085">
        <v>-0.998085</v>
      </c>
      <c r="Q4085">
        <v>5.7768420000000001E-2</v>
      </c>
      <c r="R4085">
        <v>2.211656E-2</v>
      </c>
      <c r="S4085">
        <v>-3.008057</v>
      </c>
      <c r="T4085">
        <v>-9.5074180000000001E-3</v>
      </c>
      <c r="U4085">
        <v>-9.3124390000000001E-2</v>
      </c>
      <c r="V4085">
        <v>-0.1023077</v>
      </c>
      <c r="W4085">
        <v>7.3741029999999999E-2</v>
      </c>
      <c r="X4085">
        <v>0.9920158</v>
      </c>
      <c r="Y4085">
        <v>-0.1550047</v>
      </c>
      <c r="Z4085">
        <v>-6.3729309999999996E-4</v>
      </c>
      <c r="AA4085">
        <v>0.9879135</v>
      </c>
      <c r="AB4085">
        <v>20</v>
      </c>
      <c r="AC4085">
        <v>-383.0487</v>
      </c>
      <c r="AD4085">
        <v>-1.2112309999999999</v>
      </c>
      <c r="AE4085">
        <v>-11.887199999999901</v>
      </c>
      <c r="AF4085">
        <v>-59.431166692948999</v>
      </c>
      <c r="AG4085">
        <v>-1.2112309999999999</v>
      </c>
      <c r="AH4085">
        <v>378.59294024577099</v>
      </c>
      <c r="AI4085">
        <v>90.181087921990098</v>
      </c>
      <c r="AJ4085">
        <v>98.921431564888195</v>
      </c>
      <c r="AK4085">
        <v>383.23119009151401</v>
      </c>
      <c r="AL4085">
        <v>85.771111583032095</v>
      </c>
      <c r="AM4085">
        <v>95.888161215267999</v>
      </c>
      <c r="AN4085">
        <v>0.99999997621719505</v>
      </c>
    </row>
    <row r="4086" spans="1:40" x14ac:dyDescent="0.25">
      <c r="A4086" t="str">
        <f>"20190312151108209"</f>
        <v>20190312151108209</v>
      </c>
      <c r="B4086" t="str">
        <f>"1552374668205183"</f>
        <v>1552374668205183</v>
      </c>
      <c r="C4086" t="s">
        <v>40</v>
      </c>
      <c r="D4086">
        <v>5.6863489999999999</v>
      </c>
      <c r="E4086">
        <v>0.4812901</v>
      </c>
      <c r="F4086" t="s">
        <v>44</v>
      </c>
      <c r="G4086">
        <v>0</v>
      </c>
      <c r="H4086">
        <v>0</v>
      </c>
      <c r="I4086">
        <v>0</v>
      </c>
      <c r="J4086">
        <v>-238.17599999999999</v>
      </c>
      <c r="K4086">
        <v>1.1112340000000001</v>
      </c>
      <c r="L4086">
        <v>135.70429999999999</v>
      </c>
      <c r="M4086">
        <v>-0.99227679999999996</v>
      </c>
      <c r="N4086">
        <v>0</v>
      </c>
      <c r="O4086">
        <v>0.1230137</v>
      </c>
      <c r="P4086">
        <v>-0.99796390000000001</v>
      </c>
      <c r="Q4086">
        <v>6.0191550000000003E-2</v>
      </c>
      <c r="R4086">
        <v>2.109215E-2</v>
      </c>
      <c r="S4086">
        <v>-3.0076139999999998</v>
      </c>
      <c r="T4086">
        <v>2.7353759999999999E-3</v>
      </c>
      <c r="U4086">
        <v>-9.0316770000000005E-2</v>
      </c>
      <c r="V4086">
        <v>-0.1019822</v>
      </c>
      <c r="W4086">
        <v>7.5837520000000005E-2</v>
      </c>
      <c r="X4086">
        <v>0.99189130000000003</v>
      </c>
      <c r="Y4086">
        <v>-0.1527616</v>
      </c>
      <c r="Z4086">
        <v>1.8115779999999999E-4</v>
      </c>
      <c r="AA4086">
        <v>0.98826309999999995</v>
      </c>
      <c r="AB4086">
        <v>20</v>
      </c>
      <c r="AC4086">
        <v>-3.0076139999999998</v>
      </c>
      <c r="AD4086">
        <v>2.7353759999999999E-3</v>
      </c>
      <c r="AE4086">
        <v>-9.0316770000000005E-2</v>
      </c>
      <c r="AF4086">
        <v>-0.45965504967263898</v>
      </c>
      <c r="AG4086">
        <v>2.7353759999999999E-3</v>
      </c>
      <c r="AH4086">
        <v>2.9736511837645798</v>
      </c>
      <c r="AI4086">
        <v>89.947913871398896</v>
      </c>
      <c r="AJ4086">
        <v>98.787006961856306</v>
      </c>
      <c r="AK4086">
        <v>3.0089685291933299</v>
      </c>
      <c r="AL4086">
        <v>85.650654382721996</v>
      </c>
      <c r="AM4086">
        <v>95.870290155858896</v>
      </c>
      <c r="AN4086">
        <v>1.00000002478614</v>
      </c>
    </row>
    <row r="4087" spans="1:40" x14ac:dyDescent="0.25">
      <c r="A4087" t="str">
        <f>"20190312151108231"</f>
        <v>20190312151108231</v>
      </c>
      <c r="B4087" t="str">
        <f>"1552374668224703"</f>
        <v>1552374668224703</v>
      </c>
      <c r="C4087" t="s">
        <v>40</v>
      </c>
      <c r="D4087">
        <v>5.3498769999999896</v>
      </c>
      <c r="E4087">
        <v>0.48142580000000001</v>
      </c>
      <c r="F4087" t="s">
        <v>44</v>
      </c>
      <c r="G4087">
        <v>0</v>
      </c>
      <c r="H4087">
        <v>0</v>
      </c>
      <c r="I4087">
        <v>0</v>
      </c>
      <c r="J4087">
        <v>-238.36770000000001</v>
      </c>
      <c r="K4087">
        <v>1.111259</v>
      </c>
      <c r="L4087">
        <v>135.72649999999999</v>
      </c>
      <c r="M4087">
        <v>-0.99244180000000004</v>
      </c>
      <c r="N4087">
        <v>0</v>
      </c>
      <c r="O4087">
        <v>0.12171179999999999</v>
      </c>
      <c r="P4087">
        <v>-0.99789629999999996</v>
      </c>
      <c r="Q4087">
        <v>6.1658869999999998E-2</v>
      </c>
      <c r="R4087">
        <v>2.0046939999999999E-2</v>
      </c>
      <c r="S4087">
        <v>-3.0072779999999999</v>
      </c>
      <c r="T4087">
        <v>1.28988E-2</v>
      </c>
      <c r="U4087">
        <v>-9.1506959999999998E-2</v>
      </c>
      <c r="V4087">
        <v>-0.1017137</v>
      </c>
      <c r="W4087">
        <v>7.7031829999999996E-2</v>
      </c>
      <c r="X4087">
        <v>0.99182680000000001</v>
      </c>
      <c r="Y4087">
        <v>-0.1518562</v>
      </c>
      <c r="Z4087">
        <v>8.4684780000000002E-4</v>
      </c>
      <c r="AA4087">
        <v>0.98840220000000001</v>
      </c>
      <c r="AB4087">
        <v>20</v>
      </c>
      <c r="AC4087">
        <v>-3.0072779999999999</v>
      </c>
      <c r="AD4087">
        <v>1.28988E-2</v>
      </c>
      <c r="AE4087">
        <v>-9.1506959999999998E-2</v>
      </c>
      <c r="AF4087">
        <v>-0.456884242573109</v>
      </c>
      <c r="AG4087">
        <v>1.28988E-2</v>
      </c>
      <c r="AH4087">
        <v>2.9737213273929899</v>
      </c>
      <c r="AI4087">
        <v>89.754357944192606</v>
      </c>
      <c r="AJ4087">
        <v>98.734655222197603</v>
      </c>
      <c r="AK4087">
        <v>3.0086422391412699</v>
      </c>
      <c r="AL4087">
        <v>85.582024535702203</v>
      </c>
      <c r="AM4087">
        <v>95.855320403255007</v>
      </c>
      <c r="AN4087">
        <v>0.99999999039953902</v>
      </c>
    </row>
    <row r="4088" spans="1:40" x14ac:dyDescent="0.25">
      <c r="A4088" t="str">
        <f>"20190312151108253"</f>
        <v>20190312151108253</v>
      </c>
      <c r="B4088" t="str">
        <f>"1552374668245198"</f>
        <v>1552374668245198</v>
      </c>
      <c r="C4088" t="s">
        <v>40</v>
      </c>
      <c r="D4088">
        <v>5.5126189999999999</v>
      </c>
      <c r="E4088">
        <v>0.48167840000000001</v>
      </c>
      <c r="F4088" t="s">
        <v>44</v>
      </c>
      <c r="G4088">
        <v>0</v>
      </c>
      <c r="H4088">
        <v>0</v>
      </c>
      <c r="I4088">
        <v>0</v>
      </c>
      <c r="J4088">
        <v>-238.57140000000001</v>
      </c>
      <c r="K4088">
        <v>1.1112629999999999</v>
      </c>
      <c r="L4088">
        <v>135.74969999999999</v>
      </c>
      <c r="M4088">
        <v>-0.99261719999999998</v>
      </c>
      <c r="N4088">
        <v>0</v>
      </c>
      <c r="O4088">
        <v>0.12030970000000001</v>
      </c>
      <c r="P4088">
        <v>-0.99781569999999997</v>
      </c>
      <c r="Q4088">
        <v>6.3333899999999999E-2</v>
      </c>
      <c r="R4088">
        <v>1.878173E-2</v>
      </c>
      <c r="S4088">
        <v>-3.007034</v>
      </c>
      <c r="T4088">
        <v>1.932466E-2</v>
      </c>
      <c r="U4088">
        <v>-9.3612669999999995E-2</v>
      </c>
      <c r="V4088">
        <v>-0.10156129999999999</v>
      </c>
      <c r="W4088">
        <v>7.8420439999999994E-2</v>
      </c>
      <c r="X4088">
        <v>0.99173359999999999</v>
      </c>
      <c r="Y4088">
        <v>-0.15115020000000001</v>
      </c>
      <c r="Z4088">
        <v>1.257577E-3</v>
      </c>
      <c r="AA4088">
        <v>0.98851</v>
      </c>
      <c r="AB4088">
        <v>20</v>
      </c>
      <c r="AC4088">
        <v>-3.007034</v>
      </c>
      <c r="AD4088">
        <v>1.932466E-2</v>
      </c>
      <c r="AE4088">
        <v>-9.3612669999999995E-2</v>
      </c>
      <c r="AF4088">
        <v>-0.454731958883696</v>
      </c>
      <c r="AG4088">
        <v>1.932466E-2</v>
      </c>
      <c r="AH4088">
        <v>2.97380039948278</v>
      </c>
      <c r="AI4088">
        <v>89.631957685242398</v>
      </c>
      <c r="AJ4088">
        <v>98.693910662146607</v>
      </c>
      <c r="AK4088">
        <v>3.0084287282364301</v>
      </c>
      <c r="AL4088">
        <v>85.502221647271895</v>
      </c>
      <c r="AM4088">
        <v>95.847153699561304</v>
      </c>
      <c r="AN4088">
        <v>0.99999999821822105</v>
      </c>
    </row>
    <row r="4089" spans="1:40" x14ac:dyDescent="0.25">
      <c r="A4089" t="str">
        <f>"20190312151108276"</f>
        <v>20190312151108276</v>
      </c>
      <c r="B4089" t="str">
        <f>"1552374668264724"</f>
        <v>1552374668264724</v>
      </c>
      <c r="C4089" t="s">
        <v>40</v>
      </c>
      <c r="D4089">
        <v>5.6292049999999998</v>
      </c>
      <c r="E4089">
        <v>0.48194219999999999</v>
      </c>
      <c r="F4089" t="s">
        <v>44</v>
      </c>
      <c r="G4089">
        <v>0</v>
      </c>
      <c r="H4089">
        <v>0</v>
      </c>
      <c r="I4089">
        <v>0</v>
      </c>
      <c r="J4089">
        <v>-238.7646</v>
      </c>
      <c r="K4089">
        <v>1.111259</v>
      </c>
      <c r="L4089">
        <v>135.7714</v>
      </c>
      <c r="M4089">
        <v>-0.99278520000000003</v>
      </c>
      <c r="N4089">
        <v>0</v>
      </c>
      <c r="O4089">
        <v>0.1189481</v>
      </c>
      <c r="P4089">
        <v>-0.99778029999999995</v>
      </c>
      <c r="Q4089">
        <v>6.4388550000000003E-2</v>
      </c>
      <c r="R4089">
        <v>1.6994829999999999E-2</v>
      </c>
      <c r="S4089">
        <v>-3.0067599999999999</v>
      </c>
      <c r="T4089">
        <v>2.5932670000000001E-2</v>
      </c>
      <c r="U4089">
        <v>-9.5809939999999996E-2</v>
      </c>
      <c r="V4089">
        <v>-0.10196860000000001</v>
      </c>
      <c r="W4089">
        <v>7.9219049999999999E-2</v>
      </c>
      <c r="X4089">
        <v>0.99162830000000002</v>
      </c>
      <c r="Y4089">
        <v>-0.15051389999999901</v>
      </c>
      <c r="Z4089">
        <v>1.6732979999999999E-3</v>
      </c>
      <c r="AA4089">
        <v>0.98860650000000005</v>
      </c>
      <c r="AB4089">
        <v>20</v>
      </c>
      <c r="AC4089">
        <v>-3.0067599999999999</v>
      </c>
      <c r="AD4089">
        <v>2.5932670000000001E-2</v>
      </c>
      <c r="AE4089">
        <v>-9.5809939999999996E-2</v>
      </c>
      <c r="AF4089">
        <v>-0.452785259658261</v>
      </c>
      <c r="AG4089">
        <v>2.5932670000000001E-2</v>
      </c>
      <c r="AH4089">
        <v>2.9737898200783701</v>
      </c>
      <c r="AI4089">
        <v>89.506062223597695</v>
      </c>
      <c r="AJ4089">
        <v>98.657287600444505</v>
      </c>
      <c r="AK4089">
        <v>3.0081743448043099</v>
      </c>
      <c r="AL4089">
        <v>85.456321732329997</v>
      </c>
      <c r="AM4089">
        <v>95.871058621289706</v>
      </c>
      <c r="AN4089">
        <v>0.999999969314875</v>
      </c>
    </row>
    <row r="4090" spans="1:40" x14ac:dyDescent="0.25">
      <c r="A4090" t="str">
        <f>"20190312151108298"</f>
        <v>20190312151108298</v>
      </c>
      <c r="B4090" t="str">
        <f>"1552374668294976"</f>
        <v>1552374668294976</v>
      </c>
      <c r="C4090" t="s">
        <v>40</v>
      </c>
      <c r="D4090">
        <v>5.5933799999999998</v>
      </c>
      <c r="E4090">
        <v>0.48245700000000002</v>
      </c>
      <c r="F4090" t="s">
        <v>44</v>
      </c>
      <c r="G4090">
        <v>0</v>
      </c>
      <c r="H4090">
        <v>0</v>
      </c>
      <c r="I4090">
        <v>0</v>
      </c>
      <c r="J4090">
        <v>-238.9573</v>
      </c>
      <c r="K4090">
        <v>1.1112500000000001</v>
      </c>
      <c r="L4090">
        <v>135.7929</v>
      </c>
      <c r="M4090">
        <v>-0.99295160000000005</v>
      </c>
      <c r="N4090">
        <v>0</v>
      </c>
      <c r="O4090">
        <v>0.11757769999999999</v>
      </c>
      <c r="P4090">
        <v>-0.99771690000000002</v>
      </c>
      <c r="Q4090">
        <v>6.573872E-2</v>
      </c>
      <c r="R4090">
        <v>1.547136E-2</v>
      </c>
      <c r="S4090">
        <v>-3.0064700000000002</v>
      </c>
      <c r="T4090">
        <v>2.9448990000000001E-2</v>
      </c>
      <c r="U4090">
        <v>-9.9182129999999993E-2</v>
      </c>
      <c r="V4090">
        <v>-0.102103</v>
      </c>
      <c r="W4090">
        <v>8.0354110000000006E-2</v>
      </c>
      <c r="X4090">
        <v>0.99152309999999999</v>
      </c>
      <c r="Y4090">
        <v>-0.1502569</v>
      </c>
      <c r="Z4090">
        <v>1.88572E-3</v>
      </c>
      <c r="AA4090">
        <v>0.9886452</v>
      </c>
      <c r="AB4090">
        <v>20</v>
      </c>
      <c r="AC4090">
        <v>-3.0064700000000002</v>
      </c>
      <c r="AD4090">
        <v>2.9448990000000001E-2</v>
      </c>
      <c r="AE4090">
        <v>-9.9182129999999993E-2</v>
      </c>
      <c r="AF4090">
        <v>-0.45198387792346101</v>
      </c>
      <c r="AG4090">
        <v>2.9448990000000001E-2</v>
      </c>
      <c r="AH4090">
        <v>2.9736636146690998</v>
      </c>
      <c r="AI4090">
        <v>89.439045402182401</v>
      </c>
      <c r="AJ4090">
        <v>98.642557915594793</v>
      </c>
      <c r="AK4090">
        <v>3.0079614296266599</v>
      </c>
      <c r="AL4090">
        <v>85.391079411608104</v>
      </c>
      <c r="AM4090">
        <v>95.879362187927796</v>
      </c>
      <c r="AN4090">
        <v>0.99999993171824797</v>
      </c>
    </row>
    <row r="4091" spans="1:40" x14ac:dyDescent="0.25">
      <c r="A4091" t="str">
        <f>"20190312151108321"</f>
        <v>20190312151108321</v>
      </c>
      <c r="B4091" t="str">
        <f>"1552374668315471"</f>
        <v>1552374668315471</v>
      </c>
      <c r="C4091" t="s">
        <v>40</v>
      </c>
      <c r="D4091">
        <v>5.5684740000000001</v>
      </c>
      <c r="E4091">
        <v>0.48259030000000003</v>
      </c>
      <c r="F4091" t="s">
        <v>44</v>
      </c>
      <c r="G4091">
        <v>0</v>
      </c>
      <c r="H4091">
        <v>0</v>
      </c>
      <c r="I4091">
        <v>0</v>
      </c>
      <c r="J4091">
        <v>-239.15379999999999</v>
      </c>
      <c r="K4091">
        <v>1.111248</v>
      </c>
      <c r="L4091">
        <v>135.81440000000001</v>
      </c>
      <c r="M4091">
        <v>-0.99311830000000001</v>
      </c>
      <c r="N4091">
        <v>0</v>
      </c>
      <c r="O4091">
        <v>0.1161851</v>
      </c>
      <c r="P4091">
        <v>-0.99772139999999998</v>
      </c>
      <c r="Q4091">
        <v>6.5985290000000002E-2</v>
      </c>
      <c r="R4091">
        <v>1.4073830000000001E-2</v>
      </c>
      <c r="S4091">
        <v>-3.0060880000000001</v>
      </c>
      <c r="T4091">
        <v>3.5306219999999999E-2</v>
      </c>
      <c r="U4091">
        <v>-9.9624630000000006E-2</v>
      </c>
      <c r="V4091">
        <v>-0.1020973</v>
      </c>
      <c r="W4091">
        <v>8.0420169999999999E-2</v>
      </c>
      <c r="X4091">
        <v>0.99151840000000002</v>
      </c>
      <c r="Y4091">
        <v>-0.14901400000000001</v>
      </c>
      <c r="Z4091">
        <v>2.2374560000000001E-3</v>
      </c>
      <c r="AA4091">
        <v>0.9888325</v>
      </c>
      <c r="AB4091">
        <v>20</v>
      </c>
      <c r="AC4091">
        <v>-3.0060880000000001</v>
      </c>
      <c r="AD4091">
        <v>3.5306219999999999E-2</v>
      </c>
      <c r="AE4091">
        <v>-9.9624630000000006E-2</v>
      </c>
      <c r="AF4091">
        <v>-0.44818857382196398</v>
      </c>
      <c r="AG4091">
        <v>3.5306219999999999E-2</v>
      </c>
      <c r="AH4091">
        <v>2.9737391596757901</v>
      </c>
      <c r="AI4091">
        <v>89.327373947086798</v>
      </c>
      <c r="AJ4091">
        <v>98.5708542346825</v>
      </c>
      <c r="AK4091">
        <v>3.0075312328660102</v>
      </c>
      <c r="AL4091">
        <v>85.387282478710603</v>
      </c>
      <c r="AM4091">
        <v>95.879063938418</v>
      </c>
      <c r="AN4091">
        <v>0.99999999997433897</v>
      </c>
    </row>
    <row r="4092" spans="1:40" x14ac:dyDescent="0.25">
      <c r="A4092" t="str">
        <f>"20190312151108345"</f>
        <v>20190312151108345</v>
      </c>
      <c r="B4092" t="str">
        <f>"1552374668334992"</f>
        <v>1552374668334992</v>
      </c>
      <c r="C4092" t="s">
        <v>40</v>
      </c>
      <c r="D4092">
        <v>5.6211919999999997</v>
      </c>
      <c r="E4092">
        <v>0.48266379999999998</v>
      </c>
      <c r="F4092" t="s">
        <v>44</v>
      </c>
      <c r="G4092">
        <v>0</v>
      </c>
      <c r="H4092">
        <v>0</v>
      </c>
      <c r="I4092">
        <v>0</v>
      </c>
      <c r="J4092">
        <v>-239.36359999999999</v>
      </c>
      <c r="K4092">
        <v>1.1112519999999999</v>
      </c>
      <c r="L4092">
        <v>135.8372</v>
      </c>
      <c r="M4092">
        <v>-0.9932936</v>
      </c>
      <c r="N4092">
        <v>0</v>
      </c>
      <c r="O4092">
        <v>0.11470089999999999</v>
      </c>
      <c r="P4092">
        <v>-0.99768389999999996</v>
      </c>
      <c r="Q4092">
        <v>6.6623909999999995E-2</v>
      </c>
      <c r="R4092">
        <v>1.3733159999999999E-2</v>
      </c>
      <c r="S4092">
        <v>-3.0059360000000002</v>
      </c>
      <c r="T4092">
        <v>3.5769580000000002E-2</v>
      </c>
      <c r="U4092">
        <v>-0.10273740000000001</v>
      </c>
      <c r="V4092">
        <v>-0.1009468</v>
      </c>
      <c r="W4092">
        <v>8.0888799999999997E-2</v>
      </c>
      <c r="X4092">
        <v>0.99159810000000004</v>
      </c>
      <c r="Y4092">
        <v>-0.14856029999999901</v>
      </c>
      <c r="Z4092">
        <v>2.2466270000000002E-3</v>
      </c>
      <c r="AA4092">
        <v>0.98890080000000002</v>
      </c>
      <c r="AB4092">
        <v>20</v>
      </c>
      <c r="AC4092">
        <v>-3.0059360000000002</v>
      </c>
      <c r="AD4092">
        <v>3.5769580000000002E-2</v>
      </c>
      <c r="AE4092">
        <v>-0.10273740000000001</v>
      </c>
      <c r="AF4092">
        <v>-0.44681603656702901</v>
      </c>
      <c r="AG4092">
        <v>3.5769580000000002E-2</v>
      </c>
      <c r="AH4092">
        <v>2.9738868936124701</v>
      </c>
      <c r="AI4092">
        <v>89.318534031429095</v>
      </c>
      <c r="AJ4092">
        <v>98.544576594137297</v>
      </c>
      <c r="AK4092">
        <v>3.0074785600876499</v>
      </c>
      <c r="AL4092">
        <v>85.360344303421996</v>
      </c>
      <c r="AM4092">
        <v>95.812806988352193</v>
      </c>
      <c r="AN4092">
        <v>1.00000002315964</v>
      </c>
    </row>
    <row r="4093" spans="1:40" x14ac:dyDescent="0.25">
      <c r="A4093" t="str">
        <f>"20190312151108367"</f>
        <v>20190312151108367</v>
      </c>
      <c r="B4093" t="str">
        <f>"1552374668355487"</f>
        <v>1552374668355487</v>
      </c>
      <c r="C4093" t="s">
        <v>40</v>
      </c>
      <c r="D4093">
        <v>5.609521</v>
      </c>
      <c r="E4093">
        <v>0.4828615</v>
      </c>
      <c r="F4093" t="s">
        <v>44</v>
      </c>
      <c r="G4093">
        <v>0</v>
      </c>
      <c r="H4093">
        <v>0</v>
      </c>
      <c r="I4093">
        <v>0</v>
      </c>
      <c r="J4093">
        <v>-239.55539999999999</v>
      </c>
      <c r="K4093">
        <v>1.1112550000000001</v>
      </c>
      <c r="L4093">
        <v>135.85769999999999</v>
      </c>
      <c r="M4093">
        <v>-0.99345139999999998</v>
      </c>
      <c r="N4093">
        <v>0</v>
      </c>
      <c r="O4093">
        <v>0.113344</v>
      </c>
      <c r="P4093">
        <v>-0.9976062</v>
      </c>
      <c r="Q4093">
        <v>6.7829E-2</v>
      </c>
      <c r="R4093">
        <v>1.348102E-2</v>
      </c>
      <c r="S4093">
        <v>-3.0059049999999998</v>
      </c>
      <c r="T4093">
        <v>3.7471530000000003E-2</v>
      </c>
      <c r="U4093">
        <v>-0.1031036</v>
      </c>
      <c r="V4093">
        <v>-9.9833530000000004E-2</v>
      </c>
      <c r="W4093">
        <v>8.195289E-2</v>
      </c>
      <c r="X4093">
        <v>0.99162340000000004</v>
      </c>
      <c r="Y4093">
        <v>-0.14732819999999999</v>
      </c>
      <c r="Z4093">
        <v>2.329013E-3</v>
      </c>
      <c r="AA4093">
        <v>0.98908490000000004</v>
      </c>
      <c r="AB4093">
        <v>20</v>
      </c>
      <c r="AC4093">
        <v>-3.0059049999999998</v>
      </c>
      <c r="AD4093">
        <v>3.7471530000000003E-2</v>
      </c>
      <c r="AE4093">
        <v>-0.1031036</v>
      </c>
      <c r="AF4093">
        <v>-0.443106905536643</v>
      </c>
      <c r="AG4093">
        <v>3.7471530000000003E-2</v>
      </c>
      <c r="AH4093">
        <v>2.9743812657759201</v>
      </c>
      <c r="AI4093">
        <v>89.286098309165695</v>
      </c>
      <c r="AJ4093">
        <v>98.473292036809895</v>
      </c>
      <c r="AK4093">
        <v>3.0074394024640898</v>
      </c>
      <c r="AL4093">
        <v>85.299173174163798</v>
      </c>
      <c r="AM4093">
        <v>95.748987795263105</v>
      </c>
      <c r="AN4093">
        <v>0.99999998865958595</v>
      </c>
    </row>
    <row r="4094" spans="1:40" x14ac:dyDescent="0.25">
      <c r="A4094" t="str">
        <f>"20190312151108389"</f>
        <v>20190312151108389</v>
      </c>
      <c r="B4094" t="str">
        <f>"1552374668384767"</f>
        <v>1552374668384767</v>
      </c>
      <c r="C4094" t="s">
        <v>40</v>
      </c>
      <c r="D4094">
        <v>5.3037070000000002</v>
      </c>
      <c r="E4094">
        <v>0.51858510000000002</v>
      </c>
      <c r="F4094" t="s">
        <v>44</v>
      </c>
      <c r="G4094">
        <v>0</v>
      </c>
      <c r="H4094">
        <v>0</v>
      </c>
      <c r="I4094">
        <v>0</v>
      </c>
      <c r="J4094">
        <v>-239.74930000000001</v>
      </c>
      <c r="K4094">
        <v>1.111264</v>
      </c>
      <c r="L4094">
        <v>135.87809999999999</v>
      </c>
      <c r="M4094">
        <v>-0.99360910000000002</v>
      </c>
      <c r="N4094">
        <v>0</v>
      </c>
      <c r="O4094">
        <v>0.1119686</v>
      </c>
      <c r="P4094">
        <v>-0.99749849999999995</v>
      </c>
      <c r="Q4094">
        <v>6.9228999999999999E-2</v>
      </c>
      <c r="R4094">
        <v>1.4305099999999999E-2</v>
      </c>
      <c r="S4094">
        <v>-3.005814</v>
      </c>
      <c r="T4094">
        <v>4.0768619999999998E-2</v>
      </c>
      <c r="U4094">
        <v>-0.102066</v>
      </c>
      <c r="V4094">
        <v>-9.7630800000000004E-2</v>
      </c>
      <c r="W4094">
        <v>8.3231680000000002E-2</v>
      </c>
      <c r="X4094">
        <v>0.99173619999999996</v>
      </c>
      <c r="Y4094">
        <v>-0.1456151</v>
      </c>
      <c r="Z4094">
        <v>2.5038109999999999E-3</v>
      </c>
      <c r="AA4094">
        <v>0.98933819999999995</v>
      </c>
      <c r="AB4094">
        <v>20</v>
      </c>
      <c r="AC4094">
        <v>-3.005814</v>
      </c>
      <c r="AD4094">
        <v>4.0768619999999998E-2</v>
      </c>
      <c r="AE4094">
        <v>-0.102066</v>
      </c>
      <c r="AF4094">
        <v>-0.437934698758284</v>
      </c>
      <c r="AG4094">
        <v>4.0768619999999998E-2</v>
      </c>
      <c r="AH4094">
        <v>2.9749328103033599</v>
      </c>
      <c r="AI4094">
        <v>89.223235274605599</v>
      </c>
      <c r="AJ4094">
        <v>98.374267080578605</v>
      </c>
      <c r="AK4094">
        <v>3.0072702084403198</v>
      </c>
      <c r="AL4094">
        <v>85.2256527067929</v>
      </c>
      <c r="AM4094">
        <v>95.622328466334494</v>
      </c>
      <c r="AN4094">
        <v>0.99999998802735102</v>
      </c>
    </row>
    <row r="4095" spans="1:40" x14ac:dyDescent="0.25">
      <c r="A4095" t="str">
        <f>"20190312151108411"</f>
        <v>20190312151108411</v>
      </c>
      <c r="B4095" t="str">
        <f>"1552374668405269"</f>
        <v>1552374668405269</v>
      </c>
      <c r="C4095" t="s">
        <v>40</v>
      </c>
      <c r="D4095">
        <v>5.4162860000000004</v>
      </c>
      <c r="E4095">
        <v>0.55892710000000001</v>
      </c>
      <c r="F4095" t="s">
        <v>82</v>
      </c>
      <c r="G4095">
        <v>-511.06189999999998</v>
      </c>
      <c r="H4095">
        <v>9.7305229999999998</v>
      </c>
      <c r="I4095">
        <v>152.8272</v>
      </c>
      <c r="J4095">
        <v>-239.93709999999999</v>
      </c>
      <c r="K4095">
        <v>1.111275</v>
      </c>
      <c r="L4095">
        <v>135.89769999999999</v>
      </c>
      <c r="M4095">
        <v>-0.99376019999999998</v>
      </c>
      <c r="N4095">
        <v>0</v>
      </c>
      <c r="O4095">
        <v>0.1106327</v>
      </c>
      <c r="P4095">
        <v>-0.99737759999999998</v>
      </c>
      <c r="Q4095">
        <v>7.0576340000000001E-2</v>
      </c>
      <c r="R4095">
        <v>1.6027090000000001E-2</v>
      </c>
      <c r="S4095">
        <v>-2.99823</v>
      </c>
      <c r="T4095">
        <v>9.5250370000000001E-2</v>
      </c>
      <c r="U4095">
        <v>0.18730160000000001</v>
      </c>
      <c r="V4095">
        <v>-9.4573500000000005E-2</v>
      </c>
      <c r="W4095">
        <v>8.4481340000000002E-2</v>
      </c>
      <c r="X4095">
        <v>0.9919268</v>
      </c>
      <c r="Y4095">
        <v>-4.8382580000000001E-2</v>
      </c>
      <c r="Z4095">
        <v>4.2698809999999997E-3</v>
      </c>
      <c r="AA4095">
        <v>0.99881980000000004</v>
      </c>
      <c r="AB4095">
        <v>20</v>
      </c>
      <c r="AC4095">
        <v>-271.12479999999999</v>
      </c>
      <c r="AD4095">
        <v>8.61924799999999</v>
      </c>
      <c r="AE4095">
        <v>16.929500000000001</v>
      </c>
      <c r="AF4095">
        <v>-13.1594817848144</v>
      </c>
      <c r="AG4095">
        <v>8.61924799999999</v>
      </c>
      <c r="AH4095">
        <v>271.06038881457101</v>
      </c>
      <c r="AI4095">
        <v>88.180848842726206</v>
      </c>
      <c r="AJ4095">
        <v>92.779422130098695</v>
      </c>
      <c r="AK4095">
        <v>271.51647791844402</v>
      </c>
      <c r="AL4095">
        <v>85.153799485787999</v>
      </c>
      <c r="AM4095">
        <v>95.446301315321193</v>
      </c>
      <c r="AN4095">
        <v>1.00000001013434</v>
      </c>
    </row>
    <row r="4096" spans="1:40" x14ac:dyDescent="0.25">
      <c r="A4096" t="str">
        <f>"20190312151108433"</f>
        <v>20190312151108433</v>
      </c>
      <c r="B4096" t="str">
        <f>"1552374668424789"</f>
        <v>1552374668424789</v>
      </c>
      <c r="C4096" t="s">
        <v>40</v>
      </c>
      <c r="D4096">
        <v>5.6261099999999997</v>
      </c>
      <c r="E4096">
        <v>0.55740259999999997</v>
      </c>
      <c r="F4096" t="s">
        <v>41</v>
      </c>
      <c r="G4096">
        <v>-240.7216</v>
      </c>
      <c r="H4096">
        <v>1.04358</v>
      </c>
      <c r="I4096">
        <v>136.0284</v>
      </c>
      <c r="J4096">
        <v>-240.13470000000001</v>
      </c>
      <c r="K4096">
        <v>1.1112839999999999</v>
      </c>
      <c r="L4096">
        <v>135.91800000000001</v>
      </c>
      <c r="M4096">
        <v>-0.99391759999999996</v>
      </c>
      <c r="N4096">
        <v>0</v>
      </c>
      <c r="O4096">
        <v>0.1092239</v>
      </c>
      <c r="P4096">
        <v>-0.99721329999999997</v>
      </c>
      <c r="Q4096">
        <v>7.2258779999999995E-2</v>
      </c>
      <c r="R4096">
        <v>1.856646E-2</v>
      </c>
      <c r="S4096">
        <v>-3.0182500000000001</v>
      </c>
      <c r="T4096">
        <v>-0.26039479999999998</v>
      </c>
      <c r="U4096">
        <v>0.50273129999999999</v>
      </c>
      <c r="V4096">
        <v>-9.0625590000000006E-2</v>
      </c>
      <c r="W4096">
        <v>8.6071499999999995E-2</v>
      </c>
      <c r="X4096">
        <v>0.9921586</v>
      </c>
      <c r="Y4096">
        <v>5.5758130000000003E-2</v>
      </c>
      <c r="Z4096">
        <v>-6.9231409999999998E-3</v>
      </c>
      <c r="AA4096">
        <v>0.99842030000000004</v>
      </c>
      <c r="AB4096">
        <v>20</v>
      </c>
      <c r="AC4096">
        <v>-0.58689999999998499</v>
      </c>
      <c r="AD4096">
        <v>-6.7703999999999903E-2</v>
      </c>
      <c r="AE4096">
        <v>0.110399999999998</v>
      </c>
      <c r="AF4096">
        <v>4.5050485999628097E-2</v>
      </c>
      <c r="AG4096">
        <v>-6.7703999999999903E-2</v>
      </c>
      <c r="AH4096">
        <v>0.58789142294042496</v>
      </c>
      <c r="AI4096">
        <v>96.550439900137505</v>
      </c>
      <c r="AJ4096">
        <v>85.617952825336005</v>
      </c>
      <c r="AK4096">
        <v>0.59348942962088203</v>
      </c>
      <c r="AL4096">
        <v>85.062356845861103</v>
      </c>
      <c r="AM4096">
        <v>95.219019287994399</v>
      </c>
      <c r="AN4096">
        <v>0.999999994114529</v>
      </c>
    </row>
    <row r="4097" spans="1:40" x14ac:dyDescent="0.25">
      <c r="A4097" t="str">
        <f>"20190312151108456"</f>
        <v>20190312151108456</v>
      </c>
      <c r="B4097" t="str">
        <f>"1552374668445289"</f>
        <v>1552374668445289</v>
      </c>
      <c r="C4097" t="s">
        <v>40</v>
      </c>
      <c r="D4097">
        <v>5.0731400000000004</v>
      </c>
      <c r="E4097">
        <v>0.5564114</v>
      </c>
      <c r="F4097" t="s">
        <v>42</v>
      </c>
      <c r="G4097">
        <v>-256.76049999999998</v>
      </c>
      <c r="H4097" s="1">
        <v>-1.53841E-6</v>
      </c>
      <c r="I4097">
        <v>138.6782</v>
      </c>
      <c r="J4097">
        <v>-240.32810000000001</v>
      </c>
      <c r="K4097">
        <v>1.1112919999999999</v>
      </c>
      <c r="L4097">
        <v>135.9376</v>
      </c>
      <c r="M4097">
        <v>-0.99406950000000005</v>
      </c>
      <c r="N4097">
        <v>0</v>
      </c>
      <c r="O4097">
        <v>0.10784349999999999</v>
      </c>
      <c r="P4097">
        <v>-0.99699079999999995</v>
      </c>
      <c r="Q4097">
        <v>7.4677149999999998E-2</v>
      </c>
      <c r="R4097">
        <v>2.0799060000000001E-2</v>
      </c>
      <c r="S4097">
        <v>-3.0136720000000001</v>
      </c>
      <c r="T4097">
        <v>-0.20143720000000001</v>
      </c>
      <c r="U4097">
        <v>0.50035099999999999</v>
      </c>
      <c r="V4097">
        <v>-8.7007370000000001E-2</v>
      </c>
      <c r="W4097">
        <v>8.8402430000000004E-2</v>
      </c>
      <c r="X4097">
        <v>0.99227759999999998</v>
      </c>
      <c r="Y4097">
        <v>5.6542240000000001E-2</v>
      </c>
      <c r="Z4097">
        <v>-5.2511980000000003E-3</v>
      </c>
      <c r="AA4097">
        <v>0.99838640000000001</v>
      </c>
      <c r="AB4097">
        <v>20</v>
      </c>
      <c r="AC4097">
        <v>-16.432399999999902</v>
      </c>
      <c r="AD4097">
        <v>-1.11129353841</v>
      </c>
      <c r="AE4097">
        <v>2.7406000000000001</v>
      </c>
      <c r="AF4097">
        <v>0.94809366131735895</v>
      </c>
      <c r="AG4097">
        <v>-1.11129353841</v>
      </c>
      <c r="AH4097">
        <v>16.5584485610167</v>
      </c>
      <c r="AI4097">
        <v>93.833296265803995</v>
      </c>
      <c r="AJ4097">
        <v>86.722970834109304</v>
      </c>
      <c r="AK4097">
        <v>16.622757703431098</v>
      </c>
      <c r="AL4097">
        <v>84.928293560336598</v>
      </c>
      <c r="AM4097">
        <v>95.011135454934404</v>
      </c>
      <c r="AN4097">
        <v>1.0000000537629801</v>
      </c>
    </row>
    <row r="4098" spans="1:40" x14ac:dyDescent="0.25">
      <c r="A4098" t="str">
        <f>"20190312151108477"</f>
        <v>20190312151108477</v>
      </c>
      <c r="B4098" t="str">
        <f>"1552374668475542"</f>
        <v>1552374668475542</v>
      </c>
      <c r="C4098" t="s">
        <v>40</v>
      </c>
      <c r="D4098">
        <v>5.5444399999999998</v>
      </c>
      <c r="E4098">
        <v>0.56477519999999903</v>
      </c>
      <c r="F4098" t="s">
        <v>80</v>
      </c>
      <c r="G4098">
        <v>-459.875</v>
      </c>
      <c r="H4098">
        <v>9.5543300000000002</v>
      </c>
      <c r="I4098">
        <v>173.31799999999899</v>
      </c>
      <c r="J4098">
        <v>-240.5162</v>
      </c>
      <c r="K4098">
        <v>1.1112959999999901</v>
      </c>
      <c r="L4098">
        <v>135.9564</v>
      </c>
      <c r="M4098">
        <v>-0.99421539999999997</v>
      </c>
      <c r="N4098">
        <v>0</v>
      </c>
      <c r="O4098">
        <v>0.10650270000000001</v>
      </c>
      <c r="P4098">
        <v>-0.99678549999999999</v>
      </c>
      <c r="Q4098">
        <v>7.6776559999999994E-2</v>
      </c>
      <c r="R4098">
        <v>2.2899860000000001E-2</v>
      </c>
      <c r="S4098">
        <v>-2.9898069999999999</v>
      </c>
      <c r="T4098">
        <v>0.114978</v>
      </c>
      <c r="U4098">
        <v>0.50904850000000001</v>
      </c>
      <c r="V4098">
        <v>-8.3559830000000002E-2</v>
      </c>
      <c r="W4098">
        <v>9.0425619999999998E-2</v>
      </c>
      <c r="X4098">
        <v>0.99239149999999998</v>
      </c>
      <c r="Y4098">
        <v>6.1920780000000002E-2</v>
      </c>
      <c r="Z4098">
        <v>2.8687930000000001E-3</v>
      </c>
      <c r="AA4098">
        <v>0.99807690000000004</v>
      </c>
      <c r="AB4098">
        <v>20</v>
      </c>
      <c r="AC4098">
        <v>-219.3588</v>
      </c>
      <c r="AD4098">
        <v>8.4430339999999902</v>
      </c>
      <c r="AE4098">
        <v>37.361599999999903</v>
      </c>
      <c r="AF4098">
        <v>13.764686475008901</v>
      </c>
      <c r="AG4098">
        <v>8.4430339999999902</v>
      </c>
      <c r="AH4098">
        <v>221.77115084062001</v>
      </c>
      <c r="AI4098">
        <v>87.823932709759205</v>
      </c>
      <c r="AJ4098">
        <v>86.448374593715798</v>
      </c>
      <c r="AK4098">
        <v>222.358257688024</v>
      </c>
      <c r="AL4098">
        <v>84.811906648284605</v>
      </c>
      <c r="AM4098">
        <v>94.812978724457594</v>
      </c>
      <c r="AN4098">
        <v>0.99999996360713095</v>
      </c>
    </row>
    <row r="4099" spans="1:40" x14ac:dyDescent="0.25">
      <c r="A4099" t="str">
        <f>"20190312151108500"</f>
        <v>20190312151108500</v>
      </c>
      <c r="B4099" t="str">
        <f>"1552374668495062"</f>
        <v>1552374668495062</v>
      </c>
      <c r="C4099" t="s">
        <v>40</v>
      </c>
      <c r="D4099">
        <v>5.2507599999999996</v>
      </c>
      <c r="E4099">
        <v>0.56013769999999996</v>
      </c>
      <c r="F4099" t="s">
        <v>41</v>
      </c>
      <c r="G4099">
        <v>-241.238</v>
      </c>
      <c r="H4099">
        <v>1.0373669999999999</v>
      </c>
      <c r="I4099">
        <v>136.09270000000001</v>
      </c>
      <c r="J4099">
        <v>-240.7131</v>
      </c>
      <c r="K4099">
        <v>1.1112959999999901</v>
      </c>
      <c r="L4099">
        <v>135.97579999999999</v>
      </c>
      <c r="M4099">
        <v>-0.99436590000000002</v>
      </c>
      <c r="N4099">
        <v>0</v>
      </c>
      <c r="O4099">
        <v>0.1050994</v>
      </c>
      <c r="P4099">
        <v>-0.99656219999999995</v>
      </c>
      <c r="Q4099">
        <v>7.9223450000000001E-2</v>
      </c>
      <c r="R4099">
        <v>2.4248430000000001E-2</v>
      </c>
      <c r="S4099">
        <v>-3.0204010000000001</v>
      </c>
      <c r="T4099">
        <v>-0.3094597</v>
      </c>
      <c r="U4099">
        <v>0.56945800000000002</v>
      </c>
      <c r="V4099">
        <v>-8.0797209999999994E-2</v>
      </c>
      <c r="W4099">
        <v>9.2796439999999994E-2</v>
      </c>
      <c r="X4099">
        <v>0.99240139999999999</v>
      </c>
      <c r="Y4099">
        <v>8.1076579999999995E-2</v>
      </c>
      <c r="Z4099">
        <v>-6.5005069999999896E-3</v>
      </c>
      <c r="AA4099">
        <v>0.99668670000000004</v>
      </c>
      <c r="AB4099">
        <v>20</v>
      </c>
      <c r="AC4099">
        <v>-0.52490000000000203</v>
      </c>
      <c r="AD4099">
        <v>-7.3928999999999898E-2</v>
      </c>
      <c r="AE4099">
        <v>0.11690000000001501</v>
      </c>
      <c r="AF4099">
        <v>5.9947533736463103E-2</v>
      </c>
      <c r="AG4099">
        <v>-7.3928999999999898E-2</v>
      </c>
      <c r="AH4099">
        <v>0.52436931439843404</v>
      </c>
      <c r="AI4099">
        <v>97.973775127728103</v>
      </c>
      <c r="AJ4099">
        <v>83.478082949480594</v>
      </c>
      <c r="AK4099">
        <v>0.53293750264432405</v>
      </c>
      <c r="AL4099">
        <v>84.675494947848193</v>
      </c>
      <c r="AM4099">
        <v>94.6545188560235</v>
      </c>
      <c r="AN4099">
        <v>0.99999995357120697</v>
      </c>
    </row>
    <row r="4100" spans="1:40" x14ac:dyDescent="0.25">
      <c r="A4100" t="str">
        <f>"20190312151108522"</f>
        <v>20190312151108522</v>
      </c>
      <c r="B4100" t="str">
        <f>"1552374668515557"</f>
        <v>1552374668515557</v>
      </c>
      <c r="C4100" t="s">
        <v>40</v>
      </c>
      <c r="D4100">
        <v>5.2283679999999997</v>
      </c>
      <c r="E4100">
        <v>0.55797769999999902</v>
      </c>
      <c r="F4100" t="s">
        <v>41</v>
      </c>
      <c r="G4100">
        <v>-241.5771</v>
      </c>
      <c r="H4100">
        <v>1.0232870000000001</v>
      </c>
      <c r="I4100">
        <v>136.1294</v>
      </c>
      <c r="J4100">
        <v>-240.90889999999999</v>
      </c>
      <c r="K4100">
        <v>1.111302</v>
      </c>
      <c r="L4100">
        <v>135.9948</v>
      </c>
      <c r="M4100">
        <v>-0.99451369999999895</v>
      </c>
      <c r="N4100">
        <v>0</v>
      </c>
      <c r="O4100">
        <v>0.10370260000000001</v>
      </c>
      <c r="P4100">
        <v>-0.99633159999999998</v>
      </c>
      <c r="Q4100">
        <v>8.1818399999999999E-2</v>
      </c>
      <c r="R4100">
        <v>2.5086069999999999E-2</v>
      </c>
      <c r="S4100">
        <v>-3.0217740000000002</v>
      </c>
      <c r="T4100">
        <v>-0.30796519999999999</v>
      </c>
      <c r="U4100">
        <v>0.53662109999999996</v>
      </c>
      <c r="V4100">
        <v>-7.8548469999999995E-2</v>
      </c>
      <c r="W4100">
        <v>9.5312949999999994E-2</v>
      </c>
      <c r="X4100">
        <v>0.99234350000000004</v>
      </c>
      <c r="Y4100">
        <v>7.1948880000000007E-2</v>
      </c>
      <c r="Z4100">
        <v>-6.7947550000000004E-3</v>
      </c>
      <c r="AA4100">
        <v>0.99738519999999997</v>
      </c>
      <c r="AB4100">
        <v>20</v>
      </c>
      <c r="AC4100">
        <v>-0.66820000000001301</v>
      </c>
      <c r="AD4100">
        <v>-8.8014999999999899E-2</v>
      </c>
      <c r="AE4100">
        <v>0.13460000000000599</v>
      </c>
      <c r="AF4100">
        <v>6.3514537107660696E-2</v>
      </c>
      <c r="AG4100">
        <v>-8.8014999999999899E-2</v>
      </c>
      <c r="AH4100">
        <v>0.66742795502098895</v>
      </c>
      <c r="AI4100">
        <v>97.478953541912404</v>
      </c>
      <c r="AJ4100">
        <v>84.563924254140503</v>
      </c>
      <c r="AK4100">
        <v>0.67619583834307995</v>
      </c>
      <c r="AL4100">
        <v>84.530667855479606</v>
      </c>
      <c r="AM4100">
        <v>94.525783464225796</v>
      </c>
      <c r="AN4100">
        <v>1.0000000212846401</v>
      </c>
    </row>
    <row r="4101" spans="1:40" x14ac:dyDescent="0.25">
      <c r="A4101" t="str">
        <f>"20190312151108545"</f>
        <v>20190312151108545</v>
      </c>
      <c r="B4101" t="str">
        <f>"1552374668535077"</f>
        <v>1552374668535077</v>
      </c>
      <c r="C4101" t="s">
        <v>40</v>
      </c>
      <c r="D4101">
        <v>5.4215260000000001</v>
      </c>
      <c r="E4101">
        <v>0.54802079999999997</v>
      </c>
      <c r="F4101" t="s">
        <v>41</v>
      </c>
      <c r="G4101">
        <v>-241.75120000000001</v>
      </c>
      <c r="H4101">
        <v>1.024292</v>
      </c>
      <c r="I4101">
        <v>136.14009999999999</v>
      </c>
      <c r="J4101">
        <v>-241.10830000000001</v>
      </c>
      <c r="K4101">
        <v>1.1113139999999999</v>
      </c>
      <c r="L4101">
        <v>136.01390000000001</v>
      </c>
      <c r="M4101">
        <v>-0.99466200000000005</v>
      </c>
      <c r="N4101">
        <v>0</v>
      </c>
      <c r="O4101">
        <v>0.1022805</v>
      </c>
      <c r="P4101">
        <v>-0.99605909999999998</v>
      </c>
      <c r="Q4101">
        <v>8.5047639999999994E-2</v>
      </c>
      <c r="R4101">
        <v>2.5164189999999999E-2</v>
      </c>
      <c r="S4101">
        <v>-3.0235439999999998</v>
      </c>
      <c r="T4101">
        <v>-0.312338</v>
      </c>
      <c r="U4101">
        <v>0.52143859999999997</v>
      </c>
      <c r="V4101">
        <v>-7.7027010000000007E-2</v>
      </c>
      <c r="W4101">
        <v>9.8462830000000001E-2</v>
      </c>
      <c r="X4101">
        <v>0.99215520000000001</v>
      </c>
      <c r="Y4101">
        <v>6.8430009999999999E-2</v>
      </c>
      <c r="Z4101">
        <v>-6.9260950000000002E-3</v>
      </c>
      <c r="AA4101">
        <v>0.99763179999999996</v>
      </c>
      <c r="AB4101">
        <v>20</v>
      </c>
      <c r="AC4101">
        <v>-0.64289999999999703</v>
      </c>
      <c r="AD4101">
        <v>-8.7021999999999905E-2</v>
      </c>
      <c r="AE4101">
        <v>0.12619999999998299</v>
      </c>
      <c r="AF4101">
        <v>5.8739486855960997E-2</v>
      </c>
      <c r="AG4101">
        <v>-8.7021999999999905E-2</v>
      </c>
      <c r="AH4101">
        <v>0.64112591880590197</v>
      </c>
      <c r="AI4101">
        <v>97.697843033159799</v>
      </c>
      <c r="AJ4101">
        <v>84.765217104866807</v>
      </c>
      <c r="AK4101">
        <v>0.64966575988335296</v>
      </c>
      <c r="AL4101">
        <v>84.3493398228415</v>
      </c>
      <c r="AM4101">
        <v>94.439313145204594</v>
      </c>
      <c r="AN4101">
        <v>1.00000001502409</v>
      </c>
    </row>
    <row r="4102" spans="1:40" x14ac:dyDescent="0.25">
      <c r="A4102" t="str">
        <f>"20190312151108568"</f>
        <v>20190312151108568</v>
      </c>
      <c r="B4102" t="str">
        <f>"1552374668565333"</f>
        <v>1552374668565333</v>
      </c>
      <c r="C4102" t="s">
        <v>40</v>
      </c>
      <c r="D4102">
        <v>4.8786909999999999</v>
      </c>
      <c r="E4102">
        <v>0.54997620000000003</v>
      </c>
      <c r="F4102" t="s">
        <v>43</v>
      </c>
      <c r="G4102">
        <v>-403.15530000000001</v>
      </c>
      <c r="H4102">
        <v>-0.05</v>
      </c>
      <c r="I4102">
        <v>160.32499999999999</v>
      </c>
      <c r="J4102">
        <v>-241.30119999999999</v>
      </c>
      <c r="K4102">
        <v>1.1113200000000001</v>
      </c>
      <c r="L4102">
        <v>136.03200000000001</v>
      </c>
      <c r="M4102">
        <v>-0.9948034</v>
      </c>
      <c r="N4102">
        <v>0</v>
      </c>
      <c r="O4102">
        <v>0.1009057</v>
      </c>
      <c r="P4102">
        <v>-0.99576779999999998</v>
      </c>
      <c r="Q4102">
        <v>8.8425009999999998E-2</v>
      </c>
      <c r="R4102">
        <v>2.5056539999999999E-2</v>
      </c>
      <c r="S4102">
        <v>-3.002319</v>
      </c>
      <c r="T4102">
        <v>-2.1516199999999999E-2</v>
      </c>
      <c r="U4102">
        <v>0.4504242</v>
      </c>
      <c r="V4102">
        <v>-7.5737020000000002E-2</v>
      </c>
      <c r="W4102">
        <v>0.1017682</v>
      </c>
      <c r="X4102">
        <v>0.99192089999999999</v>
      </c>
      <c r="Y4102">
        <v>4.7810800000000001E-2</v>
      </c>
      <c r="Z4102">
        <v>-5.4654499999999995E-4</v>
      </c>
      <c r="AA4102">
        <v>0.99885619999999997</v>
      </c>
      <c r="AB4102">
        <v>19</v>
      </c>
      <c r="AC4102">
        <v>-161.85409999999999</v>
      </c>
      <c r="AD4102">
        <v>-1.1613199999999999</v>
      </c>
      <c r="AE4102">
        <v>24.2929999999999</v>
      </c>
      <c r="AF4102">
        <v>7.8350850760039101</v>
      </c>
      <c r="AG4102">
        <v>-1.1613199999999999</v>
      </c>
      <c r="AH4102">
        <v>163.47114073459699</v>
      </c>
      <c r="AI4102">
        <v>90.406563034769903</v>
      </c>
      <c r="AJ4102">
        <v>87.255943636537495</v>
      </c>
      <c r="AK4102">
        <v>163.66291906036901</v>
      </c>
      <c r="AL4102">
        <v>84.158999402484099</v>
      </c>
      <c r="AM4102">
        <v>94.366283815098299</v>
      </c>
      <c r="AN4102">
        <v>0.99999996729326401</v>
      </c>
    </row>
    <row r="4103" spans="1:40" x14ac:dyDescent="0.25">
      <c r="A4103" t="str">
        <f>"20190312151108590"</f>
        <v>20190312151108590</v>
      </c>
      <c r="B4103" t="str">
        <f>"1552374668584854"</f>
        <v>1552374668584854</v>
      </c>
      <c r="C4103" t="s">
        <v>40</v>
      </c>
      <c r="D4103">
        <v>5.2145020000000004</v>
      </c>
      <c r="E4103">
        <v>0.54909830000000004</v>
      </c>
      <c r="F4103" t="s">
        <v>80</v>
      </c>
      <c r="G4103">
        <v>-459.2912</v>
      </c>
      <c r="H4103">
        <v>2.3047580000000001</v>
      </c>
      <c r="I4103">
        <v>169.93389999999999</v>
      </c>
      <c r="J4103">
        <v>-241.4879</v>
      </c>
      <c r="K4103">
        <v>1.111327</v>
      </c>
      <c r="L4103">
        <v>136.04939999999999</v>
      </c>
      <c r="M4103">
        <v>-0.99493860000000001</v>
      </c>
      <c r="N4103">
        <v>0</v>
      </c>
      <c r="O4103">
        <v>9.9574179999999998E-2</v>
      </c>
      <c r="P4103">
        <v>-0.9955098</v>
      </c>
      <c r="Q4103">
        <v>9.1343129999999995E-2</v>
      </c>
      <c r="R4103">
        <v>2.4843339999999998E-2</v>
      </c>
      <c r="S4103">
        <v>-2.9995569999999998</v>
      </c>
      <c r="T4103">
        <v>1.6421789999999999E-2</v>
      </c>
      <c r="U4103">
        <v>0.46649170000000001</v>
      </c>
      <c r="V4103">
        <v>-7.4598109999999995E-2</v>
      </c>
      <c r="W4103">
        <v>0.104615</v>
      </c>
      <c r="X4103">
        <v>0.99171109999999896</v>
      </c>
      <c r="Y4103">
        <v>5.4509269999999999E-2</v>
      </c>
      <c r="Z4103">
        <v>3.918975E-4</v>
      </c>
      <c r="AA4103">
        <v>0.99851319999999999</v>
      </c>
      <c r="AB4103">
        <v>19</v>
      </c>
      <c r="AC4103">
        <v>-217.80330000000001</v>
      </c>
      <c r="AD4103">
        <v>1.1934309999999999</v>
      </c>
      <c r="AE4103">
        <v>33.884500000000003</v>
      </c>
      <c r="AF4103">
        <v>12.02615490825</v>
      </c>
      <c r="AG4103">
        <v>1.1934309999999999</v>
      </c>
      <c r="AH4103">
        <v>220.08852764151399</v>
      </c>
      <c r="AI4103">
        <v>89.689779203325301</v>
      </c>
      <c r="AJ4103">
        <v>86.872334192205301</v>
      </c>
      <c r="AK4103">
        <v>220.42008229478199</v>
      </c>
      <c r="AL4103">
        <v>83.995014723988305</v>
      </c>
      <c r="AM4103">
        <v>94.301779667681103</v>
      </c>
      <c r="AN4103">
        <v>1.0000000410518901</v>
      </c>
    </row>
    <row r="4104" spans="1:40" x14ac:dyDescent="0.25">
      <c r="A4104" t="str">
        <f>"20190312151108611"</f>
        <v>20190312151108611</v>
      </c>
      <c r="B4104" t="str">
        <f>"1552374668605350"</f>
        <v>1552374668605350</v>
      </c>
      <c r="C4104" t="s">
        <v>40</v>
      </c>
      <c r="D4104">
        <v>5.2180080000000002</v>
      </c>
      <c r="E4104">
        <v>0.54882649999999999</v>
      </c>
      <c r="F4104" t="s">
        <v>81</v>
      </c>
      <c r="G4104">
        <v>-442.38749999999999</v>
      </c>
      <c r="H4104">
        <v>4.0520709999999998</v>
      </c>
      <c r="I4104">
        <v>166.83269999999999</v>
      </c>
      <c r="J4104">
        <v>-241.6754</v>
      </c>
      <c r="K4104">
        <v>1.111329</v>
      </c>
      <c r="L4104">
        <v>136.06649999999999</v>
      </c>
      <c r="M4104">
        <v>-0.99507279999999998</v>
      </c>
      <c r="N4104">
        <v>0</v>
      </c>
      <c r="O4104">
        <v>9.823424E-2</v>
      </c>
      <c r="P4104">
        <v>-0.99521910000000002</v>
      </c>
      <c r="Q4104">
        <v>9.4617900000000005E-2</v>
      </c>
      <c r="R4104">
        <v>2.421881E-2</v>
      </c>
      <c r="S4104">
        <v>-2.9980319999999998</v>
      </c>
      <c r="T4104">
        <v>4.3885349999999997E-2</v>
      </c>
      <c r="U4104">
        <v>0.45938109999999999</v>
      </c>
      <c r="V4104">
        <v>-7.3859190000000005E-2</v>
      </c>
      <c r="W4104">
        <v>0.107805399999999</v>
      </c>
      <c r="X4104">
        <v>0.99142459999999999</v>
      </c>
      <c r="Y4104">
        <v>5.3622080000000003E-2</v>
      </c>
      <c r="Z4104">
        <v>1.035107E-3</v>
      </c>
      <c r="AA4104">
        <v>0.99856080000000003</v>
      </c>
      <c r="AB4104">
        <v>19</v>
      </c>
      <c r="AC4104">
        <v>-200.71209999999999</v>
      </c>
      <c r="AD4104">
        <v>2.9407420000000002</v>
      </c>
      <c r="AE4104">
        <v>30.766200000000001</v>
      </c>
      <c r="AF4104">
        <v>10.896504538288999</v>
      </c>
      <c r="AG4104">
        <v>2.9407420000000002</v>
      </c>
      <c r="AH4104">
        <v>202.72119240625901</v>
      </c>
      <c r="AI4104">
        <v>89.170104219236805</v>
      </c>
      <c r="AJ4104">
        <v>86.923244723690999</v>
      </c>
      <c r="AK4104">
        <v>203.03512904243701</v>
      </c>
      <c r="AL4104">
        <v>83.811177863591993</v>
      </c>
      <c r="AM4104">
        <v>94.260552970468297</v>
      </c>
      <c r="AN4104">
        <v>0.99999996085088705</v>
      </c>
    </row>
    <row r="4105" spans="1:40" x14ac:dyDescent="0.25">
      <c r="A4105" t="str">
        <f>"20190312151108634"</f>
        <v>20190312151108634</v>
      </c>
      <c r="B4105" t="str">
        <f>"1552374668624869"</f>
        <v>1552374668624869</v>
      </c>
      <c r="C4105" t="s">
        <v>40</v>
      </c>
      <c r="D4105">
        <v>5.2514059999999896</v>
      </c>
      <c r="E4105">
        <v>0.54876179999999997</v>
      </c>
      <c r="F4105" t="s">
        <v>81</v>
      </c>
      <c r="G4105">
        <v>-441.85789999999997</v>
      </c>
      <c r="H4105">
        <v>5.4580609999999998</v>
      </c>
      <c r="I4105">
        <v>166.50479999999999</v>
      </c>
      <c r="J4105">
        <v>-241.87309999999999</v>
      </c>
      <c r="K4105">
        <v>1.111324</v>
      </c>
      <c r="L4105">
        <v>136.08439999999999</v>
      </c>
      <c r="M4105">
        <v>-0.99521269999999995</v>
      </c>
      <c r="N4105">
        <v>0</v>
      </c>
      <c r="O4105">
        <v>9.6820509999999999E-2</v>
      </c>
      <c r="P4105">
        <v>-0.9949848</v>
      </c>
      <c r="Q4105">
        <v>9.7290219999999997E-2</v>
      </c>
      <c r="R4105">
        <v>2.323507E-2</v>
      </c>
      <c r="S4105">
        <v>-2.9971160000000001</v>
      </c>
      <c r="T4105">
        <v>6.5079449999999997E-2</v>
      </c>
      <c r="U4105">
        <v>0.45571899999999999</v>
      </c>
      <c r="V4105">
        <v>-7.3409539999999995E-2</v>
      </c>
      <c r="W4105">
        <v>0.1103759</v>
      </c>
      <c r="X4105">
        <v>0.99117520000000003</v>
      </c>
      <c r="Y4105">
        <v>5.3899309999999999E-2</v>
      </c>
      <c r="Z4105">
        <v>1.5022460000000001E-3</v>
      </c>
      <c r="AA4105">
        <v>0.99854520000000002</v>
      </c>
      <c r="AB4105">
        <v>19</v>
      </c>
      <c r="AC4105">
        <v>-199.98480000000001</v>
      </c>
      <c r="AD4105">
        <v>4.3467370000000001</v>
      </c>
      <c r="AE4105">
        <v>30.420400000000001</v>
      </c>
      <c r="AF4105">
        <v>10.908069810032</v>
      </c>
      <c r="AG4105">
        <v>4.3467370000000001</v>
      </c>
      <c r="AH4105">
        <v>201.89743161215901</v>
      </c>
      <c r="AI4105">
        <v>88.768440552084897</v>
      </c>
      <c r="AJ4105">
        <v>86.907443008677205</v>
      </c>
      <c r="AK4105">
        <v>202.23860413163899</v>
      </c>
      <c r="AL4105">
        <v>83.663015241633303</v>
      </c>
      <c r="AM4105">
        <v>94.235771303906503</v>
      </c>
      <c r="AN4105">
        <v>1.0000000384794301</v>
      </c>
    </row>
    <row r="4106" spans="1:40" x14ac:dyDescent="0.25">
      <c r="A4106" t="str">
        <f>"20190312151108657"</f>
        <v>20190312151108657</v>
      </c>
      <c r="B4106" t="str">
        <f>"1552374668645365"</f>
        <v>1552374668645365</v>
      </c>
      <c r="C4106" t="s">
        <v>40</v>
      </c>
      <c r="D4106">
        <v>5.403092</v>
      </c>
      <c r="E4106">
        <v>0.54888669999999995</v>
      </c>
      <c r="F4106" t="s">
        <v>81</v>
      </c>
      <c r="G4106">
        <v>-440.9006</v>
      </c>
      <c r="H4106">
        <v>6.2847239999999998</v>
      </c>
      <c r="I4106">
        <v>166.12880000000001</v>
      </c>
      <c r="J4106">
        <v>-242.06659999999999</v>
      </c>
      <c r="K4106">
        <v>1.1113189999999999</v>
      </c>
      <c r="L4106">
        <v>136.10149999999999</v>
      </c>
      <c r="M4106">
        <v>-0.99534809999999996</v>
      </c>
      <c r="N4106">
        <v>0</v>
      </c>
      <c r="O4106">
        <v>9.5434710000000006E-2</v>
      </c>
      <c r="P4106">
        <v>-0.99477700000000002</v>
      </c>
      <c r="Q4106">
        <v>9.9729219999999993E-2</v>
      </c>
      <c r="R4106">
        <v>2.1749379999999999E-2</v>
      </c>
      <c r="S4106">
        <v>-2.9969480000000002</v>
      </c>
      <c r="T4106">
        <v>7.7901360000000003E-2</v>
      </c>
      <c r="U4106">
        <v>0.45240780000000003</v>
      </c>
      <c r="V4106">
        <v>-7.3491360000000006E-2</v>
      </c>
      <c r="W4106">
        <v>0.112706399999999</v>
      </c>
      <c r="X4106">
        <v>0.99090679999999998</v>
      </c>
      <c r="Y4106">
        <v>5.4223319999999998E-2</v>
      </c>
      <c r="Z4106">
        <v>1.7586559999999999E-3</v>
      </c>
      <c r="AA4106">
        <v>0.99852730000000001</v>
      </c>
      <c r="AB4106">
        <v>19</v>
      </c>
      <c r="AC4106">
        <v>-198.834</v>
      </c>
      <c r="AD4106">
        <v>5.1734049999999998</v>
      </c>
      <c r="AE4106">
        <v>30.0273</v>
      </c>
      <c r="AF4106">
        <v>10.9056841513347</v>
      </c>
      <c r="AG4106">
        <v>5.1734049999999998</v>
      </c>
      <c r="AH4106">
        <v>200.65938605713399</v>
      </c>
      <c r="AI4106">
        <v>88.5253014844793</v>
      </c>
      <c r="AJ4106">
        <v>86.889078852770297</v>
      </c>
      <c r="AK4106">
        <v>201.02210644336799</v>
      </c>
      <c r="AL4106">
        <v>83.528648676706496</v>
      </c>
      <c r="AM4106">
        <v>94.241619548541905</v>
      </c>
      <c r="AN4106">
        <v>0.99999999944092399</v>
      </c>
    </row>
    <row r="4107" spans="1:40" x14ac:dyDescent="0.25">
      <c r="A4107" t="str">
        <f>"20190312151108679"</f>
        <v>20190312151108679</v>
      </c>
      <c r="B4107" t="str">
        <f>"1552374668675622"</f>
        <v>1552374668675622</v>
      </c>
      <c r="C4107" t="s">
        <v>40</v>
      </c>
      <c r="D4107">
        <v>5.24031</v>
      </c>
      <c r="E4107">
        <v>0.54873289999999997</v>
      </c>
      <c r="F4107" t="s">
        <v>81</v>
      </c>
      <c r="G4107">
        <v>-444.90030000000002</v>
      </c>
      <c r="H4107">
        <v>6.7527990000000004</v>
      </c>
      <c r="I4107">
        <v>166.47649999999999</v>
      </c>
      <c r="J4107">
        <v>-242.2585</v>
      </c>
      <c r="K4107">
        <v>1.1113120000000001</v>
      </c>
      <c r="L4107">
        <v>136.1182</v>
      </c>
      <c r="M4107">
        <v>-0.99548049999999999</v>
      </c>
      <c r="N4107">
        <v>0</v>
      </c>
      <c r="O4107">
        <v>9.4058489999999995E-2</v>
      </c>
      <c r="P4107">
        <v>-0.99452019999999997</v>
      </c>
      <c r="Q4107">
        <v>0.102802</v>
      </c>
      <c r="R4107">
        <v>1.902156E-2</v>
      </c>
      <c r="S4107">
        <v>-2.9975890000000001</v>
      </c>
      <c r="T4107">
        <v>8.3373429999999998E-2</v>
      </c>
      <c r="U4107">
        <v>0.44889829999999997</v>
      </c>
      <c r="V4107">
        <v>-7.4815149999999997E-2</v>
      </c>
      <c r="W4107">
        <v>0.1156647</v>
      </c>
      <c r="X4107">
        <v>0.99046670000000003</v>
      </c>
      <c r="Y4107">
        <v>5.4430630000000001E-2</v>
      </c>
      <c r="Z4107">
        <v>1.8412770000000001E-3</v>
      </c>
      <c r="AA4107">
        <v>0.99851579999999995</v>
      </c>
      <c r="AB4107">
        <v>19</v>
      </c>
      <c r="AC4107">
        <v>-202.64179999999999</v>
      </c>
      <c r="AD4107">
        <v>5.6414869999999997</v>
      </c>
      <c r="AE4107">
        <v>30.3582999999999</v>
      </c>
      <c r="AF4107">
        <v>11.1534168439083</v>
      </c>
      <c r="AG4107">
        <v>5.6414869999999997</v>
      </c>
      <c r="AH4107">
        <v>204.443993140413</v>
      </c>
      <c r="AI4107">
        <v>88.421710450985401</v>
      </c>
      <c r="AJ4107">
        <v>86.8773312881724</v>
      </c>
      <c r="AK4107">
        <v>204.82570984635299</v>
      </c>
      <c r="AL4107">
        <v>83.358034309962207</v>
      </c>
      <c r="AM4107">
        <v>94.319648145886305</v>
      </c>
      <c r="AN4107">
        <v>0.99999995665225005</v>
      </c>
    </row>
    <row r="4108" spans="1:40" x14ac:dyDescent="0.25">
      <c r="A4108" t="str">
        <f>"20190312151108701"</f>
        <v>20190312151108701</v>
      </c>
      <c r="B4108" t="str">
        <f>"1552374668695143"</f>
        <v>1552374668695143</v>
      </c>
      <c r="C4108" t="s">
        <v>40</v>
      </c>
      <c r="D4108">
        <v>5.1876680000000004</v>
      </c>
      <c r="E4108">
        <v>0.50666129999999998</v>
      </c>
      <c r="F4108" t="s">
        <v>75</v>
      </c>
      <c r="G4108">
        <v>-450.60059999999999</v>
      </c>
      <c r="H4108">
        <v>7.2950309999999998</v>
      </c>
      <c r="I4108">
        <v>166.65129999999999</v>
      </c>
      <c r="J4108">
        <v>-242.45509999999999</v>
      </c>
      <c r="K4108">
        <v>1.111299</v>
      </c>
      <c r="L4108">
        <v>136.13509999999999</v>
      </c>
      <c r="M4108">
        <v>-0.99561440000000001</v>
      </c>
      <c r="N4108">
        <v>0</v>
      </c>
      <c r="O4108">
        <v>9.2647090000000001E-2</v>
      </c>
      <c r="P4108">
        <v>-0.99427430000000006</v>
      </c>
      <c r="Q4108">
        <v>0.1057522</v>
      </c>
      <c r="R4108">
        <v>1.533995E-2</v>
      </c>
      <c r="S4108">
        <v>-2.9989319999999999</v>
      </c>
      <c r="T4108">
        <v>8.9010720000000002E-2</v>
      </c>
      <c r="U4108">
        <v>0.43949890000000003</v>
      </c>
      <c r="V4108">
        <v>-7.7056100000000002E-2</v>
      </c>
      <c r="W4108">
        <v>0.1184895</v>
      </c>
      <c r="X4108">
        <v>0.98996090000000003</v>
      </c>
      <c r="Y4108">
        <v>5.2720610000000001E-2</v>
      </c>
      <c r="Z4108">
        <v>1.9492509999999999E-3</v>
      </c>
      <c r="AA4108">
        <v>0.99860740000000003</v>
      </c>
      <c r="AB4108">
        <v>19</v>
      </c>
      <c r="AC4108">
        <v>-208.1455</v>
      </c>
      <c r="AD4108">
        <v>6.183732</v>
      </c>
      <c r="AE4108">
        <v>30.516200000000001</v>
      </c>
      <c r="AF4108">
        <v>11.0896464972749</v>
      </c>
      <c r="AG4108">
        <v>6.183732</v>
      </c>
      <c r="AH4108">
        <v>209.89623458887399</v>
      </c>
      <c r="AI4108">
        <v>88.314851854357798</v>
      </c>
      <c r="AJ4108">
        <v>86.975649823328595</v>
      </c>
      <c r="AK4108">
        <v>210.27992794242201</v>
      </c>
      <c r="AL4108">
        <v>83.195064610013901</v>
      </c>
      <c r="AM4108">
        <v>94.4507871513418</v>
      </c>
      <c r="AN4108">
        <v>0.99999999384313498</v>
      </c>
    </row>
    <row r="4109" spans="1:40" x14ac:dyDescent="0.25">
      <c r="A4109" t="str">
        <f>"20190312151108724"</f>
        <v>20190312151108724</v>
      </c>
      <c r="B4109" t="str">
        <f>"1552374668714661"</f>
        <v>1552374668714661</v>
      </c>
      <c r="C4109" t="s">
        <v>40</v>
      </c>
      <c r="D4109">
        <v>5.0697950000000001</v>
      </c>
      <c r="E4109">
        <v>0.45346579999999898</v>
      </c>
      <c r="F4109" t="s">
        <v>44</v>
      </c>
      <c r="G4109">
        <v>0</v>
      </c>
      <c r="H4109">
        <v>0</v>
      </c>
      <c r="I4109">
        <v>0</v>
      </c>
      <c r="J4109">
        <v>-242.64689999999999</v>
      </c>
      <c r="K4109">
        <v>1.1112839999999999</v>
      </c>
      <c r="L4109">
        <v>136.15129999999999</v>
      </c>
      <c r="M4109">
        <v>-0.99574289999999999</v>
      </c>
      <c r="N4109">
        <v>0</v>
      </c>
      <c r="O4109">
        <v>9.1272229999999996E-2</v>
      </c>
      <c r="P4109">
        <v>-0.99399630000000005</v>
      </c>
      <c r="Q4109">
        <v>0.10891919999999999</v>
      </c>
      <c r="R4109">
        <v>1.0404800000000001E-2</v>
      </c>
      <c r="S4109">
        <v>-3.0056609999999999</v>
      </c>
      <c r="T4109">
        <v>9.583092E-2</v>
      </c>
      <c r="U4109">
        <v>9.2559810000000006E-2</v>
      </c>
      <c r="V4109">
        <v>-8.0579390000000001E-2</v>
      </c>
      <c r="W4109">
        <v>0.1215268</v>
      </c>
      <c r="X4109">
        <v>0.98931199999999997</v>
      </c>
      <c r="Y4109">
        <v>-6.0507569999999997E-2</v>
      </c>
      <c r="Z4109">
        <v>3.8689470000000002E-3</v>
      </c>
      <c r="AA4109">
        <v>0.99816020000000005</v>
      </c>
      <c r="AB4109">
        <v>19</v>
      </c>
      <c r="AC4109">
        <v>-3.0056609999999999</v>
      </c>
      <c r="AD4109">
        <v>9.583092E-2</v>
      </c>
      <c r="AE4109">
        <v>9.2559810000000006E-2</v>
      </c>
      <c r="AF4109">
        <v>-0.18199784507626601</v>
      </c>
      <c r="AG4109">
        <v>9.583092E-2</v>
      </c>
      <c r="AH4109">
        <v>2.9985167936381498</v>
      </c>
      <c r="AI4109">
        <v>88.172842234193197</v>
      </c>
      <c r="AJ4109">
        <v>93.473361040661501</v>
      </c>
      <c r="AK4109">
        <v>3.0055631323548102</v>
      </c>
      <c r="AL4109">
        <v>83.019773384095402</v>
      </c>
      <c r="AM4109">
        <v>94.656458080262695</v>
      </c>
      <c r="AN4109">
        <v>1.0000000172775001</v>
      </c>
    </row>
    <row r="4110" spans="1:40" x14ac:dyDescent="0.25">
      <c r="A4110" t="str">
        <f>"20190312151108745"</f>
        <v>20190312151108745</v>
      </c>
      <c r="B4110" t="str">
        <f>"1552374668735161"</f>
        <v>1552374668735161</v>
      </c>
      <c r="C4110" t="s">
        <v>40</v>
      </c>
      <c r="D4110">
        <v>5.1184419999999999</v>
      </c>
      <c r="E4110">
        <v>0.44731789999999999</v>
      </c>
      <c r="F4110" t="s">
        <v>83</v>
      </c>
      <c r="G4110">
        <v>-385.75360000000001</v>
      </c>
      <c r="H4110">
        <v>3.6341389999999998</v>
      </c>
      <c r="I4110">
        <v>119.61879999999999</v>
      </c>
      <c r="J4110">
        <v>-242.82810000000001</v>
      </c>
      <c r="K4110">
        <v>1.111275</v>
      </c>
      <c r="L4110">
        <v>136.16630000000001</v>
      </c>
      <c r="M4110">
        <v>-0.99586180000000002</v>
      </c>
      <c r="N4110">
        <v>0</v>
      </c>
      <c r="O4110">
        <v>8.9980299999999999E-2</v>
      </c>
      <c r="P4110">
        <v>-0.99368840000000003</v>
      </c>
      <c r="Q4110">
        <v>0.112106399999999</v>
      </c>
      <c r="R4110">
        <v>3.970884E-3</v>
      </c>
      <c r="S4110">
        <v>-3.0159609999999999</v>
      </c>
      <c r="T4110">
        <v>5.3169010000000003E-2</v>
      </c>
      <c r="U4110">
        <v>-0.34841919999999998</v>
      </c>
      <c r="V4110">
        <v>-8.5677639999999999E-2</v>
      </c>
      <c r="W4110">
        <v>0.124581399999999</v>
      </c>
      <c r="X4110">
        <v>0.98850329999999997</v>
      </c>
      <c r="Y4110">
        <v>-0.2036442</v>
      </c>
      <c r="Z4110">
        <v>3.3704339999999998E-3</v>
      </c>
      <c r="AA4110">
        <v>0.97903910000000005</v>
      </c>
      <c r="AB4110">
        <v>19</v>
      </c>
      <c r="AC4110">
        <v>-142.9255</v>
      </c>
      <c r="AD4110">
        <v>2.5228640000000002</v>
      </c>
      <c r="AE4110">
        <v>-16.547499999999999</v>
      </c>
      <c r="AF4110">
        <v>-29.332872717368499</v>
      </c>
      <c r="AG4110">
        <v>2.5228640000000002</v>
      </c>
      <c r="AH4110">
        <v>140.81327021086099</v>
      </c>
      <c r="AI4110">
        <v>88.995142799816193</v>
      </c>
      <c r="AJ4110">
        <v>101.767031190154</v>
      </c>
      <c r="AK4110">
        <v>143.85812223191601</v>
      </c>
      <c r="AL4110">
        <v>82.8434170365352</v>
      </c>
      <c r="AM4110">
        <v>94.9536805534743</v>
      </c>
      <c r="AN4110">
        <v>0.999999978666409</v>
      </c>
    </row>
    <row r="4111" spans="1:40" x14ac:dyDescent="0.25">
      <c r="A4111" t="str">
        <f>"20190312151108769"</f>
        <v>20190312151108769</v>
      </c>
      <c r="B4111" t="str">
        <f>"1552374668765413"</f>
        <v>1552374668765413</v>
      </c>
      <c r="C4111" t="s">
        <v>40</v>
      </c>
      <c r="D4111">
        <v>5.0579260000000001</v>
      </c>
      <c r="E4111">
        <v>0.44617030000000002</v>
      </c>
      <c r="F4111" t="s">
        <v>69</v>
      </c>
      <c r="G4111">
        <v>-366.55239999999998</v>
      </c>
      <c r="H4111">
        <v>1.3031809999999999</v>
      </c>
      <c r="I4111">
        <v>119.00020000000001</v>
      </c>
      <c r="J4111">
        <v>-243.03569999999999</v>
      </c>
      <c r="K4111">
        <v>1.111259</v>
      </c>
      <c r="L4111">
        <v>136.1833</v>
      </c>
      <c r="M4111">
        <v>-0.99599490000000002</v>
      </c>
      <c r="N4111">
        <v>0</v>
      </c>
      <c r="O4111">
        <v>8.8516349999999994E-2</v>
      </c>
      <c r="P4111">
        <v>-0.99341820000000003</v>
      </c>
      <c r="Q4111">
        <v>0.1145245</v>
      </c>
      <c r="R4111">
        <v>-2.110743E-3</v>
      </c>
      <c r="S4111">
        <v>-3.020203</v>
      </c>
      <c r="T4111">
        <v>4.6849250000000004E-3</v>
      </c>
      <c r="U4111">
        <v>-0.41903689999999999</v>
      </c>
      <c r="V4111">
        <v>-9.0256260000000005E-2</v>
      </c>
      <c r="W4111">
        <v>0.1268407</v>
      </c>
      <c r="X4111">
        <v>0.98780829999999997</v>
      </c>
      <c r="Y4111">
        <v>-0.22457170000000001</v>
      </c>
      <c r="Z4111">
        <v>3.1008449999999998E-4</v>
      </c>
      <c r="AA4111">
        <v>0.97445749999999998</v>
      </c>
      <c r="AB4111">
        <v>19</v>
      </c>
      <c r="AC4111">
        <v>-123.5167</v>
      </c>
      <c r="AD4111">
        <v>0.19192199999999901</v>
      </c>
      <c r="AE4111">
        <v>-17.1830999999999</v>
      </c>
      <c r="AF4111">
        <v>-28.049691232690101</v>
      </c>
      <c r="AG4111">
        <v>0.19192199999999901</v>
      </c>
      <c r="AH4111">
        <v>121.510391565513</v>
      </c>
      <c r="AI4111">
        <v>89.911822036582095</v>
      </c>
      <c r="AJ4111">
        <v>102.998570552681</v>
      </c>
      <c r="AK4111">
        <v>124.706043440996</v>
      </c>
      <c r="AL4111">
        <v>82.712933642125606</v>
      </c>
      <c r="AM4111">
        <v>95.220631906499605</v>
      </c>
      <c r="AN4111">
        <v>0.999999996597283</v>
      </c>
    </row>
    <row r="4112" spans="1:40" x14ac:dyDescent="0.25">
      <c r="A4112" t="str">
        <f>"20190312151108790"</f>
        <v>20190312151108790</v>
      </c>
      <c r="B4112" t="str">
        <f>"1552374668784933"</f>
        <v>1552374668784933</v>
      </c>
      <c r="C4112" t="s">
        <v>40</v>
      </c>
      <c r="D4112">
        <v>5.1744130000000004</v>
      </c>
      <c r="E4112">
        <v>0.44657720000000001</v>
      </c>
      <c r="F4112" t="s">
        <v>69</v>
      </c>
      <c r="G4112">
        <v>-358.93259999999998</v>
      </c>
      <c r="H4112">
        <v>0.99041159999999995</v>
      </c>
      <c r="I4112">
        <v>119.0001</v>
      </c>
      <c r="J4112">
        <v>-243.22059999999999</v>
      </c>
      <c r="K4112">
        <v>1.1112310000000001</v>
      </c>
      <c r="L4112">
        <v>136.19820000000001</v>
      </c>
      <c r="M4112">
        <v>-0.99610980000000005</v>
      </c>
      <c r="N4112">
        <v>0</v>
      </c>
      <c r="O4112">
        <v>8.7234179999999995E-2</v>
      </c>
      <c r="P4112">
        <v>-0.99303819999999998</v>
      </c>
      <c r="Q4112">
        <v>0.11748500000000001</v>
      </c>
      <c r="R4112">
        <v>-8.5290460000000002E-3</v>
      </c>
      <c r="S4112">
        <v>-3.0192869999999998</v>
      </c>
      <c r="T4112">
        <v>-3.1478399999999998E-3</v>
      </c>
      <c r="U4112">
        <v>-0.44764710000000002</v>
      </c>
      <c r="V4112">
        <v>-9.5343929999999993E-2</v>
      </c>
      <c r="W4112">
        <v>0.12964639999999999</v>
      </c>
      <c r="X4112">
        <v>0.98696569999999995</v>
      </c>
      <c r="Y4112">
        <v>-0.23239760000000001</v>
      </c>
      <c r="Z4112">
        <v>-2.1100820000000001E-4</v>
      </c>
      <c r="AA4112">
        <v>0.97262079999999995</v>
      </c>
      <c r="AB4112">
        <v>19</v>
      </c>
      <c r="AC4112">
        <v>-115.712</v>
      </c>
      <c r="AD4112">
        <v>-0.12081939999999899</v>
      </c>
      <c r="AE4112">
        <v>-17.1981</v>
      </c>
      <c r="AF4112">
        <v>-27.227324866598899</v>
      </c>
      <c r="AG4112">
        <v>-0.12081939999999899</v>
      </c>
      <c r="AH4112">
        <v>113.770317629909</v>
      </c>
      <c r="AI4112">
        <v>90.059174766802798</v>
      </c>
      <c r="AJ4112">
        <v>103.458799073031</v>
      </c>
      <c r="AK4112">
        <v>116.983020094068</v>
      </c>
      <c r="AL4112">
        <v>82.550840191554997</v>
      </c>
      <c r="AM4112">
        <v>95.517827076764704</v>
      </c>
      <c r="AN4112">
        <v>0.999999973498647</v>
      </c>
    </row>
    <row r="4113" spans="1:40" x14ac:dyDescent="0.25">
      <c r="A4113" t="str">
        <f>"20190312151108813"</f>
        <v>20190312151108813</v>
      </c>
      <c r="B4113" t="str">
        <f>"1552374668805430"</f>
        <v>1552374668805430</v>
      </c>
      <c r="C4113" t="s">
        <v>40</v>
      </c>
      <c r="D4113">
        <v>5.272964</v>
      </c>
      <c r="E4113">
        <v>0.44702769999999997</v>
      </c>
      <c r="F4113" t="s">
        <v>69</v>
      </c>
      <c r="G4113">
        <v>-354.96409999999997</v>
      </c>
      <c r="H4113">
        <v>0.90034049999999999</v>
      </c>
      <c r="I4113">
        <v>119.0001</v>
      </c>
      <c r="J4113">
        <v>-243.4127</v>
      </c>
      <c r="K4113">
        <v>1.111197</v>
      </c>
      <c r="L4113">
        <v>136.21340000000001</v>
      </c>
      <c r="M4113">
        <v>-0.99622520000000003</v>
      </c>
      <c r="N4113">
        <v>0</v>
      </c>
      <c r="O4113">
        <v>8.5929619999999998E-2</v>
      </c>
      <c r="P4113">
        <v>-0.99270970000000003</v>
      </c>
      <c r="Q4113">
        <v>0.1196091</v>
      </c>
      <c r="R4113">
        <v>-1.4876210000000001E-2</v>
      </c>
      <c r="S4113">
        <v>-3.0177149999999999</v>
      </c>
      <c r="T4113">
        <v>-5.6948659999999998E-3</v>
      </c>
      <c r="U4113">
        <v>-0.464447</v>
      </c>
      <c r="V4113">
        <v>-0.1003423</v>
      </c>
      <c r="W4113">
        <v>0.13160920000000001</v>
      </c>
      <c r="X4113">
        <v>0.98621020000000004</v>
      </c>
      <c r="Y4113">
        <v>-0.23648849999999999</v>
      </c>
      <c r="Z4113">
        <v>-3.8317899999999998E-4</v>
      </c>
      <c r="AA4113">
        <v>0.9716342</v>
      </c>
      <c r="AB4113">
        <v>19</v>
      </c>
      <c r="AC4113">
        <v>-111.55139999999901</v>
      </c>
      <c r="AD4113">
        <v>-0.210856499999999</v>
      </c>
      <c r="AE4113">
        <v>-17.2133</v>
      </c>
      <c r="AF4113">
        <v>-26.735824015445299</v>
      </c>
      <c r="AG4113">
        <v>-0.210856499999999</v>
      </c>
      <c r="AH4113">
        <v>109.659105105793</v>
      </c>
      <c r="AI4113">
        <v>90.107034974146003</v>
      </c>
      <c r="AJ4113">
        <v>103.70188182164399</v>
      </c>
      <c r="AK4113">
        <v>112.871467071407</v>
      </c>
      <c r="AL4113">
        <v>82.437408715301501</v>
      </c>
      <c r="AM4113">
        <v>95.809586896717306</v>
      </c>
      <c r="AN4113">
        <v>1.0000000586389799</v>
      </c>
    </row>
    <row r="4114" spans="1:40" x14ac:dyDescent="0.25">
      <c r="A4114" t="str">
        <f>"20190312151108835"</f>
        <v>20190312151108835</v>
      </c>
      <c r="B4114" t="str">
        <f>"1552374668824949"</f>
        <v>1552374668824949</v>
      </c>
      <c r="C4114" t="s">
        <v>40</v>
      </c>
      <c r="D4114">
        <v>5.0517560000000001</v>
      </c>
      <c r="E4114">
        <v>0.44729370000000002</v>
      </c>
      <c r="F4114" t="s">
        <v>69</v>
      </c>
      <c r="G4114">
        <v>-346.6438</v>
      </c>
      <c r="H4114">
        <v>0.89371399999999901</v>
      </c>
      <c r="I4114">
        <v>119.76909999999999</v>
      </c>
      <c r="J4114">
        <v>-243.60560000000001</v>
      </c>
      <c r="K4114">
        <v>1.111165</v>
      </c>
      <c r="L4114">
        <v>136.2285</v>
      </c>
      <c r="M4114">
        <v>-0.99633570000000005</v>
      </c>
      <c r="N4114">
        <v>0</v>
      </c>
      <c r="O4114">
        <v>8.4659139999999994E-2</v>
      </c>
      <c r="P4114">
        <v>-0.99217529999999998</v>
      </c>
      <c r="Q4114">
        <v>0.1226735</v>
      </c>
      <c r="R4114">
        <v>-2.3228220000000001E-2</v>
      </c>
      <c r="S4114">
        <v>-3.015625</v>
      </c>
      <c r="T4114">
        <v>-6.3527820000000004E-3</v>
      </c>
      <c r="U4114">
        <v>-0.4803772</v>
      </c>
      <c r="V4114">
        <v>-0.107355199999999</v>
      </c>
      <c r="W4114">
        <v>0.1345044</v>
      </c>
      <c r="X4114">
        <v>0.98508039999999997</v>
      </c>
      <c r="Y4114">
        <v>-0.2403583</v>
      </c>
      <c r="Z4114">
        <v>-4.2896470000000002E-4</v>
      </c>
      <c r="AA4114">
        <v>0.97068410000000005</v>
      </c>
      <c r="AB4114">
        <v>19</v>
      </c>
      <c r="AC4114">
        <v>-103.0382</v>
      </c>
      <c r="AD4114">
        <v>-0.21745100000000001</v>
      </c>
      <c r="AE4114">
        <v>-16.459399999999999</v>
      </c>
      <c r="AF4114">
        <v>-25.123963394818698</v>
      </c>
      <c r="AG4114">
        <v>-0.21745100000000001</v>
      </c>
      <c r="AH4114">
        <v>101.274253399751</v>
      </c>
      <c r="AI4114">
        <v>90.119403094027206</v>
      </c>
      <c r="AJ4114">
        <v>103.93257819308801</v>
      </c>
      <c r="AK4114">
        <v>104.344310929147</v>
      </c>
      <c r="AL4114">
        <v>82.270037144464496</v>
      </c>
      <c r="AM4114">
        <v>96.219614516077897</v>
      </c>
      <c r="AN4114">
        <v>0.99999998352527897</v>
      </c>
    </row>
    <row r="4115" spans="1:40" x14ac:dyDescent="0.25">
      <c r="A4115" t="str">
        <f>"20190312151108868"</f>
        <v>20190312151108868</v>
      </c>
      <c r="B4115" t="str">
        <f>"1552374668864966"</f>
        <v>1552374668864966</v>
      </c>
      <c r="C4115" t="s">
        <v>40</v>
      </c>
      <c r="D4115">
        <v>5.2121120000000003</v>
      </c>
      <c r="E4115">
        <v>0.44893250000000001</v>
      </c>
      <c r="F4115" t="s">
        <v>69</v>
      </c>
      <c r="G4115">
        <v>-345.36520000000002</v>
      </c>
      <c r="H4115">
        <v>1.1313219999999999</v>
      </c>
      <c r="I4115">
        <v>119.2159</v>
      </c>
      <c r="J4115">
        <v>-243.89070000000001</v>
      </c>
      <c r="K4115">
        <v>1.111094</v>
      </c>
      <c r="L4115">
        <v>136.25049999999999</v>
      </c>
      <c r="M4115">
        <v>-0.99648760000000003</v>
      </c>
      <c r="N4115">
        <v>0</v>
      </c>
      <c r="O4115">
        <v>8.2885150000000005E-2</v>
      </c>
      <c r="P4115">
        <v>-0.99165130000000001</v>
      </c>
      <c r="Q4115">
        <v>0.12508419999999901</v>
      </c>
      <c r="R4115">
        <v>-3.1333359999999998E-2</v>
      </c>
      <c r="S4115">
        <v>-3.0117950000000002</v>
      </c>
      <c r="T4115">
        <v>5.9700010000000002E-4</v>
      </c>
      <c r="U4115">
        <v>-0.50352479999999999</v>
      </c>
      <c r="V4115">
        <v>-0.11361980000000001</v>
      </c>
      <c r="W4115">
        <v>0.13667570000000001</v>
      </c>
      <c r="X4115">
        <v>0.98407840000000002</v>
      </c>
      <c r="Y4115">
        <v>-0.24608459999999999</v>
      </c>
      <c r="Z4115" s="1">
        <v>4.0553039999999999E-5</v>
      </c>
      <c r="AA4115">
        <v>0.96924840000000001</v>
      </c>
      <c r="AB4115">
        <v>19</v>
      </c>
      <c r="AC4115">
        <v>-101.47450000000001</v>
      </c>
      <c r="AD4115">
        <v>2.0227999999999899E-2</v>
      </c>
      <c r="AE4115">
        <v>-17.034599999999902</v>
      </c>
      <c r="AF4115">
        <v>-25.387304943324299</v>
      </c>
      <c r="AG4115">
        <v>2.0227999999999899E-2</v>
      </c>
      <c r="AH4115">
        <v>99.713267305713799</v>
      </c>
      <c r="AI4115">
        <v>89.988736224949704</v>
      </c>
      <c r="AJ4115">
        <v>104.284196462266</v>
      </c>
      <c r="AK4115">
        <v>102.89436980825499</v>
      </c>
      <c r="AL4115">
        <v>82.144471334974099</v>
      </c>
      <c r="AM4115">
        <v>96.586098377995697</v>
      </c>
      <c r="AN4115">
        <v>1.0000000016345401</v>
      </c>
    </row>
    <row r="4116" spans="1:40" x14ac:dyDescent="0.25">
      <c r="A4116" t="str">
        <f>"20190312151108889"</f>
        <v>20190312151108889</v>
      </c>
      <c r="B4116" t="str">
        <f>"1552374668885461"</f>
        <v>1552374668885461</v>
      </c>
      <c r="C4116" t="s">
        <v>40</v>
      </c>
      <c r="D4116">
        <v>5.3235919999999997</v>
      </c>
      <c r="E4116">
        <v>0.44964609999999999</v>
      </c>
      <c r="F4116" t="s">
        <v>69</v>
      </c>
      <c r="G4116">
        <v>-344.6071</v>
      </c>
      <c r="H4116">
        <v>0.62386850000000005</v>
      </c>
      <c r="I4116">
        <v>119</v>
      </c>
      <c r="J4116">
        <v>-244.07830000000001</v>
      </c>
      <c r="K4116">
        <v>1.1110420000000001</v>
      </c>
      <c r="L4116">
        <v>136.2647</v>
      </c>
      <c r="M4116">
        <v>-0.99658040000000003</v>
      </c>
      <c r="N4116">
        <v>0</v>
      </c>
      <c r="O4116">
        <v>8.1783640000000005E-2</v>
      </c>
      <c r="P4116">
        <v>-0.99136930000000001</v>
      </c>
      <c r="Q4116">
        <v>0.12620029999999999</v>
      </c>
      <c r="R4116">
        <v>-3.5500169999999998E-2</v>
      </c>
      <c r="S4116">
        <v>-3.010818</v>
      </c>
      <c r="T4116">
        <v>-1.456463E-2</v>
      </c>
      <c r="U4116">
        <v>-0.51568599999999998</v>
      </c>
      <c r="V4116">
        <v>-0.1166498</v>
      </c>
      <c r="W4116">
        <v>0.13764019999999999</v>
      </c>
      <c r="X4116">
        <v>0.98358939999999995</v>
      </c>
      <c r="Y4116">
        <v>-0.24886539999999999</v>
      </c>
      <c r="Z4116">
        <v>-9.9072450000000007E-4</v>
      </c>
      <c r="AA4116">
        <v>0.9685376</v>
      </c>
      <c r="AB4116">
        <v>20</v>
      </c>
      <c r="AC4116">
        <v>-100.5288</v>
      </c>
      <c r="AD4116">
        <v>-0.48717349999999998</v>
      </c>
      <c r="AE4116">
        <v>-17.264700000000001</v>
      </c>
      <c r="AF4116">
        <v>-25.428459397325799</v>
      </c>
      <c r="AG4116">
        <v>-0.48717349999999998</v>
      </c>
      <c r="AH4116">
        <v>98.777671001154204</v>
      </c>
      <c r="AI4116">
        <v>90.273659441611599</v>
      </c>
      <c r="AJ4116">
        <v>104.43627096262</v>
      </c>
      <c r="AK4116">
        <v>101.99937339882401</v>
      </c>
      <c r="AL4116">
        <v>82.088682719916093</v>
      </c>
      <c r="AM4116">
        <v>96.763460765360406</v>
      </c>
      <c r="AN4116">
        <v>1.00000005414421</v>
      </c>
    </row>
    <row r="4117" spans="1:40" x14ac:dyDescent="0.25">
      <c r="A4117" t="str">
        <f>"20190312151108935"</f>
        <v>20190312151108935</v>
      </c>
      <c r="B4117" t="str">
        <f>"1552374668925477"</f>
        <v>1552374668925477</v>
      </c>
      <c r="C4117" t="s">
        <v>40</v>
      </c>
      <c r="D4117">
        <v>5.4222140000000003</v>
      </c>
      <c r="E4117">
        <v>0.45095429999999997</v>
      </c>
      <c r="F4117" t="s">
        <v>69</v>
      </c>
      <c r="G4117">
        <v>-343.48500000000001</v>
      </c>
      <c r="H4117">
        <v>0.60183969999999998</v>
      </c>
      <c r="I4117">
        <v>119</v>
      </c>
      <c r="J4117">
        <v>-244.47380000000001</v>
      </c>
      <c r="K4117">
        <v>1.1109439999999999</v>
      </c>
      <c r="L4117">
        <v>136.2944</v>
      </c>
      <c r="M4117">
        <v>-0.996757</v>
      </c>
      <c r="N4117">
        <v>0</v>
      </c>
      <c r="O4117">
        <v>7.9649239999999996E-2</v>
      </c>
      <c r="P4117">
        <v>-0.99084139999999998</v>
      </c>
      <c r="Q4117">
        <v>0.12840850000000001</v>
      </c>
      <c r="R4117">
        <v>-4.177086E-2</v>
      </c>
      <c r="S4117">
        <v>-3.009369</v>
      </c>
      <c r="T4117">
        <v>-1.5414829999999999E-2</v>
      </c>
      <c r="U4117">
        <v>-0.52265929999999905</v>
      </c>
      <c r="V4117">
        <v>-0.120726399999999</v>
      </c>
      <c r="W4117">
        <v>0.13956070000000001</v>
      </c>
      <c r="X4117">
        <v>0.98282650000000005</v>
      </c>
      <c r="Y4117">
        <v>-0.24904760000000001</v>
      </c>
      <c r="Z4117">
        <v>-1.038457E-3</v>
      </c>
      <c r="AA4117">
        <v>0.96849070000000004</v>
      </c>
      <c r="AB4117">
        <v>20</v>
      </c>
      <c r="AC4117">
        <v>-99.011200000000002</v>
      </c>
      <c r="AD4117">
        <v>-0.50910429999999995</v>
      </c>
      <c r="AE4117">
        <v>-17.2943999999999</v>
      </c>
      <c r="AF4117">
        <v>-25.125488332592901</v>
      </c>
      <c r="AG4117">
        <v>-0.50910429999999995</v>
      </c>
      <c r="AH4117">
        <v>97.316522124564102</v>
      </c>
      <c r="AI4117">
        <v>90.290219369355796</v>
      </c>
      <c r="AJ4117">
        <v>104.476667886459</v>
      </c>
      <c r="AK4117">
        <v>100.50897885045001</v>
      </c>
      <c r="AL4117">
        <v>81.977573271076196</v>
      </c>
      <c r="AM4117">
        <v>97.002899090170402</v>
      </c>
      <c r="AN4117">
        <v>0.99999999087184999</v>
      </c>
    </row>
    <row r="4118" spans="1:40" x14ac:dyDescent="0.25">
      <c r="A4118" t="str">
        <f>"20190312151108958"</f>
        <v>20190312151108958</v>
      </c>
      <c r="B4118" t="str">
        <f>"1552374668954758"</f>
        <v>1552374668954758</v>
      </c>
      <c r="C4118" t="s">
        <v>40</v>
      </c>
      <c r="D4118">
        <v>5.1482359999999998</v>
      </c>
      <c r="E4118">
        <v>0.45211469999999998</v>
      </c>
      <c r="F4118" t="s">
        <v>69</v>
      </c>
      <c r="G4118">
        <v>-342.35719999999998</v>
      </c>
      <c r="H4118">
        <v>0.6134001</v>
      </c>
      <c r="I4118">
        <v>119</v>
      </c>
      <c r="J4118">
        <v>-244.6756</v>
      </c>
      <c r="K4118">
        <v>1.110894</v>
      </c>
      <c r="L4118">
        <v>136.3092</v>
      </c>
      <c r="M4118">
        <v>-0.9968359</v>
      </c>
      <c r="N4118">
        <v>0</v>
      </c>
      <c r="O4118">
        <v>7.8676220000000005E-2</v>
      </c>
      <c r="P4118">
        <v>-0.9906819</v>
      </c>
      <c r="Q4118">
        <v>0.1290163</v>
      </c>
      <c r="R4118">
        <v>-4.3638320000000001E-2</v>
      </c>
      <c r="S4118">
        <v>-3.0073089999999998</v>
      </c>
      <c r="T4118">
        <v>-1.5285730000000001E-2</v>
      </c>
      <c r="U4118">
        <v>-0.53134159999999997</v>
      </c>
      <c r="V4118">
        <v>-0.1216011</v>
      </c>
      <c r="W4118">
        <v>0.14003289999999999</v>
      </c>
      <c r="X4118">
        <v>0.98265150000000001</v>
      </c>
      <c r="Y4118">
        <v>-0.25092619999999999</v>
      </c>
      <c r="Z4118">
        <v>-1.0300349999999999E-3</v>
      </c>
      <c r="AA4118">
        <v>0.96800569999999997</v>
      </c>
      <c r="AB4118">
        <v>20</v>
      </c>
      <c r="AC4118">
        <v>-97.681599999999904</v>
      </c>
      <c r="AD4118">
        <v>-0.49749389999999999</v>
      </c>
      <c r="AE4118">
        <v>-17.309200000000001</v>
      </c>
      <c r="AF4118">
        <v>-24.9406230721459</v>
      </c>
      <c r="AG4118">
        <v>-0.49749389999999999</v>
      </c>
      <c r="AH4118">
        <v>96.014445383414397</v>
      </c>
      <c r="AI4118">
        <v>90.287336874520406</v>
      </c>
      <c r="AJ4118">
        <v>104.561285266626</v>
      </c>
      <c r="AK4118">
        <v>99.202096256541296</v>
      </c>
      <c r="AL4118">
        <v>81.950250012487899</v>
      </c>
      <c r="AM4118">
        <v>97.054371467684007</v>
      </c>
      <c r="AN4118">
        <v>1.0000000055279299</v>
      </c>
    </row>
    <row r="4119" spans="1:40" x14ac:dyDescent="0.25">
      <c r="A4119" t="str">
        <f>"20190312151108982"</f>
        <v>20190312151108982</v>
      </c>
      <c r="B4119" t="str">
        <f>"1552374668975253"</f>
        <v>1552374668975253</v>
      </c>
      <c r="C4119" t="s">
        <v>40</v>
      </c>
      <c r="D4119">
        <v>5.2575900000000004</v>
      </c>
      <c r="E4119">
        <v>0.4528219</v>
      </c>
      <c r="F4119" t="s">
        <v>69</v>
      </c>
      <c r="G4119">
        <v>-343.26580000000001</v>
      </c>
      <c r="H4119">
        <v>0.52522919999999995</v>
      </c>
      <c r="I4119">
        <v>118.9999</v>
      </c>
      <c r="J4119">
        <v>-244.87809999999999</v>
      </c>
      <c r="K4119">
        <v>1.11083</v>
      </c>
      <c r="L4119">
        <v>136.32409999999999</v>
      </c>
      <c r="M4119">
        <v>-0.9969074</v>
      </c>
      <c r="N4119">
        <v>0</v>
      </c>
      <c r="O4119">
        <v>7.7787060000000005E-2</v>
      </c>
      <c r="P4119">
        <v>-0.99046270000000003</v>
      </c>
      <c r="Q4119">
        <v>0.13032489999999999</v>
      </c>
      <c r="R4119">
        <v>-4.4715560000000001E-2</v>
      </c>
      <c r="S4119">
        <v>-3.0072939999999999</v>
      </c>
      <c r="T4119">
        <v>-1.786399E-2</v>
      </c>
      <c r="U4119">
        <v>-0.52798459999999903</v>
      </c>
      <c r="V4119">
        <v>-0.12176579999999999</v>
      </c>
      <c r="W4119">
        <v>0.14120279999999999</v>
      </c>
      <c r="X4119">
        <v>0.98246369999999905</v>
      </c>
      <c r="Y4119">
        <v>-0.2490135</v>
      </c>
      <c r="Z4119">
        <v>-1.193E-3</v>
      </c>
      <c r="AA4119">
        <v>0.9684992</v>
      </c>
      <c r="AB4119">
        <v>20</v>
      </c>
      <c r="AC4119">
        <v>-98.387699999999995</v>
      </c>
      <c r="AD4119">
        <v>-0.58560080000000003</v>
      </c>
      <c r="AE4119">
        <v>-17.324199999999902</v>
      </c>
      <c r="AF4119">
        <v>-24.9246121882734</v>
      </c>
      <c r="AG4119">
        <v>-0.58560080000000003</v>
      </c>
      <c r="AH4119">
        <v>96.738540938698904</v>
      </c>
      <c r="AI4119">
        <v>90.335863765383294</v>
      </c>
      <c r="AJ4119">
        <v>104.44798429091701</v>
      </c>
      <c r="AK4119">
        <v>99.899572191181704</v>
      </c>
      <c r="AL4119">
        <v>81.882547185945498</v>
      </c>
      <c r="AM4119">
        <v>97.065166270457595</v>
      </c>
      <c r="AN4119">
        <v>1.0000000312975801</v>
      </c>
    </row>
    <row r="4120" spans="1:40" x14ac:dyDescent="0.25">
      <c r="A4120" t="str">
        <f>"20190312151109003"</f>
        <v>20190312151109003</v>
      </c>
      <c r="B4120" t="str">
        <f>"1552374668994773"</f>
        <v>1552374668994773</v>
      </c>
      <c r="C4120" t="s">
        <v>40</v>
      </c>
      <c r="D4120">
        <v>5.1017640000000002</v>
      </c>
      <c r="E4120">
        <v>0.452845</v>
      </c>
      <c r="F4120" t="s">
        <v>69</v>
      </c>
      <c r="G4120">
        <v>-343.92189999999999</v>
      </c>
      <c r="H4120">
        <v>0.5325955</v>
      </c>
      <c r="I4120">
        <v>118.9999</v>
      </c>
      <c r="J4120">
        <v>-245.06819999999999</v>
      </c>
      <c r="K4120">
        <v>1.110784</v>
      </c>
      <c r="L4120">
        <v>136.33799999999999</v>
      </c>
      <c r="M4120">
        <v>-0.9969692</v>
      </c>
      <c r="N4120">
        <v>0</v>
      </c>
      <c r="O4120">
        <v>7.701065E-2</v>
      </c>
      <c r="P4120">
        <v>-0.99030810000000002</v>
      </c>
      <c r="Q4120">
        <v>0.13139489999999901</v>
      </c>
      <c r="R4120">
        <v>-4.5005080000000003E-2</v>
      </c>
      <c r="S4120">
        <v>-3.0074619999999999</v>
      </c>
      <c r="T4120">
        <v>-1.75575E-2</v>
      </c>
      <c r="U4120">
        <v>-0.52604680000000004</v>
      </c>
      <c r="V4120">
        <v>-0.12126339999999999</v>
      </c>
      <c r="W4120">
        <v>0.1421473</v>
      </c>
      <c r="X4120">
        <v>0.98238959999999997</v>
      </c>
      <c r="Y4120">
        <v>-0.24764449999999999</v>
      </c>
      <c r="Z4120">
        <v>-1.1640589999999901E-3</v>
      </c>
      <c r="AA4120">
        <v>0.96885030000000005</v>
      </c>
      <c r="AB4120">
        <v>20</v>
      </c>
      <c r="AC4120">
        <v>-98.853700000000003</v>
      </c>
      <c r="AD4120">
        <v>-0.57818849999999999</v>
      </c>
      <c r="AE4120">
        <v>-17.338099999999901</v>
      </c>
      <c r="AF4120">
        <v>-24.8990291279239</v>
      </c>
      <c r="AG4120">
        <v>-0.57818849999999999</v>
      </c>
      <c r="AH4120">
        <v>97.221569073882605</v>
      </c>
      <c r="AI4120">
        <v>90.330087837965706</v>
      </c>
      <c r="AJ4120">
        <v>104.365037292225</v>
      </c>
      <c r="AK4120">
        <v>100.360995643937</v>
      </c>
      <c r="AL4120">
        <v>81.827879619602399</v>
      </c>
      <c r="AM4120">
        <v>97.036833942925796</v>
      </c>
      <c r="AN4120">
        <v>0.99999999663250405</v>
      </c>
    </row>
    <row r="4121" spans="1:40" x14ac:dyDescent="0.25">
      <c r="A4121" t="str">
        <f>"20190312151109024"</f>
        <v>20190312151109024</v>
      </c>
      <c r="B4121" t="str">
        <f>"1552374669014967"</f>
        <v>1552374669014967</v>
      </c>
      <c r="C4121" t="s">
        <v>40</v>
      </c>
      <c r="D4121">
        <v>5.1556129999999998</v>
      </c>
      <c r="E4121">
        <v>0.45294089999999998</v>
      </c>
      <c r="F4121" t="s">
        <v>69</v>
      </c>
      <c r="G4121">
        <v>-344.0342</v>
      </c>
      <c r="H4121">
        <v>0.5173103</v>
      </c>
      <c r="I4121">
        <v>118.9999</v>
      </c>
      <c r="J4121">
        <v>-245.2552</v>
      </c>
      <c r="K4121">
        <v>1.1107359999999999</v>
      </c>
      <c r="L4121">
        <v>136.35159999999999</v>
      </c>
      <c r="M4121">
        <v>-0.99702480000000004</v>
      </c>
      <c r="N4121">
        <v>0</v>
      </c>
      <c r="O4121">
        <v>7.6306349999999995E-2</v>
      </c>
      <c r="P4121">
        <v>-0.99025350000000001</v>
      </c>
      <c r="Q4121">
        <v>0.13208879999999901</v>
      </c>
      <c r="R4121">
        <v>-4.416577E-2</v>
      </c>
      <c r="S4121">
        <v>-3.0078279999999999</v>
      </c>
      <c r="T4121">
        <v>-1.8036719999999999E-2</v>
      </c>
      <c r="U4121">
        <v>-0.52694700000000005</v>
      </c>
      <c r="V4121">
        <v>-0.1197153</v>
      </c>
      <c r="W4121">
        <v>0.14272550000000001</v>
      </c>
      <c r="X4121">
        <v>0.98249569999999997</v>
      </c>
      <c r="Y4121">
        <v>-0.247221</v>
      </c>
      <c r="Z4121">
        <v>-1.1902010000000001E-3</v>
      </c>
      <c r="AA4121">
        <v>0.9689584</v>
      </c>
      <c r="AB4121">
        <v>20</v>
      </c>
      <c r="AC4121">
        <v>-98.778999999999996</v>
      </c>
      <c r="AD4121">
        <v>-0.59342569999999994</v>
      </c>
      <c r="AE4121">
        <v>-17.351699999999902</v>
      </c>
      <c r="AF4121">
        <v>-24.838147147975601</v>
      </c>
      <c r="AG4121">
        <v>-0.59342569999999994</v>
      </c>
      <c r="AH4121">
        <v>97.163442245572895</v>
      </c>
      <c r="AI4121">
        <v>90.339027764014901</v>
      </c>
      <c r="AJ4121">
        <v>104.33958113815601</v>
      </c>
      <c r="AK4121">
        <v>100.289681507195</v>
      </c>
      <c r="AL4121">
        <v>81.794410472463994</v>
      </c>
      <c r="AM4121">
        <v>96.947139439756398</v>
      </c>
      <c r="AN4121">
        <v>1.0000000609614099</v>
      </c>
    </row>
    <row r="4122" spans="1:40" x14ac:dyDescent="0.25">
      <c r="A4122" t="str">
        <f>"20190312151109046"</f>
        <v>20190312151109046</v>
      </c>
      <c r="B4122" t="str">
        <f>"1552374669035478"</f>
        <v>1552374669035478</v>
      </c>
      <c r="C4122" t="s">
        <v>40</v>
      </c>
      <c r="D4122">
        <v>5.04481</v>
      </c>
      <c r="E4122">
        <v>0.45305200000000001</v>
      </c>
      <c r="F4122" t="s">
        <v>69</v>
      </c>
      <c r="G4122">
        <v>-344.86320000000001</v>
      </c>
      <c r="H4122">
        <v>0.43834990000000001</v>
      </c>
      <c r="I4122">
        <v>118.9999</v>
      </c>
      <c r="J4122">
        <v>-245.45070000000001</v>
      </c>
      <c r="K4122">
        <v>1.1106769999999999</v>
      </c>
      <c r="L4122">
        <v>136.3657</v>
      </c>
      <c r="M4122">
        <v>-0.99707699999999999</v>
      </c>
      <c r="N4122">
        <v>0</v>
      </c>
      <c r="O4122">
        <v>7.5640109999999997E-2</v>
      </c>
      <c r="P4122">
        <v>-0.99026479999999995</v>
      </c>
      <c r="Q4122">
        <v>0.1323627</v>
      </c>
      <c r="R4122">
        <v>-4.3079930000000002E-2</v>
      </c>
      <c r="S4122">
        <v>-3.0088499999999998</v>
      </c>
      <c r="T4122">
        <v>-2.0310519999999999E-2</v>
      </c>
      <c r="U4122">
        <v>-0.52413940000000003</v>
      </c>
      <c r="V4122">
        <v>-0.1179627</v>
      </c>
      <c r="W4122">
        <v>0.14287739999999999</v>
      </c>
      <c r="X4122">
        <v>0.98268549999999999</v>
      </c>
      <c r="Y4122">
        <v>-0.2456383</v>
      </c>
      <c r="Z4122">
        <v>-1.330122E-3</v>
      </c>
      <c r="AA4122">
        <v>0.96936060000000002</v>
      </c>
      <c r="AB4122">
        <v>20</v>
      </c>
      <c r="AC4122">
        <v>-99.412499999999994</v>
      </c>
      <c r="AD4122">
        <v>-0.67232709999999996</v>
      </c>
      <c r="AE4122">
        <v>-17.3658</v>
      </c>
      <c r="AF4122">
        <v>-24.834950834235801</v>
      </c>
      <c r="AG4122">
        <v>-0.67232709999999996</v>
      </c>
      <c r="AH4122">
        <v>97.809699905870303</v>
      </c>
      <c r="AI4122">
        <v>90.381722737983395</v>
      </c>
      <c r="AJ4122">
        <v>104.246946675038</v>
      </c>
      <c r="AK4122">
        <v>100.915629128221</v>
      </c>
      <c r="AL4122">
        <v>81.785616379826195</v>
      </c>
      <c r="AM4122">
        <v>96.845097796626405</v>
      </c>
      <c r="AN4122">
        <v>0.99999997096614901</v>
      </c>
    </row>
    <row r="4123" spans="1:40" x14ac:dyDescent="0.25">
      <c r="A4123" t="str">
        <f>"20190312151109068"</f>
        <v>20190312151109068</v>
      </c>
      <c r="B4123" t="str">
        <f>"1552374669064744"</f>
        <v>1552374669064744</v>
      </c>
      <c r="C4123" t="s">
        <v>40</v>
      </c>
      <c r="D4123">
        <v>5.0507569999999999</v>
      </c>
      <c r="E4123">
        <v>0.45319310000000002</v>
      </c>
      <c r="F4123" t="s">
        <v>69</v>
      </c>
      <c r="G4123">
        <v>-345.36520000000002</v>
      </c>
      <c r="H4123">
        <v>0.32339679999999998</v>
      </c>
      <c r="I4123">
        <v>119.0976</v>
      </c>
      <c r="J4123">
        <v>-245.64529999999999</v>
      </c>
      <c r="K4123">
        <v>1.1106199999999999</v>
      </c>
      <c r="L4123">
        <v>136.37970000000001</v>
      </c>
      <c r="M4123">
        <v>-0.99712290000000003</v>
      </c>
      <c r="N4123">
        <v>0</v>
      </c>
      <c r="O4123">
        <v>7.5053699999999904E-2</v>
      </c>
      <c r="P4123">
        <v>-0.99036469999999999</v>
      </c>
      <c r="Q4123">
        <v>0.1321591</v>
      </c>
      <c r="R4123">
        <v>-4.1374670000000002E-2</v>
      </c>
      <c r="S4123">
        <v>-3.0100250000000002</v>
      </c>
      <c r="T4123">
        <v>-2.3717160000000001E-2</v>
      </c>
      <c r="U4123">
        <v>-0.52021790000000001</v>
      </c>
      <c r="V4123">
        <v>-0.1156774</v>
      </c>
      <c r="W4123">
        <v>0.14255179999999901</v>
      </c>
      <c r="X4123">
        <v>0.98300449999999995</v>
      </c>
      <c r="Y4123">
        <v>-0.24377509999999999</v>
      </c>
      <c r="Z4123">
        <v>-1.540902E-3</v>
      </c>
      <c r="AA4123">
        <v>0.96983059999999999</v>
      </c>
      <c r="AB4123">
        <v>20</v>
      </c>
      <c r="AC4123">
        <v>-99.719899999999996</v>
      </c>
      <c r="AD4123">
        <v>-0.78722320000000001</v>
      </c>
      <c r="AE4123">
        <v>-17.2821</v>
      </c>
      <c r="AF4123">
        <v>-24.716624625306299</v>
      </c>
      <c r="AG4123">
        <v>-0.78722320000000001</v>
      </c>
      <c r="AH4123">
        <v>98.135511285645407</v>
      </c>
      <c r="AI4123">
        <v>90.445687221527706</v>
      </c>
      <c r="AJ4123">
        <v>104.136618708798</v>
      </c>
      <c r="AK4123">
        <v>101.203309375385</v>
      </c>
      <c r="AL4123">
        <v>81.8044655705841</v>
      </c>
      <c r="AM4123">
        <v>96.711550699968399</v>
      </c>
      <c r="AN4123">
        <v>1.0000000617871201</v>
      </c>
    </row>
    <row r="4124" spans="1:40" x14ac:dyDescent="0.25">
      <c r="A4124" t="str">
        <f>"20190312151109092"</f>
        <v>20190312151109092</v>
      </c>
      <c r="B4124" t="str">
        <f>"1552374669085241"</f>
        <v>1552374669085241</v>
      </c>
      <c r="C4124" t="s">
        <v>40</v>
      </c>
      <c r="D4124">
        <v>5.0017189999999996</v>
      </c>
      <c r="E4124">
        <v>0.45316790000000001</v>
      </c>
      <c r="F4124" t="s">
        <v>69</v>
      </c>
      <c r="G4124">
        <v>-345.36520000000002</v>
      </c>
      <c r="H4124">
        <v>6.8276489999999995E-2</v>
      </c>
      <c r="I4124">
        <v>119.3755</v>
      </c>
      <c r="J4124">
        <v>-245.84569999999999</v>
      </c>
      <c r="K4124">
        <v>1.1105560000000001</v>
      </c>
      <c r="L4124">
        <v>136.39410000000001</v>
      </c>
      <c r="M4124">
        <v>-0.99716340000000003</v>
      </c>
      <c r="N4124">
        <v>0</v>
      </c>
      <c r="O4124">
        <v>7.4533020000000005E-2</v>
      </c>
      <c r="P4124">
        <v>-0.99044659999999995</v>
      </c>
      <c r="Q4124">
        <v>0.13202720000000001</v>
      </c>
      <c r="R4124">
        <v>-3.9807839999999997E-2</v>
      </c>
      <c r="S4124">
        <v>-3.0119479999999998</v>
      </c>
      <c r="T4124">
        <v>-3.1482580000000003E-2</v>
      </c>
      <c r="U4124">
        <v>-0.51359560000000004</v>
      </c>
      <c r="V4124">
        <v>-0.11359080000000001</v>
      </c>
      <c r="W4124">
        <v>0.14229829999999999</v>
      </c>
      <c r="X4124">
        <v>0.98328450000000001</v>
      </c>
      <c r="Y4124">
        <v>-0.2410853</v>
      </c>
      <c r="Z4124">
        <v>-2.0251039999999998E-3</v>
      </c>
      <c r="AA4124">
        <v>0.97050179999999997</v>
      </c>
      <c r="AB4124">
        <v>20</v>
      </c>
      <c r="AC4124">
        <v>-99.519499999999994</v>
      </c>
      <c r="AD4124">
        <v>-1.04227951</v>
      </c>
      <c r="AE4124">
        <v>-17.018599999999999</v>
      </c>
      <c r="AF4124">
        <v>-24.386556283149599</v>
      </c>
      <c r="AG4124">
        <v>-1.04227951</v>
      </c>
      <c r="AH4124">
        <v>97.963703242427798</v>
      </c>
      <c r="AI4124">
        <v>90.591521321034406</v>
      </c>
      <c r="AJ4124">
        <v>103.978777469881</v>
      </c>
      <c r="AK4124">
        <v>100.958791726618</v>
      </c>
      <c r="AL4124">
        <v>81.819139480219704</v>
      </c>
      <c r="AM4124">
        <v>96.589701629323997</v>
      </c>
      <c r="AN4124">
        <v>1.0000000419838799</v>
      </c>
    </row>
    <row r="4125" spans="1:40" x14ac:dyDescent="0.25">
      <c r="A4125" t="str">
        <f>"20190312151109113"</f>
        <v>20190312151109113</v>
      </c>
      <c r="B4125" t="str">
        <f>"1552374669105736"</f>
        <v>1552374669105736</v>
      </c>
      <c r="C4125" t="s">
        <v>40</v>
      </c>
      <c r="D4125">
        <v>4.9289310000000004</v>
      </c>
      <c r="E4125">
        <v>0.45351639999999999</v>
      </c>
      <c r="F4125" t="s">
        <v>42</v>
      </c>
      <c r="G4125">
        <v>-262.36509999999998</v>
      </c>
      <c r="H4125" s="1">
        <v>-4.3263039999999997E-6</v>
      </c>
      <c r="I4125">
        <v>133.59180000000001</v>
      </c>
      <c r="J4125">
        <v>-246.0436</v>
      </c>
      <c r="K4125">
        <v>1.110484</v>
      </c>
      <c r="L4125">
        <v>136.4083</v>
      </c>
      <c r="M4125">
        <v>-0.99719669999999905</v>
      </c>
      <c r="N4125">
        <v>0</v>
      </c>
      <c r="O4125">
        <v>7.4104110000000001E-2</v>
      </c>
      <c r="P4125">
        <v>-0.99052649999999998</v>
      </c>
      <c r="Q4125">
        <v>0.13188910000000001</v>
      </c>
      <c r="R4125">
        <v>-3.8242400000000003E-2</v>
      </c>
      <c r="S4125">
        <v>-3.0354459999999999</v>
      </c>
      <c r="T4125">
        <v>-0.20406679999999999</v>
      </c>
      <c r="U4125">
        <v>-0.51492309999999997</v>
      </c>
      <c r="V4125">
        <v>-0.1115944</v>
      </c>
      <c r="W4125">
        <v>0.1420505</v>
      </c>
      <c r="X4125">
        <v>0.9835488</v>
      </c>
      <c r="Y4125">
        <v>-0.2391625</v>
      </c>
      <c r="Z4125">
        <v>-1.291903E-2</v>
      </c>
      <c r="AA4125">
        <v>0.97089360000000002</v>
      </c>
      <c r="AB4125">
        <v>20</v>
      </c>
      <c r="AC4125">
        <v>-16.321499999999901</v>
      </c>
      <c r="AD4125">
        <v>-1.110488326304</v>
      </c>
      <c r="AE4125">
        <v>-2.8164999999999898</v>
      </c>
      <c r="AF4125">
        <v>-4.0003274720612501</v>
      </c>
      <c r="AG4125">
        <v>-1.110488326304</v>
      </c>
      <c r="AH4125">
        <v>15.995986298292401</v>
      </c>
      <c r="AI4125">
        <v>93.852984724579002</v>
      </c>
      <c r="AJ4125">
        <v>104.04073008260301</v>
      </c>
      <c r="AK4125">
        <v>16.525960845341</v>
      </c>
      <c r="AL4125">
        <v>81.833482311396097</v>
      </c>
      <c r="AM4125">
        <v>96.473152246124499</v>
      </c>
      <c r="AN4125">
        <v>0.99999994832152295</v>
      </c>
    </row>
    <row r="4126" spans="1:40" x14ac:dyDescent="0.25">
      <c r="A4126" t="str">
        <f>"20190312151109135"</f>
        <v>20190312151109135</v>
      </c>
      <c r="B4126" t="str">
        <f>"1552374669125263"</f>
        <v>1552374669125263</v>
      </c>
      <c r="C4126" t="s">
        <v>40</v>
      </c>
      <c r="D4126">
        <v>5.035933</v>
      </c>
      <c r="E4126">
        <v>0.45372469999999998</v>
      </c>
      <c r="F4126" t="s">
        <v>42</v>
      </c>
      <c r="G4126">
        <v>-262.16030000000001</v>
      </c>
      <c r="H4126" s="1">
        <v>-4.3917599999999998E-6</v>
      </c>
      <c r="I4126">
        <v>133.71789999999999</v>
      </c>
      <c r="J4126">
        <v>-246.2431</v>
      </c>
      <c r="K4126">
        <v>1.1104229999999999</v>
      </c>
      <c r="L4126">
        <v>136.42269999999999</v>
      </c>
      <c r="M4126">
        <v>-0.99722339999999998</v>
      </c>
      <c r="N4126">
        <v>0</v>
      </c>
      <c r="O4126">
        <v>7.3761579999999993E-2</v>
      </c>
      <c r="P4126">
        <v>-0.99067810000000001</v>
      </c>
      <c r="Q4126">
        <v>0.1310772</v>
      </c>
      <c r="R4126">
        <v>-3.7093929999999997E-2</v>
      </c>
      <c r="S4126">
        <v>-3.0369869999999999</v>
      </c>
      <c r="T4126">
        <v>-0.2092572</v>
      </c>
      <c r="U4126">
        <v>-0.50697329999999996</v>
      </c>
      <c r="V4126">
        <v>-0.1101024</v>
      </c>
      <c r="W4126">
        <v>0.1411367</v>
      </c>
      <c r="X4126">
        <v>0.98384850000000001</v>
      </c>
      <c r="Y4126">
        <v>-0.2362475</v>
      </c>
      <c r="Z4126">
        <v>-1.311992E-2</v>
      </c>
      <c r="AA4126">
        <v>0.97160429999999998</v>
      </c>
      <c r="AB4126">
        <v>20</v>
      </c>
      <c r="AC4126">
        <v>-15.917199999999999</v>
      </c>
      <c r="AD4126">
        <v>-1.11042739176</v>
      </c>
      <c r="AE4126">
        <v>-2.7048000000000001</v>
      </c>
      <c r="AF4126">
        <v>-3.85334312355889</v>
      </c>
      <c r="AG4126">
        <v>-1.11042739176</v>
      </c>
      <c r="AH4126">
        <v>15.6005203708506</v>
      </c>
      <c r="AI4126">
        <v>93.952976607397204</v>
      </c>
      <c r="AJ4126">
        <v>103.874403814479</v>
      </c>
      <c r="AK4126">
        <v>16.1076856829768</v>
      </c>
      <c r="AL4126">
        <v>81.886372400869902</v>
      </c>
      <c r="AM4126">
        <v>96.385397601708107</v>
      </c>
      <c r="AN4126">
        <v>0.99999998876245</v>
      </c>
    </row>
    <row r="4127" spans="1:40" x14ac:dyDescent="0.25">
      <c r="A4127" t="str">
        <f>"20190312151109158"</f>
        <v>20190312151109158</v>
      </c>
      <c r="B4127" t="str">
        <f>"1552374669155511"</f>
        <v>1552374669155511</v>
      </c>
      <c r="C4127" t="s">
        <v>40</v>
      </c>
      <c r="D4127">
        <v>4.8837950000000001</v>
      </c>
      <c r="E4127">
        <v>0.45447910000000002</v>
      </c>
      <c r="F4127" t="s">
        <v>42</v>
      </c>
      <c r="G4127">
        <v>-273.37630000000001</v>
      </c>
      <c r="H4127" s="1">
        <v>-4.2794290000000002E-6</v>
      </c>
      <c r="I4127">
        <v>131.95179999999999</v>
      </c>
      <c r="J4127">
        <v>-246.43979999999999</v>
      </c>
      <c r="K4127">
        <v>1.1103510000000001</v>
      </c>
      <c r="L4127">
        <v>136.43690000000001</v>
      </c>
      <c r="M4127">
        <v>-0.99724259999999998</v>
      </c>
      <c r="N4127">
        <v>0</v>
      </c>
      <c r="O4127">
        <v>7.3517760000000001E-2</v>
      </c>
      <c r="P4127">
        <v>-0.99077059999999995</v>
      </c>
      <c r="Q4127">
        <v>0.13090739999999901</v>
      </c>
      <c r="R4127">
        <v>-3.5170809999999997E-2</v>
      </c>
      <c r="S4127">
        <v>-3.025925</v>
      </c>
      <c r="T4127">
        <v>-0.123836</v>
      </c>
      <c r="U4127">
        <v>-0.49859619999999999</v>
      </c>
      <c r="V4127">
        <v>-0.10793129999999999</v>
      </c>
      <c r="W4127">
        <v>0.14087189999999999</v>
      </c>
      <c r="X4127">
        <v>0.98412699999999997</v>
      </c>
      <c r="Y4127">
        <v>-0.23443410000000001</v>
      </c>
      <c r="Z4127">
        <v>-7.7530050000000003E-3</v>
      </c>
      <c r="AA4127">
        <v>0.97210110000000005</v>
      </c>
      <c r="AB4127">
        <v>20</v>
      </c>
      <c r="AC4127">
        <v>-26.936499999999999</v>
      </c>
      <c r="AD4127">
        <v>-1.1103552794289999</v>
      </c>
      <c r="AE4127">
        <v>-4.4851000000000099</v>
      </c>
      <c r="AF4127">
        <v>-6.4427220634821696</v>
      </c>
      <c r="AG4127">
        <v>-1.1103552794289999</v>
      </c>
      <c r="AH4127">
        <v>26.490051164897</v>
      </c>
      <c r="AI4127">
        <v>92.3322901601653</v>
      </c>
      <c r="AJ4127">
        <v>103.66966549217599</v>
      </c>
      <c r="AK4127">
        <v>27.2848743290618</v>
      </c>
      <c r="AL4127">
        <v>81.901697567989601</v>
      </c>
      <c r="AM4127">
        <v>96.258736603184204</v>
      </c>
      <c r="AN4127">
        <v>1.00000000492915</v>
      </c>
    </row>
    <row r="4128" spans="1:40" x14ac:dyDescent="0.25">
      <c r="A4128" t="str">
        <f>"20190312151109181"</f>
        <v>20190312151109181</v>
      </c>
      <c r="B4128" t="str">
        <f>"1552374669175032"</f>
        <v>1552374669175032</v>
      </c>
      <c r="C4128" t="s">
        <v>40</v>
      </c>
      <c r="D4128">
        <v>5.1670550000000004</v>
      </c>
      <c r="E4128">
        <v>0.46315489999999998</v>
      </c>
      <c r="F4128" t="s">
        <v>42</v>
      </c>
      <c r="G4128">
        <v>-273.52289999999999</v>
      </c>
      <c r="H4128" s="1">
        <v>-4.1941649999999997E-6</v>
      </c>
      <c r="I4128">
        <v>132.0847</v>
      </c>
      <c r="J4128">
        <v>-246.64769999999999</v>
      </c>
      <c r="K4128">
        <v>1.110282</v>
      </c>
      <c r="L4128">
        <v>136.452</v>
      </c>
      <c r="M4128">
        <v>-0.99725439999999999</v>
      </c>
      <c r="N4128">
        <v>0</v>
      </c>
      <c r="O4128">
        <v>7.3372530000000005E-2</v>
      </c>
      <c r="P4128">
        <v>-0.99087190000000003</v>
      </c>
      <c r="Q4128">
        <v>0.13058330000000001</v>
      </c>
      <c r="R4128">
        <v>-3.3481419999999998E-2</v>
      </c>
      <c r="S4128">
        <v>-3.0270839999999999</v>
      </c>
      <c r="T4128">
        <v>-0.1241046</v>
      </c>
      <c r="U4128">
        <v>-0.4864349</v>
      </c>
      <c r="V4128">
        <v>-0.10609150000000001</v>
      </c>
      <c r="W4128">
        <v>0.1404474</v>
      </c>
      <c r="X4128">
        <v>0.98438769999999998</v>
      </c>
      <c r="Y4128">
        <v>-0.23042840000000001</v>
      </c>
      <c r="Z4128">
        <v>-7.6817689999999998E-3</v>
      </c>
      <c r="AA4128">
        <v>0.97305889999999995</v>
      </c>
      <c r="AB4128">
        <v>20</v>
      </c>
      <c r="AC4128">
        <v>-26.8752</v>
      </c>
      <c r="AD4128">
        <v>-1.110286194165</v>
      </c>
      <c r="AE4128">
        <v>-4.3673000000000002</v>
      </c>
      <c r="AF4128">
        <v>-6.3170232564226403</v>
      </c>
      <c r="AG4128">
        <v>-1.110286194165</v>
      </c>
      <c r="AH4128">
        <v>26.438335169017101</v>
      </c>
      <c r="AI4128">
        <v>92.338978498085297</v>
      </c>
      <c r="AJ4128">
        <v>103.437980941818</v>
      </c>
      <c r="AK4128">
        <v>27.2052032663685</v>
      </c>
      <c r="AL4128">
        <v>81.926263915516003</v>
      </c>
      <c r="AM4128">
        <v>96.151258336812603</v>
      </c>
      <c r="AN4128">
        <v>1.0000000112251499</v>
      </c>
    </row>
    <row r="4129" spans="1:40" x14ac:dyDescent="0.25">
      <c r="A4129" t="str">
        <f>"20190312151109204"</f>
        <v>20190312151109204</v>
      </c>
      <c r="B4129" t="str">
        <f>"1552374669195527"</f>
        <v>1552374669195527</v>
      </c>
      <c r="C4129" t="s">
        <v>40</v>
      </c>
      <c r="D4129">
        <v>4.9778739999999999</v>
      </c>
      <c r="E4129">
        <v>0.52748359999999905</v>
      </c>
      <c r="F4129" t="s">
        <v>79</v>
      </c>
      <c r="G4129">
        <v>-284.57380000000001</v>
      </c>
      <c r="H4129" s="1">
        <v>-2.4914270000000001E-6</v>
      </c>
      <c r="I4129">
        <v>131.3039</v>
      </c>
      <c r="J4129">
        <v>-246.85040000000001</v>
      </c>
      <c r="K4129">
        <v>1.1102259999999999</v>
      </c>
      <c r="L4129">
        <v>136.46680000000001</v>
      </c>
      <c r="M4129">
        <v>-0.99726000000000004</v>
      </c>
      <c r="N4129">
        <v>0</v>
      </c>
      <c r="O4129">
        <v>7.3310879999999995E-2</v>
      </c>
      <c r="P4129">
        <v>-0.99087519999999996</v>
      </c>
      <c r="Q4129">
        <v>0.13105259999999999</v>
      </c>
      <c r="R4129">
        <v>-3.148919E-2</v>
      </c>
      <c r="S4129">
        <v>-3.025436</v>
      </c>
      <c r="T4129">
        <v>-8.8569399999999895E-2</v>
      </c>
      <c r="U4129">
        <v>-0.41067500000000001</v>
      </c>
      <c r="V4129">
        <v>-0.1040288</v>
      </c>
      <c r="W4129">
        <v>0.1408218</v>
      </c>
      <c r="X4129">
        <v>0.98455440000000005</v>
      </c>
      <c r="Y4129">
        <v>-0.20667550000000001</v>
      </c>
      <c r="Z4129">
        <v>-5.1479990000000003E-3</v>
      </c>
      <c r="AA4129">
        <v>0.97839600000000004</v>
      </c>
      <c r="AB4129">
        <v>20</v>
      </c>
      <c r="AC4129">
        <v>-37.723399999999998</v>
      </c>
      <c r="AD4129">
        <v>-1.110228491427</v>
      </c>
      <c r="AE4129">
        <v>-5.1628999999999996</v>
      </c>
      <c r="AF4129">
        <v>-7.9079534737230803</v>
      </c>
      <c r="AG4129">
        <v>-1.110228491427</v>
      </c>
      <c r="AH4129">
        <v>37.211727206764998</v>
      </c>
      <c r="AI4129">
        <v>91.671630231840695</v>
      </c>
      <c r="AJ4129">
        <v>101.99757910278301</v>
      </c>
      <c r="AK4129">
        <v>38.058914555678598</v>
      </c>
      <c r="AL4129">
        <v>81.904597508387099</v>
      </c>
      <c r="AM4129">
        <v>96.031538239575198</v>
      </c>
      <c r="AN4129">
        <v>1.0000000685720101</v>
      </c>
    </row>
    <row r="4130" spans="1:40" x14ac:dyDescent="0.25">
      <c r="A4130" t="str">
        <f>"20190312151109225"</f>
        <v>20190312151109225</v>
      </c>
      <c r="B4130" t="str">
        <f>"1552374669215048"</f>
        <v>1552374669215048</v>
      </c>
      <c r="C4130" t="s">
        <v>40</v>
      </c>
      <c r="D4130">
        <v>5.0168089999999896</v>
      </c>
      <c r="E4130">
        <v>0.52992899999999998</v>
      </c>
      <c r="F4130" t="s">
        <v>79</v>
      </c>
      <c r="G4130">
        <v>-283.26490000000001</v>
      </c>
      <c r="H4130" s="1">
        <v>-4.3626210000000003E-6</v>
      </c>
      <c r="I4130">
        <v>137.76439999999999</v>
      </c>
      <c r="J4130">
        <v>-247.0479</v>
      </c>
      <c r="K4130">
        <v>1.110188</v>
      </c>
      <c r="L4130">
        <v>136.4813</v>
      </c>
      <c r="M4130">
        <v>-0.99726090000000001</v>
      </c>
      <c r="N4130">
        <v>0</v>
      </c>
      <c r="O4130">
        <v>7.3312039999999995E-2</v>
      </c>
      <c r="P4130">
        <v>-0.99080729999999995</v>
      </c>
      <c r="Q4130">
        <v>0.1318588</v>
      </c>
      <c r="R4130">
        <v>-3.023112E-2</v>
      </c>
      <c r="S4130">
        <v>-3.0433650000000001</v>
      </c>
      <c r="T4130">
        <v>-9.2788339999999997E-2</v>
      </c>
      <c r="U4130">
        <v>0.1084442</v>
      </c>
      <c r="V4130">
        <v>-0.1027594</v>
      </c>
      <c r="W4130">
        <v>0.14154029999999901</v>
      </c>
      <c r="X4130">
        <v>0.98458460000000003</v>
      </c>
      <c r="Y4130">
        <v>-3.7703069999999998E-2</v>
      </c>
      <c r="Z4130">
        <v>-2.80628E-3</v>
      </c>
      <c r="AA4130">
        <v>0.99928499999999998</v>
      </c>
      <c r="AB4130">
        <v>20</v>
      </c>
      <c r="AC4130">
        <v>-36.216999999999999</v>
      </c>
      <c r="AD4130">
        <v>-1.110192362621</v>
      </c>
      <c r="AE4130">
        <v>1.2830999999999899</v>
      </c>
      <c r="AF4130">
        <v>-1.3743329631758601</v>
      </c>
      <c r="AG4130">
        <v>-1.110192362621</v>
      </c>
      <c r="AH4130">
        <v>36.179649737595703</v>
      </c>
      <c r="AI4130">
        <v>91.756334939338402</v>
      </c>
      <c r="AJ4130">
        <v>92.175411788685906</v>
      </c>
      <c r="AK4130">
        <v>36.222760431955003</v>
      </c>
      <c r="AL4130">
        <v>81.863013361872802</v>
      </c>
      <c r="AM4130">
        <v>95.958290342123505</v>
      </c>
      <c r="AN4130">
        <v>0.99999999268480499</v>
      </c>
    </row>
    <row r="4131" spans="1:40" x14ac:dyDescent="0.25">
      <c r="A4131" t="str">
        <f>"20190312151109247"</f>
        <v>20190312151109247</v>
      </c>
      <c r="B4131" t="str">
        <f>"1552374669235547"</f>
        <v>1552374669235547</v>
      </c>
      <c r="C4131" t="s">
        <v>40</v>
      </c>
      <c r="D4131">
        <v>5.0770910000000002</v>
      </c>
      <c r="E4131">
        <v>0.52944550000000001</v>
      </c>
      <c r="F4131" t="s">
        <v>82</v>
      </c>
      <c r="G4131">
        <v>-550.16219999999998</v>
      </c>
      <c r="H4131">
        <v>1.043174</v>
      </c>
      <c r="I4131">
        <v>149.9495</v>
      </c>
      <c r="J4131">
        <v>-247.24019999999999</v>
      </c>
      <c r="K4131">
        <v>1.1101570000000001</v>
      </c>
      <c r="L4131">
        <v>136.49549999999999</v>
      </c>
      <c r="M4131">
        <v>-0.99725839999999999</v>
      </c>
      <c r="N4131">
        <v>0</v>
      </c>
      <c r="O4131">
        <v>7.3358499999999993E-2</v>
      </c>
      <c r="P4131">
        <v>-0.99069859999999998</v>
      </c>
      <c r="Q4131">
        <v>0.1328609</v>
      </c>
      <c r="R4131">
        <v>-2.9397429999999999E-2</v>
      </c>
      <c r="S4131">
        <v>-3.0319980000000002</v>
      </c>
      <c r="T4131">
        <v>-6.6995619999999896E-4</v>
      </c>
      <c r="U4131">
        <v>0.134719799999999</v>
      </c>
      <c r="V4131">
        <v>-0.10195899999999999</v>
      </c>
      <c r="W4131">
        <v>0.1424579</v>
      </c>
      <c r="X4131">
        <v>0.98453550000000001</v>
      </c>
      <c r="Y4131">
        <v>-2.902035E-2</v>
      </c>
      <c r="Z4131" s="1">
        <v>-1.9389310000000002E-5</v>
      </c>
      <c r="AA4131">
        <v>0.99957879999999999</v>
      </c>
      <c r="AB4131">
        <v>20</v>
      </c>
      <c r="AC4131">
        <v>-302.92200000000003</v>
      </c>
      <c r="AD4131">
        <v>-6.6983000000000001E-2</v>
      </c>
      <c r="AE4131">
        <v>13.454000000000001</v>
      </c>
      <c r="AF4131">
        <v>-8.8052033906925402</v>
      </c>
      <c r="AG4131">
        <v>-6.6983000000000001E-2</v>
      </c>
      <c r="AH4131">
        <v>303.09273765599301</v>
      </c>
      <c r="AI4131">
        <v>90.012656933570398</v>
      </c>
      <c r="AJ4131">
        <v>91.664042298189202</v>
      </c>
      <c r="AK4131">
        <v>303.220618878859</v>
      </c>
      <c r="AL4131">
        <v>81.809900781057195</v>
      </c>
      <c r="AM4131">
        <v>95.912503581745398</v>
      </c>
      <c r="AN4131">
        <v>1.00000002085682</v>
      </c>
    </row>
    <row r="4132" spans="1:40" x14ac:dyDescent="0.25">
      <c r="A4132" t="str">
        <f>"20190312151109269"</f>
        <v>20190312151109269</v>
      </c>
      <c r="B4132" t="str">
        <f>"1552374669264824"</f>
        <v>1552374669264824</v>
      </c>
      <c r="C4132" t="s">
        <v>40</v>
      </c>
      <c r="D4132">
        <v>4.971133</v>
      </c>
      <c r="E4132">
        <v>0.52887890000000004</v>
      </c>
      <c r="F4132" t="s">
        <v>82</v>
      </c>
      <c r="G4132">
        <v>-527.26300000000003</v>
      </c>
      <c r="H4132">
        <v>5.519984</v>
      </c>
      <c r="I4132">
        <v>148.96190000000001</v>
      </c>
      <c r="J4132">
        <v>-247.44059999999999</v>
      </c>
      <c r="K4132">
        <v>1.1101299999999901</v>
      </c>
      <c r="L4132">
        <v>136.5103</v>
      </c>
      <c r="M4132">
        <v>-0.99725240000000004</v>
      </c>
      <c r="N4132">
        <v>0</v>
      </c>
      <c r="O4132">
        <v>7.3451639999999999E-2</v>
      </c>
      <c r="P4132">
        <v>-0.9906549</v>
      </c>
      <c r="Q4132">
        <v>0.133257399999999</v>
      </c>
      <c r="R4132">
        <v>-2.9074719999999998E-2</v>
      </c>
      <c r="S4132">
        <v>-3.0257719999999999</v>
      </c>
      <c r="T4132">
        <v>4.7650579999999998E-2</v>
      </c>
      <c r="U4132">
        <v>0.13470460000000001</v>
      </c>
      <c r="V4132">
        <v>-0.1017207</v>
      </c>
      <c r="W4132">
        <v>0.14276320000000001</v>
      </c>
      <c r="X4132">
        <v>0.9845159</v>
      </c>
      <c r="Y4132">
        <v>-2.9014809999999999E-2</v>
      </c>
      <c r="Z4132">
        <v>1.38322799999999E-3</v>
      </c>
      <c r="AA4132">
        <v>0.99957799999999997</v>
      </c>
      <c r="AB4132">
        <v>20</v>
      </c>
      <c r="AC4132">
        <v>-279.82240000000002</v>
      </c>
      <c r="AD4132">
        <v>4.4098540000000002</v>
      </c>
      <c r="AE4132">
        <v>12.451599999999999</v>
      </c>
      <c r="AF4132">
        <v>-8.1343862795922099</v>
      </c>
      <c r="AG4132">
        <v>4.4098540000000002</v>
      </c>
      <c r="AH4132">
        <v>279.91171907523199</v>
      </c>
      <c r="AI4132">
        <v>89.097792239151403</v>
      </c>
      <c r="AJ4132">
        <v>91.664577927651607</v>
      </c>
      <c r="AK4132">
        <v>280.06460956018401</v>
      </c>
      <c r="AL4132">
        <v>81.792227525588103</v>
      </c>
      <c r="AM4132">
        <v>95.898898955021906</v>
      </c>
      <c r="AN4132">
        <v>0.99999999471776901</v>
      </c>
    </row>
    <row r="4133" spans="1:40" x14ac:dyDescent="0.25">
      <c r="A4133" t="str">
        <f>"20190312151109293"</f>
        <v>20190312151109293</v>
      </c>
      <c r="B4133" t="str">
        <f>"1552374669285320"</f>
        <v>1552374669285320</v>
      </c>
      <c r="C4133" t="s">
        <v>40</v>
      </c>
      <c r="D4133">
        <v>5.0580470000000002</v>
      </c>
      <c r="E4133">
        <v>0.52843240000000002</v>
      </c>
      <c r="F4133" t="s">
        <v>82</v>
      </c>
      <c r="G4133">
        <v>-553.68979999999999</v>
      </c>
      <c r="H4133">
        <v>8.3124110000000009</v>
      </c>
      <c r="I4133">
        <v>149.8432</v>
      </c>
      <c r="J4133">
        <v>-247.6514</v>
      </c>
      <c r="K4133">
        <v>1.1100989999999999</v>
      </c>
      <c r="L4133">
        <v>136.52600000000001</v>
      </c>
      <c r="M4133">
        <v>-0.99724299999999999</v>
      </c>
      <c r="N4133">
        <v>0</v>
      </c>
      <c r="O4133">
        <v>7.3593160000000005E-2</v>
      </c>
      <c r="P4133">
        <v>-0.99067059999999996</v>
      </c>
      <c r="Q4133">
        <v>0.13319489999999901</v>
      </c>
      <c r="R4133">
        <v>-2.8824099999999998E-2</v>
      </c>
      <c r="S4133">
        <v>-3.022583</v>
      </c>
      <c r="T4133">
        <v>7.1084620000000001E-2</v>
      </c>
      <c r="U4133">
        <v>0.13159179999999901</v>
      </c>
      <c r="V4133">
        <v>-0.10160660000000001</v>
      </c>
      <c r="W4133">
        <v>0.14260229999999999</v>
      </c>
      <c r="X4133">
        <v>0.98455099999999995</v>
      </c>
      <c r="Y4133">
        <v>-3.0121220000000001E-2</v>
      </c>
      <c r="Z4133">
        <v>2.0818820000000002E-3</v>
      </c>
      <c r="AA4133">
        <v>0.99954410000000005</v>
      </c>
      <c r="AB4133">
        <v>20</v>
      </c>
      <c r="AC4133">
        <v>-306.03840000000002</v>
      </c>
      <c r="AD4133">
        <v>7.202312</v>
      </c>
      <c r="AE4133">
        <v>13.3171999999999</v>
      </c>
      <c r="AF4133">
        <v>-9.2371600986695501</v>
      </c>
      <c r="AG4133">
        <v>7.202312</v>
      </c>
      <c r="AH4133">
        <v>306.01938554805702</v>
      </c>
      <c r="AI4133">
        <v>88.652378999945498</v>
      </c>
      <c r="AJ4133">
        <v>91.728941573675101</v>
      </c>
      <c r="AK4133">
        <v>306.24346973616298</v>
      </c>
      <c r="AL4133">
        <v>81.801541712026605</v>
      </c>
      <c r="AM4133">
        <v>95.892120159078402</v>
      </c>
      <c r="AN4133">
        <v>0.99999999436492404</v>
      </c>
    </row>
    <row r="4134" spans="1:40" x14ac:dyDescent="0.25">
      <c r="A4134" t="str">
        <f>"20190312151109314"</f>
        <v>20190312151109314</v>
      </c>
      <c r="B4134" t="str">
        <f>"1552374669304840"</f>
        <v>1552374669304840</v>
      </c>
      <c r="C4134" t="s">
        <v>40</v>
      </c>
      <c r="D4134">
        <v>4.9039859999999997</v>
      </c>
      <c r="E4134">
        <v>0.53349239999999998</v>
      </c>
      <c r="F4134" t="s">
        <v>44</v>
      </c>
      <c r="G4134">
        <v>0</v>
      </c>
      <c r="H4134">
        <v>0</v>
      </c>
      <c r="I4134">
        <v>0</v>
      </c>
      <c r="J4134">
        <v>-247.8537</v>
      </c>
      <c r="K4134">
        <v>1.1100570000000001</v>
      </c>
      <c r="L4134">
        <v>136.5411</v>
      </c>
      <c r="M4134">
        <v>-0.99723139999999999</v>
      </c>
      <c r="N4134">
        <v>0</v>
      </c>
      <c r="O4134">
        <v>7.376373E-2</v>
      </c>
      <c r="P4134">
        <v>-0.99073219999999995</v>
      </c>
      <c r="Q4134">
        <v>0.1327586</v>
      </c>
      <c r="R4134">
        <v>-2.8719540000000002E-2</v>
      </c>
      <c r="S4134">
        <v>-3.0213169999999998</v>
      </c>
      <c r="T4134">
        <v>7.9302910000000004E-2</v>
      </c>
      <c r="U4134">
        <v>0.12884519999999999</v>
      </c>
      <c r="V4134">
        <v>-0.10166939999999999</v>
      </c>
      <c r="W4134">
        <v>0.1420718</v>
      </c>
      <c r="X4134">
        <v>0.98462119999999997</v>
      </c>
      <c r="Y4134">
        <v>-3.11734E-2</v>
      </c>
      <c r="Z4134">
        <v>2.3417899999999998E-3</v>
      </c>
      <c r="AA4134">
        <v>0.99951120000000004</v>
      </c>
      <c r="AB4134">
        <v>20</v>
      </c>
      <c r="AC4134">
        <v>-3.0213169999999998</v>
      </c>
      <c r="AD4134">
        <v>7.9302910000000004E-2</v>
      </c>
      <c r="AE4134">
        <v>0.12884519999999999</v>
      </c>
      <c r="AF4134">
        <v>-9.4314446451975203E-2</v>
      </c>
      <c r="AG4134">
        <v>7.9302910000000004E-2</v>
      </c>
      <c r="AH4134">
        <v>3.0205127619245502</v>
      </c>
      <c r="AI4134">
        <v>88.496789470738193</v>
      </c>
      <c r="AJ4134">
        <v>91.788459436641304</v>
      </c>
      <c r="AK4134">
        <v>3.0230252250507399</v>
      </c>
      <c r="AL4134">
        <v>81.832249711641396</v>
      </c>
      <c r="AM4134">
        <v>95.8953188731696</v>
      </c>
      <c r="AN4134">
        <v>0.99999998537052004</v>
      </c>
    </row>
    <row r="4135" spans="1:40" x14ac:dyDescent="0.25">
      <c r="A4135" t="str">
        <f>"20190312151109336"</f>
        <v>20190312151109336</v>
      </c>
      <c r="B4135" t="str">
        <f>"1552374669325335"</f>
        <v>1552374669325335</v>
      </c>
      <c r="C4135" t="s">
        <v>40</v>
      </c>
      <c r="D4135">
        <v>4.9393929999999999</v>
      </c>
      <c r="E4135">
        <v>0.53331319999999904</v>
      </c>
      <c r="F4135" t="s">
        <v>42</v>
      </c>
      <c r="G4135">
        <v>-268.68810000000002</v>
      </c>
      <c r="H4135" s="1">
        <v>-9.5912400000000009E-7</v>
      </c>
      <c r="I4135">
        <v>137.6369</v>
      </c>
      <c r="J4135">
        <v>-248.0505</v>
      </c>
      <c r="K4135">
        <v>1.1100239999999999</v>
      </c>
      <c r="L4135">
        <v>136.5558</v>
      </c>
      <c r="M4135">
        <v>-0.99721800000000005</v>
      </c>
      <c r="N4135">
        <v>0</v>
      </c>
      <c r="O4135">
        <v>7.3958319999999994E-2</v>
      </c>
      <c r="P4135">
        <v>-0.99071880000000001</v>
      </c>
      <c r="Q4135">
        <v>0.13293679999999999</v>
      </c>
      <c r="R4135">
        <v>-2.835942E-2</v>
      </c>
      <c r="S4135">
        <v>-3.054535</v>
      </c>
      <c r="T4135">
        <v>-0.16274620000000001</v>
      </c>
      <c r="U4135">
        <v>0.16067500000000001</v>
      </c>
      <c r="V4135">
        <v>-0.1014954</v>
      </c>
      <c r="W4135">
        <v>0.14215439999999999</v>
      </c>
      <c r="X4135">
        <v>0.98462720000000004</v>
      </c>
      <c r="Y4135">
        <v>-2.1339250000000001E-2</v>
      </c>
      <c r="Z4135">
        <v>-4.4982529999999998E-3</v>
      </c>
      <c r="AA4135">
        <v>0.99976220000000005</v>
      </c>
      <c r="AB4135">
        <v>20</v>
      </c>
      <c r="AC4135">
        <v>-20.637599999999999</v>
      </c>
      <c r="AD4135">
        <v>-1.1100249591239999</v>
      </c>
      <c r="AE4135">
        <v>1.08109999999999</v>
      </c>
      <c r="AF4135">
        <v>-0.44695970413791802</v>
      </c>
      <c r="AG4135">
        <v>-1.1100249591239999</v>
      </c>
      <c r="AH4135">
        <v>20.601598260207499</v>
      </c>
      <c r="AI4135">
        <v>93.083420348597897</v>
      </c>
      <c r="AJ4135">
        <v>91.242859292721803</v>
      </c>
      <c r="AK4135">
        <v>20.636321844310899</v>
      </c>
      <c r="AL4135">
        <v>81.827468314426994</v>
      </c>
      <c r="AM4135">
        <v>95.885264718893694</v>
      </c>
      <c r="AN4135">
        <v>0.99999995632017902</v>
      </c>
    </row>
    <row r="4136" spans="1:40" x14ac:dyDescent="0.25">
      <c r="A4136" t="str">
        <f>"20190312151109359"</f>
        <v>20190312151109359</v>
      </c>
      <c r="B4136" t="str">
        <f>"1552374669355591"</f>
        <v>1552374669355591</v>
      </c>
      <c r="C4136" t="s">
        <v>40</v>
      </c>
      <c r="D4136">
        <v>4.9988169999999998</v>
      </c>
      <c r="E4136">
        <v>0.5310975</v>
      </c>
      <c r="F4136" t="s">
        <v>42</v>
      </c>
      <c r="G4136">
        <v>-267.12819999999999</v>
      </c>
      <c r="H4136" s="1">
        <v>-1.5802929999999999E-6</v>
      </c>
      <c r="I4136">
        <v>137.55279999999999</v>
      </c>
      <c r="J4136">
        <v>-248.256</v>
      </c>
      <c r="K4136">
        <v>1.109985</v>
      </c>
      <c r="L4136">
        <v>136.57130000000001</v>
      </c>
      <c r="M4136">
        <v>-0.99720189999999997</v>
      </c>
      <c r="N4136">
        <v>0</v>
      </c>
      <c r="O4136">
        <v>7.4189560000000002E-2</v>
      </c>
      <c r="P4136">
        <v>-0.99074499999999999</v>
      </c>
      <c r="Q4136">
        <v>0.13271179999999999</v>
      </c>
      <c r="R4136">
        <v>-2.8496500000000001E-2</v>
      </c>
      <c r="S4136">
        <v>-3.0565340000000001</v>
      </c>
      <c r="T4136">
        <v>-0.17784269999999999</v>
      </c>
      <c r="U4136">
        <v>0.15974430000000001</v>
      </c>
      <c r="V4136">
        <v>-0.10185569999999999</v>
      </c>
      <c r="W4136">
        <v>0.14182210000000001</v>
      </c>
      <c r="X4136">
        <v>0.98463800000000001</v>
      </c>
      <c r="Y4136">
        <v>-2.188172E-2</v>
      </c>
      <c r="Z4136">
        <v>-4.940837E-3</v>
      </c>
      <c r="AA4136">
        <v>0.99974830000000003</v>
      </c>
      <c r="AB4136">
        <v>20</v>
      </c>
      <c r="AC4136">
        <v>-18.872199999999999</v>
      </c>
      <c r="AD4136">
        <v>-1.109986580293</v>
      </c>
      <c r="AE4136">
        <v>0.98149999999998205</v>
      </c>
      <c r="AF4136">
        <v>-0.41993553524305899</v>
      </c>
      <c r="AG4136">
        <v>-1.109986580293</v>
      </c>
      <c r="AH4136">
        <v>18.8280504112053</v>
      </c>
      <c r="AI4136">
        <v>93.373066323342798</v>
      </c>
      <c r="AJ4136">
        <v>91.277697096486406</v>
      </c>
      <c r="AK4136">
        <v>18.865415403565301</v>
      </c>
      <c r="AL4136">
        <v>81.846703275911096</v>
      </c>
      <c r="AM4136">
        <v>95.905945165056096</v>
      </c>
      <c r="AN4136">
        <v>1.0000000413574399</v>
      </c>
    </row>
    <row r="4137" spans="1:40" x14ac:dyDescent="0.25">
      <c r="A4137" t="str">
        <f>"20190312151109383"</f>
        <v>20190312151109383</v>
      </c>
      <c r="B4137" t="str">
        <f>"1552374669375112"</f>
        <v>1552374669375112</v>
      </c>
      <c r="C4137" t="s">
        <v>40</v>
      </c>
      <c r="D4137">
        <v>5.1338269999999904</v>
      </c>
      <c r="E4137">
        <v>0.53024879999999996</v>
      </c>
      <c r="F4137" t="s">
        <v>42</v>
      </c>
      <c r="G4137">
        <v>-265.67869999999999</v>
      </c>
      <c r="H4137" s="1">
        <v>-2.2335619999999999E-6</v>
      </c>
      <c r="I4137">
        <v>137.37559999999999</v>
      </c>
      <c r="J4137">
        <v>-248.4777</v>
      </c>
      <c r="K4137">
        <v>1.1099479999999999</v>
      </c>
      <c r="L4137">
        <v>136.5881</v>
      </c>
      <c r="M4137">
        <v>-0.99718209999999996</v>
      </c>
      <c r="N4137">
        <v>0</v>
      </c>
      <c r="O4137">
        <v>7.4469140000000003E-2</v>
      </c>
      <c r="P4137">
        <v>-0.99082420000000004</v>
      </c>
      <c r="Q4137">
        <v>0.1322246</v>
      </c>
      <c r="R4137">
        <v>-2.8000819999999999E-2</v>
      </c>
      <c r="S4137">
        <v>-3.058182</v>
      </c>
      <c r="T4137">
        <v>-0.1948347</v>
      </c>
      <c r="U4137">
        <v>0.1411896</v>
      </c>
      <c r="V4137">
        <v>-0.1016388</v>
      </c>
      <c r="W4137">
        <v>0.1412099</v>
      </c>
      <c r="X4137">
        <v>0.98474839999999997</v>
      </c>
      <c r="Y4137">
        <v>-2.8195020000000001E-2</v>
      </c>
      <c r="Z4137">
        <v>-5.6286829999999998E-3</v>
      </c>
      <c r="AA4137">
        <v>0.99958659999999999</v>
      </c>
      <c r="AB4137">
        <v>21</v>
      </c>
      <c r="AC4137">
        <v>-17.200999999999901</v>
      </c>
      <c r="AD4137">
        <v>-1.109950233562</v>
      </c>
      <c r="AE4137">
        <v>0.78749999999999398</v>
      </c>
      <c r="AF4137">
        <v>-0.49363201603949303</v>
      </c>
      <c r="AG4137">
        <v>-1.109950233562</v>
      </c>
      <c r="AH4137">
        <v>17.140658634574301</v>
      </c>
      <c r="AI4137">
        <v>93.7035070522534</v>
      </c>
      <c r="AJ4137">
        <v>91.649599151996199</v>
      </c>
      <c r="AK4137">
        <v>17.183650383875101</v>
      </c>
      <c r="AL4137">
        <v>81.882136392140893</v>
      </c>
      <c r="AM4137">
        <v>95.892801104049596</v>
      </c>
      <c r="AN4137">
        <v>1.0000000464130001</v>
      </c>
    </row>
    <row r="4138" spans="1:40" x14ac:dyDescent="0.25">
      <c r="A4138" t="str">
        <f>"20190312151109405"</f>
        <v>20190312151109405</v>
      </c>
      <c r="B4138" t="str">
        <f>"1552374669395608"</f>
        <v>1552374669395608</v>
      </c>
      <c r="C4138" t="s">
        <v>40</v>
      </c>
      <c r="D4138">
        <v>4.9249000000000001</v>
      </c>
      <c r="E4138">
        <v>0.52243919999999999</v>
      </c>
      <c r="F4138" t="s">
        <v>42</v>
      </c>
      <c r="G4138">
        <v>-265.88639999999998</v>
      </c>
      <c r="H4138" s="1">
        <v>-2.1467410000000002E-6</v>
      </c>
      <c r="I4138">
        <v>137.3629</v>
      </c>
      <c r="J4138">
        <v>-248.68289999999999</v>
      </c>
      <c r="K4138">
        <v>1.109931</v>
      </c>
      <c r="L4138">
        <v>136.60380000000001</v>
      </c>
      <c r="M4138">
        <v>-0.99716249999999995</v>
      </c>
      <c r="N4138">
        <v>0</v>
      </c>
      <c r="O4138">
        <v>7.474691E-2</v>
      </c>
      <c r="P4138">
        <v>-0.99081359999999996</v>
      </c>
      <c r="Q4138">
        <v>0.1325172</v>
      </c>
      <c r="R4138">
        <v>-2.6977040000000001E-2</v>
      </c>
      <c r="S4138">
        <v>-3.0576629999999998</v>
      </c>
      <c r="T4138">
        <v>-0.19495209999999999</v>
      </c>
      <c r="U4138">
        <v>0.13609309999999999</v>
      </c>
      <c r="V4138">
        <v>-0.1008897</v>
      </c>
      <c r="W4138">
        <v>0.14138399999999901</v>
      </c>
      <c r="X4138">
        <v>0.98480040000000002</v>
      </c>
      <c r="Y4138">
        <v>-3.012337E-2</v>
      </c>
      <c r="Z4138">
        <v>-5.7123149999999999E-3</v>
      </c>
      <c r="AA4138">
        <v>0.99952980000000002</v>
      </c>
      <c r="AB4138">
        <v>21</v>
      </c>
      <c r="AC4138">
        <v>-17.203499999999899</v>
      </c>
      <c r="AD4138">
        <v>-1.1099331467410001</v>
      </c>
      <c r="AE4138">
        <v>0.75909999999998901</v>
      </c>
      <c r="AF4138">
        <v>-0.52679497985194501</v>
      </c>
      <c r="AG4138">
        <v>-1.1099331467410001</v>
      </c>
      <c r="AH4138">
        <v>17.140901336322099</v>
      </c>
      <c r="AI4138">
        <v>93.703185463457899</v>
      </c>
      <c r="AJ4138">
        <v>91.760329334085299</v>
      </c>
      <c r="AK4138">
        <v>17.184876000790901</v>
      </c>
      <c r="AL4138">
        <v>81.872059703779101</v>
      </c>
      <c r="AM4138">
        <v>95.849365429428104</v>
      </c>
      <c r="AN4138">
        <v>0.999999997431125</v>
      </c>
    </row>
    <row r="4139" spans="1:40" x14ac:dyDescent="0.25">
      <c r="A4139" t="str">
        <f>"20190312151109425"</f>
        <v>20190312151109425</v>
      </c>
      <c r="B4139" t="str">
        <f>"1552374669415132"</f>
        <v>1552374669415132</v>
      </c>
      <c r="C4139" t="s">
        <v>40</v>
      </c>
      <c r="D4139">
        <v>4.9533860000000001</v>
      </c>
      <c r="E4139">
        <v>0.52646250000000006</v>
      </c>
      <c r="F4139" t="s">
        <v>44</v>
      </c>
      <c r="G4139">
        <v>0</v>
      </c>
      <c r="H4139">
        <v>0</v>
      </c>
      <c r="I4139">
        <v>0</v>
      </c>
      <c r="J4139">
        <v>-248.87880000000001</v>
      </c>
      <c r="K4139">
        <v>1.1099139999999901</v>
      </c>
      <c r="L4139">
        <v>136.61879999999999</v>
      </c>
      <c r="M4139">
        <v>-0.99714270000000005</v>
      </c>
      <c r="N4139">
        <v>0</v>
      </c>
      <c r="O4139">
        <v>7.5024240000000006E-2</v>
      </c>
      <c r="P4139">
        <v>-0.99073339999999999</v>
      </c>
      <c r="Q4139">
        <v>0.13342329999999999</v>
      </c>
      <c r="R4139">
        <v>-2.540487E-2</v>
      </c>
      <c r="S4139">
        <v>-3.0257719999999999</v>
      </c>
      <c r="T4139">
        <v>3.2409670000000002E-2</v>
      </c>
      <c r="U4139">
        <v>8.4884639999999997E-2</v>
      </c>
      <c r="V4139">
        <v>-9.959018E-2</v>
      </c>
      <c r="W4139">
        <v>0.14217089999999999</v>
      </c>
      <c r="X4139">
        <v>0.98481940000000001</v>
      </c>
      <c r="Y4139">
        <v>-4.7026869999999998E-2</v>
      </c>
      <c r="Z4139">
        <v>1.054473E-3</v>
      </c>
      <c r="AA4139">
        <v>0.99889309999999998</v>
      </c>
      <c r="AB4139">
        <v>21</v>
      </c>
      <c r="AC4139">
        <v>-3.0257719999999999</v>
      </c>
      <c r="AD4139">
        <v>3.2409670000000002E-2</v>
      </c>
      <c r="AE4139">
        <v>8.4884639999999997E-2</v>
      </c>
      <c r="AF4139">
        <v>-0.142353364478851</v>
      </c>
      <c r="AG4139">
        <v>3.2409670000000002E-2</v>
      </c>
      <c r="AH4139">
        <v>3.0232659005597502</v>
      </c>
      <c r="AI4139">
        <v>89.386487528530296</v>
      </c>
      <c r="AJ4139">
        <v>92.695835415808801</v>
      </c>
      <c r="AK4139">
        <v>3.0267889871240299</v>
      </c>
      <c r="AL4139">
        <v>81.8265136727466</v>
      </c>
      <c r="AM4139">
        <v>95.774423883391606</v>
      </c>
      <c r="AN4139">
        <v>1.0000000096877999</v>
      </c>
    </row>
    <row r="4140" spans="1:40" x14ac:dyDescent="0.25">
      <c r="A4140" t="str">
        <f>"20190312151109449"</f>
        <v>20190312151109449</v>
      </c>
      <c r="B4140" t="str">
        <f>"1552374669445384"</f>
        <v>1552374669445384</v>
      </c>
      <c r="C4140" t="s">
        <v>40</v>
      </c>
      <c r="D4140">
        <v>5.1292099999999996</v>
      </c>
      <c r="E4140">
        <v>0.5256383</v>
      </c>
      <c r="F4140" t="s">
        <v>42</v>
      </c>
      <c r="G4140">
        <v>-268.95749999999998</v>
      </c>
      <c r="H4140" s="1">
        <v>-9.3820180000000004E-7</v>
      </c>
      <c r="I4140">
        <v>137.37110000000001</v>
      </c>
      <c r="J4140">
        <v>-249.08949999999999</v>
      </c>
      <c r="K4140">
        <v>1.109893</v>
      </c>
      <c r="L4140">
        <v>136.63499999999999</v>
      </c>
      <c r="M4140">
        <v>-0.99712109999999998</v>
      </c>
      <c r="N4140">
        <v>0</v>
      </c>
      <c r="O4140">
        <v>7.5327759999999994E-2</v>
      </c>
      <c r="P4140">
        <v>-0.99070329999999995</v>
      </c>
      <c r="Q4140">
        <v>0.13392319999999999</v>
      </c>
      <c r="R4140">
        <v>-2.3910669999999998E-2</v>
      </c>
      <c r="S4140">
        <v>-3.053741</v>
      </c>
      <c r="T4140">
        <v>-0.1688066</v>
      </c>
      <c r="U4140">
        <v>0.11442570000000001</v>
      </c>
      <c r="V4140">
        <v>-9.8399630000000002E-2</v>
      </c>
      <c r="W4140">
        <v>0.142534299999999</v>
      </c>
      <c r="X4140">
        <v>0.9848865</v>
      </c>
      <c r="Y4140">
        <v>-3.7767660000000002E-2</v>
      </c>
      <c r="Z4140">
        <v>-5.1978220000000004E-3</v>
      </c>
      <c r="AA4140">
        <v>0.99927299999999997</v>
      </c>
      <c r="AB4140">
        <v>21</v>
      </c>
      <c r="AC4140">
        <v>-19.867999999999899</v>
      </c>
      <c r="AD4140">
        <v>-1.1098939382018</v>
      </c>
      <c r="AE4140">
        <v>0.73610000000002096</v>
      </c>
      <c r="AF4140">
        <v>-0.76029038575899099</v>
      </c>
      <c r="AG4140">
        <v>-1.1098939382018</v>
      </c>
      <c r="AH4140">
        <v>19.805276217726199</v>
      </c>
      <c r="AI4140">
        <v>93.205162780008905</v>
      </c>
      <c r="AJ4140">
        <v>92.1984066513117</v>
      </c>
      <c r="AK4140">
        <v>19.850916152287901</v>
      </c>
      <c r="AL4140">
        <v>81.8054777996295</v>
      </c>
      <c r="AM4140">
        <v>95.705465627105198</v>
      </c>
      <c r="AN4140">
        <v>0.99999996587143702</v>
      </c>
    </row>
    <row r="4141" spans="1:40" x14ac:dyDescent="0.25">
      <c r="A4141" t="str">
        <f>"20190312151109470"</f>
        <v>20190312151109470</v>
      </c>
      <c r="B4141" t="str">
        <f>"1552374669464904"</f>
        <v>1552374669464904</v>
      </c>
      <c r="C4141" t="s">
        <v>40</v>
      </c>
      <c r="D4141">
        <v>4.862635</v>
      </c>
      <c r="E4141">
        <v>0.52605199999999996</v>
      </c>
      <c r="F4141" t="s">
        <v>42</v>
      </c>
      <c r="G4141">
        <v>-274.59120000000001</v>
      </c>
      <c r="H4141" s="1">
        <v>-2.6623100000000002E-6</v>
      </c>
      <c r="I4141">
        <v>137.58850000000001</v>
      </c>
      <c r="J4141">
        <v>-249.29259999999999</v>
      </c>
      <c r="K4141">
        <v>1.109882</v>
      </c>
      <c r="L4141">
        <v>136.6507</v>
      </c>
      <c r="M4141">
        <v>-0.99710019999999999</v>
      </c>
      <c r="N4141">
        <v>0</v>
      </c>
      <c r="O4141">
        <v>7.5619450000000005E-2</v>
      </c>
      <c r="P4141">
        <v>-0.99078259999999996</v>
      </c>
      <c r="Q4141">
        <v>0.13374059999999999</v>
      </c>
      <c r="R4141">
        <v>-2.1530830000000001E-2</v>
      </c>
      <c r="S4141">
        <v>-3.0488279999999999</v>
      </c>
      <c r="T4141">
        <v>-0.13269220000000001</v>
      </c>
      <c r="U4141">
        <v>0.1139984</v>
      </c>
      <c r="V4141">
        <v>-9.6323389999999995E-2</v>
      </c>
      <c r="W4141">
        <v>0.14221710000000001</v>
      </c>
      <c r="X4141">
        <v>0.98513759999999995</v>
      </c>
      <c r="Y4141">
        <v>-3.8204189999999999E-2</v>
      </c>
      <c r="Z4141">
        <v>-4.1157190000000003E-3</v>
      </c>
      <c r="AA4141">
        <v>0.99926150000000002</v>
      </c>
      <c r="AB4141">
        <v>21</v>
      </c>
      <c r="AC4141">
        <v>-25.2986</v>
      </c>
      <c r="AD4141">
        <v>-1.10988466231</v>
      </c>
      <c r="AE4141">
        <v>0.93780000000000996</v>
      </c>
      <c r="AF4141">
        <v>-0.97614508791573895</v>
      </c>
      <c r="AG4141">
        <v>-1.10988466231</v>
      </c>
      <c r="AH4141">
        <v>25.248547849429698</v>
      </c>
      <c r="AI4141">
        <v>92.515131314597795</v>
      </c>
      <c r="AJ4141">
        <v>92.214034376014098</v>
      </c>
      <c r="AK4141">
        <v>25.2917747835385</v>
      </c>
      <c r="AL4141">
        <v>81.823839313098503</v>
      </c>
      <c r="AM4141">
        <v>95.584434566725093</v>
      </c>
      <c r="AN4141">
        <v>0.99999999496363101</v>
      </c>
    </row>
    <row r="4142" spans="1:40" x14ac:dyDescent="0.25">
      <c r="A4142" t="str">
        <f>"20190312151109494"</f>
        <v>20190312151109494</v>
      </c>
      <c r="B4142" t="str">
        <f>"1552374669485400"</f>
        <v>1552374669485400</v>
      </c>
      <c r="C4142" t="s">
        <v>40</v>
      </c>
      <c r="D4142">
        <v>4.928782</v>
      </c>
      <c r="E4142">
        <v>0.52807419999999905</v>
      </c>
      <c r="F4142" t="s">
        <v>42</v>
      </c>
      <c r="G4142">
        <v>-275.0788</v>
      </c>
      <c r="H4142" s="1">
        <v>-2.43276E-6</v>
      </c>
      <c r="I4142">
        <v>137.70349999999999</v>
      </c>
      <c r="J4142">
        <v>-249.50800000000001</v>
      </c>
      <c r="K4142">
        <v>1.1098669999999999</v>
      </c>
      <c r="L4142">
        <v>136.66739999999999</v>
      </c>
      <c r="M4142">
        <v>-0.99707829999999997</v>
      </c>
      <c r="N4142">
        <v>0</v>
      </c>
      <c r="O4142">
        <v>7.5923569999999996E-2</v>
      </c>
      <c r="P4142">
        <v>-0.99088220000000005</v>
      </c>
      <c r="Q4142">
        <v>0.13341610000000001</v>
      </c>
      <c r="R4142">
        <v>-1.8784499999999999E-2</v>
      </c>
      <c r="S4142">
        <v>-3.04834</v>
      </c>
      <c r="T4142">
        <v>-0.13120599999999999</v>
      </c>
      <c r="U4142">
        <v>0.1244659</v>
      </c>
      <c r="V4142">
        <v>-9.3896190000000004E-2</v>
      </c>
      <c r="W4142">
        <v>0.14174800000000001</v>
      </c>
      <c r="X4142">
        <v>0.98543950000000002</v>
      </c>
      <c r="Y4142">
        <v>-3.5081639999999997E-2</v>
      </c>
      <c r="Z4142">
        <v>-4.0158340000000002E-3</v>
      </c>
      <c r="AA4142">
        <v>0.99937640000000005</v>
      </c>
      <c r="AB4142">
        <v>21</v>
      </c>
      <c r="AC4142">
        <v>-25.570799999999998</v>
      </c>
      <c r="AD4142">
        <v>-1.1098694327599901</v>
      </c>
      <c r="AE4142">
        <v>1.0361</v>
      </c>
      <c r="AF4142">
        <v>-0.90668032225793405</v>
      </c>
      <c r="AG4142">
        <v>-1.1098694327599901</v>
      </c>
      <c r="AH4142">
        <v>25.527643042517202</v>
      </c>
      <c r="AI4142">
        <v>92.487923203427698</v>
      </c>
      <c r="AJ4142">
        <v>92.034152849340401</v>
      </c>
      <c r="AK4142">
        <v>25.5678399296992</v>
      </c>
      <c r="AL4142">
        <v>81.850991875348697</v>
      </c>
      <c r="AM4142">
        <v>95.442913905300898</v>
      </c>
      <c r="AN4142">
        <v>0.99999999908038295</v>
      </c>
    </row>
    <row r="4143" spans="1:40" x14ac:dyDescent="0.25">
      <c r="A4143" t="str">
        <f>"20190312151109515"</f>
        <v>20190312151109515</v>
      </c>
      <c r="B4143" t="str">
        <f>"1552374669504920"</f>
        <v>1552374669504920</v>
      </c>
      <c r="C4143" t="s">
        <v>40</v>
      </c>
      <c r="D4143">
        <v>4.975956</v>
      </c>
      <c r="E4143">
        <v>0.53043879999999999</v>
      </c>
      <c r="F4143" t="s">
        <v>42</v>
      </c>
      <c r="G4143">
        <v>-271.94200000000001</v>
      </c>
      <c r="H4143" s="1">
        <v>-3.769319E-6</v>
      </c>
      <c r="I4143">
        <v>137.75479999999999</v>
      </c>
      <c r="J4143">
        <v>-249.71260000000001</v>
      </c>
      <c r="K4143">
        <v>1.1098479999999999</v>
      </c>
      <c r="L4143">
        <v>136.6833</v>
      </c>
      <c r="M4143">
        <v>-0.997058</v>
      </c>
      <c r="N4143">
        <v>0</v>
      </c>
      <c r="O4143">
        <v>7.6205560000000006E-2</v>
      </c>
      <c r="P4143">
        <v>-0.99097659999999999</v>
      </c>
      <c r="Q4143">
        <v>0.1331051</v>
      </c>
      <c r="R4143">
        <v>-1.5771279999999999E-2</v>
      </c>
      <c r="S4143">
        <v>-3.0507200000000001</v>
      </c>
      <c r="T4143">
        <v>-0.15092729999999999</v>
      </c>
      <c r="U4143">
        <v>0.1478882</v>
      </c>
      <c r="V4143">
        <v>-9.1180129999999998E-2</v>
      </c>
      <c r="W4143">
        <v>0.14129720000000001</v>
      </c>
      <c r="X4143">
        <v>0.9857593</v>
      </c>
      <c r="Y4143">
        <v>-2.7713399999999999E-2</v>
      </c>
      <c r="Z4143">
        <v>-4.4459390000000003E-3</v>
      </c>
      <c r="AA4143">
        <v>0.99960599999999999</v>
      </c>
      <c r="AB4143">
        <v>21</v>
      </c>
      <c r="AC4143">
        <v>-22.229399999999998</v>
      </c>
      <c r="AD4143">
        <v>-1.109851769319</v>
      </c>
      <c r="AE4143">
        <v>1.0714999999999799</v>
      </c>
      <c r="AF4143">
        <v>-0.62412535286798498</v>
      </c>
      <c r="AG4143">
        <v>-1.109851769319</v>
      </c>
      <c r="AH4143">
        <v>22.191223984351701</v>
      </c>
      <c r="AI4143">
        <v>92.862023745034506</v>
      </c>
      <c r="AJ4143">
        <v>91.611011828340594</v>
      </c>
      <c r="AK4143">
        <v>22.2277242499006</v>
      </c>
      <c r="AL4143">
        <v>81.877083890791198</v>
      </c>
      <c r="AM4143">
        <v>95.284670950876304</v>
      </c>
      <c r="AN4143">
        <v>1.00000005618557</v>
      </c>
    </row>
    <row r="4144" spans="1:40" x14ac:dyDescent="0.25">
      <c r="A4144" t="str">
        <f>"20190312151109538"</f>
        <v>20190312151109538</v>
      </c>
      <c r="B4144" t="str">
        <f>"1552374669525416"</f>
        <v>1552374669525416</v>
      </c>
      <c r="C4144" t="s">
        <v>40</v>
      </c>
      <c r="D4144">
        <v>5.0086190000000004</v>
      </c>
      <c r="E4144">
        <v>0.57700399999999996</v>
      </c>
      <c r="F4144" t="s">
        <v>42</v>
      </c>
      <c r="G4144">
        <v>-272.87079999999997</v>
      </c>
      <c r="H4144" s="1">
        <v>-3.3233E-6</v>
      </c>
      <c r="I4144">
        <v>138.02289999999999</v>
      </c>
      <c r="J4144">
        <v>-249.92259999999999</v>
      </c>
      <c r="K4144">
        <v>1.1098269999999999</v>
      </c>
      <c r="L4144">
        <v>136.69970000000001</v>
      </c>
      <c r="M4144">
        <v>-0.99703750000000002</v>
      </c>
      <c r="N4144">
        <v>0</v>
      </c>
      <c r="O4144">
        <v>7.6488349999999997E-2</v>
      </c>
      <c r="P4144">
        <v>-0.99107080000000003</v>
      </c>
      <c r="Q4144">
        <v>0.13268579999999999</v>
      </c>
      <c r="R4144">
        <v>-1.3153959999999999E-2</v>
      </c>
      <c r="S4144">
        <v>-3.0497589999999999</v>
      </c>
      <c r="T4144">
        <v>-0.1461585</v>
      </c>
      <c r="U4144">
        <v>0.1764221</v>
      </c>
      <c r="V4144">
        <v>-8.8859389999999996E-2</v>
      </c>
      <c r="W4144">
        <v>0.1407349</v>
      </c>
      <c r="X4144">
        <v>0.98605160000000003</v>
      </c>
      <c r="Y4144">
        <v>-1.867245E-2</v>
      </c>
      <c r="Z4144">
        <v>-4.1027349999999997E-3</v>
      </c>
      <c r="AA4144">
        <v>0.99981730000000002</v>
      </c>
      <c r="AB4144">
        <v>21</v>
      </c>
      <c r="AC4144">
        <v>-22.9481999999999</v>
      </c>
      <c r="AD4144">
        <v>-1.1098303233</v>
      </c>
      <c r="AE4144">
        <v>1.3231999999999799</v>
      </c>
      <c r="AF4144">
        <v>-0.43499023136540199</v>
      </c>
      <c r="AG4144">
        <v>-1.1098303233</v>
      </c>
      <c r="AH4144">
        <v>22.9287301363956</v>
      </c>
      <c r="AI4144">
        <v>92.770654498309</v>
      </c>
      <c r="AJ4144">
        <v>91.086851073918098</v>
      </c>
      <c r="AK4144">
        <v>22.959695240040801</v>
      </c>
      <c r="AL4144">
        <v>81.909626285715206</v>
      </c>
      <c r="AM4144">
        <v>95.149378378581105</v>
      </c>
      <c r="AN4144">
        <v>1.0000000305658701</v>
      </c>
    </row>
    <row r="4145" spans="1:40" x14ac:dyDescent="0.25">
      <c r="A4145" t="str">
        <f>"20190312151109560"</f>
        <v>20190312151109560</v>
      </c>
      <c r="B4145" t="str">
        <f>"1552374669554696"</f>
        <v>1552374669554696</v>
      </c>
      <c r="C4145" t="s">
        <v>40</v>
      </c>
      <c r="D4145">
        <v>5.0005750000000004</v>
      </c>
      <c r="E4145">
        <v>0.57716239999999996</v>
      </c>
      <c r="F4145" t="s">
        <v>42</v>
      </c>
      <c r="G4145">
        <v>-267.79680000000002</v>
      </c>
      <c r="H4145" s="1">
        <v>-1.013549E-6</v>
      </c>
      <c r="I4145">
        <v>139.93960000000001</v>
      </c>
      <c r="J4145">
        <v>-250.13329999999999</v>
      </c>
      <c r="K4145">
        <v>1.109804</v>
      </c>
      <c r="L4145">
        <v>136.71619999999999</v>
      </c>
      <c r="M4145">
        <v>-0.99701719999999905</v>
      </c>
      <c r="N4145">
        <v>0</v>
      </c>
      <c r="O4145">
        <v>7.6767390000000005E-2</v>
      </c>
      <c r="P4145">
        <v>-0.99111289999999996</v>
      </c>
      <c r="Q4145">
        <v>0.1326109</v>
      </c>
      <c r="R4145">
        <v>-1.047294E-2</v>
      </c>
      <c r="S4145">
        <v>-3.0598139999999998</v>
      </c>
      <c r="T4145">
        <v>-0.18998719999999999</v>
      </c>
      <c r="U4145">
        <v>0.55464169999999902</v>
      </c>
      <c r="V4145">
        <v>-8.6466699999999994E-2</v>
      </c>
      <c r="W4145">
        <v>0.14051820000000001</v>
      </c>
      <c r="X4145">
        <v>0.98629520000000004</v>
      </c>
      <c r="Y4145">
        <v>0.10224709999999999</v>
      </c>
      <c r="Z4145">
        <v>-1.5664419999999999E-3</v>
      </c>
      <c r="AA4145">
        <v>0.99475780000000003</v>
      </c>
      <c r="AB4145">
        <v>21</v>
      </c>
      <c r="AC4145">
        <v>-17.663499999999999</v>
      </c>
      <c r="AD4145">
        <v>-1.1098050135490001</v>
      </c>
      <c r="AE4145">
        <v>3.2234000000000198</v>
      </c>
      <c r="AF4145">
        <v>1.85079258375761</v>
      </c>
      <c r="AG4145">
        <v>-1.1098050135490001</v>
      </c>
      <c r="AH4145">
        <v>17.790863307318499</v>
      </c>
      <c r="AI4145">
        <v>93.550409966787399</v>
      </c>
      <c r="AJ4145">
        <v>84.060854515013304</v>
      </c>
      <c r="AK4145">
        <v>17.921269976647299</v>
      </c>
      <c r="AL4145">
        <v>81.922166962081107</v>
      </c>
      <c r="AM4145">
        <v>95.010206951361297</v>
      </c>
      <c r="AN4145">
        <v>1.0000000381415799</v>
      </c>
    </row>
    <row r="4146" spans="1:40" x14ac:dyDescent="0.25">
      <c r="A4146" t="str">
        <f>"20190312151109583"</f>
        <v>20190312151109583</v>
      </c>
      <c r="B4146" t="str">
        <f>"1552374669575193"</f>
        <v>1552374669575193</v>
      </c>
      <c r="C4146" t="s">
        <v>40</v>
      </c>
      <c r="D4146">
        <v>4.9525860000000002</v>
      </c>
      <c r="E4146">
        <v>0.57689259999999998</v>
      </c>
      <c r="F4146" t="s">
        <v>41</v>
      </c>
      <c r="G4146">
        <v>-251.0292</v>
      </c>
      <c r="H4146">
        <v>1.049148</v>
      </c>
      <c r="I4146">
        <v>136.88120000000001</v>
      </c>
      <c r="J4146">
        <v>-250.36340000000001</v>
      </c>
      <c r="K4146">
        <v>1.109777</v>
      </c>
      <c r="L4146">
        <v>136.73429999999999</v>
      </c>
      <c r="M4146">
        <v>-0.99699519999999997</v>
      </c>
      <c r="N4146">
        <v>0</v>
      </c>
      <c r="O4146">
        <v>7.7068460000000005E-2</v>
      </c>
      <c r="P4146">
        <v>-0.99110149999999997</v>
      </c>
      <c r="Q4146">
        <v>0.1328674</v>
      </c>
      <c r="R4146">
        <v>-8.0299710000000003E-3</v>
      </c>
      <c r="S4146">
        <v>-3.0605769999999999</v>
      </c>
      <c r="T4146">
        <v>-0.20720549999999999</v>
      </c>
      <c r="U4146">
        <v>0.56379699999999999</v>
      </c>
      <c r="V4146">
        <v>-8.4328639999999996E-2</v>
      </c>
      <c r="W4146">
        <v>0.14062349999999901</v>
      </c>
      <c r="X4146">
        <v>0.98646529999999999</v>
      </c>
      <c r="Y4146">
        <v>0.10476870000000001</v>
      </c>
      <c r="Z4146">
        <v>-1.6426100000000001E-3</v>
      </c>
      <c r="AA4146">
        <v>0.99449529999999997</v>
      </c>
      <c r="AB4146">
        <v>21</v>
      </c>
      <c r="AC4146">
        <v>-0.66579999999998996</v>
      </c>
      <c r="AD4146">
        <v>-6.0629000000000002E-2</v>
      </c>
      <c r="AE4146">
        <v>0.14690000000001599</v>
      </c>
      <c r="AF4146">
        <v>9.44028427866066E-2</v>
      </c>
      <c r="AG4146">
        <v>-6.0629000000000002E-2</v>
      </c>
      <c r="AH4146">
        <v>0.66984467658872804</v>
      </c>
      <c r="AI4146">
        <v>95.121526004278493</v>
      </c>
      <c r="AJ4146">
        <v>81.977998609660801</v>
      </c>
      <c r="AK4146">
        <v>0.67917572330100995</v>
      </c>
      <c r="AL4146">
        <v>81.916073209952998</v>
      </c>
      <c r="AM4146">
        <v>94.886088609562293</v>
      </c>
      <c r="AN4146">
        <v>1.00000003819029</v>
      </c>
    </row>
    <row r="4147" spans="1:40" x14ac:dyDescent="0.25">
      <c r="A4147" t="str">
        <f>"20190312151109606"</f>
        <v>20190312151109606</v>
      </c>
      <c r="B4147" t="str">
        <f>"1552374669594712"</f>
        <v>1552374669594712</v>
      </c>
      <c r="C4147" t="s">
        <v>40</v>
      </c>
      <c r="D4147">
        <v>4.9157690000000001</v>
      </c>
      <c r="E4147">
        <v>0.57646540000000002</v>
      </c>
      <c r="F4147" t="s">
        <v>41</v>
      </c>
      <c r="G4147">
        <v>-251.21950000000001</v>
      </c>
      <c r="H4147">
        <v>1.0479860000000001</v>
      </c>
      <c r="I4147">
        <v>136.89340000000001</v>
      </c>
      <c r="J4147">
        <v>-250.57919999999999</v>
      </c>
      <c r="K4147">
        <v>1.1097539999999999</v>
      </c>
      <c r="L4147">
        <v>136.75129999999999</v>
      </c>
      <c r="M4147">
        <v>-0.99697449999999999</v>
      </c>
      <c r="N4147">
        <v>0</v>
      </c>
      <c r="O4147">
        <v>7.7349470000000004E-2</v>
      </c>
      <c r="P4147">
        <v>-0.99112149999999999</v>
      </c>
      <c r="Q4147">
        <v>0.1328146</v>
      </c>
      <c r="R4147">
        <v>-6.1914319999999898E-3</v>
      </c>
      <c r="S4147">
        <v>-3.061172</v>
      </c>
      <c r="T4147">
        <v>-0.2209806</v>
      </c>
      <c r="U4147">
        <v>0.56854249999999995</v>
      </c>
      <c r="V4147">
        <v>-8.2775180000000004E-2</v>
      </c>
      <c r="W4147">
        <v>0.14043939999999999</v>
      </c>
      <c r="X4147">
        <v>0.98662300000000003</v>
      </c>
      <c r="Y4147">
        <v>0.1059341</v>
      </c>
      <c r="Z4147">
        <v>-1.7292029999999999E-3</v>
      </c>
      <c r="AA4147">
        <v>0.99437169999999997</v>
      </c>
      <c r="AB4147">
        <v>21</v>
      </c>
      <c r="AC4147">
        <v>-0.64030000000002396</v>
      </c>
      <c r="AD4147">
        <v>-6.1768000000000003E-2</v>
      </c>
      <c r="AE4147">
        <v>0.14210000000002701</v>
      </c>
      <c r="AF4147">
        <v>9.1335856394524295E-2</v>
      </c>
      <c r="AG4147">
        <v>-6.1768000000000003E-2</v>
      </c>
      <c r="AH4147">
        <v>0.64366452213010295</v>
      </c>
      <c r="AI4147">
        <v>95.427451243910397</v>
      </c>
      <c r="AJ4147">
        <v>81.923660428510203</v>
      </c>
      <c r="AK4147">
        <v>0.65304022964614805</v>
      </c>
      <c r="AL4147">
        <v>81.926726371118704</v>
      </c>
      <c r="AM4147">
        <v>94.79574029634</v>
      </c>
      <c r="AN4147">
        <v>0.99999994981269502</v>
      </c>
    </row>
    <row r="4148" spans="1:40" x14ac:dyDescent="0.25">
      <c r="A4148" t="str">
        <f>"20190312151109629"</f>
        <v>20190312151109629</v>
      </c>
      <c r="B4148" t="str">
        <f>"1552374669624968"</f>
        <v>1552374669624968</v>
      </c>
      <c r="C4148" t="s">
        <v>40</v>
      </c>
      <c r="D4148">
        <v>4.9553310000000002</v>
      </c>
      <c r="E4148">
        <v>0.57593909999999904</v>
      </c>
      <c r="F4148" t="s">
        <v>41</v>
      </c>
      <c r="G4148">
        <v>-251.4127</v>
      </c>
      <c r="H4148">
        <v>1.0492079999999999</v>
      </c>
      <c r="I4148">
        <v>136.9068</v>
      </c>
      <c r="J4148">
        <v>-250.79050000000001</v>
      </c>
      <c r="K4148">
        <v>1.109747</v>
      </c>
      <c r="L4148">
        <v>136.768</v>
      </c>
      <c r="M4148">
        <v>-0.99695389999999995</v>
      </c>
      <c r="N4148">
        <v>0</v>
      </c>
      <c r="O4148">
        <v>7.7624890000000002E-2</v>
      </c>
      <c r="P4148">
        <v>-0.99114650000000004</v>
      </c>
      <c r="Q4148">
        <v>0.13268969999999999</v>
      </c>
      <c r="R4148">
        <v>-4.6846079999999998E-3</v>
      </c>
      <c r="S4148">
        <v>-3.0602420000000001</v>
      </c>
      <c r="T4148">
        <v>-0.22234180000000001</v>
      </c>
      <c r="U4148">
        <v>0.57040409999999997</v>
      </c>
      <c r="V4148">
        <v>-8.1548640000000006E-2</v>
      </c>
      <c r="W4148">
        <v>0.14019579999999901</v>
      </c>
      <c r="X4148">
        <v>0.98675979999999996</v>
      </c>
      <c r="Y4148">
        <v>0.10629719999999999</v>
      </c>
      <c r="Z4148">
        <v>-1.746849E-3</v>
      </c>
      <c r="AA4148">
        <v>0.99433280000000002</v>
      </c>
      <c r="AB4148">
        <v>21</v>
      </c>
      <c r="AC4148">
        <v>-0.62219999999999198</v>
      </c>
      <c r="AD4148">
        <v>-6.05390000000001E-2</v>
      </c>
      <c r="AE4148">
        <v>0.138800000000003</v>
      </c>
      <c r="AF4148">
        <v>8.92764648138831E-2</v>
      </c>
      <c r="AG4148">
        <v>-6.05390000000001E-2</v>
      </c>
      <c r="AH4148">
        <v>0.62545665466283296</v>
      </c>
      <c r="AI4148">
        <v>95.473397945898796</v>
      </c>
      <c r="AJ4148">
        <v>81.876584664279903</v>
      </c>
      <c r="AK4148">
        <v>0.63468991212456405</v>
      </c>
      <c r="AL4148">
        <v>81.940823276785494</v>
      </c>
      <c r="AM4148">
        <v>94.724350387428004</v>
      </c>
      <c r="AN4148">
        <v>0.99999997295976395</v>
      </c>
    </row>
    <row r="4149" spans="1:40" x14ac:dyDescent="0.25">
      <c r="A4149" t="str">
        <f>"20190312151109649"</f>
        <v>20190312151109649</v>
      </c>
      <c r="B4149" t="str">
        <f>"1552374669645465"</f>
        <v>1552374669645465</v>
      </c>
      <c r="C4149" t="s">
        <v>40</v>
      </c>
      <c r="D4149">
        <v>4.9666800000000002</v>
      </c>
      <c r="E4149">
        <v>0.57521669999999903</v>
      </c>
      <c r="F4149" t="s">
        <v>41</v>
      </c>
      <c r="G4149">
        <v>-251.61359999999999</v>
      </c>
      <c r="H4149">
        <v>1.055947</v>
      </c>
      <c r="I4149">
        <v>136.92189999999999</v>
      </c>
      <c r="J4149">
        <v>-250.99039999999999</v>
      </c>
      <c r="K4149">
        <v>1.109737</v>
      </c>
      <c r="L4149">
        <v>136.78389999999999</v>
      </c>
      <c r="M4149">
        <v>-0.9969344</v>
      </c>
      <c r="N4149">
        <v>0</v>
      </c>
      <c r="O4149">
        <v>7.7885769999999993E-2</v>
      </c>
      <c r="P4149">
        <v>-0.99109159999999996</v>
      </c>
      <c r="Q4149">
        <v>0.13314210000000001</v>
      </c>
      <c r="R4149">
        <v>-3.2945510000000002E-3</v>
      </c>
      <c r="S4149">
        <v>-3.0562589999999998</v>
      </c>
      <c r="T4149">
        <v>-0.19979939999999999</v>
      </c>
      <c r="U4149">
        <v>0.57147219999999999</v>
      </c>
      <c r="V4149">
        <v>-8.0415810000000004E-2</v>
      </c>
      <c r="W4149">
        <v>0.1405428</v>
      </c>
      <c r="X4149">
        <v>0.9868034</v>
      </c>
      <c r="Y4149">
        <v>0.10662000000000001</v>
      </c>
      <c r="Z4149">
        <v>-1.578395E-3</v>
      </c>
      <c r="AA4149">
        <v>0.99429860000000003</v>
      </c>
      <c r="AB4149">
        <v>22</v>
      </c>
      <c r="AC4149">
        <v>-0.62319999999999698</v>
      </c>
      <c r="AD4149">
        <v>-5.3789999999999998E-2</v>
      </c>
      <c r="AE4149">
        <v>0.13800000000000501</v>
      </c>
      <c r="AF4149">
        <v>8.8413133293007096E-2</v>
      </c>
      <c r="AG4149">
        <v>-5.3789999999999998E-2</v>
      </c>
      <c r="AH4149">
        <v>0.62759835401378194</v>
      </c>
      <c r="AI4149">
        <v>94.851048662817803</v>
      </c>
      <c r="AJ4149">
        <v>81.981206189424597</v>
      </c>
      <c r="AK4149">
        <v>0.63607384807072198</v>
      </c>
      <c r="AL4149">
        <v>81.920742769356906</v>
      </c>
      <c r="AM4149">
        <v>94.658808234065006</v>
      </c>
      <c r="AN4149">
        <v>0.99999996569067695</v>
      </c>
    </row>
    <row r="4150" spans="1:40" x14ac:dyDescent="0.25">
      <c r="A4150" t="str">
        <f>"20190312151109673"</f>
        <v>20190312151109673</v>
      </c>
      <c r="B4150" t="str">
        <f>"1552374669664984"</f>
        <v>1552374669664984</v>
      </c>
      <c r="C4150" t="s">
        <v>40</v>
      </c>
      <c r="D4150">
        <v>4.9585119999999998</v>
      </c>
      <c r="E4150">
        <v>0.57452669999999995</v>
      </c>
      <c r="F4150" t="s">
        <v>42</v>
      </c>
      <c r="G4150">
        <v>-270.16269999999997</v>
      </c>
      <c r="H4150" s="1">
        <v>-4.3543519999999997E-6</v>
      </c>
      <c r="I4150">
        <v>140.3698</v>
      </c>
      <c r="J4150">
        <v>-251.2242</v>
      </c>
      <c r="K4150">
        <v>1.1097239999999999</v>
      </c>
      <c r="L4150">
        <v>136.80250000000001</v>
      </c>
      <c r="M4150">
        <v>-0.99691129999999994</v>
      </c>
      <c r="N4150">
        <v>0</v>
      </c>
      <c r="O4150">
        <v>7.819197E-2</v>
      </c>
      <c r="P4150">
        <v>-0.99104820000000005</v>
      </c>
      <c r="Q4150">
        <v>0.13349259999999999</v>
      </c>
      <c r="R4150">
        <v>-1.7616870000000001E-3</v>
      </c>
      <c r="S4150">
        <v>-3.0526279999999999</v>
      </c>
      <c r="T4150">
        <v>-0.1766942</v>
      </c>
      <c r="U4150">
        <v>0.57096859999999905</v>
      </c>
      <c r="V4150">
        <v>-7.9188220000000004E-2</v>
      </c>
      <c r="W4150">
        <v>0.14078019999999999</v>
      </c>
      <c r="X4150">
        <v>0.98686890000000005</v>
      </c>
      <c r="Y4150">
        <v>0.10638359999999999</v>
      </c>
      <c r="Z4150">
        <v>-1.422057E-3</v>
      </c>
      <c r="AA4150">
        <v>0.99432410000000004</v>
      </c>
      <c r="AB4150">
        <v>22</v>
      </c>
      <c r="AC4150">
        <v>-18.938499999999902</v>
      </c>
      <c r="AD4150">
        <v>-1.109728354352</v>
      </c>
      <c r="AE4150">
        <v>3.5672999999999799</v>
      </c>
      <c r="AF4150">
        <v>2.0686395820883399</v>
      </c>
      <c r="AG4150">
        <v>-1.109728354352</v>
      </c>
      <c r="AH4150">
        <v>19.096134278238001</v>
      </c>
      <c r="AI4150">
        <v>93.306571953516595</v>
      </c>
      <c r="AJ4150">
        <v>83.817391000995002</v>
      </c>
      <c r="AK4150">
        <v>19.239883344592599</v>
      </c>
      <c r="AL4150">
        <v>81.907004701073703</v>
      </c>
      <c r="AM4150">
        <v>94.587691805787202</v>
      </c>
      <c r="AN4150">
        <v>1.0000000323430001</v>
      </c>
    </row>
    <row r="4151" spans="1:40" x14ac:dyDescent="0.25">
      <c r="A4151" t="str">
        <f>"20190312151109696"</f>
        <v>20190312151109696</v>
      </c>
      <c r="B4151" t="str">
        <f>"1552374669685480"</f>
        <v>1552374669685480</v>
      </c>
      <c r="C4151" t="s">
        <v>40</v>
      </c>
      <c r="D4151">
        <v>5.1301129999999997</v>
      </c>
      <c r="E4151">
        <v>0.57447130000000002</v>
      </c>
      <c r="F4151" t="s">
        <v>42</v>
      </c>
      <c r="G4151">
        <v>-272.49369999999999</v>
      </c>
      <c r="H4151" s="1">
        <v>-3.513074E-6</v>
      </c>
      <c r="I4151">
        <v>140.7834</v>
      </c>
      <c r="J4151">
        <v>-251.44319999999999</v>
      </c>
      <c r="K4151">
        <v>1.10971</v>
      </c>
      <c r="L4151">
        <v>136.82</v>
      </c>
      <c r="M4151">
        <v>-0.99688949999999998</v>
      </c>
      <c r="N4151">
        <v>0</v>
      </c>
      <c r="O4151">
        <v>7.8479629999999995E-2</v>
      </c>
      <c r="P4151">
        <v>-0.99101289999999997</v>
      </c>
      <c r="Q4151">
        <v>0.13376640000000001</v>
      </c>
      <c r="R4151">
        <v>4.6374369999999999E-4</v>
      </c>
      <c r="S4151">
        <v>-3.0495450000000002</v>
      </c>
      <c r="T4151">
        <v>-0.15910859999999999</v>
      </c>
      <c r="U4151">
        <v>0.57078549999999995</v>
      </c>
      <c r="V4151">
        <v>-7.7251059999999996E-2</v>
      </c>
      <c r="W4151">
        <v>0.14095920000000001</v>
      </c>
      <c r="X4151">
        <v>0.98699680000000001</v>
      </c>
      <c r="Y4151">
        <v>0.1062298</v>
      </c>
      <c r="Z4151">
        <v>-1.3007489999999999E-3</v>
      </c>
      <c r="AA4151">
        <v>0.99434080000000002</v>
      </c>
      <c r="AB4151">
        <v>22</v>
      </c>
      <c r="AC4151">
        <v>-21.0505</v>
      </c>
      <c r="AD4151">
        <v>-1.1097135130739999</v>
      </c>
      <c r="AE4151">
        <v>3.9634</v>
      </c>
      <c r="AF4151">
        <v>2.2929424321327101</v>
      </c>
      <c r="AG4151">
        <v>-1.1097135130739999</v>
      </c>
      <c r="AH4151">
        <v>21.239619975490701</v>
      </c>
      <c r="AI4151">
        <v>92.973585926812405</v>
      </c>
      <c r="AJ4151">
        <v>83.838444801961501</v>
      </c>
      <c r="AK4151">
        <v>21.391832688702401</v>
      </c>
      <c r="AL4151">
        <v>81.896644806855207</v>
      </c>
      <c r="AM4151">
        <v>94.475348400796094</v>
      </c>
      <c r="AN4151">
        <v>0.99999995277300002</v>
      </c>
    </row>
    <row r="4152" spans="1:40" x14ac:dyDescent="0.25">
      <c r="A4152" t="str">
        <f>"20190312151109717"</f>
        <v>20190312151109717</v>
      </c>
      <c r="B4152" t="str">
        <f>"1552374669705000"</f>
        <v>1552374669705000</v>
      </c>
      <c r="C4152" t="s">
        <v>40</v>
      </c>
      <c r="D4152">
        <v>5.0728530000000003</v>
      </c>
      <c r="E4152">
        <v>0.57555940000000005</v>
      </c>
      <c r="F4152" t="s">
        <v>42</v>
      </c>
      <c r="G4152">
        <v>-273.86790000000002</v>
      </c>
      <c r="H4152" s="1">
        <v>-2.9997409999999999E-6</v>
      </c>
      <c r="I4152">
        <v>141.06979999999999</v>
      </c>
      <c r="J4152">
        <v>-251.65989999999999</v>
      </c>
      <c r="K4152">
        <v>1.1097030000000001</v>
      </c>
      <c r="L4152">
        <v>136.8374</v>
      </c>
      <c r="M4152">
        <v>-0.99686770000000002</v>
      </c>
      <c r="N4152">
        <v>0</v>
      </c>
      <c r="O4152">
        <v>7.8764420000000002E-2</v>
      </c>
      <c r="P4152">
        <v>-0.99099890000000002</v>
      </c>
      <c r="Q4152">
        <v>0.13385420000000001</v>
      </c>
      <c r="R4152">
        <v>2.1030689999999999E-3</v>
      </c>
      <c r="S4152">
        <v>-3.0472869999999999</v>
      </c>
      <c r="T4152">
        <v>-0.15079870000000001</v>
      </c>
      <c r="U4152">
        <v>0.57751459999999999</v>
      </c>
      <c r="V4152">
        <v>-7.5897850000000003E-2</v>
      </c>
      <c r="W4152">
        <v>0.1409658</v>
      </c>
      <c r="X4152">
        <v>0.98710089999999995</v>
      </c>
      <c r="Y4152">
        <v>0.10820100000000001</v>
      </c>
      <c r="Z4152">
        <v>-1.199019E-3</v>
      </c>
      <c r="AA4152">
        <v>0.99412829999999996</v>
      </c>
      <c r="AB4152">
        <v>22</v>
      </c>
      <c r="AC4152">
        <v>-22.207999999999998</v>
      </c>
      <c r="AD4152">
        <v>-1.1097059997409999</v>
      </c>
      <c r="AE4152">
        <v>4.2323999999999797</v>
      </c>
      <c r="AF4152">
        <v>2.4640687008098299</v>
      </c>
      <c r="AG4152">
        <v>-1.1097059997409999</v>
      </c>
      <c r="AH4152">
        <v>22.418358925223099</v>
      </c>
      <c r="AI4152">
        <v>92.816884464748895</v>
      </c>
      <c r="AJ4152">
        <v>83.727627664634099</v>
      </c>
      <c r="AK4152">
        <v>22.580653198441901</v>
      </c>
      <c r="AL4152">
        <v>81.8962633369146</v>
      </c>
      <c r="AM4152">
        <v>94.396801814853802</v>
      </c>
      <c r="AN4152">
        <v>1.00000001359253</v>
      </c>
    </row>
    <row r="4153" spans="1:40" x14ac:dyDescent="0.25">
      <c r="A4153" t="str">
        <f>"20190312151109740"</f>
        <v>20190312151109740</v>
      </c>
      <c r="B4153" t="str">
        <f>"1552374669735256"</f>
        <v>1552374669735256</v>
      </c>
      <c r="C4153" t="s">
        <v>40</v>
      </c>
      <c r="D4153">
        <v>5.1388030000000002</v>
      </c>
      <c r="E4153">
        <v>0.60347119999999999</v>
      </c>
      <c r="F4153" t="s">
        <v>42</v>
      </c>
      <c r="G4153">
        <v>-274.46600000000001</v>
      </c>
      <c r="H4153" s="1">
        <v>-2.7960669999999999E-6</v>
      </c>
      <c r="I4153">
        <v>141.2687</v>
      </c>
      <c r="J4153">
        <v>-251.87450000000001</v>
      </c>
      <c r="K4153">
        <v>1.1096870000000001</v>
      </c>
      <c r="L4153">
        <v>136.85470000000001</v>
      </c>
      <c r="M4153">
        <v>-0.99684569999999995</v>
      </c>
      <c r="N4153">
        <v>0</v>
      </c>
      <c r="O4153">
        <v>7.9046859999999997E-2</v>
      </c>
      <c r="P4153">
        <v>-0.99100790000000005</v>
      </c>
      <c r="Q4153">
        <v>0.1337325</v>
      </c>
      <c r="R4153">
        <v>4.4023509999999997E-3</v>
      </c>
      <c r="S4153">
        <v>-3.0460050000000001</v>
      </c>
      <c r="T4153">
        <v>-0.1482137</v>
      </c>
      <c r="U4153">
        <v>0.59185790000000005</v>
      </c>
      <c r="V4153">
        <v>-7.3885190000000003E-2</v>
      </c>
      <c r="W4153">
        <v>0.1407736</v>
      </c>
      <c r="X4153">
        <v>0.98728099999999996</v>
      </c>
      <c r="Y4153">
        <v>0.11250639999999899</v>
      </c>
      <c r="Z4153">
        <v>-1.088094E-3</v>
      </c>
      <c r="AA4153">
        <v>0.99365040000000004</v>
      </c>
      <c r="AB4153">
        <v>22</v>
      </c>
      <c r="AC4153">
        <v>-22.5915</v>
      </c>
      <c r="AD4153">
        <v>-1.109689796067</v>
      </c>
      <c r="AE4153">
        <v>4.4139999999999802</v>
      </c>
      <c r="AF4153">
        <v>2.6082936955485501</v>
      </c>
      <c r="AG4153">
        <v>-1.109689796067</v>
      </c>
      <c r="AH4153">
        <v>22.8167002075967</v>
      </c>
      <c r="AI4153">
        <v>92.766396581047204</v>
      </c>
      <c r="AJ4153">
        <v>83.478535466700293</v>
      </c>
      <c r="AK4153">
        <v>22.992094637267702</v>
      </c>
      <c r="AL4153">
        <v>81.907386396409095</v>
      </c>
      <c r="AM4153">
        <v>94.279868655642701</v>
      </c>
      <c r="AN4153">
        <v>1.0000000003596401</v>
      </c>
    </row>
    <row r="4154" spans="1:40" x14ac:dyDescent="0.25">
      <c r="A4154" t="str">
        <f>"20190312151109761"</f>
        <v>20190312151109761</v>
      </c>
      <c r="B4154" t="str">
        <f>"1552374669755752"</f>
        <v>1552374669755752</v>
      </c>
      <c r="C4154" t="s">
        <v>40</v>
      </c>
      <c r="D4154">
        <v>5.069985</v>
      </c>
      <c r="E4154">
        <v>0.60700769999999904</v>
      </c>
      <c r="F4154" t="s">
        <v>77</v>
      </c>
      <c r="G4154">
        <v>-363.22579999999999</v>
      </c>
      <c r="H4154">
        <v>2.491717</v>
      </c>
      <c r="I4154">
        <v>167.38140000000001</v>
      </c>
      <c r="J4154">
        <v>-252.09530000000001</v>
      </c>
      <c r="K4154">
        <v>1.1096790000000001</v>
      </c>
      <c r="L4154">
        <v>136.8725</v>
      </c>
      <c r="M4154">
        <v>-0.99682309999999996</v>
      </c>
      <c r="N4154">
        <v>0</v>
      </c>
      <c r="O4154">
        <v>7.9337309999999994E-2</v>
      </c>
      <c r="P4154">
        <v>-0.99104559999999997</v>
      </c>
      <c r="Q4154">
        <v>0.13337249999999901</v>
      </c>
      <c r="R4154">
        <v>6.3746940000000002E-3</v>
      </c>
      <c r="S4154">
        <v>-3.018494</v>
      </c>
      <c r="T4154">
        <v>3.7463429999999999E-2</v>
      </c>
      <c r="U4154">
        <v>0.82751459999999999</v>
      </c>
      <c r="V4154">
        <v>-7.2210200000000002E-2</v>
      </c>
      <c r="W4154">
        <v>0.14035159999999999</v>
      </c>
      <c r="X4154">
        <v>0.98746500000000004</v>
      </c>
      <c r="Y4154">
        <v>0.18703549999999999</v>
      </c>
      <c r="Z4154">
        <v>-1.7610990000000001E-4</v>
      </c>
      <c r="AA4154">
        <v>0.98235320000000004</v>
      </c>
      <c r="AB4154">
        <v>22</v>
      </c>
      <c r="AC4154">
        <v>-111.130499999999</v>
      </c>
      <c r="AD4154">
        <v>1.3820380000000001</v>
      </c>
      <c r="AE4154">
        <v>30.508900000000001</v>
      </c>
      <c r="AF4154">
        <v>21.592608243904898</v>
      </c>
      <c r="AG4154">
        <v>1.3820380000000001</v>
      </c>
      <c r="AH4154">
        <v>113.184455843352</v>
      </c>
      <c r="AI4154">
        <v>89.312816948351596</v>
      </c>
      <c r="AJ4154">
        <v>79.199258273965995</v>
      </c>
      <c r="AK4154">
        <v>115.233987192859</v>
      </c>
      <c r="AL4154">
        <v>81.931807716121995</v>
      </c>
      <c r="AM4154">
        <v>94.182414985096202</v>
      </c>
      <c r="AN4154">
        <v>1.0000000054158</v>
      </c>
    </row>
    <row r="4155" spans="1:40" x14ac:dyDescent="0.25">
      <c r="A4155" t="str">
        <f>"20190312151109785"</f>
        <v>20190312151109785</v>
      </c>
      <c r="B4155" t="str">
        <f>"1552374669775272"</f>
        <v>1552374669775272</v>
      </c>
      <c r="C4155" t="s">
        <v>40</v>
      </c>
      <c r="D4155">
        <v>5.224113</v>
      </c>
      <c r="E4155">
        <v>0.59743059999999903</v>
      </c>
      <c r="F4155" t="s">
        <v>41</v>
      </c>
      <c r="G4155">
        <v>-252.9539</v>
      </c>
      <c r="H4155">
        <v>1.01166</v>
      </c>
      <c r="I4155">
        <v>137.1104</v>
      </c>
      <c r="J4155">
        <v>-252.32749999999999</v>
      </c>
      <c r="K4155">
        <v>1.109669</v>
      </c>
      <c r="L4155">
        <v>136.8913</v>
      </c>
      <c r="M4155">
        <v>-0.9967992</v>
      </c>
      <c r="N4155">
        <v>0</v>
      </c>
      <c r="O4155">
        <v>7.9643249999999999E-2</v>
      </c>
      <c r="P4155">
        <v>-0.99101039999999996</v>
      </c>
      <c r="Q4155">
        <v>0.13353329999999999</v>
      </c>
      <c r="R4155">
        <v>8.2173319999999904E-3</v>
      </c>
      <c r="S4155">
        <v>-3.0687869999999999</v>
      </c>
      <c r="T4155">
        <v>-0.35033989999999998</v>
      </c>
      <c r="U4155">
        <v>0.84968569999999999</v>
      </c>
      <c r="V4155">
        <v>-7.0673150000000004E-2</v>
      </c>
      <c r="W4155">
        <v>0.140454</v>
      </c>
      <c r="X4155">
        <v>0.98756160000000004</v>
      </c>
      <c r="Y4155">
        <v>0.1885811</v>
      </c>
      <c r="Z4155">
        <v>1.6670179999999999E-3</v>
      </c>
      <c r="AA4155">
        <v>0.98205620000000005</v>
      </c>
      <c r="AB4155">
        <v>22</v>
      </c>
      <c r="AC4155">
        <v>-0.62640000000001705</v>
      </c>
      <c r="AD4155">
        <v>-9.8008999999999999E-2</v>
      </c>
      <c r="AE4155">
        <v>0.21909999999999699</v>
      </c>
      <c r="AF4155">
        <v>0.16491701454586799</v>
      </c>
      <c r="AG4155">
        <v>-9.8008999999999999E-2</v>
      </c>
      <c r="AH4155">
        <v>0.62815873633375596</v>
      </c>
      <c r="AI4155">
        <v>98.581836726083907</v>
      </c>
      <c r="AJ4155">
        <v>75.289533266438696</v>
      </c>
      <c r="AK4155">
        <v>0.65680041397683597</v>
      </c>
      <c r="AL4155">
        <v>81.925881618187802</v>
      </c>
      <c r="AM4155">
        <v>94.093295916139397</v>
      </c>
      <c r="AN4155">
        <v>0.99999996702074001</v>
      </c>
    </row>
    <row r="4156" spans="1:40" x14ac:dyDescent="0.25">
      <c r="A4156" t="str">
        <f>"20190312151109807"</f>
        <v>20190312151109807</v>
      </c>
      <c r="B4156" t="str">
        <f>"1552374669795768"</f>
        <v>1552374669795768</v>
      </c>
      <c r="C4156" t="s">
        <v>40</v>
      </c>
      <c r="D4156">
        <v>5.0702790000000002</v>
      </c>
      <c r="E4156">
        <v>0.59744330000000001</v>
      </c>
      <c r="F4156" t="s">
        <v>84</v>
      </c>
      <c r="G4156">
        <v>-341.524</v>
      </c>
      <c r="H4156">
        <v>0.1586514</v>
      </c>
      <c r="I4156">
        <v>160.15280000000001</v>
      </c>
      <c r="J4156">
        <v>-252.54650000000001</v>
      </c>
      <c r="K4156">
        <v>1.1096619999999999</v>
      </c>
      <c r="L4156">
        <v>136.9092</v>
      </c>
      <c r="M4156">
        <v>-0.99677629999999995</v>
      </c>
      <c r="N4156">
        <v>0</v>
      </c>
      <c r="O4156">
        <v>7.9930479999999998E-2</v>
      </c>
      <c r="P4156">
        <v>-0.99104250000000005</v>
      </c>
      <c r="Q4156">
        <v>0.1332033</v>
      </c>
      <c r="R4156">
        <v>9.5762869999999993E-3</v>
      </c>
      <c r="S4156">
        <v>-3.0250240000000002</v>
      </c>
      <c r="T4156">
        <v>-3.2252549999999998E-2</v>
      </c>
      <c r="U4156">
        <v>0.78889469999999995</v>
      </c>
      <c r="V4156">
        <v>-6.9606009999999996E-2</v>
      </c>
      <c r="W4156">
        <v>0.140077799999999</v>
      </c>
      <c r="X4156">
        <v>0.98769090000000004</v>
      </c>
      <c r="Y4156">
        <v>0.1741915</v>
      </c>
      <c r="Z4156" s="1">
        <v>7.7925269999999894E-5</v>
      </c>
      <c r="AA4156">
        <v>0.98471180000000003</v>
      </c>
      <c r="AB4156">
        <v>22</v>
      </c>
      <c r="AC4156">
        <v>-88.977499999999907</v>
      </c>
      <c r="AD4156">
        <v>-0.95101060000000004</v>
      </c>
      <c r="AE4156">
        <v>23.243600000000001</v>
      </c>
      <c r="AF4156">
        <v>16.055324749018101</v>
      </c>
      <c r="AG4156">
        <v>-0.95101060000000004</v>
      </c>
      <c r="AH4156">
        <v>90.541031815451007</v>
      </c>
      <c r="AI4156">
        <v>90.592548761486398</v>
      </c>
      <c r="AJ4156">
        <v>79.944467832187101</v>
      </c>
      <c r="AK4156">
        <v>91.958448856884601</v>
      </c>
      <c r="AL4156">
        <v>81.9476521864175</v>
      </c>
      <c r="AM4156">
        <v>94.031167890916095</v>
      </c>
      <c r="AN4156">
        <v>1.00000005031188</v>
      </c>
    </row>
    <row r="4157" spans="1:40" x14ac:dyDescent="0.25">
      <c r="A4157" t="str">
        <f>"20190312151109829"</f>
        <v>20190312151109829</v>
      </c>
      <c r="B4157" t="str">
        <f>"1552374669825048"</f>
        <v>1552374669825048</v>
      </c>
      <c r="C4157" t="s">
        <v>40</v>
      </c>
      <c r="D4157">
        <v>5.1113</v>
      </c>
      <c r="E4157">
        <v>0.59737989999999996</v>
      </c>
      <c r="F4157" t="s">
        <v>84</v>
      </c>
      <c r="G4157">
        <v>-344.07170000000002</v>
      </c>
      <c r="H4157">
        <v>0.55704399999999998</v>
      </c>
      <c r="I4157">
        <v>160.95349999999999</v>
      </c>
      <c r="J4157">
        <v>-252.76480000000001</v>
      </c>
      <c r="K4157">
        <v>1.109656</v>
      </c>
      <c r="L4157">
        <v>136.92699999999999</v>
      </c>
      <c r="M4157">
        <v>-0.99675400000000003</v>
      </c>
      <c r="N4157">
        <v>0</v>
      </c>
      <c r="O4157">
        <v>8.0212770000000003E-2</v>
      </c>
      <c r="P4157">
        <v>-0.99102330000000005</v>
      </c>
      <c r="Q4157">
        <v>0.13321849999999999</v>
      </c>
      <c r="R4157">
        <v>1.121925E-2</v>
      </c>
      <c r="S4157">
        <v>-3.021881</v>
      </c>
      <c r="T4157">
        <v>-1.8245339999999999E-2</v>
      </c>
      <c r="U4157">
        <v>0.79386899999999905</v>
      </c>
      <c r="V4157">
        <v>-6.8246479999999998E-2</v>
      </c>
      <c r="W4157">
        <v>0.1400546</v>
      </c>
      <c r="X4157">
        <v>0.98778900000000003</v>
      </c>
      <c r="Y4157">
        <v>0.1756828</v>
      </c>
      <c r="Z4157" s="1">
        <v>4.689107E-5</v>
      </c>
      <c r="AA4157">
        <v>0.98444679999999996</v>
      </c>
      <c r="AB4157">
        <v>22</v>
      </c>
      <c r="AC4157">
        <v>-91.306899999999999</v>
      </c>
      <c r="AD4157">
        <v>-0.55261199999999999</v>
      </c>
      <c r="AE4157">
        <v>24.026499999999899</v>
      </c>
      <c r="AF4157">
        <v>16.624354908780301</v>
      </c>
      <c r="AG4157">
        <v>-0.55261199999999999</v>
      </c>
      <c r="AH4157">
        <v>92.936767670632705</v>
      </c>
      <c r="AI4157">
        <v>90.335359892927897</v>
      </c>
      <c r="AJ4157">
        <v>79.858299768556904</v>
      </c>
      <c r="AK4157">
        <v>94.413544267868602</v>
      </c>
      <c r="AL4157">
        <v>81.948994199997401</v>
      </c>
      <c r="AM4157">
        <v>93.952292708455602</v>
      </c>
      <c r="AN4157">
        <v>0.99999999076727497</v>
      </c>
    </row>
    <row r="4158" spans="1:40" x14ac:dyDescent="0.25">
      <c r="A4158" t="str">
        <f>"20190312151109850"</f>
        <v>20190312151109850</v>
      </c>
      <c r="B4158" t="str">
        <f>"1552374669845545"</f>
        <v>1552374669845545</v>
      </c>
      <c r="C4158" t="s">
        <v>40</v>
      </c>
      <c r="D4158">
        <v>5.1519909999999998</v>
      </c>
      <c r="E4158">
        <v>0.59740349999999998</v>
      </c>
      <c r="F4158" t="s">
        <v>84</v>
      </c>
      <c r="G4158">
        <v>-340.67869999999999</v>
      </c>
      <c r="H4158">
        <v>0.291408099999999</v>
      </c>
      <c r="I4158">
        <v>160.15280000000001</v>
      </c>
      <c r="J4158">
        <v>-252.98070000000001</v>
      </c>
      <c r="K4158">
        <v>1.10965</v>
      </c>
      <c r="L4158">
        <v>136.94470000000001</v>
      </c>
      <c r="M4158">
        <v>-0.99673239999999996</v>
      </c>
      <c r="N4158">
        <v>0</v>
      </c>
      <c r="O4158">
        <v>8.0483789999999999E-2</v>
      </c>
      <c r="P4158">
        <v>-0.99106090000000002</v>
      </c>
      <c r="Q4158">
        <v>0.13283610000000001</v>
      </c>
      <c r="R4158">
        <v>1.2368189999999999E-2</v>
      </c>
      <c r="S4158">
        <v>-3.0219119999999999</v>
      </c>
      <c r="T4158">
        <v>-2.812564E-2</v>
      </c>
      <c r="U4158">
        <v>0.79835509999999998</v>
      </c>
      <c r="V4158">
        <v>-6.7374749999999997E-2</v>
      </c>
      <c r="W4158">
        <v>0.1396472</v>
      </c>
      <c r="X4158">
        <v>0.98790650000000002</v>
      </c>
      <c r="Y4158">
        <v>0.17677689999999999</v>
      </c>
      <c r="Z4158" s="1">
        <v>7.4823500000000006E-5</v>
      </c>
      <c r="AA4158">
        <v>0.98425099999999999</v>
      </c>
      <c r="AB4158">
        <v>22</v>
      </c>
      <c r="AC4158">
        <v>-87.697999999999894</v>
      </c>
      <c r="AD4158">
        <v>-0.81824189999999997</v>
      </c>
      <c r="AE4158">
        <v>23.208100000000002</v>
      </c>
      <c r="AF4158">
        <v>16.073066970702602</v>
      </c>
      <c r="AG4158">
        <v>-0.81824189999999997</v>
      </c>
      <c r="AH4158">
        <v>89.274143801781406</v>
      </c>
      <c r="AI4158">
        <v>90.516820486076895</v>
      </c>
      <c r="AJ4158">
        <v>79.793713065725896</v>
      </c>
      <c r="AK4158">
        <v>90.713206057292297</v>
      </c>
      <c r="AL4158">
        <v>81.972568045632499</v>
      </c>
      <c r="AM4158">
        <v>93.901503339175605</v>
      </c>
      <c r="AN4158">
        <v>0.99999997507382599</v>
      </c>
    </row>
    <row r="4159" spans="1:40" x14ac:dyDescent="0.25">
      <c r="A4159" t="str">
        <f>"20190312151109872"</f>
        <v>20190312151109872</v>
      </c>
      <c r="B4159" t="str">
        <f>"1552374669865067"</f>
        <v>1552374669865067</v>
      </c>
      <c r="C4159" t="s">
        <v>40</v>
      </c>
      <c r="D4159">
        <v>5.0932620000000002</v>
      </c>
      <c r="E4159">
        <v>0.59622359999999996</v>
      </c>
      <c r="F4159" t="s">
        <v>84</v>
      </c>
      <c r="G4159">
        <v>-342.8356</v>
      </c>
      <c r="H4159">
        <v>0.3615913</v>
      </c>
      <c r="I4159">
        <v>160.81559999999999</v>
      </c>
      <c r="J4159">
        <v>-253.20760000000001</v>
      </c>
      <c r="K4159">
        <v>1.109661</v>
      </c>
      <c r="L4159">
        <v>136.9633</v>
      </c>
      <c r="M4159">
        <v>-0.9967106</v>
      </c>
      <c r="N4159">
        <v>0</v>
      </c>
      <c r="O4159">
        <v>8.0754199999999998E-2</v>
      </c>
      <c r="P4159">
        <v>-0.99103030000000003</v>
      </c>
      <c r="Q4159">
        <v>0.1329207</v>
      </c>
      <c r="R4159">
        <v>1.3840959999999999E-2</v>
      </c>
      <c r="S4159">
        <v>-3.0203859999999998</v>
      </c>
      <c r="T4159">
        <v>-2.5144819999999998E-2</v>
      </c>
      <c r="U4159">
        <v>0.80239869999999902</v>
      </c>
      <c r="V4159">
        <v>-6.6174670000000005E-2</v>
      </c>
      <c r="W4159">
        <v>0.13972079999999901</v>
      </c>
      <c r="X4159">
        <v>0.9879772</v>
      </c>
      <c r="Y4159">
        <v>0.17786459999999901</v>
      </c>
      <c r="Z4159" s="1">
        <v>6.9178760000000006E-5</v>
      </c>
      <c r="AA4159">
        <v>0.98405500000000001</v>
      </c>
      <c r="AB4159">
        <v>23</v>
      </c>
      <c r="AC4159">
        <v>-89.627999999999901</v>
      </c>
      <c r="AD4159">
        <v>-0.74806969999999995</v>
      </c>
      <c r="AE4159">
        <v>23.8522999999999</v>
      </c>
      <c r="AF4159">
        <v>16.535313557769101</v>
      </c>
      <c r="AG4159">
        <v>-0.74806969999999995</v>
      </c>
      <c r="AH4159">
        <v>91.255547214896595</v>
      </c>
      <c r="AI4159">
        <v>90.462147937416006</v>
      </c>
      <c r="AJ4159">
        <v>79.729559524754904</v>
      </c>
      <c r="AK4159">
        <v>92.744547549815707</v>
      </c>
      <c r="AL4159">
        <v>81.968309269534899</v>
      </c>
      <c r="AM4159">
        <v>93.831945228723995</v>
      </c>
      <c r="AN4159">
        <v>0.99999996831104399</v>
      </c>
    </row>
    <row r="4160" spans="1:40" x14ac:dyDescent="0.25">
      <c r="A4160" t="str">
        <f>"20190312151109907"</f>
        <v>20190312151109907</v>
      </c>
      <c r="B4160" t="str">
        <f>"1552374669895324"</f>
        <v>1552374669895324</v>
      </c>
      <c r="C4160" t="s">
        <v>40</v>
      </c>
      <c r="D4160">
        <v>5.0920170000000002</v>
      </c>
      <c r="E4160">
        <v>0.59539560000000002</v>
      </c>
      <c r="F4160" t="s">
        <v>42</v>
      </c>
      <c r="G4160">
        <v>-270.45350000000002</v>
      </c>
      <c r="H4160" s="1">
        <v>-4.4478400000000003E-6</v>
      </c>
      <c r="I4160">
        <v>141.45490000000001</v>
      </c>
      <c r="J4160">
        <v>-253.55029999999999</v>
      </c>
      <c r="K4160">
        <v>1.1096809999999999</v>
      </c>
      <c r="L4160">
        <v>136.9915</v>
      </c>
      <c r="M4160">
        <v>-0.9966815</v>
      </c>
      <c r="N4160">
        <v>0</v>
      </c>
      <c r="O4160">
        <v>8.1112439999999994E-2</v>
      </c>
      <c r="P4160">
        <v>-0.99101729999999999</v>
      </c>
      <c r="Q4160">
        <v>0.13295100000000001</v>
      </c>
      <c r="R4160">
        <v>1.4461130000000001E-2</v>
      </c>
      <c r="S4160">
        <v>-3.0423279999999999</v>
      </c>
      <c r="T4160">
        <v>-0.19575519999999999</v>
      </c>
      <c r="U4160">
        <v>0.79235840000000002</v>
      </c>
      <c r="V4160">
        <v>-6.5919489999999997E-2</v>
      </c>
      <c r="W4160">
        <v>0.1397534</v>
      </c>
      <c r="X4160">
        <v>0.98798969999999997</v>
      </c>
      <c r="Y4160">
        <v>0.172534299999999</v>
      </c>
      <c r="Z4160">
        <v>3.432687E-4</v>
      </c>
      <c r="AA4160">
        <v>0.98500350000000003</v>
      </c>
      <c r="AB4160">
        <v>23</v>
      </c>
      <c r="AC4160">
        <v>-16.903199999999998</v>
      </c>
      <c r="AD4160">
        <v>-1.10968544784</v>
      </c>
      <c r="AE4160">
        <v>4.4634</v>
      </c>
      <c r="AF4160">
        <v>3.0652506935591002</v>
      </c>
      <c r="AG4160">
        <v>-1.10968544784</v>
      </c>
      <c r="AH4160">
        <v>17.1404885732987</v>
      </c>
      <c r="AI4160">
        <v>93.646503639374004</v>
      </c>
      <c r="AJ4160">
        <v>79.860916295314894</v>
      </c>
      <c r="AK4160">
        <v>17.447736590712701</v>
      </c>
      <c r="AL4160">
        <v>81.966423334479003</v>
      </c>
      <c r="AM4160">
        <v>93.817164259483604</v>
      </c>
      <c r="AN4160">
        <v>1.00000001963975</v>
      </c>
    </row>
    <row r="4161" spans="1:40" x14ac:dyDescent="0.25">
      <c r="A4161" t="str">
        <f>"20190312151109929"</f>
        <v>20190312151109929</v>
      </c>
      <c r="B4161" t="str">
        <f>"1552374669925576"</f>
        <v>1552374669925576</v>
      </c>
      <c r="C4161" t="s">
        <v>40</v>
      </c>
      <c r="D4161">
        <v>5.127694</v>
      </c>
      <c r="E4161">
        <v>0.59552130000000003</v>
      </c>
      <c r="F4161" t="s">
        <v>42</v>
      </c>
      <c r="G4161">
        <v>-271.82560000000001</v>
      </c>
      <c r="H4161" s="1">
        <v>-4.0292100000000002E-6</v>
      </c>
      <c r="I4161">
        <v>141.72710000000001</v>
      </c>
      <c r="J4161">
        <v>-253.77690000000001</v>
      </c>
      <c r="K4161">
        <v>1.10971</v>
      </c>
      <c r="L4161">
        <v>137.0103</v>
      </c>
      <c r="M4161">
        <v>-0.99666540000000003</v>
      </c>
      <c r="N4161">
        <v>0</v>
      </c>
      <c r="O4161">
        <v>8.1307889999999994E-2</v>
      </c>
      <c r="P4161">
        <v>-0.99103719999999995</v>
      </c>
      <c r="Q4161">
        <v>0.13272519999999999</v>
      </c>
      <c r="R4161">
        <v>1.5142030000000001E-2</v>
      </c>
      <c r="S4161">
        <v>-3.040451</v>
      </c>
      <c r="T4161">
        <v>-0.1846187</v>
      </c>
      <c r="U4161">
        <v>0.78785709999999998</v>
      </c>
      <c r="V4161">
        <v>-6.5444260000000004E-2</v>
      </c>
      <c r="W4161">
        <v>0.13953759999999901</v>
      </c>
      <c r="X4161">
        <v>0.98805180000000004</v>
      </c>
      <c r="Y4161">
        <v>0.1711452</v>
      </c>
      <c r="Z4161">
        <v>2.7093519999999999E-4</v>
      </c>
      <c r="AA4161">
        <v>0.98524579999999995</v>
      </c>
      <c r="AB4161">
        <v>23</v>
      </c>
      <c r="AC4161">
        <v>-18.0487</v>
      </c>
      <c r="AD4161">
        <v>-1.1097140292100001</v>
      </c>
      <c r="AE4161">
        <v>4.7168000000000001</v>
      </c>
      <c r="AF4161">
        <v>3.2222434027064901</v>
      </c>
      <c r="AG4161">
        <v>-1.1097140292100001</v>
      </c>
      <c r="AH4161">
        <v>18.307676059815901</v>
      </c>
      <c r="AI4161">
        <v>93.416337183668205</v>
      </c>
      <c r="AJ4161">
        <v>80.017890176337303</v>
      </c>
      <c r="AK4161">
        <v>18.622172818553299</v>
      </c>
      <c r="AL4161">
        <v>81.978910167634098</v>
      </c>
      <c r="AM4161">
        <v>93.789488360591307</v>
      </c>
      <c r="AN4161">
        <v>1.0000000262319699</v>
      </c>
    </row>
    <row r="4162" spans="1:40" x14ac:dyDescent="0.25">
      <c r="A4162" t="str">
        <f>"20190312151109950"</f>
        <v>20190312151109950</v>
      </c>
      <c r="B4162" t="str">
        <f>"1552374669945097"</f>
        <v>1552374669945097</v>
      </c>
      <c r="C4162" t="s">
        <v>40</v>
      </c>
      <c r="D4162">
        <v>5.1400540000000001</v>
      </c>
      <c r="E4162">
        <v>0.59676940000000001</v>
      </c>
      <c r="F4162" t="s">
        <v>42</v>
      </c>
      <c r="G4162">
        <v>-273.60770000000002</v>
      </c>
      <c r="H4162" s="1">
        <v>-3.4058270000000002E-6</v>
      </c>
      <c r="I4162">
        <v>142.1765</v>
      </c>
      <c r="J4162">
        <v>-254.00190000000001</v>
      </c>
      <c r="K4162">
        <v>1.1097410000000001</v>
      </c>
      <c r="L4162">
        <v>137.02879999999999</v>
      </c>
      <c r="M4162">
        <v>-0.99665269999999995</v>
      </c>
      <c r="N4162">
        <v>0</v>
      </c>
      <c r="O4162">
        <v>8.1460950000000004E-2</v>
      </c>
      <c r="P4162">
        <v>-0.99100829999999995</v>
      </c>
      <c r="Q4162">
        <v>0.1328474</v>
      </c>
      <c r="R4162">
        <v>1.5946660000000001E-2</v>
      </c>
      <c r="S4162">
        <v>-3.0377809999999998</v>
      </c>
      <c r="T4162">
        <v>-0.16999230000000001</v>
      </c>
      <c r="U4162">
        <v>0.79139709999999996</v>
      </c>
      <c r="V4162">
        <v>-6.4801750000000005E-2</v>
      </c>
      <c r="W4162">
        <v>0.13967599999999999</v>
      </c>
      <c r="X4162">
        <v>0.98807460000000003</v>
      </c>
      <c r="Y4162">
        <v>0.17230139999999999</v>
      </c>
      <c r="Z4162">
        <v>2.7318209999999999E-4</v>
      </c>
      <c r="AA4162">
        <v>0.98504420000000004</v>
      </c>
      <c r="AB4162">
        <v>23</v>
      </c>
      <c r="AC4162">
        <v>-19.605799999999999</v>
      </c>
      <c r="AD4162">
        <v>-1.1097444058270001</v>
      </c>
      <c r="AE4162">
        <v>5.1477000000000102</v>
      </c>
      <c r="AF4162">
        <v>3.52288694008173</v>
      </c>
      <c r="AG4162">
        <v>-1.1097444058270001</v>
      </c>
      <c r="AH4162">
        <v>19.9003377063082</v>
      </c>
      <c r="AI4162">
        <v>93.143030732287102</v>
      </c>
      <c r="AJ4162">
        <v>79.9611342356053</v>
      </c>
      <c r="AK4162">
        <v>20.240200242684701</v>
      </c>
      <c r="AL4162">
        <v>81.970902066720697</v>
      </c>
      <c r="AM4162">
        <v>93.752304898634193</v>
      </c>
      <c r="AN4162">
        <v>1.00000003347211</v>
      </c>
    </row>
    <row r="4163" spans="1:40" x14ac:dyDescent="0.25">
      <c r="A4163" t="str">
        <f>"20190312151109973"</f>
        <v>20190312151109973</v>
      </c>
      <c r="B4163" t="str">
        <f>"1552374669965592"</f>
        <v>1552374669965592</v>
      </c>
      <c r="C4163" t="s">
        <v>40</v>
      </c>
      <c r="D4163">
        <v>5.1637420000000001</v>
      </c>
      <c r="E4163">
        <v>0.59666260000000004</v>
      </c>
      <c r="F4163" t="s">
        <v>42</v>
      </c>
      <c r="G4163">
        <v>-272.2029</v>
      </c>
      <c r="H4163" s="1">
        <v>-3.9187570000000004E-6</v>
      </c>
      <c r="I4163">
        <v>141.83920000000001</v>
      </c>
      <c r="J4163">
        <v>-254.232</v>
      </c>
      <c r="K4163">
        <v>1.1097760000000001</v>
      </c>
      <c r="L4163">
        <v>137.04769999999999</v>
      </c>
      <c r="M4163">
        <v>-0.99664410000000003</v>
      </c>
      <c r="N4163">
        <v>0</v>
      </c>
      <c r="O4163">
        <v>8.1564269999999994E-2</v>
      </c>
      <c r="P4163">
        <v>-0.99096359999999994</v>
      </c>
      <c r="Q4163">
        <v>0.1330615</v>
      </c>
      <c r="R4163">
        <v>1.69144E-2</v>
      </c>
      <c r="S4163">
        <v>-3.0391240000000002</v>
      </c>
      <c r="T4163">
        <v>-0.18530060000000001</v>
      </c>
      <c r="U4163">
        <v>0.80323789999999995</v>
      </c>
      <c r="V4163">
        <v>-6.3947240000000002E-2</v>
      </c>
      <c r="W4163">
        <v>0.13991489999999901</v>
      </c>
      <c r="X4163">
        <v>0.98809639999999999</v>
      </c>
      <c r="Y4163">
        <v>0.17565259999999999</v>
      </c>
      <c r="Z4163">
        <v>3.9185579999999998E-4</v>
      </c>
      <c r="AA4163">
        <v>0.98445210000000005</v>
      </c>
      <c r="AB4163">
        <v>23</v>
      </c>
      <c r="AC4163">
        <v>-17.9709</v>
      </c>
      <c r="AD4163">
        <v>-1.1097799187569899</v>
      </c>
      <c r="AE4163">
        <v>4.7915000000000099</v>
      </c>
      <c r="AF4163">
        <v>3.2979736151254802</v>
      </c>
      <c r="AG4163">
        <v>-1.1097799187569899</v>
      </c>
      <c r="AH4163">
        <v>18.236912001839698</v>
      </c>
      <c r="AI4163">
        <v>93.426905295972901</v>
      </c>
      <c r="AJ4163">
        <v>79.749383296726293</v>
      </c>
      <c r="AK4163">
        <v>18.565915027193999</v>
      </c>
      <c r="AL4163">
        <v>81.957077785356702</v>
      </c>
      <c r="AM4163">
        <v>93.702882142579796</v>
      </c>
      <c r="AN4163">
        <v>0.99999996221929299</v>
      </c>
    </row>
    <row r="4164" spans="1:40" x14ac:dyDescent="0.25">
      <c r="A4164" t="str">
        <f>"20190312151109997"</f>
        <v>20190312151109997</v>
      </c>
      <c r="B4164" t="str">
        <f>"1552374669985113"</f>
        <v>1552374669985113</v>
      </c>
      <c r="C4164" t="s">
        <v>40</v>
      </c>
      <c r="D4164">
        <v>5.176075</v>
      </c>
      <c r="E4164">
        <v>0.59663750000000004</v>
      </c>
      <c r="F4164" t="s">
        <v>42</v>
      </c>
      <c r="G4164">
        <v>-275.51069999999999</v>
      </c>
      <c r="H4164" s="1">
        <v>-2.7288180000000001E-6</v>
      </c>
      <c r="I4164">
        <v>142.7003</v>
      </c>
      <c r="J4164">
        <v>-254.4802</v>
      </c>
      <c r="K4164">
        <v>1.1098269999999999</v>
      </c>
      <c r="L4164">
        <v>137.06809999999999</v>
      </c>
      <c r="M4164">
        <v>-0.99663939999999995</v>
      </c>
      <c r="N4164">
        <v>0</v>
      </c>
      <c r="O4164">
        <v>8.1618399999999994E-2</v>
      </c>
      <c r="P4164">
        <v>-0.99091309999999999</v>
      </c>
      <c r="Q4164">
        <v>0.13335620000000001</v>
      </c>
      <c r="R4164">
        <v>1.7540050000000001E-2</v>
      </c>
      <c r="S4164">
        <v>-3.0348510000000002</v>
      </c>
      <c r="T4164">
        <v>-0.15828110000000001</v>
      </c>
      <c r="U4164">
        <v>0.80619810000000003</v>
      </c>
      <c r="V4164">
        <v>-6.3386390000000001E-2</v>
      </c>
      <c r="W4164">
        <v>0.14024439999999999</v>
      </c>
      <c r="X4164">
        <v>0.98808589999999996</v>
      </c>
      <c r="Y4164">
        <v>0.1768807</v>
      </c>
      <c r="Z4164">
        <v>3.6397300000000002E-4</v>
      </c>
      <c r="AA4164">
        <v>0.9842322</v>
      </c>
      <c r="AB4164">
        <v>23</v>
      </c>
      <c r="AC4164">
        <v>-21.0304999999999</v>
      </c>
      <c r="AD4164">
        <v>-1.1098297288179999</v>
      </c>
      <c r="AE4164">
        <v>5.6322000000000099</v>
      </c>
      <c r="AF4164">
        <v>3.88679084264139</v>
      </c>
      <c r="AG4164">
        <v>-1.1098297288179999</v>
      </c>
      <c r="AH4164">
        <v>21.364517052678298</v>
      </c>
      <c r="AI4164">
        <v>92.925752106425904</v>
      </c>
      <c r="AJ4164">
        <v>79.6890966659507</v>
      </c>
      <c r="AK4164">
        <v>21.7435382119744</v>
      </c>
      <c r="AL4164">
        <v>81.938011428110897</v>
      </c>
      <c r="AM4164">
        <v>93.670534042926107</v>
      </c>
      <c r="AN4164">
        <v>1.0000000359737</v>
      </c>
    </row>
    <row r="4165" spans="1:40" x14ac:dyDescent="0.25">
      <c r="A4165" t="str">
        <f>"20190312151110020"</f>
        <v>20190312151110020</v>
      </c>
      <c r="B4165" t="str">
        <f>"1552374670015368"</f>
        <v>1552374670015368</v>
      </c>
      <c r="C4165" t="s">
        <v>40</v>
      </c>
      <c r="D4165">
        <v>5.1639689999999998</v>
      </c>
      <c r="E4165">
        <v>0.59641189999999999</v>
      </c>
      <c r="F4165" t="s">
        <v>42</v>
      </c>
      <c r="G4165">
        <v>-278.64920000000001</v>
      </c>
      <c r="H4165" s="1">
        <v>-1.5987790000000001E-6</v>
      </c>
      <c r="I4165">
        <v>143.51349999999999</v>
      </c>
      <c r="J4165">
        <v>-254.70849999999999</v>
      </c>
      <c r="K4165">
        <v>1.109872</v>
      </c>
      <c r="L4165">
        <v>137.08690000000001</v>
      </c>
      <c r="M4165">
        <v>-0.99664039999999998</v>
      </c>
      <c r="N4165">
        <v>0</v>
      </c>
      <c r="O4165">
        <v>8.160278E-2</v>
      </c>
      <c r="P4165">
        <v>-0.99088310000000002</v>
      </c>
      <c r="Q4165">
        <v>0.13350190000000001</v>
      </c>
      <c r="R4165">
        <v>1.8109799999999999E-2</v>
      </c>
      <c r="S4165">
        <v>-3.031952</v>
      </c>
      <c r="T4165">
        <v>-0.13922579999999901</v>
      </c>
      <c r="U4165">
        <v>0.80856319999999904</v>
      </c>
      <c r="V4165">
        <v>-6.2813690000000005E-2</v>
      </c>
      <c r="W4165">
        <v>0.14042669999999999</v>
      </c>
      <c r="X4165">
        <v>0.98809650000000004</v>
      </c>
      <c r="Y4165">
        <v>0.17787249999999999</v>
      </c>
      <c r="Z4165">
        <v>3.4357099999999998E-4</v>
      </c>
      <c r="AA4165">
        <v>0.98405350000000003</v>
      </c>
      <c r="AB4165">
        <v>23</v>
      </c>
      <c r="AC4165">
        <v>-23.9407</v>
      </c>
      <c r="AD4165">
        <v>-1.109873598779</v>
      </c>
      <c r="AE4165">
        <v>6.4265999999999703</v>
      </c>
      <c r="AF4165">
        <v>4.4425842025250697</v>
      </c>
      <c r="AG4165">
        <v>-1.109873598779</v>
      </c>
      <c r="AH4165">
        <v>24.336505489993201</v>
      </c>
      <c r="AI4165">
        <v>92.568789922560001</v>
      </c>
      <c r="AJ4165">
        <v>79.654672676868302</v>
      </c>
      <c r="AK4165">
        <v>24.763559382008498</v>
      </c>
      <c r="AL4165">
        <v>81.927461357042503</v>
      </c>
      <c r="AM4165">
        <v>93.637421062444702</v>
      </c>
      <c r="AN4165">
        <v>0.99999995551827703</v>
      </c>
    </row>
    <row r="4166" spans="1:40" x14ac:dyDescent="0.25">
      <c r="A4166" t="str">
        <f>"20190312151110040"</f>
        <v>20190312151110040</v>
      </c>
      <c r="B4166" t="str">
        <f>"1552374670034888"</f>
        <v>1552374670034888</v>
      </c>
      <c r="C4166" t="s">
        <v>40</v>
      </c>
      <c r="D4166">
        <v>5.1731959999999999</v>
      </c>
      <c r="E4166">
        <v>0.59644759999999997</v>
      </c>
      <c r="F4166" t="s">
        <v>42</v>
      </c>
      <c r="G4166">
        <v>-279.94299999999998</v>
      </c>
      <c r="H4166" s="1">
        <v>-1.125291E-6</v>
      </c>
      <c r="I4166">
        <v>143.82</v>
      </c>
      <c r="J4166">
        <v>-254.92580000000001</v>
      </c>
      <c r="K4166">
        <v>1.1099190000000001</v>
      </c>
      <c r="L4166">
        <v>137.1046</v>
      </c>
      <c r="M4166">
        <v>-0.99664649999999999</v>
      </c>
      <c r="N4166">
        <v>0</v>
      </c>
      <c r="O4166">
        <v>8.1525329999999993E-2</v>
      </c>
      <c r="P4166">
        <v>-0.99080020000000002</v>
      </c>
      <c r="Q4166">
        <v>0.13412399999999999</v>
      </c>
      <c r="R4166">
        <v>1.8051999999999999E-2</v>
      </c>
      <c r="S4166">
        <v>-3.0307919999999999</v>
      </c>
      <c r="T4166">
        <v>-0.13330129999999901</v>
      </c>
      <c r="U4166">
        <v>0.80868530000000005</v>
      </c>
      <c r="V4166">
        <v>-6.2801159999999995E-2</v>
      </c>
      <c r="W4166">
        <v>0.14108479999999901</v>
      </c>
      <c r="X4166">
        <v>0.98800359999999998</v>
      </c>
      <c r="Y4166">
        <v>0.1780872</v>
      </c>
      <c r="Z4166">
        <v>3.3704769999999898E-4</v>
      </c>
      <c r="AA4166">
        <v>0.98401459999999996</v>
      </c>
      <c r="AB4166">
        <v>23</v>
      </c>
      <c r="AC4166">
        <v>-25.0171999999999</v>
      </c>
      <c r="AD4166">
        <v>-1.109920125291</v>
      </c>
      <c r="AE4166">
        <v>6.7153999999999803</v>
      </c>
      <c r="AF4166">
        <v>4.6449308928160802</v>
      </c>
      <c r="AG4166">
        <v>-1.109920125291</v>
      </c>
      <c r="AH4166">
        <v>25.4347092324752</v>
      </c>
      <c r="AI4166">
        <v>92.458086434498696</v>
      </c>
      <c r="AJ4166">
        <v>79.650592566320995</v>
      </c>
      <c r="AK4166">
        <v>25.879175787186998</v>
      </c>
      <c r="AL4166">
        <v>81.8893762813249</v>
      </c>
      <c r="AM4166">
        <v>93.637038455020004</v>
      </c>
      <c r="AN4166">
        <v>1.0000000100506701</v>
      </c>
    </row>
    <row r="4167" spans="1:40" x14ac:dyDescent="0.25">
      <c r="A4167" t="str">
        <f>"20190312151110063"</f>
        <v>20190312151110063</v>
      </c>
      <c r="B4167" t="str">
        <f>"1552374670055388"</f>
        <v>1552374670055388</v>
      </c>
      <c r="C4167" t="s">
        <v>40</v>
      </c>
      <c r="D4167">
        <v>5.1994980000000002</v>
      </c>
      <c r="E4167">
        <v>0.59621919999999995</v>
      </c>
      <c r="F4167" t="s">
        <v>79</v>
      </c>
      <c r="G4167">
        <v>-281.81849999999997</v>
      </c>
      <c r="H4167" s="1">
        <v>-5.9345830000000001E-6</v>
      </c>
      <c r="I4167">
        <v>144.28460000000001</v>
      </c>
      <c r="J4167">
        <v>-255.15870000000001</v>
      </c>
      <c r="K4167">
        <v>1.1099570000000001</v>
      </c>
      <c r="L4167">
        <v>137.12350000000001</v>
      </c>
      <c r="M4167">
        <v>-0.99665769999999998</v>
      </c>
      <c r="N4167">
        <v>0</v>
      </c>
      <c r="O4167">
        <v>8.1383590000000006E-2</v>
      </c>
      <c r="P4167">
        <v>-0.99080049999999997</v>
      </c>
      <c r="Q4167">
        <v>0.134133</v>
      </c>
      <c r="R4167">
        <v>1.796153E-2</v>
      </c>
      <c r="S4167">
        <v>-3.0300600000000002</v>
      </c>
      <c r="T4167">
        <v>-0.12505749999999999</v>
      </c>
      <c r="U4167">
        <v>0.80899049999999995</v>
      </c>
      <c r="V4167">
        <v>-6.2764940000000005E-2</v>
      </c>
      <c r="W4167">
        <v>0.14113239999999999</v>
      </c>
      <c r="X4167">
        <v>0.98799910000000002</v>
      </c>
      <c r="Y4167">
        <v>0.17838899999999999</v>
      </c>
      <c r="Z4167">
        <v>3.2811359999999998E-4</v>
      </c>
      <c r="AA4167">
        <v>0.98395999999999995</v>
      </c>
      <c r="AB4167">
        <v>23</v>
      </c>
      <c r="AC4167">
        <v>-26.659799999999901</v>
      </c>
      <c r="AD4167">
        <v>-1.10996293458299</v>
      </c>
      <c r="AE4167">
        <v>7.1611000000000002</v>
      </c>
      <c r="AF4167">
        <v>4.9596012517879702</v>
      </c>
      <c r="AG4167">
        <v>-1.10996293458299</v>
      </c>
      <c r="AH4167">
        <v>27.110340684617999</v>
      </c>
      <c r="AI4167">
        <v>92.306285527259206</v>
      </c>
      <c r="AJ4167">
        <v>79.632874552608101</v>
      </c>
      <c r="AK4167">
        <v>27.5826074606614</v>
      </c>
      <c r="AL4167">
        <v>81.886621411165194</v>
      </c>
      <c r="AM4167">
        <v>93.6349629631314</v>
      </c>
      <c r="AN4167">
        <v>1.0000000068118799</v>
      </c>
    </row>
    <row r="4168" spans="1:40" x14ac:dyDescent="0.25">
      <c r="A4168" t="str">
        <f>"20190312151110085"</f>
        <v>20190312151110085</v>
      </c>
      <c r="B4168" t="str">
        <f>"1552374670074904"</f>
        <v>1552374670074904</v>
      </c>
      <c r="C4168" t="s">
        <v>40</v>
      </c>
      <c r="D4168">
        <v>5.1957509999999996</v>
      </c>
      <c r="E4168">
        <v>0.59616349999999996</v>
      </c>
      <c r="F4168" t="s">
        <v>79</v>
      </c>
      <c r="G4168">
        <v>-280.79849999999999</v>
      </c>
      <c r="H4168" s="1">
        <v>-5.3741830000000003E-6</v>
      </c>
      <c r="I4168">
        <v>143.95060000000001</v>
      </c>
      <c r="J4168">
        <v>-255.40119999999999</v>
      </c>
      <c r="K4168">
        <v>1.1099969999999999</v>
      </c>
      <c r="L4168">
        <v>137.1431</v>
      </c>
      <c r="M4168">
        <v>-0.99667439999999996</v>
      </c>
      <c r="N4168">
        <v>0</v>
      </c>
      <c r="O4168">
        <v>8.1174410000000002E-2</v>
      </c>
      <c r="P4168">
        <v>-0.99088849999999995</v>
      </c>
      <c r="Q4168">
        <v>0.1335906</v>
      </c>
      <c r="R4168">
        <v>1.713895E-2</v>
      </c>
      <c r="S4168">
        <v>-3.031021</v>
      </c>
      <c r="T4168">
        <v>-0.13121469999999999</v>
      </c>
      <c r="U4168">
        <v>0.80706789999999995</v>
      </c>
      <c r="V4168">
        <v>-6.3397930000000005E-2</v>
      </c>
      <c r="W4168">
        <v>0.14063249999999999</v>
      </c>
      <c r="X4168">
        <v>0.98802999999999996</v>
      </c>
      <c r="Y4168">
        <v>0.17792740000000001</v>
      </c>
      <c r="Z4168">
        <v>3.4316510000000002E-4</v>
      </c>
      <c r="AA4168">
        <v>0.98404349999999996</v>
      </c>
      <c r="AB4168">
        <v>23</v>
      </c>
      <c r="AC4168">
        <v>-25.397300000000001</v>
      </c>
      <c r="AD4168">
        <v>-1.1100023741830001</v>
      </c>
      <c r="AE4168">
        <v>6.8075000000000001</v>
      </c>
      <c r="AF4168">
        <v>4.71496753474608</v>
      </c>
      <c r="AG4168">
        <v>-1.1100023741830001</v>
      </c>
      <c r="AH4168">
        <v>25.820076410790801</v>
      </c>
      <c r="AI4168">
        <v>92.421628100508201</v>
      </c>
      <c r="AJ4168">
        <v>79.651322226029293</v>
      </c>
      <c r="AK4168">
        <v>26.2705038014781</v>
      </c>
      <c r="AL4168">
        <v>81.915552380696198</v>
      </c>
      <c r="AM4168">
        <v>93.671407603964795</v>
      </c>
      <c r="AN4168">
        <v>1.0000000392422601</v>
      </c>
    </row>
    <row r="4169" spans="1:40" x14ac:dyDescent="0.25">
      <c r="A4169" t="str">
        <f>"20190312151110107"</f>
        <v>20190312151110107</v>
      </c>
      <c r="B4169" t="str">
        <f>"1552374670095400"</f>
        <v>1552374670095400</v>
      </c>
      <c r="C4169" t="s">
        <v>40</v>
      </c>
      <c r="D4169">
        <v>5.1581400000000004</v>
      </c>
      <c r="E4169">
        <v>0.59635660000000001</v>
      </c>
      <c r="F4169" t="s">
        <v>79</v>
      </c>
      <c r="G4169">
        <v>-281.346</v>
      </c>
      <c r="H4169" s="1">
        <v>-5.6422349999999999E-6</v>
      </c>
      <c r="I4169">
        <v>144.02869999999999</v>
      </c>
      <c r="J4169">
        <v>-255.6285</v>
      </c>
      <c r="K4169">
        <v>1.1100350000000001</v>
      </c>
      <c r="L4169">
        <v>137.16139999999999</v>
      </c>
      <c r="M4169">
        <v>-0.99669450000000004</v>
      </c>
      <c r="N4169">
        <v>0</v>
      </c>
      <c r="O4169">
        <v>8.0922110000000005E-2</v>
      </c>
      <c r="P4169">
        <v>-0.99098180000000002</v>
      </c>
      <c r="Q4169">
        <v>0.13304279999999999</v>
      </c>
      <c r="R4169">
        <v>1.5969420000000002E-2</v>
      </c>
      <c r="S4169">
        <v>-3.031158</v>
      </c>
      <c r="T4169">
        <v>-0.12968250000000001</v>
      </c>
      <c r="U4169">
        <v>0.80444340000000003</v>
      </c>
      <c r="V4169">
        <v>-6.433353E-2</v>
      </c>
      <c r="W4169">
        <v>0.140125</v>
      </c>
      <c r="X4169">
        <v>0.98804159999999996</v>
      </c>
      <c r="Y4169">
        <v>0.17737169999999999</v>
      </c>
      <c r="Z4169">
        <v>3.3799809999999998E-4</v>
      </c>
      <c r="AA4169">
        <v>0.98414389999999996</v>
      </c>
      <c r="AB4169">
        <v>23</v>
      </c>
      <c r="AC4169">
        <v>-25.717500000000001</v>
      </c>
      <c r="AD4169">
        <v>-1.110040642235</v>
      </c>
      <c r="AE4169">
        <v>6.8673000000000002</v>
      </c>
      <c r="AF4169">
        <v>4.7553391974353003</v>
      </c>
      <c r="AG4169">
        <v>-1.110040642235</v>
      </c>
      <c r="AH4169">
        <v>26.1434197797964</v>
      </c>
      <c r="AI4169">
        <v>92.392095636435698</v>
      </c>
      <c r="AJ4169">
        <v>79.690931564228606</v>
      </c>
      <c r="AK4169">
        <v>26.595560510971101</v>
      </c>
      <c r="AL4169">
        <v>81.944920568790906</v>
      </c>
      <c r="AM4169">
        <v>93.725393603327404</v>
      </c>
      <c r="AN4169">
        <v>1.00000001101891</v>
      </c>
    </row>
    <row r="4170" spans="1:40" x14ac:dyDescent="0.25">
      <c r="A4170" t="str">
        <f>"20190312151110129"</f>
        <v>20190312151110129</v>
      </c>
      <c r="B4170" t="str">
        <f>"1552374670125656"</f>
        <v>1552374670125656</v>
      </c>
      <c r="C4170" t="s">
        <v>40</v>
      </c>
      <c r="D4170">
        <v>5.1525639999999999</v>
      </c>
      <c r="E4170">
        <v>0.59674869999999902</v>
      </c>
      <c r="F4170" t="s">
        <v>79</v>
      </c>
      <c r="G4170">
        <v>-280.90839999999997</v>
      </c>
      <c r="H4170" s="1">
        <v>-5.392137E-6</v>
      </c>
      <c r="I4170">
        <v>143.85550000000001</v>
      </c>
      <c r="J4170">
        <v>-255.85849999999999</v>
      </c>
      <c r="K4170">
        <v>1.110066</v>
      </c>
      <c r="L4170">
        <v>137.1798</v>
      </c>
      <c r="M4170">
        <v>-0.99671920000000003</v>
      </c>
      <c r="N4170">
        <v>0</v>
      </c>
      <c r="O4170">
        <v>8.0614340000000007E-2</v>
      </c>
      <c r="P4170">
        <v>-0.99110849999999995</v>
      </c>
      <c r="Q4170">
        <v>0.13226940000000001</v>
      </c>
      <c r="R4170">
        <v>1.4452899999999999E-2</v>
      </c>
      <c r="S4170">
        <v>-3.0322269999999998</v>
      </c>
      <c r="T4170">
        <v>-0.13314500000000001</v>
      </c>
      <c r="U4170">
        <v>0.80293269999999906</v>
      </c>
      <c r="V4170">
        <v>-6.5561999999999995E-2</v>
      </c>
      <c r="W4170">
        <v>0.13938979999999901</v>
      </c>
      <c r="X4170">
        <v>0.98806479999999997</v>
      </c>
      <c r="Y4170">
        <v>0.17712710000000001</v>
      </c>
      <c r="Z4170">
        <v>3.547976E-4</v>
      </c>
      <c r="AA4170">
        <v>0.9841879</v>
      </c>
      <c r="AB4170">
        <v>24</v>
      </c>
      <c r="AC4170">
        <v>-25.049899999999901</v>
      </c>
      <c r="AD4170">
        <v>-1.110071392137</v>
      </c>
      <c r="AE4170">
        <v>6.6757</v>
      </c>
      <c r="AF4170">
        <v>4.6260559949610602</v>
      </c>
      <c r="AG4170">
        <v>-1.110071392137</v>
      </c>
      <c r="AH4170">
        <v>25.459856855860899</v>
      </c>
      <c r="AI4170">
        <v>92.456394403931299</v>
      </c>
      <c r="AJ4170">
        <v>79.701708295459795</v>
      </c>
      <c r="AK4170">
        <v>25.900520529230398</v>
      </c>
      <c r="AL4170">
        <v>81.9874616109594</v>
      </c>
      <c r="AM4170">
        <v>93.796236264861903</v>
      </c>
      <c r="AN4170">
        <v>0.99999997059353896</v>
      </c>
    </row>
    <row r="4171" spans="1:40" x14ac:dyDescent="0.25">
      <c r="A4171" t="str">
        <f>"20190312151110152"</f>
        <v>20190312151110152</v>
      </c>
      <c r="B4171" t="str">
        <f>"1552374670145176"</f>
        <v>1552374670145176</v>
      </c>
      <c r="C4171" t="s">
        <v>40</v>
      </c>
      <c r="D4171">
        <v>5.1035149999999998</v>
      </c>
      <c r="E4171">
        <v>0.54973209999999995</v>
      </c>
      <c r="F4171" t="s">
        <v>79</v>
      </c>
      <c r="G4171">
        <v>-281.4599</v>
      </c>
      <c r="H4171" s="1">
        <v>-5.666037E-6</v>
      </c>
      <c r="I4171">
        <v>143.9462</v>
      </c>
      <c r="J4171">
        <v>-256.10289999999998</v>
      </c>
      <c r="K4171">
        <v>1.1100969999999999</v>
      </c>
      <c r="L4171">
        <v>137.19909999999999</v>
      </c>
      <c r="M4171">
        <v>-0.9967492</v>
      </c>
      <c r="N4171">
        <v>0</v>
      </c>
      <c r="O4171">
        <v>8.023893E-2</v>
      </c>
      <c r="P4171">
        <v>-0.99119800000000002</v>
      </c>
      <c r="Q4171">
        <v>0.13179189999999999</v>
      </c>
      <c r="R4171">
        <v>1.25495E-2</v>
      </c>
      <c r="S4171">
        <v>-3.0327760000000001</v>
      </c>
      <c r="T4171">
        <v>-0.1315007</v>
      </c>
      <c r="U4171">
        <v>0.80155940000000003</v>
      </c>
      <c r="V4171">
        <v>-6.7105380000000006E-2</v>
      </c>
      <c r="W4171">
        <v>0.1389484</v>
      </c>
      <c r="X4171">
        <v>0.9880234</v>
      </c>
      <c r="Y4171">
        <v>0.177039</v>
      </c>
      <c r="Z4171">
        <v>3.643578E-4</v>
      </c>
      <c r="AA4171">
        <v>0.98420379999999996</v>
      </c>
      <c r="AB4171">
        <v>24</v>
      </c>
      <c r="AC4171">
        <v>-25.356999999999999</v>
      </c>
      <c r="AD4171">
        <v>-1.1101026660369999</v>
      </c>
      <c r="AE4171">
        <v>6.7471000000000103</v>
      </c>
      <c r="AF4171">
        <v>4.6822909900914196</v>
      </c>
      <c r="AG4171">
        <v>-1.1101026660369999</v>
      </c>
      <c r="AH4171">
        <v>25.7705045353214</v>
      </c>
      <c r="AI4171">
        <v>92.426891446187597</v>
      </c>
      <c r="AJ4171">
        <v>79.7021595981345</v>
      </c>
      <c r="AK4171">
        <v>26.215931813499498</v>
      </c>
      <c r="AL4171">
        <v>82.013000849650297</v>
      </c>
      <c r="AM4171">
        <v>93.885494315989007</v>
      </c>
      <c r="AN4171">
        <v>1.0000000144175301</v>
      </c>
    </row>
    <row r="4172" spans="1:40" x14ac:dyDescent="0.25">
      <c r="A4172" t="str">
        <f>"20190312151110174"</f>
        <v>20190312151110174</v>
      </c>
      <c r="B4172" t="str">
        <f>"1552374670165672"</f>
        <v>1552374670165672</v>
      </c>
      <c r="C4172" t="s">
        <v>40</v>
      </c>
      <c r="D4172">
        <v>5.1222089999999998</v>
      </c>
      <c r="E4172">
        <v>0.53844919999999996</v>
      </c>
      <c r="F4172" t="s">
        <v>42</v>
      </c>
      <c r="G4172">
        <v>-332.37299999999999</v>
      </c>
      <c r="H4172" s="1">
        <v>-5.2639639999999998E-6</v>
      </c>
      <c r="I4172">
        <v>147.86920000000001</v>
      </c>
      <c r="J4172">
        <v>-256.33949999999999</v>
      </c>
      <c r="K4172">
        <v>1.1101190000000001</v>
      </c>
      <c r="L4172">
        <v>137.21780000000001</v>
      </c>
      <c r="M4172">
        <v>-0.99678109999999998</v>
      </c>
      <c r="N4172">
        <v>0</v>
      </c>
      <c r="O4172">
        <v>7.9837660000000005E-2</v>
      </c>
      <c r="P4172">
        <v>-0.99133700000000002</v>
      </c>
      <c r="Q4172">
        <v>0.13095280000000001</v>
      </c>
      <c r="R4172">
        <v>1.011549E-2</v>
      </c>
      <c r="S4172">
        <v>-3.0271300000000001</v>
      </c>
      <c r="T4172">
        <v>-4.4059510000000003E-2</v>
      </c>
      <c r="U4172">
        <v>0.42349239999999999</v>
      </c>
      <c r="V4172">
        <v>-6.9153049999999994E-2</v>
      </c>
      <c r="W4172">
        <v>0.13814460000000001</v>
      </c>
      <c r="X4172">
        <v>0.98799490000000001</v>
      </c>
      <c r="Y4172">
        <v>5.9039790000000002E-2</v>
      </c>
      <c r="Z4172">
        <v>-7.2628660000000002E-4</v>
      </c>
      <c r="AA4172">
        <v>0.99825540000000001</v>
      </c>
      <c r="AB4172">
        <v>24</v>
      </c>
      <c r="AC4172">
        <v>-76.033500000000004</v>
      </c>
      <c r="AD4172">
        <v>-1.1101242639640001</v>
      </c>
      <c r="AE4172">
        <v>10.651399999999899</v>
      </c>
      <c r="AF4172">
        <v>4.54594843661949</v>
      </c>
      <c r="AG4172">
        <v>-1.1101242639640001</v>
      </c>
      <c r="AH4172">
        <v>76.6251643913658</v>
      </c>
      <c r="AI4172">
        <v>90.828570716134706</v>
      </c>
      <c r="AJ4172">
        <v>86.6047874731984</v>
      </c>
      <c r="AK4172">
        <v>76.767921953597707</v>
      </c>
      <c r="AL4172">
        <v>82.059503548227099</v>
      </c>
      <c r="AM4172">
        <v>94.003792463750997</v>
      </c>
      <c r="AN4172">
        <v>0.99999999862973599</v>
      </c>
    </row>
    <row r="4173" spans="1:40" x14ac:dyDescent="0.25">
      <c r="A4173" t="str">
        <f>"20190312151110198"</f>
        <v>20190312151110198</v>
      </c>
      <c r="B4173" t="str">
        <f>"1552374670194953"</f>
        <v>1552374670194953</v>
      </c>
      <c r="C4173" t="s">
        <v>40</v>
      </c>
      <c r="D4173">
        <v>5.1803749999999997</v>
      </c>
      <c r="E4173">
        <v>0.49030820000000003</v>
      </c>
      <c r="F4173" t="s">
        <v>42</v>
      </c>
      <c r="G4173">
        <v>-476.38440000000003</v>
      </c>
      <c r="H4173">
        <v>7.9985860000000006E-2</v>
      </c>
      <c r="I4173">
        <v>161.02160000000001</v>
      </c>
      <c r="J4173">
        <v>-256.58479999999997</v>
      </c>
      <c r="K4173">
        <v>1.1101449999999999</v>
      </c>
      <c r="L4173">
        <v>137.23689999999999</v>
      </c>
      <c r="M4173">
        <v>-0.99681640000000005</v>
      </c>
      <c r="N4173">
        <v>0</v>
      </c>
      <c r="O4173">
        <v>7.9390530000000001E-2</v>
      </c>
      <c r="P4173">
        <v>-0.99150930000000004</v>
      </c>
      <c r="Q4173">
        <v>0.12976799999999999</v>
      </c>
      <c r="R4173">
        <v>8.3524199999999993E-3</v>
      </c>
      <c r="S4173">
        <v>-3.02475</v>
      </c>
      <c r="T4173">
        <v>-1.4160280000000001E-2</v>
      </c>
      <c r="U4173">
        <v>0.32720949999999999</v>
      </c>
      <c r="V4173">
        <v>-7.0487190000000005E-2</v>
      </c>
      <c r="W4173">
        <v>0.13700019999999999</v>
      </c>
      <c r="X4173">
        <v>0.98806000000000005</v>
      </c>
      <c r="Y4173">
        <v>2.827878E-2</v>
      </c>
      <c r="Z4173">
        <v>-3.039025E-4</v>
      </c>
      <c r="AA4173">
        <v>0.99960009999999999</v>
      </c>
      <c r="AB4173">
        <v>24</v>
      </c>
      <c r="AC4173">
        <v>-219.7996</v>
      </c>
      <c r="AD4173">
        <v>-1.0301591400000001</v>
      </c>
      <c r="AE4173">
        <v>23.784700000000001</v>
      </c>
      <c r="AF4173">
        <v>6.2590060474700397</v>
      </c>
      <c r="AG4173">
        <v>-1.0301591400000001</v>
      </c>
      <c r="AH4173">
        <v>220.98931777568399</v>
      </c>
      <c r="AI4173">
        <v>90.266979802983201</v>
      </c>
      <c r="AJ4173">
        <v>88.377664631729999</v>
      </c>
      <c r="AK4173">
        <v>221.08033597658101</v>
      </c>
      <c r="AL4173">
        <v>82.125702536652199</v>
      </c>
      <c r="AM4173">
        <v>94.080509444858293</v>
      </c>
      <c r="AN4173">
        <v>1.00000003117706</v>
      </c>
    </row>
    <row r="4174" spans="1:40" x14ac:dyDescent="0.25">
      <c r="A4174" t="str">
        <f>"20190312151110220"</f>
        <v>20190312151110220</v>
      </c>
      <c r="B4174" t="str">
        <f>"1552374670215450"</f>
        <v>1552374670215450</v>
      </c>
      <c r="C4174" t="s">
        <v>40</v>
      </c>
      <c r="D4174">
        <v>5.1374829999999996</v>
      </c>
      <c r="E4174">
        <v>0.49067060000000001</v>
      </c>
      <c r="F4174" t="s">
        <v>42</v>
      </c>
      <c r="G4174">
        <v>-271.95</v>
      </c>
      <c r="H4174" s="1">
        <v>-3.9178690000000004E-6</v>
      </c>
      <c r="I4174">
        <v>136.898</v>
      </c>
      <c r="J4174">
        <v>-256.82380000000001</v>
      </c>
      <c r="K4174">
        <v>1.1101620000000001</v>
      </c>
      <c r="L4174">
        <v>137.25550000000001</v>
      </c>
      <c r="M4174">
        <v>-0.99685290000000004</v>
      </c>
      <c r="N4174">
        <v>0</v>
      </c>
      <c r="O4174">
        <v>7.8928520000000002E-2</v>
      </c>
      <c r="P4174">
        <v>-0.99154659999999994</v>
      </c>
      <c r="Q4174">
        <v>0.1295753</v>
      </c>
      <c r="R4174">
        <v>6.7725140000000003E-3</v>
      </c>
      <c r="S4174">
        <v>-3.055145</v>
      </c>
      <c r="T4174">
        <v>-0.22073760000000001</v>
      </c>
      <c r="U4174">
        <v>-6.7382810000000001E-2</v>
      </c>
      <c r="V4174">
        <v>-7.1611419999999995E-2</v>
      </c>
      <c r="W4174">
        <v>0.1368452</v>
      </c>
      <c r="X4174">
        <v>0.98800060000000001</v>
      </c>
      <c r="Y4174">
        <v>-0.10042570000000001</v>
      </c>
      <c r="Z4174">
        <v>-9.3142710000000007E-3</v>
      </c>
      <c r="AA4174">
        <v>0.99490089999999998</v>
      </c>
      <c r="AB4174">
        <v>24</v>
      </c>
      <c r="AC4174">
        <v>-15.1261999999999</v>
      </c>
      <c r="AD4174">
        <v>-1.110165917869</v>
      </c>
      <c r="AE4174">
        <v>-0.35750000000001497</v>
      </c>
      <c r="AF4174">
        <v>-1.5420042535816301</v>
      </c>
      <c r="AG4174">
        <v>-1.110165917869</v>
      </c>
      <c r="AH4174">
        <v>14.970196468304501</v>
      </c>
      <c r="AI4174">
        <v>94.218958982333504</v>
      </c>
      <c r="AJ4174">
        <v>95.881007900326196</v>
      </c>
      <c r="AK4174">
        <v>15.090295814956701</v>
      </c>
      <c r="AL4174">
        <v>82.134667532625102</v>
      </c>
      <c r="AM4174">
        <v>94.145614464221396</v>
      </c>
      <c r="AN4174">
        <v>0.99999999491890801</v>
      </c>
    </row>
    <row r="4175" spans="1:40" x14ac:dyDescent="0.25">
      <c r="A4175" t="str">
        <f>"20190312151110241"</f>
        <v>20190312151110241</v>
      </c>
      <c r="B4175" t="str">
        <f>"1552374670234969"</f>
        <v>1552374670234969</v>
      </c>
      <c r="C4175" t="s">
        <v>40</v>
      </c>
      <c r="D4175">
        <v>5.1858440000000003</v>
      </c>
      <c r="E4175">
        <v>0.48981930000000001</v>
      </c>
      <c r="F4175" t="s">
        <v>42</v>
      </c>
      <c r="G4175">
        <v>-272.30020000000002</v>
      </c>
      <c r="H4175" s="1">
        <v>-3.766759E-6</v>
      </c>
      <c r="I4175">
        <v>136.90299999999999</v>
      </c>
      <c r="J4175">
        <v>-257.05459999999999</v>
      </c>
      <c r="K4175">
        <v>1.110161</v>
      </c>
      <c r="L4175">
        <v>137.2732</v>
      </c>
      <c r="M4175">
        <v>-0.99688880000000002</v>
      </c>
      <c r="N4175">
        <v>0</v>
      </c>
      <c r="O4175">
        <v>7.846902E-2</v>
      </c>
      <c r="P4175">
        <v>-0.9916104</v>
      </c>
      <c r="Q4175">
        <v>0.1291291</v>
      </c>
      <c r="R4175">
        <v>5.8971419999999898E-3</v>
      </c>
      <c r="S4175">
        <v>-3.0547179999999998</v>
      </c>
      <c r="T4175">
        <v>-0.2191236</v>
      </c>
      <c r="U4175">
        <v>-6.9549559999999996E-2</v>
      </c>
      <c r="V4175">
        <v>-7.2035779999999994E-2</v>
      </c>
      <c r="W4175">
        <v>0.13643339999999901</v>
      </c>
      <c r="X4175">
        <v>0.98802670000000004</v>
      </c>
      <c r="Y4175">
        <v>-0.1006827</v>
      </c>
      <c r="Z4175">
        <v>-9.223953E-3</v>
      </c>
      <c r="AA4175">
        <v>0.99487579999999998</v>
      </c>
      <c r="AB4175">
        <v>24</v>
      </c>
      <c r="AC4175">
        <v>-15.2456</v>
      </c>
      <c r="AD4175">
        <v>-1.110164766759</v>
      </c>
      <c r="AE4175">
        <v>-0.37020000000001102</v>
      </c>
      <c r="AF4175">
        <v>-1.5571468315218699</v>
      </c>
      <c r="AG4175">
        <v>-1.110164766759</v>
      </c>
      <c r="AH4175">
        <v>15.0895720985274</v>
      </c>
      <c r="AI4175">
        <v>94.1856167460503</v>
      </c>
      <c r="AJ4175">
        <v>95.891701750393693</v>
      </c>
      <c r="AK4175">
        <v>15.2102714696658</v>
      </c>
      <c r="AL4175">
        <v>82.158485310624499</v>
      </c>
      <c r="AM4175">
        <v>94.169984659115997</v>
      </c>
      <c r="AN4175">
        <v>0.99999999307432896</v>
      </c>
    </row>
    <row r="4176" spans="1:40" x14ac:dyDescent="0.25">
      <c r="A4176" t="str">
        <f>"20190312151110264"</f>
        <v>20190312151110264</v>
      </c>
      <c r="B4176" t="str">
        <f>"1552374670255464"</f>
        <v>1552374670255464</v>
      </c>
      <c r="C4176" t="s">
        <v>40</v>
      </c>
      <c r="D4176">
        <v>5.1627999999999998</v>
      </c>
      <c r="E4176">
        <v>0.49016959999999998</v>
      </c>
      <c r="F4176" t="s">
        <v>42</v>
      </c>
      <c r="G4176">
        <v>-271.1352</v>
      </c>
      <c r="H4176" s="1">
        <v>-4.2655050000000004E-6</v>
      </c>
      <c r="I4176">
        <v>136.90899999999999</v>
      </c>
      <c r="J4176">
        <v>-257.29570000000001</v>
      </c>
      <c r="K4176">
        <v>1.1101650000000001</v>
      </c>
      <c r="L4176">
        <v>137.29159999999999</v>
      </c>
      <c r="M4176">
        <v>-0.99692689999999995</v>
      </c>
      <c r="N4176">
        <v>0</v>
      </c>
      <c r="O4176">
        <v>7.7979690000000004E-2</v>
      </c>
      <c r="P4176">
        <v>-0.99165510000000001</v>
      </c>
      <c r="Q4176">
        <v>0.1288252</v>
      </c>
      <c r="R4176">
        <v>4.9416039999999996E-3</v>
      </c>
      <c r="S4176">
        <v>-3.05722</v>
      </c>
      <c r="T4176">
        <v>-0.24104400000000001</v>
      </c>
      <c r="U4176">
        <v>-7.9071039999999995E-2</v>
      </c>
      <c r="V4176">
        <v>-7.2508690000000001E-2</v>
      </c>
      <c r="W4176">
        <v>0.1361627</v>
      </c>
      <c r="X4176">
        <v>0.9880295</v>
      </c>
      <c r="Y4176">
        <v>-0.1031704</v>
      </c>
      <c r="Z4176">
        <v>-1.0194949999999999E-2</v>
      </c>
      <c r="AA4176">
        <v>0.99461140000000003</v>
      </c>
      <c r="AB4176">
        <v>24</v>
      </c>
      <c r="AC4176">
        <v>-13.8394999999999</v>
      </c>
      <c r="AD4176">
        <v>-1.1101692655049999</v>
      </c>
      <c r="AE4176">
        <v>-0.382599999999996</v>
      </c>
      <c r="AF4176">
        <v>-1.4513330349811699</v>
      </c>
      <c r="AG4176">
        <v>-1.1101692655049999</v>
      </c>
      <c r="AH4176">
        <v>13.6795612435085</v>
      </c>
      <c r="AI4176">
        <v>94.613907583856701</v>
      </c>
      <c r="AJ4176">
        <v>96.056140531193805</v>
      </c>
      <c r="AK4176">
        <v>13.801059350332499</v>
      </c>
      <c r="AL4176">
        <v>82.174141767457797</v>
      </c>
      <c r="AM4176">
        <v>94.1972509550002</v>
      </c>
      <c r="AN4176">
        <v>1.00000004193352</v>
      </c>
    </row>
    <row r="4177" spans="1:40" x14ac:dyDescent="0.25">
      <c r="A4177" t="str">
        <f>"20190312151110285"</f>
        <v>20190312151110285</v>
      </c>
      <c r="B4177" t="str">
        <f>"1552374670274984"</f>
        <v>1552374670274984</v>
      </c>
      <c r="C4177" t="s">
        <v>40</v>
      </c>
      <c r="D4177">
        <v>5.117648</v>
      </c>
      <c r="E4177">
        <v>0.4903979</v>
      </c>
      <c r="F4177" t="s">
        <v>42</v>
      </c>
      <c r="G4177">
        <v>-271.19920000000002</v>
      </c>
      <c r="H4177" s="1">
        <v>-4.2339159999999998E-6</v>
      </c>
      <c r="I4177">
        <v>136.93209999999999</v>
      </c>
      <c r="J4177">
        <v>-257.52870000000001</v>
      </c>
      <c r="K4177">
        <v>1.1101669999999999</v>
      </c>
      <c r="L4177">
        <v>137.30940000000001</v>
      </c>
      <c r="M4177">
        <v>-0.99696430000000003</v>
      </c>
      <c r="N4177">
        <v>0</v>
      </c>
      <c r="O4177">
        <v>7.749847E-2</v>
      </c>
      <c r="P4177">
        <v>-0.99168650000000003</v>
      </c>
      <c r="Q4177">
        <v>0.12861210000000001</v>
      </c>
      <c r="R4177">
        <v>4.1468490000000002E-3</v>
      </c>
      <c r="S4177">
        <v>-3.0573429999999999</v>
      </c>
      <c r="T4177">
        <v>-0.2441227</v>
      </c>
      <c r="U4177">
        <v>-7.9055790000000001E-2</v>
      </c>
      <c r="V4177">
        <v>-7.2827550000000005E-2</v>
      </c>
      <c r="W4177">
        <v>0.1359851</v>
      </c>
      <c r="X4177">
        <v>0.98803050000000003</v>
      </c>
      <c r="Y4177">
        <v>-0.1026731</v>
      </c>
      <c r="Z4177">
        <v>-1.0266229999999999E-2</v>
      </c>
      <c r="AA4177">
        <v>0.99466220000000005</v>
      </c>
      <c r="AB4177">
        <v>24</v>
      </c>
      <c r="AC4177">
        <v>-13.670500000000001</v>
      </c>
      <c r="AD4177">
        <v>-1.1101712339159999</v>
      </c>
      <c r="AE4177">
        <v>-0.37730000000001901</v>
      </c>
      <c r="AF4177">
        <v>-1.4262389787641001</v>
      </c>
      <c r="AG4177">
        <v>-1.1101712339159999</v>
      </c>
      <c r="AH4177">
        <v>13.5111051024747</v>
      </c>
      <c r="AI4177">
        <v>94.671449059591694</v>
      </c>
      <c r="AJ4177">
        <v>96.025855050615107</v>
      </c>
      <c r="AK4177">
        <v>13.6314562275378</v>
      </c>
      <c r="AL4177">
        <v>82.184412972859604</v>
      </c>
      <c r="AM4177">
        <v>94.215637893336506</v>
      </c>
      <c r="AN4177">
        <v>1.0000000341956301</v>
      </c>
    </row>
    <row r="4178" spans="1:40" x14ac:dyDescent="0.25">
      <c r="A4178" t="str">
        <f>"20190312151110308"</f>
        <v>20190312151110308</v>
      </c>
      <c r="B4178" t="str">
        <f>"1552374670305240"</f>
        <v>1552374670305240</v>
      </c>
      <c r="C4178" t="s">
        <v>40</v>
      </c>
      <c r="D4178">
        <v>5.102957</v>
      </c>
      <c r="E4178">
        <v>0.49067</v>
      </c>
      <c r="F4178" t="s">
        <v>42</v>
      </c>
      <c r="G4178">
        <v>-271.23930000000001</v>
      </c>
      <c r="H4178" s="1">
        <v>-4.2131899999999999E-6</v>
      </c>
      <c r="I4178">
        <v>136.95189999999999</v>
      </c>
      <c r="J4178">
        <v>-257.76710000000003</v>
      </c>
      <c r="K4178">
        <v>1.1101810000000001</v>
      </c>
      <c r="L4178">
        <v>137.32730000000001</v>
      </c>
      <c r="M4178">
        <v>-0.99700279999999997</v>
      </c>
      <c r="N4178">
        <v>0</v>
      </c>
      <c r="O4178">
        <v>7.6996709999999996E-2</v>
      </c>
      <c r="P4178">
        <v>-0.99172400000000005</v>
      </c>
      <c r="Q4178">
        <v>0.128363</v>
      </c>
      <c r="R4178">
        <v>2.6452720000000002E-3</v>
      </c>
      <c r="S4178">
        <v>-3.0575869999999998</v>
      </c>
      <c r="T4178">
        <v>-0.2475773</v>
      </c>
      <c r="U4178">
        <v>-7.9696660000000002E-2</v>
      </c>
      <c r="V4178">
        <v>-7.3832239999999993E-2</v>
      </c>
      <c r="W4178">
        <v>0.1357739</v>
      </c>
      <c r="X4178">
        <v>0.987985</v>
      </c>
      <c r="Y4178">
        <v>-0.1023652</v>
      </c>
      <c r="Z4178">
        <v>-1.035726E-2</v>
      </c>
      <c r="AA4178">
        <v>0.99469300000000005</v>
      </c>
      <c r="AB4178">
        <v>24</v>
      </c>
      <c r="AC4178">
        <v>-13.4721999999999</v>
      </c>
      <c r="AD4178">
        <v>-1.1101852131900001</v>
      </c>
      <c r="AE4178">
        <v>-0.375400000000013</v>
      </c>
      <c r="AF4178">
        <v>-1.40211615802659</v>
      </c>
      <c r="AG4178">
        <v>-1.1101852131900001</v>
      </c>
      <c r="AH4178">
        <v>13.3129639864739</v>
      </c>
      <c r="AI4178">
        <v>94.740839128019999</v>
      </c>
      <c r="AJ4178">
        <v>96.012204887602493</v>
      </c>
      <c r="AK4178">
        <v>13.4325519181329</v>
      </c>
      <c r="AL4178">
        <v>82.196627293260207</v>
      </c>
      <c r="AM4178">
        <v>94.273776665417202</v>
      </c>
      <c r="AN4178">
        <v>1.0000000559048099</v>
      </c>
    </row>
    <row r="4179" spans="1:40" x14ac:dyDescent="0.25">
      <c r="A4179" t="str">
        <f>"20190312151110331"</f>
        <v>20190312151110331</v>
      </c>
      <c r="B4179" t="str">
        <f>"1552374670325737"</f>
        <v>1552374670325737</v>
      </c>
      <c r="C4179" t="s">
        <v>40</v>
      </c>
      <c r="D4179">
        <v>5.1146929999999999</v>
      </c>
      <c r="E4179">
        <v>0.49085590000000001</v>
      </c>
      <c r="F4179" t="s">
        <v>42</v>
      </c>
      <c r="G4179">
        <v>-270.93439999999998</v>
      </c>
      <c r="H4179" s="1">
        <v>-4.3403109999999999E-6</v>
      </c>
      <c r="I4179">
        <v>136.9726</v>
      </c>
      <c r="J4179">
        <v>-258.01659999999998</v>
      </c>
      <c r="K4179">
        <v>1.1101909999999999</v>
      </c>
      <c r="L4179">
        <v>137.346</v>
      </c>
      <c r="M4179">
        <v>-0.99704380000000004</v>
      </c>
      <c r="N4179">
        <v>0</v>
      </c>
      <c r="O4179">
        <v>7.6458129999999999E-2</v>
      </c>
      <c r="P4179">
        <v>-0.99186269999999999</v>
      </c>
      <c r="Q4179">
        <v>0.12730730000000001</v>
      </c>
      <c r="R4179">
        <v>1.2114719999999999E-3</v>
      </c>
      <c r="S4179">
        <v>-3.0586549999999999</v>
      </c>
      <c r="T4179">
        <v>-0.25788650000000002</v>
      </c>
      <c r="U4179">
        <v>-8.2382200000000003E-2</v>
      </c>
      <c r="V4179">
        <v>-7.4740559999999998E-2</v>
      </c>
      <c r="W4179">
        <v>0.13476089999999999</v>
      </c>
      <c r="X4179">
        <v>0.98805529999999997</v>
      </c>
      <c r="Y4179">
        <v>-0.1026432</v>
      </c>
      <c r="Z4179">
        <v>-1.0749679999999999E-2</v>
      </c>
      <c r="AA4179">
        <v>0.99466010000000005</v>
      </c>
      <c r="AB4179">
        <v>24</v>
      </c>
      <c r="AC4179">
        <v>-12.9178</v>
      </c>
      <c r="AD4179">
        <v>-1.1101953403110001</v>
      </c>
      <c r="AE4179">
        <v>-0.37340000000000301</v>
      </c>
      <c r="AF4179">
        <v>-1.3500429252300701</v>
      </c>
      <c r="AG4179">
        <v>-1.1101953403110001</v>
      </c>
      <c r="AH4179">
        <v>12.7572851150868</v>
      </c>
      <c r="AI4179">
        <v>94.946121298951297</v>
      </c>
      <c r="AJ4179">
        <v>96.0408568300832</v>
      </c>
      <c r="AK4179">
        <v>12.876469745284499</v>
      </c>
      <c r="AL4179">
        <v>82.255205590702701</v>
      </c>
      <c r="AM4179">
        <v>94.325849698195995</v>
      </c>
      <c r="AN4179">
        <v>0.99999996366800603</v>
      </c>
    </row>
    <row r="4180" spans="1:40" x14ac:dyDescent="0.25">
      <c r="A4180" t="str">
        <f>"20190312151110354"</f>
        <v>20190312151110354</v>
      </c>
      <c r="B4180" t="str">
        <f>"1552374670345257"</f>
        <v>1552374670345257</v>
      </c>
      <c r="C4180" t="s">
        <v>40</v>
      </c>
      <c r="D4180">
        <v>5.0233339999999904</v>
      </c>
      <c r="E4180">
        <v>0.4910349</v>
      </c>
      <c r="F4180" t="s">
        <v>42</v>
      </c>
      <c r="G4180">
        <v>-271.02519999999998</v>
      </c>
      <c r="H4180" s="1">
        <v>-4.2994449999999996E-6</v>
      </c>
      <c r="I4180">
        <v>136.98349999999999</v>
      </c>
      <c r="J4180">
        <v>-258.26249999999999</v>
      </c>
      <c r="K4180">
        <v>1.1102080000000001</v>
      </c>
      <c r="L4180">
        <v>137.36429999999999</v>
      </c>
      <c r="M4180">
        <v>-0.99708560000000002</v>
      </c>
      <c r="N4180">
        <v>0</v>
      </c>
      <c r="O4180">
        <v>7.5908009999999998E-2</v>
      </c>
      <c r="P4180">
        <v>-0.99190259999999997</v>
      </c>
      <c r="Q4180">
        <v>0.1270017</v>
      </c>
      <c r="R4180">
        <v>1.214074E-4</v>
      </c>
      <c r="S4180">
        <v>-3.0582280000000002</v>
      </c>
      <c r="T4180">
        <v>-0.26099929999999999</v>
      </c>
      <c r="U4180">
        <v>-8.5205080000000002E-2</v>
      </c>
      <c r="V4180">
        <v>-7.5288880000000002E-2</v>
      </c>
      <c r="W4180">
        <v>0.134494899999999</v>
      </c>
      <c r="X4180">
        <v>0.98804990000000004</v>
      </c>
      <c r="Y4180">
        <v>-0.1030007</v>
      </c>
      <c r="Z4180">
        <v>-1.084885E-2</v>
      </c>
      <c r="AA4180">
        <v>0.99462209999999995</v>
      </c>
      <c r="AB4180">
        <v>24</v>
      </c>
      <c r="AC4180">
        <v>-12.762699999999899</v>
      </c>
      <c r="AD4180">
        <v>-1.1102122994449899</v>
      </c>
      <c r="AE4180">
        <v>-0.38079999999999298</v>
      </c>
      <c r="AF4180">
        <v>-1.33840189842761</v>
      </c>
      <c r="AG4180">
        <v>-1.1102122994449899</v>
      </c>
      <c r="AH4180">
        <v>12.6016956931074</v>
      </c>
      <c r="AI4180">
        <v>95.006757224926602</v>
      </c>
      <c r="AJ4180">
        <v>96.062547381299396</v>
      </c>
      <c r="AK4180">
        <v>12.7211094379867</v>
      </c>
      <c r="AL4180">
        <v>82.270586178853094</v>
      </c>
      <c r="AM4180">
        <v>94.357487412904803</v>
      </c>
      <c r="AN4180">
        <v>0.99999994923383595</v>
      </c>
    </row>
    <row r="4181" spans="1:40" x14ac:dyDescent="0.25">
      <c r="A4181" t="str">
        <f>"20190312151110375"</f>
        <v>20190312151110375</v>
      </c>
      <c r="B4181" t="str">
        <f>"1552374670364777"</f>
        <v>1552374670364777</v>
      </c>
      <c r="C4181" t="s">
        <v>40</v>
      </c>
      <c r="D4181">
        <v>5.1239480000000004</v>
      </c>
      <c r="E4181">
        <v>0.49124250000000003</v>
      </c>
      <c r="F4181" t="s">
        <v>42</v>
      </c>
      <c r="G4181">
        <v>-271.11079999999998</v>
      </c>
      <c r="H4181" s="1">
        <v>-4.2601369999999996E-6</v>
      </c>
      <c r="I4181">
        <v>136.9982</v>
      </c>
      <c r="J4181">
        <v>-258.49770000000001</v>
      </c>
      <c r="K4181">
        <v>1.1102320000000001</v>
      </c>
      <c r="L4181">
        <v>137.38159999999999</v>
      </c>
      <c r="M4181">
        <v>-0.99712710000000004</v>
      </c>
      <c r="N4181">
        <v>0</v>
      </c>
      <c r="O4181">
        <v>7.5358350000000004E-2</v>
      </c>
      <c r="P4181">
        <v>-0.99189879999999997</v>
      </c>
      <c r="Q4181">
        <v>0.12702949999999999</v>
      </c>
      <c r="R4181">
        <v>-8.7993269999999996E-4</v>
      </c>
      <c r="S4181">
        <v>-3.0583800000000001</v>
      </c>
      <c r="T4181">
        <v>-0.26427460000000003</v>
      </c>
      <c r="U4181">
        <v>-8.7127689999999994E-2</v>
      </c>
      <c r="V4181">
        <v>-7.5747590000000004E-2</v>
      </c>
      <c r="W4181">
        <v>0.13455639999999999</v>
      </c>
      <c r="X4181">
        <v>0.98800650000000001</v>
      </c>
      <c r="Y4181">
        <v>-0.10306129999999999</v>
      </c>
      <c r="Z4181">
        <v>-1.093918E-2</v>
      </c>
      <c r="AA4181">
        <v>0.99461480000000002</v>
      </c>
      <c r="AB4181">
        <v>24</v>
      </c>
      <c r="AC4181">
        <v>-12.6130999999999</v>
      </c>
      <c r="AD4181">
        <v>-1.1102362601369999</v>
      </c>
      <c r="AE4181">
        <v>-0.38339999999999402</v>
      </c>
      <c r="AF4181">
        <v>-1.32260202854195</v>
      </c>
      <c r="AG4181">
        <v>-1.1102362601369999</v>
      </c>
      <c r="AH4181">
        <v>12.451951407212199</v>
      </c>
      <c r="AI4181">
        <v>95.066760127781507</v>
      </c>
      <c r="AJ4181">
        <v>96.063021416718101</v>
      </c>
      <c r="AK4181">
        <v>12.5711174732718</v>
      </c>
      <c r="AL4181">
        <v>82.267030427999103</v>
      </c>
      <c r="AM4181">
        <v>94.384124764676898</v>
      </c>
      <c r="AN4181">
        <v>0.99999998310700799</v>
      </c>
    </row>
    <row r="4182" spans="1:40" x14ac:dyDescent="0.25">
      <c r="A4182" t="str">
        <f>"20190312151110399"</f>
        <v>20190312151110399</v>
      </c>
      <c r="B4182" t="str">
        <f>"1552374670395033"</f>
        <v>1552374670395033</v>
      </c>
      <c r="C4182" t="s">
        <v>40</v>
      </c>
      <c r="D4182">
        <v>5.2690279999999996</v>
      </c>
      <c r="E4182">
        <v>0.49024879999999998</v>
      </c>
      <c r="F4182" t="s">
        <v>42</v>
      </c>
      <c r="G4182">
        <v>-271.27999999999997</v>
      </c>
      <c r="H4182" s="1">
        <v>-4.1850919999999997E-6</v>
      </c>
      <c r="I4182">
        <v>137.012</v>
      </c>
      <c r="J4182">
        <v>-258.75760000000002</v>
      </c>
      <c r="K4182">
        <v>1.1102620000000001</v>
      </c>
      <c r="L4182">
        <v>137.40049999999999</v>
      </c>
      <c r="M4182">
        <v>-0.99717489999999998</v>
      </c>
      <c r="N4182">
        <v>0</v>
      </c>
      <c r="O4182">
        <v>7.471701E-2</v>
      </c>
      <c r="P4182">
        <v>-0.99190659999999997</v>
      </c>
      <c r="Q4182">
        <v>0.12696060000000001</v>
      </c>
      <c r="R4182">
        <v>-1.610729E-3</v>
      </c>
      <c r="S4182">
        <v>-3.0584410000000002</v>
      </c>
      <c r="T4182">
        <v>-0.26564989999999999</v>
      </c>
      <c r="U4182">
        <v>-8.8409420000000002E-2</v>
      </c>
      <c r="V4182">
        <v>-7.5848310000000002E-2</v>
      </c>
      <c r="W4182">
        <v>0.134520899999999</v>
      </c>
      <c r="X4182">
        <v>0.98800359999999998</v>
      </c>
      <c r="Y4182">
        <v>-0.10283399999999999</v>
      </c>
      <c r="Z4182">
        <v>-1.0930280000000001E-2</v>
      </c>
      <c r="AA4182">
        <v>0.99463849999999998</v>
      </c>
      <c r="AB4182">
        <v>24</v>
      </c>
      <c r="AC4182">
        <v>-12.5223999999999</v>
      </c>
      <c r="AD4182">
        <v>-1.1102661850919999</v>
      </c>
      <c r="AE4182">
        <v>-0.38849999999999302</v>
      </c>
      <c r="AF4182">
        <v>-1.31276837511185</v>
      </c>
      <c r="AG4182">
        <v>-1.1102661850919999</v>
      </c>
      <c r="AH4182">
        <v>12.3612876646019</v>
      </c>
      <c r="AI4182">
        <v>95.103872293578405</v>
      </c>
      <c r="AJ4182">
        <v>96.062087903177897</v>
      </c>
      <c r="AK4182">
        <v>12.480283832328899</v>
      </c>
      <c r="AL4182">
        <v>82.269083036108697</v>
      </c>
      <c r="AM4182">
        <v>94.389944306915197</v>
      </c>
      <c r="AN4182">
        <v>0.99999997613981195</v>
      </c>
    </row>
    <row r="4183" spans="1:40" x14ac:dyDescent="0.25">
      <c r="A4183" t="str">
        <f>"20190312151110421"</f>
        <v>20190312151110421</v>
      </c>
      <c r="B4183" t="str">
        <f>"1552374670415530"</f>
        <v>1552374670415530</v>
      </c>
      <c r="C4183" t="s">
        <v>40</v>
      </c>
      <c r="D4183">
        <v>5.0664069999999999</v>
      </c>
      <c r="E4183">
        <v>0.49010900000000002</v>
      </c>
      <c r="F4183" t="s">
        <v>79</v>
      </c>
      <c r="G4183">
        <v>-284.77</v>
      </c>
      <c r="H4183" s="1">
        <v>-4.5833559999999997E-6</v>
      </c>
      <c r="I4183">
        <v>136.5872</v>
      </c>
      <c r="J4183">
        <v>-259.00150000000002</v>
      </c>
      <c r="K4183">
        <v>1.11029</v>
      </c>
      <c r="L4183">
        <v>137.41810000000001</v>
      </c>
      <c r="M4183">
        <v>-0.99722270000000002</v>
      </c>
      <c r="N4183">
        <v>0</v>
      </c>
      <c r="O4183">
        <v>7.4074760000000003E-2</v>
      </c>
      <c r="P4183">
        <v>-0.99197630000000003</v>
      </c>
      <c r="Q4183">
        <v>0.12639510000000001</v>
      </c>
      <c r="R4183">
        <v>-2.7703839999999999E-3</v>
      </c>
      <c r="S4183">
        <v>-3.040924</v>
      </c>
      <c r="T4183">
        <v>-0.1297934</v>
      </c>
      <c r="U4183">
        <v>-9.5077510000000004E-2</v>
      </c>
      <c r="V4183">
        <v>-7.6381569999999996E-2</v>
      </c>
      <c r="W4183">
        <v>0.13398270000000001</v>
      </c>
      <c r="X4183">
        <v>0.98803569999999996</v>
      </c>
      <c r="Y4183">
        <v>-0.1050427</v>
      </c>
      <c r="Z4183">
        <v>-5.398463E-3</v>
      </c>
      <c r="AA4183">
        <v>0.99445309999999998</v>
      </c>
      <c r="AB4183">
        <v>25</v>
      </c>
      <c r="AC4183">
        <v>-25.7684999999999</v>
      </c>
      <c r="AD4183">
        <v>-1.1102945833560001</v>
      </c>
      <c r="AE4183">
        <v>-0.83090000000001396</v>
      </c>
      <c r="AF4183">
        <v>-2.7324021952955801</v>
      </c>
      <c r="AG4183">
        <v>-1.1102945833560001</v>
      </c>
      <c r="AH4183">
        <v>25.588694749866299</v>
      </c>
      <c r="AI4183">
        <v>92.4704808405817</v>
      </c>
      <c r="AJ4183">
        <v>96.095040135690098</v>
      </c>
      <c r="AK4183">
        <v>25.758106972767301</v>
      </c>
      <c r="AL4183">
        <v>82.300201720515901</v>
      </c>
      <c r="AM4183">
        <v>94.420543328443102</v>
      </c>
      <c r="AN4183">
        <v>1.00000002630472</v>
      </c>
    </row>
    <row r="4184" spans="1:40" x14ac:dyDescent="0.25">
      <c r="A4184" t="str">
        <f>"20190312151110442"</f>
        <v>20190312151110442</v>
      </c>
      <c r="B4184" t="str">
        <f>"1552374670435055"</f>
        <v>1552374670435055</v>
      </c>
      <c r="C4184" t="s">
        <v>40</v>
      </c>
      <c r="D4184">
        <v>5.1332769999999996</v>
      </c>
      <c r="E4184">
        <v>0.49400319999999998</v>
      </c>
      <c r="F4184" t="s">
        <v>79</v>
      </c>
      <c r="G4184">
        <v>-284.3929</v>
      </c>
      <c r="H4184" s="1">
        <v>-4.4152329999999999E-6</v>
      </c>
      <c r="I4184">
        <v>136.5849</v>
      </c>
      <c r="J4184">
        <v>-259.24099999999999</v>
      </c>
      <c r="K4184">
        <v>1.110309</v>
      </c>
      <c r="L4184">
        <v>137.43510000000001</v>
      </c>
      <c r="M4184">
        <v>-0.99727149999999998</v>
      </c>
      <c r="N4184">
        <v>0</v>
      </c>
      <c r="O4184">
        <v>7.3410600000000006E-2</v>
      </c>
      <c r="P4184">
        <v>-0.9920253</v>
      </c>
      <c r="Q4184">
        <v>0.12596579999999999</v>
      </c>
      <c r="R4184">
        <v>-4.3064130000000003E-3</v>
      </c>
      <c r="S4184">
        <v>-3.0409549999999999</v>
      </c>
      <c r="T4184">
        <v>-0.13297249999999999</v>
      </c>
      <c r="U4184">
        <v>-9.977722E-2</v>
      </c>
      <c r="V4184">
        <v>-7.726587E-2</v>
      </c>
      <c r="W4184">
        <v>0.13357720000000001</v>
      </c>
      <c r="X4184">
        <v>0.98802179999999995</v>
      </c>
      <c r="Y4184">
        <v>-0.10590720000000001</v>
      </c>
      <c r="Z4184">
        <v>-5.5203259999999999E-3</v>
      </c>
      <c r="AA4184">
        <v>0.99436069999999999</v>
      </c>
      <c r="AB4184">
        <v>25</v>
      </c>
      <c r="AC4184">
        <v>-25.151900000000001</v>
      </c>
      <c r="AD4184">
        <v>-1.1103134152330001</v>
      </c>
      <c r="AE4184">
        <v>-0.85020000000000095</v>
      </c>
      <c r="AF4184">
        <v>-2.6891433154595701</v>
      </c>
      <c r="AG4184">
        <v>-1.1103134152330001</v>
      </c>
      <c r="AH4184">
        <v>24.973005633669999</v>
      </c>
      <c r="AI4184">
        <v>92.5311118404057</v>
      </c>
      <c r="AJ4184">
        <v>96.146042121173394</v>
      </c>
      <c r="AK4184">
        <v>25.1419032300747</v>
      </c>
      <c r="AL4184">
        <v>82.323645540477699</v>
      </c>
      <c r="AM4184">
        <v>94.471578006250297</v>
      </c>
      <c r="AN4184">
        <v>0.99999998015096803</v>
      </c>
    </row>
    <row r="4185" spans="1:40" x14ac:dyDescent="0.25">
      <c r="A4185" t="str">
        <f>"20190312151110465"</f>
        <v>20190312151110465</v>
      </c>
      <c r="B4185" t="str">
        <f>"1552374670455545"</f>
        <v>1552374670455545</v>
      </c>
      <c r="C4185" t="s">
        <v>40</v>
      </c>
      <c r="D4185">
        <v>5.0412999999999997</v>
      </c>
      <c r="E4185">
        <v>0.49400359999999999</v>
      </c>
      <c r="F4185" t="s">
        <v>42</v>
      </c>
      <c r="G4185">
        <v>-271.101</v>
      </c>
      <c r="H4185" s="1">
        <v>-4.2396019999999997E-6</v>
      </c>
      <c r="I4185">
        <v>137.13759999999999</v>
      </c>
      <c r="J4185">
        <v>-259.48419999999999</v>
      </c>
      <c r="K4185">
        <v>1.1103419999999999</v>
      </c>
      <c r="L4185">
        <v>137.45230000000001</v>
      </c>
      <c r="M4185">
        <v>-0.99732350000000003</v>
      </c>
      <c r="N4185">
        <v>0</v>
      </c>
      <c r="O4185">
        <v>7.2698460000000006E-2</v>
      </c>
      <c r="P4185">
        <v>-0.99194660000000001</v>
      </c>
      <c r="Q4185">
        <v>0.12653919999999999</v>
      </c>
      <c r="R4185">
        <v>-5.4760499999999997E-3</v>
      </c>
      <c r="S4185">
        <v>-3.0601500000000001</v>
      </c>
      <c r="T4185">
        <v>-0.28648659999999998</v>
      </c>
      <c r="U4185">
        <v>-7.6751710000000001E-2</v>
      </c>
      <c r="V4185">
        <v>-7.7730229999999997E-2</v>
      </c>
      <c r="W4185">
        <v>0.1341717</v>
      </c>
      <c r="X4185">
        <v>0.98790480000000003</v>
      </c>
      <c r="Y4185">
        <v>-9.6943379999999996E-2</v>
      </c>
      <c r="Z4185">
        <v>-1.131449E-2</v>
      </c>
      <c r="AA4185">
        <v>0.99522560000000004</v>
      </c>
      <c r="AB4185">
        <v>25</v>
      </c>
      <c r="AC4185">
        <v>-11.6168</v>
      </c>
      <c r="AD4185">
        <v>-1.1103462396020001</v>
      </c>
      <c r="AE4185">
        <v>-0.31470000000001602</v>
      </c>
      <c r="AF4185">
        <v>-1.1479368108450301</v>
      </c>
      <c r="AG4185">
        <v>-1.1103462396020001</v>
      </c>
      <c r="AH4185">
        <v>11.4585749660089</v>
      </c>
      <c r="AI4185">
        <v>95.507335559377594</v>
      </c>
      <c r="AJ4185">
        <v>95.7208871091877</v>
      </c>
      <c r="AK4185">
        <v>11.5693374030295</v>
      </c>
      <c r="AL4185">
        <v>82.289273667354095</v>
      </c>
      <c r="AM4185">
        <v>94.498872327910604</v>
      </c>
      <c r="AN4185">
        <v>0.99999996379988998</v>
      </c>
    </row>
    <row r="4186" spans="1:40" x14ac:dyDescent="0.25">
      <c r="A4186" t="str">
        <f>"20190312151110487"</f>
        <v>20190312151110487</v>
      </c>
      <c r="B4186" t="str">
        <f>"1552374670475064"</f>
        <v>1552374670475064</v>
      </c>
      <c r="C4186" t="s">
        <v>40</v>
      </c>
      <c r="D4186">
        <v>5.0375290000000001</v>
      </c>
      <c r="E4186">
        <v>0.4942106</v>
      </c>
      <c r="F4186" t="s">
        <v>42</v>
      </c>
      <c r="G4186">
        <v>-271.4939</v>
      </c>
      <c r="H4186" s="1">
        <v>-4.071504E-6</v>
      </c>
      <c r="I4186">
        <v>137.13509999999999</v>
      </c>
      <c r="J4186">
        <v>-259.73070000000001</v>
      </c>
      <c r="K4186">
        <v>1.1103730000000001</v>
      </c>
      <c r="L4186">
        <v>137.46940000000001</v>
      </c>
      <c r="M4186">
        <v>-0.99737889999999996</v>
      </c>
      <c r="N4186">
        <v>0</v>
      </c>
      <c r="O4186">
        <v>7.1932289999999996E-2</v>
      </c>
      <c r="P4186">
        <v>-0.99186989999999997</v>
      </c>
      <c r="Q4186">
        <v>0.1270821</v>
      </c>
      <c r="R4186">
        <v>-6.6738250000000004E-3</v>
      </c>
      <c r="S4186">
        <v>-3.0599980000000002</v>
      </c>
      <c r="T4186">
        <v>-0.2829102</v>
      </c>
      <c r="U4186">
        <v>-8.0795290000000006E-2</v>
      </c>
      <c r="V4186">
        <v>-7.8169829999999996E-2</v>
      </c>
      <c r="W4186">
        <v>0.13473309999999999</v>
      </c>
      <c r="X4186">
        <v>0.9877937</v>
      </c>
      <c r="Y4186">
        <v>-9.7513450000000002E-2</v>
      </c>
      <c r="Z4186">
        <v>-1.1130019999999999E-2</v>
      </c>
      <c r="AA4186">
        <v>0.99517199999999995</v>
      </c>
      <c r="AB4186">
        <v>25</v>
      </c>
      <c r="AC4186">
        <v>-11.7631999999999</v>
      </c>
      <c r="AD4186">
        <v>-1.110377071504</v>
      </c>
      <c r="AE4186">
        <v>-0.33430000000001298</v>
      </c>
      <c r="AF4186">
        <v>-1.1692042058608201</v>
      </c>
      <c r="AG4186">
        <v>-1.110377071504</v>
      </c>
      <c r="AH4186">
        <v>11.605354881029699</v>
      </c>
      <c r="AI4186">
        <v>95.437947253628806</v>
      </c>
      <c r="AJ4186">
        <v>95.7529638239061</v>
      </c>
      <c r="AK4186">
        <v>11.7168356492085</v>
      </c>
      <c r="AL4186">
        <v>82.2568130618602</v>
      </c>
      <c r="AM4186">
        <v>94.524716913629803</v>
      </c>
      <c r="AN4186">
        <v>0.99999996215876297</v>
      </c>
    </row>
    <row r="4187" spans="1:40" x14ac:dyDescent="0.25">
      <c r="A4187" t="str">
        <f>"20190312151110509"</f>
        <v>20190312151110509</v>
      </c>
      <c r="B4187" t="str">
        <f>"1552374670505321"</f>
        <v>1552374670505321</v>
      </c>
      <c r="C4187" t="s">
        <v>40</v>
      </c>
      <c r="D4187">
        <v>4.9590779999999999</v>
      </c>
      <c r="E4187">
        <v>0.4933691</v>
      </c>
      <c r="F4187" t="s">
        <v>42</v>
      </c>
      <c r="G4187">
        <v>-271.9074</v>
      </c>
      <c r="H4187" s="1">
        <v>-3.8935479999999997E-6</v>
      </c>
      <c r="I4187">
        <v>137.13829999999999</v>
      </c>
      <c r="J4187">
        <v>-259.97030000000001</v>
      </c>
      <c r="K4187">
        <v>1.110409</v>
      </c>
      <c r="L4187">
        <v>137.48589999999999</v>
      </c>
      <c r="M4187">
        <v>-0.99743539999999997</v>
      </c>
      <c r="N4187">
        <v>0</v>
      </c>
      <c r="O4187">
        <v>7.1141060000000006E-2</v>
      </c>
      <c r="P4187">
        <v>-0.99187360000000002</v>
      </c>
      <c r="Q4187">
        <v>0.12699820000000001</v>
      </c>
      <c r="R4187">
        <v>-7.6436159999999998E-3</v>
      </c>
      <c r="S4187">
        <v>-3.0598139999999998</v>
      </c>
      <c r="T4187">
        <v>-0.27902280000000002</v>
      </c>
      <c r="U4187">
        <v>-8.3190920000000002E-2</v>
      </c>
      <c r="V4187">
        <v>-7.8363699999999994E-2</v>
      </c>
      <c r="W4187">
        <v>0.13466510000000001</v>
      </c>
      <c r="X4187">
        <v>0.98778770000000005</v>
      </c>
      <c r="Y4187">
        <v>-9.7527009999999997E-2</v>
      </c>
      <c r="Z4187">
        <v>-1.090704E-2</v>
      </c>
      <c r="AA4187">
        <v>0.99517310000000003</v>
      </c>
      <c r="AB4187">
        <v>25</v>
      </c>
      <c r="AC4187">
        <v>-11.9370999999999</v>
      </c>
      <c r="AD4187">
        <v>-1.110412893548</v>
      </c>
      <c r="AE4187">
        <v>-0.34759999999999902</v>
      </c>
      <c r="AF4187">
        <v>-1.1857119300243899</v>
      </c>
      <c r="AG4187">
        <v>-1.110412893548</v>
      </c>
      <c r="AH4187">
        <v>11.7802738585283</v>
      </c>
      <c r="AI4187">
        <v>95.357897551361702</v>
      </c>
      <c r="AJ4187">
        <v>95.747596047058593</v>
      </c>
      <c r="AK4187">
        <v>11.8917526780995</v>
      </c>
      <c r="AL4187">
        <v>82.260745688358497</v>
      </c>
      <c r="AM4187">
        <v>94.535919388400004</v>
      </c>
      <c r="AN4187">
        <v>1.00000004945349</v>
      </c>
    </row>
    <row r="4188" spans="1:40" x14ac:dyDescent="0.25">
      <c r="A4188" t="str">
        <f>"20190312151110531"</f>
        <v>20190312151110531</v>
      </c>
      <c r="B4188" t="str">
        <f>"1552374670524841"</f>
        <v>1552374670524841</v>
      </c>
      <c r="C4188" t="s">
        <v>40</v>
      </c>
      <c r="D4188">
        <v>4.9731439999999996</v>
      </c>
      <c r="E4188">
        <v>0.4926353</v>
      </c>
      <c r="F4188" t="s">
        <v>42</v>
      </c>
      <c r="G4188">
        <v>-272.09679999999997</v>
      </c>
      <c r="H4188" s="1">
        <v>-3.8159449999999999E-6</v>
      </c>
      <c r="I4188">
        <v>137.11760000000001</v>
      </c>
      <c r="J4188">
        <v>-260.22789999999998</v>
      </c>
      <c r="K4188">
        <v>1.1104459999999901</v>
      </c>
      <c r="L4188">
        <v>137.5033</v>
      </c>
      <c r="M4188">
        <v>-0.99749929999999998</v>
      </c>
      <c r="N4188">
        <v>0</v>
      </c>
      <c r="O4188">
        <v>7.0236140000000002E-2</v>
      </c>
      <c r="P4188">
        <v>-0.99193819999999999</v>
      </c>
      <c r="Q4188">
        <v>0.12639069999999999</v>
      </c>
      <c r="R4188">
        <v>-9.180489E-3</v>
      </c>
      <c r="S4188">
        <v>-3.059723</v>
      </c>
      <c r="T4188">
        <v>-0.28017579999999997</v>
      </c>
      <c r="U4188">
        <v>-9.2910770000000004E-2</v>
      </c>
      <c r="V4188">
        <v>-7.9016310000000006E-2</v>
      </c>
      <c r="W4188">
        <v>0.13407160000000001</v>
      </c>
      <c r="X4188">
        <v>0.98781640000000004</v>
      </c>
      <c r="Y4188">
        <v>-9.9772120000000006E-2</v>
      </c>
      <c r="Z4188">
        <v>-1.097193E-2</v>
      </c>
      <c r="AA4188">
        <v>0.9949498</v>
      </c>
      <c r="AB4188">
        <v>25</v>
      </c>
      <c r="AC4188">
        <v>-11.868899999999901</v>
      </c>
      <c r="AD4188">
        <v>-1.11044981594499</v>
      </c>
      <c r="AE4188">
        <v>-0.385699999999985</v>
      </c>
      <c r="AF4188">
        <v>-1.2078374571184201</v>
      </c>
      <c r="AG4188">
        <v>-1.11044981594499</v>
      </c>
      <c r="AH4188">
        <v>11.710100640406999</v>
      </c>
      <c r="AI4188">
        <v>95.388647789792202</v>
      </c>
      <c r="AJ4188">
        <v>95.888943910761995</v>
      </c>
      <c r="AK4188">
        <v>11.8244842223672</v>
      </c>
      <c r="AL4188">
        <v>82.295061591121893</v>
      </c>
      <c r="AM4188">
        <v>94.573402441829003</v>
      </c>
      <c r="AN4188">
        <v>1.0000000056407601</v>
      </c>
    </row>
    <row r="4189" spans="1:40" x14ac:dyDescent="0.25">
      <c r="A4189" t="str">
        <f>"20190312151110554"</f>
        <v>20190312151110554</v>
      </c>
      <c r="B4189" t="str">
        <f>"1552374670545336"</f>
        <v>1552374670545336</v>
      </c>
      <c r="C4189" t="s">
        <v>40</v>
      </c>
      <c r="D4189">
        <v>5.0295529999999999</v>
      </c>
      <c r="E4189">
        <v>0.49202469999999998</v>
      </c>
      <c r="F4189" t="s">
        <v>42</v>
      </c>
      <c r="G4189">
        <v>-272.35770000000002</v>
      </c>
      <c r="H4189" s="1">
        <v>-3.7084189999999998E-6</v>
      </c>
      <c r="I4189">
        <v>137.09289999999999</v>
      </c>
      <c r="J4189">
        <v>-260.47989999999999</v>
      </c>
      <c r="K4189">
        <v>1.1104909999999999</v>
      </c>
      <c r="L4189">
        <v>137.52000000000001</v>
      </c>
      <c r="M4189">
        <v>-0.99756509999999998</v>
      </c>
      <c r="N4189">
        <v>0</v>
      </c>
      <c r="O4189">
        <v>6.9293629999999995E-2</v>
      </c>
      <c r="P4189">
        <v>-0.99195330000000004</v>
      </c>
      <c r="Q4189">
        <v>0.12617970000000001</v>
      </c>
      <c r="R4189">
        <v>-1.036132E-2</v>
      </c>
      <c r="S4189">
        <v>-3.059113</v>
      </c>
      <c r="T4189">
        <v>-0.28005419999999998</v>
      </c>
      <c r="U4189">
        <v>-0.1034851</v>
      </c>
      <c r="V4189">
        <v>-7.9275189999999995E-2</v>
      </c>
      <c r="W4189">
        <v>0.1338712</v>
      </c>
      <c r="X4189">
        <v>0.9878228</v>
      </c>
      <c r="Y4189">
        <v>-0.10226739999999999</v>
      </c>
      <c r="Z4189">
        <v>-1.099693E-2</v>
      </c>
      <c r="AA4189">
        <v>0.99469609999999997</v>
      </c>
      <c r="AB4189">
        <v>25</v>
      </c>
      <c r="AC4189">
        <v>-11.877800000000001</v>
      </c>
      <c r="AD4189">
        <v>-1.110494708419</v>
      </c>
      <c r="AE4189">
        <v>-0.42710000000002402</v>
      </c>
      <c r="AF4189">
        <v>-1.2383444344810799</v>
      </c>
      <c r="AG4189">
        <v>-1.110494708419</v>
      </c>
      <c r="AH4189">
        <v>11.7173622395834</v>
      </c>
      <c r="AI4189">
        <v>95.384140128212707</v>
      </c>
      <c r="AJ4189">
        <v>96.032885655243803</v>
      </c>
      <c r="AK4189">
        <v>11.834833048651401</v>
      </c>
      <c r="AL4189">
        <v>82.306647832446899</v>
      </c>
      <c r="AM4189">
        <v>94.588292739192795</v>
      </c>
      <c r="AN4189">
        <v>0.99999996906940702</v>
      </c>
    </row>
    <row r="4190" spans="1:40" x14ac:dyDescent="0.25">
      <c r="A4190" t="str">
        <f>"20190312151110567"</f>
        <v>20190312151110567</v>
      </c>
      <c r="B4190" t="str">
        <f>"1552374670555098"</f>
        <v>1552374670555098</v>
      </c>
      <c r="C4190" t="s">
        <v>40</v>
      </c>
      <c r="D4190">
        <v>5.0561230000000004</v>
      </c>
      <c r="E4190">
        <v>0.49170320000000001</v>
      </c>
      <c r="F4190" t="s">
        <v>42</v>
      </c>
      <c r="G4190">
        <v>-272.59629999999999</v>
      </c>
      <c r="H4190" s="1">
        <v>-3.6088949999999999E-6</v>
      </c>
      <c r="I4190">
        <v>137.07669999999999</v>
      </c>
      <c r="J4190">
        <v>-260.62180000000001</v>
      </c>
      <c r="K4190">
        <v>1.1105160000000001</v>
      </c>
      <c r="L4190">
        <v>137.52930000000001</v>
      </c>
      <c r="M4190">
        <v>-0.99760380000000004</v>
      </c>
      <c r="N4190">
        <v>0</v>
      </c>
      <c r="O4190">
        <v>6.8732719999999997E-2</v>
      </c>
      <c r="P4190">
        <v>-0.99194099999999996</v>
      </c>
      <c r="Q4190">
        <v>0.1261987</v>
      </c>
      <c r="R4190">
        <v>-1.125726E-2</v>
      </c>
      <c r="S4190">
        <v>-3.0588989999999998</v>
      </c>
      <c r="T4190">
        <v>-0.28035579999999999</v>
      </c>
      <c r="U4190">
        <v>-0.111892699999999</v>
      </c>
      <c r="V4190">
        <v>-7.9620189999999993E-2</v>
      </c>
      <c r="W4190">
        <v>0.13389529999999999</v>
      </c>
      <c r="X4190">
        <v>0.9877918</v>
      </c>
      <c r="Y4190">
        <v>-0.1044325</v>
      </c>
      <c r="Z4190">
        <v>-1.105686E-2</v>
      </c>
      <c r="AA4190">
        <v>0.99447050000000004</v>
      </c>
      <c r="AB4190">
        <v>25</v>
      </c>
      <c r="AC4190">
        <v>-11.9744999999999</v>
      </c>
      <c r="AD4190">
        <v>-1.110519608895</v>
      </c>
      <c r="AE4190">
        <v>-0.45260000000001799</v>
      </c>
      <c r="AF4190">
        <v>-1.2637415950801101</v>
      </c>
      <c r="AG4190">
        <v>-1.110519608895</v>
      </c>
      <c r="AH4190">
        <v>11.8136091864652</v>
      </c>
      <c r="AI4190">
        <v>95.3399291364329</v>
      </c>
      <c r="AJ4190">
        <v>96.1059027489529</v>
      </c>
      <c r="AK4190">
        <v>11.932797602884699</v>
      </c>
      <c r="AL4190">
        <v>82.305254568218302</v>
      </c>
      <c r="AM4190">
        <v>94.608318845834006</v>
      </c>
      <c r="AN4190">
        <v>0.99999998308248295</v>
      </c>
    </row>
    <row r="4191" spans="1:40" x14ac:dyDescent="0.25">
      <c r="A4191" t="str">
        <f>"20190312151110588"</f>
        <v>20190312151110588</v>
      </c>
      <c r="B4191" t="str">
        <f>"1552374670585353"</f>
        <v>1552374670585353</v>
      </c>
      <c r="C4191" t="s">
        <v>40</v>
      </c>
      <c r="D4191">
        <v>4.9846120000000003</v>
      </c>
      <c r="E4191">
        <v>0.49125849999999999</v>
      </c>
      <c r="F4191" t="s">
        <v>42</v>
      </c>
      <c r="G4191">
        <v>-272.8664</v>
      </c>
      <c r="H4191" s="1">
        <v>-3.495966E-6</v>
      </c>
      <c r="I4191">
        <v>137.06039999999999</v>
      </c>
      <c r="J4191">
        <v>-260.85149999999999</v>
      </c>
      <c r="K4191">
        <v>1.11056</v>
      </c>
      <c r="L4191">
        <v>137.54409999999999</v>
      </c>
      <c r="M4191">
        <v>-0.99766829999999995</v>
      </c>
      <c r="N4191">
        <v>0</v>
      </c>
      <c r="O4191">
        <v>6.7787379999999994E-2</v>
      </c>
      <c r="P4191">
        <v>-0.9919443</v>
      </c>
      <c r="Q4191">
        <v>0.12606819999999999</v>
      </c>
      <c r="R4191">
        <v>-1.2391269999999999E-2</v>
      </c>
      <c r="S4191">
        <v>-3.0583499999999999</v>
      </c>
      <c r="T4191">
        <v>-0.27737859999999998</v>
      </c>
      <c r="U4191">
        <v>-0.1171112</v>
      </c>
      <c r="V4191">
        <v>-7.9828800000000005E-2</v>
      </c>
      <c r="W4191">
        <v>0.133771</v>
      </c>
      <c r="X4191">
        <v>0.9877918</v>
      </c>
      <c r="Y4191">
        <v>-0.10520699999999999</v>
      </c>
      <c r="Z4191">
        <v>-1.089122E-2</v>
      </c>
      <c r="AA4191">
        <v>0.99439069999999996</v>
      </c>
      <c r="AB4191">
        <v>25</v>
      </c>
      <c r="AC4191">
        <v>-12.014900000000001</v>
      </c>
      <c r="AD4191">
        <v>-1.110563495966</v>
      </c>
      <c r="AE4191">
        <v>-0.48369999999999802</v>
      </c>
      <c r="AF4191">
        <v>-1.2861012045981499</v>
      </c>
      <c r="AG4191">
        <v>-1.110563495966</v>
      </c>
      <c r="AH4191">
        <v>11.853363856145499</v>
      </c>
      <c r="AI4191">
        <v>95.321470987544402</v>
      </c>
      <c r="AJ4191">
        <v>96.192422155326</v>
      </c>
      <c r="AK4191">
        <v>11.974541423086601</v>
      </c>
      <c r="AL4191">
        <v>82.312441052540706</v>
      </c>
      <c r="AM4191">
        <v>94.620340728505795</v>
      </c>
      <c r="AN4191">
        <v>0.99999997894883896</v>
      </c>
    </row>
    <row r="4192" spans="1:40" x14ac:dyDescent="0.25">
      <c r="A4192" t="str">
        <f>"20190312151110611"</f>
        <v>20190312151110611</v>
      </c>
      <c r="B4192" t="str">
        <f>"1552374670604873"</f>
        <v>1552374670604873</v>
      </c>
      <c r="C4192" t="s">
        <v>40</v>
      </c>
      <c r="D4192">
        <v>4.9894829999999999</v>
      </c>
      <c r="E4192">
        <v>0.49104500000000001</v>
      </c>
      <c r="F4192" t="s">
        <v>42</v>
      </c>
      <c r="G4192">
        <v>-273.00009999999997</v>
      </c>
      <c r="H4192" s="1">
        <v>-3.4404379999999999E-6</v>
      </c>
      <c r="I4192">
        <v>137.04990000000001</v>
      </c>
      <c r="J4192">
        <v>-261.11079999999998</v>
      </c>
      <c r="K4192">
        <v>1.1106020000000001</v>
      </c>
      <c r="L4192">
        <v>137.56049999999999</v>
      </c>
      <c r="M4192">
        <v>-0.99774410000000002</v>
      </c>
      <c r="N4192">
        <v>0</v>
      </c>
      <c r="O4192">
        <v>6.6660540000000004E-2</v>
      </c>
      <c r="P4192">
        <v>-0.99192139999999995</v>
      </c>
      <c r="Q4192">
        <v>0.12613050000000001</v>
      </c>
      <c r="R4192">
        <v>-1.353556E-2</v>
      </c>
      <c r="S4192">
        <v>-3.0583499999999999</v>
      </c>
      <c r="T4192">
        <v>-0.27957900000000002</v>
      </c>
      <c r="U4192">
        <v>-0.1243896</v>
      </c>
      <c r="V4192">
        <v>-7.9867590000000002E-2</v>
      </c>
      <c r="W4192">
        <v>0.13384089999999901</v>
      </c>
      <c r="X4192">
        <v>0.98777919999999997</v>
      </c>
      <c r="Y4192">
        <v>-0.106435</v>
      </c>
      <c r="Z4192">
        <v>-1.0930219999999999E-2</v>
      </c>
      <c r="AA4192">
        <v>0.99425960000000002</v>
      </c>
      <c r="AB4192">
        <v>25</v>
      </c>
      <c r="AC4192">
        <v>-11.889299999999899</v>
      </c>
      <c r="AD4192">
        <v>-1.1106054404379999</v>
      </c>
      <c r="AE4192">
        <v>-0.51059999999998196</v>
      </c>
      <c r="AF4192">
        <v>-1.2907938453605301</v>
      </c>
      <c r="AG4192">
        <v>-1.1106054404379999</v>
      </c>
      <c r="AH4192">
        <v>11.7266784736078</v>
      </c>
      <c r="AI4192">
        <v>95.377918440232406</v>
      </c>
      <c r="AJ4192">
        <v>96.281446326807497</v>
      </c>
      <c r="AK4192">
        <v>11.849665869505699</v>
      </c>
      <c r="AL4192">
        <v>82.308399769025399</v>
      </c>
      <c r="AM4192">
        <v>94.622634802851707</v>
      </c>
      <c r="AN4192">
        <v>0.99999998319892802</v>
      </c>
    </row>
    <row r="4193" spans="1:40" x14ac:dyDescent="0.25">
      <c r="A4193" t="str">
        <f>"20190312151110633"</f>
        <v>20190312151110633</v>
      </c>
      <c r="B4193" t="str">
        <f>"1552374670625369"</f>
        <v>1552374670625369</v>
      </c>
      <c r="C4193" t="s">
        <v>40</v>
      </c>
      <c r="D4193">
        <v>4.9516720000000003</v>
      </c>
      <c r="E4193">
        <v>0.49111149999999998</v>
      </c>
      <c r="F4193" t="s">
        <v>42</v>
      </c>
      <c r="G4193">
        <v>-273.31360000000001</v>
      </c>
      <c r="H4193" s="1">
        <v>-3.307199E-6</v>
      </c>
      <c r="I4193">
        <v>137.0428</v>
      </c>
      <c r="J4193">
        <v>-261.36099999999999</v>
      </c>
      <c r="K4193">
        <v>1.1106389999999999</v>
      </c>
      <c r="L4193">
        <v>137.57599999999999</v>
      </c>
      <c r="M4193">
        <v>-0.99781949999999997</v>
      </c>
      <c r="N4193">
        <v>0</v>
      </c>
      <c r="O4193">
        <v>6.5519880000000003E-2</v>
      </c>
      <c r="P4193">
        <v>-0.9919424</v>
      </c>
      <c r="Q4193">
        <v>0.1258398</v>
      </c>
      <c r="R4193">
        <v>-1.46468E-2</v>
      </c>
      <c r="S4193">
        <v>-3.0580440000000002</v>
      </c>
      <c r="T4193">
        <v>-0.27832079999999998</v>
      </c>
      <c r="U4193">
        <v>-0.12973019999999999</v>
      </c>
      <c r="V4193">
        <v>-7.9859849999999996E-2</v>
      </c>
      <c r="W4193">
        <v>0.13355649999999999</v>
      </c>
      <c r="X4193">
        <v>0.98781839999999999</v>
      </c>
      <c r="Y4193">
        <v>-0.1070443</v>
      </c>
      <c r="Z4193">
        <v>-1.080621E-2</v>
      </c>
      <c r="AA4193">
        <v>0.99419550000000001</v>
      </c>
      <c r="AB4193">
        <v>25</v>
      </c>
      <c r="AC4193">
        <v>-11.9526</v>
      </c>
      <c r="AD4193">
        <v>-1.1106423071989999</v>
      </c>
      <c r="AE4193">
        <v>-0.53319999999999301</v>
      </c>
      <c r="AF4193">
        <v>-1.3039754971599999</v>
      </c>
      <c r="AG4193">
        <v>-1.1106423071989999</v>
      </c>
      <c r="AH4193">
        <v>11.790380399184</v>
      </c>
      <c r="AI4193">
        <v>95.348904399624701</v>
      </c>
      <c r="AJ4193">
        <v>96.311067951232104</v>
      </c>
      <c r="AK4193">
        <v>11.9141490837238</v>
      </c>
      <c r="AL4193">
        <v>82.324842924813595</v>
      </c>
      <c r="AM4193">
        <v>94.622006133226904</v>
      </c>
      <c r="AN4193">
        <v>1.0000000628564101</v>
      </c>
    </row>
    <row r="4194" spans="1:40" x14ac:dyDescent="0.25">
      <c r="A4194" t="str">
        <f>"20190312151110655"</f>
        <v>20190312151110655</v>
      </c>
      <c r="B4194" t="str">
        <f>"1552374670644889"</f>
        <v>1552374670644889</v>
      </c>
      <c r="C4194" t="s">
        <v>40</v>
      </c>
      <c r="D4194">
        <v>4.9745970000000002</v>
      </c>
      <c r="E4194">
        <v>0.49101810000000001</v>
      </c>
      <c r="F4194" t="s">
        <v>42</v>
      </c>
      <c r="G4194">
        <v>-273.58269999999999</v>
      </c>
      <c r="H4194" s="1">
        <v>-3.1913249999999999E-6</v>
      </c>
      <c r="I4194">
        <v>137.0454</v>
      </c>
      <c r="J4194">
        <v>-261.60919999999999</v>
      </c>
      <c r="K4194">
        <v>1.1106720000000001</v>
      </c>
      <c r="L4194">
        <v>137.59110000000001</v>
      </c>
      <c r="M4194">
        <v>-0.99789640000000002</v>
      </c>
      <c r="N4194">
        <v>0</v>
      </c>
      <c r="O4194">
        <v>6.4337969999999994E-2</v>
      </c>
      <c r="P4194">
        <v>-0.99194590000000005</v>
      </c>
      <c r="Q4194">
        <v>0.12565760000000001</v>
      </c>
      <c r="R4194">
        <v>-1.5926599999999999E-2</v>
      </c>
      <c r="S4194">
        <v>-3.0576479999999999</v>
      </c>
      <c r="T4194">
        <v>-0.27786339999999998</v>
      </c>
      <c r="U4194">
        <v>-0.1327362</v>
      </c>
      <c r="V4194">
        <v>-7.9977649999999997E-2</v>
      </c>
      <c r="W4194">
        <v>0.13337969999999999</v>
      </c>
      <c r="X4194">
        <v>0.98783270000000001</v>
      </c>
      <c r="Y4194">
        <v>-0.1068556</v>
      </c>
      <c r="Z4194">
        <v>-1.067414E-2</v>
      </c>
      <c r="AA4194">
        <v>0.99421729999999997</v>
      </c>
      <c r="AB4194">
        <v>25</v>
      </c>
      <c r="AC4194">
        <v>-11.9735</v>
      </c>
      <c r="AD4194">
        <v>-1.1106751913249999</v>
      </c>
      <c r="AE4194">
        <v>-0.54570000000000995</v>
      </c>
      <c r="AF4194">
        <v>-1.30374941390574</v>
      </c>
      <c r="AG4194">
        <v>-1.1106751913249999</v>
      </c>
      <c r="AH4194">
        <v>11.8121525325411</v>
      </c>
      <c r="AI4194">
        <v>95.339388713925004</v>
      </c>
      <c r="AJ4194">
        <v>96.2984455763239</v>
      </c>
      <c r="AK4194">
        <v>11.9356738128562</v>
      </c>
      <c r="AL4194">
        <v>82.335063829041999</v>
      </c>
      <c r="AM4194">
        <v>94.628727660603502</v>
      </c>
      <c r="AN4194">
        <v>1.0000000060304499</v>
      </c>
    </row>
    <row r="4195" spans="1:40" x14ac:dyDescent="0.25">
      <c r="A4195" t="str">
        <f>"20190312151110679"</f>
        <v>20190312151110679</v>
      </c>
      <c r="B4195" t="str">
        <f>"1552374670675146"</f>
        <v>1552374670675146</v>
      </c>
      <c r="C4195" t="s">
        <v>40</v>
      </c>
      <c r="D4195">
        <v>5.0019929999999997</v>
      </c>
      <c r="E4195">
        <v>0.49077680000000001</v>
      </c>
      <c r="F4195" t="s">
        <v>42</v>
      </c>
      <c r="G4195">
        <v>-273.85879999999997</v>
      </c>
      <c r="H4195" s="1">
        <v>-3.073925E-6</v>
      </c>
      <c r="I4195">
        <v>137.03960000000001</v>
      </c>
      <c r="J4195">
        <v>-261.87900000000002</v>
      </c>
      <c r="K4195">
        <v>1.110711</v>
      </c>
      <c r="L4195">
        <v>137.607</v>
      </c>
      <c r="M4195">
        <v>-0.99798149999999997</v>
      </c>
      <c r="N4195">
        <v>0</v>
      </c>
      <c r="O4195">
        <v>6.3001619999999994E-2</v>
      </c>
      <c r="P4195">
        <v>-0.99189430000000001</v>
      </c>
      <c r="Q4195">
        <v>0.12586339999999999</v>
      </c>
      <c r="R4195">
        <v>-1.7447259999999999E-2</v>
      </c>
      <c r="S4195">
        <v>-3.0572509999999999</v>
      </c>
      <c r="T4195">
        <v>-0.27720460000000002</v>
      </c>
      <c r="U4195">
        <v>-0.13763429999999999</v>
      </c>
      <c r="V4195">
        <v>-8.0180730000000006E-2</v>
      </c>
      <c r="W4195">
        <v>0.1335905</v>
      </c>
      <c r="X4195">
        <v>0.98778770000000005</v>
      </c>
      <c r="Y4195">
        <v>-0.10712720000000001</v>
      </c>
      <c r="Z4195">
        <v>-1.054153E-2</v>
      </c>
      <c r="AA4195">
        <v>0.9941894</v>
      </c>
      <c r="AB4195">
        <v>25</v>
      </c>
      <c r="AC4195">
        <v>-11.9797999999999</v>
      </c>
      <c r="AD4195">
        <v>-1.1107140739249901</v>
      </c>
      <c r="AE4195">
        <v>-0.56739999999999202</v>
      </c>
      <c r="AF4195">
        <v>-1.30980944611005</v>
      </c>
      <c r="AG4195">
        <v>-1.1107140739249901</v>
      </c>
      <c r="AH4195">
        <v>11.8188816340228</v>
      </c>
      <c r="AI4195">
        <v>95.336291207467397</v>
      </c>
      <c r="AJ4195">
        <v>96.323911459356907</v>
      </c>
      <c r="AK4195">
        <v>11.9430000258803</v>
      </c>
      <c r="AL4195">
        <v>82.322876426363706</v>
      </c>
      <c r="AM4195">
        <v>94.640640181742995</v>
      </c>
      <c r="AN4195">
        <v>0.99999995571243505</v>
      </c>
    </row>
    <row r="4196" spans="1:40" x14ac:dyDescent="0.25">
      <c r="A4196" t="str">
        <f>"20190312151110700"</f>
        <v>20190312151110700</v>
      </c>
      <c r="B4196" t="str">
        <f>"1552374670695642"</f>
        <v>1552374670695642</v>
      </c>
      <c r="C4196" t="s">
        <v>40</v>
      </c>
      <c r="D4196">
        <v>5.1871130000000001</v>
      </c>
      <c r="E4196">
        <v>0.49077749999999998</v>
      </c>
      <c r="F4196" t="s">
        <v>42</v>
      </c>
      <c r="G4196">
        <v>-274.08109999999999</v>
      </c>
      <c r="H4196" s="1">
        <v>-2.9803979999999998E-6</v>
      </c>
      <c r="I4196">
        <v>137.0291</v>
      </c>
      <c r="J4196">
        <v>-262.12180000000001</v>
      </c>
      <c r="K4196">
        <v>1.110741</v>
      </c>
      <c r="L4196">
        <v>137.62100000000001</v>
      </c>
      <c r="M4196">
        <v>-0.99805920000000004</v>
      </c>
      <c r="N4196">
        <v>0</v>
      </c>
      <c r="O4196">
        <v>6.1759469999999997E-2</v>
      </c>
      <c r="P4196">
        <v>-0.99187829999999999</v>
      </c>
      <c r="Q4196">
        <v>0.12580669999999999</v>
      </c>
      <c r="R4196">
        <v>-1.8713750000000001E-2</v>
      </c>
      <c r="S4196">
        <v>-3.0572509999999999</v>
      </c>
      <c r="T4196">
        <v>-0.27829159999999997</v>
      </c>
      <c r="U4196">
        <v>-0.1447754</v>
      </c>
      <c r="V4196">
        <v>-8.0222260000000004E-2</v>
      </c>
      <c r="W4196">
        <v>0.1335394</v>
      </c>
      <c r="X4196">
        <v>0.98779130000000004</v>
      </c>
      <c r="Y4196">
        <v>-0.1082024</v>
      </c>
      <c r="Z4196">
        <v>-1.0518339999999999E-2</v>
      </c>
      <c r="AA4196">
        <v>0.99407330000000005</v>
      </c>
      <c r="AB4196">
        <v>25</v>
      </c>
      <c r="AC4196">
        <v>-11.959299999999899</v>
      </c>
      <c r="AD4196">
        <v>-1.1107439803979999</v>
      </c>
      <c r="AE4196">
        <v>-0.59190000000000897</v>
      </c>
      <c r="AF4196">
        <v>-1.3180516330683001</v>
      </c>
      <c r="AG4196">
        <v>-1.1107439803979999</v>
      </c>
      <c r="AH4196">
        <v>11.798386568269301</v>
      </c>
      <c r="AI4196">
        <v>95.345129874392001</v>
      </c>
      <c r="AJ4196">
        <v>96.374343237588903</v>
      </c>
      <c r="AK4196">
        <v>11.923629393424701</v>
      </c>
      <c r="AL4196">
        <v>82.325831186932604</v>
      </c>
      <c r="AM4196">
        <v>94.643016470000603</v>
      </c>
      <c r="AN4196">
        <v>1.00000001735377</v>
      </c>
    </row>
    <row r="4197" spans="1:40" x14ac:dyDescent="0.25">
      <c r="A4197" t="str">
        <f>"20190312151110722"</f>
        <v>20190312151110722</v>
      </c>
      <c r="B4197" t="str">
        <f>"1552374670714964"</f>
        <v>1552374670714964</v>
      </c>
      <c r="C4197" t="s">
        <v>40</v>
      </c>
      <c r="D4197">
        <v>4.9696239999999996</v>
      </c>
      <c r="E4197">
        <v>0.48933189999999999</v>
      </c>
      <c r="F4197" t="s">
        <v>42</v>
      </c>
      <c r="G4197">
        <v>-274.351</v>
      </c>
      <c r="H4197" s="1">
        <v>-2.865196E-6</v>
      </c>
      <c r="I4197">
        <v>137.0257</v>
      </c>
      <c r="J4197">
        <v>-262.37599999999998</v>
      </c>
      <c r="K4197">
        <v>1.1107610000000001</v>
      </c>
      <c r="L4197">
        <v>137.6353</v>
      </c>
      <c r="M4197">
        <v>-0.99814020000000003</v>
      </c>
      <c r="N4197">
        <v>0</v>
      </c>
      <c r="O4197">
        <v>6.0432800000000002E-2</v>
      </c>
      <c r="P4197">
        <v>-0.99186459999999999</v>
      </c>
      <c r="Q4197">
        <v>0.1256234</v>
      </c>
      <c r="R4197">
        <v>-2.0578099999999998E-2</v>
      </c>
      <c r="S4197">
        <v>-3.0569459999999999</v>
      </c>
      <c r="T4197">
        <v>-0.2776537</v>
      </c>
      <c r="U4197">
        <v>-0.14878849999999999</v>
      </c>
      <c r="V4197">
        <v>-8.0775299999999994E-2</v>
      </c>
      <c r="W4197">
        <v>0.13336029999999999</v>
      </c>
      <c r="X4197">
        <v>0.98777040000000005</v>
      </c>
      <c r="Y4197">
        <v>-0.1081963</v>
      </c>
      <c r="Z4197">
        <v>-1.037473E-2</v>
      </c>
      <c r="AA4197">
        <v>0.99407540000000005</v>
      </c>
      <c r="AB4197">
        <v>26</v>
      </c>
      <c r="AC4197">
        <v>-11.975</v>
      </c>
      <c r="AD4197">
        <v>-1.1107638651959999</v>
      </c>
      <c r="AE4197">
        <v>-0.60960000000000003</v>
      </c>
      <c r="AF4197">
        <v>-1.3208566205327701</v>
      </c>
      <c r="AG4197">
        <v>-1.1107638651959999</v>
      </c>
      <c r="AH4197">
        <v>11.8148798760906</v>
      </c>
      <c r="AI4197">
        <v>95.337758608960598</v>
      </c>
      <c r="AJ4197">
        <v>96.378953001745899</v>
      </c>
      <c r="AK4197">
        <v>11.9402615156738</v>
      </c>
      <c r="AL4197">
        <v>82.336185270232704</v>
      </c>
      <c r="AM4197">
        <v>94.674981805143503</v>
      </c>
      <c r="AN4197">
        <v>0.99999999091116998</v>
      </c>
    </row>
    <row r="4198" spans="1:40" x14ac:dyDescent="0.25">
      <c r="A4198" t="str">
        <f>"20190312151110744"</f>
        <v>20190312151110744</v>
      </c>
      <c r="B4198" t="str">
        <f>"1552374670735460"</f>
        <v>1552374670735460</v>
      </c>
      <c r="C4198" t="s">
        <v>40</v>
      </c>
      <c r="D4198">
        <v>5.0103359999999997</v>
      </c>
      <c r="E4198">
        <v>0.49137350000000002</v>
      </c>
      <c r="F4198" t="s">
        <v>79</v>
      </c>
      <c r="G4198">
        <v>-285.5942</v>
      </c>
      <c r="H4198" s="1">
        <v>-5.0279730000000003E-6</v>
      </c>
      <c r="I4198">
        <v>136.39529999999999</v>
      </c>
      <c r="J4198">
        <v>-262.62630000000001</v>
      </c>
      <c r="K4198">
        <v>1.1107659999999999</v>
      </c>
      <c r="L4198">
        <v>137.649</v>
      </c>
      <c r="M4198">
        <v>-0.99821939999999998</v>
      </c>
      <c r="N4198">
        <v>0</v>
      </c>
      <c r="O4198">
        <v>5.9109259999999997E-2</v>
      </c>
      <c r="P4198">
        <v>-0.99188410000000005</v>
      </c>
      <c r="Q4198">
        <v>0.125134</v>
      </c>
      <c r="R4198">
        <v>-2.2533890000000001E-2</v>
      </c>
      <c r="S4198">
        <v>-3.0396420000000002</v>
      </c>
      <c r="T4198">
        <v>-0.1454172</v>
      </c>
      <c r="U4198">
        <v>-0.16233829999999999</v>
      </c>
      <c r="V4198">
        <v>-8.1423079999999995E-2</v>
      </c>
      <c r="W4198">
        <v>0.13287589999999999</v>
      </c>
      <c r="X4198">
        <v>0.98778250000000001</v>
      </c>
      <c r="Y4198">
        <v>-0.1120695</v>
      </c>
      <c r="Z4198">
        <v>-5.5014230000000001E-3</v>
      </c>
      <c r="AA4198">
        <v>0.99368509999999999</v>
      </c>
      <c r="AB4198">
        <v>26</v>
      </c>
      <c r="AC4198">
        <v>-22.967899999999901</v>
      </c>
      <c r="AD4198">
        <v>-1.1107710279730001</v>
      </c>
      <c r="AE4198">
        <v>-1.2537</v>
      </c>
      <c r="AF4198">
        <v>-2.6030966676906901</v>
      </c>
      <c r="AG4198">
        <v>-1.1107710279730001</v>
      </c>
      <c r="AH4198">
        <v>22.8004618812157</v>
      </c>
      <c r="AI4198">
        <v>92.771102607821803</v>
      </c>
      <c r="AJ4198">
        <v>96.513177663954707</v>
      </c>
      <c r="AK4198">
        <v>22.9754431194416</v>
      </c>
      <c r="AL4198">
        <v>82.364188602296693</v>
      </c>
      <c r="AM4198">
        <v>94.712247329475105</v>
      </c>
      <c r="AN4198">
        <v>0.99999999503187298</v>
      </c>
    </row>
    <row r="4199" spans="1:40" x14ac:dyDescent="0.25">
      <c r="A4199" t="str">
        <f>"20190312151110765"</f>
        <v>20190312151110765</v>
      </c>
      <c r="B4199" t="str">
        <f>"1552374670754980"</f>
        <v>1552374670754980</v>
      </c>
      <c r="C4199" t="s">
        <v>40</v>
      </c>
      <c r="D4199">
        <v>4.9655559999999896</v>
      </c>
      <c r="E4199">
        <v>0.49167230000000001</v>
      </c>
      <c r="F4199" t="s">
        <v>42</v>
      </c>
      <c r="G4199">
        <v>-275.9323</v>
      </c>
      <c r="H4199" s="1">
        <v>-2.1961679999999998E-6</v>
      </c>
      <c r="I4199">
        <v>136.97319999999999</v>
      </c>
      <c r="J4199">
        <v>-262.87700000000001</v>
      </c>
      <c r="K4199">
        <v>1.1107800000000001</v>
      </c>
      <c r="L4199">
        <v>137.66239999999999</v>
      </c>
      <c r="M4199">
        <v>-0.99829769999999896</v>
      </c>
      <c r="N4199">
        <v>0</v>
      </c>
      <c r="O4199">
        <v>5.7771969999999999E-2</v>
      </c>
      <c r="P4199">
        <v>-0.99189450000000001</v>
      </c>
      <c r="Q4199">
        <v>0.124649499999999</v>
      </c>
      <c r="R4199">
        <v>-2.4654539999999999E-2</v>
      </c>
      <c r="S4199">
        <v>-3.0531920000000001</v>
      </c>
      <c r="T4199">
        <v>-0.25487880000000002</v>
      </c>
      <c r="U4199">
        <v>-0.15507509999999999</v>
      </c>
      <c r="V4199">
        <v>-8.2219210000000001E-2</v>
      </c>
      <c r="W4199">
        <v>0.13239429999999999</v>
      </c>
      <c r="X4199">
        <v>0.98778120000000003</v>
      </c>
      <c r="Y4199">
        <v>-0.107765899999999</v>
      </c>
      <c r="Z4199">
        <v>-9.2986470000000002E-3</v>
      </c>
      <c r="AA4199">
        <v>0.99413280000000004</v>
      </c>
      <c r="AB4199">
        <v>26</v>
      </c>
      <c r="AC4199">
        <v>-13.0552999999999</v>
      </c>
      <c r="AD4199">
        <v>-1.11078219616799</v>
      </c>
      <c r="AE4199">
        <v>-0.68919999999999904</v>
      </c>
      <c r="AF4199">
        <v>-1.43196607686549</v>
      </c>
      <c r="AG4199">
        <v>-1.11078219616799</v>
      </c>
      <c r="AH4199">
        <v>12.9005472723198</v>
      </c>
      <c r="AI4199">
        <v>94.891335118373604</v>
      </c>
      <c r="AJ4199">
        <v>96.333926490739898</v>
      </c>
      <c r="AK4199">
        <v>13.027220880064</v>
      </c>
      <c r="AL4199">
        <v>82.392028054853597</v>
      </c>
      <c r="AM4199">
        <v>94.758117951436702</v>
      </c>
      <c r="AN4199">
        <v>0.99999997411947605</v>
      </c>
    </row>
    <row r="4200" spans="1:40" x14ac:dyDescent="0.25">
      <c r="A4200" t="str">
        <f>"20190312151110788"</f>
        <v>20190312151110788</v>
      </c>
      <c r="B4200" t="str">
        <f>"1552374670785237"</f>
        <v>1552374670785237</v>
      </c>
      <c r="C4200" t="s">
        <v>40</v>
      </c>
      <c r="D4200">
        <v>4.9404339999999998</v>
      </c>
      <c r="E4200">
        <v>0.49244100000000002</v>
      </c>
      <c r="F4200" t="s">
        <v>42</v>
      </c>
      <c r="G4200">
        <v>-275.928</v>
      </c>
      <c r="H4200" s="1">
        <v>-2.1963090000000001E-6</v>
      </c>
      <c r="I4200">
        <v>136.98269999999999</v>
      </c>
      <c r="J4200">
        <v>-263.1293</v>
      </c>
      <c r="K4200">
        <v>1.1107819999999999</v>
      </c>
      <c r="L4200">
        <v>137.6756</v>
      </c>
      <c r="M4200">
        <v>-0.99837489999999995</v>
      </c>
      <c r="N4200">
        <v>0</v>
      </c>
      <c r="O4200">
        <v>5.6420339999999999E-2</v>
      </c>
      <c r="P4200">
        <v>-0.99191980000000002</v>
      </c>
      <c r="Q4200">
        <v>0.124057</v>
      </c>
      <c r="R4200">
        <v>-2.6549630000000001E-2</v>
      </c>
      <c r="S4200">
        <v>-3.053223</v>
      </c>
      <c r="T4200">
        <v>-0.25986419999999999</v>
      </c>
      <c r="U4200">
        <v>-0.15901179999999901</v>
      </c>
      <c r="V4200">
        <v>-8.2775000000000001E-2</v>
      </c>
      <c r="W4200">
        <v>0.13180159999999999</v>
      </c>
      <c r="X4200">
        <v>0.98781410000000003</v>
      </c>
      <c r="Y4200">
        <v>-0.1076805</v>
      </c>
      <c r="Z4200">
        <v>-9.3611939999999998E-3</v>
      </c>
      <c r="AA4200">
        <v>0.99414150000000001</v>
      </c>
      <c r="AB4200">
        <v>26</v>
      </c>
      <c r="AC4200">
        <v>-12.798699999999901</v>
      </c>
      <c r="AD4200">
        <v>-1.1107841963089999</v>
      </c>
      <c r="AE4200">
        <v>-0.69290000000000795</v>
      </c>
      <c r="AF4200">
        <v>-1.4033865968302399</v>
      </c>
      <c r="AG4200">
        <v>-1.1107841963089999</v>
      </c>
      <c r="AH4200">
        <v>12.6442547755851</v>
      </c>
      <c r="AI4200">
        <v>94.989998877699406</v>
      </c>
      <c r="AJ4200">
        <v>96.333340521900794</v>
      </c>
      <c r="AK4200">
        <v>12.7702981288943</v>
      </c>
      <c r="AL4200">
        <v>82.426287911791903</v>
      </c>
      <c r="AM4200">
        <v>94.7899741777034</v>
      </c>
      <c r="AN4200">
        <v>1.0000000292731801</v>
      </c>
    </row>
    <row r="4201" spans="1:40" x14ac:dyDescent="0.25">
      <c r="A4201" t="str">
        <f>"20190312151110811"</f>
        <v>20190312151110811</v>
      </c>
      <c r="B4201" t="str">
        <f>"1552374670805733"</f>
        <v>1552374670805733</v>
      </c>
      <c r="C4201" t="s">
        <v>40</v>
      </c>
      <c r="D4201">
        <v>4.9673889999999998</v>
      </c>
      <c r="E4201">
        <v>0.49303370000000002</v>
      </c>
      <c r="F4201" t="s">
        <v>42</v>
      </c>
      <c r="G4201">
        <v>-276.10160000000002</v>
      </c>
      <c r="H4201" s="1">
        <v>-2.1186719999999998E-6</v>
      </c>
      <c r="I4201">
        <v>137.00069999999999</v>
      </c>
      <c r="J4201">
        <v>-263.40039999999999</v>
      </c>
      <c r="K4201">
        <v>1.1107819999999999</v>
      </c>
      <c r="L4201">
        <v>137.6893</v>
      </c>
      <c r="M4201">
        <v>-0.99845600000000001</v>
      </c>
      <c r="N4201">
        <v>0</v>
      </c>
      <c r="O4201">
        <v>5.4967370000000002E-2</v>
      </c>
      <c r="P4201">
        <v>-0.99191669999999998</v>
      </c>
      <c r="Q4201">
        <v>0.1235366</v>
      </c>
      <c r="R4201">
        <v>-2.898626E-2</v>
      </c>
      <c r="S4201">
        <v>-3.0529169999999999</v>
      </c>
      <c r="T4201">
        <v>-0.26141609999999998</v>
      </c>
      <c r="U4201">
        <v>-0.1588135</v>
      </c>
      <c r="V4201">
        <v>-8.3769079999999996E-2</v>
      </c>
      <c r="W4201">
        <v>0.131276</v>
      </c>
      <c r="X4201">
        <v>0.98780020000000002</v>
      </c>
      <c r="Y4201">
        <v>-0.10617799999999999</v>
      </c>
      <c r="Z4201">
        <v>-9.229625E-3</v>
      </c>
      <c r="AA4201">
        <v>0.99430430000000003</v>
      </c>
      <c r="AB4201">
        <v>26</v>
      </c>
      <c r="AC4201">
        <v>-12.7012</v>
      </c>
      <c r="AD4201">
        <v>-1.110784118672</v>
      </c>
      <c r="AE4201">
        <v>-0.68860000000000798</v>
      </c>
      <c r="AF4201">
        <v>-1.3752452663130099</v>
      </c>
      <c r="AG4201">
        <v>-1.110784118672</v>
      </c>
      <c r="AH4201">
        <v>12.5484506035555</v>
      </c>
      <c r="AI4201">
        <v>95.028661881074498</v>
      </c>
      <c r="AJ4201">
        <v>96.254360287278701</v>
      </c>
      <c r="AK4201">
        <v>12.672361794499199</v>
      </c>
      <c r="AL4201">
        <v>82.456665862594804</v>
      </c>
      <c r="AM4201">
        <v>94.847294417984401</v>
      </c>
      <c r="AN4201">
        <v>0.99999994103004097</v>
      </c>
    </row>
    <row r="4202" spans="1:40" x14ac:dyDescent="0.25">
      <c r="A4202" t="str">
        <f>"20190312151110834"</f>
        <v>20190312151110834</v>
      </c>
      <c r="B4202" t="str">
        <f>"1552374670825210"</f>
        <v>1552374670825210</v>
      </c>
      <c r="C4202" t="s">
        <v>40</v>
      </c>
      <c r="D4202">
        <v>4.9876829999999996</v>
      </c>
      <c r="E4202">
        <v>0.49357649999999997</v>
      </c>
      <c r="F4202" t="s">
        <v>42</v>
      </c>
      <c r="G4202">
        <v>-276.41500000000002</v>
      </c>
      <c r="H4202" s="1">
        <v>-1.9844130000000002E-6</v>
      </c>
      <c r="I4202">
        <v>136.99950000000001</v>
      </c>
      <c r="J4202">
        <v>-263.66449999999998</v>
      </c>
      <c r="K4202">
        <v>1.1107899999999999</v>
      </c>
      <c r="L4202">
        <v>137.70230000000001</v>
      </c>
      <c r="M4202">
        <v>-0.99853270000000005</v>
      </c>
      <c r="N4202">
        <v>0</v>
      </c>
      <c r="O4202">
        <v>5.3554780000000003E-2</v>
      </c>
      <c r="P4202">
        <v>-0.99188560000000003</v>
      </c>
      <c r="Q4202">
        <v>0.12329179999999999</v>
      </c>
      <c r="R4202">
        <v>-3.102048E-2</v>
      </c>
      <c r="S4202">
        <v>-3.052155</v>
      </c>
      <c r="T4202">
        <v>-0.2604997</v>
      </c>
      <c r="U4202">
        <v>-0.1617584</v>
      </c>
      <c r="V4202">
        <v>-8.4400660000000002E-2</v>
      </c>
      <c r="W4202">
        <v>0.1310278</v>
      </c>
      <c r="X4202">
        <v>0.98777939999999997</v>
      </c>
      <c r="Y4202">
        <v>-0.1057515</v>
      </c>
      <c r="Z4202">
        <v>-9.0611019999999997E-3</v>
      </c>
      <c r="AA4202">
        <v>0.99435130000000005</v>
      </c>
      <c r="AB4202">
        <v>26</v>
      </c>
      <c r="AC4202">
        <v>-12.750500000000001</v>
      </c>
      <c r="AD4202">
        <v>-1.1107919844130001</v>
      </c>
      <c r="AE4202">
        <v>-0.70279999999999598</v>
      </c>
      <c r="AF4202">
        <v>-1.37426520108567</v>
      </c>
      <c r="AG4202">
        <v>-1.1107919844130001</v>
      </c>
      <c r="AH4202">
        <v>12.5992294825675</v>
      </c>
      <c r="AI4202">
        <v>95.008813058107407</v>
      </c>
      <c r="AJ4202">
        <v>96.224947338085499</v>
      </c>
      <c r="AK4202">
        <v>12.722540910916701</v>
      </c>
      <c r="AL4202">
        <v>82.471010645119094</v>
      </c>
      <c r="AM4202">
        <v>94.883767011381906</v>
      </c>
      <c r="AN4202">
        <v>0.999999949422816</v>
      </c>
    </row>
    <row r="4203" spans="1:40" x14ac:dyDescent="0.25">
      <c r="A4203" t="str">
        <f>"20190312151110856"</f>
        <v>20190312151110856</v>
      </c>
      <c r="B4203" t="str">
        <f>"1552374670845707"</f>
        <v>1552374670845707</v>
      </c>
      <c r="C4203" t="s">
        <v>40</v>
      </c>
      <c r="D4203">
        <v>5.0015729999999996</v>
      </c>
      <c r="E4203">
        <v>0.4941024</v>
      </c>
      <c r="F4203" t="s">
        <v>42</v>
      </c>
      <c r="G4203">
        <v>-276.63760000000002</v>
      </c>
      <c r="H4203" s="1">
        <v>-1.8875660000000001E-6</v>
      </c>
      <c r="I4203">
        <v>137.00710000000001</v>
      </c>
      <c r="J4203">
        <v>-263.91430000000003</v>
      </c>
      <c r="K4203">
        <v>1.1107929999999999</v>
      </c>
      <c r="L4203">
        <v>137.71430000000001</v>
      </c>
      <c r="M4203">
        <v>-0.99860329999999997</v>
      </c>
      <c r="N4203">
        <v>0</v>
      </c>
      <c r="O4203">
        <v>5.2222200000000003E-2</v>
      </c>
      <c r="P4203">
        <v>-0.99175259999999998</v>
      </c>
      <c r="Q4203">
        <v>0.1238489</v>
      </c>
      <c r="R4203">
        <v>-3.2996360000000002E-2</v>
      </c>
      <c r="S4203">
        <v>-3.0519099999999999</v>
      </c>
      <c r="T4203">
        <v>-0.26131320000000002</v>
      </c>
      <c r="U4203">
        <v>-0.16352839999999999</v>
      </c>
      <c r="V4203">
        <v>-8.5049050000000001E-2</v>
      </c>
      <c r="W4203">
        <v>0.13158139999999999</v>
      </c>
      <c r="X4203">
        <v>0.98765020000000003</v>
      </c>
      <c r="Y4203">
        <v>-0.1050077</v>
      </c>
      <c r="Z4203">
        <v>-8.9443609999999996E-3</v>
      </c>
      <c r="AA4203">
        <v>0.99443119999999996</v>
      </c>
      <c r="AB4203">
        <v>26</v>
      </c>
      <c r="AC4203">
        <v>-12.723299999999901</v>
      </c>
      <c r="AD4203">
        <v>-1.1107948875660001</v>
      </c>
      <c r="AE4203">
        <v>-0.70720000000000005</v>
      </c>
      <c r="AF4203">
        <v>-1.3603583347533099</v>
      </c>
      <c r="AG4203">
        <v>-1.1107948875660001</v>
      </c>
      <c r="AH4203">
        <v>12.5734654613349</v>
      </c>
      <c r="AI4203">
        <v>95.019510368176597</v>
      </c>
      <c r="AJ4203">
        <v>96.174971035086799</v>
      </c>
      <c r="AK4203">
        <v>12.695529677353299</v>
      </c>
      <c r="AL4203">
        <v>82.439014773690204</v>
      </c>
      <c r="AM4203">
        <v>94.921742553580103</v>
      </c>
      <c r="AN4203">
        <v>0.99999996164594995</v>
      </c>
    </row>
    <row r="4204" spans="1:40" x14ac:dyDescent="0.25">
      <c r="A4204" t="str">
        <f>"20190312151110878"</f>
        <v>20190312151110878</v>
      </c>
      <c r="B4204" t="str">
        <f>"1552374670874986"</f>
        <v>1552374670874986</v>
      </c>
      <c r="C4204" t="s">
        <v>40</v>
      </c>
      <c r="D4204">
        <v>4.9929129999999997</v>
      </c>
      <c r="E4204">
        <v>0.4944056</v>
      </c>
      <c r="F4204" t="s">
        <v>42</v>
      </c>
      <c r="G4204">
        <v>-277.10160000000002</v>
      </c>
      <c r="H4204" s="1">
        <v>-1.6901370000000001E-6</v>
      </c>
      <c r="I4204">
        <v>136.99799999999999</v>
      </c>
      <c r="J4204">
        <v>-264.1712</v>
      </c>
      <c r="K4204">
        <v>1.1107990000000001</v>
      </c>
      <c r="L4204">
        <v>137.72620000000001</v>
      </c>
      <c r="M4204">
        <v>-0.99867379999999994</v>
      </c>
      <c r="N4204">
        <v>0</v>
      </c>
      <c r="O4204">
        <v>5.085605E-2</v>
      </c>
      <c r="P4204">
        <v>-0.99159870000000006</v>
      </c>
      <c r="Q4204">
        <v>0.124626</v>
      </c>
      <c r="R4204">
        <v>-3.4652309999999999E-2</v>
      </c>
      <c r="S4204">
        <v>-3.0515750000000001</v>
      </c>
      <c r="T4204">
        <v>-0.2570421</v>
      </c>
      <c r="U4204">
        <v>-0.1657257</v>
      </c>
      <c r="V4204">
        <v>-8.5344900000000001E-2</v>
      </c>
      <c r="W4204">
        <v>0.1323551</v>
      </c>
      <c r="X4204">
        <v>0.98752139999999999</v>
      </c>
      <c r="Y4204">
        <v>-0.1043926</v>
      </c>
      <c r="Z4204">
        <v>-8.6589030000000008E-3</v>
      </c>
      <c r="AA4204">
        <v>0.99449849999999995</v>
      </c>
      <c r="AB4204">
        <v>26</v>
      </c>
      <c r="AC4204">
        <v>-12.930400000000001</v>
      </c>
      <c r="AD4204">
        <v>-1.11080069013699</v>
      </c>
      <c r="AE4204">
        <v>-0.72820000000001495</v>
      </c>
      <c r="AF4204">
        <v>-1.37475443148031</v>
      </c>
      <c r="AG4204">
        <v>-1.11080069013699</v>
      </c>
      <c r="AH4204">
        <v>12.7825967562082</v>
      </c>
      <c r="AI4204">
        <v>94.938160416215197</v>
      </c>
      <c r="AJ4204">
        <v>96.138504017292604</v>
      </c>
      <c r="AK4204">
        <v>12.904208916160201</v>
      </c>
      <c r="AL4204">
        <v>82.394294723482901</v>
      </c>
      <c r="AM4204">
        <v>94.939419665498505</v>
      </c>
      <c r="AN4204">
        <v>1.00000006995498</v>
      </c>
    </row>
    <row r="4205" spans="1:40" x14ac:dyDescent="0.25">
      <c r="A4205" t="str">
        <f>"20190312151110900"</f>
        <v>20190312151110900</v>
      </c>
      <c r="B4205" t="str">
        <f>"1552374670895483"</f>
        <v>1552374670895483</v>
      </c>
      <c r="C4205" t="s">
        <v>40</v>
      </c>
      <c r="D4205">
        <v>5.0074009999999998</v>
      </c>
      <c r="E4205">
        <v>0.49467630000000001</v>
      </c>
      <c r="F4205" t="s">
        <v>42</v>
      </c>
      <c r="G4205">
        <v>-277.66070000000002</v>
      </c>
      <c r="H4205" s="1">
        <v>-1.4824979999999999E-6</v>
      </c>
      <c r="I4205">
        <v>136.98390000000001</v>
      </c>
      <c r="J4205">
        <v>-264.43150000000003</v>
      </c>
      <c r="K4205">
        <v>1.110798</v>
      </c>
      <c r="L4205">
        <v>137.738</v>
      </c>
      <c r="M4205">
        <v>-0.99874320000000005</v>
      </c>
      <c r="N4205">
        <v>0</v>
      </c>
      <c r="O4205">
        <v>4.947493E-2</v>
      </c>
      <c r="P4205">
        <v>-0.9915178</v>
      </c>
      <c r="Q4205">
        <v>0.1245629</v>
      </c>
      <c r="R4205">
        <v>-3.7102969999999999E-2</v>
      </c>
      <c r="S4205">
        <v>-3.0511469999999998</v>
      </c>
      <c r="T4205">
        <v>-0.25124839999999998</v>
      </c>
      <c r="U4205">
        <v>-0.1678925</v>
      </c>
      <c r="V4205">
        <v>-8.6422550000000001E-2</v>
      </c>
      <c r="W4205">
        <v>0.13228799999999999</v>
      </c>
      <c r="X4205">
        <v>0.9874366</v>
      </c>
      <c r="Y4205">
        <v>-0.10376009999999999</v>
      </c>
      <c r="Z4205">
        <v>-8.3260279999999992E-3</v>
      </c>
      <c r="AA4205">
        <v>0.99456750000000005</v>
      </c>
      <c r="AB4205">
        <v>26</v>
      </c>
      <c r="AC4205">
        <v>-13.229199999999899</v>
      </c>
      <c r="AD4205">
        <v>-1.1107994824980001</v>
      </c>
      <c r="AE4205">
        <v>-0.754099999999994</v>
      </c>
      <c r="AF4205">
        <v>-1.3978876855782001</v>
      </c>
      <c r="AG4205">
        <v>-1.1107994824980001</v>
      </c>
      <c r="AH4205">
        <v>13.0837429553386</v>
      </c>
      <c r="AI4205">
        <v>94.825397316073705</v>
      </c>
      <c r="AJ4205">
        <v>96.098436660020695</v>
      </c>
      <c r="AK4205">
        <v>13.205010230711</v>
      </c>
      <c r="AL4205">
        <v>82.398172883166197</v>
      </c>
      <c r="AM4205">
        <v>95.001902659204404</v>
      </c>
      <c r="AN4205">
        <v>1.0000000055560301</v>
      </c>
    </row>
    <row r="4206" spans="1:40" x14ac:dyDescent="0.25">
      <c r="A4206" t="str">
        <f>"20190312151110934"</f>
        <v>20190312151110934</v>
      </c>
      <c r="B4206" t="str">
        <f>"1552374670925842"</f>
        <v>1552374670925842</v>
      </c>
      <c r="C4206" t="s">
        <v>40</v>
      </c>
      <c r="D4206">
        <v>5.0115179999999997</v>
      </c>
      <c r="E4206">
        <v>0.49524970000000001</v>
      </c>
      <c r="F4206" t="s">
        <v>42</v>
      </c>
      <c r="G4206">
        <v>-277.79230000000001</v>
      </c>
      <c r="H4206" s="1">
        <v>-1.438459E-6</v>
      </c>
      <c r="I4206">
        <v>136.9811</v>
      </c>
      <c r="J4206">
        <v>-264.82490000000001</v>
      </c>
      <c r="K4206">
        <v>1.1107959999999999</v>
      </c>
      <c r="L4206">
        <v>137.7551</v>
      </c>
      <c r="M4206">
        <v>-0.99884410000000001</v>
      </c>
      <c r="N4206">
        <v>0</v>
      </c>
      <c r="O4206">
        <v>4.739326E-2</v>
      </c>
      <c r="P4206">
        <v>-0.99150130000000003</v>
      </c>
      <c r="Q4206">
        <v>0.1238002</v>
      </c>
      <c r="R4206">
        <v>-3.9985050000000001E-2</v>
      </c>
      <c r="S4206">
        <v>-3.051056</v>
      </c>
      <c r="T4206">
        <v>-0.2536621</v>
      </c>
      <c r="U4206">
        <v>-0.172821</v>
      </c>
      <c r="V4206">
        <v>-8.7240380000000006E-2</v>
      </c>
      <c r="W4206">
        <v>0.13152320000000001</v>
      </c>
      <c r="X4206">
        <v>0.98746679999999998</v>
      </c>
      <c r="Y4206">
        <v>-0.1032893</v>
      </c>
      <c r="Z4206">
        <v>-8.2135330000000003E-3</v>
      </c>
      <c r="AA4206">
        <v>0.99461750000000004</v>
      </c>
      <c r="AB4206">
        <v>26</v>
      </c>
      <c r="AC4206">
        <v>-12.9673999999999</v>
      </c>
      <c r="AD4206">
        <v>-1.11079743845899</v>
      </c>
      <c r="AE4206">
        <v>-0.77400000000000002</v>
      </c>
      <c r="AF4206">
        <v>-1.3776443915690599</v>
      </c>
      <c r="AG4206">
        <v>-1.11079743845899</v>
      </c>
      <c r="AH4206">
        <v>12.8223904352554</v>
      </c>
      <c r="AI4206">
        <v>94.922952584797898</v>
      </c>
      <c r="AJ4206">
        <v>96.132364721302295</v>
      </c>
      <c r="AK4206">
        <v>12.943935703372301</v>
      </c>
      <c r="AL4206">
        <v>82.442378599249807</v>
      </c>
      <c r="AM4206">
        <v>95.048839297018702</v>
      </c>
      <c r="AN4206">
        <v>0.99999995857151103</v>
      </c>
    </row>
    <row r="4207" spans="1:40" x14ac:dyDescent="0.25">
      <c r="A4207" t="str">
        <f>"20190312151110956"</f>
        <v>20190312151110956</v>
      </c>
      <c r="B4207" t="str">
        <f>"1552374670945356"</f>
        <v>1552374670945356</v>
      </c>
      <c r="C4207" t="s">
        <v>40</v>
      </c>
      <c r="D4207">
        <v>5.0404229999999997</v>
      </c>
      <c r="E4207">
        <v>0.49523450000000002</v>
      </c>
      <c r="F4207" t="s">
        <v>42</v>
      </c>
      <c r="G4207">
        <v>-278.08679999999998</v>
      </c>
      <c r="H4207" s="1">
        <v>-1.3373690000000001E-6</v>
      </c>
      <c r="I4207">
        <v>136.98439999999999</v>
      </c>
      <c r="J4207">
        <v>-265.08879999999999</v>
      </c>
      <c r="K4207">
        <v>1.1107990000000001</v>
      </c>
      <c r="L4207">
        <v>137.76609999999999</v>
      </c>
      <c r="M4207">
        <v>-0.99890939999999995</v>
      </c>
      <c r="N4207">
        <v>0</v>
      </c>
      <c r="O4207">
        <v>4.5997410000000002E-2</v>
      </c>
      <c r="P4207">
        <v>-0.99145879999999997</v>
      </c>
      <c r="Q4207">
        <v>0.12344910000000001</v>
      </c>
      <c r="R4207">
        <v>-4.2068340000000003E-2</v>
      </c>
      <c r="S4207">
        <v>-3.0505070000000001</v>
      </c>
      <c r="T4207">
        <v>-0.25550580000000001</v>
      </c>
      <c r="U4207">
        <v>-0.17726140000000001</v>
      </c>
      <c r="V4207">
        <v>-8.7938080000000002E-2</v>
      </c>
      <c r="W4207">
        <v>0.13117100000000001</v>
      </c>
      <c r="X4207">
        <v>0.98745179999999999</v>
      </c>
      <c r="Y4207">
        <v>-0.103349499999999</v>
      </c>
      <c r="Z4207">
        <v>-8.1601119999999902E-3</v>
      </c>
      <c r="AA4207">
        <v>0.99461160000000004</v>
      </c>
      <c r="AB4207">
        <v>26</v>
      </c>
      <c r="AC4207">
        <v>-12.9979999999999</v>
      </c>
      <c r="AD4207">
        <v>-1.1108003373690001</v>
      </c>
      <c r="AE4207">
        <v>-0.78169999999999995</v>
      </c>
      <c r="AF4207">
        <v>-1.36880534082364</v>
      </c>
      <c r="AG4207">
        <v>-1.1108003373690001</v>
      </c>
      <c r="AH4207">
        <v>12.854740516335699</v>
      </c>
      <c r="AI4207">
        <v>94.9111320385352</v>
      </c>
      <c r="AJ4207">
        <v>96.078096598116403</v>
      </c>
      <c r="AK4207">
        <v>12.9750475603325</v>
      </c>
      <c r="AL4207">
        <v>82.462734821691797</v>
      </c>
      <c r="AM4207">
        <v>95.089082811854695</v>
      </c>
      <c r="AN4207">
        <v>0.999999997239163</v>
      </c>
    </row>
    <row r="4208" spans="1:40" x14ac:dyDescent="0.25">
      <c r="A4208" t="str">
        <f>"20190312151110978"</f>
        <v>20190312151110978</v>
      </c>
      <c r="B4208" t="str">
        <f>"1552374670975612"</f>
        <v>1552374670975612</v>
      </c>
      <c r="C4208" t="s">
        <v>40</v>
      </c>
      <c r="D4208">
        <v>5.0078149999999999</v>
      </c>
      <c r="E4208">
        <v>0.45670529999999998</v>
      </c>
      <c r="F4208" t="s">
        <v>42</v>
      </c>
      <c r="G4208">
        <v>-278.29539999999997</v>
      </c>
      <c r="H4208" s="1">
        <v>-1.2705979999999999E-6</v>
      </c>
      <c r="I4208">
        <v>136.96850000000001</v>
      </c>
      <c r="J4208">
        <v>-265.34460000000001</v>
      </c>
      <c r="K4208">
        <v>1.1107940000000001</v>
      </c>
      <c r="L4208">
        <v>137.7764</v>
      </c>
      <c r="M4208">
        <v>-0.99897060000000004</v>
      </c>
      <c r="N4208">
        <v>0</v>
      </c>
      <c r="O4208">
        <v>4.4645949999999997E-2</v>
      </c>
      <c r="P4208">
        <v>-0.99147450000000004</v>
      </c>
      <c r="Q4208">
        <v>0.1226081</v>
      </c>
      <c r="R4208">
        <v>-4.4109019999999999E-2</v>
      </c>
      <c r="S4208">
        <v>-3.0499879999999999</v>
      </c>
      <c r="T4208">
        <v>-0.25653359999999997</v>
      </c>
      <c r="U4208">
        <v>-0.18417359999999999</v>
      </c>
      <c r="V4208">
        <v>-8.8639659999999995E-2</v>
      </c>
      <c r="W4208">
        <v>0.1303291</v>
      </c>
      <c r="X4208">
        <v>0.9875005</v>
      </c>
      <c r="Y4208">
        <v>-0.10425719999999999</v>
      </c>
      <c r="Z4208">
        <v>-8.1184259999999998E-3</v>
      </c>
      <c r="AA4208">
        <v>0.99451719999999999</v>
      </c>
      <c r="AB4208">
        <v>26</v>
      </c>
      <c r="AC4208">
        <v>-12.9507999999999</v>
      </c>
      <c r="AD4208">
        <v>-1.110795270598</v>
      </c>
      <c r="AE4208">
        <v>-0.80789999999998896</v>
      </c>
      <c r="AF4208">
        <v>-1.37523599035364</v>
      </c>
      <c r="AG4208">
        <v>-1.110795270598</v>
      </c>
      <c r="AH4208">
        <v>12.8079576670349</v>
      </c>
      <c r="AI4208">
        <v>94.928498054177794</v>
      </c>
      <c r="AJ4208">
        <v>96.128571436727498</v>
      </c>
      <c r="AK4208">
        <v>12.9293820332955</v>
      </c>
      <c r="AL4208">
        <v>82.511389474090393</v>
      </c>
      <c r="AM4208">
        <v>95.129216728731706</v>
      </c>
      <c r="AN4208">
        <v>0.99999995056598601</v>
      </c>
    </row>
    <row r="4209" spans="1:40" x14ac:dyDescent="0.25">
      <c r="A4209" t="str">
        <f>"20190312151111000"</f>
        <v>20190312151111000</v>
      </c>
      <c r="B4209" t="str">
        <f>"1552374670995132"</f>
        <v>1552374670995132</v>
      </c>
      <c r="C4209" t="s">
        <v>40</v>
      </c>
      <c r="D4209">
        <v>5.0086729999999999</v>
      </c>
      <c r="E4209">
        <v>0.4506887</v>
      </c>
      <c r="F4209" t="s">
        <v>79</v>
      </c>
      <c r="G4209">
        <v>-282.60469999999998</v>
      </c>
      <c r="H4209" s="1">
        <v>-3.0037460000000001E-6</v>
      </c>
      <c r="I4209">
        <v>134.95509999999999</v>
      </c>
      <c r="J4209">
        <v>-265.61270000000002</v>
      </c>
      <c r="K4209">
        <v>1.1107899999999999</v>
      </c>
      <c r="L4209">
        <v>137.7868</v>
      </c>
      <c r="M4209">
        <v>-0.99903299999999995</v>
      </c>
      <c r="N4209">
        <v>0</v>
      </c>
      <c r="O4209">
        <v>4.3229289999999997E-2</v>
      </c>
      <c r="P4209">
        <v>-0.99147549999999995</v>
      </c>
      <c r="Q4209">
        <v>0.1218342</v>
      </c>
      <c r="R4209">
        <v>-4.6183399999999999E-2</v>
      </c>
      <c r="S4209">
        <v>-3.027863</v>
      </c>
      <c r="T4209">
        <v>-0.19486239999999999</v>
      </c>
      <c r="U4209">
        <v>-0.49493409999999899</v>
      </c>
      <c r="V4209">
        <v>-8.9309890000000003E-2</v>
      </c>
      <c r="W4209">
        <v>0.12955559999999999</v>
      </c>
      <c r="X4209">
        <v>0.98754189999999997</v>
      </c>
      <c r="Y4209">
        <v>-0.20333499999999999</v>
      </c>
      <c r="Z4209">
        <v>-9.2560479999999994E-3</v>
      </c>
      <c r="AA4209">
        <v>0.97906550000000003</v>
      </c>
      <c r="AB4209">
        <v>26</v>
      </c>
      <c r="AC4209">
        <v>-16.991999999999901</v>
      </c>
      <c r="AD4209">
        <v>-1.1107930037460001</v>
      </c>
      <c r="AE4209">
        <v>-2.8317000000000099</v>
      </c>
      <c r="AF4209">
        <v>-3.54887232555597</v>
      </c>
      <c r="AG4209">
        <v>-1.1107930037460001</v>
      </c>
      <c r="AH4209">
        <v>16.783911286409001</v>
      </c>
      <c r="AI4209">
        <v>93.704751596351201</v>
      </c>
      <c r="AJ4209">
        <v>101.93904563231</v>
      </c>
      <c r="AK4209">
        <v>17.190928827446001</v>
      </c>
      <c r="AL4209">
        <v>82.556086775246598</v>
      </c>
      <c r="AM4209">
        <v>95.167575525191396</v>
      </c>
      <c r="AN4209">
        <v>0.99999995709939005</v>
      </c>
    </row>
    <row r="4210" spans="1:40" x14ac:dyDescent="0.25">
      <c r="A4210" t="str">
        <f>"20190312151111023"</f>
        <v>20190312151111023</v>
      </c>
      <c r="B4210" t="str">
        <f>"1552374671015159"</f>
        <v>1552374671015159</v>
      </c>
      <c r="C4210" t="s">
        <v>40</v>
      </c>
      <c r="D4210">
        <v>5.0211690000000004</v>
      </c>
      <c r="E4210">
        <v>0.44949460000000002</v>
      </c>
      <c r="F4210" t="s">
        <v>79</v>
      </c>
      <c r="G4210">
        <v>-281.64550000000003</v>
      </c>
      <c r="H4210" s="1">
        <v>-2.461167E-6</v>
      </c>
      <c r="I4210">
        <v>134.8741</v>
      </c>
      <c r="J4210">
        <v>-265.88909999999998</v>
      </c>
      <c r="K4210">
        <v>1.110789</v>
      </c>
      <c r="L4210">
        <v>137.7972</v>
      </c>
      <c r="M4210">
        <v>-0.99909499999999996</v>
      </c>
      <c r="N4210">
        <v>0</v>
      </c>
      <c r="O4210">
        <v>4.1769149999999998E-2</v>
      </c>
      <c r="P4210">
        <v>-0.99145070000000002</v>
      </c>
      <c r="Q4210">
        <v>0.121323</v>
      </c>
      <c r="R4210">
        <v>-4.8026289999999999E-2</v>
      </c>
      <c r="S4210">
        <v>-3.025909</v>
      </c>
      <c r="T4210">
        <v>-0.20964179999999999</v>
      </c>
      <c r="U4210">
        <v>-0.54971309999999995</v>
      </c>
      <c r="V4210">
        <v>-8.970533E-2</v>
      </c>
      <c r="W4210">
        <v>0.1290454</v>
      </c>
      <c r="X4210">
        <v>0.98757289999999998</v>
      </c>
      <c r="Y4210">
        <v>-0.21907850000000001</v>
      </c>
      <c r="Z4210">
        <v>-1.038791E-2</v>
      </c>
      <c r="AA4210">
        <v>0.97565190000000002</v>
      </c>
      <c r="AB4210">
        <v>27</v>
      </c>
      <c r="AC4210">
        <v>-15.756399999999999</v>
      </c>
      <c r="AD4210">
        <v>-1.110791461167</v>
      </c>
      <c r="AE4210">
        <v>-2.9230999999999998</v>
      </c>
      <c r="AF4210">
        <v>-3.5615895375989499</v>
      </c>
      <c r="AG4210">
        <v>-1.110791461167</v>
      </c>
      <c r="AH4210">
        <v>15.5458576620593</v>
      </c>
      <c r="AI4210">
        <v>93.984108719983496</v>
      </c>
      <c r="AJ4210">
        <v>102.90389696769201</v>
      </c>
      <c r="AK4210">
        <v>15.987259557333299</v>
      </c>
      <c r="AL4210">
        <v>82.585566851497504</v>
      </c>
      <c r="AM4210">
        <v>95.190169416864507</v>
      </c>
      <c r="AN4210">
        <v>0.99999999715298904</v>
      </c>
    </row>
    <row r="4211" spans="1:40" x14ac:dyDescent="0.25">
      <c r="A4211" t="str">
        <f>"20190312151111046"</f>
        <v>20190312151111046</v>
      </c>
      <c r="B4211" t="str">
        <f>"1552374671035656"</f>
        <v>1552374671035656</v>
      </c>
      <c r="C4211" t="s">
        <v>40</v>
      </c>
      <c r="D4211">
        <v>5.2203679999999997</v>
      </c>
      <c r="E4211">
        <v>0.44837919999999998</v>
      </c>
      <c r="F4211" t="s">
        <v>79</v>
      </c>
      <c r="G4211">
        <v>-281.55040000000002</v>
      </c>
      <c r="H4211" s="1">
        <v>-2.4043629999999998E-6</v>
      </c>
      <c r="I4211">
        <v>134.8683</v>
      </c>
      <c r="J4211">
        <v>-266.15440000000001</v>
      </c>
      <c r="K4211">
        <v>1.110798</v>
      </c>
      <c r="L4211">
        <v>137.80680000000001</v>
      </c>
      <c r="M4211">
        <v>-0.99915259999999995</v>
      </c>
      <c r="N4211">
        <v>0</v>
      </c>
      <c r="O4211">
        <v>4.0367500000000001E-2</v>
      </c>
      <c r="P4211">
        <v>-0.99135209999999996</v>
      </c>
      <c r="Q4211">
        <v>0.1216077</v>
      </c>
      <c r="R4211">
        <v>-4.9319969999999998E-2</v>
      </c>
      <c r="S4211">
        <v>-3.0247190000000002</v>
      </c>
      <c r="T4211">
        <v>-0.21453059999999999</v>
      </c>
      <c r="U4211">
        <v>-0.56565859999999901</v>
      </c>
      <c r="V4211">
        <v>-8.9609170000000002E-2</v>
      </c>
      <c r="W4211">
        <v>0.1293329</v>
      </c>
      <c r="X4211">
        <v>0.98754399999999998</v>
      </c>
      <c r="Y4211">
        <v>-0.22271630000000001</v>
      </c>
      <c r="Z4211">
        <v>-1.06579E-2</v>
      </c>
      <c r="AA4211">
        <v>0.97482500000000005</v>
      </c>
      <c r="AB4211">
        <v>27</v>
      </c>
      <c r="AC4211">
        <v>-15.396000000000001</v>
      </c>
      <c r="AD4211">
        <v>-1.110800404363</v>
      </c>
      <c r="AE4211">
        <v>-2.9384999999999999</v>
      </c>
      <c r="AF4211">
        <v>-3.5398440132712099</v>
      </c>
      <c r="AG4211">
        <v>-1.110800404363</v>
      </c>
      <c r="AH4211">
        <v>15.1885422322607</v>
      </c>
      <c r="AI4211">
        <v>94.074029482436899</v>
      </c>
      <c r="AJ4211">
        <v>103.119177629297</v>
      </c>
      <c r="AK4211">
        <v>15.6350947652322</v>
      </c>
      <c r="AL4211">
        <v>82.568954958399601</v>
      </c>
      <c r="AM4211">
        <v>95.184787029555096</v>
      </c>
      <c r="AN4211">
        <v>0.99999997715324895</v>
      </c>
    </row>
    <row r="4212" spans="1:40" x14ac:dyDescent="0.25">
      <c r="A4212" t="str">
        <f>"20190312151111068"</f>
        <v>20190312151111068</v>
      </c>
      <c r="B4212" t="str">
        <f>"1552374671064935"</f>
        <v>1552374671064935</v>
      </c>
      <c r="C4212" t="s">
        <v>40</v>
      </c>
      <c r="D4212">
        <v>5.238569</v>
      </c>
      <c r="E4212">
        <v>0.44714490000000001</v>
      </c>
      <c r="F4212" t="s">
        <v>79</v>
      </c>
      <c r="G4212">
        <v>-281.35829999999999</v>
      </c>
      <c r="H4212" s="1">
        <v>-2.3072670000000001E-6</v>
      </c>
      <c r="I4212">
        <v>134.8963</v>
      </c>
      <c r="J4212">
        <v>-266.41559999999998</v>
      </c>
      <c r="K4212">
        <v>1.1108119999999999</v>
      </c>
      <c r="L4212">
        <v>137.8159</v>
      </c>
      <c r="M4212">
        <v>-0.99920739999999997</v>
      </c>
      <c r="N4212">
        <v>0</v>
      </c>
      <c r="O4212">
        <v>3.8988299999999997E-2</v>
      </c>
      <c r="P4212">
        <v>-0.99127220000000005</v>
      </c>
      <c r="Q4212">
        <v>0.12183960000000001</v>
      </c>
      <c r="R4212">
        <v>-5.0347160000000002E-2</v>
      </c>
      <c r="S4212">
        <v>-3.0244749999999998</v>
      </c>
      <c r="T4212">
        <v>-0.22096879999999999</v>
      </c>
      <c r="U4212">
        <v>-0.57896419999999904</v>
      </c>
      <c r="V4212">
        <v>-8.9269710000000002E-2</v>
      </c>
      <c r="W4212">
        <v>0.12956790000000001</v>
      </c>
      <c r="X4212">
        <v>0.98754390000000003</v>
      </c>
      <c r="Y4212">
        <v>-0.22548260000000001</v>
      </c>
      <c r="Z4212">
        <v>-1.09736E-2</v>
      </c>
      <c r="AA4212">
        <v>0.97418539999999998</v>
      </c>
      <c r="AB4212">
        <v>27</v>
      </c>
      <c r="AC4212">
        <v>-14.9427</v>
      </c>
      <c r="AD4212">
        <v>-1.110814307267</v>
      </c>
      <c r="AE4212">
        <v>-2.9196</v>
      </c>
      <c r="AF4212">
        <v>-3.4814575570431199</v>
      </c>
      <c r="AG4212">
        <v>-1.110814307267</v>
      </c>
      <c r="AH4212">
        <v>14.7390484469584</v>
      </c>
      <c r="AI4212">
        <v>94.194963362815102</v>
      </c>
      <c r="AJ4212">
        <v>103.29003767168101</v>
      </c>
      <c r="AK4212">
        <v>15.185322000817401</v>
      </c>
      <c r="AL4212">
        <v>82.555375904633195</v>
      </c>
      <c r="AM4212">
        <v>95.165252837503004</v>
      </c>
      <c r="AN4212">
        <v>0.99999993813054999</v>
      </c>
    </row>
    <row r="4213" spans="1:40" x14ac:dyDescent="0.25">
      <c r="A4213" t="str">
        <f>"20190312151111089"</f>
        <v>20190312151111089</v>
      </c>
      <c r="B4213" t="str">
        <f>"1552374671085431"</f>
        <v>1552374671085431</v>
      </c>
      <c r="C4213" t="s">
        <v>40</v>
      </c>
      <c r="D4213">
        <v>5.0173209999999999</v>
      </c>
      <c r="E4213">
        <v>0.44676769999999999</v>
      </c>
      <c r="F4213" t="s">
        <v>79</v>
      </c>
      <c r="G4213">
        <v>-281.04759999999999</v>
      </c>
      <c r="H4213" s="1">
        <v>-2.1539799999999999E-6</v>
      </c>
      <c r="I4213">
        <v>134.95009999999999</v>
      </c>
      <c r="J4213">
        <v>-266.66820000000001</v>
      </c>
      <c r="K4213">
        <v>1.110819</v>
      </c>
      <c r="L4213">
        <v>137.82429999999999</v>
      </c>
      <c r="M4213">
        <v>-0.99925850000000005</v>
      </c>
      <c r="N4213">
        <v>0</v>
      </c>
      <c r="O4213">
        <v>3.7655599999999997E-2</v>
      </c>
      <c r="P4213">
        <v>-0.99110969999999998</v>
      </c>
      <c r="Q4213">
        <v>0.12282949999999999</v>
      </c>
      <c r="R4213">
        <v>-5.1135090000000001E-2</v>
      </c>
      <c r="S4213">
        <v>-3.0245359999999999</v>
      </c>
      <c r="T4213">
        <v>-0.2296116</v>
      </c>
      <c r="U4213">
        <v>-0.59236149999999999</v>
      </c>
      <c r="V4213">
        <v>-8.8736280000000001E-2</v>
      </c>
      <c r="W4213">
        <v>0.13056119999999999</v>
      </c>
      <c r="X4213">
        <v>0.98746120000000004</v>
      </c>
      <c r="Y4213">
        <v>-0.2282806</v>
      </c>
      <c r="Z4213">
        <v>-1.140157E-2</v>
      </c>
      <c r="AA4213">
        <v>0.97352859999999997</v>
      </c>
      <c r="AB4213">
        <v>27</v>
      </c>
      <c r="AC4213">
        <v>-14.379399999999899</v>
      </c>
      <c r="AD4213">
        <v>-1.1108211539799999</v>
      </c>
      <c r="AE4213">
        <v>-2.8742000000000001</v>
      </c>
      <c r="AF4213">
        <v>-3.3941666370043899</v>
      </c>
      <c r="AG4213">
        <v>-1.1108211539799999</v>
      </c>
      <c r="AH4213">
        <v>14.1795993081909</v>
      </c>
      <c r="AI4213">
        <v>94.356783316670899</v>
      </c>
      <c r="AJ4213">
        <v>103.46158250050701</v>
      </c>
      <c r="AK4213">
        <v>14.6224254943128</v>
      </c>
      <c r="AL4213">
        <v>82.497976798154596</v>
      </c>
      <c r="AM4213">
        <v>95.134981129933294</v>
      </c>
      <c r="AN4213">
        <v>0.99999998791955902</v>
      </c>
    </row>
    <row r="4214" spans="1:40" x14ac:dyDescent="0.25">
      <c r="A4214" t="str">
        <f>"20190312151111112"</f>
        <v>20190312151111112</v>
      </c>
      <c r="B4214" t="str">
        <f>"1552374671104951"</f>
        <v>1552374671104951</v>
      </c>
      <c r="C4214" t="s">
        <v>40</v>
      </c>
      <c r="D4214">
        <v>4.9966679999999997</v>
      </c>
      <c r="E4214">
        <v>0.44656699999999999</v>
      </c>
      <c r="F4214" t="s">
        <v>79</v>
      </c>
      <c r="G4214">
        <v>-281.19220000000001</v>
      </c>
      <c r="H4214" s="1">
        <v>-2.2371090000000002E-6</v>
      </c>
      <c r="I4214">
        <v>134.95179999999999</v>
      </c>
      <c r="J4214">
        <v>-266.94540000000001</v>
      </c>
      <c r="K4214">
        <v>1.110825</v>
      </c>
      <c r="L4214">
        <v>137.83320000000001</v>
      </c>
      <c r="M4214">
        <v>-0.99931250000000005</v>
      </c>
      <c r="N4214">
        <v>0</v>
      </c>
      <c r="O4214">
        <v>3.6196310000000002E-2</v>
      </c>
      <c r="P4214">
        <v>-0.99105810000000005</v>
      </c>
      <c r="Q4214">
        <v>0.122904399999999</v>
      </c>
      <c r="R4214">
        <v>-5.195056E-2</v>
      </c>
      <c r="S4214">
        <v>-3.0247190000000002</v>
      </c>
      <c r="T4214">
        <v>-0.23133519999999999</v>
      </c>
      <c r="U4214">
        <v>-0.5982208</v>
      </c>
      <c r="V4214">
        <v>-8.8106710000000005E-2</v>
      </c>
      <c r="W4214">
        <v>0.13064200000000001</v>
      </c>
      <c r="X4214">
        <v>0.98750689999999997</v>
      </c>
      <c r="Y4214">
        <v>-0.2286559</v>
      </c>
      <c r="Z4214">
        <v>-1.138781E-2</v>
      </c>
      <c r="AA4214">
        <v>0.97344070000000005</v>
      </c>
      <c r="AB4214">
        <v>27</v>
      </c>
      <c r="AC4214">
        <v>-14.2468</v>
      </c>
      <c r="AD4214">
        <v>-1.110827237109</v>
      </c>
      <c r="AE4214">
        <v>-2.88140000000001</v>
      </c>
      <c r="AF4214">
        <v>-3.3754954133548898</v>
      </c>
      <c r="AG4214">
        <v>-1.110827237109</v>
      </c>
      <c r="AH4214">
        <v>14.051099094779399</v>
      </c>
      <c r="AI4214">
        <v>94.395641265969303</v>
      </c>
      <c r="AJ4214">
        <v>103.50819247437801</v>
      </c>
      <c r="AK4214">
        <v>14.4934913739786</v>
      </c>
      <c r="AL4214">
        <v>82.493307403554098</v>
      </c>
      <c r="AM4214">
        <v>95.098507243443194</v>
      </c>
      <c r="AN4214">
        <v>1.00000000102931</v>
      </c>
    </row>
    <row r="4215" spans="1:40" x14ac:dyDescent="0.25">
      <c r="A4215" t="str">
        <f>"20190312151111134"</f>
        <v>20190312151111134</v>
      </c>
      <c r="B4215" t="str">
        <f>"1552374671124977"</f>
        <v>1552374671124977</v>
      </c>
      <c r="C4215" t="s">
        <v>40</v>
      </c>
      <c r="D4215">
        <v>5.7015390000000004</v>
      </c>
      <c r="E4215">
        <v>0.44656649999999998</v>
      </c>
      <c r="F4215" t="s">
        <v>79</v>
      </c>
      <c r="G4215">
        <v>-281.32900000000001</v>
      </c>
      <c r="H4215" s="1">
        <v>-2.3219350000000001E-6</v>
      </c>
      <c r="I4215">
        <v>134.96719999999999</v>
      </c>
      <c r="J4215">
        <v>-267.21269999999998</v>
      </c>
      <c r="K4215">
        <v>1.1108290000000001</v>
      </c>
      <c r="L4215">
        <v>137.84139999999999</v>
      </c>
      <c r="M4215">
        <v>-0.99936219999999998</v>
      </c>
      <c r="N4215">
        <v>0</v>
      </c>
      <c r="O4215">
        <v>3.479492E-2</v>
      </c>
      <c r="P4215">
        <v>-0.99091149999999995</v>
      </c>
      <c r="Q4215">
        <v>0.1234832</v>
      </c>
      <c r="R4215">
        <v>-5.3355939999999998E-2</v>
      </c>
      <c r="S4215">
        <v>-3.0244450000000001</v>
      </c>
      <c r="T4215">
        <v>-0.23357330000000001</v>
      </c>
      <c r="U4215">
        <v>-0.60263059999999902</v>
      </c>
      <c r="V4215">
        <v>-8.8122010000000001E-2</v>
      </c>
      <c r="W4215">
        <v>0.13122449999999999</v>
      </c>
      <c r="X4215">
        <v>0.98742830000000004</v>
      </c>
      <c r="Y4215">
        <v>-0.22866300000000001</v>
      </c>
      <c r="Z4215">
        <v>-1.139021E-2</v>
      </c>
      <c r="AA4215">
        <v>0.97343900000000005</v>
      </c>
      <c r="AB4215">
        <v>27</v>
      </c>
      <c r="AC4215">
        <v>-14.116300000000001</v>
      </c>
      <c r="AD4215">
        <v>-1.1108313219349999</v>
      </c>
      <c r="AE4215">
        <v>-2.8742000000000001</v>
      </c>
      <c r="AF4215">
        <v>-3.3437693314913401</v>
      </c>
      <c r="AG4215">
        <v>-1.1108313219349999</v>
      </c>
      <c r="AH4215">
        <v>13.9249453455457</v>
      </c>
      <c r="AI4215">
        <v>94.435424166575203</v>
      </c>
      <c r="AJ4215">
        <v>103.50266773172299</v>
      </c>
      <c r="AK4215">
        <v>14.363803202649599</v>
      </c>
      <c r="AL4215">
        <v>82.4596428129678</v>
      </c>
      <c r="AM4215">
        <v>95.099791721692498</v>
      </c>
      <c r="AN4215">
        <v>1.0000000028437901</v>
      </c>
    </row>
    <row r="4216" spans="1:40" x14ac:dyDescent="0.25">
      <c r="A4216" t="str">
        <f>"20190312151111157"</f>
        <v>20190312151111157</v>
      </c>
      <c r="B4216" t="str">
        <f>"1552374671145473"</f>
        <v>1552374671145473</v>
      </c>
      <c r="C4216" t="s">
        <v>40</v>
      </c>
      <c r="D4216">
        <v>5.1014980000000003</v>
      </c>
      <c r="E4216">
        <v>0.44641720000000001</v>
      </c>
      <c r="F4216" t="s">
        <v>79</v>
      </c>
      <c r="G4216">
        <v>-281.49040000000002</v>
      </c>
      <c r="H4216" s="1">
        <v>-2.417202E-6</v>
      </c>
      <c r="I4216">
        <v>134.97450000000001</v>
      </c>
      <c r="J4216">
        <v>-267.47809999999998</v>
      </c>
      <c r="K4216">
        <v>1.1108309999999999</v>
      </c>
      <c r="L4216">
        <v>137.8492</v>
      </c>
      <c r="M4216">
        <v>-0.9994092</v>
      </c>
      <c r="N4216">
        <v>0</v>
      </c>
      <c r="O4216">
        <v>3.3413419999999999E-2</v>
      </c>
      <c r="P4216">
        <v>-0.99084039999999995</v>
      </c>
      <c r="Q4216">
        <v>0.12355099999999999</v>
      </c>
      <c r="R4216">
        <v>-5.4506440000000003E-2</v>
      </c>
      <c r="S4216">
        <v>-3.0241090000000002</v>
      </c>
      <c r="T4216">
        <v>-0.23528109999999999</v>
      </c>
      <c r="U4216">
        <v>-0.60722349999999903</v>
      </c>
      <c r="V4216">
        <v>-8.7903529999999994E-2</v>
      </c>
      <c r="W4216">
        <v>0.1313058</v>
      </c>
      <c r="X4216">
        <v>0.98743700000000001</v>
      </c>
      <c r="Y4216">
        <v>-0.2287527</v>
      </c>
      <c r="Z4216">
        <v>-1.1369870000000001E-2</v>
      </c>
      <c r="AA4216">
        <v>0.97341820000000001</v>
      </c>
      <c r="AB4216">
        <v>27</v>
      </c>
      <c r="AC4216">
        <v>-14.0123</v>
      </c>
      <c r="AD4216">
        <v>-1.11083341720199</v>
      </c>
      <c r="AE4216">
        <v>-2.87469999999999</v>
      </c>
      <c r="AF4216">
        <v>-3.32127880346007</v>
      </c>
      <c r="AG4216">
        <v>-1.11083341720199</v>
      </c>
      <c r="AH4216">
        <v>13.8250426276113</v>
      </c>
      <c r="AI4216">
        <v>94.467245062875506</v>
      </c>
      <c r="AJ4216">
        <v>103.50854093433099</v>
      </c>
      <c r="AK4216">
        <v>14.2617196517936</v>
      </c>
      <c r="AL4216">
        <v>82.454944262901705</v>
      </c>
      <c r="AM4216">
        <v>95.087169701788895</v>
      </c>
      <c r="AN4216">
        <v>1.00000003633454</v>
      </c>
    </row>
    <row r="4217" spans="1:40" x14ac:dyDescent="0.25">
      <c r="A4217" t="str">
        <f>"20190312151111178"</f>
        <v>20190312151111178</v>
      </c>
      <c r="B4217" t="str">
        <f>"1552374671175730"</f>
        <v>1552374671175730</v>
      </c>
      <c r="C4217" t="s">
        <v>40</v>
      </c>
      <c r="D4217">
        <v>4.912579</v>
      </c>
      <c r="E4217">
        <v>0.44638050000000001</v>
      </c>
      <c r="F4217" t="s">
        <v>79</v>
      </c>
      <c r="G4217">
        <v>-281.53370000000001</v>
      </c>
      <c r="H4217" s="1">
        <v>-2.4539720000000002E-6</v>
      </c>
      <c r="I4217">
        <v>135.00190000000001</v>
      </c>
      <c r="J4217">
        <v>-267.74380000000002</v>
      </c>
      <c r="K4217">
        <v>1.11083</v>
      </c>
      <c r="L4217">
        <v>137.85659999999999</v>
      </c>
      <c r="M4217">
        <v>-0.99945390000000001</v>
      </c>
      <c r="N4217">
        <v>0</v>
      </c>
      <c r="O4217">
        <v>3.2043000000000002E-2</v>
      </c>
      <c r="P4217">
        <v>-0.9907089</v>
      </c>
      <c r="Q4217">
        <v>0.1239398</v>
      </c>
      <c r="R4217">
        <v>-5.5991779999999998E-2</v>
      </c>
      <c r="S4217">
        <v>-3.0238339999999999</v>
      </c>
      <c r="T4217">
        <v>-0.23897740000000001</v>
      </c>
      <c r="U4217">
        <v>-0.6125488</v>
      </c>
      <c r="V4217">
        <v>-8.8027690000000006E-2</v>
      </c>
      <c r="W4217">
        <v>0.131717</v>
      </c>
      <c r="X4217">
        <v>0.98737109999999995</v>
      </c>
      <c r="Y4217">
        <v>-0.2290616</v>
      </c>
      <c r="Z4217">
        <v>-1.1451899999999999E-2</v>
      </c>
      <c r="AA4217">
        <v>0.9733446</v>
      </c>
      <c r="AB4217">
        <v>27</v>
      </c>
      <c r="AC4217">
        <v>-13.7898999999999</v>
      </c>
      <c r="AD4217">
        <v>-1.110832453972</v>
      </c>
      <c r="AE4217">
        <v>-2.8546999999999798</v>
      </c>
      <c r="AF4217">
        <v>-3.2747417195248998</v>
      </c>
      <c r="AG4217">
        <v>-1.110832453972</v>
      </c>
      <c r="AH4217">
        <v>13.606677319213301</v>
      </c>
      <c r="AI4217">
        <v>94.538188933119898</v>
      </c>
      <c r="AJ4217">
        <v>103.532115507429</v>
      </c>
      <c r="AK4217">
        <v>14.039214712354401</v>
      </c>
      <c r="AL4217">
        <v>82.431177281664702</v>
      </c>
      <c r="AM4217">
        <v>95.094655549920901</v>
      </c>
      <c r="AN4217">
        <v>0.999999965705472</v>
      </c>
    </row>
    <row r="4218" spans="1:40" x14ac:dyDescent="0.25">
      <c r="A4218" t="str">
        <f>"20190312151111202"</f>
        <v>20190312151111202</v>
      </c>
      <c r="B4218" t="str">
        <f>"1552374671195249"</f>
        <v>1552374671195249</v>
      </c>
      <c r="C4218" t="s">
        <v>40</v>
      </c>
      <c r="D4218">
        <v>4.9099709999999996</v>
      </c>
      <c r="E4218">
        <v>0.44630239999999999</v>
      </c>
      <c r="F4218" t="s">
        <v>79</v>
      </c>
      <c r="G4218">
        <v>-281.7122</v>
      </c>
      <c r="H4218" s="1">
        <v>-2.5563279999999999E-6</v>
      </c>
      <c r="I4218">
        <v>135.00319999999999</v>
      </c>
      <c r="J4218">
        <v>-268.03019999999998</v>
      </c>
      <c r="K4218">
        <v>1.110827</v>
      </c>
      <c r="L4218">
        <v>137.86420000000001</v>
      </c>
      <c r="M4218">
        <v>-0.99949929999999998</v>
      </c>
      <c r="N4218">
        <v>0</v>
      </c>
      <c r="O4218">
        <v>3.0589169999999999E-2</v>
      </c>
      <c r="P4218">
        <v>-0.99058100000000004</v>
      </c>
      <c r="Q4218">
        <v>0.1243369</v>
      </c>
      <c r="R4218">
        <v>-5.7358340000000001E-2</v>
      </c>
      <c r="S4218">
        <v>-3.0233150000000002</v>
      </c>
      <c r="T4218">
        <v>-0.24042859999999999</v>
      </c>
      <c r="U4218">
        <v>-0.61758419999999903</v>
      </c>
      <c r="V4218">
        <v>-8.7950180000000003E-2</v>
      </c>
      <c r="W4218">
        <v>0.1321415</v>
      </c>
      <c r="X4218">
        <v>0.98732129999999996</v>
      </c>
      <c r="Y4218">
        <v>-0.22922970000000001</v>
      </c>
      <c r="Z4218">
        <v>-1.14135E-2</v>
      </c>
      <c r="AA4218">
        <v>0.97330550000000005</v>
      </c>
      <c r="AB4218">
        <v>27</v>
      </c>
      <c r="AC4218">
        <v>-13.682</v>
      </c>
      <c r="AD4218">
        <v>-1.110829556328</v>
      </c>
      <c r="AE4218">
        <v>-2.86100000000001</v>
      </c>
      <c r="AF4218">
        <v>-3.2576222175221798</v>
      </c>
      <c r="AG4218">
        <v>-1.110829556328</v>
      </c>
      <c r="AH4218">
        <v>13.5028012474917</v>
      </c>
      <c r="AI4218">
        <v>94.572336310969703</v>
      </c>
      <c r="AJ4218">
        <v>103.563719520299</v>
      </c>
      <c r="AK4218">
        <v>13.9345500948028</v>
      </c>
      <c r="AL4218">
        <v>82.406640859448899</v>
      </c>
      <c r="AM4218">
        <v>95.090448586981594</v>
      </c>
      <c r="AN4218">
        <v>0.99999997980898603</v>
      </c>
    </row>
    <row r="4219" spans="1:40" x14ac:dyDescent="0.25">
      <c r="A4219" t="str">
        <f>"20190312151111225"</f>
        <v>20190312151111225</v>
      </c>
      <c r="B4219" t="str">
        <f>"1552374671215745"</f>
        <v>1552374671215745</v>
      </c>
      <c r="C4219" t="s">
        <v>40</v>
      </c>
      <c r="D4219">
        <v>4.9346569999999996</v>
      </c>
      <c r="E4219">
        <v>0.44629239999999998</v>
      </c>
      <c r="F4219" t="s">
        <v>79</v>
      </c>
      <c r="G4219">
        <v>-282.00099999999998</v>
      </c>
      <c r="H4219" s="1">
        <v>-2.7124009999999999E-6</v>
      </c>
      <c r="I4219">
        <v>134.9838</v>
      </c>
      <c r="J4219">
        <v>-268.3057</v>
      </c>
      <c r="K4219">
        <v>1.1108209999999901</v>
      </c>
      <c r="L4219">
        <v>137.87110000000001</v>
      </c>
      <c r="M4219">
        <v>-0.99954030000000005</v>
      </c>
      <c r="N4219">
        <v>0</v>
      </c>
      <c r="O4219">
        <v>2.9210650000000001E-2</v>
      </c>
      <c r="P4219">
        <v>-0.99055309999999996</v>
      </c>
      <c r="Q4219">
        <v>0.123876399999999</v>
      </c>
      <c r="R4219">
        <v>-5.8817929999999997E-2</v>
      </c>
      <c r="S4219">
        <v>-3.022583</v>
      </c>
      <c r="T4219">
        <v>-0.2403275</v>
      </c>
      <c r="U4219">
        <v>-0.62315369999999903</v>
      </c>
      <c r="V4219">
        <v>-8.804099E-2</v>
      </c>
      <c r="W4219">
        <v>0.13170709999999999</v>
      </c>
      <c r="X4219">
        <v>0.98737129999999995</v>
      </c>
      <c r="Y4219">
        <v>-0.22965820000000001</v>
      </c>
      <c r="Z4219">
        <v>-1.131775E-2</v>
      </c>
      <c r="AA4219">
        <v>0.97320549999999995</v>
      </c>
      <c r="AB4219">
        <v>27</v>
      </c>
      <c r="AC4219">
        <v>-13.6952999999999</v>
      </c>
      <c r="AD4219">
        <v>-1.1108237124010001</v>
      </c>
      <c r="AE4219">
        <v>-2.88730000000001</v>
      </c>
      <c r="AF4219">
        <v>-3.2655603912161899</v>
      </c>
      <c r="AG4219">
        <v>-1.1108237124010001</v>
      </c>
      <c r="AH4219">
        <v>13.519952764695001</v>
      </c>
      <c r="AI4219">
        <v>94.566244891079407</v>
      </c>
      <c r="AJ4219">
        <v>103.578937805032</v>
      </c>
      <c r="AK4219">
        <v>13.953026078535601</v>
      </c>
      <c r="AL4219">
        <v>82.4317499851241</v>
      </c>
      <c r="AM4219">
        <v>95.095420216911094</v>
      </c>
      <c r="AN4219">
        <v>1.0000000300871299</v>
      </c>
    </row>
    <row r="4220" spans="1:40" x14ac:dyDescent="0.25">
      <c r="A4220" t="str">
        <f>"20190312151111246"</f>
        <v>20190312151111246</v>
      </c>
      <c r="B4220" t="str">
        <f>"1552374671235267"</f>
        <v>1552374671235267</v>
      </c>
      <c r="C4220" t="s">
        <v>40</v>
      </c>
      <c r="D4220">
        <v>5.0032870000000003</v>
      </c>
      <c r="E4220">
        <v>0.44633329999999999</v>
      </c>
      <c r="F4220" t="s">
        <v>79</v>
      </c>
      <c r="G4220">
        <v>-282.14800000000002</v>
      </c>
      <c r="H4220" s="1">
        <v>-2.8009959999999998E-6</v>
      </c>
      <c r="I4220">
        <v>134.99469999999999</v>
      </c>
      <c r="J4220">
        <v>-268.57310000000001</v>
      </c>
      <c r="K4220">
        <v>1.110808</v>
      </c>
      <c r="L4220">
        <v>137.8775</v>
      </c>
      <c r="M4220">
        <v>-0.99957739999999995</v>
      </c>
      <c r="N4220">
        <v>0</v>
      </c>
      <c r="O4220">
        <v>2.7900729999999999E-2</v>
      </c>
      <c r="P4220">
        <v>-0.9905446</v>
      </c>
      <c r="Q4220">
        <v>0.12319280000000001</v>
      </c>
      <c r="R4220">
        <v>-6.0373610000000001E-2</v>
      </c>
      <c r="S4220">
        <v>-3.0216669999999999</v>
      </c>
      <c r="T4220">
        <v>-0.24248430000000001</v>
      </c>
      <c r="U4220">
        <v>-0.62789919999999899</v>
      </c>
      <c r="V4220">
        <v>-8.8295009999999993E-2</v>
      </c>
      <c r="W4220">
        <v>0.1310481</v>
      </c>
      <c r="X4220">
        <v>0.98743630000000004</v>
      </c>
      <c r="Y4220">
        <v>-0.22989599999999999</v>
      </c>
      <c r="Z4220">
        <v>-1.1326060000000001E-2</v>
      </c>
      <c r="AA4220">
        <v>0.97314929999999999</v>
      </c>
      <c r="AB4220">
        <v>27</v>
      </c>
      <c r="AC4220">
        <v>-13.5748999999999</v>
      </c>
      <c r="AD4220">
        <v>-1.110810800996</v>
      </c>
      <c r="AE4220">
        <v>-2.8828</v>
      </c>
      <c r="AF4220">
        <v>-3.23968345089034</v>
      </c>
      <c r="AG4220">
        <v>-1.110810800996</v>
      </c>
      <c r="AH4220">
        <v>13.403305982876001</v>
      </c>
      <c r="AI4220">
        <v>94.605581170258404</v>
      </c>
      <c r="AJ4220">
        <v>103.588217297065</v>
      </c>
      <c r="AK4220">
        <v>13.8339459579754</v>
      </c>
      <c r="AL4220">
        <v>82.469838034222505</v>
      </c>
      <c r="AM4220">
        <v>95.109709438664794</v>
      </c>
      <c r="AN4220">
        <v>1.0000000299310901</v>
      </c>
    </row>
    <row r="4221" spans="1:40" x14ac:dyDescent="0.25">
      <c r="A4221" t="str">
        <f>"20190312151111268"</f>
        <v>20190312151111268</v>
      </c>
      <c r="B4221" t="str">
        <f>"1552374671265521"</f>
        <v>1552374671265521</v>
      </c>
      <c r="C4221" t="s">
        <v>40</v>
      </c>
      <c r="D4221">
        <v>5.178312</v>
      </c>
      <c r="E4221">
        <v>0.44633630000000002</v>
      </c>
      <c r="F4221" t="s">
        <v>79</v>
      </c>
      <c r="G4221">
        <v>-282.2373</v>
      </c>
      <c r="H4221" s="1">
        <v>-2.8619460000000001E-6</v>
      </c>
      <c r="I4221">
        <v>135.01740000000001</v>
      </c>
      <c r="J4221">
        <v>-268.83499999999998</v>
      </c>
      <c r="K4221">
        <v>1.110789</v>
      </c>
      <c r="L4221">
        <v>137.88339999999999</v>
      </c>
      <c r="M4221">
        <v>-0.99961140000000004</v>
      </c>
      <c r="N4221">
        <v>0</v>
      </c>
      <c r="O4221">
        <v>2.665317E-2</v>
      </c>
      <c r="P4221">
        <v>-0.9905159</v>
      </c>
      <c r="Q4221">
        <v>0.1226925</v>
      </c>
      <c r="R4221">
        <v>-6.1850189999999999E-2</v>
      </c>
      <c r="S4221">
        <v>-3.0205989999999998</v>
      </c>
      <c r="T4221">
        <v>-0.24555489999999999</v>
      </c>
      <c r="U4221">
        <v>-0.63224789999999997</v>
      </c>
      <c r="V4221">
        <v>-8.8528979999999993E-2</v>
      </c>
      <c r="W4221">
        <v>0.1305721</v>
      </c>
      <c r="X4221">
        <v>0.98747839999999998</v>
      </c>
      <c r="Y4221">
        <v>-0.23007569999999999</v>
      </c>
      <c r="Z4221">
        <v>-1.1378259999999999E-2</v>
      </c>
      <c r="AA4221">
        <v>0.97310620000000003</v>
      </c>
      <c r="AB4221">
        <v>27</v>
      </c>
      <c r="AC4221">
        <v>-13.4023</v>
      </c>
      <c r="AD4221">
        <v>-1.110791861946</v>
      </c>
      <c r="AE4221">
        <v>-2.8659999999999801</v>
      </c>
      <c r="AF4221">
        <v>-3.2011794697167399</v>
      </c>
      <c r="AG4221">
        <v>-1.110791861946</v>
      </c>
      <c r="AH4221">
        <v>13.234214670156</v>
      </c>
      <c r="AI4221">
        <v>94.663899033267199</v>
      </c>
      <c r="AJ4221">
        <v>103.597897666322</v>
      </c>
      <c r="AK4221">
        <v>13.661107074233501</v>
      </c>
      <c r="AL4221">
        <v>82.497347139182295</v>
      </c>
      <c r="AM4221">
        <v>95.122960267461394</v>
      </c>
      <c r="AN4221">
        <v>1.0000000220323999</v>
      </c>
    </row>
    <row r="4222" spans="1:40" x14ac:dyDescent="0.25">
      <c r="A4222" t="str">
        <f>"20190312151111290"</f>
        <v>20190312151111290</v>
      </c>
      <c r="B4222" t="str">
        <f>"1552374671285042"</f>
        <v>1552374671285042</v>
      </c>
      <c r="C4222" t="s">
        <v>40</v>
      </c>
      <c r="D4222">
        <v>4.8922589999999904</v>
      </c>
      <c r="E4222">
        <v>0.4462874</v>
      </c>
      <c r="F4222" t="s">
        <v>79</v>
      </c>
      <c r="G4222">
        <v>-282.30309999999997</v>
      </c>
      <c r="H4222" s="1">
        <v>-2.9041689999999999E-6</v>
      </c>
      <c r="I4222">
        <v>135.04509999999999</v>
      </c>
      <c r="J4222">
        <v>-269.11540000000002</v>
      </c>
      <c r="K4222">
        <v>1.1107579999999999</v>
      </c>
      <c r="L4222">
        <v>137.8895</v>
      </c>
      <c r="M4222">
        <v>-0.99964459999999999</v>
      </c>
      <c r="N4222">
        <v>0</v>
      </c>
      <c r="O4222">
        <v>2.5369200000000001E-2</v>
      </c>
      <c r="P4222">
        <v>-0.99040689999999998</v>
      </c>
      <c r="Q4222">
        <v>0.1228607</v>
      </c>
      <c r="R4222">
        <v>-6.3242989999999999E-2</v>
      </c>
      <c r="S4222">
        <v>-3.019806</v>
      </c>
      <c r="T4222">
        <v>-0.24906049999999999</v>
      </c>
      <c r="U4222">
        <v>-0.63641359999999902</v>
      </c>
      <c r="V4222">
        <v>-8.8640120000000003E-2</v>
      </c>
      <c r="W4222">
        <v>0.13076969999999999</v>
      </c>
      <c r="X4222">
        <v>0.9874423</v>
      </c>
      <c r="Y4222">
        <v>-0.2301434</v>
      </c>
      <c r="Z4222">
        <v>-1.1439599999999999E-2</v>
      </c>
      <c r="AA4222">
        <v>0.97308950000000005</v>
      </c>
      <c r="AB4222">
        <v>27</v>
      </c>
      <c r="AC4222">
        <v>-13.1876999999999</v>
      </c>
      <c r="AD4222">
        <v>-1.1107609041690001</v>
      </c>
      <c r="AE4222">
        <v>-2.8443999999999998</v>
      </c>
      <c r="AF4222">
        <v>-3.1566586060871602</v>
      </c>
      <c r="AG4222">
        <v>-1.1107609041690001</v>
      </c>
      <c r="AH4222">
        <v>13.023011772785299</v>
      </c>
      <c r="AI4222">
        <v>94.738519315245895</v>
      </c>
      <c r="AJ4222">
        <v>103.625186607364</v>
      </c>
      <c r="AK4222">
        <v>13.446081919121299</v>
      </c>
      <c r="AL4222">
        <v>82.485927719893297</v>
      </c>
      <c r="AM4222">
        <v>95.129543910665205</v>
      </c>
      <c r="AN4222">
        <v>1.0000000405704901</v>
      </c>
    </row>
    <row r="4223" spans="1:40" x14ac:dyDescent="0.25">
      <c r="A4223" t="str">
        <f>"20190312151111314"</f>
        <v>20190312151111314</v>
      </c>
      <c r="B4223" t="str">
        <f>"1552374671305537"</f>
        <v>1552374671305537</v>
      </c>
      <c r="C4223" t="s">
        <v>40</v>
      </c>
      <c r="D4223">
        <v>5.018472</v>
      </c>
      <c r="E4223">
        <v>0.44630550000000002</v>
      </c>
      <c r="F4223" t="s">
        <v>79</v>
      </c>
      <c r="G4223">
        <v>-282.57089999999999</v>
      </c>
      <c r="H4223" s="1">
        <v>-3.017918E-6</v>
      </c>
      <c r="I4223">
        <v>135.03190000000001</v>
      </c>
      <c r="J4223">
        <v>-269.40140000000002</v>
      </c>
      <c r="K4223">
        <v>1.1107180000000001</v>
      </c>
      <c r="L4223">
        <v>137.8954</v>
      </c>
      <c r="M4223">
        <v>-0.99967519999999999</v>
      </c>
      <c r="N4223">
        <v>0</v>
      </c>
      <c r="O4223">
        <v>2.412444E-2</v>
      </c>
      <c r="P4223">
        <v>-0.99032770000000003</v>
      </c>
      <c r="Q4223">
        <v>0.12289949999999999</v>
      </c>
      <c r="R4223">
        <v>-6.4397700000000002E-2</v>
      </c>
      <c r="S4223">
        <v>-3.0190429999999999</v>
      </c>
      <c r="T4223">
        <v>-0.24922320000000001</v>
      </c>
      <c r="U4223">
        <v>-0.64117429999999997</v>
      </c>
      <c r="V4223">
        <v>-8.854882E-2</v>
      </c>
      <c r="W4223">
        <v>0.1308454</v>
      </c>
      <c r="X4223">
        <v>0.9874404</v>
      </c>
      <c r="Y4223">
        <v>-0.23045209999999999</v>
      </c>
      <c r="Z4223">
        <v>-1.1359060000000001E-2</v>
      </c>
      <c r="AA4223">
        <v>0.97301729999999997</v>
      </c>
      <c r="AB4223">
        <v>27</v>
      </c>
      <c r="AC4223">
        <v>-13.1694999999999</v>
      </c>
      <c r="AD4223">
        <v>-1.110721017918</v>
      </c>
      <c r="AE4223">
        <v>-2.8634999999999802</v>
      </c>
      <c r="AF4223">
        <v>-3.15892806969407</v>
      </c>
      <c r="AG4223">
        <v>-1.110721017918</v>
      </c>
      <c r="AH4223">
        <v>13.0082299499638</v>
      </c>
      <c r="AI4223">
        <v>94.743223019432094</v>
      </c>
      <c r="AJ4223">
        <v>103.649531171164</v>
      </c>
      <c r="AK4223">
        <v>13.4322959377867</v>
      </c>
      <c r="AL4223">
        <v>82.481552365629199</v>
      </c>
      <c r="AM4223">
        <v>95.124298392212197</v>
      </c>
      <c r="AN4223">
        <v>0.99999997788835504</v>
      </c>
    </row>
    <row r="4224" spans="1:40" x14ac:dyDescent="0.25">
      <c r="A4224" t="str">
        <f>"20190312151111335"</f>
        <v>20190312151111335</v>
      </c>
      <c r="B4224" t="str">
        <f>"1552374671325065"</f>
        <v>1552374671325065</v>
      </c>
      <c r="C4224" t="s">
        <v>40</v>
      </c>
      <c r="D4224">
        <v>5.072349</v>
      </c>
      <c r="E4224">
        <v>0.47944409999999998</v>
      </c>
      <c r="F4224" t="s">
        <v>79</v>
      </c>
      <c r="G4224">
        <v>-282.85289999999998</v>
      </c>
      <c r="H4224" s="1">
        <v>-3.1394980000000001E-6</v>
      </c>
      <c r="I4224">
        <v>135.02269999999999</v>
      </c>
      <c r="J4224">
        <v>-269.65600000000001</v>
      </c>
      <c r="K4224">
        <v>1.110673</v>
      </c>
      <c r="L4224">
        <v>137.90039999999999</v>
      </c>
      <c r="M4224">
        <v>-0.99969949999999996</v>
      </c>
      <c r="N4224">
        <v>0</v>
      </c>
      <c r="O4224">
        <v>2.308406E-2</v>
      </c>
      <c r="P4224">
        <v>-0.99026440000000004</v>
      </c>
      <c r="Q4224">
        <v>0.1230617</v>
      </c>
      <c r="R4224">
        <v>-6.5058790000000005E-2</v>
      </c>
      <c r="S4224">
        <v>-3.0183110000000002</v>
      </c>
      <c r="T4224">
        <v>-0.24922859999999999</v>
      </c>
      <c r="U4224">
        <v>-0.64459230000000001</v>
      </c>
      <c r="V4224">
        <v>-8.8165590000000002E-2</v>
      </c>
      <c r="W4224">
        <v>0.13104250000000001</v>
      </c>
      <c r="X4224">
        <v>0.98744860000000001</v>
      </c>
      <c r="Y4224">
        <v>-0.23054459999999999</v>
      </c>
      <c r="Z4224">
        <v>-1.1279539999999999E-2</v>
      </c>
      <c r="AA4224">
        <v>0.97299639999999998</v>
      </c>
      <c r="AB4224">
        <v>27</v>
      </c>
      <c r="AC4224">
        <v>-13.1968999999999</v>
      </c>
      <c r="AD4224">
        <v>-1.110676139498</v>
      </c>
      <c r="AE4224">
        <v>-2.8776999999999999</v>
      </c>
      <c r="AF4224">
        <v>-3.1602130766710701</v>
      </c>
      <c r="AG4224">
        <v>-1.110676139498</v>
      </c>
      <c r="AH4224">
        <v>13.038787416132299</v>
      </c>
      <c r="AI4224">
        <v>94.732474986847606</v>
      </c>
      <c r="AJ4224">
        <v>103.624068479762</v>
      </c>
      <c r="AK4224">
        <v>13.462188732145499</v>
      </c>
      <c r="AL4224">
        <v>82.470161627992098</v>
      </c>
      <c r="AM4224">
        <v>95.102196131951501</v>
      </c>
      <c r="AN4224">
        <v>1.0000000228541199</v>
      </c>
    </row>
    <row r="4225" spans="1:40" x14ac:dyDescent="0.25">
      <c r="A4225" t="str">
        <f>"20190312151111359"</f>
        <v>20190312151111359</v>
      </c>
      <c r="B4225" t="str">
        <f>"1552374671355314"</f>
        <v>1552374671355314</v>
      </c>
      <c r="C4225" t="s">
        <v>40</v>
      </c>
      <c r="D4225">
        <v>5.0278839999999896</v>
      </c>
      <c r="E4225">
        <v>0.49510399999999999</v>
      </c>
      <c r="F4225" t="s">
        <v>79</v>
      </c>
      <c r="G4225">
        <v>-292.21660000000003</v>
      </c>
      <c r="H4225" s="1">
        <v>-7.1412590000000001E-6</v>
      </c>
      <c r="I4225">
        <v>135.0718</v>
      </c>
      <c r="J4225">
        <v>-269.94470000000001</v>
      </c>
      <c r="K4225">
        <v>1.1106149999999999</v>
      </c>
      <c r="L4225">
        <v>137.9059</v>
      </c>
      <c r="M4225">
        <v>-0.99972399999999995</v>
      </c>
      <c r="N4225">
        <v>0</v>
      </c>
      <c r="O4225">
        <v>2.1989600000000002E-2</v>
      </c>
      <c r="P4225">
        <v>-0.99028910000000003</v>
      </c>
      <c r="Q4225">
        <v>0.12260459999999999</v>
      </c>
      <c r="R4225">
        <v>-6.5544190000000002E-2</v>
      </c>
      <c r="S4225">
        <v>-3.0231020000000002</v>
      </c>
      <c r="T4225">
        <v>-0.14883009999999999</v>
      </c>
      <c r="U4225">
        <v>-0.37902829999999998</v>
      </c>
      <c r="V4225">
        <v>-8.7549840000000004E-2</v>
      </c>
      <c r="W4225">
        <v>0.13062650000000001</v>
      </c>
      <c r="X4225">
        <v>0.98755850000000001</v>
      </c>
      <c r="Y4225">
        <v>-0.14599239999999999</v>
      </c>
      <c r="Z4225">
        <v>-4.6555590000000001E-3</v>
      </c>
      <c r="AA4225">
        <v>0.98927469999999995</v>
      </c>
      <c r="AB4225">
        <v>28</v>
      </c>
      <c r="AC4225">
        <v>-22.271899999999999</v>
      </c>
      <c r="AD4225">
        <v>-1.1106221412589901</v>
      </c>
      <c r="AE4225">
        <v>-2.8340999999999998</v>
      </c>
      <c r="AF4225">
        <v>-3.3150694574573598</v>
      </c>
      <c r="AG4225">
        <v>-1.1106221412589901</v>
      </c>
      <c r="AH4225">
        <v>22.149989379999599</v>
      </c>
      <c r="AI4225">
        <v>92.838896249379502</v>
      </c>
      <c r="AJ4225">
        <v>98.511970946422807</v>
      </c>
      <c r="AK4225">
        <v>22.424210054816101</v>
      </c>
      <c r="AL4225">
        <v>82.494203337302096</v>
      </c>
      <c r="AM4225">
        <v>95.066187520265501</v>
      </c>
      <c r="AN4225">
        <v>1.0000000239542599</v>
      </c>
    </row>
    <row r="4226" spans="1:40" x14ac:dyDescent="0.25">
      <c r="A4226" t="str">
        <f>"20190312151111379"</f>
        <v>20190312151111379</v>
      </c>
      <c r="B4226" t="str">
        <f>"1552374671374834"</f>
        <v>1552374671374834</v>
      </c>
      <c r="C4226" t="s">
        <v>40</v>
      </c>
      <c r="D4226">
        <v>5.0039110000000004</v>
      </c>
      <c r="E4226">
        <v>0.49908170000000002</v>
      </c>
      <c r="F4226" t="s">
        <v>79</v>
      </c>
      <c r="G4226">
        <v>-288.18889999999999</v>
      </c>
      <c r="H4226" s="1">
        <v>-6.6885389999999996E-6</v>
      </c>
      <c r="I4226">
        <v>136.3588</v>
      </c>
      <c r="J4226">
        <v>-270.20670000000001</v>
      </c>
      <c r="K4226">
        <v>1.1105579999999999</v>
      </c>
      <c r="L4226">
        <v>137.91069999999999</v>
      </c>
      <c r="M4226">
        <v>-0.9997433</v>
      </c>
      <c r="N4226">
        <v>0</v>
      </c>
      <c r="O4226">
        <v>2.1083020000000001E-2</v>
      </c>
      <c r="P4226">
        <v>-0.99031349999999996</v>
      </c>
      <c r="Q4226">
        <v>0.12238010000000001</v>
      </c>
      <c r="R4226">
        <v>-6.5592499999999998E-2</v>
      </c>
      <c r="S4226">
        <v>-3.0352480000000002</v>
      </c>
      <c r="T4226">
        <v>-0.18477170000000001</v>
      </c>
      <c r="U4226">
        <v>-0.25738529999999998</v>
      </c>
      <c r="V4226">
        <v>-8.6683609999999994E-2</v>
      </c>
      <c r="W4226">
        <v>0.13043879999999999</v>
      </c>
      <c r="X4226">
        <v>0.98765970000000003</v>
      </c>
      <c r="Y4226">
        <v>-0.10525279999999999</v>
      </c>
      <c r="Z4226">
        <v>-4.4751840000000001E-3</v>
      </c>
      <c r="AA4226">
        <v>0.99443539999999997</v>
      </c>
      <c r="AB4226">
        <v>28</v>
      </c>
      <c r="AC4226">
        <v>-17.982199999999899</v>
      </c>
      <c r="AD4226">
        <v>-1.1105646885389999</v>
      </c>
      <c r="AE4226">
        <v>-1.5518999999999801</v>
      </c>
      <c r="AF4226">
        <v>-1.9234051732492099</v>
      </c>
      <c r="AG4226">
        <v>-1.1105646885389999</v>
      </c>
      <c r="AH4226">
        <v>17.877797771233201</v>
      </c>
      <c r="AI4226">
        <v>93.534289710089496</v>
      </c>
      <c r="AJ4226">
        <v>96.140618450982501</v>
      </c>
      <c r="AK4226">
        <v>18.015229516634601</v>
      </c>
      <c r="AL4226">
        <v>82.5050504274963</v>
      </c>
      <c r="AM4226">
        <v>95.015807625250304</v>
      </c>
      <c r="AN4226">
        <v>1.0000000058960801</v>
      </c>
    </row>
    <row r="4227" spans="1:40" x14ac:dyDescent="0.25">
      <c r="A4227" t="str">
        <f>"20190312151111403"</f>
        <v>20190312151111403</v>
      </c>
      <c r="B4227" t="str">
        <f>"1552374671395329"</f>
        <v>1552374671395329</v>
      </c>
      <c r="C4227" t="s">
        <v>40</v>
      </c>
      <c r="D4227">
        <v>5.0092860000000003</v>
      </c>
      <c r="E4227">
        <v>0.50156029999999996</v>
      </c>
      <c r="F4227" t="s">
        <v>79</v>
      </c>
      <c r="G4227">
        <v>-287.7337</v>
      </c>
      <c r="H4227" s="1">
        <v>-6.4917339999999997E-6</v>
      </c>
      <c r="I4227">
        <v>136.60640000000001</v>
      </c>
      <c r="J4227">
        <v>-270.488</v>
      </c>
      <c r="K4227">
        <v>1.110501</v>
      </c>
      <c r="L4227">
        <v>137.91560000000001</v>
      </c>
      <c r="M4227">
        <v>-0.99976160000000003</v>
      </c>
      <c r="N4227">
        <v>0</v>
      </c>
      <c r="O4227">
        <v>2.018433E-2</v>
      </c>
      <c r="P4227">
        <v>-0.99025980000000002</v>
      </c>
      <c r="Q4227">
        <v>0.122431399999999</v>
      </c>
      <c r="R4227">
        <v>-6.6304070000000007E-2</v>
      </c>
      <c r="S4227">
        <v>-3.0381770000000001</v>
      </c>
      <c r="T4227">
        <v>-0.19250829999999999</v>
      </c>
      <c r="U4227">
        <v>-0.2260895</v>
      </c>
      <c r="V4227">
        <v>-8.6488120000000002E-2</v>
      </c>
      <c r="W4227">
        <v>0.13052429999999901</v>
      </c>
      <c r="X4227">
        <v>0.98766549999999997</v>
      </c>
      <c r="Y4227">
        <v>-9.4097200000000006E-2</v>
      </c>
      <c r="Z4227">
        <v>-4.2501800000000001E-3</v>
      </c>
      <c r="AA4227">
        <v>0.99555400000000005</v>
      </c>
      <c r="AB4227">
        <v>28</v>
      </c>
      <c r="AC4227">
        <v>-17.245699999999999</v>
      </c>
      <c r="AD4227">
        <v>-1.1105074917340001</v>
      </c>
      <c r="AE4227">
        <v>-1.3091999999999999</v>
      </c>
      <c r="AF4227">
        <v>-1.6502347493651499</v>
      </c>
      <c r="AG4227">
        <v>-1.1105074917340001</v>
      </c>
      <c r="AH4227">
        <v>17.145075503500699</v>
      </c>
      <c r="AI4227">
        <v>93.688939984641095</v>
      </c>
      <c r="AJ4227">
        <v>95.497853550314701</v>
      </c>
      <c r="AK4227">
        <v>17.260072874641899</v>
      </c>
      <c r="AL4227">
        <v>82.500109078979804</v>
      </c>
      <c r="AM4227">
        <v>95.004524181674995</v>
      </c>
      <c r="AN4227">
        <v>0.99999996384093603</v>
      </c>
    </row>
    <row r="4228" spans="1:40" x14ac:dyDescent="0.25">
      <c r="A4228" t="str">
        <f>"20190312151111426"</f>
        <v>20190312151111426</v>
      </c>
      <c r="B4228" t="str">
        <f>"1552374671414851"</f>
        <v>1552374671414851</v>
      </c>
      <c r="C4228" t="s">
        <v>40</v>
      </c>
      <c r="D4228">
        <v>4.9836999999999998</v>
      </c>
      <c r="E4228">
        <v>0.50318649999999998</v>
      </c>
      <c r="F4228" t="s">
        <v>79</v>
      </c>
      <c r="G4228">
        <v>-287.36919999999998</v>
      </c>
      <c r="H4228" s="1">
        <v>-6.3170330000000001E-6</v>
      </c>
      <c r="I4228">
        <v>136.75579999999999</v>
      </c>
      <c r="J4228">
        <v>-270.77460000000002</v>
      </c>
      <c r="K4228">
        <v>1.110452</v>
      </c>
      <c r="L4228">
        <v>137.9205</v>
      </c>
      <c r="M4228">
        <v>-0.9997781</v>
      </c>
      <c r="N4228">
        <v>0</v>
      </c>
      <c r="O4228">
        <v>1.934897E-2</v>
      </c>
      <c r="P4228">
        <v>-0.99021400000000004</v>
      </c>
      <c r="Q4228">
        <v>0.1225063</v>
      </c>
      <c r="R4228">
        <v>-6.6849459999999999E-2</v>
      </c>
      <c r="S4228">
        <v>-3.0402529999999999</v>
      </c>
      <c r="T4228">
        <v>-0.19999990000000001</v>
      </c>
      <c r="U4228">
        <v>-0.2088776</v>
      </c>
      <c r="V4228">
        <v>-8.6189740000000001E-2</v>
      </c>
      <c r="W4228">
        <v>0.13063069999999999</v>
      </c>
      <c r="X4228">
        <v>0.98767760000000004</v>
      </c>
      <c r="Y4228">
        <v>-8.760358E-2</v>
      </c>
      <c r="Z4228">
        <v>-4.1451489999999999E-3</v>
      </c>
      <c r="AA4228">
        <v>0.9961468</v>
      </c>
      <c r="AB4228">
        <v>28</v>
      </c>
      <c r="AC4228">
        <v>-16.5945999999999</v>
      </c>
      <c r="AD4228">
        <v>-1.110458317033</v>
      </c>
      <c r="AE4228">
        <v>-1.1647000000000101</v>
      </c>
      <c r="AF4228">
        <v>-1.47899123882271</v>
      </c>
      <c r="AG4228">
        <v>-1.110458317033</v>
      </c>
      <c r="AH4228">
        <v>16.495454265539902</v>
      </c>
      <c r="AI4228">
        <v>93.8359451355972</v>
      </c>
      <c r="AJ4228">
        <v>95.123470286437694</v>
      </c>
      <c r="AK4228">
        <v>16.598811529290298</v>
      </c>
      <c r="AL4228">
        <v>82.493960783954293</v>
      </c>
      <c r="AM4228">
        <v>94.987285243794901</v>
      </c>
      <c r="AN4228">
        <v>1.0000000463027501</v>
      </c>
    </row>
    <row r="4229" spans="1:40" x14ac:dyDescent="0.25">
      <c r="A4229" t="str">
        <f>"20190312151111448"</f>
        <v>20190312151111448</v>
      </c>
      <c r="B4229" t="str">
        <f>"1552374671445107"</f>
        <v>1552374671445107</v>
      </c>
      <c r="C4229" t="s">
        <v>40</v>
      </c>
      <c r="D4229">
        <v>4.9887969999999999</v>
      </c>
      <c r="E4229">
        <v>0.50463840000000004</v>
      </c>
      <c r="F4229" t="s">
        <v>79</v>
      </c>
      <c r="G4229">
        <v>-287.19319999999999</v>
      </c>
      <c r="H4229" s="1">
        <v>-6.2414500000000002E-6</v>
      </c>
      <c r="I4229">
        <v>136.85290000000001</v>
      </c>
      <c r="J4229">
        <v>-271.05309999999997</v>
      </c>
      <c r="K4229">
        <v>1.110398</v>
      </c>
      <c r="L4229">
        <v>137.92500000000001</v>
      </c>
      <c r="M4229">
        <v>-0.99979180000000001</v>
      </c>
      <c r="N4229">
        <v>0</v>
      </c>
      <c r="O4229">
        <v>1.8616629999999999E-2</v>
      </c>
      <c r="P4229">
        <v>-0.99017790000000006</v>
      </c>
      <c r="Q4229">
        <v>0.12248050000000001</v>
      </c>
      <c r="R4229">
        <v>-6.7427920000000002E-2</v>
      </c>
      <c r="S4229">
        <v>-3.0417480000000001</v>
      </c>
      <c r="T4229">
        <v>-0.20572570000000001</v>
      </c>
      <c r="U4229">
        <v>-0.1977844</v>
      </c>
      <c r="V4229">
        <v>-8.6027660000000006E-2</v>
      </c>
      <c r="W4229">
        <v>0.13063449999999999</v>
      </c>
      <c r="X4229">
        <v>0.98769119999999999</v>
      </c>
      <c r="Y4229">
        <v>-8.3221290000000003E-2</v>
      </c>
      <c r="Z4229">
        <v>-4.0646670000000001E-3</v>
      </c>
      <c r="AA4229">
        <v>0.99652280000000004</v>
      </c>
      <c r="AB4229">
        <v>28</v>
      </c>
      <c r="AC4229">
        <v>-16.1401</v>
      </c>
      <c r="AD4229">
        <v>-1.1104042414499999</v>
      </c>
      <c r="AE4229">
        <v>-1.0721000000000001</v>
      </c>
      <c r="AF4229">
        <v>-1.3659620459714099</v>
      </c>
      <c r="AG4229">
        <v>-1.1104042414499999</v>
      </c>
      <c r="AH4229">
        <v>16.0417486898709</v>
      </c>
      <c r="AI4229">
        <v>93.945445574614993</v>
      </c>
      <c r="AJ4229">
        <v>94.867020864961702</v>
      </c>
      <c r="AK4229">
        <v>16.138046688476301</v>
      </c>
      <c r="AL4229">
        <v>82.493740969903399</v>
      </c>
      <c r="AM4229">
        <v>94.977885611839099</v>
      </c>
      <c r="AN4229">
        <v>1.00000001871638</v>
      </c>
    </row>
    <row r="4230" spans="1:40" x14ac:dyDescent="0.25">
      <c r="A4230" t="str">
        <f>"20190312151111469"</f>
        <v>20190312151111469</v>
      </c>
      <c r="B4230" t="str">
        <f>"1552374671465602"</f>
        <v>1552374671465602</v>
      </c>
      <c r="C4230" t="s">
        <v>40</v>
      </c>
      <c r="D4230">
        <v>4.9710789999999996</v>
      </c>
      <c r="E4230">
        <v>0.50535240000000003</v>
      </c>
      <c r="F4230" t="s">
        <v>79</v>
      </c>
      <c r="G4230">
        <v>-286.96730000000002</v>
      </c>
      <c r="H4230" s="1">
        <v>-6.131434E-6</v>
      </c>
      <c r="I4230">
        <v>136.94049999999999</v>
      </c>
      <c r="J4230">
        <v>-271.31880000000001</v>
      </c>
      <c r="K4230">
        <v>1.110347</v>
      </c>
      <c r="L4230">
        <v>137.92930000000001</v>
      </c>
      <c r="M4230">
        <v>-0.999803</v>
      </c>
      <c r="N4230">
        <v>0</v>
      </c>
      <c r="O4230">
        <v>1.7989189999999999E-2</v>
      </c>
      <c r="P4230">
        <v>-0.99017049999999995</v>
      </c>
      <c r="Q4230">
        <v>0.1222613</v>
      </c>
      <c r="R4230">
        <v>-6.7932519999999996E-2</v>
      </c>
      <c r="S4230">
        <v>-3.0432130000000002</v>
      </c>
      <c r="T4230">
        <v>-0.21233840000000001</v>
      </c>
      <c r="U4230">
        <v>-0.18826290000000001</v>
      </c>
      <c r="V4230">
        <v>-8.5895609999999997E-2</v>
      </c>
      <c r="W4230">
        <v>0.130444899999999</v>
      </c>
      <c r="X4230">
        <v>0.98772769999999999</v>
      </c>
      <c r="Y4230">
        <v>-7.94546E-2</v>
      </c>
      <c r="Z4230">
        <v>-4.0185849999999999E-3</v>
      </c>
      <c r="AA4230">
        <v>0.99683040000000001</v>
      </c>
      <c r="AB4230">
        <v>28</v>
      </c>
      <c r="AC4230">
        <v>-15.6485</v>
      </c>
      <c r="AD4230">
        <v>-1.1103531314340001</v>
      </c>
      <c r="AE4230">
        <v>-0.98880000000002599</v>
      </c>
      <c r="AF4230">
        <v>-1.2638160476362299</v>
      </c>
      <c r="AG4230">
        <v>-1.1103531314340001</v>
      </c>
      <c r="AH4230">
        <v>15.5501994514063</v>
      </c>
      <c r="AI4230">
        <v>94.070863349276394</v>
      </c>
      <c r="AJ4230">
        <v>94.646404742413694</v>
      </c>
      <c r="AK4230">
        <v>15.6409340532228</v>
      </c>
      <c r="AL4230">
        <v>82.504697629805904</v>
      </c>
      <c r="AM4230">
        <v>94.970100254645601</v>
      </c>
      <c r="AN4230">
        <v>0.99999996855028495</v>
      </c>
    </row>
    <row r="4231" spans="1:40" x14ac:dyDescent="0.25">
      <c r="A4231" t="str">
        <f>"20190312151111491"</f>
        <v>20190312151111491</v>
      </c>
      <c r="B4231" t="str">
        <f>"1552374671485125"</f>
        <v>1552374671485125</v>
      </c>
      <c r="C4231" t="s">
        <v>40</v>
      </c>
      <c r="D4231">
        <v>4.9529300000000003</v>
      </c>
      <c r="E4231">
        <v>0.50599119999999997</v>
      </c>
      <c r="F4231" t="s">
        <v>79</v>
      </c>
      <c r="G4231">
        <v>-287.00709999999998</v>
      </c>
      <c r="H4231" s="1">
        <v>-6.1697060000000001E-6</v>
      </c>
      <c r="I4231">
        <v>136.97909999999999</v>
      </c>
      <c r="J4231">
        <v>-271.60410000000002</v>
      </c>
      <c r="K4231">
        <v>1.1102920000000001</v>
      </c>
      <c r="L4231">
        <v>137.93369999999999</v>
      </c>
      <c r="M4231">
        <v>-0.99981359999999997</v>
      </c>
      <c r="N4231">
        <v>0</v>
      </c>
      <c r="O4231">
        <v>1.738688E-2</v>
      </c>
      <c r="P4231">
        <v>-0.99011229999999995</v>
      </c>
      <c r="Q4231">
        <v>0.122389899999999</v>
      </c>
      <c r="R4231">
        <v>-6.8546659999999995E-2</v>
      </c>
      <c r="S4231">
        <v>-3.0437620000000001</v>
      </c>
      <c r="T4231">
        <v>-0.2154247</v>
      </c>
      <c r="U4231">
        <v>-0.18434139999999999</v>
      </c>
      <c r="V4231">
        <v>-8.5895639999999995E-2</v>
      </c>
      <c r="W4231">
        <v>0.13060849999999999</v>
      </c>
      <c r="X4231">
        <v>0.98770610000000003</v>
      </c>
      <c r="Y4231">
        <v>-7.7562759999999994E-2</v>
      </c>
      <c r="Z4231">
        <v>-3.9669240000000001E-3</v>
      </c>
      <c r="AA4231">
        <v>0.99697959999999997</v>
      </c>
      <c r="AB4231">
        <v>28</v>
      </c>
      <c r="AC4231">
        <v>-15.402999999999899</v>
      </c>
      <c r="AD4231">
        <v>-1.1102981697059999</v>
      </c>
      <c r="AE4231">
        <v>-0.954599999999999</v>
      </c>
      <c r="AF4231">
        <v>-1.21598118194794</v>
      </c>
      <c r="AG4231">
        <v>-1.1102981697059999</v>
      </c>
      <c r="AH4231">
        <v>15.304853718868699</v>
      </c>
      <c r="AI4231">
        <v>94.136292786285907</v>
      </c>
      <c r="AJ4231">
        <v>94.542646876260804</v>
      </c>
      <c r="AK4231">
        <v>15.3931776971642</v>
      </c>
      <c r="AL4231">
        <v>82.495243321499601</v>
      </c>
      <c r="AM4231">
        <v>94.970210127811001</v>
      </c>
      <c r="AN4231">
        <v>0.99999999061023404</v>
      </c>
    </row>
    <row r="4232" spans="1:40" x14ac:dyDescent="0.25">
      <c r="A4232" t="str">
        <f>"20190312151111514"</f>
        <v>20190312151111514</v>
      </c>
      <c r="B4232" t="str">
        <f>"1552374671505621"</f>
        <v>1552374671505621</v>
      </c>
      <c r="C4232" t="s">
        <v>40</v>
      </c>
      <c r="D4232">
        <v>5.0454109999999996</v>
      </c>
      <c r="E4232">
        <v>0.50673820000000003</v>
      </c>
      <c r="F4232" t="s">
        <v>79</v>
      </c>
      <c r="G4232">
        <v>-287.1635</v>
      </c>
      <c r="H4232" s="1">
        <v>-6.2769150000000002E-6</v>
      </c>
      <c r="I4232">
        <v>137.00710000000001</v>
      </c>
      <c r="J4232">
        <v>-271.88650000000001</v>
      </c>
      <c r="K4232">
        <v>1.110247</v>
      </c>
      <c r="L4232">
        <v>137.93799999999999</v>
      </c>
      <c r="M4232">
        <v>-0.99982249999999995</v>
      </c>
      <c r="N4232">
        <v>0</v>
      </c>
      <c r="O4232">
        <v>1.685623E-2</v>
      </c>
      <c r="P4232">
        <v>-0.99011389999999999</v>
      </c>
      <c r="Q4232">
        <v>0.1223397</v>
      </c>
      <c r="R4232">
        <v>-6.8612610000000004E-2</v>
      </c>
      <c r="S4232">
        <v>-3.0442200000000001</v>
      </c>
      <c r="T4232">
        <v>-0.2172307</v>
      </c>
      <c r="U4232">
        <v>-0.1812897</v>
      </c>
      <c r="V4232">
        <v>-8.5420590000000005E-2</v>
      </c>
      <c r="W4232">
        <v>0.1305943</v>
      </c>
      <c r="X4232">
        <v>0.98774919999999999</v>
      </c>
      <c r="Y4232">
        <v>-7.6029929999999996E-2</v>
      </c>
      <c r="Z4232">
        <v>-3.9072509999999996E-3</v>
      </c>
      <c r="AA4232">
        <v>0.99709789999999998</v>
      </c>
      <c r="AB4232">
        <v>28</v>
      </c>
      <c r="AC4232">
        <v>-15.2769999999999</v>
      </c>
      <c r="AD4232">
        <v>-1.110253276915</v>
      </c>
      <c r="AE4232">
        <v>-0.93089999999997997</v>
      </c>
      <c r="AF4232">
        <v>-1.1820693215139599</v>
      </c>
      <c r="AG4232">
        <v>-1.110253276915</v>
      </c>
      <c r="AH4232">
        <v>15.179262655423701</v>
      </c>
      <c r="AI4232">
        <v>94.170739869711497</v>
      </c>
      <c r="AJ4232">
        <v>94.452862615557507</v>
      </c>
      <c r="AK4232">
        <v>15.265646562858301</v>
      </c>
      <c r="AL4232">
        <v>82.496064136215693</v>
      </c>
      <c r="AM4232">
        <v>94.942644085416703</v>
      </c>
      <c r="AN4232">
        <v>1.0000000152445301</v>
      </c>
    </row>
    <row r="4233" spans="1:40" x14ac:dyDescent="0.25">
      <c r="A4233" t="str">
        <f>"20190312151111528"</f>
        <v>20190312151111528</v>
      </c>
      <c r="B4233" t="str">
        <f>"1552374671525138"</f>
        <v>1552374671525138</v>
      </c>
      <c r="C4233" t="s">
        <v>40</v>
      </c>
      <c r="D4233">
        <v>4.9167920000000001</v>
      </c>
      <c r="E4233">
        <v>0.50717599999999996</v>
      </c>
      <c r="F4233" t="s">
        <v>79</v>
      </c>
      <c r="G4233">
        <v>-287.21289999999999</v>
      </c>
      <c r="H4233" s="1">
        <v>-6.3238889999999996E-6</v>
      </c>
      <c r="I4233">
        <v>137.05359999999999</v>
      </c>
      <c r="J4233">
        <v>-272.05369999999999</v>
      </c>
      <c r="K4233">
        <v>1.1102190000000001</v>
      </c>
      <c r="L4233">
        <v>137.94049999999999</v>
      </c>
      <c r="M4233">
        <v>-0.99982700000000002</v>
      </c>
      <c r="N4233">
        <v>0</v>
      </c>
      <c r="O4233">
        <v>1.6573299999999999E-2</v>
      </c>
      <c r="P4233">
        <v>-0.99012940000000005</v>
      </c>
      <c r="Q4233">
        <v>0.12231839999999999</v>
      </c>
      <c r="R4233">
        <v>-6.8424910000000005E-2</v>
      </c>
      <c r="S4233">
        <v>-3.0450439999999999</v>
      </c>
      <c r="T4233">
        <v>-0.22058420000000001</v>
      </c>
      <c r="U4233">
        <v>-0.17572019999999999</v>
      </c>
      <c r="V4233">
        <v>-8.4944399999999906E-2</v>
      </c>
      <c r="W4233">
        <v>0.13059289999999901</v>
      </c>
      <c r="X4233">
        <v>0.98779050000000002</v>
      </c>
      <c r="Y4233">
        <v>-7.3913179999999995E-2</v>
      </c>
      <c r="Z4233">
        <v>-3.86959E-3</v>
      </c>
      <c r="AA4233">
        <v>0.99725719999999995</v>
      </c>
      <c r="AB4233">
        <v>28</v>
      </c>
      <c r="AC4233">
        <v>-15.159199999999901</v>
      </c>
      <c r="AD4233">
        <v>-1.1102253238889901</v>
      </c>
      <c r="AE4233">
        <v>-0.88689999999999702</v>
      </c>
      <c r="AF4233">
        <v>-1.13197417367302</v>
      </c>
      <c r="AG4233">
        <v>-1.1102253238889901</v>
      </c>
      <c r="AH4233">
        <v>15.061905480640499</v>
      </c>
      <c r="AI4233">
        <v>94.203881726431902</v>
      </c>
      <c r="AJ4233">
        <v>94.297971790609196</v>
      </c>
      <c r="AK4233">
        <v>15.145129993084099</v>
      </c>
      <c r="AL4233">
        <v>82.496145413086595</v>
      </c>
      <c r="AM4233">
        <v>94.9150214282962</v>
      </c>
      <c r="AN4233">
        <v>1.0000000642560001</v>
      </c>
    </row>
    <row r="4234" spans="1:40" x14ac:dyDescent="0.25">
      <c r="A4234" t="str">
        <f>"20190312151111548"</f>
        <v>20190312151111548</v>
      </c>
      <c r="B4234" t="str">
        <f>"1552374671545634"</f>
        <v>1552374671545634</v>
      </c>
      <c r="C4234" t="s">
        <v>40</v>
      </c>
      <c r="D4234">
        <v>4.9432179999999999</v>
      </c>
      <c r="E4234">
        <v>0.50760550000000004</v>
      </c>
      <c r="F4234" t="s">
        <v>79</v>
      </c>
      <c r="G4234">
        <v>-287.30970000000002</v>
      </c>
      <c r="H4234" s="1">
        <v>-6.3937299999999999E-6</v>
      </c>
      <c r="I4234">
        <v>137.08099999999999</v>
      </c>
      <c r="J4234">
        <v>-272.30840000000001</v>
      </c>
      <c r="K4234">
        <v>1.1101829999999999</v>
      </c>
      <c r="L4234">
        <v>137.9443</v>
      </c>
      <c r="M4234">
        <v>-0.99983350000000004</v>
      </c>
      <c r="N4234">
        <v>0</v>
      </c>
      <c r="O4234">
        <v>1.6174170000000002E-2</v>
      </c>
      <c r="P4234">
        <v>-0.99012469999999997</v>
      </c>
      <c r="Q4234">
        <v>0.1223945</v>
      </c>
      <c r="R4234">
        <v>-6.8357849999999998E-2</v>
      </c>
      <c r="S4234">
        <v>-3.0454409999999998</v>
      </c>
      <c r="T4234">
        <v>-0.22162589999999999</v>
      </c>
      <c r="U4234">
        <v>-0.17158509999999999</v>
      </c>
      <c r="V4234">
        <v>-8.4470790000000004E-2</v>
      </c>
      <c r="W4234">
        <v>0.1306969</v>
      </c>
      <c r="X4234">
        <v>0.98781730000000001</v>
      </c>
      <c r="Y4234">
        <v>-7.216127E-2</v>
      </c>
      <c r="Z4234">
        <v>-3.7948589999999998E-3</v>
      </c>
      <c r="AA4234">
        <v>0.99738570000000004</v>
      </c>
      <c r="AB4234">
        <v>28</v>
      </c>
      <c r="AC4234">
        <v>-15.001300000000001</v>
      </c>
      <c r="AD4234">
        <v>-1.11018939373</v>
      </c>
      <c r="AE4234">
        <v>-0.86329999999998097</v>
      </c>
      <c r="AF4234">
        <v>-1.0998255258951699</v>
      </c>
      <c r="AG4234">
        <v>-1.11018939373</v>
      </c>
      <c r="AH4234">
        <v>14.9040152273424</v>
      </c>
      <c r="AI4234">
        <v>94.248544282488695</v>
      </c>
      <c r="AJ4234">
        <v>94.220429724324802</v>
      </c>
      <c r="AK4234">
        <v>14.9857200886116</v>
      </c>
      <c r="AL4234">
        <v>82.490134700492504</v>
      </c>
      <c r="AM4234">
        <v>94.887618744312505</v>
      </c>
      <c r="AN4234">
        <v>1.0000000061060601</v>
      </c>
    </row>
    <row r="4235" spans="1:40" x14ac:dyDescent="0.25">
      <c r="A4235" t="str">
        <f>"20190312151111570"</f>
        <v>20190312151111570</v>
      </c>
      <c r="B4235" t="str">
        <f>"1552374671565154"</f>
        <v>1552374671565154</v>
      </c>
      <c r="C4235" t="s">
        <v>40</v>
      </c>
      <c r="D4235">
        <v>4.9030800000000001</v>
      </c>
      <c r="E4235">
        <v>0.50814029999999999</v>
      </c>
      <c r="F4235" t="s">
        <v>79</v>
      </c>
      <c r="G4235">
        <v>-287.45310000000001</v>
      </c>
      <c r="H4235" s="1">
        <v>-6.4924979999999996E-6</v>
      </c>
      <c r="I4235">
        <v>137.10820000000001</v>
      </c>
      <c r="J4235">
        <v>-272.58049999999997</v>
      </c>
      <c r="K4235">
        <v>1.1101479999999999</v>
      </c>
      <c r="L4235">
        <v>137.94829999999999</v>
      </c>
      <c r="M4235">
        <v>-0.99983949999999999</v>
      </c>
      <c r="N4235">
        <v>0</v>
      </c>
      <c r="O4235">
        <v>1.5788340000000001E-2</v>
      </c>
      <c r="P4235">
        <v>-0.99012750000000005</v>
      </c>
      <c r="Q4235">
        <v>0.1224667</v>
      </c>
      <c r="R4235">
        <v>-6.8188410000000005E-2</v>
      </c>
      <c r="S4235">
        <v>-3.0458980000000002</v>
      </c>
      <c r="T4235">
        <v>-0.22328190000000001</v>
      </c>
      <c r="U4235">
        <v>-0.16815189999999999</v>
      </c>
      <c r="V4235">
        <v>-8.3909139999999993E-2</v>
      </c>
      <c r="W4235">
        <v>0.1307962</v>
      </c>
      <c r="X4235">
        <v>0.98785199999999995</v>
      </c>
      <c r="Y4235">
        <v>-7.0648810000000006E-2</v>
      </c>
      <c r="Z4235">
        <v>-3.739133E-3</v>
      </c>
      <c r="AA4235">
        <v>0.9974942</v>
      </c>
      <c r="AB4235">
        <v>28</v>
      </c>
      <c r="AC4235">
        <v>-14.8726</v>
      </c>
      <c r="AD4235">
        <v>-1.110154492498</v>
      </c>
      <c r="AE4235">
        <v>-0.84009999999997798</v>
      </c>
      <c r="AF4235">
        <v>-1.06888074990218</v>
      </c>
      <c r="AG4235">
        <v>-1.110154492498</v>
      </c>
      <c r="AH4235">
        <v>14.7754184656332</v>
      </c>
      <c r="AI4235">
        <v>94.285700388262697</v>
      </c>
      <c r="AJ4235">
        <v>94.137673400316203</v>
      </c>
      <c r="AK4235">
        <v>14.855569322287799</v>
      </c>
      <c r="AL4235">
        <v>82.484395783657803</v>
      </c>
      <c r="AM4235">
        <v>94.855106888086098</v>
      </c>
      <c r="AN4235">
        <v>0.99999998180698901</v>
      </c>
    </row>
    <row r="4236" spans="1:40" x14ac:dyDescent="0.25">
      <c r="A4236" t="str">
        <f>"20190312151111593"</f>
        <v>20190312151111593</v>
      </c>
      <c r="B4236" t="str">
        <f>"1552374671585653"</f>
        <v>1552374671585653</v>
      </c>
      <c r="C4236" t="s">
        <v>40</v>
      </c>
      <c r="D4236">
        <v>4.8836279999999999</v>
      </c>
      <c r="E4236">
        <v>0.50830699999999995</v>
      </c>
      <c r="F4236" t="s">
        <v>79</v>
      </c>
      <c r="G4236">
        <v>-287.65449999999998</v>
      </c>
      <c r="H4236" s="1">
        <v>-6.628418E-6</v>
      </c>
      <c r="I4236">
        <v>137.13820000000001</v>
      </c>
      <c r="J4236">
        <v>-272.87290000000002</v>
      </c>
      <c r="K4236">
        <v>1.110123</v>
      </c>
      <c r="L4236">
        <v>137.95249999999999</v>
      </c>
      <c r="M4236">
        <v>-0.99984519999999999</v>
      </c>
      <c r="N4236">
        <v>0</v>
      </c>
      <c r="O4236">
        <v>1.540766E-2</v>
      </c>
      <c r="P4236">
        <v>-0.99013099999999998</v>
      </c>
      <c r="Q4236">
        <v>0.12244670000000001</v>
      </c>
      <c r="R4236">
        <v>-6.817318E-2</v>
      </c>
      <c r="S4236">
        <v>-3.0463870000000002</v>
      </c>
      <c r="T4236">
        <v>-0.22435649999999999</v>
      </c>
      <c r="U4236">
        <v>-0.16371150000000001</v>
      </c>
      <c r="V4236">
        <v>-8.3509159999999999E-2</v>
      </c>
      <c r="W4236">
        <v>0.1308019</v>
      </c>
      <c r="X4236">
        <v>0.98788520000000002</v>
      </c>
      <c r="Y4236">
        <v>-6.8814310000000004E-2</v>
      </c>
      <c r="Z4236">
        <v>-3.6612329999999998E-3</v>
      </c>
      <c r="AA4236">
        <v>0.99762280000000003</v>
      </c>
      <c r="AB4236">
        <v>28</v>
      </c>
      <c r="AC4236">
        <v>-14.7815999999999</v>
      </c>
      <c r="AD4236">
        <v>-1.110129628418</v>
      </c>
      <c r="AE4236">
        <v>-0.81429999999997404</v>
      </c>
      <c r="AF4236">
        <v>-1.0361349576438601</v>
      </c>
      <c r="AG4236">
        <v>-1.110129628418</v>
      </c>
      <c r="AH4236">
        <v>14.684722236174499</v>
      </c>
      <c r="AI4236">
        <v>94.312518664217293</v>
      </c>
      <c r="AJ4236">
        <v>94.0360269416297</v>
      </c>
      <c r="AK4236">
        <v>14.763029180894399</v>
      </c>
      <c r="AL4236">
        <v>82.4840668273186</v>
      </c>
      <c r="AM4236">
        <v>94.831911673424102</v>
      </c>
      <c r="AN4236">
        <v>1.00000004261327</v>
      </c>
    </row>
    <row r="4237" spans="1:40" x14ac:dyDescent="0.25">
      <c r="A4237" t="str">
        <f>"20190312151111614"</f>
        <v>20190312151111614</v>
      </c>
      <c r="B4237" t="str">
        <f>"1552374671605173"</f>
        <v>1552374671605173</v>
      </c>
      <c r="C4237" t="s">
        <v>40</v>
      </c>
      <c r="D4237">
        <v>4.909713</v>
      </c>
      <c r="E4237">
        <v>0.50840339999999995</v>
      </c>
      <c r="F4237" t="s">
        <v>79</v>
      </c>
      <c r="G4237">
        <v>-287.80180000000001</v>
      </c>
      <c r="H4237" s="1">
        <v>-6.7266750000000003E-6</v>
      </c>
      <c r="I4237">
        <v>137.15700000000001</v>
      </c>
      <c r="J4237">
        <v>-273.14980000000003</v>
      </c>
      <c r="K4237">
        <v>1.110115</v>
      </c>
      <c r="L4237">
        <v>137.9564</v>
      </c>
      <c r="M4237">
        <v>-0.99985020000000002</v>
      </c>
      <c r="N4237">
        <v>0</v>
      </c>
      <c r="O4237">
        <v>1.506951E-2</v>
      </c>
      <c r="P4237">
        <v>-0.99011300000000002</v>
      </c>
      <c r="Q4237">
        <v>0.1226691</v>
      </c>
      <c r="R4237">
        <v>-6.8037029999999998E-2</v>
      </c>
      <c r="S4237">
        <v>-3.0467529999999998</v>
      </c>
      <c r="T4237">
        <v>-0.2265596</v>
      </c>
      <c r="U4237">
        <v>-0.16233829999999999</v>
      </c>
      <c r="V4237">
        <v>-8.3033499999999996E-2</v>
      </c>
      <c r="W4237">
        <v>0.13104579999999999</v>
      </c>
      <c r="X4237">
        <v>0.98789289999999996</v>
      </c>
      <c r="Y4237">
        <v>-6.8020780000000003E-2</v>
      </c>
      <c r="Z4237">
        <v>-3.642148E-3</v>
      </c>
      <c r="AA4237">
        <v>0.99767729999999999</v>
      </c>
      <c r="AB4237">
        <v>28</v>
      </c>
      <c r="AC4237">
        <v>-14.6519999999999</v>
      </c>
      <c r="AD4237">
        <v>-1.1101217266750001</v>
      </c>
      <c r="AE4237">
        <v>-0.79939999999999101</v>
      </c>
      <c r="AF4237">
        <v>-1.0143103473461501</v>
      </c>
      <c r="AG4237">
        <v>-1.1101217266750001</v>
      </c>
      <c r="AH4237">
        <v>14.554984651827001</v>
      </c>
      <c r="AI4237">
        <v>94.351044293165501</v>
      </c>
      <c r="AJ4237">
        <v>93.986393533187695</v>
      </c>
      <c r="AK4237">
        <v>14.6324561828727</v>
      </c>
      <c r="AL4237">
        <v>82.469970528497996</v>
      </c>
      <c r="AM4237">
        <v>94.804481505960595</v>
      </c>
      <c r="AN4237">
        <v>0.99999997284514897</v>
      </c>
    </row>
    <row r="4238" spans="1:40" x14ac:dyDescent="0.25">
      <c r="A4238" t="str">
        <f>"20190312151111639"</f>
        <v>20190312151111639</v>
      </c>
      <c r="B4238" t="str">
        <f>"1552374671635425"</f>
        <v>1552374671635425</v>
      </c>
      <c r="C4238" t="s">
        <v>40</v>
      </c>
      <c r="D4238">
        <v>4.8432510000000004</v>
      </c>
      <c r="E4238">
        <v>0.50849109999999997</v>
      </c>
      <c r="F4238" t="s">
        <v>79</v>
      </c>
      <c r="G4238">
        <v>-287.92759999999998</v>
      </c>
      <c r="H4238" s="1">
        <v>-6.8106709999999997E-6</v>
      </c>
      <c r="I4238">
        <v>137.17320000000001</v>
      </c>
      <c r="J4238">
        <v>-273.44889999999998</v>
      </c>
      <c r="K4238">
        <v>1.1101080000000001</v>
      </c>
      <c r="L4238">
        <v>137.9605</v>
      </c>
      <c r="M4238">
        <v>-0.9998553</v>
      </c>
      <c r="N4238">
        <v>0</v>
      </c>
      <c r="O4238">
        <v>1.471802E-2</v>
      </c>
      <c r="P4238">
        <v>-0.99009480000000005</v>
      </c>
      <c r="Q4238">
        <v>0.1231168</v>
      </c>
      <c r="R4238">
        <v>-6.7491699999999905E-2</v>
      </c>
      <c r="S4238">
        <v>-3.0472109999999999</v>
      </c>
      <c r="T4238">
        <v>-0.22890940000000001</v>
      </c>
      <c r="U4238">
        <v>-0.16148379999999901</v>
      </c>
      <c r="V4238">
        <v>-8.2136150000000005E-2</v>
      </c>
      <c r="W4238">
        <v>0.13151379999999999</v>
      </c>
      <c r="X4238">
        <v>0.9879057</v>
      </c>
      <c r="Y4238">
        <v>-6.7381189999999994E-2</v>
      </c>
      <c r="Z4238">
        <v>-3.6289680000000002E-3</v>
      </c>
      <c r="AA4238">
        <v>0.99772070000000002</v>
      </c>
      <c r="AB4238">
        <v>28</v>
      </c>
      <c r="AC4238">
        <v>-14.4787</v>
      </c>
      <c r="AD4238">
        <v>-1.1101148106709999</v>
      </c>
      <c r="AE4238">
        <v>-0.78729999999998701</v>
      </c>
      <c r="AF4238">
        <v>-0.994491247678714</v>
      </c>
      <c r="AG4238">
        <v>-1.1101148106709999</v>
      </c>
      <c r="AH4238">
        <v>14.3812507753651</v>
      </c>
      <c r="AI4238">
        <v>94.403537104916097</v>
      </c>
      <c r="AJ4238">
        <v>93.955816200828394</v>
      </c>
      <c r="AK4238">
        <v>14.458275886097899</v>
      </c>
      <c r="AL4238">
        <v>82.442921829214896</v>
      </c>
      <c r="AM4238">
        <v>94.752736921497103</v>
      </c>
      <c r="AN4238">
        <v>0.99999994940987402</v>
      </c>
    </row>
    <row r="4239" spans="1:40" x14ac:dyDescent="0.25">
      <c r="A4239" t="str">
        <f>"20190312151111660"</f>
        <v>20190312151111660</v>
      </c>
      <c r="B4239" t="str">
        <f>"1552374671654946"</f>
        <v>1552374671654946</v>
      </c>
      <c r="C4239" t="s">
        <v>40</v>
      </c>
      <c r="D4239">
        <v>4.8718079999999997</v>
      </c>
      <c r="E4239">
        <v>0.5085558</v>
      </c>
      <c r="F4239" t="s">
        <v>79</v>
      </c>
      <c r="G4239">
        <v>-288.04680000000002</v>
      </c>
      <c r="H4239" s="1">
        <v>-6.8930190000000002E-6</v>
      </c>
      <c r="I4239">
        <v>137.19649999999999</v>
      </c>
      <c r="J4239">
        <v>-273.73180000000002</v>
      </c>
      <c r="K4239">
        <v>1.110104</v>
      </c>
      <c r="L4239">
        <v>137.96430000000001</v>
      </c>
      <c r="M4239">
        <v>-0.99985990000000002</v>
      </c>
      <c r="N4239">
        <v>0</v>
      </c>
      <c r="O4239">
        <v>1.439031E-2</v>
      </c>
      <c r="P4239">
        <v>-0.99005089999999996</v>
      </c>
      <c r="Q4239">
        <v>0.1236329</v>
      </c>
      <c r="R4239">
        <v>-6.7187919999999998E-2</v>
      </c>
      <c r="S4239">
        <v>-3.047974</v>
      </c>
      <c r="T4239">
        <v>-0.2317854</v>
      </c>
      <c r="U4239">
        <v>-0.1595154</v>
      </c>
      <c r="V4239">
        <v>-8.1507090000000004E-2</v>
      </c>
      <c r="W4239">
        <v>0.132046</v>
      </c>
      <c r="X4239">
        <v>0.98788679999999995</v>
      </c>
      <c r="Y4239">
        <v>-6.6396469999999999E-2</v>
      </c>
      <c r="Z4239">
        <v>-3.6113429999999999E-3</v>
      </c>
      <c r="AA4239">
        <v>0.99778679999999997</v>
      </c>
      <c r="AB4239">
        <v>28</v>
      </c>
      <c r="AC4239">
        <v>-14.3149999999999</v>
      </c>
      <c r="AD4239">
        <v>-1.110110893019</v>
      </c>
      <c r="AE4239">
        <v>-0.76780000000002202</v>
      </c>
      <c r="AF4239">
        <v>-0.96792110859325198</v>
      </c>
      <c r="AG4239">
        <v>-1.110110893019</v>
      </c>
      <c r="AH4239">
        <v>14.217213924276599</v>
      </c>
      <c r="AI4239">
        <v>94.454450236227203</v>
      </c>
      <c r="AJ4239">
        <v>93.894739833697798</v>
      </c>
      <c r="AK4239">
        <v>14.2932987527688</v>
      </c>
      <c r="AL4239">
        <v>82.412160679743394</v>
      </c>
      <c r="AM4239">
        <v>94.716591584672699</v>
      </c>
      <c r="AN4239">
        <v>0.999999940725252</v>
      </c>
    </row>
    <row r="4240" spans="1:40" x14ac:dyDescent="0.25">
      <c r="A4240" t="str">
        <f>"20190312151111683"</f>
        <v>20190312151111683</v>
      </c>
      <c r="B4240" t="str">
        <f>"1552374671675442"</f>
        <v>1552374671675442</v>
      </c>
      <c r="C4240" t="s">
        <v>40</v>
      </c>
      <c r="D4240">
        <v>4.8580969999999999</v>
      </c>
      <c r="E4240">
        <v>0.50861679999999998</v>
      </c>
      <c r="F4240" t="s">
        <v>79</v>
      </c>
      <c r="G4240">
        <v>-288.2561</v>
      </c>
      <c r="H4240" s="1">
        <v>-7.0283649999999996E-6</v>
      </c>
      <c r="I4240">
        <v>137.21100000000001</v>
      </c>
      <c r="J4240">
        <v>-274.02069999999998</v>
      </c>
      <c r="K4240">
        <v>1.1101000000000001</v>
      </c>
      <c r="L4240">
        <v>137.96809999999999</v>
      </c>
      <c r="M4240">
        <v>-0.99986450000000004</v>
      </c>
      <c r="N4240">
        <v>0</v>
      </c>
      <c r="O4240">
        <v>1.4056010000000001E-2</v>
      </c>
      <c r="P4240">
        <v>-0.9900852</v>
      </c>
      <c r="Q4240">
        <v>0.12344620000000001</v>
      </c>
      <c r="R4240">
        <v>-6.7027989999999996E-2</v>
      </c>
      <c r="S4240">
        <v>-3.0485229999999999</v>
      </c>
      <c r="T4240">
        <v>-0.23300270000000001</v>
      </c>
      <c r="U4240">
        <v>-0.15811159999999999</v>
      </c>
      <c r="V4240">
        <v>-8.1015740000000003E-2</v>
      </c>
      <c r="W4240">
        <v>0.13187489999999999</v>
      </c>
      <c r="X4240">
        <v>0.98795010000000005</v>
      </c>
      <c r="Y4240">
        <v>-6.5596169999999995E-2</v>
      </c>
      <c r="Z4240">
        <v>-3.573625E-3</v>
      </c>
      <c r="AA4240">
        <v>0.9978399</v>
      </c>
      <c r="AB4240">
        <v>28</v>
      </c>
      <c r="AC4240">
        <v>-14.2354</v>
      </c>
      <c r="AD4240">
        <v>-1.1101070283650001</v>
      </c>
      <c r="AE4240">
        <v>-0.75709999999997901</v>
      </c>
      <c r="AF4240">
        <v>-0.95135638533515998</v>
      </c>
      <c r="AG4240">
        <v>-1.1101070283650001</v>
      </c>
      <c r="AH4240">
        <v>14.137619968839401</v>
      </c>
      <c r="AI4240">
        <v>94.479648196665195</v>
      </c>
      <c r="AJ4240">
        <v>93.849774688353406</v>
      </c>
      <c r="AK4240">
        <v>14.213012170882999</v>
      </c>
      <c r="AL4240">
        <v>82.4220506957721</v>
      </c>
      <c r="AM4240">
        <v>94.687986587047902</v>
      </c>
      <c r="AN4240">
        <v>0.99999996973388305</v>
      </c>
    </row>
    <row r="4241" spans="1:40" x14ac:dyDescent="0.25">
      <c r="A4241" t="str">
        <f>"20190312151111704"</f>
        <v>20190312151111704</v>
      </c>
      <c r="B4241" t="str">
        <f>"1552374671695179"</f>
        <v>1552374671695179</v>
      </c>
      <c r="C4241" t="s">
        <v>40</v>
      </c>
      <c r="D4241">
        <v>4.8291659999999998</v>
      </c>
      <c r="E4241">
        <v>0.5086754</v>
      </c>
      <c r="F4241" t="s">
        <v>79</v>
      </c>
      <c r="G4241">
        <v>-288.36279999999999</v>
      </c>
      <c r="H4241" s="1">
        <v>-7.1015490000000004E-6</v>
      </c>
      <c r="I4241">
        <v>137.2304</v>
      </c>
      <c r="J4241">
        <v>-274.29880000000003</v>
      </c>
      <c r="K4241">
        <v>1.1100950000000001</v>
      </c>
      <c r="L4241">
        <v>137.9717</v>
      </c>
      <c r="M4241">
        <v>-0.9998688</v>
      </c>
      <c r="N4241">
        <v>0</v>
      </c>
      <c r="O4241">
        <v>1.3732370000000001E-2</v>
      </c>
      <c r="P4241">
        <v>-0.99017049999999995</v>
      </c>
      <c r="Q4241">
        <v>0.1231051</v>
      </c>
      <c r="R4241">
        <v>-6.6388669999999997E-2</v>
      </c>
      <c r="S4241">
        <v>-3.048889</v>
      </c>
      <c r="T4241">
        <v>-0.23598959999999999</v>
      </c>
      <c r="U4241">
        <v>-0.15682979999999899</v>
      </c>
      <c r="V4241">
        <v>-8.0057240000000002E-2</v>
      </c>
      <c r="W4241">
        <v>0.13154779999999999</v>
      </c>
      <c r="X4241">
        <v>0.9880719</v>
      </c>
      <c r="Y4241">
        <v>-6.4845890000000003E-2</v>
      </c>
      <c r="Z4241">
        <v>-3.5649319999999998E-3</v>
      </c>
      <c r="AA4241">
        <v>0.99788889999999997</v>
      </c>
      <c r="AB4241">
        <v>29</v>
      </c>
      <c r="AC4241">
        <v>-14.063999999999901</v>
      </c>
      <c r="AD4241">
        <v>-1.110102101549</v>
      </c>
      <c r="AE4241">
        <v>-0.74129999999999496</v>
      </c>
      <c r="AF4241">
        <v>-0.92859985835963099</v>
      </c>
      <c r="AG4241">
        <v>-1.110102101549</v>
      </c>
      <c r="AH4241">
        <v>13.965724158264999</v>
      </c>
      <c r="AI4241">
        <v>94.534777860110296</v>
      </c>
      <c r="AJ4241">
        <v>93.804074281276996</v>
      </c>
      <c r="AK4241">
        <v>14.040515504694101</v>
      </c>
      <c r="AL4241">
        <v>82.440957331220602</v>
      </c>
      <c r="AM4241">
        <v>94.632197121276903</v>
      </c>
      <c r="AN4241">
        <v>1.0000000324654299</v>
      </c>
    </row>
    <row r="4242" spans="1:40" x14ac:dyDescent="0.25">
      <c r="A4242" t="str">
        <f>"20190312151111727"</f>
        <v>20190312151111727</v>
      </c>
      <c r="B4242" t="str">
        <f>"1552374671715675"</f>
        <v>1552374671715675</v>
      </c>
      <c r="C4242" t="s">
        <v>40</v>
      </c>
      <c r="D4242">
        <v>4.8337209999999997</v>
      </c>
      <c r="E4242">
        <v>0.50869799999999998</v>
      </c>
      <c r="F4242" t="s">
        <v>79</v>
      </c>
      <c r="G4242">
        <v>-288.43939999999998</v>
      </c>
      <c r="H4242" s="1">
        <v>-7.1572489999999997E-6</v>
      </c>
      <c r="I4242">
        <v>137.25319999999999</v>
      </c>
      <c r="J4242">
        <v>-274.58049999999997</v>
      </c>
      <c r="K4242">
        <v>1.110096</v>
      </c>
      <c r="L4242">
        <v>137.9752</v>
      </c>
      <c r="M4242">
        <v>-0.99987329999999996</v>
      </c>
      <c r="N4242">
        <v>0</v>
      </c>
      <c r="O4242">
        <v>1.34021E-2</v>
      </c>
      <c r="P4242">
        <v>-0.99020280000000005</v>
      </c>
      <c r="Q4242">
        <v>0.123140899999999</v>
      </c>
      <c r="R4242">
        <v>-6.5838809999999998E-2</v>
      </c>
      <c r="S4242">
        <v>-3.0491640000000002</v>
      </c>
      <c r="T4242">
        <v>-0.23937320000000001</v>
      </c>
      <c r="U4242">
        <v>-0.15492249999999999</v>
      </c>
      <c r="V4242">
        <v>-7.9181760000000004E-2</v>
      </c>
      <c r="W4242">
        <v>0.13159689999999999</v>
      </c>
      <c r="X4242">
        <v>0.98813589999999996</v>
      </c>
      <c r="Y4242">
        <v>-6.3886280000000004E-2</v>
      </c>
      <c r="Z4242">
        <v>-3.5521630000000001E-3</v>
      </c>
      <c r="AA4242">
        <v>0.99795089999999997</v>
      </c>
      <c r="AB4242">
        <v>29</v>
      </c>
      <c r="AC4242">
        <v>-13.8589</v>
      </c>
      <c r="AD4242">
        <v>-1.1101031572490001</v>
      </c>
      <c r="AE4242">
        <v>-0.72200000000000797</v>
      </c>
      <c r="AF4242">
        <v>-0.90190931442919697</v>
      </c>
      <c r="AG4242">
        <v>-1.1101031572490001</v>
      </c>
      <c r="AH4242">
        <v>13.759932792923999</v>
      </c>
      <c r="AI4242">
        <v>94.602599162978706</v>
      </c>
      <c r="AJ4242">
        <v>93.750147897470598</v>
      </c>
      <c r="AK4242">
        <v>13.8340709806251</v>
      </c>
      <c r="AL4242">
        <v>82.438119388619199</v>
      </c>
      <c r="AM4242">
        <v>94.581462288409995</v>
      </c>
      <c r="AN4242">
        <v>1.0000000260375499</v>
      </c>
    </row>
    <row r="4243" spans="1:40" x14ac:dyDescent="0.25">
      <c r="A4243" t="str">
        <f>"20190312151111748"</f>
        <v>20190312151111748</v>
      </c>
      <c r="B4243" t="str">
        <f>"1552374671744956"</f>
        <v>1552374671744956</v>
      </c>
      <c r="C4243" t="s">
        <v>40</v>
      </c>
      <c r="D4243">
        <v>4.8400319999999999</v>
      </c>
      <c r="E4243">
        <v>0.50874830000000004</v>
      </c>
      <c r="F4243" t="s">
        <v>79</v>
      </c>
      <c r="G4243">
        <v>-288.6336</v>
      </c>
      <c r="H4243" s="1">
        <v>-7.2831910000000004E-6</v>
      </c>
      <c r="I4243">
        <v>137.26769999999999</v>
      </c>
      <c r="J4243">
        <v>-274.85680000000002</v>
      </c>
      <c r="K4243">
        <v>1.1100969999999999</v>
      </c>
      <c r="L4243">
        <v>137.9786</v>
      </c>
      <c r="M4243">
        <v>-0.99987740000000003</v>
      </c>
      <c r="N4243">
        <v>0</v>
      </c>
      <c r="O4243">
        <v>1.307636E-2</v>
      </c>
      <c r="P4243">
        <v>-0.99022949999999998</v>
      </c>
      <c r="Q4243">
        <v>0.1228733</v>
      </c>
      <c r="R4243">
        <v>-6.5938140000000006E-2</v>
      </c>
      <c r="S4243">
        <v>-3.0495000000000001</v>
      </c>
      <c r="T4243">
        <v>-0.24089099999999999</v>
      </c>
      <c r="U4243">
        <v>-0.15351870000000001</v>
      </c>
      <c r="V4243">
        <v>-7.8959230000000005E-2</v>
      </c>
      <c r="W4243">
        <v>0.13134119999999999</v>
      </c>
      <c r="X4243">
        <v>0.9881877</v>
      </c>
      <c r="Y4243">
        <v>-6.309787E-2</v>
      </c>
      <c r="Z4243">
        <v>-3.517516E-3</v>
      </c>
      <c r="AA4243">
        <v>0.99800120000000003</v>
      </c>
      <c r="AB4243">
        <v>29</v>
      </c>
      <c r="AC4243">
        <v>-13.7767999999999</v>
      </c>
      <c r="AD4243">
        <v>-1.110104283191</v>
      </c>
      <c r="AE4243">
        <v>-0.71090000000000897</v>
      </c>
      <c r="AF4243">
        <v>-0.88526373313400597</v>
      </c>
      <c r="AG4243">
        <v>-1.110104283191</v>
      </c>
      <c r="AH4243">
        <v>13.677754827848901</v>
      </c>
      <c r="AI4243">
        <v>94.630383191165606</v>
      </c>
      <c r="AJ4243">
        <v>93.7031828883553</v>
      </c>
      <c r="AK4243">
        <v>13.7512545074079</v>
      </c>
      <c r="AL4243">
        <v>82.452898002156999</v>
      </c>
      <c r="AM4243">
        <v>94.568402799341399</v>
      </c>
      <c r="AN4243">
        <v>1.0000000006254599</v>
      </c>
    </row>
    <row r="4244" spans="1:40" x14ac:dyDescent="0.25">
      <c r="A4244" t="str">
        <f>"20190312151111771"</f>
        <v>20190312151111771</v>
      </c>
      <c r="B4244" t="str">
        <f>"1552374671765451"</f>
        <v>1552374671765451</v>
      </c>
      <c r="C4244" t="s">
        <v>40</v>
      </c>
      <c r="D4244">
        <v>4.848236</v>
      </c>
      <c r="E4244">
        <v>0.50874330000000001</v>
      </c>
      <c r="F4244" t="s">
        <v>79</v>
      </c>
      <c r="G4244">
        <v>-288.75740000000002</v>
      </c>
      <c r="H4244" s="1">
        <v>-7.3640979999999999E-6</v>
      </c>
      <c r="I4244">
        <v>137.27869999999999</v>
      </c>
      <c r="J4244">
        <v>-275.1524</v>
      </c>
      <c r="K4244">
        <v>1.1100950000000001</v>
      </c>
      <c r="L4244">
        <v>137.9821</v>
      </c>
      <c r="M4244">
        <v>-0.99988189999999999</v>
      </c>
      <c r="N4244">
        <v>0</v>
      </c>
      <c r="O4244">
        <v>1.272589E-2</v>
      </c>
      <c r="P4244">
        <v>-0.99024049999999997</v>
      </c>
      <c r="Q4244">
        <v>0.1226662</v>
      </c>
      <c r="R4244">
        <v>-6.616002E-2</v>
      </c>
      <c r="S4244">
        <v>-3.0496219999999998</v>
      </c>
      <c r="T4244">
        <v>-0.2435435</v>
      </c>
      <c r="U4244">
        <v>-0.1535492</v>
      </c>
      <c r="V4244">
        <v>-7.8834080000000001E-2</v>
      </c>
      <c r="W4244">
        <v>0.13114500000000001</v>
      </c>
      <c r="X4244">
        <v>0.98822370000000004</v>
      </c>
      <c r="Y4244">
        <v>-6.2752989999999995E-2</v>
      </c>
      <c r="Z4244">
        <v>-3.5143119999999999E-3</v>
      </c>
      <c r="AA4244">
        <v>0.99802290000000005</v>
      </c>
      <c r="AB4244">
        <v>29</v>
      </c>
      <c r="AC4244">
        <v>-13.605</v>
      </c>
      <c r="AD4244">
        <v>-1.1101023640979999</v>
      </c>
      <c r="AE4244">
        <v>-0.70340000000001601</v>
      </c>
      <c r="AF4244">
        <v>-0.87070370357782301</v>
      </c>
      <c r="AG4244">
        <v>-1.1101023640979999</v>
      </c>
      <c r="AH4244">
        <v>13.5052711785385</v>
      </c>
      <c r="AI4244">
        <v>94.689325879440503</v>
      </c>
      <c r="AJ4244">
        <v>93.688833662311396</v>
      </c>
      <c r="AK4244">
        <v>13.578762896673</v>
      </c>
      <c r="AL4244">
        <v>82.464237151583603</v>
      </c>
      <c r="AM4244">
        <v>94.561027021946302</v>
      </c>
      <c r="AN4244">
        <v>0.99999995221806703</v>
      </c>
    </row>
    <row r="4245" spans="1:40" x14ac:dyDescent="0.25">
      <c r="A4245" t="str">
        <f>"20190312151111784"</f>
        <v>20190312151111784</v>
      </c>
      <c r="B4245" t="str">
        <f>"1552374671775211"</f>
        <v>1552374671775211</v>
      </c>
      <c r="C4245" t="s">
        <v>40</v>
      </c>
      <c r="D4245">
        <v>4.8534329999999999</v>
      </c>
      <c r="E4245">
        <v>0.50875720000000002</v>
      </c>
      <c r="F4245" t="s">
        <v>79</v>
      </c>
      <c r="G4245">
        <v>-288.93950000000001</v>
      </c>
      <c r="H4245" s="1">
        <v>-7.4794589999999996E-6</v>
      </c>
      <c r="I4245">
        <v>137.28440000000001</v>
      </c>
      <c r="J4245">
        <v>-275.32260000000002</v>
      </c>
      <c r="K4245">
        <v>1.1100950000000001</v>
      </c>
      <c r="L4245">
        <v>137.98400000000001</v>
      </c>
      <c r="M4245">
        <v>-0.99988449999999995</v>
      </c>
      <c r="N4245">
        <v>0</v>
      </c>
      <c r="O4245">
        <v>1.2523309999999999E-2</v>
      </c>
      <c r="P4245">
        <v>-0.99026579999999997</v>
      </c>
      <c r="Q4245">
        <v>0.12236569999999999</v>
      </c>
      <c r="R4245">
        <v>-6.6338670000000002E-2</v>
      </c>
      <c r="S4245">
        <v>-3.0496829999999999</v>
      </c>
      <c r="T4245">
        <v>-0.24555270000000001</v>
      </c>
      <c r="U4245">
        <v>-0.154327399999999</v>
      </c>
      <c r="V4245">
        <v>-7.8813140000000004E-2</v>
      </c>
      <c r="W4245">
        <v>0.130851</v>
      </c>
      <c r="X4245">
        <v>0.98826440000000004</v>
      </c>
      <c r="Y4245">
        <v>-6.280036E-2</v>
      </c>
      <c r="Z4245">
        <v>-3.5287449999999998E-3</v>
      </c>
      <c r="AA4245">
        <v>0.99801989999999996</v>
      </c>
      <c r="AB4245">
        <v>29</v>
      </c>
      <c r="AC4245">
        <v>-13.6168999999999</v>
      </c>
      <c r="AD4245">
        <v>-1.110102479459</v>
      </c>
      <c r="AE4245">
        <v>-0.699600000000003</v>
      </c>
      <c r="AF4245">
        <v>-0.86435064256903704</v>
      </c>
      <c r="AG4245">
        <v>-1.110102479459</v>
      </c>
      <c r="AH4245">
        <v>13.5174679539021</v>
      </c>
      <c r="AI4245">
        <v>94.6852715687657</v>
      </c>
      <c r="AJ4245">
        <v>93.658696489483106</v>
      </c>
      <c r="AK4245">
        <v>13.590488197006801</v>
      </c>
      <c r="AL4245">
        <v>82.481228967859195</v>
      </c>
      <c r="AM4245">
        <v>94.559633629653504</v>
      </c>
      <c r="AN4245">
        <v>1.0000000097724999</v>
      </c>
    </row>
    <row r="4246" spans="1:40" x14ac:dyDescent="0.25">
      <c r="A4246" t="str">
        <f>"20190312151111805"</f>
        <v>20190312151111805</v>
      </c>
      <c r="B4246" t="str">
        <f>"1552374671795714"</f>
        <v>1552374671795714</v>
      </c>
      <c r="C4246" t="s">
        <v>40</v>
      </c>
      <c r="D4246">
        <v>4.85168</v>
      </c>
      <c r="E4246">
        <v>0.50874010000000003</v>
      </c>
      <c r="F4246" t="s">
        <v>79</v>
      </c>
      <c r="G4246">
        <v>-289.00119999999998</v>
      </c>
      <c r="H4246" s="1">
        <v>-7.5200269999999997E-6</v>
      </c>
      <c r="I4246">
        <v>137.29050000000001</v>
      </c>
      <c r="J4246">
        <v>-275.5881</v>
      </c>
      <c r="K4246">
        <v>1.1100950000000001</v>
      </c>
      <c r="L4246">
        <v>137.98699999999999</v>
      </c>
      <c r="M4246">
        <v>-0.9998882</v>
      </c>
      <c r="N4246">
        <v>0</v>
      </c>
      <c r="O4246">
        <v>1.220747E-2</v>
      </c>
      <c r="P4246">
        <v>-0.99026230000000004</v>
      </c>
      <c r="Q4246">
        <v>0.1221438</v>
      </c>
      <c r="R4246">
        <v>-6.6794279999999998E-2</v>
      </c>
      <c r="S4246">
        <v>-3.0497130000000001</v>
      </c>
      <c r="T4246">
        <v>-0.2475029</v>
      </c>
      <c r="U4246">
        <v>-0.15461730000000001</v>
      </c>
      <c r="V4246">
        <v>-7.8956280000000004E-2</v>
      </c>
      <c r="W4246">
        <v>0.1306378</v>
      </c>
      <c r="X4246">
        <v>0.98828119999999997</v>
      </c>
      <c r="Y4246">
        <v>-6.2577149999999998E-2</v>
      </c>
      <c r="Z4246">
        <v>-3.5220220000000001E-3</v>
      </c>
      <c r="AA4246">
        <v>0.99803390000000003</v>
      </c>
      <c r="AB4246">
        <v>29</v>
      </c>
      <c r="AC4246">
        <v>-13.413099999999901</v>
      </c>
      <c r="AD4246">
        <v>-1.1101025200270001</v>
      </c>
      <c r="AE4246">
        <v>-0.69649999999998602</v>
      </c>
      <c r="AF4246">
        <v>-0.85435790949620705</v>
      </c>
      <c r="AG4246">
        <v>-1.1101025200270001</v>
      </c>
      <c r="AH4246">
        <v>13.312655934930399</v>
      </c>
      <c r="AI4246">
        <v>94.756954784808599</v>
      </c>
      <c r="AJ4246">
        <v>93.671999396046701</v>
      </c>
      <c r="AK4246">
        <v>13.3861519147337</v>
      </c>
      <c r="AL4246">
        <v>82.493550341738697</v>
      </c>
      <c r="AM4246">
        <v>94.567802475915201</v>
      </c>
      <c r="AN4246">
        <v>1.0000000296068501</v>
      </c>
    </row>
    <row r="4247" spans="1:40" x14ac:dyDescent="0.25">
      <c r="A4247" t="str">
        <f>"20190312151111827"</f>
        <v>20190312151111827</v>
      </c>
      <c r="B4247" t="str">
        <f>"1552374671824988"</f>
        <v>1552374671824988</v>
      </c>
      <c r="C4247" t="s">
        <v>40</v>
      </c>
      <c r="D4247">
        <v>4.8691579999999997</v>
      </c>
      <c r="E4247">
        <v>0.50874759999999997</v>
      </c>
      <c r="F4247" t="s">
        <v>79</v>
      </c>
      <c r="G4247">
        <v>-289.15989999999999</v>
      </c>
      <c r="H4247" s="1">
        <v>-7.6190990000000002E-6</v>
      </c>
      <c r="I4247">
        <v>137.29140000000001</v>
      </c>
      <c r="J4247">
        <v>-275.88170000000002</v>
      </c>
      <c r="K4247">
        <v>1.1100939999999999</v>
      </c>
      <c r="L4247">
        <v>137.99019999999999</v>
      </c>
      <c r="M4247">
        <v>-0.99989240000000001</v>
      </c>
      <c r="N4247">
        <v>0</v>
      </c>
      <c r="O4247">
        <v>1.185867E-2</v>
      </c>
      <c r="P4247">
        <v>-0.99014829999999998</v>
      </c>
      <c r="Q4247">
        <v>0.12221170000000001</v>
      </c>
      <c r="R4247">
        <v>-6.8344119999999994E-2</v>
      </c>
      <c r="S4247">
        <v>-3.0497130000000001</v>
      </c>
      <c r="T4247">
        <v>-0.24945210000000001</v>
      </c>
      <c r="U4247">
        <v>-0.15631099999999901</v>
      </c>
      <c r="V4247">
        <v>-8.0160399999999896E-2</v>
      </c>
      <c r="W4247">
        <v>0.130713</v>
      </c>
      <c r="X4247">
        <v>0.98817429999999995</v>
      </c>
      <c r="Y4247">
        <v>-6.2778479999999998E-2</v>
      </c>
      <c r="Z4247">
        <v>-3.529365E-3</v>
      </c>
      <c r="AA4247">
        <v>0.99802120000000005</v>
      </c>
      <c r="AB4247">
        <v>29</v>
      </c>
      <c r="AC4247">
        <v>-13.278199999999901</v>
      </c>
      <c r="AD4247">
        <v>-1.1101016190989901</v>
      </c>
      <c r="AE4247">
        <v>-0.698799999999977</v>
      </c>
      <c r="AF4247">
        <v>-0.85029180908922997</v>
      </c>
      <c r="AG4247">
        <v>-1.1101016190989901</v>
      </c>
      <c r="AH4247">
        <v>13.177131728876001</v>
      </c>
      <c r="AI4247">
        <v>94.805539537663606</v>
      </c>
      <c r="AJ4247">
        <v>93.692054025792103</v>
      </c>
      <c r="AK4247">
        <v>13.2511177779643</v>
      </c>
      <c r="AL4247">
        <v>82.489204305807405</v>
      </c>
      <c r="AM4247">
        <v>94.637661510326794</v>
      </c>
      <c r="AN4247">
        <v>1.00000001263882</v>
      </c>
    </row>
    <row r="4248" spans="1:40" x14ac:dyDescent="0.25">
      <c r="A4248" t="str">
        <f>"20190312151111850"</f>
        <v>20190312151111850</v>
      </c>
      <c r="B4248" t="str">
        <f>"1552374671845483"</f>
        <v>1552374671845483</v>
      </c>
      <c r="C4248" t="s">
        <v>40</v>
      </c>
      <c r="D4248">
        <v>5.0857049999999999</v>
      </c>
      <c r="E4248">
        <v>0.48467310000000002</v>
      </c>
      <c r="F4248" t="s">
        <v>79</v>
      </c>
      <c r="G4248">
        <v>-289.36939999999998</v>
      </c>
      <c r="H4248" s="1">
        <v>-7.7449389999999993E-6</v>
      </c>
      <c r="I4248">
        <v>137.27809999999999</v>
      </c>
      <c r="J4248">
        <v>-276.17329999999998</v>
      </c>
      <c r="K4248">
        <v>1.1100989999999999</v>
      </c>
      <c r="L4248">
        <v>137.9933</v>
      </c>
      <c r="M4248">
        <v>-0.99989629999999996</v>
      </c>
      <c r="N4248">
        <v>0</v>
      </c>
      <c r="O4248">
        <v>1.151405E-2</v>
      </c>
      <c r="P4248">
        <v>-0.99010750000000003</v>
      </c>
      <c r="Q4248">
        <v>0.1218521</v>
      </c>
      <c r="R4248">
        <v>-6.9564260000000003E-2</v>
      </c>
      <c r="S4248">
        <v>-3.0496829999999999</v>
      </c>
      <c r="T4248">
        <v>-0.25100149999999999</v>
      </c>
      <c r="U4248">
        <v>-0.16101070000000001</v>
      </c>
      <c r="V4248">
        <v>-8.1039159999999999E-2</v>
      </c>
      <c r="W4248">
        <v>0.1303617</v>
      </c>
      <c r="X4248">
        <v>0.98814900000000006</v>
      </c>
      <c r="Y4248">
        <v>-6.3962909999999998E-2</v>
      </c>
      <c r="Z4248">
        <v>-3.5714340000000001E-3</v>
      </c>
      <c r="AA4248">
        <v>0.99794590000000005</v>
      </c>
      <c r="AB4248">
        <v>29</v>
      </c>
      <c r="AC4248">
        <v>-13.196099999999999</v>
      </c>
      <c r="AD4248">
        <v>-1.1101067449390001</v>
      </c>
      <c r="AE4248">
        <v>-0.71520000000000905</v>
      </c>
      <c r="AF4248">
        <v>-0.86102336277310398</v>
      </c>
      <c r="AG4248">
        <v>-1.1101067449390001</v>
      </c>
      <c r="AH4248">
        <v>13.094593320642501</v>
      </c>
      <c r="AI4248">
        <v>94.835326245742394</v>
      </c>
      <c r="AJ4248">
        <v>93.762017546929101</v>
      </c>
      <c r="AK4248">
        <v>13.1697407889987</v>
      </c>
      <c r="AL4248">
        <v>82.509505797860697</v>
      </c>
      <c r="AM4248">
        <v>94.688396058793799</v>
      </c>
      <c r="AN4248">
        <v>0.99999998224069697</v>
      </c>
    </row>
    <row r="4249" spans="1:40" x14ac:dyDescent="0.25">
      <c r="A4249" t="str">
        <f>"20190312151111871"</f>
        <v>20190312151111871</v>
      </c>
      <c r="B4249" t="str">
        <f>"1552374671865003"</f>
        <v>1552374671865003</v>
      </c>
      <c r="C4249" t="s">
        <v>40</v>
      </c>
      <c r="D4249">
        <v>4.8222239999999896</v>
      </c>
      <c r="E4249">
        <v>0.43024050000000003</v>
      </c>
      <c r="F4249" t="s">
        <v>79</v>
      </c>
      <c r="G4249">
        <v>-294.57979999999998</v>
      </c>
      <c r="H4249" s="1">
        <v>-7.2042049999999898E-6</v>
      </c>
      <c r="I4249">
        <v>135.84549999999999</v>
      </c>
      <c r="J4249">
        <v>-276.45119999999997</v>
      </c>
      <c r="K4249">
        <v>1.110098</v>
      </c>
      <c r="L4249">
        <v>137.99619999999999</v>
      </c>
      <c r="M4249">
        <v>-0.99989989999999995</v>
      </c>
      <c r="N4249">
        <v>0</v>
      </c>
      <c r="O4249">
        <v>1.118834E-2</v>
      </c>
      <c r="P4249">
        <v>-0.9899772</v>
      </c>
      <c r="Q4249">
        <v>0.1215796</v>
      </c>
      <c r="R4249">
        <v>-7.1861480000000005E-2</v>
      </c>
      <c r="S4249">
        <v>-3.0276179999999999</v>
      </c>
      <c r="T4249">
        <v>-0.1825975</v>
      </c>
      <c r="U4249">
        <v>-0.35328670000000001</v>
      </c>
      <c r="V4249">
        <v>-8.3012440000000007E-2</v>
      </c>
      <c r="W4249">
        <v>0.1300946</v>
      </c>
      <c r="X4249">
        <v>0.98802040000000002</v>
      </c>
      <c r="Y4249">
        <v>-0.12676029999999999</v>
      </c>
      <c r="Z4249">
        <v>-4.4781630000000003E-3</v>
      </c>
      <c r="AA4249">
        <v>0.99192329999999995</v>
      </c>
      <c r="AB4249">
        <v>29</v>
      </c>
      <c r="AC4249">
        <v>-18.128599999999999</v>
      </c>
      <c r="AD4249">
        <v>-1.1101052042049999</v>
      </c>
      <c r="AE4249">
        <v>-2.1507000000000001</v>
      </c>
      <c r="AF4249">
        <v>-2.3447318429706701</v>
      </c>
      <c r="AG4249">
        <v>-1.1101052042049999</v>
      </c>
      <c r="AH4249">
        <v>18.0367074922674</v>
      </c>
      <c r="AI4249">
        <v>93.492626271442603</v>
      </c>
      <c r="AJ4249">
        <v>97.40678676604</v>
      </c>
      <c r="AK4249">
        <v>18.222319230588099</v>
      </c>
      <c r="AL4249">
        <v>82.524941007724394</v>
      </c>
      <c r="AM4249">
        <v>94.802651692340007</v>
      </c>
      <c r="AN4249">
        <v>0.99999999048003596</v>
      </c>
    </row>
    <row r="4250" spans="1:40" x14ac:dyDescent="0.25">
      <c r="A4250" t="str">
        <f>"20190312151111894"</f>
        <v>20190312151111894</v>
      </c>
      <c r="B4250" t="str">
        <f>"1552374671885499"</f>
        <v>1552374671885499</v>
      </c>
      <c r="C4250" t="s">
        <v>40</v>
      </c>
      <c r="D4250">
        <v>4.8952689999999999</v>
      </c>
      <c r="E4250">
        <v>0.40761540000000002</v>
      </c>
      <c r="F4250" t="s">
        <v>79</v>
      </c>
      <c r="G4250">
        <v>-288.45</v>
      </c>
      <c r="H4250" s="1">
        <v>-6.3104249999999998E-6</v>
      </c>
      <c r="I4250">
        <v>134.81270000000001</v>
      </c>
      <c r="J4250">
        <v>-276.73849999999999</v>
      </c>
      <c r="K4250">
        <v>1.1100989999999999</v>
      </c>
      <c r="L4250">
        <v>137.999</v>
      </c>
      <c r="M4250">
        <v>-0.9999036</v>
      </c>
      <c r="N4250">
        <v>0</v>
      </c>
      <c r="O4250">
        <v>1.085585E-2</v>
      </c>
      <c r="P4250">
        <v>-0.98979150000000005</v>
      </c>
      <c r="Q4250">
        <v>0.12150809999999999</v>
      </c>
      <c r="R4250">
        <v>-7.4489369999999999E-2</v>
      </c>
      <c r="S4250">
        <v>-3.006653</v>
      </c>
      <c r="T4250">
        <v>-0.27817029999999998</v>
      </c>
      <c r="U4250">
        <v>-0.79771419999999904</v>
      </c>
      <c r="V4250">
        <v>-8.530828E-2</v>
      </c>
      <c r="W4250">
        <v>0.1300289</v>
      </c>
      <c r="X4250">
        <v>0.98783350000000003</v>
      </c>
      <c r="Y4250">
        <v>-0.26581729999999998</v>
      </c>
      <c r="Z4250">
        <v>-1.3048560000000001E-2</v>
      </c>
      <c r="AA4250">
        <v>0.96393510000000004</v>
      </c>
      <c r="AB4250">
        <v>29</v>
      </c>
      <c r="AC4250">
        <v>-11.711499999999999</v>
      </c>
      <c r="AD4250">
        <v>-1.110105310425</v>
      </c>
      <c r="AE4250">
        <v>-3.1862999999999801</v>
      </c>
      <c r="AF4250">
        <v>-3.2857682428604602</v>
      </c>
      <c r="AG4250">
        <v>-1.110105310425</v>
      </c>
      <c r="AH4250">
        <v>11.579351674630599</v>
      </c>
      <c r="AI4250">
        <v>95.269376680665701</v>
      </c>
      <c r="AJ4250">
        <v>105.841873221792</v>
      </c>
      <c r="AK4250">
        <v>12.087596615986</v>
      </c>
      <c r="AL4250">
        <v>82.528737815329094</v>
      </c>
      <c r="AM4250">
        <v>94.935758519676099</v>
      </c>
      <c r="AN4250">
        <v>1.0000000205970001</v>
      </c>
    </row>
    <row r="4251" spans="1:40" x14ac:dyDescent="0.25">
      <c r="A4251" t="str">
        <f>"20190312151111916"</f>
        <v>20190312151111916</v>
      </c>
      <c r="B4251" t="str">
        <f>"1552374671905019"</f>
        <v>1552374671905019</v>
      </c>
      <c r="C4251" t="s">
        <v>40</v>
      </c>
      <c r="D4251">
        <v>4.8972150000000001</v>
      </c>
      <c r="E4251">
        <v>0.39651579999999997</v>
      </c>
      <c r="F4251" t="s">
        <v>79</v>
      </c>
      <c r="G4251">
        <v>-284.93079999999998</v>
      </c>
      <c r="H4251" s="1">
        <v>-4.16563E-6</v>
      </c>
      <c r="I4251">
        <v>135.29849999999999</v>
      </c>
      <c r="J4251">
        <v>-277.03339999999997</v>
      </c>
      <c r="K4251">
        <v>1.1100950000000001</v>
      </c>
      <c r="L4251">
        <v>138.0018</v>
      </c>
      <c r="M4251">
        <v>-0.99990699999999999</v>
      </c>
      <c r="N4251">
        <v>0</v>
      </c>
      <c r="O4251">
        <v>1.0519300000000001E-2</v>
      </c>
      <c r="P4251">
        <v>-0.98960780000000004</v>
      </c>
      <c r="Q4251">
        <v>0.1214594</v>
      </c>
      <c r="R4251">
        <v>-7.6970650000000002E-2</v>
      </c>
      <c r="S4251">
        <v>-3.0063780000000002</v>
      </c>
      <c r="T4251">
        <v>-0.40737950000000001</v>
      </c>
      <c r="U4251">
        <v>-0.99101260000000002</v>
      </c>
      <c r="V4251">
        <v>-8.7453619999999996E-2</v>
      </c>
      <c r="W4251">
        <v>0.1299901</v>
      </c>
      <c r="X4251">
        <v>0.98765099999999995</v>
      </c>
      <c r="Y4251">
        <v>-0.32030920000000002</v>
      </c>
      <c r="Z4251">
        <v>-2.2436620000000001E-2</v>
      </c>
      <c r="AA4251">
        <v>0.94704730000000004</v>
      </c>
      <c r="AB4251">
        <v>29</v>
      </c>
      <c r="AC4251">
        <v>-7.8974000000000002</v>
      </c>
      <c r="AD4251">
        <v>-1.1100991656299899</v>
      </c>
      <c r="AE4251">
        <v>-2.7033000000000098</v>
      </c>
      <c r="AF4251">
        <v>-2.7378071401941702</v>
      </c>
      <c r="AG4251">
        <v>-1.1100991656299899</v>
      </c>
      <c r="AH4251">
        <v>7.7317789821133101</v>
      </c>
      <c r="AI4251">
        <v>97.707675966759396</v>
      </c>
      <c r="AJ4251">
        <v>109.49895041710499</v>
      </c>
      <c r="AK4251">
        <v>8.2769749499850302</v>
      </c>
      <c r="AL4251">
        <v>82.530979989783702</v>
      </c>
      <c r="AM4251">
        <v>95.060177048845404</v>
      </c>
      <c r="AN4251">
        <v>1.00000002977505</v>
      </c>
    </row>
    <row r="4252" spans="1:40" x14ac:dyDescent="0.25">
      <c r="A4252" t="str">
        <f>"20190312151111939"</f>
        <v>20190312151111939</v>
      </c>
      <c r="B4252" t="str">
        <f>"1552374671935275"</f>
        <v>1552374671935275</v>
      </c>
      <c r="C4252" t="s">
        <v>40</v>
      </c>
      <c r="D4252">
        <v>4.8352570000000004</v>
      </c>
      <c r="E4252">
        <v>0.38993080000000002</v>
      </c>
      <c r="F4252" t="s">
        <v>79</v>
      </c>
      <c r="G4252">
        <v>-284.1139</v>
      </c>
      <c r="H4252" s="1">
        <v>-3.8548260000000002E-6</v>
      </c>
      <c r="I4252">
        <v>135.4342</v>
      </c>
      <c r="J4252">
        <v>-277.32089999999999</v>
      </c>
      <c r="K4252">
        <v>1.110098</v>
      </c>
      <c r="L4252">
        <v>138.00450000000001</v>
      </c>
      <c r="M4252">
        <v>-0.99991019999999997</v>
      </c>
      <c r="N4252">
        <v>0</v>
      </c>
      <c r="O4252">
        <v>1.019606E-2</v>
      </c>
      <c r="P4252">
        <v>-0.9893805</v>
      </c>
      <c r="Q4252">
        <v>0.1216928</v>
      </c>
      <c r="R4252">
        <v>-7.9479789999999995E-2</v>
      </c>
      <c r="S4252">
        <v>-3.004578</v>
      </c>
      <c r="T4252">
        <v>-0.47106579999999898</v>
      </c>
      <c r="U4252">
        <v>-1.089569</v>
      </c>
      <c r="V4252">
        <v>-8.9640330000000004E-2</v>
      </c>
      <c r="W4252">
        <v>0.13024160000000001</v>
      </c>
      <c r="X4252">
        <v>0.98742180000000002</v>
      </c>
      <c r="Y4252">
        <v>-0.34662199999999999</v>
      </c>
      <c r="Z4252">
        <v>-2.772869E-2</v>
      </c>
      <c r="AA4252">
        <v>0.93759499999999996</v>
      </c>
      <c r="AB4252">
        <v>29</v>
      </c>
      <c r="AC4252">
        <v>-6.7930000000000001</v>
      </c>
      <c r="AD4252">
        <v>-1.110101854826</v>
      </c>
      <c r="AE4252">
        <v>-2.5703</v>
      </c>
      <c r="AF4252">
        <v>-2.5791784916065201</v>
      </c>
      <c r="AG4252">
        <v>-1.110101854826</v>
      </c>
      <c r="AH4252">
        <v>6.6119761627224696</v>
      </c>
      <c r="AI4252">
        <v>98.889822366666607</v>
      </c>
      <c r="AJ4252">
        <v>111.309602818191</v>
      </c>
      <c r="AK4252">
        <v>7.1835030866607097</v>
      </c>
      <c r="AL4252">
        <v>82.516446605229902</v>
      </c>
      <c r="AM4252">
        <v>95.187218488213304</v>
      </c>
      <c r="AN4252">
        <v>1.00000003712415</v>
      </c>
    </row>
    <row r="4253" spans="1:40" x14ac:dyDescent="0.25">
      <c r="A4253" t="str">
        <f>"20190312151111972"</f>
        <v>20190312151111972</v>
      </c>
      <c r="B4253" t="str">
        <f>"1552374671965534"</f>
        <v>1552374671965534</v>
      </c>
      <c r="C4253" t="s">
        <v>40</v>
      </c>
      <c r="D4253">
        <v>4.948766</v>
      </c>
      <c r="E4253">
        <v>0.38608900000000002</v>
      </c>
      <c r="F4253" t="s">
        <v>79</v>
      </c>
      <c r="G4253">
        <v>-283.529</v>
      </c>
      <c r="H4253" s="1">
        <v>-3.6680019999999999E-6</v>
      </c>
      <c r="I4253">
        <v>135.62540000000001</v>
      </c>
      <c r="J4253">
        <v>-277.7629</v>
      </c>
      <c r="K4253">
        <v>1.110112</v>
      </c>
      <c r="L4253">
        <v>138.0085</v>
      </c>
      <c r="M4253">
        <v>-0.99991459999999999</v>
      </c>
      <c r="N4253">
        <v>0</v>
      </c>
      <c r="O4253">
        <v>9.7066960000000008E-3</v>
      </c>
      <c r="P4253">
        <v>-0.98898169999999996</v>
      </c>
      <c r="Q4253">
        <v>0.12292889999999999</v>
      </c>
      <c r="R4253">
        <v>-8.2485939999999994E-2</v>
      </c>
      <c r="S4253">
        <v>-3.0057369999999999</v>
      </c>
      <c r="T4253">
        <v>-0.53746879999999997</v>
      </c>
      <c r="U4253">
        <v>-1.1519170000000001</v>
      </c>
      <c r="V4253">
        <v>-9.2158710000000005E-2</v>
      </c>
      <c r="W4253">
        <v>0.13153219999999999</v>
      </c>
      <c r="X4253">
        <v>0.98701879999999997</v>
      </c>
      <c r="Y4253">
        <v>-0.36175940000000001</v>
      </c>
      <c r="Z4253">
        <v>-3.2679319999999998E-2</v>
      </c>
      <c r="AA4253">
        <v>0.93169860000000004</v>
      </c>
      <c r="AB4253">
        <v>29</v>
      </c>
      <c r="AC4253">
        <v>-5.76609999999999</v>
      </c>
      <c r="AD4253">
        <v>-1.1101156680019999</v>
      </c>
      <c r="AE4253">
        <v>-2.3830999999999798</v>
      </c>
      <c r="AF4253">
        <v>-2.36411624157738</v>
      </c>
      <c r="AG4253">
        <v>-1.1101156680019999</v>
      </c>
      <c r="AH4253">
        <v>5.5664715671631102</v>
      </c>
      <c r="AI4253">
        <v>100.40142405438201</v>
      </c>
      <c r="AJ4253">
        <v>113.011243317387</v>
      </c>
      <c r="AK4253">
        <v>6.1487403675930903</v>
      </c>
      <c r="AL4253">
        <v>82.441858957428494</v>
      </c>
      <c r="AM4253">
        <v>95.334285580635907</v>
      </c>
      <c r="AN4253">
        <v>1.0000000295095699</v>
      </c>
    </row>
    <row r="4254" spans="1:40" x14ac:dyDescent="0.25">
      <c r="A4254" t="str">
        <f>"20190312151111994"</f>
        <v>20190312151111994</v>
      </c>
      <c r="B4254" t="str">
        <f>"1552374671985052"</f>
        <v>1552374671985052</v>
      </c>
      <c r="C4254" t="s">
        <v>40</v>
      </c>
      <c r="D4254">
        <v>4.969252</v>
      </c>
      <c r="E4254">
        <v>0.38410850000000002</v>
      </c>
      <c r="F4254" t="s">
        <v>79</v>
      </c>
      <c r="G4254">
        <v>-283.45549999999997</v>
      </c>
      <c r="H4254" s="1">
        <v>-3.6824690000000001E-6</v>
      </c>
      <c r="I4254">
        <v>135.74940000000001</v>
      </c>
      <c r="J4254">
        <v>-278.06270000000001</v>
      </c>
      <c r="K4254">
        <v>1.1101240000000001</v>
      </c>
      <c r="L4254">
        <v>138.011</v>
      </c>
      <c r="M4254">
        <v>-0.99991719999999895</v>
      </c>
      <c r="N4254">
        <v>0</v>
      </c>
      <c r="O4254">
        <v>9.3775579999999994E-3</v>
      </c>
      <c r="P4254">
        <v>-0.98874819999999997</v>
      </c>
      <c r="Q4254">
        <v>0.12361659999999999</v>
      </c>
      <c r="R4254">
        <v>-8.4237909999999999E-2</v>
      </c>
      <c r="S4254">
        <v>-3.0067750000000002</v>
      </c>
      <c r="T4254">
        <v>-0.58635039999999905</v>
      </c>
      <c r="U4254">
        <v>-1.1932370000000001</v>
      </c>
      <c r="V4254">
        <v>-9.358342E-2</v>
      </c>
      <c r="W4254">
        <v>0.1322691</v>
      </c>
      <c r="X4254">
        <v>0.98678619999999995</v>
      </c>
      <c r="Y4254">
        <v>-0.37135570000000001</v>
      </c>
      <c r="Z4254">
        <v>-3.6341470000000001E-2</v>
      </c>
      <c r="AA4254">
        <v>0.92777920000000003</v>
      </c>
      <c r="AB4254">
        <v>29</v>
      </c>
      <c r="AC4254">
        <v>-5.3927999999999603</v>
      </c>
      <c r="AD4254">
        <v>-1.1101276824689901</v>
      </c>
      <c r="AE4254">
        <v>-2.2615999999999801</v>
      </c>
      <c r="AF4254">
        <v>-2.2316504103685899</v>
      </c>
      <c r="AG4254">
        <v>-1.1101276824689901</v>
      </c>
      <c r="AH4254">
        <v>5.1845160657575997</v>
      </c>
      <c r="AI4254">
        <v>101.126747029472</v>
      </c>
      <c r="AJ4254">
        <v>113.28923226998199</v>
      </c>
      <c r="AK4254">
        <v>5.75255194340573</v>
      </c>
      <c r="AL4254">
        <v>82.399265238661997</v>
      </c>
      <c r="AM4254">
        <v>95.417532343998104</v>
      </c>
      <c r="AN4254">
        <v>0.99999998791207301</v>
      </c>
    </row>
    <row r="4255" spans="1:40" x14ac:dyDescent="0.25">
      <c r="A4255" t="str">
        <f>"20190312151112017"</f>
        <v>20190312151112017</v>
      </c>
      <c r="B4255" t="str">
        <f>"1552374672005555"</f>
        <v>1552374672005555</v>
      </c>
      <c r="C4255" t="s">
        <v>40</v>
      </c>
      <c r="D4255">
        <v>4.8625990000000003</v>
      </c>
      <c r="E4255">
        <v>0.38289509999999899</v>
      </c>
      <c r="F4255" t="s">
        <v>79</v>
      </c>
      <c r="G4255">
        <v>-283.54500000000002</v>
      </c>
      <c r="H4255" s="1">
        <v>-3.739396E-6</v>
      </c>
      <c r="I4255">
        <v>135.79480000000001</v>
      </c>
      <c r="J4255">
        <v>-278.35599999999999</v>
      </c>
      <c r="K4255">
        <v>1.11015</v>
      </c>
      <c r="L4255">
        <v>138.01339999999999</v>
      </c>
      <c r="M4255">
        <v>-0.99991940000000001</v>
      </c>
      <c r="N4255">
        <v>0</v>
      </c>
      <c r="O4255">
        <v>9.0578429999999995E-3</v>
      </c>
      <c r="P4255">
        <v>-0.98859200000000003</v>
      </c>
      <c r="Q4255">
        <v>0.1233142</v>
      </c>
      <c r="R4255">
        <v>-8.6484110000000003E-2</v>
      </c>
      <c r="S4255">
        <v>-3.0066830000000002</v>
      </c>
      <c r="T4255">
        <v>-0.60883160000000003</v>
      </c>
      <c r="U4255">
        <v>-1.2154849999999999</v>
      </c>
      <c r="V4255">
        <v>-9.5512440000000004E-2</v>
      </c>
      <c r="W4255">
        <v>0.13204979999999999</v>
      </c>
      <c r="X4255">
        <v>0.98663069999999997</v>
      </c>
      <c r="Y4255">
        <v>-0.37643569999999998</v>
      </c>
      <c r="Z4255">
        <v>-3.8091460000000001E-2</v>
      </c>
      <c r="AA4255">
        <v>0.92565929999999996</v>
      </c>
      <c r="AB4255">
        <v>29</v>
      </c>
      <c r="AC4255">
        <v>-5.1890000000000196</v>
      </c>
      <c r="AD4255">
        <v>-1.1101537393959999</v>
      </c>
      <c r="AE4255">
        <v>-2.2185999999999799</v>
      </c>
      <c r="AF4255">
        <v>-2.1811080808057199</v>
      </c>
      <c r="AG4255">
        <v>-1.1101537393959999</v>
      </c>
      <c r="AH4255">
        <v>4.9761258723157002</v>
      </c>
      <c r="AI4255">
        <v>101.54827417432099</v>
      </c>
      <c r="AJ4255">
        <v>113.668535623426</v>
      </c>
      <c r="AK4255">
        <v>5.5454037258238102</v>
      </c>
      <c r="AL4255">
        <v>82.411941156829599</v>
      </c>
      <c r="AM4255">
        <v>95.529384071214693</v>
      </c>
      <c r="AN4255">
        <v>0.99999995702863997</v>
      </c>
    </row>
    <row r="4256" spans="1:40" x14ac:dyDescent="0.25">
      <c r="A4256" t="str">
        <f>"20190312151112040"</f>
        <v>20190312151112040</v>
      </c>
      <c r="B4256" t="str">
        <f>"1552374672035804"</f>
        <v>1552374672035804</v>
      </c>
      <c r="C4256" t="s">
        <v>40</v>
      </c>
      <c r="D4256">
        <v>4.9124249999999998</v>
      </c>
      <c r="E4256">
        <v>0.38130890000000001</v>
      </c>
      <c r="F4256" t="s">
        <v>79</v>
      </c>
      <c r="G4256">
        <v>-283.66640000000001</v>
      </c>
      <c r="H4256" s="1">
        <v>-3.8093979999999998E-6</v>
      </c>
      <c r="I4256">
        <v>135.8374</v>
      </c>
      <c r="J4256">
        <v>-278.65179999999998</v>
      </c>
      <c r="K4256">
        <v>1.1101859999999999</v>
      </c>
      <c r="L4256">
        <v>138.01580000000001</v>
      </c>
      <c r="M4256">
        <v>-0.99992080000000005</v>
      </c>
      <c r="N4256">
        <v>0</v>
      </c>
      <c r="O4256">
        <v>8.7362329999999995E-3</v>
      </c>
      <c r="P4256">
        <v>-0.98849529999999997</v>
      </c>
      <c r="Q4256">
        <v>0.1224668</v>
      </c>
      <c r="R4256">
        <v>-8.8762659999999993E-2</v>
      </c>
      <c r="S4256">
        <v>-3.0052490000000001</v>
      </c>
      <c r="T4256">
        <v>-0.6282605</v>
      </c>
      <c r="U4256">
        <v>-1.2314909999999999</v>
      </c>
      <c r="V4256">
        <v>-9.7472500000000004E-2</v>
      </c>
      <c r="W4256">
        <v>0.13134219999999999</v>
      </c>
      <c r="X4256">
        <v>0.98653349999999995</v>
      </c>
      <c r="Y4256">
        <v>-0.38003510000000001</v>
      </c>
      <c r="Z4256">
        <v>-3.9558660000000002E-2</v>
      </c>
      <c r="AA4256">
        <v>0.9241258</v>
      </c>
      <c r="AB4256">
        <v>29</v>
      </c>
      <c r="AC4256">
        <v>-5.0146000000000299</v>
      </c>
      <c r="AD4256">
        <v>-1.110189809398</v>
      </c>
      <c r="AE4256">
        <v>-2.1784000000000101</v>
      </c>
      <c r="AF4256">
        <v>-2.1341307990601401</v>
      </c>
      <c r="AG4256">
        <v>-1.110189809398</v>
      </c>
      <c r="AH4256">
        <v>4.79755916227752</v>
      </c>
      <c r="AI4256">
        <v>101.938326916111</v>
      </c>
      <c r="AJ4256">
        <v>113.98125780159199</v>
      </c>
      <c r="AK4256">
        <v>5.3668994397083001</v>
      </c>
      <c r="AL4256">
        <v>82.452840232752095</v>
      </c>
      <c r="AM4256">
        <v>95.642682872691793</v>
      </c>
      <c r="AN4256">
        <v>1.0000000041896699</v>
      </c>
    </row>
    <row r="4257" spans="1:40" x14ac:dyDescent="0.25">
      <c r="A4257" t="str">
        <f>"20190312151112063"</f>
        <v>20190312151112063</v>
      </c>
      <c r="B4257" t="str">
        <f>"1552374672055324"</f>
        <v>1552374672055324</v>
      </c>
      <c r="C4257" t="s">
        <v>40</v>
      </c>
      <c r="D4257">
        <v>4.914587</v>
      </c>
      <c r="E4257">
        <v>0.38068030000000003</v>
      </c>
      <c r="F4257" t="s">
        <v>79</v>
      </c>
      <c r="G4257">
        <v>-283.76369999999997</v>
      </c>
      <c r="H4257" s="1">
        <v>-3.8706879999999997E-6</v>
      </c>
      <c r="I4257">
        <v>135.8852</v>
      </c>
      <c r="J4257">
        <v>-278.94929999999999</v>
      </c>
      <c r="K4257">
        <v>1.110228</v>
      </c>
      <c r="L4257">
        <v>138.018</v>
      </c>
      <c r="M4257">
        <v>-0.99992199999999998</v>
      </c>
      <c r="N4257">
        <v>0</v>
      </c>
      <c r="O4257">
        <v>8.4124230000000005E-3</v>
      </c>
      <c r="P4257">
        <v>-0.98830059999999997</v>
      </c>
      <c r="Q4257">
        <v>0.1222791</v>
      </c>
      <c r="R4257">
        <v>-9.1160699999999997E-2</v>
      </c>
      <c r="S4257">
        <v>-3.0033259999999999</v>
      </c>
      <c r="T4257">
        <v>-0.65225409999999995</v>
      </c>
      <c r="U4257">
        <v>-1.2517400000000001</v>
      </c>
      <c r="V4257">
        <v>-9.9549109999999996E-2</v>
      </c>
      <c r="W4257">
        <v>0.13134689999999999</v>
      </c>
      <c r="X4257">
        <v>0.98632549999999997</v>
      </c>
      <c r="Y4257">
        <v>-0.38463320000000001</v>
      </c>
      <c r="Z4257">
        <v>-4.1421380000000001E-2</v>
      </c>
      <c r="AA4257">
        <v>0.92213970000000001</v>
      </c>
      <c r="AB4257">
        <v>29</v>
      </c>
      <c r="AC4257">
        <v>-4.8143999999999698</v>
      </c>
      <c r="AD4257">
        <v>-1.1102318706880001</v>
      </c>
      <c r="AE4257">
        <v>-2.1328</v>
      </c>
      <c r="AF4257">
        <v>-2.0807283580671299</v>
      </c>
      <c r="AG4257">
        <v>-1.1102318706880001</v>
      </c>
      <c r="AH4257">
        <v>4.5921433733092503</v>
      </c>
      <c r="AI4257">
        <v>102.41924667449</v>
      </c>
      <c r="AJ4257">
        <v>114.37557208648001</v>
      </c>
      <c r="AK4257">
        <v>5.1623469534490001</v>
      </c>
      <c r="AL4257">
        <v>82.452568653855707</v>
      </c>
      <c r="AM4257">
        <v>95.7633042058645</v>
      </c>
      <c r="AN4257">
        <v>1.00000001269582</v>
      </c>
    </row>
    <row r="4258" spans="1:40" x14ac:dyDescent="0.25">
      <c r="A4258" t="str">
        <f>"20190312151112084"</f>
        <v>20190312151112084</v>
      </c>
      <c r="B4258" t="str">
        <f>"1552374672075819"</f>
        <v>1552374672075819</v>
      </c>
      <c r="C4258" t="s">
        <v>40</v>
      </c>
      <c r="D4258">
        <v>4.9126149999999997</v>
      </c>
      <c r="E4258">
        <v>0.38016749999999999</v>
      </c>
      <c r="F4258" t="s">
        <v>79</v>
      </c>
      <c r="G4258">
        <v>-283.95139999999998</v>
      </c>
      <c r="H4258" s="1">
        <v>-3.9632509999999999E-6</v>
      </c>
      <c r="I4258">
        <v>135.90979999999999</v>
      </c>
      <c r="J4258">
        <v>-279.24400000000003</v>
      </c>
      <c r="K4258">
        <v>1.1102730000000001</v>
      </c>
      <c r="L4258">
        <v>138.02010000000001</v>
      </c>
      <c r="M4258">
        <v>-0.99992250000000005</v>
      </c>
      <c r="N4258">
        <v>0</v>
      </c>
      <c r="O4258">
        <v>8.0911360000000005E-3</v>
      </c>
      <c r="P4258">
        <v>-0.98800049999999995</v>
      </c>
      <c r="Q4258">
        <v>0.123239</v>
      </c>
      <c r="R4258">
        <v>-9.3098769999999997E-2</v>
      </c>
      <c r="S4258">
        <v>-3.0012509999999999</v>
      </c>
      <c r="T4258">
        <v>-0.66614649999999997</v>
      </c>
      <c r="U4258">
        <v>-1.2649539999999999</v>
      </c>
      <c r="V4258">
        <v>-0.1011697</v>
      </c>
      <c r="W4258">
        <v>0.13252</v>
      </c>
      <c r="X4258">
        <v>0.98600359999999998</v>
      </c>
      <c r="Y4258">
        <v>-0.38763199999999998</v>
      </c>
      <c r="Z4258">
        <v>-4.2526199999999903E-2</v>
      </c>
      <c r="AA4258">
        <v>0.92083280000000001</v>
      </c>
      <c r="AB4258">
        <v>29</v>
      </c>
      <c r="AC4258">
        <v>-4.7073999999999501</v>
      </c>
      <c r="AD4258">
        <v>-1.1102769632509999</v>
      </c>
      <c r="AE4258">
        <v>-2.11030000000002</v>
      </c>
      <c r="AF4258">
        <v>-2.0532157525248902</v>
      </c>
      <c r="AG4258">
        <v>-1.1102769632509999</v>
      </c>
      <c r="AH4258">
        <v>4.48253892363552</v>
      </c>
      <c r="AI4258">
        <v>102.69074527373</v>
      </c>
      <c r="AJ4258">
        <v>114.610029402724</v>
      </c>
      <c r="AK4258">
        <v>5.0538663480002803</v>
      </c>
      <c r="AL4258">
        <v>82.384761988257495</v>
      </c>
      <c r="AM4258">
        <v>95.858378472026104</v>
      </c>
      <c r="AN4258">
        <v>0.99999997890552395</v>
      </c>
    </row>
    <row r="4259" spans="1:40" x14ac:dyDescent="0.25">
      <c r="A4259" t="str">
        <f>"20190312151112106"</f>
        <v>20190312151112106</v>
      </c>
      <c r="B4259" t="str">
        <f>"1552374672095339"</f>
        <v>1552374672095339</v>
      </c>
      <c r="C4259" t="s">
        <v>40</v>
      </c>
      <c r="D4259">
        <v>4.933414</v>
      </c>
      <c r="E4259">
        <v>0.37949749999999999</v>
      </c>
      <c r="F4259" t="s">
        <v>79</v>
      </c>
      <c r="G4259">
        <v>-284.21129999999999</v>
      </c>
      <c r="H4259" s="1">
        <v>-4.0778049999999997E-6</v>
      </c>
      <c r="I4259">
        <v>135.90790000000001</v>
      </c>
      <c r="J4259">
        <v>-279.52949999999998</v>
      </c>
      <c r="K4259">
        <v>1.1103270000000001</v>
      </c>
      <c r="L4259">
        <v>138.02209999999999</v>
      </c>
      <c r="M4259">
        <v>-0.99992270000000005</v>
      </c>
      <c r="N4259">
        <v>0</v>
      </c>
      <c r="O4259">
        <v>7.77205E-3</v>
      </c>
      <c r="P4259">
        <v>-0.98771690000000001</v>
      </c>
      <c r="Q4259">
        <v>0.1243345</v>
      </c>
      <c r="R4259">
        <v>-9.4639699999999993E-2</v>
      </c>
      <c r="S4259">
        <v>-2.9998779999999998</v>
      </c>
      <c r="T4259">
        <v>-0.67051839999999996</v>
      </c>
      <c r="U4259">
        <v>-1.27562</v>
      </c>
      <c r="V4259">
        <v>-0.1023965</v>
      </c>
      <c r="W4259">
        <v>0.13386029999999999</v>
      </c>
      <c r="X4259">
        <v>0.98569589999999996</v>
      </c>
      <c r="Y4259">
        <v>-0.39011899999999999</v>
      </c>
      <c r="Z4259">
        <v>-4.2985339999999997E-2</v>
      </c>
      <c r="AA4259">
        <v>0.91976049999999998</v>
      </c>
      <c r="AB4259">
        <v>29</v>
      </c>
      <c r="AC4259">
        <v>-4.6818000000000097</v>
      </c>
      <c r="AD4259">
        <v>-1.110331077805</v>
      </c>
      <c r="AE4259">
        <v>-2.1141999999999799</v>
      </c>
      <c r="AF4259">
        <v>-2.0545417744871401</v>
      </c>
      <c r="AG4259">
        <v>-1.110331077805</v>
      </c>
      <c r="AH4259">
        <v>4.4570055363471202</v>
      </c>
      <c r="AI4259">
        <v>102.748000192085</v>
      </c>
      <c r="AJ4259">
        <v>114.748240877237</v>
      </c>
      <c r="AK4259">
        <v>5.0317864975057596</v>
      </c>
      <c r="AL4259">
        <v>82.307278385596305</v>
      </c>
      <c r="AM4259">
        <v>95.930752677372794</v>
      </c>
      <c r="AN4259">
        <v>1.0000000152025701</v>
      </c>
    </row>
    <row r="4260" spans="1:40" x14ac:dyDescent="0.25">
      <c r="A4260" t="str">
        <f>"20190312151112128"</f>
        <v>20190312151112128</v>
      </c>
      <c r="B4260" t="str">
        <f>"1552374672125595"</f>
        <v>1552374672125595</v>
      </c>
      <c r="C4260" t="s">
        <v>40</v>
      </c>
      <c r="D4260">
        <v>4.959943</v>
      </c>
      <c r="E4260">
        <v>0.37864379999999997</v>
      </c>
      <c r="F4260" t="s">
        <v>79</v>
      </c>
      <c r="G4260">
        <v>-284.47489999999999</v>
      </c>
      <c r="H4260" s="1">
        <v>-4.1918859999999997E-6</v>
      </c>
      <c r="I4260">
        <v>135.90049999999999</v>
      </c>
      <c r="J4260">
        <v>-279.82029999999997</v>
      </c>
      <c r="K4260">
        <v>1.110403</v>
      </c>
      <c r="L4260">
        <v>138.024</v>
      </c>
      <c r="M4260">
        <v>-0.99992190000000003</v>
      </c>
      <c r="N4260">
        <v>0</v>
      </c>
      <c r="O4260">
        <v>7.4327680000000002E-3</v>
      </c>
      <c r="P4260">
        <v>-0.98758679999999999</v>
      </c>
      <c r="Q4260">
        <v>0.12410880000000001</v>
      </c>
      <c r="R4260">
        <v>-9.6277340000000003E-2</v>
      </c>
      <c r="S4260">
        <v>-2.9987789999999999</v>
      </c>
      <c r="T4260">
        <v>-0.67328449999999995</v>
      </c>
      <c r="U4260">
        <v>-1.2864990000000001</v>
      </c>
      <c r="V4260">
        <v>-0.1037033</v>
      </c>
      <c r="W4260">
        <v>0.13394489999999901</v>
      </c>
      <c r="X4260">
        <v>0.98554779999999997</v>
      </c>
      <c r="Y4260">
        <v>-0.39264369999999998</v>
      </c>
      <c r="Z4260">
        <v>-4.3340860000000002E-2</v>
      </c>
      <c r="AA4260">
        <v>0.91866890000000001</v>
      </c>
      <c r="AB4260">
        <v>29</v>
      </c>
      <c r="AC4260">
        <v>-4.6546000000000101</v>
      </c>
      <c r="AD4260">
        <v>-1.1104071918859999</v>
      </c>
      <c r="AE4260">
        <v>-2.1234999999999999</v>
      </c>
      <c r="AF4260">
        <v>-2.0609543130059098</v>
      </c>
      <c r="AG4260">
        <v>-1.1104071918859999</v>
      </c>
      <c r="AH4260">
        <v>4.43000307095779</v>
      </c>
      <c r="AI4260">
        <v>102.803877074388</v>
      </c>
      <c r="AJ4260">
        <v>114.94909160854399</v>
      </c>
      <c r="AK4260">
        <v>5.0105353028179804</v>
      </c>
      <c r="AL4260">
        <v>82.302387293826797</v>
      </c>
      <c r="AM4260">
        <v>96.006788005371305</v>
      </c>
      <c r="AN4260">
        <v>1.00000003837586</v>
      </c>
    </row>
    <row r="4261" spans="1:40" x14ac:dyDescent="0.25">
      <c r="A4261" t="str">
        <f>"20190312151112150"</f>
        <v>20190312151112150</v>
      </c>
      <c r="B4261" t="str">
        <f>"1552374672145116"</f>
        <v>1552374672145116</v>
      </c>
      <c r="C4261" t="s">
        <v>40</v>
      </c>
      <c r="D4261">
        <v>5.2466799999999996</v>
      </c>
      <c r="E4261">
        <v>0.37827490000000003</v>
      </c>
      <c r="F4261" t="s">
        <v>79</v>
      </c>
      <c r="G4261">
        <v>-284.67180000000002</v>
      </c>
      <c r="H4261" s="1">
        <v>-4.2874090000000003E-6</v>
      </c>
      <c r="I4261">
        <v>135.9221</v>
      </c>
      <c r="J4261">
        <v>-280.10829999999999</v>
      </c>
      <c r="K4261">
        <v>1.110482</v>
      </c>
      <c r="L4261">
        <v>138.0257</v>
      </c>
      <c r="M4261">
        <v>-0.99992110000000001</v>
      </c>
      <c r="N4261">
        <v>0</v>
      </c>
      <c r="O4261">
        <v>7.0618499999999997E-3</v>
      </c>
      <c r="P4261">
        <v>-0.98765020000000003</v>
      </c>
      <c r="Q4261">
        <v>0.12283769999999999</v>
      </c>
      <c r="R4261">
        <v>-9.7257170000000004E-2</v>
      </c>
      <c r="S4261">
        <v>-2.9972840000000001</v>
      </c>
      <c r="T4261">
        <v>-0.68602589999999997</v>
      </c>
      <c r="U4261">
        <v>-1.298538</v>
      </c>
      <c r="V4261">
        <v>-0.1043224</v>
      </c>
      <c r="W4261">
        <v>0.13303190000000001</v>
      </c>
      <c r="X4261">
        <v>0.98560610000000004</v>
      </c>
      <c r="Y4261">
        <v>-0.3952213</v>
      </c>
      <c r="Z4261">
        <v>-4.4328949999999999E-2</v>
      </c>
      <c r="AA4261">
        <v>0.91751570000000005</v>
      </c>
      <c r="AB4261">
        <v>29</v>
      </c>
      <c r="AC4261">
        <v>-4.5635000000000296</v>
      </c>
      <c r="AD4261">
        <v>-1.110486287409</v>
      </c>
      <c r="AE4261">
        <v>-2.1036000000000001</v>
      </c>
      <c r="AF4261">
        <v>-2.0363268833147998</v>
      </c>
      <c r="AG4261">
        <v>-1.110486287409</v>
      </c>
      <c r="AH4261">
        <v>4.3367347300740997</v>
      </c>
      <c r="AI4261">
        <v>103.049851674477</v>
      </c>
      <c r="AJ4261">
        <v>115.15254446482599</v>
      </c>
      <c r="AK4261">
        <v>4.9180356941836996</v>
      </c>
      <c r="AL4261">
        <v>82.355170567663706</v>
      </c>
      <c r="AM4261">
        <v>96.042028739862502</v>
      </c>
      <c r="AN4261">
        <v>1.0000000169582799</v>
      </c>
    </row>
    <row r="4262" spans="1:40" x14ac:dyDescent="0.25">
      <c r="A4262" t="str">
        <f>"20190312151112174"</f>
        <v>20190312151112174</v>
      </c>
      <c r="B4262" t="str">
        <f>"1552374672165612"</f>
        <v>1552374672165612</v>
      </c>
      <c r="C4262" t="s">
        <v>40</v>
      </c>
      <c r="D4262">
        <v>4.9248880000000002</v>
      </c>
      <c r="E4262">
        <v>0.37785740000000001</v>
      </c>
      <c r="F4262" t="s">
        <v>79</v>
      </c>
      <c r="G4262">
        <v>-284.89999999999998</v>
      </c>
      <c r="H4262" s="1">
        <v>-4.3950189999999997E-6</v>
      </c>
      <c r="I4262">
        <v>135.9391</v>
      </c>
      <c r="J4262">
        <v>-280.4205</v>
      </c>
      <c r="K4262">
        <v>1.110582</v>
      </c>
      <c r="L4262">
        <v>138.0274</v>
      </c>
      <c r="M4262">
        <v>-0.99991969999999997</v>
      </c>
      <c r="N4262">
        <v>0</v>
      </c>
      <c r="O4262">
        <v>6.599209E-3</v>
      </c>
      <c r="P4262">
        <v>-0.98761620000000006</v>
      </c>
      <c r="Q4262">
        <v>0.1224488</v>
      </c>
      <c r="R4262">
        <v>-9.8085080000000005E-2</v>
      </c>
      <c r="S4262">
        <v>-2.9953919999999998</v>
      </c>
      <c r="T4262">
        <v>-0.69419549999999997</v>
      </c>
      <c r="U4262">
        <v>-1.3044129999999901</v>
      </c>
      <c r="V4262">
        <v>-0.1047038</v>
      </c>
      <c r="W4262">
        <v>0.133047</v>
      </c>
      <c r="X4262">
        <v>0.98556359999999998</v>
      </c>
      <c r="Y4262">
        <v>-0.39629940000000002</v>
      </c>
      <c r="Z4262">
        <v>-4.4870779999999999E-2</v>
      </c>
      <c r="AA4262">
        <v>0.91702419999999996</v>
      </c>
      <c r="AB4262">
        <v>29</v>
      </c>
      <c r="AC4262">
        <v>-4.4794999999999696</v>
      </c>
      <c r="AD4262">
        <v>-1.110586395019</v>
      </c>
      <c r="AE4262">
        <v>-2.0882999999999998</v>
      </c>
      <c r="AF4262">
        <v>-2.01602130492609</v>
      </c>
      <c r="AG4262">
        <v>-1.110586395019</v>
      </c>
      <c r="AH4262">
        <v>4.2509736939741298</v>
      </c>
      <c r="AI4262">
        <v>103.281768538766</v>
      </c>
      <c r="AJ4262">
        <v>115.372614084761</v>
      </c>
      <c r="AK4262">
        <v>4.8340998530830204</v>
      </c>
      <c r="AL4262">
        <v>82.354297509729093</v>
      </c>
      <c r="AM4262">
        <v>96.064213497479898</v>
      </c>
      <c r="AN4262">
        <v>0.99999999979419996</v>
      </c>
    </row>
    <row r="4263" spans="1:40" x14ac:dyDescent="0.25">
      <c r="A4263" t="str">
        <f>"20190312151112195"</f>
        <v>20190312151112195</v>
      </c>
      <c r="B4263" t="str">
        <f>"1552374672185132"</f>
        <v>1552374672185132</v>
      </c>
      <c r="C4263" t="s">
        <v>40</v>
      </c>
      <c r="D4263">
        <v>4.9384249999999996</v>
      </c>
      <c r="E4263">
        <v>0.37750289999999997</v>
      </c>
      <c r="F4263" t="s">
        <v>79</v>
      </c>
      <c r="G4263">
        <v>-285.19540000000001</v>
      </c>
      <c r="H4263" s="1">
        <v>-4.5823670000000001E-6</v>
      </c>
      <c r="I4263">
        <v>135.93799999999999</v>
      </c>
      <c r="J4263">
        <v>-280.7038</v>
      </c>
      <c r="K4263">
        <v>1.110681</v>
      </c>
      <c r="L4263">
        <v>138.02879999999999</v>
      </c>
      <c r="M4263">
        <v>-0.9999188</v>
      </c>
      <c r="N4263">
        <v>0</v>
      </c>
      <c r="O4263">
        <v>6.1109679999999996E-3</v>
      </c>
      <c r="P4263">
        <v>-0.98763599999999996</v>
      </c>
      <c r="Q4263">
        <v>0.1223226</v>
      </c>
      <c r="R4263">
        <v>-9.8044480000000003E-2</v>
      </c>
      <c r="S4263">
        <v>-2.9938349999999998</v>
      </c>
      <c r="T4263">
        <v>-0.69633639999999997</v>
      </c>
      <c r="U4263">
        <v>-1.310028</v>
      </c>
      <c r="V4263">
        <v>-0.104195</v>
      </c>
      <c r="W4263">
        <v>0.1332711</v>
      </c>
      <c r="X4263">
        <v>0.9855872</v>
      </c>
      <c r="Y4263">
        <v>-0.3974029</v>
      </c>
      <c r="Z4263">
        <v>-4.5025240000000001E-2</v>
      </c>
      <c r="AA4263">
        <v>0.91653899999999999</v>
      </c>
      <c r="AB4263">
        <v>29</v>
      </c>
      <c r="AC4263">
        <v>-4.4916</v>
      </c>
      <c r="AD4263">
        <v>-1.1106855823669901</v>
      </c>
      <c r="AE4263">
        <v>-2.0908000000000002</v>
      </c>
      <c r="AF4263">
        <v>-2.01684843189663</v>
      </c>
      <c r="AG4263">
        <v>-1.1106855823669901</v>
      </c>
      <c r="AH4263">
        <v>4.26441843639748</v>
      </c>
      <c r="AI4263">
        <v>103.248944808784</v>
      </c>
      <c r="AJ4263">
        <v>115.31171738384801</v>
      </c>
      <c r="AK4263">
        <v>4.8462939098664402</v>
      </c>
      <c r="AL4263">
        <v>82.341341820080103</v>
      </c>
      <c r="AM4263">
        <v>96.034819479666794</v>
      </c>
      <c r="AN4263">
        <v>0.999999956462024</v>
      </c>
    </row>
    <row r="4264" spans="1:40" x14ac:dyDescent="0.25">
      <c r="A4264" t="str">
        <f>"20190312151112218"</f>
        <v>20190312151112218</v>
      </c>
      <c r="B4264" t="str">
        <f>"1552374672215388"</f>
        <v>1552374672215388</v>
      </c>
      <c r="C4264" t="s">
        <v>40</v>
      </c>
      <c r="D4264">
        <v>4.9499899999999997</v>
      </c>
      <c r="E4264">
        <v>0.37702469999999999</v>
      </c>
      <c r="F4264" t="s">
        <v>79</v>
      </c>
      <c r="G4264">
        <v>-285.46679999999998</v>
      </c>
      <c r="H4264" s="1">
        <v>-4.7683520000000003E-6</v>
      </c>
      <c r="I4264">
        <v>135.94030000000001</v>
      </c>
      <c r="J4264">
        <v>-280.99239999999998</v>
      </c>
      <c r="K4264">
        <v>1.1107830000000001</v>
      </c>
      <c r="L4264">
        <v>138.03</v>
      </c>
      <c r="M4264">
        <v>-0.99991819999999998</v>
      </c>
      <c r="N4264">
        <v>0</v>
      </c>
      <c r="O4264">
        <v>5.5367860000000001E-3</v>
      </c>
      <c r="P4264">
        <v>-0.98768449999999997</v>
      </c>
      <c r="Q4264">
        <v>0.1218171</v>
      </c>
      <c r="R4264">
        <v>-9.8185289999999995E-2</v>
      </c>
      <c r="S4264">
        <v>-2.9936829999999999</v>
      </c>
      <c r="T4264">
        <v>-0.69810349999999999</v>
      </c>
      <c r="U4264">
        <v>-1.3126679999999999</v>
      </c>
      <c r="V4264">
        <v>-0.10378759999999999</v>
      </c>
      <c r="W4264">
        <v>0.13309480000000001</v>
      </c>
      <c r="X4264">
        <v>0.98565409999999998</v>
      </c>
      <c r="Y4264">
        <v>-0.39754129999999999</v>
      </c>
      <c r="Z4264">
        <v>-4.502022E-2</v>
      </c>
      <c r="AA4264">
        <v>0.91647920000000005</v>
      </c>
      <c r="AB4264">
        <v>29</v>
      </c>
      <c r="AC4264">
        <v>-4.4744000000000002</v>
      </c>
      <c r="AD4264">
        <v>-1.110787768352</v>
      </c>
      <c r="AE4264">
        <v>-2.0896999999999899</v>
      </c>
      <c r="AF4264">
        <v>-2.0126163949906899</v>
      </c>
      <c r="AG4264">
        <v>-1.110787768352</v>
      </c>
      <c r="AH4264">
        <v>4.2478435466916498</v>
      </c>
      <c r="AI4264">
        <v>103.295776562878</v>
      </c>
      <c r="AJ4264">
        <v>115.351463334095</v>
      </c>
      <c r="AK4264">
        <v>4.8299740182402298</v>
      </c>
      <c r="AL4264">
        <v>82.3515345690072</v>
      </c>
      <c r="AM4264">
        <v>96.010991565328993</v>
      </c>
      <c r="AN4264">
        <v>1.0000000482738001</v>
      </c>
    </row>
    <row r="4265" spans="1:40" x14ac:dyDescent="0.25">
      <c r="A4265" t="str">
        <f>"20190312151112240"</f>
        <v>20190312151112240</v>
      </c>
      <c r="B4265" t="str">
        <f>"1552374672234908"</f>
        <v>1552374672234908</v>
      </c>
      <c r="C4265" t="s">
        <v>40</v>
      </c>
      <c r="D4265">
        <v>4.9270319999999996</v>
      </c>
      <c r="E4265">
        <v>0.37672410000000001</v>
      </c>
      <c r="F4265" t="s">
        <v>79</v>
      </c>
      <c r="G4265">
        <v>-285.69</v>
      </c>
      <c r="H4265" s="1">
        <v>-4.9293299999999999E-6</v>
      </c>
      <c r="I4265">
        <v>135.9632</v>
      </c>
      <c r="J4265">
        <v>-281.29020000000003</v>
      </c>
      <c r="K4265">
        <v>1.1108880000000001</v>
      </c>
      <c r="L4265">
        <v>138.0309</v>
      </c>
      <c r="M4265">
        <v>-0.99991779999999997</v>
      </c>
      <c r="N4265">
        <v>0</v>
      </c>
      <c r="O4265">
        <v>4.8502470000000002E-3</v>
      </c>
      <c r="P4265">
        <v>-0.98774269999999997</v>
      </c>
      <c r="Q4265">
        <v>0.1213255</v>
      </c>
      <c r="R4265">
        <v>-9.8205100000000004E-2</v>
      </c>
      <c r="S4265">
        <v>-2.9937740000000002</v>
      </c>
      <c r="T4265">
        <v>-0.70790220000000004</v>
      </c>
      <c r="U4265">
        <v>-1.3171389999999901</v>
      </c>
      <c r="V4265">
        <v>-0.10315290000000001</v>
      </c>
      <c r="W4265">
        <v>0.132909</v>
      </c>
      <c r="X4265">
        <v>0.98574569999999995</v>
      </c>
      <c r="Y4265">
        <v>-0.397814</v>
      </c>
      <c r="Z4265">
        <v>-4.5500440000000003E-2</v>
      </c>
      <c r="AA4265">
        <v>0.91633710000000002</v>
      </c>
      <c r="AB4265">
        <v>29</v>
      </c>
      <c r="AC4265">
        <v>-4.3997999999999697</v>
      </c>
      <c r="AD4265">
        <v>-1.1108929293299901</v>
      </c>
      <c r="AE4265">
        <v>-2.0676999999999999</v>
      </c>
      <c r="AF4265">
        <v>-1.9853478656229</v>
      </c>
      <c r="AG4265">
        <v>-1.1108929293299901</v>
      </c>
      <c r="AH4265">
        <v>4.1718747986010403</v>
      </c>
      <c r="AI4265">
        <v>103.519740474814</v>
      </c>
      <c r="AJ4265">
        <v>115.44924659649099</v>
      </c>
      <c r="AK4265">
        <v>4.75186580020641</v>
      </c>
      <c r="AL4265">
        <v>82.362274825698194</v>
      </c>
      <c r="AM4265">
        <v>95.973947632373196</v>
      </c>
      <c r="AN4265">
        <v>0.99999995406394804</v>
      </c>
    </row>
    <row r="4266" spans="1:40" x14ac:dyDescent="0.25">
      <c r="A4266" t="str">
        <f>"20190312151112263"</f>
        <v>20190312151112263</v>
      </c>
      <c r="B4266" t="str">
        <f>"1552374672255405"</f>
        <v>1552374672255405</v>
      </c>
      <c r="C4266" t="s">
        <v>40</v>
      </c>
      <c r="D4266">
        <v>4.9792670000000001</v>
      </c>
      <c r="E4266">
        <v>0.37636209999999998</v>
      </c>
      <c r="F4266" t="s">
        <v>79</v>
      </c>
      <c r="G4266">
        <v>-285.93509999999998</v>
      </c>
      <c r="H4266" s="1">
        <v>-5.1040669999999997E-6</v>
      </c>
      <c r="I4266">
        <v>135.98320000000001</v>
      </c>
      <c r="J4266">
        <v>-281.58030000000002</v>
      </c>
      <c r="K4266">
        <v>1.1109739999999999</v>
      </c>
      <c r="L4266">
        <v>138.03149999999999</v>
      </c>
      <c r="M4266">
        <v>-0.99991770000000002</v>
      </c>
      <c r="N4266">
        <v>0</v>
      </c>
      <c r="O4266">
        <v>4.1082209999999996E-3</v>
      </c>
      <c r="P4266">
        <v>-0.98756440000000001</v>
      </c>
      <c r="Q4266">
        <v>0.12170069999999999</v>
      </c>
      <c r="R4266">
        <v>-9.9524860000000007E-2</v>
      </c>
      <c r="S4266">
        <v>-2.9939580000000001</v>
      </c>
      <c r="T4266">
        <v>-0.71605649999999998</v>
      </c>
      <c r="U4266">
        <v>-1.3198700000000001</v>
      </c>
      <c r="V4266">
        <v>-0.10376100000000001</v>
      </c>
      <c r="W4266">
        <v>0.13355029999999901</v>
      </c>
      <c r="X4266">
        <v>0.9855952</v>
      </c>
      <c r="Y4266">
        <v>-0.39762989999999998</v>
      </c>
      <c r="Z4266">
        <v>-4.5813260000000001E-2</v>
      </c>
      <c r="AA4266">
        <v>0.91640140000000003</v>
      </c>
      <c r="AB4266">
        <v>29</v>
      </c>
      <c r="AC4266">
        <v>-4.3547999999999503</v>
      </c>
      <c r="AD4266">
        <v>-1.1109791040669901</v>
      </c>
      <c r="AE4266">
        <v>-2.0482999999999798</v>
      </c>
      <c r="AF4266">
        <v>-1.96163170905361</v>
      </c>
      <c r="AG4266">
        <v>-1.1109791040669901</v>
      </c>
      <c r="AH4266">
        <v>4.1264343906971597</v>
      </c>
      <c r="AI4266">
        <v>103.66667470434</v>
      </c>
      <c r="AJ4266">
        <v>115.42556281250501</v>
      </c>
      <c r="AK4266">
        <v>4.7020989262632904</v>
      </c>
      <c r="AL4266">
        <v>82.325200598769896</v>
      </c>
      <c r="AM4266">
        <v>96.009818769573499</v>
      </c>
      <c r="AN4266">
        <v>0.99999996300706395</v>
      </c>
    </row>
    <row r="4267" spans="1:40" x14ac:dyDescent="0.25">
      <c r="A4267" t="str">
        <f>"20190312151112284"</f>
        <v>20190312151112284</v>
      </c>
      <c r="B4267" t="str">
        <f>"1552374672274924"</f>
        <v>1552374672274924</v>
      </c>
      <c r="C4267" t="s">
        <v>40</v>
      </c>
      <c r="D4267">
        <v>4.9195120000000001</v>
      </c>
      <c r="E4267">
        <v>0.37606390000000001</v>
      </c>
      <c r="F4267" t="s">
        <v>79</v>
      </c>
      <c r="G4267">
        <v>-286.19839999999999</v>
      </c>
      <c r="H4267" s="1">
        <v>-5.2838150000000003E-6</v>
      </c>
      <c r="I4267">
        <v>135.98349999999999</v>
      </c>
      <c r="J4267">
        <v>-281.85980000000001</v>
      </c>
      <c r="K4267">
        <v>1.111043</v>
      </c>
      <c r="L4267">
        <v>138.0318</v>
      </c>
      <c r="M4267">
        <v>-0.99991759999999996</v>
      </c>
      <c r="N4267">
        <v>0</v>
      </c>
      <c r="O4267">
        <v>3.3248850000000001E-3</v>
      </c>
      <c r="P4267">
        <v>-0.98744419999999999</v>
      </c>
      <c r="Q4267">
        <v>0.1218101</v>
      </c>
      <c r="R4267">
        <v>-0.10058</v>
      </c>
      <c r="S4267">
        <v>-2.992737</v>
      </c>
      <c r="T4267">
        <v>-0.71996329999999997</v>
      </c>
      <c r="U4267">
        <v>-1.3271790000000001</v>
      </c>
      <c r="V4267">
        <v>-0.10406020000000001</v>
      </c>
      <c r="W4267">
        <v>0.1338915</v>
      </c>
      <c r="X4267">
        <v>0.98551739999999999</v>
      </c>
      <c r="Y4267">
        <v>-0.39881630000000001</v>
      </c>
      <c r="Z4267">
        <v>-4.6009729999999999E-2</v>
      </c>
      <c r="AA4267">
        <v>0.91587589999999997</v>
      </c>
      <c r="AB4267">
        <v>29</v>
      </c>
      <c r="AC4267">
        <v>-4.33859999999998</v>
      </c>
      <c r="AD4267">
        <v>-1.111048283815</v>
      </c>
      <c r="AE4267">
        <v>-2.04830000000001</v>
      </c>
      <c r="AF4267">
        <v>-1.9577289133940501</v>
      </c>
      <c r="AG4267">
        <v>-1.111048283815</v>
      </c>
      <c r="AH4267">
        <v>4.1112908470122402</v>
      </c>
      <c r="AI4267">
        <v>103.711834045004</v>
      </c>
      <c r="AJ4267">
        <v>115.463019786798</v>
      </c>
      <c r="AK4267">
        <v>4.6871999334393601</v>
      </c>
      <c r="AL4267">
        <v>82.305474419588506</v>
      </c>
      <c r="AM4267">
        <v>96.027493297629604</v>
      </c>
      <c r="AN4267">
        <v>1.0000000023495199</v>
      </c>
    </row>
    <row r="4268" spans="1:40" x14ac:dyDescent="0.25">
      <c r="A4268" t="str">
        <f>"20190312151112307"</f>
        <v>20190312151112307</v>
      </c>
      <c r="B4268" t="str">
        <f>"1552374672295419"</f>
        <v>1552374672295419</v>
      </c>
      <c r="C4268" t="s">
        <v>40</v>
      </c>
      <c r="D4268">
        <v>4.9237039999999999</v>
      </c>
      <c r="E4268">
        <v>0.37586269999999999</v>
      </c>
      <c r="F4268" t="s">
        <v>79</v>
      </c>
      <c r="G4268">
        <v>-286.44549999999998</v>
      </c>
      <c r="H4268" s="1">
        <v>-5.4545470000000003E-6</v>
      </c>
      <c r="I4268">
        <v>135.98920000000001</v>
      </c>
      <c r="J4268">
        <v>-282.1506</v>
      </c>
      <c r="K4268">
        <v>1.1110990000000001</v>
      </c>
      <c r="L4268">
        <v>138.0318</v>
      </c>
      <c r="M4268">
        <v>-0.99991719999999895</v>
      </c>
      <c r="N4268">
        <v>0</v>
      </c>
      <c r="O4268">
        <v>2.4442909999999999E-3</v>
      </c>
      <c r="P4268">
        <v>-0.98735189999999995</v>
      </c>
      <c r="Q4268">
        <v>0.1213954</v>
      </c>
      <c r="R4268">
        <v>-0.1019766</v>
      </c>
      <c r="S4268">
        <v>-2.9918209999999998</v>
      </c>
      <c r="T4268">
        <v>-0.72487590000000002</v>
      </c>
      <c r="U4268">
        <v>-1.3326420000000001</v>
      </c>
      <c r="V4268">
        <v>-0.1046016</v>
      </c>
      <c r="W4268">
        <v>0.13369159999999999</v>
      </c>
      <c r="X4268">
        <v>0.98548720000000001</v>
      </c>
      <c r="Y4268">
        <v>-0.39939370000000002</v>
      </c>
      <c r="Z4268">
        <v>-4.6177509999999998E-2</v>
      </c>
      <c r="AA4268">
        <v>0.91561579999999998</v>
      </c>
      <c r="AB4268">
        <v>29</v>
      </c>
      <c r="AC4268">
        <v>-4.2948999999999797</v>
      </c>
      <c r="AD4268">
        <v>-1.1111044545469999</v>
      </c>
      <c r="AE4268">
        <v>-2.04259999999999</v>
      </c>
      <c r="AF4268">
        <v>-1.9468310751759299</v>
      </c>
      <c r="AG4268">
        <v>-1.1111044545469999</v>
      </c>
      <c r="AH4268">
        <v>4.067862587354</v>
      </c>
      <c r="AI4268">
        <v>103.840836331418</v>
      </c>
      <c r="AJ4268">
        <v>115.575227106059</v>
      </c>
      <c r="AK4268">
        <v>4.64458936546378</v>
      </c>
      <c r="AL4268">
        <v>82.317031579391895</v>
      </c>
      <c r="AM4268">
        <v>96.058804521003196</v>
      </c>
      <c r="AN4268">
        <v>0.999999979998479</v>
      </c>
    </row>
    <row r="4269" spans="1:40" x14ac:dyDescent="0.25">
      <c r="A4269" t="str">
        <f>"20190312151112329"</f>
        <v>20190312151112329</v>
      </c>
      <c r="B4269" t="str">
        <f>"1552374672325676"</f>
        <v>1552374672325676</v>
      </c>
      <c r="C4269" t="s">
        <v>40</v>
      </c>
      <c r="D4269">
        <v>4.9644219999999999</v>
      </c>
      <c r="E4269">
        <v>0.36521419999999999</v>
      </c>
      <c r="F4269" t="s">
        <v>79</v>
      </c>
      <c r="G4269">
        <v>-286.71179999999998</v>
      </c>
      <c r="H4269" s="1">
        <v>-5.6366490000000002E-6</v>
      </c>
      <c r="I4269">
        <v>135.99039999999999</v>
      </c>
      <c r="J4269">
        <v>-282.4425</v>
      </c>
      <c r="K4269">
        <v>1.1111439999999999</v>
      </c>
      <c r="L4269">
        <v>138.03149999999999</v>
      </c>
      <c r="M4269">
        <v>-0.99991649999999999</v>
      </c>
      <c r="N4269">
        <v>0</v>
      </c>
      <c r="O4269">
        <v>1.5117450000000001E-3</v>
      </c>
      <c r="P4269">
        <v>-0.98723749999999999</v>
      </c>
      <c r="Q4269">
        <v>0.1209548</v>
      </c>
      <c r="R4269">
        <v>-0.10359589999999901</v>
      </c>
      <c r="S4269">
        <v>-2.9897770000000001</v>
      </c>
      <c r="T4269">
        <v>-0.72830220000000001</v>
      </c>
      <c r="U4269">
        <v>-1.33812</v>
      </c>
      <c r="V4269">
        <v>-0.1053114</v>
      </c>
      <c r="W4269">
        <v>0.13344210000000001</v>
      </c>
      <c r="X4269">
        <v>0.98544540000000003</v>
      </c>
      <c r="Y4269">
        <v>-0.40008630000000001</v>
      </c>
      <c r="Z4269">
        <v>-4.6268040000000003E-2</v>
      </c>
      <c r="AA4269">
        <v>0.91530880000000003</v>
      </c>
      <c r="AB4269">
        <v>29</v>
      </c>
      <c r="AC4269">
        <v>-4.2692999999999799</v>
      </c>
      <c r="AD4269">
        <v>-1.1111496366489999</v>
      </c>
      <c r="AE4269">
        <v>-2.0411000000000001</v>
      </c>
      <c r="AF4269">
        <v>-1.94055832470783</v>
      </c>
      <c r="AG4269">
        <v>-1.1111496366489999</v>
      </c>
      <c r="AH4269">
        <v>4.04328030903448</v>
      </c>
      <c r="AI4269">
        <v>103.91518384460601</v>
      </c>
      <c r="AJ4269">
        <v>115.638515507089</v>
      </c>
      <c r="AK4269">
        <v>4.6204475739958397</v>
      </c>
      <c r="AL4269">
        <v>82.3314559745602</v>
      </c>
      <c r="AM4269">
        <v>96.099865913920098</v>
      </c>
      <c r="AN4269">
        <v>0.999999960701764</v>
      </c>
    </row>
    <row r="4270" spans="1:40" x14ac:dyDescent="0.25">
      <c r="A4270" t="str">
        <f>"20190312151112352"</f>
        <v>20190312151112352</v>
      </c>
      <c r="B4270" t="str">
        <f>"1552374672345196"</f>
        <v>1552374672345196</v>
      </c>
      <c r="C4270" t="s">
        <v>40</v>
      </c>
      <c r="D4270">
        <v>4.9911659999999998</v>
      </c>
      <c r="E4270">
        <v>0.36580079999999998</v>
      </c>
      <c r="F4270" t="s">
        <v>79</v>
      </c>
      <c r="G4270">
        <v>-286.4298</v>
      </c>
      <c r="H4270" s="1">
        <v>-5.4948110000000004E-6</v>
      </c>
      <c r="I4270">
        <v>136.12360000000001</v>
      </c>
      <c r="J4270">
        <v>-282.73259999999999</v>
      </c>
      <c r="K4270">
        <v>1.1111770000000001</v>
      </c>
      <c r="L4270">
        <v>138.0309</v>
      </c>
      <c r="M4270">
        <v>-0.9999152</v>
      </c>
      <c r="N4270">
        <v>0</v>
      </c>
      <c r="O4270">
        <v>5.5732030000000003E-4</v>
      </c>
      <c r="P4270">
        <v>-0.9871472</v>
      </c>
      <c r="Q4270">
        <v>0.12082420000000001</v>
      </c>
      <c r="R4270">
        <v>-0.10460510000000001</v>
      </c>
      <c r="S4270">
        <v>-2.990723</v>
      </c>
      <c r="T4270">
        <v>-0.83343449999999997</v>
      </c>
      <c r="U4270">
        <v>-1.431076</v>
      </c>
      <c r="V4270">
        <v>-0.10538699999999999</v>
      </c>
      <c r="W4270">
        <v>0.13348090000000001</v>
      </c>
      <c r="X4270">
        <v>0.98543210000000003</v>
      </c>
      <c r="Y4270">
        <v>-0.41908119999999999</v>
      </c>
      <c r="Z4270">
        <v>-5.463983E-2</v>
      </c>
      <c r="AA4270">
        <v>0.90630319999999998</v>
      </c>
      <c r="AB4270">
        <v>29</v>
      </c>
      <c r="AC4270">
        <v>-3.6972000000000098</v>
      </c>
      <c r="AD4270">
        <v>-1.1111824948109901</v>
      </c>
      <c r="AE4270">
        <v>-1.90729999999999</v>
      </c>
      <c r="AF4270">
        <v>-1.7822132551052701</v>
      </c>
      <c r="AG4270">
        <v>-1.1111824948109901</v>
      </c>
      <c r="AH4270">
        <v>3.4500051439231201</v>
      </c>
      <c r="AI4270">
        <v>105.968751765324</v>
      </c>
      <c r="AJ4270">
        <v>117.32009760483101</v>
      </c>
      <c r="AK4270">
        <v>4.0390031092515004</v>
      </c>
      <c r="AL4270">
        <v>82.329213111729004</v>
      </c>
      <c r="AM4270">
        <v>96.104293546630799</v>
      </c>
      <c r="AN4270">
        <v>0.99999999707210996</v>
      </c>
    </row>
    <row r="4271" spans="1:40" x14ac:dyDescent="0.25">
      <c r="A4271" t="str">
        <f>"20190312151112373"</f>
        <v>20190312151112373</v>
      </c>
      <c r="B4271" t="str">
        <f>"1552374672365692"</f>
        <v>1552374672365692</v>
      </c>
      <c r="C4271" t="s">
        <v>40</v>
      </c>
      <c r="D4271">
        <v>5.0267249999999999</v>
      </c>
      <c r="E4271">
        <v>0.40805059999999999</v>
      </c>
      <c r="F4271" t="s">
        <v>79</v>
      </c>
      <c r="G4271">
        <v>-286.72609999999997</v>
      </c>
      <c r="H4271" s="1">
        <v>-5.6945689999999999E-6</v>
      </c>
      <c r="I4271">
        <v>136.12049999999999</v>
      </c>
      <c r="J4271">
        <v>-283.01530000000002</v>
      </c>
      <c r="K4271">
        <v>1.111191</v>
      </c>
      <c r="L4271">
        <v>138.0301</v>
      </c>
      <c r="M4271">
        <v>-0.99991319999999995</v>
      </c>
      <c r="N4271">
        <v>0</v>
      </c>
      <c r="O4271">
        <v>-3.8536540000000001E-4</v>
      </c>
      <c r="P4271">
        <v>-0.98716999999999999</v>
      </c>
      <c r="Q4271">
        <v>0.12032379999999999</v>
      </c>
      <c r="R4271">
        <v>-0.1049654</v>
      </c>
      <c r="S4271">
        <v>-2.9893489999999998</v>
      </c>
      <c r="T4271">
        <v>-0.831771699999999</v>
      </c>
      <c r="U4271">
        <v>-1.430069</v>
      </c>
      <c r="V4271">
        <v>-0.1048201</v>
      </c>
      <c r="W4271">
        <v>0.13312879999999999</v>
      </c>
      <c r="X4271">
        <v>0.98554019999999998</v>
      </c>
      <c r="Y4271">
        <v>-0.41824</v>
      </c>
      <c r="Z4271">
        <v>-5.4205719999999999E-2</v>
      </c>
      <c r="AA4271">
        <v>0.90671769999999996</v>
      </c>
      <c r="AB4271">
        <v>29</v>
      </c>
      <c r="AC4271">
        <v>-3.7107999999999399</v>
      </c>
      <c r="AD4271">
        <v>-1.1111966945689999</v>
      </c>
      <c r="AE4271">
        <v>-1.90960000000001</v>
      </c>
      <c r="AF4271">
        <v>-1.7818450374177801</v>
      </c>
      <c r="AG4271">
        <v>-1.1111966945689999</v>
      </c>
      <c r="AH4271">
        <v>3.4658245365109202</v>
      </c>
      <c r="AI4271">
        <v>105.914903160188</v>
      </c>
      <c r="AJ4271">
        <v>117.20854120220901</v>
      </c>
      <c r="AK4271">
        <v>4.05236591996238</v>
      </c>
      <c r="AL4271">
        <v>82.349568713481105</v>
      </c>
      <c r="AM4271">
        <v>96.071042129669806</v>
      </c>
      <c r="AN4271">
        <v>1.00000000828474</v>
      </c>
    </row>
    <row r="4272" spans="1:40" x14ac:dyDescent="0.25">
      <c r="A4272" t="str">
        <f>"20190312151112395"</f>
        <v>20190312151112395</v>
      </c>
      <c r="B4272" t="str">
        <f>"1552374672385212"</f>
        <v>1552374672385212</v>
      </c>
      <c r="C4272" t="s">
        <v>40</v>
      </c>
      <c r="D4272">
        <v>9.4441769999999998</v>
      </c>
      <c r="E4272">
        <v>0.42279709999999998</v>
      </c>
      <c r="F4272" t="s">
        <v>79</v>
      </c>
      <c r="G4272">
        <v>-289.1157</v>
      </c>
      <c r="H4272" s="1">
        <v>-7.0764849999999997E-6</v>
      </c>
      <c r="I4272">
        <v>135.81819999999999</v>
      </c>
      <c r="J4272">
        <v>-283.30990000000003</v>
      </c>
      <c r="K4272">
        <v>1.1112089999999999</v>
      </c>
      <c r="L4272">
        <v>138.02889999999999</v>
      </c>
      <c r="M4272">
        <v>-0.99991050000000004</v>
      </c>
      <c r="N4272">
        <v>0</v>
      </c>
      <c r="O4272">
        <v>-1.3724690000000001E-3</v>
      </c>
      <c r="P4272">
        <v>-0.98721619999999999</v>
      </c>
      <c r="Q4272">
        <v>0.1200772</v>
      </c>
      <c r="R4272">
        <v>-0.1048133</v>
      </c>
      <c r="S4272">
        <v>-2.9901119999999999</v>
      </c>
      <c r="T4272">
        <v>-0.5446529</v>
      </c>
      <c r="U4272">
        <v>-1.084152</v>
      </c>
      <c r="V4272">
        <v>-0.1036956</v>
      </c>
      <c r="W4272">
        <v>0.13302059999999999</v>
      </c>
      <c r="X4272">
        <v>0.98567369999999999</v>
      </c>
      <c r="Y4272">
        <v>-0.33472259999999998</v>
      </c>
      <c r="Z4272">
        <v>-2.908357E-2</v>
      </c>
      <c r="AA4272">
        <v>0.94186780000000003</v>
      </c>
      <c r="AB4272">
        <v>29</v>
      </c>
      <c r="AC4272">
        <v>-5.8057999999999703</v>
      </c>
      <c r="AD4272">
        <v>-1.1112160764849901</v>
      </c>
      <c r="AE4272">
        <v>-2.2107000000000001</v>
      </c>
      <c r="AF4272">
        <v>-2.13443921432054</v>
      </c>
      <c r="AG4272">
        <v>-1.1112160764849901</v>
      </c>
      <c r="AH4272">
        <v>5.6287417182275101</v>
      </c>
      <c r="AI4272">
        <v>100.458616944491</v>
      </c>
      <c r="AJ4272">
        <v>110.76690854892399</v>
      </c>
      <c r="AK4272">
        <v>6.1215492531533897</v>
      </c>
      <c r="AL4272">
        <v>82.355823302160204</v>
      </c>
      <c r="AM4272">
        <v>96.0055836775269</v>
      </c>
      <c r="AN4272">
        <v>0.99999995017770305</v>
      </c>
    </row>
    <row r="4273" spans="1:40" x14ac:dyDescent="0.25">
      <c r="A4273" t="str">
        <f>"20190312151112418"</f>
        <v>20190312151112418</v>
      </c>
      <c r="B4273" t="str">
        <f>"1552374672415468"</f>
        <v>1552374672415468</v>
      </c>
      <c r="C4273" t="s">
        <v>40</v>
      </c>
      <c r="D4273">
        <v>5.0210619999999997</v>
      </c>
      <c r="E4273">
        <v>0.48249900000000001</v>
      </c>
      <c r="F4273" t="s">
        <v>79</v>
      </c>
      <c r="G4273">
        <v>-290.46600000000001</v>
      </c>
      <c r="H4273" s="1">
        <v>-7.5229249999999996E-6</v>
      </c>
      <c r="I4273">
        <v>135.7235</v>
      </c>
      <c r="J4273">
        <v>-283.58999999999997</v>
      </c>
      <c r="K4273">
        <v>1.1112200000000001</v>
      </c>
      <c r="L4273">
        <v>138.0275</v>
      </c>
      <c r="M4273">
        <v>-0.9999074</v>
      </c>
      <c r="N4273">
        <v>0</v>
      </c>
      <c r="O4273">
        <v>-2.3104219999999999E-3</v>
      </c>
      <c r="P4273">
        <v>-0.98712690000000003</v>
      </c>
      <c r="Q4273">
        <v>0.1205326</v>
      </c>
      <c r="R4273">
        <v>-0.10513210000000001</v>
      </c>
      <c r="S4273">
        <v>-2.9930110000000001</v>
      </c>
      <c r="T4273">
        <v>-0.46476089999999998</v>
      </c>
      <c r="U4273">
        <v>-0.96421809999999997</v>
      </c>
      <c r="V4273">
        <v>-0.1030898</v>
      </c>
      <c r="W4273">
        <v>0.1335886</v>
      </c>
      <c r="X4273">
        <v>0.98566050000000005</v>
      </c>
      <c r="Y4273">
        <v>-0.30119059999999998</v>
      </c>
      <c r="Z4273">
        <v>-2.2333370000000002E-2</v>
      </c>
      <c r="AA4273">
        <v>0.95330239999999999</v>
      </c>
      <c r="AB4273">
        <v>29</v>
      </c>
      <c r="AC4273">
        <v>-6.8760000000000296</v>
      </c>
      <c r="AD4273">
        <v>-1.1112275229249999</v>
      </c>
      <c r="AE4273">
        <v>-2.3039999999999998</v>
      </c>
      <c r="AF4273">
        <v>-2.2356110378300702</v>
      </c>
      <c r="AG4273">
        <v>-1.1112275229249999</v>
      </c>
      <c r="AH4273">
        <v>6.7234308369474096</v>
      </c>
      <c r="AI4273">
        <v>98.913323347410596</v>
      </c>
      <c r="AJ4273">
        <v>108.392505574534</v>
      </c>
      <c r="AK4273">
        <v>7.1719805869361499</v>
      </c>
      <c r="AL4273">
        <v>82.322986777840001</v>
      </c>
      <c r="AM4273">
        <v>95.9708320357785</v>
      </c>
      <c r="AN4273">
        <v>1.0000000210871201</v>
      </c>
    </row>
    <row r="4274" spans="1:40" x14ac:dyDescent="0.25">
      <c r="A4274" t="str">
        <f>"20190312151112441"</f>
        <v>20190312151112441</v>
      </c>
      <c r="B4274" t="str">
        <f>"1552374672435738"</f>
        <v>1552374672435738</v>
      </c>
      <c r="C4274" t="s">
        <v>40</v>
      </c>
      <c r="D4274">
        <v>5.0411890000000001</v>
      </c>
      <c r="E4274">
        <v>0.48242950000000001</v>
      </c>
      <c r="F4274" t="s">
        <v>79</v>
      </c>
      <c r="G4274">
        <v>-292.77480000000003</v>
      </c>
      <c r="H4274" s="1">
        <v>-7.6092579999999901E-6</v>
      </c>
      <c r="I4274">
        <v>136.5504</v>
      </c>
      <c r="J4274">
        <v>-283.8929</v>
      </c>
      <c r="K4274">
        <v>1.1112280000000001</v>
      </c>
      <c r="L4274">
        <v>138.0257</v>
      </c>
      <c r="M4274">
        <v>-0.99990310000000004</v>
      </c>
      <c r="N4274">
        <v>0</v>
      </c>
      <c r="O4274">
        <v>-3.3195389999999998E-3</v>
      </c>
      <c r="P4274">
        <v>-0.98695920000000004</v>
      </c>
      <c r="Q4274">
        <v>0.121232199999999</v>
      </c>
      <c r="R4274">
        <v>-0.1058981</v>
      </c>
      <c r="S4274">
        <v>-3.031952</v>
      </c>
      <c r="T4274">
        <v>-0.36682110000000001</v>
      </c>
      <c r="U4274">
        <v>-0.48759459999999999</v>
      </c>
      <c r="V4274">
        <v>-0.10286090000000001</v>
      </c>
      <c r="W4274">
        <v>0.13439189999999901</v>
      </c>
      <c r="X4274">
        <v>0.98557519999999998</v>
      </c>
      <c r="Y4274">
        <v>-0.1544259</v>
      </c>
      <c r="Z4274">
        <v>-8.851266E-3</v>
      </c>
      <c r="AA4274">
        <v>0.98796470000000003</v>
      </c>
      <c r="AB4274">
        <v>29</v>
      </c>
      <c r="AC4274">
        <v>-8.8819000000000301</v>
      </c>
      <c r="AD4274">
        <v>-1.111235609258</v>
      </c>
      <c r="AE4274">
        <v>-1.4753000000000001</v>
      </c>
      <c r="AF4274">
        <v>-1.42411209684756</v>
      </c>
      <c r="AG4274">
        <v>-1.111235609258</v>
      </c>
      <c r="AH4274">
        <v>8.7534095717693496</v>
      </c>
      <c r="AI4274">
        <v>97.142020703654197</v>
      </c>
      <c r="AJ4274">
        <v>99.240618911300899</v>
      </c>
      <c r="AK4274">
        <v>8.9378475582666894</v>
      </c>
      <c r="AL4274">
        <v>82.276542194583996</v>
      </c>
      <c r="AM4274">
        <v>95.958181812148695</v>
      </c>
      <c r="AN4274">
        <v>1.00000001119473</v>
      </c>
    </row>
    <row r="4275" spans="1:40" x14ac:dyDescent="0.25">
      <c r="A4275" t="str">
        <f>"20190312151112465"</f>
        <v>20190312151112465</v>
      </c>
      <c r="B4275" t="str">
        <f>"1552374672455258"</f>
        <v>1552374672455258</v>
      </c>
      <c r="C4275" t="s">
        <v>40</v>
      </c>
      <c r="D4275">
        <v>5.0536500000000002</v>
      </c>
      <c r="E4275">
        <v>0.48208709999999999</v>
      </c>
      <c r="F4275" t="s">
        <v>79</v>
      </c>
      <c r="G4275">
        <v>-293.03629999999998</v>
      </c>
      <c r="H4275" s="1">
        <v>-7.5842089999999998E-6</v>
      </c>
      <c r="I4275">
        <v>136.5445</v>
      </c>
      <c r="J4275">
        <v>-284.18860000000001</v>
      </c>
      <c r="K4275">
        <v>1.1112229999999901</v>
      </c>
      <c r="L4275">
        <v>138.02359999999999</v>
      </c>
      <c r="M4275">
        <v>-0.99989819999999996</v>
      </c>
      <c r="N4275">
        <v>0</v>
      </c>
      <c r="O4275">
        <v>-4.2990659999999998E-3</v>
      </c>
      <c r="P4275">
        <v>-0.98684839999999996</v>
      </c>
      <c r="Q4275">
        <v>0.1208819</v>
      </c>
      <c r="R4275">
        <v>-0.1073233</v>
      </c>
      <c r="S4275">
        <v>-3.0322269999999998</v>
      </c>
      <c r="T4275">
        <v>-0.36851869999999998</v>
      </c>
      <c r="U4275">
        <v>-0.49121090000000001</v>
      </c>
      <c r="V4275">
        <v>-0.103317699999999</v>
      </c>
      <c r="W4275">
        <v>0.13412779999999999</v>
      </c>
      <c r="X4275">
        <v>0.98556339999999998</v>
      </c>
      <c r="Y4275">
        <v>-0.154589</v>
      </c>
      <c r="Z4275">
        <v>-8.7822839999999996E-3</v>
      </c>
      <c r="AA4275">
        <v>0.98793980000000003</v>
      </c>
      <c r="AB4275">
        <v>29</v>
      </c>
      <c r="AC4275">
        <v>-8.8476999999999695</v>
      </c>
      <c r="AD4275">
        <v>-1.11123058420899</v>
      </c>
      <c r="AE4275">
        <v>-1.4790999999999801</v>
      </c>
      <c r="AF4275">
        <v>-1.4192668110315401</v>
      </c>
      <c r="AG4275">
        <v>-1.11123058420899</v>
      </c>
      <c r="AH4275">
        <v>8.7201635681434304</v>
      </c>
      <c r="AI4275">
        <v>97.168862427750796</v>
      </c>
      <c r="AJ4275">
        <v>99.244226399985493</v>
      </c>
      <c r="AK4275">
        <v>8.9045159524453101</v>
      </c>
      <c r="AL4275">
        <v>82.2918122893157</v>
      </c>
      <c r="AM4275">
        <v>95.984521320311103</v>
      </c>
      <c r="AN4275">
        <v>1.0000000146428401</v>
      </c>
    </row>
    <row r="4276" spans="1:40" x14ac:dyDescent="0.25">
      <c r="A4276" t="str">
        <f>"20190312151112486"</f>
        <v>20190312151112486</v>
      </c>
      <c r="B4276" t="str">
        <f>"1552374672475754"</f>
        <v>1552374672475754</v>
      </c>
      <c r="C4276" t="s">
        <v>40</v>
      </c>
      <c r="D4276">
        <v>5.0460659999999997</v>
      </c>
      <c r="E4276">
        <v>0.48150189999999998</v>
      </c>
      <c r="F4276" t="s">
        <v>79</v>
      </c>
      <c r="G4276">
        <v>-293.24</v>
      </c>
      <c r="H4276" s="1">
        <v>-7.5630039999999902E-6</v>
      </c>
      <c r="I4276">
        <v>136.535</v>
      </c>
      <c r="J4276">
        <v>-284.46980000000002</v>
      </c>
      <c r="K4276">
        <v>1.111224</v>
      </c>
      <c r="L4276">
        <v>138.0214</v>
      </c>
      <c r="M4276">
        <v>-0.99989280000000003</v>
      </c>
      <c r="N4276">
        <v>0</v>
      </c>
      <c r="O4276">
        <v>-5.221453E-3</v>
      </c>
      <c r="P4276">
        <v>-0.98674649999999997</v>
      </c>
      <c r="Q4276">
        <v>0.12061479999999999</v>
      </c>
      <c r="R4276">
        <v>-0.1085547</v>
      </c>
      <c r="S4276">
        <v>-3.0313110000000001</v>
      </c>
      <c r="T4276">
        <v>-0.37215280000000001</v>
      </c>
      <c r="U4276">
        <v>-0.49853520000000001</v>
      </c>
      <c r="V4276">
        <v>-0.1036372</v>
      </c>
      <c r="W4276">
        <v>0.1339331</v>
      </c>
      <c r="X4276">
        <v>0.98555630000000005</v>
      </c>
      <c r="Y4276">
        <v>-0.15602469999999999</v>
      </c>
      <c r="Z4276">
        <v>-8.8443469999999903E-3</v>
      </c>
      <c r="AA4276">
        <v>0.98771359999999997</v>
      </c>
      <c r="AB4276">
        <v>29</v>
      </c>
      <c r="AC4276">
        <v>-8.7701999999999796</v>
      </c>
      <c r="AD4276">
        <v>-1.1112315630039999</v>
      </c>
      <c r="AE4276">
        <v>-1.4863999999999999</v>
      </c>
      <c r="AF4276">
        <v>-1.4184460205487499</v>
      </c>
      <c r="AG4276">
        <v>-1.1112315630039999</v>
      </c>
      <c r="AH4276">
        <v>8.6429604447165609</v>
      </c>
      <c r="AI4276">
        <v>97.230681752717501</v>
      </c>
      <c r="AJ4276">
        <v>99.320057622691905</v>
      </c>
      <c r="AK4276">
        <v>8.8287932328694794</v>
      </c>
      <c r="AL4276">
        <v>82.303069098447494</v>
      </c>
      <c r="AM4276">
        <v>96.002935877716197</v>
      </c>
      <c r="AN4276">
        <v>0.99999998248456901</v>
      </c>
    </row>
    <row r="4277" spans="1:40" x14ac:dyDescent="0.25">
      <c r="A4277" t="str">
        <f>"20190312151112507"</f>
        <v>20190312151112507</v>
      </c>
      <c r="B4277" t="str">
        <f>"1552374672495275"</f>
        <v>1552374672495275</v>
      </c>
      <c r="C4277" t="s">
        <v>40</v>
      </c>
      <c r="D4277">
        <v>5.0870850000000001</v>
      </c>
      <c r="E4277">
        <v>0.48123500000000002</v>
      </c>
      <c r="F4277" t="s">
        <v>79</v>
      </c>
      <c r="G4277">
        <v>-293.39280000000002</v>
      </c>
      <c r="H4277" s="1">
        <v>-7.5472349999999901E-6</v>
      </c>
      <c r="I4277">
        <v>136.5283</v>
      </c>
      <c r="J4277">
        <v>-284.74849999999998</v>
      </c>
      <c r="K4277">
        <v>1.111221</v>
      </c>
      <c r="L4277">
        <v>138.0189</v>
      </c>
      <c r="M4277">
        <v>-0.99988679999999996</v>
      </c>
      <c r="N4277">
        <v>0</v>
      </c>
      <c r="O4277">
        <v>-6.1203029999999997E-3</v>
      </c>
      <c r="P4277">
        <v>-0.98656699999999997</v>
      </c>
      <c r="Q4277">
        <v>0.120878</v>
      </c>
      <c r="R4277">
        <v>-0.10988239999999901</v>
      </c>
      <c r="S4277">
        <v>-3.03064</v>
      </c>
      <c r="T4277">
        <v>-0.37742209999999998</v>
      </c>
      <c r="U4277">
        <v>-0.50711059999999997</v>
      </c>
      <c r="V4277">
        <v>-0.10407619999999999</v>
      </c>
      <c r="W4277">
        <v>0.13425819999999999</v>
      </c>
      <c r="X4277">
        <v>0.98546579999999995</v>
      </c>
      <c r="Y4277">
        <v>-0.15785350000000001</v>
      </c>
      <c r="Z4277">
        <v>-8.970479E-3</v>
      </c>
      <c r="AA4277">
        <v>0.98742180000000002</v>
      </c>
      <c r="AB4277">
        <v>29</v>
      </c>
      <c r="AC4277">
        <v>-8.6443000000000403</v>
      </c>
      <c r="AD4277">
        <v>-1.1112285472350001</v>
      </c>
      <c r="AE4277">
        <v>-1.4905999999999999</v>
      </c>
      <c r="AF4277">
        <v>-1.4149541134872501</v>
      </c>
      <c r="AG4277">
        <v>-1.1112285472350001</v>
      </c>
      <c r="AH4277">
        <v>8.5165873815930198</v>
      </c>
      <c r="AI4277">
        <v>97.334431591079294</v>
      </c>
      <c r="AJ4277">
        <v>99.433013733729595</v>
      </c>
      <c r="AK4277">
        <v>8.7045496526686499</v>
      </c>
      <c r="AL4277">
        <v>82.284272467383801</v>
      </c>
      <c r="AM4277">
        <v>96.028726572983899</v>
      </c>
      <c r="AN4277">
        <v>0.99999998132166001</v>
      </c>
    </row>
    <row r="4278" spans="1:40" x14ac:dyDescent="0.25">
      <c r="A4278" t="str">
        <f>"20190312151112531"</f>
        <v>20190312151112531</v>
      </c>
      <c r="B4278" t="str">
        <f>"1552374672525258"</f>
        <v>1552374672525258</v>
      </c>
      <c r="C4278" t="s">
        <v>40</v>
      </c>
      <c r="D4278">
        <v>5.0139290000000001</v>
      </c>
      <c r="E4278">
        <v>0.48099039999999998</v>
      </c>
      <c r="F4278" t="s">
        <v>79</v>
      </c>
      <c r="G4278">
        <v>-293.70710000000003</v>
      </c>
      <c r="H4278" s="1">
        <v>-7.51016999999999E-6</v>
      </c>
      <c r="I4278">
        <v>136.50129999999999</v>
      </c>
      <c r="J4278">
        <v>-285.03550000000001</v>
      </c>
      <c r="K4278">
        <v>1.1112120000000001</v>
      </c>
      <c r="L4278">
        <v>138.01609999999999</v>
      </c>
      <c r="M4278">
        <v>-0.99988030000000006</v>
      </c>
      <c r="N4278">
        <v>0</v>
      </c>
      <c r="O4278">
        <v>-7.021813E-3</v>
      </c>
      <c r="P4278">
        <v>-0.98642560000000001</v>
      </c>
      <c r="Q4278">
        <v>0.1209139</v>
      </c>
      <c r="R4278">
        <v>-0.11110689999999999</v>
      </c>
      <c r="S4278">
        <v>-3.0297239999999999</v>
      </c>
      <c r="T4278">
        <v>-0.37580789999999997</v>
      </c>
      <c r="U4278">
        <v>-0.51325989999999999</v>
      </c>
      <c r="V4278">
        <v>-0.1044057</v>
      </c>
      <c r="W4278">
        <v>0.13435169999999999</v>
      </c>
      <c r="X4278">
        <v>0.98541820000000002</v>
      </c>
      <c r="Y4278">
        <v>-0.15896859999999999</v>
      </c>
      <c r="Z4278">
        <v>-8.8913840000000004E-3</v>
      </c>
      <c r="AA4278">
        <v>0.9872436</v>
      </c>
      <c r="AB4278">
        <v>29</v>
      </c>
      <c r="AC4278">
        <v>-8.6716000000000104</v>
      </c>
      <c r="AD4278">
        <v>-1.11121951017</v>
      </c>
      <c r="AE4278">
        <v>-1.5147999999999999</v>
      </c>
      <c r="AF4278">
        <v>-1.43106278928786</v>
      </c>
      <c r="AG4278">
        <v>-1.11121951017</v>
      </c>
      <c r="AH4278">
        <v>8.54584735320765</v>
      </c>
      <c r="AI4278">
        <v>97.307988446613507</v>
      </c>
      <c r="AJ4278">
        <v>99.506380866135402</v>
      </c>
      <c r="AK4278">
        <v>8.7358031394367508</v>
      </c>
      <c r="AL4278">
        <v>82.278866316005704</v>
      </c>
      <c r="AM4278">
        <v>96.047961952063801</v>
      </c>
      <c r="AN4278">
        <v>0.99999997918830896</v>
      </c>
    </row>
    <row r="4279" spans="1:40" x14ac:dyDescent="0.25">
      <c r="A4279" t="str">
        <f>"20190312151112552"</f>
        <v>20190312151112552</v>
      </c>
      <c r="B4279" t="str">
        <f>"1552374672545754"</f>
        <v>1552374672545754</v>
      </c>
      <c r="C4279" t="s">
        <v>40</v>
      </c>
      <c r="D4279">
        <v>5.0146759999999997</v>
      </c>
      <c r="E4279">
        <v>0.48094480000000001</v>
      </c>
      <c r="F4279" t="s">
        <v>79</v>
      </c>
      <c r="G4279">
        <v>-293.84350000000001</v>
      </c>
      <c r="H4279" s="1">
        <v>-7.5006660000000004E-6</v>
      </c>
      <c r="I4279">
        <v>136.50829999999999</v>
      </c>
      <c r="J4279">
        <v>-285.3202</v>
      </c>
      <c r="K4279">
        <v>1.111192</v>
      </c>
      <c r="L4279">
        <v>138.01320000000001</v>
      </c>
      <c r="M4279">
        <v>-0.99987300000000001</v>
      </c>
      <c r="N4279">
        <v>0</v>
      </c>
      <c r="O4279">
        <v>-7.8832820000000001E-3</v>
      </c>
      <c r="P4279">
        <v>-0.98653349999999995</v>
      </c>
      <c r="Q4279">
        <v>0.1201686</v>
      </c>
      <c r="R4279">
        <v>-0.1109575</v>
      </c>
      <c r="S4279">
        <v>-3.0296940000000001</v>
      </c>
      <c r="T4279">
        <v>-0.38222479999999998</v>
      </c>
      <c r="U4279">
        <v>-0.51863099999999995</v>
      </c>
      <c r="V4279">
        <v>-0.10339470000000001</v>
      </c>
      <c r="W4279">
        <v>0.13366329999999901</v>
      </c>
      <c r="X4279">
        <v>0.98561840000000001</v>
      </c>
      <c r="Y4279">
        <v>-0.1597826</v>
      </c>
      <c r="Z4279">
        <v>-8.9841360000000002E-3</v>
      </c>
      <c r="AA4279">
        <v>0.98711130000000002</v>
      </c>
      <c r="AB4279">
        <v>29</v>
      </c>
      <c r="AC4279">
        <v>-8.5233000000000008</v>
      </c>
      <c r="AD4279">
        <v>-1.111199500666</v>
      </c>
      <c r="AE4279">
        <v>-1.5049000000000201</v>
      </c>
      <c r="AF4279">
        <v>-1.41434259108315</v>
      </c>
      <c r="AG4279">
        <v>-1.111199500666</v>
      </c>
      <c r="AH4279">
        <v>8.3965002454029296</v>
      </c>
      <c r="AI4279">
        <v>97.435213923488107</v>
      </c>
      <c r="AJ4279">
        <v>99.5613916109576</v>
      </c>
      <c r="AK4279">
        <v>8.5869869958142804</v>
      </c>
      <c r="AL4279">
        <v>82.318667781701393</v>
      </c>
      <c r="AM4279">
        <v>95.988617254771</v>
      </c>
      <c r="AN4279">
        <v>0.99999998608676899</v>
      </c>
    </row>
    <row r="4280" spans="1:40" x14ac:dyDescent="0.25">
      <c r="A4280" t="str">
        <f>"20190312151112568"</f>
        <v>20190312151112568</v>
      </c>
      <c r="B4280" t="str">
        <f>"1552374672565274"</f>
        <v>1552374672565274</v>
      </c>
      <c r="C4280" t="s">
        <v>40</v>
      </c>
      <c r="D4280">
        <v>5.0716960000000002</v>
      </c>
      <c r="E4280">
        <v>0.4810721</v>
      </c>
      <c r="F4280" t="s">
        <v>79</v>
      </c>
      <c r="G4280">
        <v>-294.00580000000002</v>
      </c>
      <c r="H4280" s="1">
        <v>-7.4932709999999997E-6</v>
      </c>
      <c r="I4280">
        <v>136.52799999999999</v>
      </c>
      <c r="J4280">
        <v>-285.51150000000001</v>
      </c>
      <c r="K4280">
        <v>1.111167</v>
      </c>
      <c r="L4280">
        <v>138.011</v>
      </c>
      <c r="M4280">
        <v>-0.99986819999999998</v>
      </c>
      <c r="N4280">
        <v>0</v>
      </c>
      <c r="O4280">
        <v>-8.4368869999999901E-3</v>
      </c>
      <c r="P4280">
        <v>-0.98669850000000003</v>
      </c>
      <c r="Q4280">
        <v>0.1194873</v>
      </c>
      <c r="R4280">
        <v>-0.1102224</v>
      </c>
      <c r="S4280">
        <v>-3.0299070000000001</v>
      </c>
      <c r="T4280">
        <v>-0.38763199999999998</v>
      </c>
      <c r="U4280">
        <v>-0.51809689999999997</v>
      </c>
      <c r="V4280">
        <v>-0.1021036</v>
      </c>
      <c r="W4280">
        <v>0.1330201</v>
      </c>
      <c r="X4280">
        <v>0.98584000000000005</v>
      </c>
      <c r="Y4280">
        <v>-0.1590327</v>
      </c>
      <c r="Z4280">
        <v>-8.9922860000000004E-3</v>
      </c>
      <c r="AA4280">
        <v>0.98723240000000001</v>
      </c>
      <c r="AB4280">
        <v>29</v>
      </c>
      <c r="AC4280">
        <v>-8.4943000000000097</v>
      </c>
      <c r="AD4280">
        <v>-1.1111744932709999</v>
      </c>
      <c r="AE4280">
        <v>-1.4830000000000001</v>
      </c>
      <c r="AF4280">
        <v>-1.38822181976953</v>
      </c>
      <c r="AG4280">
        <v>-1.1111744932709999</v>
      </c>
      <c r="AH4280">
        <v>8.3675576641204792</v>
      </c>
      <c r="AI4280">
        <v>97.463522884869903</v>
      </c>
      <c r="AJ4280">
        <v>99.419870583253797</v>
      </c>
      <c r="AK4280">
        <v>8.5544076263503896</v>
      </c>
      <c r="AL4280">
        <v>82.355852581342802</v>
      </c>
      <c r="AM4280">
        <v>95.913050156116299</v>
      </c>
      <c r="AN4280">
        <v>0.99999999886848501</v>
      </c>
    </row>
    <row r="4281" spans="1:40" x14ac:dyDescent="0.25">
      <c r="A4281" t="str">
        <f>"20190312151112586"</f>
        <v>20190312151112586</v>
      </c>
      <c r="B4281" t="str">
        <f>"1552374672575034"</f>
        <v>1552374672575034</v>
      </c>
      <c r="C4281" t="s">
        <v>40</v>
      </c>
      <c r="D4281">
        <v>5.1444349999999996</v>
      </c>
      <c r="E4281">
        <v>0.4810721</v>
      </c>
      <c r="F4281" t="s">
        <v>79</v>
      </c>
      <c r="G4281">
        <v>-294.15469999999999</v>
      </c>
      <c r="H4281" s="1">
        <v>-7.4852769999999997E-6</v>
      </c>
      <c r="I4281">
        <v>136.54249999999999</v>
      </c>
      <c r="J4281">
        <v>-285.75099999999998</v>
      </c>
      <c r="K4281">
        <v>1.1111409999999999</v>
      </c>
      <c r="L4281">
        <v>138.00829999999999</v>
      </c>
      <c r="M4281">
        <v>-0.99986189999999997</v>
      </c>
      <c r="N4281">
        <v>0</v>
      </c>
      <c r="O4281">
        <v>-9.0986839999999992E-3</v>
      </c>
      <c r="P4281">
        <v>-0.98718510000000004</v>
      </c>
      <c r="Q4281">
        <v>0.119383</v>
      </c>
      <c r="R4281">
        <v>-0.1058911</v>
      </c>
      <c r="S4281">
        <v>-3.03009</v>
      </c>
      <c r="T4281">
        <v>-0.38955010000000001</v>
      </c>
      <c r="U4281">
        <v>-0.5148315</v>
      </c>
      <c r="V4281">
        <v>-9.7103599999999998E-2</v>
      </c>
      <c r="W4281">
        <v>0.13296810000000001</v>
      </c>
      <c r="X4281">
        <v>0.98635200000000001</v>
      </c>
      <c r="Y4281">
        <v>-0.15734239999999999</v>
      </c>
      <c r="Z4281">
        <v>-8.8451339999999993E-3</v>
      </c>
      <c r="AA4281">
        <v>0.98750450000000001</v>
      </c>
      <c r="AB4281">
        <v>29</v>
      </c>
      <c r="AC4281">
        <v>-8.4037000000000095</v>
      </c>
      <c r="AD4281">
        <v>-1.1111484852769999</v>
      </c>
      <c r="AE4281">
        <v>-1.4658</v>
      </c>
      <c r="AF4281">
        <v>-1.3660917717185601</v>
      </c>
      <c r="AG4281">
        <v>-1.1111484852769999</v>
      </c>
      <c r="AH4281">
        <v>8.2762724122471294</v>
      </c>
      <c r="AI4281">
        <v>97.545739809865594</v>
      </c>
      <c r="AJ4281">
        <v>99.372800758704599</v>
      </c>
      <c r="AK4281">
        <v>8.4615331191701593</v>
      </c>
      <c r="AL4281">
        <v>82.358858261567406</v>
      </c>
      <c r="AM4281">
        <v>95.6224920805127</v>
      </c>
      <c r="AN4281">
        <v>0.99999994632728295</v>
      </c>
    </row>
    <row r="4282" spans="1:40" x14ac:dyDescent="0.25">
      <c r="A4282" t="str">
        <f>"20190312151112608"</f>
        <v>20190312151112608</v>
      </c>
      <c r="B4282" t="str">
        <f>"1552374672605290"</f>
        <v>1552374672605290</v>
      </c>
      <c r="C4282" t="s">
        <v>40</v>
      </c>
      <c r="D4282">
        <v>4.3687370000000003</v>
      </c>
      <c r="E4282">
        <v>0.54365459999999999</v>
      </c>
      <c r="F4282" t="s">
        <v>79</v>
      </c>
      <c r="G4282">
        <v>-294.38900000000001</v>
      </c>
      <c r="H4282" s="1">
        <v>-7.4785289999999998E-6</v>
      </c>
      <c r="I4282">
        <v>136.5821</v>
      </c>
      <c r="J4282">
        <v>-286.03250000000003</v>
      </c>
      <c r="K4282">
        <v>1.1111040000000001</v>
      </c>
      <c r="L4282">
        <v>138.00489999999999</v>
      </c>
      <c r="M4282">
        <v>-0.99985460000000004</v>
      </c>
      <c r="N4282">
        <v>0</v>
      </c>
      <c r="O4282">
        <v>-9.8266959999999993E-3</v>
      </c>
      <c r="P4282">
        <v>-0.9878711</v>
      </c>
      <c r="Q4282">
        <v>0.119022</v>
      </c>
      <c r="R4282">
        <v>-9.9722110000000003E-2</v>
      </c>
      <c r="S4282">
        <v>-3.0323790000000002</v>
      </c>
      <c r="T4282">
        <v>-0.39006689999999999</v>
      </c>
      <c r="U4282">
        <v>-0.50067139999999999</v>
      </c>
      <c r="V4282">
        <v>-9.0194430000000006E-2</v>
      </c>
      <c r="W4282">
        <v>0.1326666</v>
      </c>
      <c r="X4282">
        <v>0.98704840000000005</v>
      </c>
      <c r="Y4282">
        <v>-0.1520582</v>
      </c>
      <c r="Z4282">
        <v>-8.4247469999999998E-3</v>
      </c>
      <c r="AA4282">
        <v>0.98833559999999998</v>
      </c>
      <c r="AB4282">
        <v>29</v>
      </c>
      <c r="AC4282">
        <v>-8.3564999999999792</v>
      </c>
      <c r="AD4282">
        <v>-1.1111114785289999</v>
      </c>
      <c r="AE4282">
        <v>-1.4227999999999901</v>
      </c>
      <c r="AF4282">
        <v>-1.31796224913918</v>
      </c>
      <c r="AG4282">
        <v>-1.1111114785289999</v>
      </c>
      <c r="AH4282">
        <v>8.2286996235533501</v>
      </c>
      <c r="AI4282">
        <v>97.594425496914397</v>
      </c>
      <c r="AJ4282">
        <v>99.099579872221398</v>
      </c>
      <c r="AK4282">
        <v>8.4073236349353095</v>
      </c>
      <c r="AL4282">
        <v>82.376287786847499</v>
      </c>
      <c r="AM4282">
        <v>95.221069543625603</v>
      </c>
      <c r="AN4282">
        <v>1.00000000295057</v>
      </c>
    </row>
    <row r="4283" spans="1:40" x14ac:dyDescent="0.25">
      <c r="A4283" t="str">
        <f>"20190312151112631"</f>
        <v>20190312151112631</v>
      </c>
      <c r="B4283" t="str">
        <f>"1552374672625056"</f>
        <v>1552374672625056</v>
      </c>
      <c r="C4283" t="s">
        <v>40</v>
      </c>
      <c r="D4283">
        <v>5.2753540000000001</v>
      </c>
      <c r="E4283">
        <v>0.56540829999999997</v>
      </c>
      <c r="F4283" t="s">
        <v>42</v>
      </c>
      <c r="G4283">
        <v>-377.10379999999998</v>
      </c>
      <c r="H4283" s="1">
        <v>-1.343673E-6</v>
      </c>
      <c r="I4283">
        <v>138.946</v>
      </c>
      <c r="J4283">
        <v>-286.32889999999998</v>
      </c>
      <c r="K4283">
        <v>1.111062</v>
      </c>
      <c r="L4283">
        <v>138.00120000000001</v>
      </c>
      <c r="M4283">
        <v>-0.99984689999999998</v>
      </c>
      <c r="N4283">
        <v>0</v>
      </c>
      <c r="O4283">
        <v>-1.05322E-2</v>
      </c>
      <c r="P4283">
        <v>-0.98858170000000001</v>
      </c>
      <c r="Q4283">
        <v>0.1187733</v>
      </c>
      <c r="R4283">
        <v>-9.2731649999999999E-2</v>
      </c>
      <c r="S4283">
        <v>-3.044495</v>
      </c>
      <c r="T4283">
        <v>-3.714406E-2</v>
      </c>
      <c r="U4283">
        <v>3.1463619999999998E-2</v>
      </c>
      <c r="V4283">
        <v>-8.2483500000000001E-2</v>
      </c>
      <c r="W4283">
        <v>0.13247519999999999</v>
      </c>
      <c r="X4283">
        <v>0.98774830000000002</v>
      </c>
      <c r="Y4283">
        <v>2.0863799999999998E-2</v>
      </c>
      <c r="Z4283">
        <v>2.5576670000000001E-4</v>
      </c>
      <c r="AA4283">
        <v>0.99978230000000001</v>
      </c>
      <c r="AB4283">
        <v>29</v>
      </c>
      <c r="AC4283">
        <v>-90.774900000000002</v>
      </c>
      <c r="AD4283">
        <v>-1.111063343673</v>
      </c>
      <c r="AE4283">
        <v>0.94479999999998598</v>
      </c>
      <c r="AF4283">
        <v>1.9006156328660599</v>
      </c>
      <c r="AG4283">
        <v>-1.111063343673</v>
      </c>
      <c r="AH4283">
        <v>90.746318979883696</v>
      </c>
      <c r="AI4283">
        <v>90.701318848137802</v>
      </c>
      <c r="AJ4283">
        <v>88.800157002462498</v>
      </c>
      <c r="AK4283">
        <v>90.773020275500002</v>
      </c>
      <c r="AL4283">
        <v>82.387351490634202</v>
      </c>
      <c r="AM4283">
        <v>94.773500406742301</v>
      </c>
      <c r="AN4283">
        <v>0.999999955270089</v>
      </c>
    </row>
    <row r="4284" spans="1:40" x14ac:dyDescent="0.25">
      <c r="A4284" t="str">
        <f>"20190312151112655"</f>
        <v>20190312151112655</v>
      </c>
      <c r="B4284" t="str">
        <f>"1552374672645553"</f>
        <v>1552374672645553</v>
      </c>
      <c r="C4284" t="s">
        <v>40</v>
      </c>
      <c r="D4284">
        <v>5.146325</v>
      </c>
      <c r="E4284">
        <v>0.57282849999999996</v>
      </c>
      <c r="F4284" t="s">
        <v>79</v>
      </c>
      <c r="G4284">
        <v>-318.9701</v>
      </c>
      <c r="H4284" s="1">
        <v>-6.0293260000000003E-6</v>
      </c>
      <c r="I4284">
        <v>140.3905</v>
      </c>
      <c r="J4284">
        <v>-286.62299999999999</v>
      </c>
      <c r="K4284">
        <v>1.1110230000000001</v>
      </c>
      <c r="L4284">
        <v>137.9974</v>
      </c>
      <c r="M4284">
        <v>-0.99983999999999995</v>
      </c>
      <c r="N4284">
        <v>0</v>
      </c>
      <c r="O4284">
        <v>-1.1165889999999999E-2</v>
      </c>
      <c r="P4284">
        <v>-0.98914460000000004</v>
      </c>
      <c r="Q4284">
        <v>0.11915249999999999</v>
      </c>
      <c r="R4284">
        <v>-8.6000729999999997E-2</v>
      </c>
      <c r="S4284">
        <v>-3.0682369999999999</v>
      </c>
      <c r="T4284">
        <v>-0.104439</v>
      </c>
      <c r="U4284">
        <v>0.22459409999999999</v>
      </c>
      <c r="V4284">
        <v>-7.5104920000000006E-2</v>
      </c>
      <c r="W4284">
        <v>0.132902399999999</v>
      </c>
      <c r="X4284">
        <v>0.98827940000000003</v>
      </c>
      <c r="Y4284">
        <v>8.4082160000000003E-2</v>
      </c>
      <c r="Z4284">
        <v>1.808228E-3</v>
      </c>
      <c r="AA4284">
        <v>0.99645720000000004</v>
      </c>
      <c r="AB4284">
        <v>29</v>
      </c>
      <c r="AC4284">
        <v>-32.347099999999998</v>
      </c>
      <c r="AD4284">
        <v>-1.1110290293259999</v>
      </c>
      <c r="AE4284">
        <v>2.3931</v>
      </c>
      <c r="AF4284">
        <v>2.7509425340535998</v>
      </c>
      <c r="AG4284">
        <v>-1.1110290293259999</v>
      </c>
      <c r="AH4284">
        <v>32.280484635728399</v>
      </c>
      <c r="AI4284">
        <v>91.9641131642299</v>
      </c>
      <c r="AJ4284">
        <v>85.129023306386998</v>
      </c>
      <c r="AK4284">
        <v>32.416535265928196</v>
      </c>
      <c r="AL4284">
        <v>82.362656597961006</v>
      </c>
      <c r="AM4284">
        <v>94.345875662398001</v>
      </c>
      <c r="AN4284">
        <v>0.99999998469916296</v>
      </c>
    </row>
    <row r="4285" spans="1:40" x14ac:dyDescent="0.25">
      <c r="A4285" t="str">
        <f>"20190312151112676"</f>
        <v>20190312151112676</v>
      </c>
      <c r="B4285" t="str">
        <f>"1552374672665074"</f>
        <v>1552374672665074</v>
      </c>
      <c r="C4285" t="s">
        <v>40</v>
      </c>
      <c r="D4285">
        <v>5.2412449999999904</v>
      </c>
      <c r="E4285">
        <v>0.57546640000000004</v>
      </c>
      <c r="F4285" t="s">
        <v>79</v>
      </c>
      <c r="G4285">
        <v>-313.19479999999999</v>
      </c>
      <c r="H4285" s="1">
        <v>-8.5351969999999993E-6</v>
      </c>
      <c r="I4285">
        <v>140.62880000000001</v>
      </c>
      <c r="J4285">
        <v>-286.90620000000001</v>
      </c>
      <c r="K4285">
        <v>1.1109880000000001</v>
      </c>
      <c r="L4285">
        <v>137.99359999999999</v>
      </c>
      <c r="M4285">
        <v>-0.99983330000000004</v>
      </c>
      <c r="N4285">
        <v>0</v>
      </c>
      <c r="O4285">
        <v>-1.1706660000000001E-2</v>
      </c>
      <c r="P4285">
        <v>-0.98969050000000003</v>
      </c>
      <c r="Q4285">
        <v>0.1199728</v>
      </c>
      <c r="R4285">
        <v>-7.8224199999999994E-2</v>
      </c>
      <c r="S4285">
        <v>-3.0748600000000001</v>
      </c>
      <c r="T4285">
        <v>-0.1285675</v>
      </c>
      <c r="U4285">
        <v>0.30450440000000001</v>
      </c>
      <c r="V4285">
        <v>-6.6771810000000001E-2</v>
      </c>
      <c r="W4285">
        <v>0.13376579999999999</v>
      </c>
      <c r="X4285">
        <v>0.98876090000000005</v>
      </c>
      <c r="Y4285">
        <v>0.1100869</v>
      </c>
      <c r="Z4285">
        <v>2.7830810000000002E-3</v>
      </c>
      <c r="AA4285">
        <v>0.99391810000000003</v>
      </c>
      <c r="AB4285">
        <v>29</v>
      </c>
      <c r="AC4285">
        <v>-26.288599999999899</v>
      </c>
      <c r="AD4285">
        <v>-1.1109965351969999</v>
      </c>
      <c r="AE4285">
        <v>2.6352000000000202</v>
      </c>
      <c r="AF4285">
        <v>2.9376068237691499</v>
      </c>
      <c r="AG4285">
        <v>-1.1109965351969999</v>
      </c>
      <c r="AH4285">
        <v>26.209600167439</v>
      </c>
      <c r="AI4285">
        <v>92.412167094133395</v>
      </c>
      <c r="AJ4285">
        <v>83.604902637207601</v>
      </c>
      <c r="AK4285">
        <v>26.397101888072701</v>
      </c>
      <c r="AL4285">
        <v>82.312741396099796</v>
      </c>
      <c r="AM4285">
        <v>93.863363847533407</v>
      </c>
      <c r="AN4285">
        <v>0.99999994061456099</v>
      </c>
    </row>
    <row r="4286" spans="1:40" x14ac:dyDescent="0.25">
      <c r="A4286" t="str">
        <f>"20190312151112700"</f>
        <v>20190312151112700</v>
      </c>
      <c r="B4286" t="str">
        <f>"1552374672695329"</f>
        <v>1552374672695329</v>
      </c>
      <c r="C4286" t="s">
        <v>40</v>
      </c>
      <c r="D4286">
        <v>5.1595570000000004</v>
      </c>
      <c r="E4286">
        <v>0.57709299999999997</v>
      </c>
      <c r="F4286" t="s">
        <v>79</v>
      </c>
      <c r="G4286">
        <v>-309.32369999999997</v>
      </c>
      <c r="H4286" s="1">
        <v>-9.6696089999999993E-6</v>
      </c>
      <c r="I4286">
        <v>140.53809999999999</v>
      </c>
      <c r="J4286">
        <v>-287.18680000000001</v>
      </c>
      <c r="K4286">
        <v>1.11094</v>
      </c>
      <c r="L4286">
        <v>137.9898</v>
      </c>
      <c r="M4286">
        <v>-0.99982769999999999</v>
      </c>
      <c r="N4286">
        <v>0</v>
      </c>
      <c r="O4286">
        <v>-1.2170810000000001E-2</v>
      </c>
      <c r="P4286">
        <v>-0.9901915</v>
      </c>
      <c r="Q4286">
        <v>0.120755399999999</v>
      </c>
      <c r="R4286">
        <v>-7.0278850000000004E-2</v>
      </c>
      <c r="S4286">
        <v>-3.0773009999999998</v>
      </c>
      <c r="T4286">
        <v>-0.15250949999999999</v>
      </c>
      <c r="U4286">
        <v>0.34928890000000001</v>
      </c>
      <c r="V4286">
        <v>-5.8344720000000003E-2</v>
      </c>
      <c r="W4286">
        <v>0.1345856</v>
      </c>
      <c r="X4286">
        <v>0.98918280000000003</v>
      </c>
      <c r="Y4286">
        <v>0.1247009</v>
      </c>
      <c r="Z4286">
        <v>3.6793310000000001E-3</v>
      </c>
      <c r="AA4286">
        <v>0.99218759999999995</v>
      </c>
      <c r="AB4286">
        <v>28</v>
      </c>
      <c r="AC4286">
        <v>-22.136899999999901</v>
      </c>
      <c r="AD4286">
        <v>-1.110949669609</v>
      </c>
      <c r="AE4286">
        <v>2.5482999999999798</v>
      </c>
      <c r="AF4286">
        <v>2.8105756152261399</v>
      </c>
      <c r="AG4286">
        <v>-1.110949669609</v>
      </c>
      <c r="AH4286">
        <v>22.049435227655</v>
      </c>
      <c r="AI4286">
        <v>92.861267723747503</v>
      </c>
      <c r="AJ4286">
        <v>82.735851424234198</v>
      </c>
      <c r="AK4286">
        <v>22.255586676514799</v>
      </c>
      <c r="AL4286">
        <v>82.265342172328999</v>
      </c>
      <c r="AM4286">
        <v>93.375551685034694</v>
      </c>
      <c r="AN4286">
        <v>1.0000000009475301</v>
      </c>
    </row>
    <row r="4287" spans="1:40" x14ac:dyDescent="0.25">
      <c r="A4287" t="str">
        <f>"20190312151112721"</f>
        <v>20190312151112721</v>
      </c>
      <c r="B4287" t="str">
        <f>"1552374672715825"</f>
        <v>1552374672715825</v>
      </c>
      <c r="C4287" t="s">
        <v>40</v>
      </c>
      <c r="D4287">
        <v>5.1239220000000003</v>
      </c>
      <c r="E4287">
        <v>0.57581389999999999</v>
      </c>
      <c r="F4287" t="s">
        <v>79</v>
      </c>
      <c r="G4287">
        <v>-307.59449999999998</v>
      </c>
      <c r="H4287" s="1">
        <v>-9.4257300000000006E-6</v>
      </c>
      <c r="I4287">
        <v>140.5531</v>
      </c>
      <c r="J4287">
        <v>-287.46780000000001</v>
      </c>
      <c r="K4287">
        <v>1.110894</v>
      </c>
      <c r="L4287">
        <v>137.98589999999999</v>
      </c>
      <c r="M4287">
        <v>-0.99982269999999895</v>
      </c>
      <c r="N4287">
        <v>0</v>
      </c>
      <c r="O4287">
        <v>-1.256518E-2</v>
      </c>
      <c r="P4287">
        <v>-0.99069870000000004</v>
      </c>
      <c r="Q4287">
        <v>0.1212202</v>
      </c>
      <c r="R4287">
        <v>-6.1824089999999998E-2</v>
      </c>
      <c r="S4287">
        <v>-3.0775760000000001</v>
      </c>
      <c r="T4287">
        <v>-0.167536299999999</v>
      </c>
      <c r="U4287">
        <v>0.38655089999999998</v>
      </c>
      <c r="V4287">
        <v>-4.9475789999999999E-2</v>
      </c>
      <c r="W4287">
        <v>0.1350836</v>
      </c>
      <c r="X4287">
        <v>0.98959819999999998</v>
      </c>
      <c r="Y4287">
        <v>0.13686389999999901</v>
      </c>
      <c r="Z4287">
        <v>4.3890229999999997E-3</v>
      </c>
      <c r="AA4287">
        <v>0.99058009999999996</v>
      </c>
      <c r="AB4287">
        <v>28</v>
      </c>
      <c r="AC4287">
        <v>-20.1266999999999</v>
      </c>
      <c r="AD4287">
        <v>-1.1109034257299999</v>
      </c>
      <c r="AE4287">
        <v>2.5672000000000099</v>
      </c>
      <c r="AF4287">
        <v>2.8114895706799001</v>
      </c>
      <c r="AG4287">
        <v>-1.1109034257299999</v>
      </c>
      <c r="AH4287">
        <v>20.0327965295286</v>
      </c>
      <c r="AI4287">
        <v>93.143300334965005</v>
      </c>
      <c r="AJ4287">
        <v>82.011040654624594</v>
      </c>
      <c r="AK4287">
        <v>20.259603076586501</v>
      </c>
      <c r="AL4287">
        <v>82.236546020479807</v>
      </c>
      <c r="AM4287">
        <v>92.862167281069304</v>
      </c>
      <c r="AN4287">
        <v>1.0000000151141599</v>
      </c>
    </row>
    <row r="4288" spans="1:40" x14ac:dyDescent="0.25">
      <c r="A4288" t="str">
        <f>"20190312151112743"</f>
        <v>20190312151112743</v>
      </c>
      <c r="B4288" t="str">
        <f>"1552374672735348"</f>
        <v>1552374672735348</v>
      </c>
      <c r="C4288" t="s">
        <v>40</v>
      </c>
      <c r="D4288">
        <v>4.9757740000000004</v>
      </c>
      <c r="E4288">
        <v>0.57461640000000003</v>
      </c>
      <c r="F4288" t="s">
        <v>79</v>
      </c>
      <c r="G4288">
        <v>-309.58089999999999</v>
      </c>
      <c r="H4288" s="1">
        <v>-9.8101990000000003E-6</v>
      </c>
      <c r="I4288">
        <v>140.88650000000001</v>
      </c>
      <c r="J4288">
        <v>-287.7423</v>
      </c>
      <c r="K4288">
        <v>1.110851</v>
      </c>
      <c r="L4288">
        <v>137.9821</v>
      </c>
      <c r="M4288">
        <v>-0.99981830000000005</v>
      </c>
      <c r="N4288">
        <v>0</v>
      </c>
      <c r="O4288">
        <v>-1.2896110000000001E-2</v>
      </c>
      <c r="P4288">
        <v>-0.9910563</v>
      </c>
      <c r="Q4288">
        <v>0.1221922</v>
      </c>
      <c r="R4288">
        <v>-5.3634559999999998E-2</v>
      </c>
      <c r="S4288">
        <v>-3.0722049999999999</v>
      </c>
      <c r="T4288">
        <v>-0.15433920000000001</v>
      </c>
      <c r="U4288">
        <v>0.40298460000000003</v>
      </c>
      <c r="V4288">
        <v>-4.0938769999999999E-2</v>
      </c>
      <c r="W4288">
        <v>0.13608100000000001</v>
      </c>
      <c r="X4288">
        <v>0.9898515</v>
      </c>
      <c r="Y4288">
        <v>0.1426412</v>
      </c>
      <c r="Z4288">
        <v>4.2103380000000001E-3</v>
      </c>
      <c r="AA4288">
        <v>0.98976549999999996</v>
      </c>
      <c r="AB4288">
        <v>28</v>
      </c>
      <c r="AC4288">
        <v>-21.8385999999999</v>
      </c>
      <c r="AD4288">
        <v>-1.1108608101989901</v>
      </c>
      <c r="AE4288">
        <v>2.9043999999999999</v>
      </c>
      <c r="AF4288">
        <v>3.1777398696976999</v>
      </c>
      <c r="AG4288">
        <v>-1.1108608101989901</v>
      </c>
      <c r="AH4288">
        <v>21.744040922913001</v>
      </c>
      <c r="AI4288">
        <v>92.893900169472701</v>
      </c>
      <c r="AJ4288">
        <v>81.685481403621694</v>
      </c>
      <c r="AK4288">
        <v>22.003076104863599</v>
      </c>
      <c r="AL4288">
        <v>82.178866535794299</v>
      </c>
      <c r="AM4288">
        <v>92.368317567867095</v>
      </c>
      <c r="AN4288">
        <v>1.0000000067511801</v>
      </c>
    </row>
    <row r="4289" spans="1:40" x14ac:dyDescent="0.25">
      <c r="A4289" t="str">
        <f>"20190312151112765"</f>
        <v>20190312151112765</v>
      </c>
      <c r="B4289" t="str">
        <f>"1552374672754865"</f>
        <v>1552374672754865</v>
      </c>
      <c r="C4289" t="s">
        <v>40</v>
      </c>
      <c r="D4289">
        <v>5.0428660000000001</v>
      </c>
      <c r="E4289">
        <v>0.57461660000000003</v>
      </c>
      <c r="F4289" t="s">
        <v>79</v>
      </c>
      <c r="G4289">
        <v>-311.60890000000001</v>
      </c>
      <c r="H4289" s="1">
        <v>-9.294947E-6</v>
      </c>
      <c r="I4289">
        <v>141.24549999999999</v>
      </c>
      <c r="J4289">
        <v>-288.02949999999998</v>
      </c>
      <c r="K4289">
        <v>1.110811</v>
      </c>
      <c r="L4289">
        <v>137.97810000000001</v>
      </c>
      <c r="M4289">
        <v>-0.99981439999999999</v>
      </c>
      <c r="N4289">
        <v>0</v>
      </c>
      <c r="O4289">
        <v>-1.318188E-2</v>
      </c>
      <c r="P4289">
        <v>-0.99132719999999996</v>
      </c>
      <c r="Q4289">
        <v>0.123223</v>
      </c>
      <c r="R4289">
        <v>-4.5678320000000001E-2</v>
      </c>
      <c r="S4289">
        <v>-3.0674130000000002</v>
      </c>
      <c r="T4289">
        <v>-0.14277119999999999</v>
      </c>
      <c r="U4289">
        <v>0.41941830000000002</v>
      </c>
      <c r="V4289">
        <v>-3.2680720000000003E-2</v>
      </c>
      <c r="W4289">
        <v>0.137132</v>
      </c>
      <c r="X4289">
        <v>0.99001349999999999</v>
      </c>
      <c r="Y4289">
        <v>0.14835119999999999</v>
      </c>
      <c r="Z4289">
        <v>4.045206E-3</v>
      </c>
      <c r="AA4289">
        <v>0.98892650000000004</v>
      </c>
      <c r="AB4289">
        <v>28</v>
      </c>
      <c r="AC4289">
        <v>-23.5794</v>
      </c>
      <c r="AD4289">
        <v>-1.1108202949470001</v>
      </c>
      <c r="AE4289">
        <v>3.2673999999999799</v>
      </c>
      <c r="AF4289">
        <v>3.5701933965931798</v>
      </c>
      <c r="AG4289">
        <v>-1.1108202949470001</v>
      </c>
      <c r="AH4289">
        <v>23.4831411889615</v>
      </c>
      <c r="AI4289">
        <v>92.677515401183001</v>
      </c>
      <c r="AJ4289">
        <v>81.355394694762694</v>
      </c>
      <c r="AK4289">
        <v>23.778942842722099</v>
      </c>
      <c r="AL4289">
        <v>82.118078536318095</v>
      </c>
      <c r="AM4289">
        <v>91.890668802551005</v>
      </c>
      <c r="AN4289">
        <v>0.99999997253298301</v>
      </c>
    </row>
    <row r="4290" spans="1:40" x14ac:dyDescent="0.25">
      <c r="A4290" t="str">
        <f>"20190312151112787"</f>
        <v>20190312151112787</v>
      </c>
      <c r="B4290" t="str">
        <f>"1552374672775361"</f>
        <v>1552374672775361</v>
      </c>
      <c r="C4290" t="s">
        <v>40</v>
      </c>
      <c r="D4290">
        <v>5.0243760000000002</v>
      </c>
      <c r="E4290">
        <v>0.57435559999999997</v>
      </c>
      <c r="F4290" t="s">
        <v>79</v>
      </c>
      <c r="G4290">
        <v>-311.03160000000003</v>
      </c>
      <c r="H4290" s="1">
        <v>-9.5294939999999994E-6</v>
      </c>
      <c r="I4290">
        <v>141.31059999999999</v>
      </c>
      <c r="J4290">
        <v>-288.29969999999997</v>
      </c>
      <c r="K4290">
        <v>1.1107720000000001</v>
      </c>
      <c r="L4290">
        <v>137.9742</v>
      </c>
      <c r="M4290">
        <v>-0.99981149999999996</v>
      </c>
      <c r="N4290">
        <v>0</v>
      </c>
      <c r="O4290">
        <v>-1.33895E-2</v>
      </c>
      <c r="P4290">
        <v>-0.99155939999999998</v>
      </c>
      <c r="Q4290">
        <v>0.12407120000000001</v>
      </c>
      <c r="R4290">
        <v>-3.763213E-2</v>
      </c>
      <c r="S4290">
        <v>-3.0650940000000002</v>
      </c>
      <c r="T4290">
        <v>-0.1480205</v>
      </c>
      <c r="U4290">
        <v>0.44407649999999999</v>
      </c>
      <c r="V4290">
        <v>-2.4411619999999998E-2</v>
      </c>
      <c r="W4290">
        <v>0.13799629999999999</v>
      </c>
      <c r="X4290">
        <v>0.99013189999999995</v>
      </c>
      <c r="Y4290">
        <v>0.1564305</v>
      </c>
      <c r="Z4290">
        <v>4.3985109999999999E-3</v>
      </c>
      <c r="AA4290">
        <v>0.98767919999999998</v>
      </c>
      <c r="AB4290">
        <v>28</v>
      </c>
      <c r="AC4290">
        <v>-22.7319</v>
      </c>
      <c r="AD4290">
        <v>-1.11078152949399</v>
      </c>
      <c r="AE4290">
        <v>3.33639999999999</v>
      </c>
      <c r="AF4290">
        <v>3.6320103247234599</v>
      </c>
      <c r="AG4290">
        <v>-1.11078152949399</v>
      </c>
      <c r="AH4290">
        <v>22.632284403206601</v>
      </c>
      <c r="AI4290">
        <v>92.774353287334094</v>
      </c>
      <c r="AJ4290">
        <v>80.882955685329804</v>
      </c>
      <c r="AK4290">
        <v>22.948761010407299</v>
      </c>
      <c r="AL4290">
        <v>82.068083031572201</v>
      </c>
      <c r="AM4290">
        <v>91.412336575543705</v>
      </c>
      <c r="AN4290">
        <v>1.0000000427011599</v>
      </c>
    </row>
    <row r="4291" spans="1:40" x14ac:dyDescent="0.25">
      <c r="A4291" t="str">
        <f>"20190312151112809"</f>
        <v>20190312151112809</v>
      </c>
      <c r="B4291" t="str">
        <f>"1552374672805617"</f>
        <v>1552374672805617</v>
      </c>
      <c r="C4291" t="s">
        <v>40</v>
      </c>
      <c r="D4291">
        <v>5.0270830000000002</v>
      </c>
      <c r="E4291">
        <v>0.57391949999999903</v>
      </c>
      <c r="F4291" t="s">
        <v>79</v>
      </c>
      <c r="G4291">
        <v>-309.97800000000001</v>
      </c>
      <c r="H4291" s="1">
        <v>-9.9729909999999996E-6</v>
      </c>
      <c r="I4291">
        <v>141.28190000000001</v>
      </c>
      <c r="J4291">
        <v>-288.58460000000002</v>
      </c>
      <c r="K4291">
        <v>1.1107209999999901</v>
      </c>
      <c r="L4291">
        <v>137.97020000000001</v>
      </c>
      <c r="M4291">
        <v>-0.99980950000000002</v>
      </c>
      <c r="N4291">
        <v>0</v>
      </c>
      <c r="O4291">
        <v>-1.354002E-2</v>
      </c>
      <c r="P4291">
        <v>-0.99170429999999998</v>
      </c>
      <c r="Q4291">
        <v>0.1250145</v>
      </c>
      <c r="R4291">
        <v>-2.9904420000000001E-2</v>
      </c>
      <c r="S4291">
        <v>-3.0629270000000002</v>
      </c>
      <c r="T4291">
        <v>-0.15694279999999999</v>
      </c>
      <c r="U4291">
        <v>0.46734619999999999</v>
      </c>
      <c r="V4291">
        <v>-1.6515599999999998E-2</v>
      </c>
      <c r="W4291">
        <v>0.13895160000000001</v>
      </c>
      <c r="X4291">
        <v>0.99016139999999997</v>
      </c>
      <c r="Y4291">
        <v>0.16398070000000001</v>
      </c>
      <c r="Z4291">
        <v>4.8638589999999999E-3</v>
      </c>
      <c r="AA4291">
        <v>0.98645159999999998</v>
      </c>
      <c r="AB4291">
        <v>28</v>
      </c>
      <c r="AC4291">
        <v>-21.3933999999999</v>
      </c>
      <c r="AD4291">
        <v>-1.11073097299099</v>
      </c>
      <c r="AE4291">
        <v>3.3117000000000001</v>
      </c>
      <c r="AF4291">
        <v>3.5916369439740099</v>
      </c>
      <c r="AG4291">
        <v>-1.11073097299099</v>
      </c>
      <c r="AH4291">
        <v>21.290545490631501</v>
      </c>
      <c r="AI4291">
        <v>92.944887315647705</v>
      </c>
      <c r="AJ4291">
        <v>80.424566882107399</v>
      </c>
      <c r="AK4291">
        <v>21.619919207072201</v>
      </c>
      <c r="AL4291">
        <v>82.012815230436004</v>
      </c>
      <c r="AM4291">
        <v>90.955588084581606</v>
      </c>
      <c r="AN4291">
        <v>0.99999995511793804</v>
      </c>
    </row>
    <row r="4292" spans="1:40" x14ac:dyDescent="0.25">
      <c r="A4292" t="str">
        <f>"20190312151112832"</f>
        <v>20190312151112832</v>
      </c>
      <c r="B4292" t="str">
        <f>"1552374672825140"</f>
        <v>1552374672825140</v>
      </c>
      <c r="C4292" t="s">
        <v>40</v>
      </c>
      <c r="D4292">
        <v>5.0375019999999999</v>
      </c>
      <c r="E4292">
        <v>0.57333959999999995</v>
      </c>
      <c r="F4292" t="s">
        <v>79</v>
      </c>
      <c r="G4292">
        <v>-308.28100000000001</v>
      </c>
      <c r="H4292" s="1">
        <v>-9.6906949999999999E-6</v>
      </c>
      <c r="I4292">
        <v>141.1123</v>
      </c>
      <c r="J4292">
        <v>-288.8734</v>
      </c>
      <c r="K4292">
        <v>1.110668</v>
      </c>
      <c r="L4292">
        <v>137.96619999999999</v>
      </c>
      <c r="M4292">
        <v>-0.99980829999999998</v>
      </c>
      <c r="N4292">
        <v>0</v>
      </c>
      <c r="O4292">
        <v>-1.362873E-2</v>
      </c>
      <c r="P4292">
        <v>-0.99176869999999995</v>
      </c>
      <c r="Q4292">
        <v>0.12605239999999901</v>
      </c>
      <c r="R4292">
        <v>-2.2498710000000002E-2</v>
      </c>
      <c r="S4292">
        <v>-3.0616150000000002</v>
      </c>
      <c r="T4292">
        <v>-0.17265179999999899</v>
      </c>
      <c r="U4292">
        <v>0.48840329999999899</v>
      </c>
      <c r="V4292">
        <v>-9.003914E-3</v>
      </c>
      <c r="W4292">
        <v>0.13999229999999999</v>
      </c>
      <c r="X4292">
        <v>0.99011159999999998</v>
      </c>
      <c r="Y4292">
        <v>0.17069239999999999</v>
      </c>
      <c r="Z4292">
        <v>5.5423099999999999E-3</v>
      </c>
      <c r="AA4292">
        <v>0.98530879999999998</v>
      </c>
      <c r="AB4292">
        <v>28</v>
      </c>
      <c r="AC4292">
        <v>-19.407599999999999</v>
      </c>
      <c r="AD4292">
        <v>-1.110677690695</v>
      </c>
      <c r="AE4292">
        <v>3.1461000000000099</v>
      </c>
      <c r="AF4292">
        <v>3.39948605789077</v>
      </c>
      <c r="AG4292">
        <v>-1.110677690695</v>
      </c>
      <c r="AH4292">
        <v>19.301319332903098</v>
      </c>
      <c r="AI4292">
        <v>93.243587987368699</v>
      </c>
      <c r="AJ4292">
        <v>80.011105477414603</v>
      </c>
      <c r="AK4292">
        <v>19.6298506968621</v>
      </c>
      <c r="AL4292">
        <v>81.952598892732397</v>
      </c>
      <c r="AM4292">
        <v>90.521024146271898</v>
      </c>
      <c r="AN4292">
        <v>0.99999994749058296</v>
      </c>
    </row>
    <row r="4293" spans="1:40" x14ac:dyDescent="0.25">
      <c r="A4293" t="str">
        <f>"20190312151112855"</f>
        <v>20190312151112855</v>
      </c>
      <c r="B4293" t="str">
        <f>"1552374672845634"</f>
        <v>1552374672845634</v>
      </c>
      <c r="C4293" t="s">
        <v>40</v>
      </c>
      <c r="D4293">
        <v>5.0513690000000002</v>
      </c>
      <c r="E4293">
        <v>0.57275100000000001</v>
      </c>
      <c r="F4293" t="s">
        <v>79</v>
      </c>
      <c r="G4293">
        <v>-307.79590000000002</v>
      </c>
      <c r="H4293" s="1">
        <v>-9.6190110000000007E-6</v>
      </c>
      <c r="I4293">
        <v>141.10550000000001</v>
      </c>
      <c r="J4293">
        <v>-289.16359999999997</v>
      </c>
      <c r="K4293">
        <v>1.110622</v>
      </c>
      <c r="L4293">
        <v>137.9622</v>
      </c>
      <c r="M4293">
        <v>-0.99980800000000003</v>
      </c>
      <c r="N4293">
        <v>0</v>
      </c>
      <c r="O4293">
        <v>-1.366359E-2</v>
      </c>
      <c r="P4293">
        <v>-0.99174989999999996</v>
      </c>
      <c r="Q4293">
        <v>0.1272527</v>
      </c>
      <c r="R4293">
        <v>-1.5469449999999999E-2</v>
      </c>
      <c r="S4293">
        <v>-3.0592350000000001</v>
      </c>
      <c r="T4293">
        <v>-0.1795648</v>
      </c>
      <c r="U4293">
        <v>0.50753779999999904</v>
      </c>
      <c r="V4293">
        <v>-1.9248900000000001E-3</v>
      </c>
      <c r="W4293">
        <v>0.1411839</v>
      </c>
      <c r="X4293">
        <v>0.98998149999999996</v>
      </c>
      <c r="Y4293">
        <v>0.17681259999999999</v>
      </c>
      <c r="Z4293">
        <v>5.9456989999999996E-3</v>
      </c>
      <c r="AA4293">
        <v>0.98422659999999995</v>
      </c>
      <c r="AB4293">
        <v>28</v>
      </c>
      <c r="AC4293">
        <v>-18.632300000000001</v>
      </c>
      <c r="AD4293">
        <v>-1.1106316190109999</v>
      </c>
      <c r="AE4293">
        <v>3.1433</v>
      </c>
      <c r="AF4293">
        <v>3.3859181524020698</v>
      </c>
      <c r="AG4293">
        <v>-1.1106316190109999</v>
      </c>
      <c r="AH4293">
        <v>18.523612418745</v>
      </c>
      <c r="AI4293">
        <v>93.3754168301531</v>
      </c>
      <c r="AJ4293">
        <v>79.641302274400999</v>
      </c>
      <c r="AK4293">
        <v>18.863248961082899</v>
      </c>
      <c r="AL4293">
        <v>81.883640652552103</v>
      </c>
      <c r="AM4293">
        <v>90.111404035371507</v>
      </c>
      <c r="AN4293">
        <v>0.99999998458148498</v>
      </c>
    </row>
    <row r="4294" spans="1:40" x14ac:dyDescent="0.25">
      <c r="A4294" t="str">
        <f>"20190312151112877"</f>
        <v>20190312151112877</v>
      </c>
      <c r="B4294" t="str">
        <f>"1552374672865153"</f>
        <v>1552374672865153</v>
      </c>
      <c r="C4294" t="s">
        <v>40</v>
      </c>
      <c r="D4294">
        <v>5.032667</v>
      </c>
      <c r="E4294">
        <v>0.57189250000000003</v>
      </c>
      <c r="F4294" t="s">
        <v>79</v>
      </c>
      <c r="G4294">
        <v>-307.6925</v>
      </c>
      <c r="H4294" s="1">
        <v>-9.6151829999999992E-6</v>
      </c>
      <c r="I4294">
        <v>141.14259999999999</v>
      </c>
      <c r="J4294">
        <v>-289.43619999999999</v>
      </c>
      <c r="K4294">
        <v>1.110592</v>
      </c>
      <c r="L4294">
        <v>137.95849999999999</v>
      </c>
      <c r="M4294">
        <v>-0.99980829999999998</v>
      </c>
      <c r="N4294">
        <v>0</v>
      </c>
      <c r="O4294">
        <v>-1.3639149999999999E-2</v>
      </c>
      <c r="P4294">
        <v>-0.99172119999999997</v>
      </c>
      <c r="Q4294">
        <v>0.12808259999999999</v>
      </c>
      <c r="R4294">
        <v>-9.1602679999999992E-3</v>
      </c>
      <c r="S4294">
        <v>-3.0566710000000001</v>
      </c>
      <c r="T4294">
        <v>-0.18321809999999999</v>
      </c>
      <c r="U4294">
        <v>0.52465819999999996</v>
      </c>
      <c r="V4294">
        <v>4.3741869999999999E-3</v>
      </c>
      <c r="W4294">
        <v>0.1419967</v>
      </c>
      <c r="X4294">
        <v>0.9898574</v>
      </c>
      <c r="Y4294">
        <v>0.18225620000000001</v>
      </c>
      <c r="Z4294">
        <v>6.2290339999999996E-3</v>
      </c>
      <c r="AA4294">
        <v>0.98323139999999998</v>
      </c>
      <c r="AB4294">
        <v>28</v>
      </c>
      <c r="AC4294">
        <v>-18.2563</v>
      </c>
      <c r="AD4294">
        <v>-1.110601615183</v>
      </c>
      <c r="AE4294">
        <v>3.1840999999999999</v>
      </c>
      <c r="AF4294">
        <v>3.4205438319039101</v>
      </c>
      <c r="AG4294">
        <v>-1.110601615183</v>
      </c>
      <c r="AH4294">
        <v>18.145997267641</v>
      </c>
      <c r="AI4294">
        <v>93.441876865330499</v>
      </c>
      <c r="AJ4294">
        <v>79.324933691518893</v>
      </c>
      <c r="AK4294">
        <v>18.4989397774807</v>
      </c>
      <c r="AL4294">
        <v>81.836596276068207</v>
      </c>
      <c r="AM4294">
        <v>89.746811184554105</v>
      </c>
      <c r="AN4294">
        <v>0.99999993432877798</v>
      </c>
    </row>
    <row r="4295" spans="1:40" x14ac:dyDescent="0.25">
      <c r="A4295" t="str">
        <f>"20190312151112899"</f>
        <v>20190312151112899</v>
      </c>
      <c r="B4295" t="str">
        <f>"1552374672895410"</f>
        <v>1552374672895410</v>
      </c>
      <c r="C4295" t="s">
        <v>40</v>
      </c>
      <c r="D4295">
        <v>4.8951099999999999</v>
      </c>
      <c r="E4295">
        <v>0.57097299999999995</v>
      </c>
      <c r="F4295" t="s">
        <v>79</v>
      </c>
      <c r="G4295">
        <v>-307.495</v>
      </c>
      <c r="H4295" s="1">
        <v>-9.5849830000000007E-6</v>
      </c>
      <c r="I4295">
        <v>141.13640000000001</v>
      </c>
      <c r="J4295">
        <v>-289.71170000000001</v>
      </c>
      <c r="K4295">
        <v>1.1105419999999999</v>
      </c>
      <c r="L4295">
        <v>137.95480000000001</v>
      </c>
      <c r="M4295">
        <v>-0.99980999999999998</v>
      </c>
      <c r="N4295">
        <v>0</v>
      </c>
      <c r="O4295">
        <v>-1.354318E-2</v>
      </c>
      <c r="P4295">
        <v>-0.99164319999999895</v>
      </c>
      <c r="Q4295">
        <v>0.12897919999999999</v>
      </c>
      <c r="R4295">
        <v>-2.8800340000000001E-3</v>
      </c>
      <c r="S4295">
        <v>-3.0542600000000002</v>
      </c>
      <c r="T4295">
        <v>-0.18783459999999999</v>
      </c>
      <c r="U4295">
        <v>0.53747559999999905</v>
      </c>
      <c r="V4295">
        <v>1.057349E-2</v>
      </c>
      <c r="W4295">
        <v>0.14286380000000001</v>
      </c>
      <c r="X4295">
        <v>0.98968590000000001</v>
      </c>
      <c r="Y4295">
        <v>0.18626989999999999</v>
      </c>
      <c r="Z4295">
        <v>6.5049019999999999E-3</v>
      </c>
      <c r="AA4295">
        <v>0.98247709999999999</v>
      </c>
      <c r="AB4295">
        <v>28</v>
      </c>
      <c r="AC4295">
        <v>-17.783299999999901</v>
      </c>
      <c r="AD4295">
        <v>-1.1105515849830001</v>
      </c>
      <c r="AE4295">
        <v>3.1816</v>
      </c>
      <c r="AF4295">
        <v>3.40929076392205</v>
      </c>
      <c r="AG4295">
        <v>-1.1105515849830001</v>
      </c>
      <c r="AH4295">
        <v>17.671794932526801</v>
      </c>
      <c r="AI4295">
        <v>93.530979081753202</v>
      </c>
      <c r="AJ4295">
        <v>79.080494998822502</v>
      </c>
      <c r="AK4295">
        <v>18.031886325982398</v>
      </c>
      <c r="AL4295">
        <v>81.7864041040187</v>
      </c>
      <c r="AM4295">
        <v>89.387893367185796</v>
      </c>
      <c r="AN4295">
        <v>1.0000000223500101</v>
      </c>
    </row>
    <row r="4296" spans="1:40" x14ac:dyDescent="0.25">
      <c r="A4296" t="str">
        <f>"20190312151112921"</f>
        <v>20190312151112921</v>
      </c>
      <c r="B4296" t="str">
        <f>"1552374672914929"</f>
        <v>1552374672914929</v>
      </c>
      <c r="C4296" t="s">
        <v>40</v>
      </c>
      <c r="D4296">
        <v>5.0560340000000004</v>
      </c>
      <c r="E4296">
        <v>0.57046399999999997</v>
      </c>
      <c r="F4296" t="s">
        <v>79</v>
      </c>
      <c r="G4296">
        <v>-307.5514</v>
      </c>
      <c r="H4296" s="1">
        <v>-9.6030650000000005E-6</v>
      </c>
      <c r="I4296">
        <v>141.16999999999999</v>
      </c>
      <c r="J4296">
        <v>-289.99290000000002</v>
      </c>
      <c r="K4296">
        <v>1.1104719999999999</v>
      </c>
      <c r="L4296">
        <v>137.9512</v>
      </c>
      <c r="M4296">
        <v>-0.99981279999999995</v>
      </c>
      <c r="N4296">
        <v>0</v>
      </c>
      <c r="O4296">
        <v>-1.3367540000000001E-2</v>
      </c>
      <c r="P4296">
        <v>-0.99163440000000003</v>
      </c>
      <c r="Q4296">
        <v>0.1290306</v>
      </c>
      <c r="R4296">
        <v>3.532973E-3</v>
      </c>
      <c r="S4296">
        <v>-3.0516049999999999</v>
      </c>
      <c r="T4296">
        <v>-0.1899679</v>
      </c>
      <c r="U4296">
        <v>0.54997249999999998</v>
      </c>
      <c r="V4296">
        <v>1.6830919999999999E-2</v>
      </c>
      <c r="W4296">
        <v>0.14288029999999999</v>
      </c>
      <c r="X4296">
        <v>0.98959680000000005</v>
      </c>
      <c r="Y4296">
        <v>0.19012580000000001</v>
      </c>
      <c r="Z4296">
        <v>6.6900369999999898E-3</v>
      </c>
      <c r="AA4296">
        <v>0.98173699999999997</v>
      </c>
      <c r="AB4296">
        <v>28</v>
      </c>
      <c r="AC4296">
        <v>-17.558499999999899</v>
      </c>
      <c r="AD4296">
        <v>-1.110481603065</v>
      </c>
      <c r="AE4296">
        <v>3.2187999999999799</v>
      </c>
      <c r="AF4296">
        <v>3.43993725670718</v>
      </c>
      <c r="AG4296">
        <v>-1.110481603065</v>
      </c>
      <c r="AH4296">
        <v>17.446384484147799</v>
      </c>
      <c r="AI4296">
        <v>93.573410709778997</v>
      </c>
      <c r="AJ4296">
        <v>78.845956363826005</v>
      </c>
      <c r="AK4296">
        <v>17.816920870047699</v>
      </c>
      <c r="AL4296">
        <v>81.785448270666905</v>
      </c>
      <c r="AM4296">
        <v>89.025615570478706</v>
      </c>
      <c r="AN4296">
        <v>0.99999994328318598</v>
      </c>
    </row>
    <row r="4297" spans="1:40" x14ac:dyDescent="0.25">
      <c r="A4297" t="str">
        <f>"20190312151112943"</f>
        <v>20190312151112943</v>
      </c>
      <c r="B4297" t="str">
        <f>"1552374672935606"</f>
        <v>1552374672935606</v>
      </c>
      <c r="C4297" t="s">
        <v>40</v>
      </c>
      <c r="D4297">
        <v>5.0550009999999999</v>
      </c>
      <c r="E4297">
        <v>0.56990799999999997</v>
      </c>
      <c r="F4297" t="s">
        <v>79</v>
      </c>
      <c r="G4297">
        <v>-307.85890000000001</v>
      </c>
      <c r="H4297" s="1">
        <v>-9.6768209999999994E-6</v>
      </c>
      <c r="I4297">
        <v>141.26939999999999</v>
      </c>
      <c r="J4297">
        <v>-290.2688</v>
      </c>
      <c r="K4297">
        <v>1.1104080000000001</v>
      </c>
      <c r="L4297">
        <v>137.9478</v>
      </c>
      <c r="M4297">
        <v>-0.99981640000000005</v>
      </c>
      <c r="N4297">
        <v>0</v>
      </c>
      <c r="O4297">
        <v>-1.313481E-2</v>
      </c>
      <c r="P4297">
        <v>-0.99179779999999995</v>
      </c>
      <c r="Q4297">
        <v>0.12741359999999999</v>
      </c>
      <c r="R4297">
        <v>1.014639E-2</v>
      </c>
      <c r="S4297">
        <v>-3.0479430000000001</v>
      </c>
      <c r="T4297">
        <v>-0.18944749999999999</v>
      </c>
      <c r="U4297">
        <v>0.56608579999999997</v>
      </c>
      <c r="V4297">
        <v>2.323337E-2</v>
      </c>
      <c r="W4297">
        <v>0.1412292</v>
      </c>
      <c r="X4297">
        <v>0.98970429999999998</v>
      </c>
      <c r="Y4297">
        <v>0.19511519999999999</v>
      </c>
      <c r="Z4297">
        <v>6.8157449999999998E-3</v>
      </c>
      <c r="AA4297">
        <v>0.98075659999999998</v>
      </c>
      <c r="AB4297">
        <v>28</v>
      </c>
      <c r="AC4297">
        <v>-17.5901</v>
      </c>
      <c r="AD4297">
        <v>-1.1104176768209999</v>
      </c>
      <c r="AE4297">
        <v>3.3215999999999801</v>
      </c>
      <c r="AF4297">
        <v>3.5387618410036401</v>
      </c>
      <c r="AG4297">
        <v>-1.1104176768209999</v>
      </c>
      <c r="AH4297">
        <v>17.477697653257199</v>
      </c>
      <c r="AI4297">
        <v>93.563198361626107</v>
      </c>
      <c r="AJ4297">
        <v>78.553889906071902</v>
      </c>
      <c r="AK4297">
        <v>17.866890553283501</v>
      </c>
      <c r="AL4297">
        <v>81.881019328190305</v>
      </c>
      <c r="AM4297">
        <v>88.655225001513799</v>
      </c>
      <c r="AN4297">
        <v>1.0000000389263399</v>
      </c>
    </row>
    <row r="4298" spans="1:40" x14ac:dyDescent="0.25">
      <c r="A4298" t="str">
        <f>"20190312151112973"</f>
        <v>20190312151112973</v>
      </c>
      <c r="B4298" t="str">
        <f>"1552374672965863"</f>
        <v>1552374672965863</v>
      </c>
      <c r="C4298" t="s">
        <v>40</v>
      </c>
      <c r="D4298">
        <v>4.9666040000000002</v>
      </c>
      <c r="E4298">
        <v>0.56933719999999999</v>
      </c>
      <c r="F4298" t="s">
        <v>79</v>
      </c>
      <c r="G4298">
        <v>-307.47500000000002</v>
      </c>
      <c r="H4298" s="1">
        <v>-9.6120429999999997E-6</v>
      </c>
      <c r="I4298">
        <v>141.23699999999999</v>
      </c>
      <c r="J4298">
        <v>-290.64080000000001</v>
      </c>
      <c r="K4298">
        <v>1.110322</v>
      </c>
      <c r="L4298">
        <v>137.9434</v>
      </c>
      <c r="M4298">
        <v>-0.99982249999999995</v>
      </c>
      <c r="N4298">
        <v>0</v>
      </c>
      <c r="O4298">
        <v>-1.271304E-2</v>
      </c>
      <c r="P4298">
        <v>-0.99176830000000005</v>
      </c>
      <c r="Q4298">
        <v>0.1265561</v>
      </c>
      <c r="R4298">
        <v>1.947318E-2</v>
      </c>
      <c r="S4298">
        <v>-3.044098</v>
      </c>
      <c r="T4298">
        <v>-0.19645299999999999</v>
      </c>
      <c r="U4298">
        <v>0.58192440000000001</v>
      </c>
      <c r="V4298">
        <v>3.2166180000000003E-2</v>
      </c>
      <c r="W4298">
        <v>0.14030960000000001</v>
      </c>
      <c r="X4298">
        <v>0.98958500000000005</v>
      </c>
      <c r="Y4298">
        <v>0.19981090000000001</v>
      </c>
      <c r="Z4298">
        <v>7.1957219999999999E-3</v>
      </c>
      <c r="AA4298">
        <v>0.97980800000000001</v>
      </c>
      <c r="AB4298">
        <v>28</v>
      </c>
      <c r="AC4298">
        <v>-16.834199999999999</v>
      </c>
      <c r="AD4298">
        <v>-1.110331612043</v>
      </c>
      <c r="AE4298">
        <v>3.2935999999999899</v>
      </c>
      <c r="AF4298">
        <v>3.49273402751477</v>
      </c>
      <c r="AG4298">
        <v>-1.110331612043</v>
      </c>
      <c r="AH4298">
        <v>16.720904203985501</v>
      </c>
      <c r="AI4298">
        <v>93.719043178108095</v>
      </c>
      <c r="AJ4298">
        <v>78.201460606111198</v>
      </c>
      <c r="AK4298">
        <v>17.117846379568899</v>
      </c>
      <c r="AL4298">
        <v>81.934237817153303</v>
      </c>
      <c r="AM4298">
        <v>88.138272412089293</v>
      </c>
      <c r="AN4298">
        <v>0.99999995960647503</v>
      </c>
    </row>
    <row r="4299" spans="1:40" x14ac:dyDescent="0.25">
      <c r="A4299" t="str">
        <f>"20190312151113000"</f>
        <v>20190312151113000</v>
      </c>
      <c r="B4299" t="str">
        <f>"1552374672995143"</f>
        <v>1552374672995143</v>
      </c>
      <c r="C4299" t="s">
        <v>40</v>
      </c>
      <c r="D4299">
        <v>4.9984149999999996</v>
      </c>
      <c r="E4299">
        <v>0.56859079999999995</v>
      </c>
      <c r="F4299" t="s">
        <v>79</v>
      </c>
      <c r="G4299">
        <v>-307.55829999999997</v>
      </c>
      <c r="H4299" s="1">
        <v>-9.6458059999999998E-6</v>
      </c>
      <c r="I4299">
        <v>141.31030000000001</v>
      </c>
      <c r="J4299">
        <v>-290.97140000000002</v>
      </c>
      <c r="K4299">
        <v>1.110239</v>
      </c>
      <c r="L4299">
        <v>137.93969999999999</v>
      </c>
      <c r="M4299">
        <v>-0.99982969999999904</v>
      </c>
      <c r="N4299">
        <v>0</v>
      </c>
      <c r="O4299">
        <v>-1.2204329999999999E-2</v>
      </c>
      <c r="P4299">
        <v>-0.9914927</v>
      </c>
      <c r="Q4299">
        <v>0.1274042</v>
      </c>
      <c r="R4299">
        <v>2.6658399999999999E-2</v>
      </c>
      <c r="S4299">
        <v>-3.0385439999999999</v>
      </c>
      <c r="T4299">
        <v>-0.1994263</v>
      </c>
      <c r="U4299">
        <v>0.6047363</v>
      </c>
      <c r="V4299">
        <v>3.8870219999999997E-2</v>
      </c>
      <c r="W4299">
        <v>0.14108289999999901</v>
      </c>
      <c r="X4299">
        <v>0.98923439999999996</v>
      </c>
      <c r="Y4299">
        <v>0.2066964</v>
      </c>
      <c r="Z4299">
        <v>7.5027790000000002E-3</v>
      </c>
      <c r="AA4299">
        <v>0.97837640000000003</v>
      </c>
      <c r="AB4299">
        <v>28</v>
      </c>
      <c r="AC4299">
        <v>-16.586899999999901</v>
      </c>
      <c r="AD4299">
        <v>-1.1102486458059999</v>
      </c>
      <c r="AE4299">
        <v>3.37060000000002</v>
      </c>
      <c r="AF4299">
        <v>3.5574936463536901</v>
      </c>
      <c r="AG4299">
        <v>-1.1102486458059999</v>
      </c>
      <c r="AH4299">
        <v>16.473644134303299</v>
      </c>
      <c r="AI4299">
        <v>93.769021192395797</v>
      </c>
      <c r="AJ4299">
        <v>77.814070033329301</v>
      </c>
      <c r="AK4299">
        <v>16.889919009960501</v>
      </c>
      <c r="AL4299">
        <v>81.889486066477403</v>
      </c>
      <c r="AM4299">
        <v>87.749821041003003</v>
      </c>
      <c r="AN4299">
        <v>0.99999998840930904</v>
      </c>
    </row>
    <row r="4300" spans="1:40" x14ac:dyDescent="0.25">
      <c r="A4300" t="str">
        <f>"20190312151113022"</f>
        <v>20190312151113022</v>
      </c>
      <c r="B4300" t="str">
        <f>"1552374673015639"</f>
        <v>1552374673015639</v>
      </c>
      <c r="C4300" t="s">
        <v>40</v>
      </c>
      <c r="D4300">
        <v>5.0544379999999904</v>
      </c>
      <c r="E4300">
        <v>0.56803210000000004</v>
      </c>
      <c r="F4300" t="s">
        <v>79</v>
      </c>
      <c r="G4300">
        <v>-307.98820000000001</v>
      </c>
      <c r="H4300" s="1">
        <v>-9.7378429999999995E-6</v>
      </c>
      <c r="I4300">
        <v>141.41220000000001</v>
      </c>
      <c r="J4300">
        <v>-291.25</v>
      </c>
      <c r="K4300">
        <v>1.110152</v>
      </c>
      <c r="L4300">
        <v>137.93690000000001</v>
      </c>
      <c r="M4300">
        <v>-0.99983710000000003</v>
      </c>
      <c r="N4300">
        <v>0</v>
      </c>
      <c r="O4300">
        <v>-1.1650290000000001E-2</v>
      </c>
      <c r="P4300">
        <v>-0.99127259999999995</v>
      </c>
      <c r="Q4300">
        <v>0.12802369999999999</v>
      </c>
      <c r="R4300">
        <v>3.144284E-2</v>
      </c>
      <c r="S4300">
        <v>-3.0345759999999999</v>
      </c>
      <c r="T4300">
        <v>-0.1979891</v>
      </c>
      <c r="U4300">
        <v>0.61923219999999901</v>
      </c>
      <c r="V4300">
        <v>4.3130910000000001E-2</v>
      </c>
      <c r="W4300">
        <v>0.141629</v>
      </c>
      <c r="X4300">
        <v>0.98897979999999996</v>
      </c>
      <c r="Y4300">
        <v>0.21088660000000001</v>
      </c>
      <c r="Z4300">
        <v>7.5542769999999999E-3</v>
      </c>
      <c r="AA4300">
        <v>0.97748139999999994</v>
      </c>
      <c r="AB4300">
        <v>28</v>
      </c>
      <c r="AC4300">
        <v>-16.738199999999999</v>
      </c>
      <c r="AD4300">
        <v>-1.110161737843</v>
      </c>
      <c r="AE4300">
        <v>3.4752999999999998</v>
      </c>
      <c r="AF4300">
        <v>3.6546749776029799</v>
      </c>
      <c r="AG4300">
        <v>-1.110161737843</v>
      </c>
      <c r="AH4300">
        <v>16.6264544438591</v>
      </c>
      <c r="AI4300">
        <v>93.7311991879549</v>
      </c>
      <c r="AJ4300">
        <v>77.602919409183201</v>
      </c>
      <c r="AK4300">
        <v>17.059545587436101</v>
      </c>
      <c r="AL4300">
        <v>81.857879953145996</v>
      </c>
      <c r="AM4300">
        <v>87.502826476945501</v>
      </c>
      <c r="AN4300">
        <v>1.00000004692323</v>
      </c>
    </row>
    <row r="4301" spans="1:40" x14ac:dyDescent="0.25">
      <c r="A4301" t="str">
        <f>"20190312151113043"</f>
        <v>20190312151113043</v>
      </c>
      <c r="B4301" t="str">
        <f>"1552374673035162"</f>
        <v>1552374673035162</v>
      </c>
      <c r="C4301" t="s">
        <v>40</v>
      </c>
      <c r="D4301">
        <v>5.0243460000000004</v>
      </c>
      <c r="E4301">
        <v>0.56744490000000003</v>
      </c>
      <c r="F4301" t="s">
        <v>79</v>
      </c>
      <c r="G4301">
        <v>-308.39909999999998</v>
      </c>
      <c r="H4301" s="1">
        <v>-9.8211729999999996E-6</v>
      </c>
      <c r="I4301">
        <v>141.4939</v>
      </c>
      <c r="J4301">
        <v>-291.52710000000002</v>
      </c>
      <c r="K4301">
        <v>1.1100589999999999</v>
      </c>
      <c r="L4301">
        <v>137.93440000000001</v>
      </c>
      <c r="M4301">
        <v>-0.99984530000000005</v>
      </c>
      <c r="N4301">
        <v>0</v>
      </c>
      <c r="O4301">
        <v>-1.100054E-2</v>
      </c>
      <c r="P4301">
        <v>-0.99118280000000003</v>
      </c>
      <c r="Q4301">
        <v>0.1277779</v>
      </c>
      <c r="R4301">
        <v>3.5065449999999998E-2</v>
      </c>
      <c r="S4301">
        <v>-3.0317989999999999</v>
      </c>
      <c r="T4301">
        <v>-0.1962662</v>
      </c>
      <c r="U4301">
        <v>0.62884519999999899</v>
      </c>
      <c r="V4301">
        <v>4.6136459999999997E-2</v>
      </c>
      <c r="W4301">
        <v>0.141312299999999</v>
      </c>
      <c r="X4301">
        <v>0.98888940000000003</v>
      </c>
      <c r="Y4301">
        <v>0.21340319999999999</v>
      </c>
      <c r="Z4301">
        <v>7.5319330000000002E-3</v>
      </c>
      <c r="AA4301">
        <v>0.9769352</v>
      </c>
      <c r="AB4301">
        <v>28</v>
      </c>
      <c r="AC4301">
        <v>-16.8719999999999</v>
      </c>
      <c r="AD4301">
        <v>-1.1100688211730001</v>
      </c>
      <c r="AE4301">
        <v>3.5594999999999799</v>
      </c>
      <c r="AF4301">
        <v>3.72944710593731</v>
      </c>
      <c r="AG4301">
        <v>-1.1100688211730001</v>
      </c>
      <c r="AH4301">
        <v>16.762350054017599</v>
      </c>
      <c r="AI4301">
        <v>93.698641496913794</v>
      </c>
      <c r="AJ4301">
        <v>77.456599153828805</v>
      </c>
      <c r="AK4301">
        <v>17.2080622917616</v>
      </c>
      <c r="AL4301">
        <v>81.876209432743593</v>
      </c>
      <c r="AM4301">
        <v>87.328812520184897</v>
      </c>
      <c r="AN4301">
        <v>0.99999999225249003</v>
      </c>
    </row>
    <row r="4302" spans="1:40" x14ac:dyDescent="0.25">
      <c r="A4302" t="str">
        <f>"20190312151113068"</f>
        <v>20190312151113068</v>
      </c>
      <c r="B4302" t="str">
        <f>"1552374673055655"</f>
        <v>1552374673055655</v>
      </c>
      <c r="C4302" t="s">
        <v>40</v>
      </c>
      <c r="D4302">
        <v>4.9810109999999996</v>
      </c>
      <c r="E4302">
        <v>0.56686269999999905</v>
      </c>
      <c r="F4302" t="s">
        <v>79</v>
      </c>
      <c r="G4302">
        <v>-308.55860000000001</v>
      </c>
      <c r="H4302" s="1">
        <v>-9.8472040000000005E-6</v>
      </c>
      <c r="I4302">
        <v>141.5044</v>
      </c>
      <c r="J4302">
        <v>-291.82690000000002</v>
      </c>
      <c r="K4302">
        <v>1.1099589999999999</v>
      </c>
      <c r="L4302">
        <v>137.93199999999999</v>
      </c>
      <c r="M4302">
        <v>-0.99985500000000005</v>
      </c>
      <c r="N4302">
        <v>0</v>
      </c>
      <c r="O4302">
        <v>-1.01653E-2</v>
      </c>
      <c r="P4302">
        <v>-0.99096689999999998</v>
      </c>
      <c r="Q4302">
        <v>0.128468</v>
      </c>
      <c r="R4302">
        <v>3.8482059999999998E-2</v>
      </c>
      <c r="S4302">
        <v>-3.0296630000000002</v>
      </c>
      <c r="T4302">
        <v>-0.19746569999999999</v>
      </c>
      <c r="U4302">
        <v>0.63505549999999999</v>
      </c>
      <c r="V4302">
        <v>4.8756019999999997E-2</v>
      </c>
      <c r="W4302">
        <v>0.141925</v>
      </c>
      <c r="X4302">
        <v>0.988676</v>
      </c>
      <c r="Y4302">
        <v>0.2146363</v>
      </c>
      <c r="Z4302">
        <v>7.5674089999999998E-3</v>
      </c>
      <c r="AA4302">
        <v>0.97666470000000005</v>
      </c>
      <c r="AB4302">
        <v>28</v>
      </c>
      <c r="AC4302">
        <v>-16.731699999999901</v>
      </c>
      <c r="AD4302">
        <v>-1.1099688472039999</v>
      </c>
      <c r="AE4302">
        <v>3.57239999999998</v>
      </c>
      <c r="AF4302">
        <v>3.7266285459676101</v>
      </c>
      <c r="AG4302">
        <v>-1.1099688472039999</v>
      </c>
      <c r="AH4302">
        <v>16.624544346739398</v>
      </c>
      <c r="AI4302">
        <v>93.727555130056302</v>
      </c>
      <c r="AJ4302">
        <v>77.365202138866906</v>
      </c>
      <c r="AK4302">
        <v>17.073232438471901</v>
      </c>
      <c r="AL4302">
        <v>81.840747316503396</v>
      </c>
      <c r="AM4302">
        <v>87.176776881276396</v>
      </c>
      <c r="AN4302">
        <v>1.0000000440436101</v>
      </c>
    </row>
    <row r="4303" spans="1:40" x14ac:dyDescent="0.25">
      <c r="A4303" t="str">
        <f>"20190312151113088"</f>
        <v>20190312151113088</v>
      </c>
      <c r="B4303" t="str">
        <f>"1552374673085911"</f>
        <v>1552374673085911</v>
      </c>
      <c r="C4303" t="s">
        <v>40</v>
      </c>
      <c r="D4303">
        <v>4.9140519999999999</v>
      </c>
      <c r="E4303">
        <v>0.5652547</v>
      </c>
      <c r="F4303" t="s">
        <v>79</v>
      </c>
      <c r="G4303">
        <v>-308.92880000000002</v>
      </c>
      <c r="H4303" s="1">
        <v>-9.9135639999999993E-6</v>
      </c>
      <c r="I4303">
        <v>141.5487</v>
      </c>
      <c r="J4303">
        <v>-292.08550000000002</v>
      </c>
      <c r="K4303">
        <v>1.109866</v>
      </c>
      <c r="L4303">
        <v>137.93029999999999</v>
      </c>
      <c r="M4303">
        <v>-0.99986399999999998</v>
      </c>
      <c r="N4303">
        <v>0</v>
      </c>
      <c r="O4303">
        <v>-9.3191479999999993E-3</v>
      </c>
      <c r="P4303">
        <v>-0.99076600000000004</v>
      </c>
      <c r="Q4303">
        <v>0.1293078</v>
      </c>
      <c r="R4303">
        <v>4.0773490000000003E-2</v>
      </c>
      <c r="S4303">
        <v>-3.0279240000000001</v>
      </c>
      <c r="T4303">
        <v>-0.19652159999999999</v>
      </c>
      <c r="U4303">
        <v>0.64035030000000004</v>
      </c>
      <c r="V4303">
        <v>5.0238230000000002E-2</v>
      </c>
      <c r="W4303">
        <v>0.14269670000000001</v>
      </c>
      <c r="X4303">
        <v>0.9884906</v>
      </c>
      <c r="Y4303">
        <v>0.21556159999999999</v>
      </c>
      <c r="Z4303">
        <v>7.5095719999999999E-3</v>
      </c>
      <c r="AA4303">
        <v>0.97646140000000003</v>
      </c>
      <c r="AB4303">
        <v>28</v>
      </c>
      <c r="AC4303">
        <v>-16.843299999999999</v>
      </c>
      <c r="AD4303">
        <v>-1.1098759135639999</v>
      </c>
      <c r="AE4303">
        <v>3.6183999999999998</v>
      </c>
      <c r="AF4303">
        <v>3.75961829380423</v>
      </c>
      <c r="AG4303">
        <v>-1.1098759135639999</v>
      </c>
      <c r="AH4303">
        <v>16.739368215717299</v>
      </c>
      <c r="AI4303">
        <v>93.701406632722495</v>
      </c>
      <c r="AJ4303">
        <v>77.341575099219995</v>
      </c>
      <c r="AK4303">
        <v>17.192236693344601</v>
      </c>
      <c r="AL4303">
        <v>81.796076715039703</v>
      </c>
      <c r="AM4303">
        <v>87.090549923071407</v>
      </c>
      <c r="AN4303">
        <v>0.99999994711638995</v>
      </c>
    </row>
    <row r="4304" spans="1:40" x14ac:dyDescent="0.25">
      <c r="A4304" t="str">
        <f>"20190312151113111"</f>
        <v>20190312151113111</v>
      </c>
      <c r="B4304" t="str">
        <f>"1552374673105430"</f>
        <v>1552374673105430</v>
      </c>
      <c r="C4304" t="s">
        <v>40</v>
      </c>
      <c r="D4304">
        <v>5.0945679999999998</v>
      </c>
      <c r="E4304">
        <v>0.50606850000000003</v>
      </c>
      <c r="F4304" t="s">
        <v>79</v>
      </c>
      <c r="G4304">
        <v>-309.31130000000002</v>
      </c>
      <c r="H4304" s="1">
        <v>-9.9652439999999994E-6</v>
      </c>
      <c r="I4304">
        <v>141.5378</v>
      </c>
      <c r="J4304">
        <v>-292.36509999999998</v>
      </c>
      <c r="K4304">
        <v>1.1097549999999901</v>
      </c>
      <c r="L4304">
        <v>137.9288</v>
      </c>
      <c r="M4304">
        <v>-0.99987409999999999</v>
      </c>
      <c r="N4304">
        <v>0</v>
      </c>
      <c r="O4304">
        <v>-8.2634909999999995E-3</v>
      </c>
      <c r="P4304">
        <v>-0.99070130000000001</v>
      </c>
      <c r="Q4304">
        <v>0.129216</v>
      </c>
      <c r="R4304">
        <v>4.2595620000000001E-2</v>
      </c>
      <c r="S4304">
        <v>-3.0273129999999999</v>
      </c>
      <c r="T4304">
        <v>-0.19505249999999999</v>
      </c>
      <c r="U4304">
        <v>0.63400269999999903</v>
      </c>
      <c r="V4304">
        <v>5.1048709999999997E-2</v>
      </c>
      <c r="W4304">
        <v>0.14253579999999999</v>
      </c>
      <c r="X4304">
        <v>0.98847229999999997</v>
      </c>
      <c r="Y4304">
        <v>0.21262339999999999</v>
      </c>
      <c r="Z4304">
        <v>7.2957969999999997E-3</v>
      </c>
      <c r="AA4304">
        <v>0.97710699999999995</v>
      </c>
      <c r="AB4304">
        <v>28</v>
      </c>
      <c r="AC4304">
        <v>-16.946200000000001</v>
      </c>
      <c r="AD4304">
        <v>-1.10976496524399</v>
      </c>
      <c r="AE4304">
        <v>3.609</v>
      </c>
      <c r="AF4304">
        <v>3.7336070830689798</v>
      </c>
      <c r="AG4304">
        <v>-1.10976496524399</v>
      </c>
      <c r="AH4304">
        <v>16.846681345575</v>
      </c>
      <c r="AI4304">
        <v>93.679846308040098</v>
      </c>
      <c r="AJ4304">
        <v>77.503929811346197</v>
      </c>
      <c r="AK4304">
        <v>17.291098070630799</v>
      </c>
      <c r="AL4304">
        <v>81.805390891835103</v>
      </c>
      <c r="AM4304">
        <v>87.043640508152507</v>
      </c>
      <c r="AN4304">
        <v>0.99999995647079598</v>
      </c>
    </row>
    <row r="4305" spans="1:40" x14ac:dyDescent="0.25">
      <c r="A4305" t="str">
        <f>"20190312151113133"</f>
        <v>20190312151113133</v>
      </c>
      <c r="B4305" t="str">
        <f>"1552374673124950"</f>
        <v>1552374673124950</v>
      </c>
      <c r="C4305" t="s">
        <v>40</v>
      </c>
      <c r="D4305">
        <v>5.1266720000000001</v>
      </c>
      <c r="E4305">
        <v>0.50445429999999902</v>
      </c>
      <c r="F4305" t="s">
        <v>41</v>
      </c>
      <c r="G4305">
        <v>-293.17070000000001</v>
      </c>
      <c r="H4305">
        <v>1.022861</v>
      </c>
      <c r="I4305">
        <v>137.9725</v>
      </c>
      <c r="J4305">
        <v>-292.64960000000002</v>
      </c>
      <c r="K4305">
        <v>1.1096459999999999</v>
      </c>
      <c r="L4305">
        <v>137.92769999999999</v>
      </c>
      <c r="M4305">
        <v>-0.99988410000000005</v>
      </c>
      <c r="N4305">
        <v>0</v>
      </c>
      <c r="O4305">
        <v>-7.0397139999999999E-3</v>
      </c>
      <c r="P4305">
        <v>-0.9905543</v>
      </c>
      <c r="Q4305">
        <v>0.1298782</v>
      </c>
      <c r="R4305">
        <v>4.397935E-2</v>
      </c>
      <c r="S4305">
        <v>-3.0641479999999999</v>
      </c>
      <c r="T4305">
        <v>-0.33043529999999999</v>
      </c>
      <c r="U4305">
        <v>0.1652679</v>
      </c>
      <c r="V4305">
        <v>5.1258600000000001E-2</v>
      </c>
      <c r="W4305">
        <v>0.14313229999999999</v>
      </c>
      <c r="X4305">
        <v>0.98837529999999996</v>
      </c>
      <c r="Y4305">
        <v>6.0496069999999999E-2</v>
      </c>
      <c r="Z4305">
        <v>4.0066720000000002E-3</v>
      </c>
      <c r="AA4305">
        <v>0.99816039999999995</v>
      </c>
      <c r="AB4305">
        <v>28</v>
      </c>
      <c r="AC4305">
        <v>-0.52109999999998902</v>
      </c>
      <c r="AD4305">
        <v>-8.6784999999999807E-2</v>
      </c>
      <c r="AE4305">
        <v>4.4800000000009201E-2</v>
      </c>
      <c r="AF4305">
        <v>4.7168930221492503E-2</v>
      </c>
      <c r="AG4305">
        <v>-8.6784999999999807E-2</v>
      </c>
      <c r="AH4305">
        <v>0.50681761229451205</v>
      </c>
      <c r="AI4305">
        <v>99.675794364143698</v>
      </c>
      <c r="AJ4305">
        <v>84.682864635128496</v>
      </c>
      <c r="AK4305">
        <v>0.51635320889401903</v>
      </c>
      <c r="AL4305">
        <v>81.770860396510599</v>
      </c>
      <c r="AM4305">
        <v>87.031216135763998</v>
      </c>
      <c r="AN4305">
        <v>1.00000001651366</v>
      </c>
    </row>
    <row r="4306" spans="1:40" x14ac:dyDescent="0.25">
      <c r="A4306" t="str">
        <f>"20190312151113156"</f>
        <v>20190312151113156</v>
      </c>
      <c r="B4306" t="str">
        <f>"1552374673145446"</f>
        <v>1552374673145446</v>
      </c>
      <c r="C4306" t="s">
        <v>40</v>
      </c>
      <c r="D4306">
        <v>5.1403410000000003</v>
      </c>
      <c r="E4306">
        <v>0.50370420000000005</v>
      </c>
      <c r="F4306" t="s">
        <v>41</v>
      </c>
      <c r="G4306">
        <v>-293.4203</v>
      </c>
      <c r="H4306">
        <v>1.0232190000000001</v>
      </c>
      <c r="I4306">
        <v>137.96700000000001</v>
      </c>
      <c r="J4306">
        <v>-292.9239</v>
      </c>
      <c r="K4306">
        <v>1.1095410000000001</v>
      </c>
      <c r="L4306">
        <v>137.9272</v>
      </c>
      <c r="M4306">
        <v>-0.99989320000000004</v>
      </c>
      <c r="N4306">
        <v>0</v>
      </c>
      <c r="O4306">
        <v>-5.7176809999999996E-3</v>
      </c>
      <c r="P4306">
        <v>-0.990402</v>
      </c>
      <c r="Q4306">
        <v>0.1306351</v>
      </c>
      <c r="R4306">
        <v>4.5150450000000002E-2</v>
      </c>
      <c r="S4306">
        <v>-3.0667719999999998</v>
      </c>
      <c r="T4306">
        <v>-0.34382590000000002</v>
      </c>
      <c r="U4306">
        <v>0.15567020000000001</v>
      </c>
      <c r="V4306">
        <v>5.1158380000000003E-2</v>
      </c>
      <c r="W4306">
        <v>0.14382690000000001</v>
      </c>
      <c r="X4306">
        <v>0.98827960000000004</v>
      </c>
      <c r="Y4306">
        <v>5.6019180000000002E-2</v>
      </c>
      <c r="Z4306">
        <v>3.7671430000000001E-3</v>
      </c>
      <c r="AA4306">
        <v>0.99842260000000005</v>
      </c>
      <c r="AB4306">
        <v>28</v>
      </c>
      <c r="AC4306">
        <v>-0.49639999999999401</v>
      </c>
      <c r="AD4306">
        <v>-8.6321999999999705E-2</v>
      </c>
      <c r="AE4306">
        <v>3.9800000000013797E-2</v>
      </c>
      <c r="AF4306">
        <v>4.1394107216510698E-2</v>
      </c>
      <c r="AG4306">
        <v>-8.6321999999999705E-2</v>
      </c>
      <c r="AH4306">
        <v>0.48169108001279298</v>
      </c>
      <c r="AI4306">
        <v>100.12337532162999</v>
      </c>
      <c r="AJ4306">
        <v>85.088355875890201</v>
      </c>
      <c r="AK4306">
        <v>0.49111226451814799</v>
      </c>
      <c r="AL4306">
        <v>81.730646216776094</v>
      </c>
      <c r="AM4306">
        <v>87.036723891825702</v>
      </c>
      <c r="AN4306">
        <v>0.99999996239199596</v>
      </c>
    </row>
    <row r="4307" spans="1:40" x14ac:dyDescent="0.25">
      <c r="A4307" t="str">
        <f>"20190312151113178"</f>
        <v>20190312151113178</v>
      </c>
      <c r="B4307" t="str">
        <f>"1552374673175702"</f>
        <v>1552374673175702</v>
      </c>
      <c r="C4307" t="s">
        <v>40</v>
      </c>
      <c r="D4307">
        <v>5.142239</v>
      </c>
      <c r="E4307">
        <v>0.50283859999999903</v>
      </c>
      <c r="F4307" t="s">
        <v>41</v>
      </c>
      <c r="G4307">
        <v>-293.67090000000002</v>
      </c>
      <c r="H4307">
        <v>1.025714</v>
      </c>
      <c r="I4307">
        <v>137.96449999999999</v>
      </c>
      <c r="J4307">
        <v>-293.20420000000001</v>
      </c>
      <c r="K4307">
        <v>1.10944</v>
      </c>
      <c r="L4307">
        <v>137.9272</v>
      </c>
      <c r="M4307">
        <v>-0.99990120000000005</v>
      </c>
      <c r="N4307">
        <v>0</v>
      </c>
      <c r="O4307">
        <v>-4.2237899999999998E-3</v>
      </c>
      <c r="P4307">
        <v>-0.99007869999999998</v>
      </c>
      <c r="Q4307">
        <v>0.13248119999999999</v>
      </c>
      <c r="R4307">
        <v>4.6829719999999998E-2</v>
      </c>
      <c r="S4307">
        <v>-3.0675050000000001</v>
      </c>
      <c r="T4307">
        <v>-0.34420129999999999</v>
      </c>
      <c r="U4307">
        <v>0.15304570000000001</v>
      </c>
      <c r="V4307">
        <v>5.1399340000000002E-2</v>
      </c>
      <c r="W4307">
        <v>0.14560619999999999</v>
      </c>
      <c r="X4307">
        <v>0.98800650000000001</v>
      </c>
      <c r="Y4307">
        <v>5.3686499999999998E-2</v>
      </c>
      <c r="Z4307">
        <v>3.4730080000000001E-3</v>
      </c>
      <c r="AA4307">
        <v>0.99855179999999999</v>
      </c>
      <c r="AB4307">
        <v>28</v>
      </c>
      <c r="AC4307">
        <v>-0.466700000000003</v>
      </c>
      <c r="AD4307">
        <v>-8.3725999999999898E-2</v>
      </c>
      <c r="AE4307">
        <v>3.72999999999876E-2</v>
      </c>
      <c r="AF4307">
        <v>3.8054112963609103E-2</v>
      </c>
      <c r="AG4307">
        <v>-8.3725999999999898E-2</v>
      </c>
      <c r="AH4307">
        <v>0.45208069020422897</v>
      </c>
      <c r="AI4307">
        <v>100.456219445073</v>
      </c>
      <c r="AJ4307">
        <v>85.188442492146905</v>
      </c>
      <c r="AK4307">
        <v>0.46134055647100702</v>
      </c>
      <c r="AL4307">
        <v>81.627615128822498</v>
      </c>
      <c r="AM4307">
        <v>87.021970214836301</v>
      </c>
      <c r="AN4307">
        <v>0.99999995083656101</v>
      </c>
    </row>
    <row r="4308" spans="1:40" x14ac:dyDescent="0.25">
      <c r="A4308" t="str">
        <f>"20190312151113201"</f>
        <v>20190312151113201</v>
      </c>
      <c r="B4308" t="str">
        <f>"1552374673195223"</f>
        <v>1552374673195223</v>
      </c>
      <c r="C4308" t="s">
        <v>40</v>
      </c>
      <c r="D4308">
        <v>5.1266069999999999</v>
      </c>
      <c r="E4308">
        <v>0.50248000000000004</v>
      </c>
      <c r="F4308" t="s">
        <v>41</v>
      </c>
      <c r="G4308">
        <v>-294.15780000000001</v>
      </c>
      <c r="H4308">
        <v>1.0021910000000001</v>
      </c>
      <c r="I4308">
        <v>137.97450000000001</v>
      </c>
      <c r="J4308">
        <v>-293.4785</v>
      </c>
      <c r="K4308">
        <v>1.1093420000000001</v>
      </c>
      <c r="L4308">
        <v>137.92769999999999</v>
      </c>
      <c r="M4308">
        <v>-0.99990730000000005</v>
      </c>
      <c r="N4308">
        <v>0</v>
      </c>
      <c r="O4308">
        <v>-2.6266359999999999E-3</v>
      </c>
      <c r="P4308">
        <v>-0.98987329999999996</v>
      </c>
      <c r="Q4308">
        <v>0.13333599999999901</v>
      </c>
      <c r="R4308">
        <v>4.8707430000000003E-2</v>
      </c>
      <c r="S4308">
        <v>-3.0691220000000001</v>
      </c>
      <c r="T4308">
        <v>-0.34515020000000002</v>
      </c>
      <c r="U4308">
        <v>0.15110779999999999</v>
      </c>
      <c r="V4308">
        <v>5.1732119999999999E-2</v>
      </c>
      <c r="W4308">
        <v>0.146402</v>
      </c>
      <c r="X4308">
        <v>0.98787159999999996</v>
      </c>
      <c r="Y4308">
        <v>5.1458700000000003E-2</v>
      </c>
      <c r="Z4308">
        <v>3.1769889999999999E-3</v>
      </c>
      <c r="AA4308">
        <v>0.99866999999999995</v>
      </c>
      <c r="AB4308">
        <v>28</v>
      </c>
      <c r="AC4308">
        <v>-0.67930000000001201</v>
      </c>
      <c r="AD4308">
        <v>-0.107151</v>
      </c>
      <c r="AE4308">
        <v>4.6800000000018799E-2</v>
      </c>
      <c r="AF4308">
        <v>4.7410226526069202E-2</v>
      </c>
      <c r="AG4308">
        <v>-0.107151</v>
      </c>
      <c r="AH4308">
        <v>0.66276237532212401</v>
      </c>
      <c r="AI4308">
        <v>99.160723923747796</v>
      </c>
      <c r="AJ4308">
        <v>85.908357595900497</v>
      </c>
      <c r="AK4308">
        <v>0.67304014183618799</v>
      </c>
      <c r="AL4308">
        <v>81.581525898002099</v>
      </c>
      <c r="AM4308">
        <v>87.002315746027904</v>
      </c>
      <c r="AN4308">
        <v>1.00000002796512</v>
      </c>
    </row>
    <row r="4309" spans="1:40" x14ac:dyDescent="0.25">
      <c r="A4309" t="str">
        <f>"20190312151113223"</f>
        <v>20190312151113223</v>
      </c>
      <c r="B4309" t="str">
        <f>"1552374673215719"</f>
        <v>1552374673215719</v>
      </c>
      <c r="C4309" t="s">
        <v>40</v>
      </c>
      <c r="D4309">
        <v>5.184361</v>
      </c>
      <c r="E4309">
        <v>0.50216260000000001</v>
      </c>
      <c r="F4309" t="s">
        <v>41</v>
      </c>
      <c r="G4309">
        <v>-294.4083</v>
      </c>
      <c r="H4309">
        <v>1.005074</v>
      </c>
      <c r="I4309">
        <v>137.9743</v>
      </c>
      <c r="J4309">
        <v>-293.7604</v>
      </c>
      <c r="K4309">
        <v>1.1092569999999999</v>
      </c>
      <c r="L4309">
        <v>137.9289</v>
      </c>
      <c r="M4309">
        <v>-0.99991099999999999</v>
      </c>
      <c r="N4309">
        <v>0</v>
      </c>
      <c r="O4309">
        <v>-8.8620660000000005E-4</v>
      </c>
      <c r="P4309">
        <v>-0.98981269999999999</v>
      </c>
      <c r="Q4309">
        <v>0.13281960000000001</v>
      </c>
      <c r="R4309">
        <v>5.1284150000000001E-2</v>
      </c>
      <c r="S4309">
        <v>-3.0695190000000001</v>
      </c>
      <c r="T4309">
        <v>-0.34424329999999997</v>
      </c>
      <c r="U4309">
        <v>0.15359500000000001</v>
      </c>
      <c r="V4309">
        <v>5.261325E-2</v>
      </c>
      <c r="W4309">
        <v>0.14583209999999999</v>
      </c>
      <c r="X4309">
        <v>0.98790929999999999</v>
      </c>
      <c r="Y4309">
        <v>5.0539809999999998E-2</v>
      </c>
      <c r="Z4309">
        <v>2.9224120000000001E-3</v>
      </c>
      <c r="AA4309">
        <v>0.99871779999999999</v>
      </c>
      <c r="AB4309">
        <v>28</v>
      </c>
      <c r="AC4309">
        <v>-0.64789999999999204</v>
      </c>
      <c r="AD4309">
        <v>-0.104182999999999</v>
      </c>
      <c r="AE4309">
        <v>4.5400000000000697E-2</v>
      </c>
      <c r="AF4309">
        <v>4.4820935139974899E-2</v>
      </c>
      <c r="AG4309">
        <v>-0.104182999999999</v>
      </c>
      <c r="AH4309">
        <v>0.63160783686835997</v>
      </c>
      <c r="AI4309">
        <v>99.343452907107107</v>
      </c>
      <c r="AJ4309">
        <v>85.940910589090905</v>
      </c>
      <c r="AK4309">
        <v>0.64170980459188198</v>
      </c>
      <c r="AL4309">
        <v>81.614532530039696</v>
      </c>
      <c r="AM4309">
        <v>86.951469167313206</v>
      </c>
      <c r="AN4309">
        <v>0.99999997024623</v>
      </c>
    </row>
    <row r="4310" spans="1:40" x14ac:dyDescent="0.25">
      <c r="A4310" t="str">
        <f>"20190312151113244"</f>
        <v>20190312151113244</v>
      </c>
      <c r="B4310" t="str">
        <f>"1552374673235238"</f>
        <v>1552374673235238</v>
      </c>
      <c r="C4310" t="s">
        <v>40</v>
      </c>
      <c r="D4310">
        <v>5.140371</v>
      </c>
      <c r="E4310">
        <v>0.50193949999999998</v>
      </c>
      <c r="F4310" t="s">
        <v>41</v>
      </c>
      <c r="G4310">
        <v>-294.6576</v>
      </c>
      <c r="H4310">
        <v>1.0058929999999999</v>
      </c>
      <c r="I4310">
        <v>137.9753</v>
      </c>
      <c r="J4310">
        <v>-294.03160000000003</v>
      </c>
      <c r="K4310">
        <v>1.1091839999999999</v>
      </c>
      <c r="L4310">
        <v>137.9306</v>
      </c>
      <c r="M4310">
        <v>-0.99991129999999995</v>
      </c>
      <c r="N4310">
        <v>0</v>
      </c>
      <c r="O4310">
        <v>8.706292E-4</v>
      </c>
      <c r="P4310">
        <v>-0.98992060000000004</v>
      </c>
      <c r="Q4310">
        <v>0.13097210000000001</v>
      </c>
      <c r="R4310">
        <v>5.3886030000000001E-2</v>
      </c>
      <c r="S4310">
        <v>-3.0701290000000001</v>
      </c>
      <c r="T4310">
        <v>-0.35366049999999999</v>
      </c>
      <c r="U4310">
        <v>0.1580811</v>
      </c>
      <c r="V4310">
        <v>5.3492060000000001E-2</v>
      </c>
      <c r="W4310">
        <v>0.14394109999999999</v>
      </c>
      <c r="X4310">
        <v>0.98813949999999995</v>
      </c>
      <c r="Y4310">
        <v>5.0226800000000002E-2</v>
      </c>
      <c r="Z4310">
        <v>2.781586E-3</v>
      </c>
      <c r="AA4310">
        <v>0.99873389999999995</v>
      </c>
      <c r="AB4310">
        <v>28</v>
      </c>
      <c r="AC4310">
        <v>-0.62599999999997602</v>
      </c>
      <c r="AD4310">
        <v>-0.10329099999999999</v>
      </c>
      <c r="AE4310">
        <v>4.4700000000005902E-2</v>
      </c>
      <c r="AF4310">
        <v>4.2990421670953398E-2</v>
      </c>
      <c r="AG4310">
        <v>-0.10329099999999999</v>
      </c>
      <c r="AH4310">
        <v>0.609528141924635</v>
      </c>
      <c r="AI4310">
        <v>99.5946147065345</v>
      </c>
      <c r="AJ4310">
        <v>85.965571901845294</v>
      </c>
      <c r="AK4310">
        <v>0.61971103171925601</v>
      </c>
      <c r="AL4310">
        <v>81.724035018971307</v>
      </c>
      <c r="AM4310">
        <v>86.9013680159903</v>
      </c>
      <c r="AN4310">
        <v>1.0000000561062501</v>
      </c>
    </row>
    <row r="4311" spans="1:40" x14ac:dyDescent="0.25">
      <c r="A4311" t="str">
        <f>"20190312151113268"</f>
        <v>20190312151113268</v>
      </c>
      <c r="B4311" t="str">
        <f>"1552374673255734"</f>
        <v>1552374673255734</v>
      </c>
      <c r="C4311" t="s">
        <v>40</v>
      </c>
      <c r="D4311">
        <v>5.1106540000000003</v>
      </c>
      <c r="E4311">
        <v>0.50160159999999998</v>
      </c>
      <c r="F4311" t="s">
        <v>41</v>
      </c>
      <c r="G4311">
        <v>-294.90629999999999</v>
      </c>
      <c r="H4311">
        <v>1.005862</v>
      </c>
      <c r="I4311">
        <v>137.97710000000001</v>
      </c>
      <c r="J4311">
        <v>-294.32170000000002</v>
      </c>
      <c r="K4311">
        <v>1.1091120000000001</v>
      </c>
      <c r="L4311">
        <v>137.93299999999999</v>
      </c>
      <c r="M4311">
        <v>-0.99990829999999997</v>
      </c>
      <c r="N4311">
        <v>0</v>
      </c>
      <c r="O4311">
        <v>2.8269020000000001E-3</v>
      </c>
      <c r="P4311">
        <v>-0.99000980000000005</v>
      </c>
      <c r="Q4311">
        <v>0.12916150000000001</v>
      </c>
      <c r="R4311">
        <v>5.655085E-2</v>
      </c>
      <c r="S4311">
        <v>-3.0696409999999998</v>
      </c>
      <c r="T4311">
        <v>-0.36266890000000002</v>
      </c>
      <c r="U4311">
        <v>0.16340639999999901</v>
      </c>
      <c r="V4311">
        <v>5.4232809999999999E-2</v>
      </c>
      <c r="W4311">
        <v>0.14208970000000001</v>
      </c>
      <c r="X4311">
        <v>0.988367</v>
      </c>
      <c r="Y4311">
        <v>5.0007210000000003E-2</v>
      </c>
      <c r="Z4311">
        <v>2.60918E-3</v>
      </c>
      <c r="AA4311">
        <v>0.99874540000000001</v>
      </c>
      <c r="AB4311">
        <v>28</v>
      </c>
      <c r="AC4311">
        <v>-0.58459999999996604</v>
      </c>
      <c r="AD4311">
        <v>-0.10324999999999999</v>
      </c>
      <c r="AE4311">
        <v>4.4100000000014399E-2</v>
      </c>
      <c r="AF4311">
        <v>4.11701037600022E-2</v>
      </c>
      <c r="AG4311">
        <v>-0.10324999999999999</v>
      </c>
      <c r="AH4311">
        <v>0.56713168599848796</v>
      </c>
      <c r="AI4311">
        <v>100.291561896692</v>
      </c>
      <c r="AJ4311">
        <v>85.847979079879494</v>
      </c>
      <c r="AK4311">
        <v>0.57792204423009996</v>
      </c>
      <c r="AL4311">
        <v>81.831213755947701</v>
      </c>
      <c r="AM4311">
        <v>86.859265630718298</v>
      </c>
      <c r="AN4311">
        <v>1.0000000036077901</v>
      </c>
    </row>
    <row r="4312" spans="1:40" x14ac:dyDescent="0.25">
      <c r="A4312" t="str">
        <f>"20190312151113290"</f>
        <v>20190312151113290</v>
      </c>
      <c r="B4312" t="str">
        <f>"1552374673285015"</f>
        <v>1552374673285015</v>
      </c>
      <c r="C4312" t="s">
        <v>40</v>
      </c>
      <c r="D4312">
        <v>5.1089520000000004</v>
      </c>
      <c r="E4312">
        <v>0.50099740000000004</v>
      </c>
      <c r="F4312" t="s">
        <v>41</v>
      </c>
      <c r="G4312">
        <v>-295.15620000000001</v>
      </c>
      <c r="H4312">
        <v>1.0083759999999999</v>
      </c>
      <c r="I4312">
        <v>137.97899999999899</v>
      </c>
      <c r="J4312">
        <v>-294.60140000000001</v>
      </c>
      <c r="K4312">
        <v>1.1090469999999999</v>
      </c>
      <c r="L4312">
        <v>137.9359</v>
      </c>
      <c r="M4312">
        <v>-0.99990109999999999</v>
      </c>
      <c r="N4312">
        <v>0</v>
      </c>
      <c r="O4312">
        <v>4.7764920000000002E-3</v>
      </c>
      <c r="P4312">
        <v>-0.99030490000000004</v>
      </c>
      <c r="Q4312">
        <v>0.12582839999999901</v>
      </c>
      <c r="R4312">
        <v>5.8849350000000002E-2</v>
      </c>
      <c r="S4312">
        <v>-3.0689700000000002</v>
      </c>
      <c r="T4312">
        <v>-0.37039830000000001</v>
      </c>
      <c r="U4312">
        <v>0.168457</v>
      </c>
      <c r="V4312">
        <v>5.460371E-2</v>
      </c>
      <c r="W4312">
        <v>0.13872309999999999</v>
      </c>
      <c r="X4312">
        <v>0.9888247</v>
      </c>
      <c r="Y4312">
        <v>4.9712470000000002E-2</v>
      </c>
      <c r="Z4312">
        <v>2.4128639999999998E-3</v>
      </c>
      <c r="AA4312">
        <v>0.9987606</v>
      </c>
      <c r="AB4312">
        <v>28</v>
      </c>
      <c r="AC4312">
        <v>-0.55479999999999996</v>
      </c>
      <c r="AD4312">
        <v>-0.100670999999999</v>
      </c>
      <c r="AE4312">
        <v>4.3099999999981202E-2</v>
      </c>
      <c r="AF4312">
        <v>3.9167398329321097E-2</v>
      </c>
      <c r="AG4312">
        <v>-0.100670999999999</v>
      </c>
      <c r="AH4312">
        <v>0.53741103377151</v>
      </c>
      <c r="AI4312">
        <v>100.58258574954699</v>
      </c>
      <c r="AJ4312">
        <v>85.831559658127503</v>
      </c>
      <c r="AK4312">
        <v>0.54815997168002994</v>
      </c>
      <c r="AL4312">
        <v>82.026035514322402</v>
      </c>
      <c r="AM4312">
        <v>86.839290200875894</v>
      </c>
      <c r="AN4312">
        <v>0.99999997547473096</v>
      </c>
    </row>
    <row r="4313" spans="1:40" x14ac:dyDescent="0.25">
      <c r="A4313" t="str">
        <f>"20190312151113313"</f>
        <v>20190312151113313</v>
      </c>
      <c r="B4313" t="str">
        <f>"1552374673305514"</f>
        <v>1552374673305514</v>
      </c>
      <c r="C4313" t="s">
        <v>40</v>
      </c>
      <c r="D4313">
        <v>5.1101660000000004</v>
      </c>
      <c r="E4313">
        <v>0.50061499999999903</v>
      </c>
      <c r="F4313" t="s">
        <v>41</v>
      </c>
      <c r="G4313">
        <v>-295.4049</v>
      </c>
      <c r="H4313">
        <v>1.008416</v>
      </c>
      <c r="I4313">
        <v>137.9804</v>
      </c>
      <c r="J4313">
        <v>-294.87200000000001</v>
      </c>
      <c r="K4313">
        <v>1.1090009999999999</v>
      </c>
      <c r="L4313">
        <v>137.9393</v>
      </c>
      <c r="M4313">
        <v>-0.99989059999999996</v>
      </c>
      <c r="N4313">
        <v>0</v>
      </c>
      <c r="O4313">
        <v>6.710929E-3</v>
      </c>
      <c r="P4313">
        <v>-0.99024559999999995</v>
      </c>
      <c r="Q4313">
        <v>0.1252916</v>
      </c>
      <c r="R4313">
        <v>6.0958499999999999E-2</v>
      </c>
      <c r="S4313">
        <v>-3.068085</v>
      </c>
      <c r="T4313">
        <v>-0.38425399999999998</v>
      </c>
      <c r="U4313">
        <v>0.16986080000000001</v>
      </c>
      <c r="V4313">
        <v>5.4808540000000003E-2</v>
      </c>
      <c r="W4313">
        <v>0.13814879999999999</v>
      </c>
      <c r="X4313">
        <v>0.98889380000000005</v>
      </c>
      <c r="Y4313">
        <v>4.825314E-2</v>
      </c>
      <c r="Z4313">
        <v>2.171016E-3</v>
      </c>
      <c r="AA4313">
        <v>0.99883279999999997</v>
      </c>
      <c r="AB4313">
        <v>28</v>
      </c>
      <c r="AC4313">
        <v>-0.53289999999998305</v>
      </c>
      <c r="AD4313">
        <v>-0.10058499999999999</v>
      </c>
      <c r="AE4313">
        <v>4.1100000000000102E-2</v>
      </c>
      <c r="AF4313">
        <v>3.6239067219146701E-2</v>
      </c>
      <c r="AG4313">
        <v>-0.10058499999999999</v>
      </c>
      <c r="AH4313">
        <v>0.51492718666380399</v>
      </c>
      <c r="AI4313">
        <v>101.026279115799</v>
      </c>
      <c r="AJ4313">
        <v>85.974328389528694</v>
      </c>
      <c r="AK4313">
        <v>0.52590932657960499</v>
      </c>
      <c r="AL4313">
        <v>82.059260645883299</v>
      </c>
      <c r="AM4313">
        <v>86.827679120172604</v>
      </c>
      <c r="AN4313">
        <v>1.0000000073384001</v>
      </c>
    </row>
    <row r="4314" spans="1:40" x14ac:dyDescent="0.25">
      <c r="A4314" t="str">
        <f>"20190312151113334"</f>
        <v>20190312151113334</v>
      </c>
      <c r="B4314" t="str">
        <f>"1552374673325031"</f>
        <v>1552374673325031</v>
      </c>
      <c r="C4314" t="s">
        <v>40</v>
      </c>
      <c r="D4314">
        <v>5.1660760000000003</v>
      </c>
      <c r="E4314">
        <v>0.50039449999999996</v>
      </c>
      <c r="F4314" t="s">
        <v>41</v>
      </c>
      <c r="G4314">
        <v>-295.65410000000003</v>
      </c>
      <c r="H4314">
        <v>1.010257</v>
      </c>
      <c r="I4314">
        <v>137.98349999999999</v>
      </c>
      <c r="J4314">
        <v>-295.15429999999998</v>
      </c>
      <c r="K4314">
        <v>1.1089629999999999</v>
      </c>
      <c r="L4314">
        <v>137.9434</v>
      </c>
      <c r="M4314">
        <v>-0.99987510000000002</v>
      </c>
      <c r="N4314">
        <v>0</v>
      </c>
      <c r="O4314">
        <v>8.7696030000000008E-3</v>
      </c>
      <c r="P4314">
        <v>-0.98998739999999996</v>
      </c>
      <c r="Q4314">
        <v>0.1264131</v>
      </c>
      <c r="R4314">
        <v>6.280848E-2</v>
      </c>
      <c r="S4314">
        <v>-3.0679020000000001</v>
      </c>
      <c r="T4314">
        <v>-0.38733610000000002</v>
      </c>
      <c r="U4314">
        <v>0.17286679999999999</v>
      </c>
      <c r="V4314">
        <v>5.4637959999999999E-2</v>
      </c>
      <c r="W4314">
        <v>0.13923170000000001</v>
      </c>
      <c r="X4314">
        <v>0.98875139999999995</v>
      </c>
      <c r="Y4314">
        <v>4.7195010000000003E-2</v>
      </c>
      <c r="Z4314">
        <v>1.863209E-3</v>
      </c>
      <c r="AA4314">
        <v>0.99888399999999999</v>
      </c>
      <c r="AB4314">
        <v>28</v>
      </c>
      <c r="AC4314">
        <v>-0.49980000000004998</v>
      </c>
      <c r="AD4314">
        <v>-9.8705999999999905E-2</v>
      </c>
      <c r="AE4314">
        <v>4.0099999999995299E-2</v>
      </c>
      <c r="AF4314">
        <v>3.4382594586281803E-2</v>
      </c>
      <c r="AG4314">
        <v>-9.8705999999999905E-2</v>
      </c>
      <c r="AH4314">
        <v>0.481473803101929</v>
      </c>
      <c r="AI4314">
        <v>101.556932823721</v>
      </c>
      <c r="AJ4314">
        <v>85.915376729851104</v>
      </c>
      <c r="AK4314">
        <v>0.49268860380560803</v>
      </c>
      <c r="AL4314">
        <v>81.996609931114904</v>
      </c>
      <c r="AM4314">
        <v>86.837077692959397</v>
      </c>
      <c r="AN4314">
        <v>1.0000000519798999</v>
      </c>
    </row>
    <row r="4315" spans="1:40" x14ac:dyDescent="0.25">
      <c r="A4315" t="str">
        <f>"20190312151113357"</f>
        <v>20190312151113357</v>
      </c>
      <c r="B4315" t="str">
        <f>"1552374673345527"</f>
        <v>1552374673345527</v>
      </c>
      <c r="C4315" t="s">
        <v>40</v>
      </c>
      <c r="D4315">
        <v>5.1140629999999998</v>
      </c>
      <c r="E4315">
        <v>0.50006249999999997</v>
      </c>
      <c r="F4315" t="s">
        <v>41</v>
      </c>
      <c r="G4315">
        <v>-295.90449999999998</v>
      </c>
      <c r="H4315">
        <v>1.014319</v>
      </c>
      <c r="I4315">
        <v>137.98679999999999</v>
      </c>
      <c r="J4315">
        <v>-295.42610000000002</v>
      </c>
      <c r="K4315">
        <v>1.108932</v>
      </c>
      <c r="L4315">
        <v>137.9479</v>
      </c>
      <c r="M4315">
        <v>-0.99985559999999996</v>
      </c>
      <c r="N4315">
        <v>0</v>
      </c>
      <c r="O4315">
        <v>1.0788839999999999E-2</v>
      </c>
      <c r="P4315">
        <v>-0.98985029999999996</v>
      </c>
      <c r="Q4315">
        <v>0.12681969999999901</v>
      </c>
      <c r="R4315">
        <v>6.4134750000000004E-2</v>
      </c>
      <c r="S4315">
        <v>-3.0685120000000001</v>
      </c>
      <c r="T4315">
        <v>-0.38704179999999999</v>
      </c>
      <c r="U4315">
        <v>0.17724609999999999</v>
      </c>
      <c r="V4315">
        <v>5.397764E-2</v>
      </c>
      <c r="W4315">
        <v>0.13960799999999901</v>
      </c>
      <c r="X4315">
        <v>0.98873449999999996</v>
      </c>
      <c r="Y4315">
        <v>4.6608759999999999E-2</v>
      </c>
      <c r="Z4315">
        <v>1.5711119999999999E-3</v>
      </c>
      <c r="AA4315">
        <v>0.99891200000000002</v>
      </c>
      <c r="AB4315">
        <v>28</v>
      </c>
      <c r="AC4315">
        <v>-0.47839999999996502</v>
      </c>
      <c r="AD4315">
        <v>-9.4613000000000003E-2</v>
      </c>
      <c r="AE4315">
        <v>3.8899999999983899E-2</v>
      </c>
      <c r="AF4315">
        <v>3.2474098378383102E-2</v>
      </c>
      <c r="AG4315">
        <v>-9.4613000000000003E-2</v>
      </c>
      <c r="AH4315">
        <v>0.46088380578489901</v>
      </c>
      <c r="AI4315">
        <v>101.572936346844</v>
      </c>
      <c r="AJ4315">
        <v>85.969572472407094</v>
      </c>
      <c r="AK4315">
        <v>0.47161432258706998</v>
      </c>
      <c r="AL4315">
        <v>81.974836019661694</v>
      </c>
      <c r="AM4315">
        <v>86.875173263705406</v>
      </c>
      <c r="AN4315">
        <v>0.99999994538710801</v>
      </c>
    </row>
    <row r="4316" spans="1:40" x14ac:dyDescent="0.25">
      <c r="A4316" t="str">
        <f>"20190312151113379"</f>
        <v>20190312151113379</v>
      </c>
      <c r="B4316" t="str">
        <f>"1552374673375783"</f>
        <v>1552374673375783</v>
      </c>
      <c r="C4316" t="s">
        <v>40</v>
      </c>
      <c r="D4316">
        <v>5.1242789999999996</v>
      </c>
      <c r="E4316">
        <v>0.49959320000000002</v>
      </c>
      <c r="F4316" t="s">
        <v>41</v>
      </c>
      <c r="G4316">
        <v>-296.15410000000003</v>
      </c>
      <c r="H4316">
        <v>1.017182</v>
      </c>
      <c r="I4316">
        <v>137.9907</v>
      </c>
      <c r="J4316">
        <v>-295.69549999999998</v>
      </c>
      <c r="K4316">
        <v>1.1089</v>
      </c>
      <c r="L4316">
        <v>137.95310000000001</v>
      </c>
      <c r="M4316">
        <v>-0.99983200000000005</v>
      </c>
      <c r="N4316">
        <v>0</v>
      </c>
      <c r="O4316">
        <v>1.2826239999999999E-2</v>
      </c>
      <c r="P4316">
        <v>-0.98979450000000002</v>
      </c>
      <c r="Q4316">
        <v>0.12718080000000001</v>
      </c>
      <c r="R4316">
        <v>6.4285030000000007E-2</v>
      </c>
      <c r="S4316">
        <v>-3.0687259999999998</v>
      </c>
      <c r="T4316">
        <v>-0.38667639999999998</v>
      </c>
      <c r="U4316">
        <v>0.17915339999999999</v>
      </c>
      <c r="V4316">
        <v>5.2121010000000002E-2</v>
      </c>
      <c r="W4316">
        <v>0.1399484</v>
      </c>
      <c r="X4316">
        <v>0.98878600000000005</v>
      </c>
      <c r="Y4316">
        <v>4.5215640000000001E-2</v>
      </c>
      <c r="Z4316">
        <v>1.2266930000000001E-3</v>
      </c>
      <c r="AA4316">
        <v>0.99897650000000004</v>
      </c>
      <c r="AB4316">
        <v>28</v>
      </c>
      <c r="AC4316">
        <v>-0.45860000000004603</v>
      </c>
      <c r="AD4316">
        <v>-9.1717999999999897E-2</v>
      </c>
      <c r="AE4316">
        <v>3.7599999999997601E-2</v>
      </c>
      <c r="AF4316">
        <v>3.0502392550061399E-2</v>
      </c>
      <c r="AG4316">
        <v>-9.1717999999999897E-2</v>
      </c>
      <c r="AH4316">
        <v>0.44150313792296803</v>
      </c>
      <c r="AI4316">
        <v>101.70858426525901</v>
      </c>
      <c r="AJ4316">
        <v>86.047852067816393</v>
      </c>
      <c r="AK4316">
        <v>0.45195974186989901</v>
      </c>
      <c r="AL4316">
        <v>81.955139238287899</v>
      </c>
      <c r="AM4316">
        <v>86.982610385977793</v>
      </c>
      <c r="AN4316">
        <v>0.99999995407098896</v>
      </c>
    </row>
    <row r="4317" spans="1:40" x14ac:dyDescent="0.25">
      <c r="A4317" t="str">
        <f>"20190312151113402"</f>
        <v>20190312151113402</v>
      </c>
      <c r="B4317" t="str">
        <f>"1552374673395302"</f>
        <v>1552374673395302</v>
      </c>
      <c r="C4317" t="s">
        <v>40</v>
      </c>
      <c r="D4317">
        <v>5.0966269999999998</v>
      </c>
      <c r="E4317">
        <v>0.49356359999999999</v>
      </c>
      <c r="F4317" t="s">
        <v>41</v>
      </c>
      <c r="G4317">
        <v>-296.63690000000003</v>
      </c>
      <c r="H4317">
        <v>0.99033400000000005</v>
      </c>
      <c r="I4317">
        <v>138.0076</v>
      </c>
      <c r="J4317">
        <v>-295.98489999999998</v>
      </c>
      <c r="K4317">
        <v>1.108867</v>
      </c>
      <c r="L4317">
        <v>137.95930000000001</v>
      </c>
      <c r="M4317">
        <v>-0.9998013</v>
      </c>
      <c r="N4317">
        <v>0</v>
      </c>
      <c r="O4317">
        <v>1.505021E-2</v>
      </c>
      <c r="P4317">
        <v>-0.98986909999999895</v>
      </c>
      <c r="Q4317">
        <v>0.12624659999999999</v>
      </c>
      <c r="R4317">
        <v>6.4971920000000002E-2</v>
      </c>
      <c r="S4317">
        <v>-3.0691220000000001</v>
      </c>
      <c r="T4317">
        <v>-0.38647369999999998</v>
      </c>
      <c r="U4317">
        <v>0.176651</v>
      </c>
      <c r="V4317">
        <v>5.060767E-2</v>
      </c>
      <c r="W4317">
        <v>0.13899600000000001</v>
      </c>
      <c r="X4317">
        <v>0.98899890000000001</v>
      </c>
      <c r="Y4317">
        <v>4.2215490000000001E-2</v>
      </c>
      <c r="Z4317">
        <v>7.5925859999999995E-4</v>
      </c>
      <c r="AA4317">
        <v>0.99910829999999995</v>
      </c>
      <c r="AB4317">
        <v>28</v>
      </c>
      <c r="AC4317">
        <v>-0.65200000000004299</v>
      </c>
      <c r="AD4317">
        <v>-0.118533</v>
      </c>
      <c r="AE4317">
        <v>4.8299999999983301E-2</v>
      </c>
      <c r="AF4317">
        <v>3.7256318772736101E-2</v>
      </c>
      <c r="AG4317">
        <v>-0.118533</v>
      </c>
      <c r="AH4317">
        <v>0.63188281304070304</v>
      </c>
      <c r="AI4317">
        <v>100.60646948985701</v>
      </c>
      <c r="AJ4317">
        <v>86.625701259303796</v>
      </c>
      <c r="AK4317">
        <v>0.643982914985893</v>
      </c>
      <c r="AL4317">
        <v>82.010246121314694</v>
      </c>
      <c r="AM4317">
        <v>87.0706953617415</v>
      </c>
      <c r="AN4317">
        <v>0.99999992424001605</v>
      </c>
    </row>
    <row r="4318" spans="1:40" x14ac:dyDescent="0.25">
      <c r="A4318" t="str">
        <f>"20190312151113424"</f>
        <v>20190312151113424</v>
      </c>
      <c r="B4318" t="str">
        <f>"1552374673415799"</f>
        <v>1552374673415799</v>
      </c>
      <c r="C4318" t="s">
        <v>40</v>
      </c>
      <c r="D4318">
        <v>5.0808099999999996</v>
      </c>
      <c r="E4318">
        <v>0.49457400000000001</v>
      </c>
      <c r="F4318" t="s">
        <v>41</v>
      </c>
      <c r="G4318">
        <v>-296.88330000000002</v>
      </c>
      <c r="H4318">
        <v>0.98638300000000001</v>
      </c>
      <c r="I4318">
        <v>137.9975</v>
      </c>
      <c r="J4318">
        <v>-296.25779999999997</v>
      </c>
      <c r="K4318">
        <v>1.1088439999999999</v>
      </c>
      <c r="L4318">
        <v>137.9657</v>
      </c>
      <c r="M4318">
        <v>-0.99976739999999997</v>
      </c>
      <c r="N4318">
        <v>0</v>
      </c>
      <c r="O4318">
        <v>1.717163E-2</v>
      </c>
      <c r="P4318">
        <v>-0.98985630000000002</v>
      </c>
      <c r="Q4318">
        <v>0.12601480000000001</v>
      </c>
      <c r="R4318">
        <v>6.5614190000000003E-2</v>
      </c>
      <c r="S4318">
        <v>-3.0755919999999999</v>
      </c>
      <c r="T4318">
        <v>-0.4192959</v>
      </c>
      <c r="U4318">
        <v>0.13104250000000001</v>
      </c>
      <c r="V4318">
        <v>4.9152920000000003E-2</v>
      </c>
      <c r="W4318">
        <v>0.13874909999999999</v>
      </c>
      <c r="X4318">
        <v>0.98910699999999996</v>
      </c>
      <c r="Y4318">
        <v>2.5329500000000001E-2</v>
      </c>
      <c r="Z4318">
        <v>-6.1122200000000002E-4</v>
      </c>
      <c r="AA4318">
        <v>0.99967899999999998</v>
      </c>
      <c r="AB4318">
        <v>28</v>
      </c>
      <c r="AC4318">
        <v>-0.62550000000004502</v>
      </c>
      <c r="AD4318">
        <v>-0.122460999999999</v>
      </c>
      <c r="AE4318">
        <v>3.1800000000003999E-2</v>
      </c>
      <c r="AF4318">
        <v>2.0278274984662899E-2</v>
      </c>
      <c r="AG4318">
        <v>-0.122460999999999</v>
      </c>
      <c r="AH4318">
        <v>0.60290401281828099</v>
      </c>
      <c r="AI4318">
        <v>101.475320739479</v>
      </c>
      <c r="AJ4318">
        <v>88.0736208088544</v>
      </c>
      <c r="AK4318">
        <v>0.61554947293433604</v>
      </c>
      <c r="AL4318">
        <v>82.024531392695494</v>
      </c>
      <c r="AM4318">
        <v>87.155070146906695</v>
      </c>
      <c r="AN4318">
        <v>0.99999998987216798</v>
      </c>
    </row>
    <row r="4319" spans="1:40" x14ac:dyDescent="0.25">
      <c r="A4319" t="str">
        <f>"20190312151113447"</f>
        <v>20190312151113447</v>
      </c>
      <c r="B4319" t="str">
        <f>"1552374673435319"</f>
        <v>1552374673435319</v>
      </c>
      <c r="C4319" t="s">
        <v>40</v>
      </c>
      <c r="D4319">
        <v>5.0773780000000004</v>
      </c>
      <c r="E4319">
        <v>0.49464629999999998</v>
      </c>
      <c r="F4319" t="s">
        <v>41</v>
      </c>
      <c r="G4319">
        <v>-297.13299999999998</v>
      </c>
      <c r="H4319">
        <v>0.99051210000000001</v>
      </c>
      <c r="I4319">
        <v>138.00630000000001</v>
      </c>
      <c r="J4319">
        <v>-296.53820000000002</v>
      </c>
      <c r="K4319">
        <v>1.1088340000000001</v>
      </c>
      <c r="L4319">
        <v>137.97299999999899</v>
      </c>
      <c r="M4319">
        <v>-0.99972740000000004</v>
      </c>
      <c r="N4319">
        <v>0</v>
      </c>
      <c r="O4319">
        <v>1.9370970000000001E-2</v>
      </c>
      <c r="P4319">
        <v>-0.98976030000000004</v>
      </c>
      <c r="Q4319">
        <v>0.126371699999999</v>
      </c>
      <c r="R4319">
        <v>6.6369079999999997E-2</v>
      </c>
      <c r="S4319">
        <v>-3.0742189999999998</v>
      </c>
      <c r="T4319">
        <v>-0.41561959999999998</v>
      </c>
      <c r="U4319">
        <v>0.14178470000000001</v>
      </c>
      <c r="V4319">
        <v>4.7735880000000001E-2</v>
      </c>
      <c r="W4319">
        <v>0.1390914</v>
      </c>
      <c r="X4319">
        <v>0.98912840000000002</v>
      </c>
      <c r="Y4319">
        <v>2.6644870000000001E-2</v>
      </c>
      <c r="Z4319">
        <v>-8.1341179999999897E-4</v>
      </c>
      <c r="AA4319">
        <v>0.99964459999999999</v>
      </c>
      <c r="AB4319">
        <v>28</v>
      </c>
      <c r="AC4319">
        <v>-0.59479999999996302</v>
      </c>
      <c r="AD4319">
        <v>-0.11832189999999999</v>
      </c>
      <c r="AE4319">
        <v>3.33000000000254E-2</v>
      </c>
      <c r="AF4319">
        <v>2.09446848511914E-2</v>
      </c>
      <c r="AG4319">
        <v>-0.11832189999999999</v>
      </c>
      <c r="AH4319">
        <v>0.57273982174794502</v>
      </c>
      <c r="AI4319">
        <v>101.66490143084501</v>
      </c>
      <c r="AJ4319">
        <v>87.905667661401594</v>
      </c>
      <c r="AK4319">
        <v>0.58520906969987596</v>
      </c>
      <c r="AL4319">
        <v>82.004727593698703</v>
      </c>
      <c r="AM4319">
        <v>87.237017941717099</v>
      </c>
      <c r="AN4319">
        <v>1.00000006173994</v>
      </c>
    </row>
    <row r="4320" spans="1:40" x14ac:dyDescent="0.25">
      <c r="A4320" t="str">
        <f>"20190312151113469"</f>
        <v>20190312151113469</v>
      </c>
      <c r="B4320" t="str">
        <f>"1552374673465575"</f>
        <v>1552374673465575</v>
      </c>
      <c r="C4320" t="s">
        <v>40</v>
      </c>
      <c r="D4320">
        <v>5.1160249999999996</v>
      </c>
      <c r="E4320">
        <v>0.49281019999999998</v>
      </c>
      <c r="F4320" t="s">
        <v>41</v>
      </c>
      <c r="G4320">
        <v>-297.3845</v>
      </c>
      <c r="H4320">
        <v>0.99855340000000004</v>
      </c>
      <c r="I4320">
        <v>138.01300000000001</v>
      </c>
      <c r="J4320">
        <v>-296.81229999999999</v>
      </c>
      <c r="K4320">
        <v>1.1088169999999999</v>
      </c>
      <c r="L4320">
        <v>137.98070000000001</v>
      </c>
      <c r="M4320">
        <v>-0.99968330000000005</v>
      </c>
      <c r="N4320">
        <v>0</v>
      </c>
      <c r="O4320">
        <v>2.1538370000000001E-2</v>
      </c>
      <c r="P4320">
        <v>-0.98979490000000003</v>
      </c>
      <c r="Q4320">
        <v>0.1255819</v>
      </c>
      <c r="R4320">
        <v>6.7348089999999999E-2</v>
      </c>
      <c r="S4320">
        <v>-3.0724490000000002</v>
      </c>
      <c r="T4320">
        <v>-0.40028320000000001</v>
      </c>
      <c r="U4320">
        <v>0.14454649999999999</v>
      </c>
      <c r="V4320">
        <v>4.6566400000000001E-2</v>
      </c>
      <c r="W4320">
        <v>0.138291</v>
      </c>
      <c r="X4320">
        <v>0.98929630000000002</v>
      </c>
      <c r="Y4320">
        <v>2.5433910000000001E-2</v>
      </c>
      <c r="Z4320">
        <v>-1.143528E-3</v>
      </c>
      <c r="AA4320">
        <v>0.99967589999999995</v>
      </c>
      <c r="AB4320">
        <v>28</v>
      </c>
      <c r="AC4320">
        <v>-0.57220000000000903</v>
      </c>
      <c r="AD4320">
        <v>-0.1102636</v>
      </c>
      <c r="AE4320">
        <v>3.2299999999992203E-2</v>
      </c>
      <c r="AF4320">
        <v>1.9254486616640299E-2</v>
      </c>
      <c r="AG4320">
        <v>-0.1102636</v>
      </c>
      <c r="AH4320">
        <v>0.55231848589249399</v>
      </c>
      <c r="AI4320">
        <v>101.28329376404101</v>
      </c>
      <c r="AJ4320">
        <v>88.0034087837588</v>
      </c>
      <c r="AK4320">
        <v>0.563546365970368</v>
      </c>
      <c r="AL4320">
        <v>82.051034164548696</v>
      </c>
      <c r="AM4320">
        <v>87.305063865023698</v>
      </c>
      <c r="AN4320">
        <v>0.99999999974182496</v>
      </c>
    </row>
    <row r="4321" spans="1:40" x14ac:dyDescent="0.25">
      <c r="A4321" t="str">
        <f>"20190312151113491"</f>
        <v>20190312151113491</v>
      </c>
      <c r="B4321" t="str">
        <f>"1552374673485095"</f>
        <v>1552374673485095</v>
      </c>
      <c r="C4321" t="s">
        <v>40</v>
      </c>
      <c r="D4321">
        <v>5.0935480000000002</v>
      </c>
      <c r="E4321">
        <v>0.4923495</v>
      </c>
      <c r="F4321" t="s">
        <v>41</v>
      </c>
      <c r="G4321">
        <v>-297.63600000000002</v>
      </c>
      <c r="H4321">
        <v>1.006459</v>
      </c>
      <c r="I4321">
        <v>138.0163</v>
      </c>
      <c r="J4321">
        <v>-297.08960000000002</v>
      </c>
      <c r="K4321">
        <v>1.1088009999999999</v>
      </c>
      <c r="L4321">
        <v>137.98910000000001</v>
      </c>
      <c r="M4321">
        <v>-0.99963349999999995</v>
      </c>
      <c r="N4321">
        <v>0</v>
      </c>
      <c r="O4321">
        <v>2.3744950000000001E-2</v>
      </c>
      <c r="P4321">
        <v>-0.98979309999999998</v>
      </c>
      <c r="Q4321">
        <v>0.12495779999999999</v>
      </c>
      <c r="R4321">
        <v>6.8520929999999994E-2</v>
      </c>
      <c r="S4321">
        <v>-3.0703429999999998</v>
      </c>
      <c r="T4321">
        <v>-0.38149909999999998</v>
      </c>
      <c r="U4321">
        <v>0.13227839999999999</v>
      </c>
      <c r="V4321">
        <v>4.5551479999999998E-2</v>
      </c>
      <c r="W4321">
        <v>0.13765759999999999</v>
      </c>
      <c r="X4321">
        <v>0.98943190000000003</v>
      </c>
      <c r="Y4321">
        <v>1.93394E-2</v>
      </c>
      <c r="Z4321">
        <v>-1.7410609999999999E-3</v>
      </c>
      <c r="AA4321">
        <v>0.99981149999999996</v>
      </c>
      <c r="AB4321">
        <v>28</v>
      </c>
      <c r="AC4321">
        <v>-0.54639999999994804</v>
      </c>
      <c r="AD4321">
        <v>-0.102341999999999</v>
      </c>
      <c r="AE4321">
        <v>2.71999999999934E-2</v>
      </c>
      <c r="AF4321">
        <v>1.3736284802048601E-2</v>
      </c>
      <c r="AG4321">
        <v>-0.102341999999999</v>
      </c>
      <c r="AH4321">
        <v>0.52840023145281301</v>
      </c>
      <c r="AI4321">
        <v>100.95786953636301</v>
      </c>
      <c r="AJ4321">
        <v>88.510875126901595</v>
      </c>
      <c r="AK4321">
        <v>0.53839518486289295</v>
      </c>
      <c r="AL4321">
        <v>82.087675908146494</v>
      </c>
      <c r="AM4321">
        <v>87.364077308096995</v>
      </c>
      <c r="AN4321">
        <v>1.00000001845278</v>
      </c>
    </row>
    <row r="4322" spans="1:40" x14ac:dyDescent="0.25">
      <c r="A4322" t="str">
        <f>"20190312151113514"</f>
        <v>20190312151113514</v>
      </c>
      <c r="B4322" t="str">
        <f>"1552374673505591"</f>
        <v>1552374673505591</v>
      </c>
      <c r="C4322" t="s">
        <v>40</v>
      </c>
      <c r="D4322">
        <v>5.0717999999999996</v>
      </c>
      <c r="E4322">
        <v>0.4920505</v>
      </c>
      <c r="F4322" t="s">
        <v>41</v>
      </c>
      <c r="G4322">
        <v>-297.88569999999999</v>
      </c>
      <c r="H4322">
        <v>1.011331</v>
      </c>
      <c r="I4322">
        <v>138.02350000000001</v>
      </c>
      <c r="J4322">
        <v>-297.36470000000003</v>
      </c>
      <c r="K4322">
        <v>1.1087929999999999</v>
      </c>
      <c r="L4322">
        <v>137.99799999999999</v>
      </c>
      <c r="M4322">
        <v>-0.999579</v>
      </c>
      <c r="N4322">
        <v>0</v>
      </c>
      <c r="O4322">
        <v>2.5944180000000001E-2</v>
      </c>
      <c r="P4322">
        <v>-0.98985480000000003</v>
      </c>
      <c r="Q4322">
        <v>0.1241318</v>
      </c>
      <c r="R4322">
        <v>6.9131209999999998E-2</v>
      </c>
      <c r="S4322">
        <v>-3.0691830000000002</v>
      </c>
      <c r="T4322">
        <v>-0.37577709999999998</v>
      </c>
      <c r="U4322">
        <v>0.13262939999999901</v>
      </c>
      <c r="V4322">
        <v>4.3978400000000001E-2</v>
      </c>
      <c r="W4322">
        <v>0.136826799999999</v>
      </c>
      <c r="X4322">
        <v>0.9896182</v>
      </c>
      <c r="Y4322">
        <v>1.7300639999999999E-2</v>
      </c>
      <c r="Z4322">
        <v>-2.1080920000000002E-3</v>
      </c>
      <c r="AA4322">
        <v>0.99984810000000002</v>
      </c>
      <c r="AB4322">
        <v>28</v>
      </c>
      <c r="AC4322">
        <v>-0.52099999999995805</v>
      </c>
      <c r="AD4322">
        <v>-9.7462000000000104E-2</v>
      </c>
      <c r="AE4322">
        <v>2.5500000000022199E-2</v>
      </c>
      <c r="AF4322">
        <v>1.15694611800737E-2</v>
      </c>
      <c r="AG4322">
        <v>-9.7462000000000104E-2</v>
      </c>
      <c r="AH4322">
        <v>0.50389500432853296</v>
      </c>
      <c r="AI4322">
        <v>100.94400710377199</v>
      </c>
      <c r="AJ4322">
        <v>88.684716368493696</v>
      </c>
      <c r="AK4322">
        <v>0.513364265666446</v>
      </c>
      <c r="AL4322">
        <v>82.135731250644795</v>
      </c>
      <c r="AM4322">
        <v>87.455463218413001</v>
      </c>
      <c r="AN4322">
        <v>0.99999992731801701</v>
      </c>
    </row>
    <row r="4323" spans="1:40" x14ac:dyDescent="0.25">
      <c r="A4323" t="str">
        <f>"20190312151113535"</f>
        <v>20190312151113535</v>
      </c>
      <c r="B4323" t="str">
        <f>"1552374673525114"</f>
        <v>1552374673525114</v>
      </c>
      <c r="C4323" t="s">
        <v>40</v>
      </c>
      <c r="D4323">
        <v>5.0658180000000002</v>
      </c>
      <c r="E4323">
        <v>0.4921143</v>
      </c>
      <c r="F4323" t="s">
        <v>41</v>
      </c>
      <c r="G4323">
        <v>-298.13459999999998</v>
      </c>
      <c r="H4323">
        <v>1.014756</v>
      </c>
      <c r="I4323">
        <v>138.03139999999999</v>
      </c>
      <c r="J4323">
        <v>-297.64</v>
      </c>
      <c r="K4323">
        <v>1.108778</v>
      </c>
      <c r="L4323">
        <v>138.0076</v>
      </c>
      <c r="M4323">
        <v>-0.99951950000000001</v>
      </c>
      <c r="N4323">
        <v>0</v>
      </c>
      <c r="O4323">
        <v>2.815202E-2</v>
      </c>
      <c r="P4323">
        <v>-0.98991019999999996</v>
      </c>
      <c r="Q4323">
        <v>0.1233595</v>
      </c>
      <c r="R4323">
        <v>6.971803E-2</v>
      </c>
      <c r="S4323">
        <v>-3.0684809999999998</v>
      </c>
      <c r="T4323">
        <v>-0.37466159999999998</v>
      </c>
      <c r="U4323">
        <v>0.1323242</v>
      </c>
      <c r="V4323">
        <v>4.2372319999999998E-2</v>
      </c>
      <c r="W4323">
        <v>0.1360517</v>
      </c>
      <c r="X4323">
        <v>0.98979519999999999</v>
      </c>
      <c r="Y4323">
        <v>1.503549E-2</v>
      </c>
      <c r="Z4323">
        <v>-2.5084019999999999E-3</v>
      </c>
      <c r="AA4323">
        <v>0.99988379999999999</v>
      </c>
      <c r="AB4323">
        <v>28</v>
      </c>
      <c r="AC4323">
        <v>-0.49459999999999099</v>
      </c>
      <c r="AD4323">
        <v>-9.4021999999999994E-2</v>
      </c>
      <c r="AE4323">
        <v>2.3799999999994201E-2</v>
      </c>
      <c r="AF4323">
        <v>9.5221007235760102E-3</v>
      </c>
      <c r="AG4323">
        <v>-9.4021999999999994E-2</v>
      </c>
      <c r="AH4323">
        <v>0.477846031477551</v>
      </c>
      <c r="AI4323">
        <v>101.129286249372</v>
      </c>
      <c r="AJ4323">
        <v>88.858410553945603</v>
      </c>
      <c r="AK4323">
        <v>0.48710125917003599</v>
      </c>
      <c r="AL4323">
        <v>82.1805610735409</v>
      </c>
      <c r="AM4323">
        <v>87.548711413009499</v>
      </c>
      <c r="AN4323">
        <v>1.0000000082590501</v>
      </c>
    </row>
    <row r="4324" spans="1:40" x14ac:dyDescent="0.25">
      <c r="A4324" t="str">
        <f>"20190312151113550"</f>
        <v>20190312151113550</v>
      </c>
      <c r="B4324" t="str">
        <f>"1552374673545608"</f>
        <v>1552374673545608</v>
      </c>
      <c r="C4324" t="s">
        <v>40</v>
      </c>
      <c r="D4324">
        <v>5.0676449999999997</v>
      </c>
      <c r="E4324">
        <v>0.49231279999999999</v>
      </c>
      <c r="F4324" t="s">
        <v>41</v>
      </c>
      <c r="G4324">
        <v>-298.38350000000003</v>
      </c>
      <c r="H4324">
        <v>1.0185</v>
      </c>
      <c r="I4324">
        <v>138.0402</v>
      </c>
      <c r="J4324">
        <v>-297.81610000000001</v>
      </c>
      <c r="K4324">
        <v>1.108773</v>
      </c>
      <c r="L4324">
        <v>138.01410000000001</v>
      </c>
      <c r="M4324">
        <v>-0.99947859999999999</v>
      </c>
      <c r="N4324">
        <v>0</v>
      </c>
      <c r="O4324">
        <v>2.9567329999999999E-2</v>
      </c>
      <c r="P4324">
        <v>-0.98991300000000004</v>
      </c>
      <c r="Q4324">
        <v>0.1230903</v>
      </c>
      <c r="R4324">
        <v>7.01518E-2</v>
      </c>
      <c r="S4324">
        <v>-3.0675050000000001</v>
      </c>
      <c r="T4324">
        <v>-0.37239840000000002</v>
      </c>
      <c r="U4324">
        <v>0.1342621</v>
      </c>
      <c r="V4324">
        <v>4.1401479999999997E-2</v>
      </c>
      <c r="W4324">
        <v>0.13578090000000001</v>
      </c>
      <c r="X4324">
        <v>0.98987349999999996</v>
      </c>
      <c r="Y4324">
        <v>1.4278600000000001E-2</v>
      </c>
      <c r="Z4324">
        <v>-2.7108779999999999E-3</v>
      </c>
      <c r="AA4324">
        <v>0.99989439999999996</v>
      </c>
      <c r="AB4324">
        <v>28</v>
      </c>
      <c r="AC4324">
        <v>-0.56740000000002</v>
      </c>
      <c r="AD4324">
        <v>-9.0273000000000006E-2</v>
      </c>
      <c r="AE4324">
        <v>2.6099999999985302E-2</v>
      </c>
      <c r="AF4324">
        <v>9.0812861747780194E-3</v>
      </c>
      <c r="AG4324">
        <v>-9.0273000000000006E-2</v>
      </c>
      <c r="AH4324">
        <v>0.55393179916374102</v>
      </c>
      <c r="AI4324">
        <v>99.2547709154736</v>
      </c>
      <c r="AJ4324">
        <v>89.060763864593696</v>
      </c>
      <c r="AK4324">
        <v>0.56131285609040504</v>
      </c>
      <c r="AL4324">
        <v>82.196222354366498</v>
      </c>
      <c r="AM4324">
        <v>87.604998714530794</v>
      </c>
      <c r="AN4324">
        <v>1.0000000406766201</v>
      </c>
    </row>
    <row r="4325" spans="1:40" x14ac:dyDescent="0.25">
      <c r="A4325" t="str">
        <f>"20190312151113569"</f>
        <v>20190312151113569</v>
      </c>
      <c r="B4325" t="str">
        <f>"1552374673565127"</f>
        <v>1552374673565127</v>
      </c>
      <c r="C4325" t="s">
        <v>40</v>
      </c>
      <c r="D4325">
        <v>5.0753019999999998</v>
      </c>
      <c r="E4325">
        <v>0.49247740000000001</v>
      </c>
      <c r="F4325" t="s">
        <v>41</v>
      </c>
      <c r="G4325">
        <v>-298.6266</v>
      </c>
      <c r="H4325">
        <v>1.010794</v>
      </c>
      <c r="I4325">
        <v>138.0506</v>
      </c>
      <c r="J4325">
        <v>-298.04899999999998</v>
      </c>
      <c r="K4325">
        <v>1.1087689999999999</v>
      </c>
      <c r="L4325">
        <v>138.023</v>
      </c>
      <c r="M4325">
        <v>-0.99942149999999996</v>
      </c>
      <c r="N4325">
        <v>0</v>
      </c>
      <c r="O4325">
        <v>3.1440570000000001E-2</v>
      </c>
      <c r="P4325">
        <v>-0.98994459999999995</v>
      </c>
      <c r="Q4325">
        <v>0.1227279</v>
      </c>
      <c r="R4325">
        <v>7.0340040000000006E-2</v>
      </c>
      <c r="S4325">
        <v>-3.0669249999999999</v>
      </c>
      <c r="T4325">
        <v>-0.3705734</v>
      </c>
      <c r="U4325">
        <v>0.1368866</v>
      </c>
      <c r="V4325">
        <v>3.972908E-2</v>
      </c>
      <c r="W4325">
        <v>0.1354186</v>
      </c>
      <c r="X4325">
        <v>0.98999159999999997</v>
      </c>
      <c r="Y4325">
        <v>1.328649E-2</v>
      </c>
      <c r="Z4325">
        <v>-2.9830960000000002E-3</v>
      </c>
      <c r="AA4325">
        <v>0.99990730000000005</v>
      </c>
      <c r="AB4325">
        <v>28</v>
      </c>
      <c r="AC4325">
        <v>-0.57759999999996103</v>
      </c>
      <c r="AD4325">
        <v>-9.7975000000000104E-2</v>
      </c>
      <c r="AE4325">
        <v>2.7600000000006699E-2</v>
      </c>
      <c r="AF4325">
        <v>9.1617476163993808E-3</v>
      </c>
      <c r="AG4325">
        <v>-9.7975000000000104E-2</v>
      </c>
      <c r="AH4325">
        <v>0.56204761092496003</v>
      </c>
      <c r="AI4325">
        <v>99.887037467739106</v>
      </c>
      <c r="AJ4325">
        <v>89.066123624907803</v>
      </c>
      <c r="AK4325">
        <v>0.57059666594788505</v>
      </c>
      <c r="AL4325">
        <v>82.217173676244698</v>
      </c>
      <c r="AM4325">
        <v>87.701912008177104</v>
      </c>
      <c r="AN4325">
        <v>0.999999982547083</v>
      </c>
    </row>
    <row r="4326" spans="1:40" x14ac:dyDescent="0.25">
      <c r="A4326" t="str">
        <f>"20190312151113591"</f>
        <v>20190312151113591</v>
      </c>
      <c r="B4326" t="str">
        <f>"1552374673585623"</f>
        <v>1552374673585623</v>
      </c>
      <c r="C4326" t="s">
        <v>40</v>
      </c>
      <c r="D4326">
        <v>5.0974969999999997</v>
      </c>
      <c r="E4326">
        <v>0.49249009999999999</v>
      </c>
      <c r="F4326" t="s">
        <v>41</v>
      </c>
      <c r="G4326">
        <v>-298.87270000000001</v>
      </c>
      <c r="H4326">
        <v>1.009301</v>
      </c>
      <c r="I4326">
        <v>138.06020000000001</v>
      </c>
      <c r="J4326">
        <v>-298.32499999999999</v>
      </c>
      <c r="K4326">
        <v>1.1087659999999999</v>
      </c>
      <c r="L4326">
        <v>138.0341</v>
      </c>
      <c r="M4326">
        <v>-0.9993493</v>
      </c>
      <c r="N4326">
        <v>0</v>
      </c>
      <c r="O4326">
        <v>3.3662280000000003E-2</v>
      </c>
      <c r="P4326">
        <v>-0.99004720000000002</v>
      </c>
      <c r="Q4326">
        <v>0.1221444</v>
      </c>
      <c r="R4326">
        <v>6.9908349999999994E-2</v>
      </c>
      <c r="S4326">
        <v>-3.0664980000000002</v>
      </c>
      <c r="T4326">
        <v>-0.37032199999999998</v>
      </c>
      <c r="U4326">
        <v>0.138549799999999</v>
      </c>
      <c r="V4326">
        <v>3.7086960000000002E-2</v>
      </c>
      <c r="W4326">
        <v>0.13483979999999901</v>
      </c>
      <c r="X4326">
        <v>0.99017310000000003</v>
      </c>
      <c r="Y4326">
        <v>1.1638920000000001E-2</v>
      </c>
      <c r="Z4326">
        <v>-3.3475430000000001E-3</v>
      </c>
      <c r="AA4326">
        <v>0.99992669999999995</v>
      </c>
      <c r="AB4326">
        <v>28</v>
      </c>
      <c r="AC4326">
        <v>-0.54770000000001995</v>
      </c>
      <c r="AD4326">
        <v>-9.9464999999999901E-2</v>
      </c>
      <c r="AE4326">
        <v>2.6100000000013699E-2</v>
      </c>
      <c r="AF4326">
        <v>7.4032201818162698E-3</v>
      </c>
      <c r="AG4326">
        <v>-9.9464999999999901E-2</v>
      </c>
      <c r="AH4326">
        <v>0.53080184651768703</v>
      </c>
      <c r="AI4326">
        <v>100.612353796467</v>
      </c>
      <c r="AJ4326">
        <v>89.200933883241802</v>
      </c>
      <c r="AK4326">
        <v>0.54009137575103605</v>
      </c>
      <c r="AL4326">
        <v>82.250643526615406</v>
      </c>
      <c r="AM4326">
        <v>87.854987731918399</v>
      </c>
      <c r="AN4326">
        <v>0.99999999111484505</v>
      </c>
    </row>
    <row r="4327" spans="1:40" x14ac:dyDescent="0.25">
      <c r="A4327" t="str">
        <f>"20190312151113614"</f>
        <v>20190312151113614</v>
      </c>
      <c r="B4327" t="str">
        <f>"1552374673605146"</f>
        <v>1552374673605146</v>
      </c>
      <c r="C4327" t="s">
        <v>40</v>
      </c>
      <c r="D4327">
        <v>5.1137079999999999</v>
      </c>
      <c r="E4327">
        <v>0.4925177</v>
      </c>
      <c r="F4327" t="s">
        <v>41</v>
      </c>
      <c r="G4327">
        <v>-299.12099999999998</v>
      </c>
      <c r="H4327">
        <v>1.0128569999999999</v>
      </c>
      <c r="I4327">
        <v>138.0701</v>
      </c>
      <c r="J4327">
        <v>-298.60739999999998</v>
      </c>
      <c r="K4327">
        <v>1.1087590000000001</v>
      </c>
      <c r="L4327">
        <v>138.0461</v>
      </c>
      <c r="M4327">
        <v>-0.99927029999999994</v>
      </c>
      <c r="N4327">
        <v>0</v>
      </c>
      <c r="O4327">
        <v>3.5935469999999997E-2</v>
      </c>
      <c r="P4327">
        <v>-0.99011819999999895</v>
      </c>
      <c r="Q4327">
        <v>0.1215712</v>
      </c>
      <c r="R4327">
        <v>6.9903800000000002E-2</v>
      </c>
      <c r="S4327">
        <v>-3.065979</v>
      </c>
      <c r="T4327">
        <v>-0.36933060000000001</v>
      </c>
      <c r="U4327">
        <v>0.1374359</v>
      </c>
      <c r="V4327">
        <v>3.4820869999999997E-2</v>
      </c>
      <c r="W4327">
        <v>0.13427049999999999</v>
      </c>
      <c r="X4327">
        <v>0.99033269999999995</v>
      </c>
      <c r="Y4327">
        <v>9.0436660000000006E-3</v>
      </c>
      <c r="Z4327">
        <v>-3.7674140000000002E-3</v>
      </c>
      <c r="AA4327">
        <v>0.99995199999999995</v>
      </c>
      <c r="AB4327">
        <v>28</v>
      </c>
      <c r="AC4327">
        <v>-0.51359999999999595</v>
      </c>
      <c r="AD4327">
        <v>-9.5902000000000098E-2</v>
      </c>
      <c r="AE4327">
        <v>2.4000000000000899E-2</v>
      </c>
      <c r="AF4327">
        <v>5.3406886093310601E-3</v>
      </c>
      <c r="AG4327">
        <v>-9.5902000000000098E-2</v>
      </c>
      <c r="AH4327">
        <v>0.496845347938355</v>
      </c>
      <c r="AI4327">
        <v>100.924363925249</v>
      </c>
      <c r="AJ4327">
        <v>89.384140088012899</v>
      </c>
      <c r="AK4327">
        <v>0.50604448058130902</v>
      </c>
      <c r="AL4327">
        <v>82.283561112194505</v>
      </c>
      <c r="AM4327">
        <v>87.986265286232694</v>
      </c>
      <c r="AN4327">
        <v>0.99999995842354705</v>
      </c>
    </row>
    <row r="4328" spans="1:40" x14ac:dyDescent="0.25">
      <c r="A4328" t="str">
        <f>"20190312151113628"</f>
        <v>20190312151113628</v>
      </c>
      <c r="B4328" t="str">
        <f>"1552374673625639"</f>
        <v>1552374673625639</v>
      </c>
      <c r="C4328" t="s">
        <v>40</v>
      </c>
      <c r="D4328">
        <v>5.0591119999999998</v>
      </c>
      <c r="E4328">
        <v>0.49260769999999998</v>
      </c>
      <c r="F4328" t="s">
        <v>41</v>
      </c>
      <c r="G4328">
        <v>-299.36950000000002</v>
      </c>
      <c r="H4328">
        <v>1.0168349999999999</v>
      </c>
      <c r="I4328">
        <v>138.0805</v>
      </c>
      <c r="J4328">
        <v>-298.77589999999998</v>
      </c>
      <c r="K4328">
        <v>1.1087610000000001</v>
      </c>
      <c r="L4328">
        <v>138.05359999999999</v>
      </c>
      <c r="M4328">
        <v>-0.99922060000000001</v>
      </c>
      <c r="N4328">
        <v>0</v>
      </c>
      <c r="O4328">
        <v>3.729209E-2</v>
      </c>
      <c r="P4328">
        <v>-0.99011119999999997</v>
      </c>
      <c r="Q4328">
        <v>0.1213872</v>
      </c>
      <c r="R4328">
        <v>7.0321830000000002E-2</v>
      </c>
      <c r="S4328">
        <v>-3.0656129999999999</v>
      </c>
      <c r="T4328">
        <v>-0.36967850000000002</v>
      </c>
      <c r="U4328">
        <v>0.13780209999999901</v>
      </c>
      <c r="V4328">
        <v>3.3890919999999998E-2</v>
      </c>
      <c r="W4328">
        <v>0.13408709999999999</v>
      </c>
      <c r="X4328">
        <v>0.99038979999999999</v>
      </c>
      <c r="Y4328">
        <v>7.8296019999999997E-3</v>
      </c>
      <c r="Z4328">
        <v>-4.0070560000000002E-3</v>
      </c>
      <c r="AA4328">
        <v>0.99996130000000005</v>
      </c>
      <c r="AB4328">
        <v>28</v>
      </c>
      <c r="AC4328">
        <v>-0.59360000000003699</v>
      </c>
      <c r="AD4328">
        <v>-9.1926000000000105E-2</v>
      </c>
      <c r="AE4328">
        <v>2.6900000000011901E-2</v>
      </c>
      <c r="AF4328">
        <v>4.6319891169149903E-3</v>
      </c>
      <c r="AG4328">
        <v>-9.1926000000000105E-2</v>
      </c>
      <c r="AH4328">
        <v>0.58030187681543399</v>
      </c>
      <c r="AI4328">
        <v>99.001183143020995</v>
      </c>
      <c r="AJ4328">
        <v>89.5426728714083</v>
      </c>
      <c r="AK4328">
        <v>0.58755605097275199</v>
      </c>
      <c r="AL4328">
        <v>82.294164986302803</v>
      </c>
      <c r="AM4328">
        <v>88.040115857025199</v>
      </c>
      <c r="AN4328">
        <v>0.999999950394446</v>
      </c>
    </row>
    <row r="4329" spans="1:40" x14ac:dyDescent="0.25">
      <c r="A4329" t="str">
        <f>"20190312151113648"</f>
        <v>20190312151113648</v>
      </c>
      <c r="B4329" t="str">
        <f>"1552374673645159"</f>
        <v>1552374673645159</v>
      </c>
      <c r="C4329" t="s">
        <v>40</v>
      </c>
      <c r="D4329">
        <v>5.095815</v>
      </c>
      <c r="E4329">
        <v>0.49260359999999997</v>
      </c>
      <c r="F4329" t="s">
        <v>41</v>
      </c>
      <c r="G4329">
        <v>-299.61160000000001</v>
      </c>
      <c r="H4329">
        <v>1.00806</v>
      </c>
      <c r="I4329">
        <v>138.09200000000001</v>
      </c>
      <c r="J4329">
        <v>-299.01780000000002</v>
      </c>
      <c r="K4329">
        <v>1.1087659999999999</v>
      </c>
      <c r="L4329">
        <v>138.06479999999999</v>
      </c>
      <c r="M4329">
        <v>-0.99914610000000004</v>
      </c>
      <c r="N4329">
        <v>0</v>
      </c>
      <c r="O4329">
        <v>3.9238290000000002E-2</v>
      </c>
      <c r="P4329">
        <v>-0.99004150000000002</v>
      </c>
      <c r="Q4329">
        <v>0.12218370000000001</v>
      </c>
      <c r="R4329">
        <v>6.9923020000000002E-2</v>
      </c>
      <c r="S4329">
        <v>-3.065277</v>
      </c>
      <c r="T4329">
        <v>-0.3693264</v>
      </c>
      <c r="U4329">
        <v>0.13978579999999999</v>
      </c>
      <c r="V4329">
        <v>3.1565360000000001E-2</v>
      </c>
      <c r="W4329">
        <v>0.1348876</v>
      </c>
      <c r="X4329">
        <v>0.99035799999999996</v>
      </c>
      <c r="Y4329">
        <v>6.5554100000000002E-3</v>
      </c>
      <c r="Z4329">
        <v>-4.3133929999999996E-3</v>
      </c>
      <c r="AA4329">
        <v>0.9999692</v>
      </c>
      <c r="AB4329">
        <v>28</v>
      </c>
      <c r="AC4329">
        <v>-0.593799999999987</v>
      </c>
      <c r="AD4329">
        <v>-0.100705999999999</v>
      </c>
      <c r="AE4329">
        <v>2.72000000000218E-2</v>
      </c>
      <c r="AF4329">
        <v>3.7692159341719202E-3</v>
      </c>
      <c r="AG4329">
        <v>-0.100705999999999</v>
      </c>
      <c r="AH4329">
        <v>0.57782496637459302</v>
      </c>
      <c r="AI4329">
        <v>99.886263757755401</v>
      </c>
      <c r="AJ4329">
        <v>89.626258616982099</v>
      </c>
      <c r="AK4329">
        <v>0.586547182407824</v>
      </c>
      <c r="AL4329">
        <v>82.247879624786194</v>
      </c>
      <c r="AM4329">
        <v>88.174448169177097</v>
      </c>
      <c r="AN4329">
        <v>1.0000000023748401</v>
      </c>
    </row>
    <row r="4330" spans="1:40" x14ac:dyDescent="0.25">
      <c r="A4330" t="str">
        <f>"20190312151113671"</f>
        <v>20190312151113671</v>
      </c>
      <c r="B4330" t="str">
        <f>"1552374673665656"</f>
        <v>1552374673665656</v>
      </c>
      <c r="C4330" t="s">
        <v>40</v>
      </c>
      <c r="D4330">
        <v>5.0717850000000002</v>
      </c>
      <c r="E4330">
        <v>0.49276029999999998</v>
      </c>
      <c r="F4330" t="s">
        <v>41</v>
      </c>
      <c r="G4330">
        <v>-299.85809999999998</v>
      </c>
      <c r="H4330">
        <v>1.0086029999999999</v>
      </c>
      <c r="I4330">
        <v>138.10290000000001</v>
      </c>
      <c r="J4330">
        <v>-299.30669999999998</v>
      </c>
      <c r="K4330">
        <v>1.1087750000000001</v>
      </c>
      <c r="L4330">
        <v>138.0787</v>
      </c>
      <c r="M4330">
        <v>-0.99905219999999995</v>
      </c>
      <c r="N4330">
        <v>0</v>
      </c>
      <c r="O4330">
        <v>4.1562420000000003E-2</v>
      </c>
      <c r="P4330">
        <v>-0.98997009999999996</v>
      </c>
      <c r="Q4330">
        <v>0.1228677</v>
      </c>
      <c r="R4330">
        <v>6.9734089999999999E-2</v>
      </c>
      <c r="S4330">
        <v>-3.0654910000000002</v>
      </c>
      <c r="T4330">
        <v>-0.36537380000000003</v>
      </c>
      <c r="U4330">
        <v>0.1384888</v>
      </c>
      <c r="V4330">
        <v>2.9073930000000001E-2</v>
      </c>
      <c r="W4330">
        <v>0.13557539999999901</v>
      </c>
      <c r="X4330">
        <v>0.99034040000000001</v>
      </c>
      <c r="Y4330">
        <v>3.8343930000000002E-3</v>
      </c>
      <c r="Z4330">
        <v>-4.7044399999999998E-3</v>
      </c>
      <c r="AA4330">
        <v>0.99998160000000003</v>
      </c>
      <c r="AB4330">
        <v>27</v>
      </c>
      <c r="AC4330">
        <v>-0.551400000000001</v>
      </c>
      <c r="AD4330">
        <v>-0.100171999999999</v>
      </c>
      <c r="AE4330">
        <v>2.42000000000075E-2</v>
      </c>
      <c r="AF4330">
        <v>1.21948053088167E-3</v>
      </c>
      <c r="AG4330">
        <v>-0.100171999999999</v>
      </c>
      <c r="AH4330">
        <v>0.53432857821378799</v>
      </c>
      <c r="AI4330">
        <v>100.618114991426</v>
      </c>
      <c r="AJ4330">
        <v>89.869235954890598</v>
      </c>
      <c r="AK4330">
        <v>0.54363861729344898</v>
      </c>
      <c r="AL4330">
        <v>82.208106565286201</v>
      </c>
      <c r="AM4330">
        <v>88.318421461715303</v>
      </c>
      <c r="AN4330">
        <v>1.0000000451814799</v>
      </c>
    </row>
    <row r="4331" spans="1:40" x14ac:dyDescent="0.25">
      <c r="A4331" t="str">
        <f>"20190312151113695"</f>
        <v>20190312151113695</v>
      </c>
      <c r="B4331" t="str">
        <f>"1552374673685175"</f>
        <v>1552374673685175</v>
      </c>
      <c r="C4331" t="s">
        <v>40</v>
      </c>
      <c r="D4331">
        <v>5.0905769999999997</v>
      </c>
      <c r="E4331">
        <v>0.49282389999999998</v>
      </c>
      <c r="F4331" t="s">
        <v>41</v>
      </c>
      <c r="G4331">
        <v>-300.10700000000003</v>
      </c>
      <c r="H4331">
        <v>1.0145109999999999</v>
      </c>
      <c r="I4331">
        <v>138.11519999999999</v>
      </c>
      <c r="J4331">
        <v>-299.59059999999999</v>
      </c>
      <c r="K4331">
        <v>1.108771</v>
      </c>
      <c r="L4331">
        <v>138.09309999999999</v>
      </c>
      <c r="M4331">
        <v>-0.99895469999999997</v>
      </c>
      <c r="N4331">
        <v>0</v>
      </c>
      <c r="O4331">
        <v>4.3844420000000002E-2</v>
      </c>
      <c r="P4331">
        <v>-0.99008019999999997</v>
      </c>
      <c r="Q4331">
        <v>0.1224499</v>
      </c>
      <c r="R4331">
        <v>6.8900569999999994E-2</v>
      </c>
      <c r="S4331">
        <v>-3.0653990000000002</v>
      </c>
      <c r="T4331">
        <v>-0.36093930000000002</v>
      </c>
      <c r="U4331">
        <v>0.13891600000000001</v>
      </c>
      <c r="V4331">
        <v>2.596791E-2</v>
      </c>
      <c r="W4331">
        <v>0.13516779999999901</v>
      </c>
      <c r="X4331">
        <v>0.99048239999999999</v>
      </c>
      <c r="Y4331">
        <v>1.7144879999999999E-3</v>
      </c>
      <c r="Z4331">
        <v>-5.0395129999999998E-3</v>
      </c>
      <c r="AA4331">
        <v>0.99998580000000004</v>
      </c>
      <c r="AB4331">
        <v>27</v>
      </c>
      <c r="AC4331">
        <v>-0.51640000000003194</v>
      </c>
      <c r="AD4331">
        <v>-9.4259999999999802E-2</v>
      </c>
      <c r="AE4331">
        <v>2.20999999999946E-2</v>
      </c>
      <c r="AF4331">
        <v>-5.4624028965791498E-4</v>
      </c>
      <c r="AG4331">
        <v>-9.4259999999999802E-2</v>
      </c>
      <c r="AH4331">
        <v>0.50023585288636696</v>
      </c>
      <c r="AI4331">
        <v>100.671177516874</v>
      </c>
      <c r="AJ4331">
        <v>90.062564989249196</v>
      </c>
      <c r="AK4331">
        <v>0.50903944296233505</v>
      </c>
      <c r="AL4331">
        <v>82.231677142096402</v>
      </c>
      <c r="AM4331">
        <v>88.498195533107406</v>
      </c>
      <c r="AN4331">
        <v>1.00000002560818</v>
      </c>
    </row>
    <row r="4332" spans="1:40" x14ac:dyDescent="0.25">
      <c r="A4332" t="str">
        <f>"20190312151113715"</f>
        <v>20190312151113715</v>
      </c>
      <c r="B4332" t="str">
        <f>"1552374673705671"</f>
        <v>1552374673705671</v>
      </c>
      <c r="C4332" t="s">
        <v>40</v>
      </c>
      <c r="D4332">
        <v>5.1110899999999999</v>
      </c>
      <c r="E4332">
        <v>0.49287989999999998</v>
      </c>
      <c r="F4332" t="s">
        <v>41</v>
      </c>
      <c r="G4332">
        <v>-300.35500000000002</v>
      </c>
      <c r="H4332">
        <v>1.0187980000000001</v>
      </c>
      <c r="I4332">
        <v>138.12729999999999</v>
      </c>
      <c r="J4332">
        <v>-299.84840000000003</v>
      </c>
      <c r="K4332">
        <v>1.1087689999999999</v>
      </c>
      <c r="L4332">
        <v>138.10669999999999</v>
      </c>
      <c r="M4332">
        <v>-0.99886169999999996</v>
      </c>
      <c r="N4332">
        <v>0</v>
      </c>
      <c r="O4332">
        <v>4.5916789999999999E-2</v>
      </c>
      <c r="P4332">
        <v>-0.99029080000000003</v>
      </c>
      <c r="Q4332">
        <v>0.1212265</v>
      </c>
      <c r="R4332">
        <v>6.8033270000000007E-2</v>
      </c>
      <c r="S4332">
        <v>-3.0651250000000001</v>
      </c>
      <c r="T4332">
        <v>-0.36068499999999998</v>
      </c>
      <c r="U4332">
        <v>0.1368103</v>
      </c>
      <c r="V4332">
        <v>2.3027880000000001E-2</v>
      </c>
      <c r="W4332">
        <v>0.13395489999999999</v>
      </c>
      <c r="X4332">
        <v>0.99071989999999999</v>
      </c>
      <c r="Y4332">
        <v>-1.0090489999999999E-3</v>
      </c>
      <c r="Z4332">
        <v>-5.4387649999999999E-3</v>
      </c>
      <c r="AA4332">
        <v>0.99998469999999995</v>
      </c>
      <c r="AB4332">
        <v>27</v>
      </c>
      <c r="AC4332">
        <v>-0.50659999999999095</v>
      </c>
      <c r="AD4332">
        <v>-8.9971000000000204E-2</v>
      </c>
      <c r="AE4332">
        <v>2.06000000000017E-2</v>
      </c>
      <c r="AF4332">
        <v>-2.6031487103230101E-3</v>
      </c>
      <c r="AG4332">
        <v>-8.9971000000000204E-2</v>
      </c>
      <c r="AH4332">
        <v>0.49153370263178398</v>
      </c>
      <c r="AI4332">
        <v>100.372530117843</v>
      </c>
      <c r="AJ4332">
        <v>90.303434005353793</v>
      </c>
      <c r="AK4332">
        <v>0.49970685211143501</v>
      </c>
      <c r="AL4332">
        <v>82.301809288288098</v>
      </c>
      <c r="AM4332">
        <v>88.668480562571105</v>
      </c>
      <c r="AN4332">
        <v>1.00000005937365</v>
      </c>
    </row>
    <row r="4333" spans="1:40" x14ac:dyDescent="0.25">
      <c r="A4333" t="str">
        <f>"20190312151113736"</f>
        <v>20190312151113736</v>
      </c>
      <c r="B4333" t="str">
        <f>"1552374673725191"</f>
        <v>1552374673725191</v>
      </c>
      <c r="C4333" t="s">
        <v>40</v>
      </c>
      <c r="D4333">
        <v>5.1843240000000002</v>
      </c>
      <c r="E4333">
        <v>0.4929132</v>
      </c>
      <c r="F4333" t="s">
        <v>41</v>
      </c>
      <c r="G4333">
        <v>-300.60109999999997</v>
      </c>
      <c r="H4333">
        <v>1.0192669999999999</v>
      </c>
      <c r="I4333">
        <v>138.13999999999999</v>
      </c>
      <c r="J4333">
        <v>-300.1189</v>
      </c>
      <c r="K4333">
        <v>1.108762</v>
      </c>
      <c r="L4333">
        <v>138.1215</v>
      </c>
      <c r="M4333">
        <v>-0.99875939999999996</v>
      </c>
      <c r="N4333">
        <v>0</v>
      </c>
      <c r="O4333">
        <v>4.8091080000000001E-2</v>
      </c>
      <c r="P4333">
        <v>-0.9903459</v>
      </c>
      <c r="Q4333">
        <v>0.12073780000000001</v>
      </c>
      <c r="R4333">
        <v>6.8100930000000004E-2</v>
      </c>
      <c r="S4333">
        <v>-3.064819</v>
      </c>
      <c r="T4333">
        <v>-0.36427310000000002</v>
      </c>
      <c r="U4333">
        <v>0.1346588</v>
      </c>
      <c r="V4333">
        <v>2.0929880000000001E-2</v>
      </c>
      <c r="W4333">
        <v>0.13347239999999999</v>
      </c>
      <c r="X4333">
        <v>0.99083149999999998</v>
      </c>
      <c r="Y4333">
        <v>-3.8404699999999999E-3</v>
      </c>
      <c r="Z4333">
        <v>-5.9178119999999997E-3</v>
      </c>
      <c r="AA4333">
        <v>0.99997510000000001</v>
      </c>
      <c r="AB4333">
        <v>27</v>
      </c>
      <c r="AC4333">
        <v>-0.48219999999997698</v>
      </c>
      <c r="AD4333">
        <v>-8.9495000000000102E-2</v>
      </c>
      <c r="AE4333">
        <v>1.84999999999888E-2</v>
      </c>
      <c r="AF4333">
        <v>-4.5561511238153603E-3</v>
      </c>
      <c r="AG4333">
        <v>-8.9495000000000102E-2</v>
      </c>
      <c r="AH4333">
        <v>0.46648659841865903</v>
      </c>
      <c r="AI4333">
        <v>100.85967688916701</v>
      </c>
      <c r="AJ4333">
        <v>90.559587201062499</v>
      </c>
      <c r="AK4333">
        <v>0.47501564189221601</v>
      </c>
      <c r="AL4333">
        <v>82.329704556539994</v>
      </c>
      <c r="AM4333">
        <v>88.789889627453604</v>
      </c>
      <c r="AN4333">
        <v>1.00000000141541</v>
      </c>
    </row>
    <row r="4334" spans="1:40" x14ac:dyDescent="0.25">
      <c r="A4334" t="str">
        <f>"20190312151113759"</f>
        <v>20190312151113759</v>
      </c>
      <c r="B4334" t="str">
        <f>"1552374673755448"</f>
        <v>1552374673755448</v>
      </c>
      <c r="C4334" t="s">
        <v>40</v>
      </c>
      <c r="D4334">
        <v>5.0985930000000002</v>
      </c>
      <c r="E4334">
        <v>0.49303950000000002</v>
      </c>
      <c r="F4334" t="s">
        <v>41</v>
      </c>
      <c r="G4334">
        <v>-300.84789999999998</v>
      </c>
      <c r="H4334">
        <v>1.021808</v>
      </c>
      <c r="I4334">
        <v>138.15360000000001</v>
      </c>
      <c r="J4334">
        <v>-300.37849999999997</v>
      </c>
      <c r="K4334">
        <v>1.1087610000000001</v>
      </c>
      <c r="L4334">
        <v>138.13630000000001</v>
      </c>
      <c r="M4334">
        <v>-0.99865680000000001</v>
      </c>
      <c r="N4334">
        <v>0</v>
      </c>
      <c r="O4334">
        <v>5.0177630000000001E-2</v>
      </c>
      <c r="P4334">
        <v>-0.99041319999999999</v>
      </c>
      <c r="Q4334">
        <v>0.1202473</v>
      </c>
      <c r="R4334">
        <v>6.7986759999999993E-2</v>
      </c>
      <c r="S4334">
        <v>-3.0645449999999999</v>
      </c>
      <c r="T4334">
        <v>-0.3654461</v>
      </c>
      <c r="U4334">
        <v>0.1343994</v>
      </c>
      <c r="V4334">
        <v>1.873621E-2</v>
      </c>
      <c r="W4334">
        <v>0.13298889999999999</v>
      </c>
      <c r="X4334">
        <v>0.99094040000000005</v>
      </c>
      <c r="Y4334">
        <v>-5.978003E-3</v>
      </c>
      <c r="Z4334">
        <v>-6.3117019999999998E-3</v>
      </c>
      <c r="AA4334">
        <v>0.99996220000000002</v>
      </c>
      <c r="AB4334">
        <v>27</v>
      </c>
      <c r="AC4334">
        <v>-0.46940000000000698</v>
      </c>
      <c r="AD4334">
        <v>-8.6953000000000003E-2</v>
      </c>
      <c r="AE4334">
        <v>1.73000000000058E-2</v>
      </c>
      <c r="AF4334">
        <v>-6.0691601909927499E-3</v>
      </c>
      <c r="AG4334">
        <v>-8.6953000000000003E-2</v>
      </c>
      <c r="AH4334">
        <v>0.45411496790084099</v>
      </c>
      <c r="AI4334">
        <v>100.83872933567</v>
      </c>
      <c r="AJ4334">
        <v>90.765701610535402</v>
      </c>
      <c r="AK4334">
        <v>0.46240465285938198</v>
      </c>
      <c r="AL4334">
        <v>82.357656125568994</v>
      </c>
      <c r="AM4334">
        <v>88.916808860910095</v>
      </c>
      <c r="AN4334">
        <v>0.99999998472026597</v>
      </c>
    </row>
    <row r="4335" spans="1:40" x14ac:dyDescent="0.25">
      <c r="A4335" t="str">
        <f>"20190312151113781"</f>
        <v>20190312151113781</v>
      </c>
      <c r="B4335" t="str">
        <f>"1552374673774967"</f>
        <v>1552374673774967</v>
      </c>
      <c r="C4335" t="s">
        <v>40</v>
      </c>
      <c r="D4335">
        <v>5.0991569999999999</v>
      </c>
      <c r="E4335">
        <v>0.49310670000000001</v>
      </c>
      <c r="F4335" t="s">
        <v>41</v>
      </c>
      <c r="G4335">
        <v>-301.32639999999998</v>
      </c>
      <c r="H4335">
        <v>0.9957184</v>
      </c>
      <c r="I4335">
        <v>138.1781</v>
      </c>
      <c r="J4335">
        <v>-300.67039999999997</v>
      </c>
      <c r="K4335">
        <v>1.108765</v>
      </c>
      <c r="L4335">
        <v>138.15369999999999</v>
      </c>
      <c r="M4335">
        <v>-0.9985366</v>
      </c>
      <c r="N4335">
        <v>0</v>
      </c>
      <c r="O4335">
        <v>5.2518000000000002E-2</v>
      </c>
      <c r="P4335">
        <v>-0.99043009999999998</v>
      </c>
      <c r="Q4335">
        <v>0.1198862</v>
      </c>
      <c r="R4335">
        <v>6.8379770000000006E-2</v>
      </c>
      <c r="S4335">
        <v>-3.0641479999999999</v>
      </c>
      <c r="T4335">
        <v>-0.3653998</v>
      </c>
      <c r="U4335">
        <v>0.13470460000000001</v>
      </c>
      <c r="V4335">
        <v>1.6798460000000001E-2</v>
      </c>
      <c r="W4335">
        <v>0.132633</v>
      </c>
      <c r="X4335">
        <v>0.99102279999999998</v>
      </c>
      <c r="Y4335">
        <v>-8.184429E-3</v>
      </c>
      <c r="Z4335">
        <v>-6.7202939999999999E-3</v>
      </c>
      <c r="AA4335">
        <v>0.9999439</v>
      </c>
      <c r="AB4335">
        <v>27</v>
      </c>
      <c r="AC4335">
        <v>-0.65600000000000502</v>
      </c>
      <c r="AD4335">
        <v>-0.113046599999999</v>
      </c>
      <c r="AE4335">
        <v>2.4400000000014101E-2</v>
      </c>
      <c r="AF4335">
        <v>-9.7977953129810193E-3</v>
      </c>
      <c r="AG4335">
        <v>-0.113046599999999</v>
      </c>
      <c r="AH4335">
        <v>0.63747149227231004</v>
      </c>
      <c r="AI4335">
        <v>100.054892384691</v>
      </c>
      <c r="AJ4335">
        <v>90.880554077623898</v>
      </c>
      <c r="AK4335">
        <v>0.64749164784145297</v>
      </c>
      <c r="AL4335">
        <v>82.378229649001597</v>
      </c>
      <c r="AM4335">
        <v>89.028893487638598</v>
      </c>
      <c r="AN4335">
        <v>0.99999994553360405</v>
      </c>
    </row>
    <row r="4336" spans="1:40" x14ac:dyDescent="0.25">
      <c r="A4336" t="str">
        <f>"20190312151113804"</f>
        <v>20190312151113804</v>
      </c>
      <c r="B4336" t="str">
        <f>"1552374673795467"</f>
        <v>1552374673795467</v>
      </c>
      <c r="C4336" t="s">
        <v>40</v>
      </c>
      <c r="D4336">
        <v>5.1029080000000002</v>
      </c>
      <c r="E4336">
        <v>0.4932318</v>
      </c>
      <c r="F4336" t="s">
        <v>41</v>
      </c>
      <c r="G4336">
        <v>-301.57400000000001</v>
      </c>
      <c r="H4336">
        <v>1.0009729999999999</v>
      </c>
      <c r="I4336">
        <v>138.19399999999999</v>
      </c>
      <c r="J4336">
        <v>-300.9332</v>
      </c>
      <c r="K4336">
        <v>1.108768</v>
      </c>
      <c r="L4336">
        <v>138.16980000000001</v>
      </c>
      <c r="M4336">
        <v>-0.99842390000000003</v>
      </c>
      <c r="N4336">
        <v>0</v>
      </c>
      <c r="O4336">
        <v>5.4618149999999997E-2</v>
      </c>
      <c r="P4336">
        <v>-0.99045850000000002</v>
      </c>
      <c r="Q4336">
        <v>0.1193926</v>
      </c>
      <c r="R4336">
        <v>6.8831950000000003E-2</v>
      </c>
      <c r="S4336">
        <v>-3.063812</v>
      </c>
      <c r="T4336">
        <v>-0.36543310000000001</v>
      </c>
      <c r="U4336">
        <v>0.13613889999999901</v>
      </c>
      <c r="V4336">
        <v>1.515655E-2</v>
      </c>
      <c r="W4336">
        <v>0.13214429999999999</v>
      </c>
      <c r="X4336">
        <v>0.99111459999999996</v>
      </c>
      <c r="Y4336">
        <v>-9.7893530000000006E-3</v>
      </c>
      <c r="Z4336">
        <v>-7.0659619999999899E-3</v>
      </c>
      <c r="AA4336">
        <v>0.99992709999999996</v>
      </c>
      <c r="AB4336">
        <v>27</v>
      </c>
      <c r="AC4336">
        <v>-0.64080000000001203</v>
      </c>
      <c r="AD4336">
        <v>-0.107795</v>
      </c>
      <c r="AE4336">
        <v>2.4199999999979099E-2</v>
      </c>
      <c r="AF4336">
        <v>-1.05405068175494E-2</v>
      </c>
      <c r="AG4336">
        <v>-0.107795</v>
      </c>
      <c r="AH4336">
        <v>0.62354538242456603</v>
      </c>
      <c r="AI4336">
        <v>99.806657183947095</v>
      </c>
      <c r="AJ4336">
        <v>90.968444410575799</v>
      </c>
      <c r="AK4336">
        <v>0.63288206504211297</v>
      </c>
      <c r="AL4336">
        <v>82.406479117934595</v>
      </c>
      <c r="AM4336">
        <v>89.123876631651797</v>
      </c>
      <c r="AN4336">
        <v>0.99999999368177594</v>
      </c>
    </row>
    <row r="4337" spans="1:40" x14ac:dyDescent="0.25">
      <c r="A4337" t="str">
        <f>"20190312151113839"</f>
        <v>20190312151113839</v>
      </c>
      <c r="B4337" t="str">
        <f>"1552374673835480"</f>
        <v>1552374673835480</v>
      </c>
      <c r="C4337" t="s">
        <v>40</v>
      </c>
      <c r="D4337">
        <v>5.1099019999999999</v>
      </c>
      <c r="E4337">
        <v>0.49335970000000001</v>
      </c>
      <c r="F4337" t="s">
        <v>41</v>
      </c>
      <c r="G4337">
        <v>-301.81990000000002</v>
      </c>
      <c r="H4337">
        <v>1.002875</v>
      </c>
      <c r="I4337">
        <v>138.21</v>
      </c>
      <c r="J4337">
        <v>-301.3605</v>
      </c>
      <c r="K4337">
        <v>1.1087830000000001</v>
      </c>
      <c r="L4337">
        <v>138.19720000000001</v>
      </c>
      <c r="M4337">
        <v>-0.99823300000000004</v>
      </c>
      <c r="N4337">
        <v>0</v>
      </c>
      <c r="O4337">
        <v>5.8002640000000001E-2</v>
      </c>
      <c r="P4337">
        <v>-0.99042620000000003</v>
      </c>
      <c r="Q4337">
        <v>0.1186773</v>
      </c>
      <c r="R4337">
        <v>7.0510820000000002E-2</v>
      </c>
      <c r="S4337">
        <v>-3.0633539999999999</v>
      </c>
      <c r="T4337">
        <v>-0.36576760000000003</v>
      </c>
      <c r="U4337">
        <v>0.13844300000000001</v>
      </c>
      <c r="V4337">
        <v>1.345943E-2</v>
      </c>
      <c r="W4337">
        <v>0.13143339999999901</v>
      </c>
      <c r="X4337">
        <v>0.99123360000000005</v>
      </c>
      <c r="Y4337">
        <v>-1.237889E-2</v>
      </c>
      <c r="Z4337">
        <v>-7.6290289999999998E-3</v>
      </c>
      <c r="AA4337">
        <v>0.99989430000000001</v>
      </c>
      <c r="AB4337">
        <v>27</v>
      </c>
      <c r="AC4337">
        <v>-0.45940000000001602</v>
      </c>
      <c r="AD4337">
        <v>-0.105908</v>
      </c>
      <c r="AE4337">
        <v>1.27999999999985E-2</v>
      </c>
      <c r="AF4337">
        <v>-1.31707480523697E-2</v>
      </c>
      <c r="AG4337">
        <v>-0.105908</v>
      </c>
      <c r="AH4337">
        <v>0.43620414682296299</v>
      </c>
      <c r="AI4337">
        <v>103.64104953503499</v>
      </c>
      <c r="AJ4337">
        <v>91.729463328988103</v>
      </c>
      <c r="AK4337">
        <v>0.44907018468587701</v>
      </c>
      <c r="AL4337">
        <v>82.447568921008894</v>
      </c>
      <c r="AM4337">
        <v>89.222059114783093</v>
      </c>
      <c r="AN4337">
        <v>0.99999997233022198</v>
      </c>
    </row>
    <row r="4338" spans="1:40" x14ac:dyDescent="0.25">
      <c r="A4338" t="str">
        <f>"20190312151113851"</f>
        <v>20190312151113851</v>
      </c>
      <c r="B4338" t="str">
        <f>"1552374673845239"</f>
        <v>1552374673845239</v>
      </c>
      <c r="C4338" t="s">
        <v>40</v>
      </c>
      <c r="D4338">
        <v>5.0861890000000001</v>
      </c>
      <c r="E4338">
        <v>0.49335810000000002</v>
      </c>
      <c r="F4338" t="s">
        <v>41</v>
      </c>
      <c r="G4338">
        <v>-302.30599999999998</v>
      </c>
      <c r="H4338">
        <v>0.99559070000000005</v>
      </c>
      <c r="I4338">
        <v>138.24199999999999</v>
      </c>
      <c r="J4338">
        <v>-301.5172</v>
      </c>
      <c r="K4338">
        <v>1.108792</v>
      </c>
      <c r="L4338">
        <v>138.20769999999999</v>
      </c>
      <c r="M4338">
        <v>-0.99816150000000003</v>
      </c>
      <c r="N4338">
        <v>0</v>
      </c>
      <c r="O4338">
        <v>5.9219870000000001E-2</v>
      </c>
      <c r="P4338">
        <v>-0.99049500000000001</v>
      </c>
      <c r="Q4338">
        <v>0.11852500000000001</v>
      </c>
      <c r="R4338">
        <v>6.9798899999999997E-2</v>
      </c>
      <c r="S4338">
        <v>-3.0626530000000001</v>
      </c>
      <c r="T4338">
        <v>-0.36660910000000002</v>
      </c>
      <c r="U4338">
        <v>0.14427190000000001</v>
      </c>
      <c r="V4338">
        <v>1.152896E-2</v>
      </c>
      <c r="W4338">
        <v>0.13128779999999901</v>
      </c>
      <c r="X4338">
        <v>0.99127730000000003</v>
      </c>
      <c r="Y4338">
        <v>-1.168279E-2</v>
      </c>
      <c r="Z4338">
        <v>-7.7511079999999996E-3</v>
      </c>
      <c r="AA4338">
        <v>0.9999017</v>
      </c>
      <c r="AB4338">
        <v>27</v>
      </c>
      <c r="AC4338">
        <v>-0.78879999999997996</v>
      </c>
      <c r="AD4338">
        <v>-0.1132013</v>
      </c>
      <c r="AE4338">
        <v>3.4300000000030098E-2</v>
      </c>
      <c r="AF4338">
        <v>-1.2225421962612301E-2</v>
      </c>
      <c r="AG4338">
        <v>-0.1132013</v>
      </c>
      <c r="AH4338">
        <v>0.77354544043194595</v>
      </c>
      <c r="AI4338">
        <v>98.324591101328494</v>
      </c>
      <c r="AJ4338">
        <v>90.905450065176495</v>
      </c>
      <c r="AK4338">
        <v>0.78188013382929</v>
      </c>
      <c r="AL4338">
        <v>82.4559846542858</v>
      </c>
      <c r="AM4338">
        <v>89.333656718760807</v>
      </c>
      <c r="AN4338">
        <v>1.0000000444213999</v>
      </c>
    </row>
    <row r="4339" spans="1:40" x14ac:dyDescent="0.25">
      <c r="A4339" t="str">
        <f>"20190312151113871"</f>
        <v>20190312151113871</v>
      </c>
      <c r="B4339" t="str">
        <f>"1552374673865736"</f>
        <v>1552374673865736</v>
      </c>
      <c r="C4339" t="s">
        <v>40</v>
      </c>
      <c r="D4339">
        <v>5.0982050000000001</v>
      </c>
      <c r="E4339">
        <v>0.49339719999999998</v>
      </c>
      <c r="F4339" t="s">
        <v>41</v>
      </c>
      <c r="G4339">
        <v>-302.31439999999998</v>
      </c>
      <c r="H4339">
        <v>1.0132680000000001</v>
      </c>
      <c r="I4339">
        <v>138.24469999999999</v>
      </c>
      <c r="J4339">
        <v>-301.75380000000001</v>
      </c>
      <c r="K4339">
        <v>1.1088100000000001</v>
      </c>
      <c r="L4339">
        <v>138.22370000000001</v>
      </c>
      <c r="M4339">
        <v>-0.99805180000000004</v>
      </c>
      <c r="N4339">
        <v>0</v>
      </c>
      <c r="O4339">
        <v>6.1041900000000003E-2</v>
      </c>
      <c r="P4339">
        <v>-0.99059299999999995</v>
      </c>
      <c r="Q4339">
        <v>0.1173997</v>
      </c>
      <c r="R4339">
        <v>7.0307069999999999E-2</v>
      </c>
      <c r="S4339">
        <v>-3.0627749999999998</v>
      </c>
      <c r="T4339">
        <v>-0.36694500000000002</v>
      </c>
      <c r="U4339">
        <v>0.14123540000000001</v>
      </c>
      <c r="V4339">
        <v>1.020571E-2</v>
      </c>
      <c r="W4339">
        <v>0.130167899999999</v>
      </c>
      <c r="X4339">
        <v>0.99143950000000003</v>
      </c>
      <c r="Y4339">
        <v>-1.446542E-2</v>
      </c>
      <c r="Z4339">
        <v>-8.1410649999999994E-3</v>
      </c>
      <c r="AA4339">
        <v>0.99986229999999998</v>
      </c>
      <c r="AB4339">
        <v>27</v>
      </c>
      <c r="AC4339">
        <v>-0.56059999999996502</v>
      </c>
      <c r="AD4339">
        <v>-9.5542000000000002E-2</v>
      </c>
      <c r="AE4339">
        <v>2.0999999999986502E-2</v>
      </c>
      <c r="AF4339">
        <v>-1.2888280303658E-2</v>
      </c>
      <c r="AG4339">
        <v>-9.5542000000000002E-2</v>
      </c>
      <c r="AH4339">
        <v>0.54502785304878498</v>
      </c>
      <c r="AI4339">
        <v>99.940058297423207</v>
      </c>
      <c r="AJ4339">
        <v>91.354621543228305</v>
      </c>
      <c r="AK4339">
        <v>0.55348870099772995</v>
      </c>
      <c r="AL4339">
        <v>82.520705735297696</v>
      </c>
      <c r="AM4339">
        <v>89.410227797548998</v>
      </c>
      <c r="AN4339">
        <v>1.0000000604336301</v>
      </c>
    </row>
    <row r="4340" spans="1:40" x14ac:dyDescent="0.25">
      <c r="A4340" t="str">
        <f>"20190312151113894"</f>
        <v>20190312151113894</v>
      </c>
      <c r="B4340" t="str">
        <f>"1552374673885255"</f>
        <v>1552374673885255</v>
      </c>
      <c r="C4340" t="s">
        <v>40</v>
      </c>
      <c r="D4340">
        <v>5.1769420000000004</v>
      </c>
      <c r="E4340">
        <v>0.49342789999999997</v>
      </c>
      <c r="F4340" t="s">
        <v>41</v>
      </c>
      <c r="G4340">
        <v>-302.55810000000002</v>
      </c>
      <c r="H4340">
        <v>1.01163</v>
      </c>
      <c r="I4340">
        <v>138.26130000000001</v>
      </c>
      <c r="J4340">
        <v>-302.03840000000002</v>
      </c>
      <c r="K4340">
        <v>1.1088439999999999</v>
      </c>
      <c r="L4340">
        <v>138.24359999999999</v>
      </c>
      <c r="M4340">
        <v>-0.99791909999999895</v>
      </c>
      <c r="N4340">
        <v>0</v>
      </c>
      <c r="O4340">
        <v>6.3175250000000002E-2</v>
      </c>
      <c r="P4340">
        <v>-0.99064140000000001</v>
      </c>
      <c r="Q4340">
        <v>0.11647449999999999</v>
      </c>
      <c r="R4340">
        <v>7.1159210000000001E-2</v>
      </c>
      <c r="S4340">
        <v>-3.0622250000000002</v>
      </c>
      <c r="T4340">
        <v>-0.36987950000000003</v>
      </c>
      <c r="U4340">
        <v>0.14196779999999901</v>
      </c>
      <c r="V4340">
        <v>8.9133110000000002E-3</v>
      </c>
      <c r="W4340">
        <v>0.1292468</v>
      </c>
      <c r="X4340">
        <v>0.99157240000000002</v>
      </c>
      <c r="Y4340">
        <v>-1.6318289999999999E-2</v>
      </c>
      <c r="Z4340">
        <v>-8.5746160000000002E-3</v>
      </c>
      <c r="AA4340">
        <v>0.99983010000000005</v>
      </c>
      <c r="AB4340">
        <v>27</v>
      </c>
      <c r="AC4340">
        <v>-0.51970000000000005</v>
      </c>
      <c r="AD4340">
        <v>-9.7213999999999898E-2</v>
      </c>
      <c r="AE4340">
        <v>1.77000000000191E-2</v>
      </c>
      <c r="AF4340">
        <v>-1.46579732675473E-2</v>
      </c>
      <c r="AG4340">
        <v>-9.7213999999999898E-2</v>
      </c>
      <c r="AH4340">
        <v>0.50222709535626298</v>
      </c>
      <c r="AI4340">
        <v>100.95047532860799</v>
      </c>
      <c r="AJ4340">
        <v>91.671756999939802</v>
      </c>
      <c r="AK4340">
        <v>0.51175919462800101</v>
      </c>
      <c r="AL4340">
        <v>82.573930076676106</v>
      </c>
      <c r="AM4340">
        <v>89.4849782555806</v>
      </c>
      <c r="AN4340">
        <v>1.0000000034324901</v>
      </c>
    </row>
    <row r="4341" spans="1:40" x14ac:dyDescent="0.25">
      <c r="A4341" t="str">
        <f>"20190312151113916"</f>
        <v>20190312151113916</v>
      </c>
      <c r="B4341" t="str">
        <f>"1552374673905751"</f>
        <v>1552374673905751</v>
      </c>
      <c r="C4341" t="s">
        <v>40</v>
      </c>
      <c r="D4341">
        <v>5.1062770000000004</v>
      </c>
      <c r="E4341">
        <v>0.49348639999999999</v>
      </c>
      <c r="F4341" t="s">
        <v>41</v>
      </c>
      <c r="G4341">
        <v>-302.80430000000001</v>
      </c>
      <c r="H4341">
        <v>1.0156419999999999</v>
      </c>
      <c r="I4341">
        <v>138.27979999999999</v>
      </c>
      <c r="J4341">
        <v>-302.3091</v>
      </c>
      <c r="K4341">
        <v>1.1089020000000001</v>
      </c>
      <c r="L4341">
        <v>138.2629</v>
      </c>
      <c r="M4341">
        <v>-0.99779479999999998</v>
      </c>
      <c r="N4341">
        <v>0</v>
      </c>
      <c r="O4341">
        <v>6.5109829999999994E-2</v>
      </c>
      <c r="P4341">
        <v>-0.99069569999999996</v>
      </c>
      <c r="Q4341">
        <v>0.1156978</v>
      </c>
      <c r="R4341">
        <v>7.1666699999999903E-2</v>
      </c>
      <c r="S4341">
        <v>-3.0618289999999999</v>
      </c>
      <c r="T4341">
        <v>-0.37246000000000001</v>
      </c>
      <c r="U4341">
        <v>0.1439819</v>
      </c>
      <c r="V4341">
        <v>7.4683529999999996E-3</v>
      </c>
      <c r="W4341">
        <v>0.1284785</v>
      </c>
      <c r="X4341">
        <v>0.99168420000000002</v>
      </c>
      <c r="Y4341">
        <v>-1.7562970000000001E-2</v>
      </c>
      <c r="Z4341">
        <v>-8.9441499999999997E-3</v>
      </c>
      <c r="AA4341">
        <v>0.99980570000000002</v>
      </c>
      <c r="AB4341">
        <v>27</v>
      </c>
      <c r="AC4341">
        <v>-0.49520000000001102</v>
      </c>
      <c r="AD4341">
        <v>-9.3260000000000107E-2</v>
      </c>
      <c r="AE4341">
        <v>1.6899999999992501E-2</v>
      </c>
      <c r="AF4341">
        <v>-1.4854689720012E-2</v>
      </c>
      <c r="AG4341">
        <v>-9.3260000000000107E-2</v>
      </c>
      <c r="AH4341">
        <v>0.47830500233621998</v>
      </c>
      <c r="AI4341">
        <v>101.02792884074699</v>
      </c>
      <c r="AJ4341">
        <v>91.778859805617898</v>
      </c>
      <c r="AK4341">
        <v>0.48753847506276798</v>
      </c>
      <c r="AL4341">
        <v>82.618320706816604</v>
      </c>
      <c r="AM4341">
        <v>89.568514838240901</v>
      </c>
      <c r="AN4341">
        <v>1.00000002689421</v>
      </c>
    </row>
    <row r="4342" spans="1:40" x14ac:dyDescent="0.25">
      <c r="A4342" t="str">
        <f>"20190312151113937"</f>
        <v>20190312151113937</v>
      </c>
      <c r="B4342" t="str">
        <f>"1552374673925271"</f>
        <v>1552374673925271</v>
      </c>
      <c r="C4342" t="s">
        <v>40</v>
      </c>
      <c r="D4342">
        <v>5.1011550000000003</v>
      </c>
      <c r="E4342">
        <v>0.49352669999999998</v>
      </c>
      <c r="F4342" t="s">
        <v>41</v>
      </c>
      <c r="G4342">
        <v>-303.0496</v>
      </c>
      <c r="H4342">
        <v>1.018286</v>
      </c>
      <c r="I4342">
        <v>138.29839999999999</v>
      </c>
      <c r="J4342">
        <v>-302.5668</v>
      </c>
      <c r="K4342">
        <v>1.108973</v>
      </c>
      <c r="L4342">
        <v>138.2817</v>
      </c>
      <c r="M4342">
        <v>-0.99768000000000001</v>
      </c>
      <c r="N4342">
        <v>0</v>
      </c>
      <c r="O4342">
        <v>6.6843349999999996E-2</v>
      </c>
      <c r="P4342">
        <v>-0.99082420000000004</v>
      </c>
      <c r="Q4342">
        <v>0.1141524</v>
      </c>
      <c r="R4342">
        <v>7.2366310000000003E-2</v>
      </c>
      <c r="S4342">
        <v>-3.061401</v>
      </c>
      <c r="T4342">
        <v>-0.3744439</v>
      </c>
      <c r="U4342">
        <v>0.1451721</v>
      </c>
      <c r="V4342">
        <v>6.4017939999999997E-3</v>
      </c>
      <c r="W4342">
        <v>0.12694569999999999</v>
      </c>
      <c r="X4342">
        <v>0.99188900000000002</v>
      </c>
      <c r="Y4342">
        <v>-1.8876560000000001E-2</v>
      </c>
      <c r="Z4342">
        <v>-9.2831990000000007E-3</v>
      </c>
      <c r="AA4342">
        <v>0.99977870000000002</v>
      </c>
      <c r="AB4342">
        <v>27</v>
      </c>
      <c r="AC4342">
        <v>-0.48279999999999701</v>
      </c>
      <c r="AD4342">
        <v>-9.0686999999999907E-2</v>
      </c>
      <c r="AE4342">
        <v>1.66999999999859E-2</v>
      </c>
      <c r="AF4342">
        <v>-1.50805739464283E-2</v>
      </c>
      <c r="AG4342">
        <v>-9.0686999999999907E-2</v>
      </c>
      <c r="AH4342">
        <v>0.46640044155059401</v>
      </c>
      <c r="AI4342">
        <v>100.99769987505</v>
      </c>
      <c r="AJ4342">
        <v>91.851954315024997</v>
      </c>
      <c r="AK4342">
        <v>0.47537451294547001</v>
      </c>
      <c r="AL4342">
        <v>82.706868516534499</v>
      </c>
      <c r="AM4342">
        <v>89.630209948329295</v>
      </c>
      <c r="AN4342">
        <v>0.999999991017954</v>
      </c>
    </row>
    <row r="4343" spans="1:40" x14ac:dyDescent="0.25">
      <c r="A4343" t="str">
        <f>"20190312151113960"</f>
        <v>20190312151113960</v>
      </c>
      <c r="B4343" t="str">
        <f>"1552374673955527"</f>
        <v>1552374673955527</v>
      </c>
      <c r="C4343" t="s">
        <v>40</v>
      </c>
      <c r="D4343">
        <v>5.0934470000000003</v>
      </c>
      <c r="E4343">
        <v>0.49357859999999998</v>
      </c>
      <c r="F4343" t="s">
        <v>41</v>
      </c>
      <c r="G4343">
        <v>-303.29379999999998</v>
      </c>
      <c r="H4343">
        <v>1.0188820000000001</v>
      </c>
      <c r="I4343">
        <v>138.3168</v>
      </c>
      <c r="J4343">
        <v>-302.84230000000002</v>
      </c>
      <c r="K4343">
        <v>1.109073</v>
      </c>
      <c r="L4343">
        <v>138.3022</v>
      </c>
      <c r="M4343">
        <v>-0.9975638</v>
      </c>
      <c r="N4343">
        <v>0</v>
      </c>
      <c r="O4343">
        <v>6.8554249999999997E-2</v>
      </c>
      <c r="P4343">
        <v>-0.99085880000000004</v>
      </c>
      <c r="Q4343">
        <v>0.11328530000000001</v>
      </c>
      <c r="R4343">
        <v>7.3247709999999994E-2</v>
      </c>
      <c r="S4343">
        <v>-3.06073</v>
      </c>
      <c r="T4343">
        <v>-0.37928899999999999</v>
      </c>
      <c r="U4343">
        <v>0.14704900000000001</v>
      </c>
      <c r="V4343">
        <v>5.5398089999999997E-3</v>
      </c>
      <c r="W4343">
        <v>0.12609000000000001</v>
      </c>
      <c r="X4343">
        <v>0.99200330000000003</v>
      </c>
      <c r="Y4343">
        <v>-1.9931359999999999E-2</v>
      </c>
      <c r="Z4343">
        <v>-9.679923E-3</v>
      </c>
      <c r="AA4343">
        <v>0.99975449999999999</v>
      </c>
      <c r="AB4343">
        <v>27</v>
      </c>
      <c r="AC4343">
        <v>-0.45149999999995299</v>
      </c>
      <c r="AD4343">
        <v>-9.0190999999999896E-2</v>
      </c>
      <c r="AE4343">
        <v>1.4600000000001501E-2</v>
      </c>
      <c r="AF4343">
        <v>-1.5760920340695098E-2</v>
      </c>
      <c r="AG4343">
        <v>-9.0190999999999896E-2</v>
      </c>
      <c r="AH4343">
        <v>0.43413325755266802</v>
      </c>
      <c r="AI4343">
        <v>101.728717190813</v>
      </c>
      <c r="AJ4343">
        <v>92.079172189617594</v>
      </c>
      <c r="AK4343">
        <v>0.44368289171916098</v>
      </c>
      <c r="AL4343">
        <v>82.756293472948101</v>
      </c>
      <c r="AM4343">
        <v>89.680036976203695</v>
      </c>
      <c r="AN4343">
        <v>0.99999996239732203</v>
      </c>
    </row>
    <row r="4344" spans="1:40" x14ac:dyDescent="0.25">
      <c r="A4344" t="str">
        <f>"20190312151113983"</f>
        <v>20190312151113983</v>
      </c>
      <c r="B4344" t="str">
        <f>"1552374673975058"</f>
        <v>1552374673975058</v>
      </c>
      <c r="C4344" t="s">
        <v>40</v>
      </c>
      <c r="D4344">
        <v>5.1000069999999997</v>
      </c>
      <c r="E4344">
        <v>0.4935909</v>
      </c>
      <c r="F4344" t="s">
        <v>41</v>
      </c>
      <c r="G4344">
        <v>-303.76940000000002</v>
      </c>
      <c r="H4344">
        <v>0.99356310000000003</v>
      </c>
      <c r="I4344">
        <v>138.34729999999999</v>
      </c>
      <c r="J4344">
        <v>-303.13350000000003</v>
      </c>
      <c r="K4344">
        <v>1.109183</v>
      </c>
      <c r="L4344">
        <v>138.32419999999999</v>
      </c>
      <c r="M4344">
        <v>-0.99744920000000004</v>
      </c>
      <c r="N4344">
        <v>0</v>
      </c>
      <c r="O4344">
        <v>7.0202100000000003E-2</v>
      </c>
      <c r="P4344">
        <v>-0.99076819999999999</v>
      </c>
      <c r="Q4344">
        <v>0.1129163</v>
      </c>
      <c r="R4344">
        <v>7.5023820000000005E-2</v>
      </c>
      <c r="S4344">
        <v>-3.0602420000000001</v>
      </c>
      <c r="T4344">
        <v>-0.38126060000000001</v>
      </c>
      <c r="U4344">
        <v>0.1491547</v>
      </c>
      <c r="V4344">
        <v>5.6398250000000002E-3</v>
      </c>
      <c r="W4344">
        <v>0.12572809999999901</v>
      </c>
      <c r="X4344">
        <v>0.99204870000000001</v>
      </c>
      <c r="Y4344">
        <v>-2.0862019999999998E-2</v>
      </c>
      <c r="Z4344">
        <v>-9.9927620000000005E-3</v>
      </c>
      <c r="AA4344">
        <v>0.99973239999999997</v>
      </c>
      <c r="AB4344">
        <v>27</v>
      </c>
      <c r="AC4344">
        <v>-0.63589999999999203</v>
      </c>
      <c r="AD4344">
        <v>-0.1156199</v>
      </c>
      <c r="AE4344">
        <v>2.3099999999999399E-2</v>
      </c>
      <c r="AF4344">
        <v>-2.0911830469902901E-2</v>
      </c>
      <c r="AG4344">
        <v>-0.1156199</v>
      </c>
      <c r="AH4344">
        <v>0.61562753518094904</v>
      </c>
      <c r="AI4344">
        <v>100.63072175120899</v>
      </c>
      <c r="AJ4344">
        <v>91.945493090213205</v>
      </c>
      <c r="AK4344">
        <v>0.62673960143155405</v>
      </c>
      <c r="AL4344">
        <v>82.7771953784261</v>
      </c>
      <c r="AM4344">
        <v>89.674275377273901</v>
      </c>
      <c r="AN4344">
        <v>0.99999999296366504</v>
      </c>
    </row>
    <row r="4345" spans="1:40" x14ac:dyDescent="0.25">
      <c r="A4345" t="str">
        <f>"20190312151114005"</f>
        <v>20190312151114005</v>
      </c>
      <c r="B4345" t="str">
        <f>"1552374673995543"</f>
        <v>1552374673995543</v>
      </c>
      <c r="C4345" t="s">
        <v>40</v>
      </c>
      <c r="D4345">
        <v>5.074141</v>
      </c>
      <c r="E4345">
        <v>0.493618</v>
      </c>
      <c r="F4345" t="s">
        <v>41</v>
      </c>
      <c r="G4345">
        <v>-304.01530000000002</v>
      </c>
      <c r="H4345">
        <v>0.99928830000000002</v>
      </c>
      <c r="I4345">
        <v>138.36869999999999</v>
      </c>
      <c r="J4345">
        <v>-303.38810000000001</v>
      </c>
      <c r="K4345">
        <v>1.1092759999999999</v>
      </c>
      <c r="L4345">
        <v>138.34360000000001</v>
      </c>
      <c r="M4345">
        <v>-0.99735479999999999</v>
      </c>
      <c r="N4345">
        <v>0</v>
      </c>
      <c r="O4345">
        <v>7.1529640000000005E-2</v>
      </c>
      <c r="P4345">
        <v>-0.99073800000000001</v>
      </c>
      <c r="Q4345">
        <v>0.11255229999999999</v>
      </c>
      <c r="R4345">
        <v>7.5963870000000003E-2</v>
      </c>
      <c r="S4345">
        <v>-3.0598139999999998</v>
      </c>
      <c r="T4345">
        <v>-0.38134119999999999</v>
      </c>
      <c r="U4345">
        <v>0.15397640000000001</v>
      </c>
      <c r="V4345">
        <v>5.2282240000000001E-3</v>
      </c>
      <c r="W4345">
        <v>0.12537139999999999</v>
      </c>
      <c r="X4345">
        <v>0.99209610000000004</v>
      </c>
      <c r="Y4345">
        <v>-2.0605729999999999E-2</v>
      </c>
      <c r="Z4345">
        <v>-1.01441E-2</v>
      </c>
      <c r="AA4345">
        <v>0.99973619999999996</v>
      </c>
      <c r="AB4345">
        <v>27</v>
      </c>
      <c r="AC4345">
        <v>-0.62720000000001597</v>
      </c>
      <c r="AD4345">
        <v>-0.10998769999999899</v>
      </c>
      <c r="AE4345">
        <v>2.5099999999980499E-2</v>
      </c>
      <c r="AF4345">
        <v>-1.9240692410718799E-2</v>
      </c>
      <c r="AG4345">
        <v>-0.10998769999999899</v>
      </c>
      <c r="AH4345">
        <v>0.60869976269492199</v>
      </c>
      <c r="AI4345">
        <v>100.237416164986</v>
      </c>
      <c r="AJ4345">
        <v>91.810487856216696</v>
      </c>
      <c r="AK4345">
        <v>0.618856121809091</v>
      </c>
      <c r="AL4345">
        <v>82.797795816444193</v>
      </c>
      <c r="AM4345">
        <v>89.698061108643401</v>
      </c>
      <c r="AN4345">
        <v>0.999999996949682</v>
      </c>
    </row>
    <row r="4346" spans="1:40" x14ac:dyDescent="0.25">
      <c r="A4346" t="str">
        <f>"20190312151114038"</f>
        <v>20190312151114038</v>
      </c>
      <c r="B4346" t="str">
        <f>"1552374674035559"</f>
        <v>1552374674035559</v>
      </c>
      <c r="C4346" t="s">
        <v>40</v>
      </c>
      <c r="D4346">
        <v>5.0627870000000001</v>
      </c>
      <c r="E4346">
        <v>0.4936082</v>
      </c>
      <c r="F4346" t="s">
        <v>41</v>
      </c>
      <c r="G4346">
        <v>-304.25900000000001</v>
      </c>
      <c r="H4346">
        <v>1.0007919999999999</v>
      </c>
      <c r="I4346">
        <v>138.38829999999999</v>
      </c>
      <c r="J4346">
        <v>-303.79219999999998</v>
      </c>
      <c r="K4346">
        <v>1.1094059999999999</v>
      </c>
      <c r="L4346">
        <v>138.375</v>
      </c>
      <c r="M4346">
        <v>-0.99721800000000005</v>
      </c>
      <c r="N4346">
        <v>0</v>
      </c>
      <c r="O4346">
        <v>7.3412080000000005E-2</v>
      </c>
      <c r="P4346">
        <v>-0.99045139999999998</v>
      </c>
      <c r="Q4346">
        <v>0.1142813</v>
      </c>
      <c r="R4346">
        <v>7.7112059999999996E-2</v>
      </c>
      <c r="S4346">
        <v>-3.0593569999999999</v>
      </c>
      <c r="T4346">
        <v>-0.38107029999999997</v>
      </c>
      <c r="U4346">
        <v>0.15644839999999999</v>
      </c>
      <c r="V4346">
        <v>4.4833299999999998E-3</v>
      </c>
      <c r="W4346">
        <v>0.1271079</v>
      </c>
      <c r="X4346">
        <v>0.9918787</v>
      </c>
      <c r="Y4346">
        <v>-2.1657949999999999E-2</v>
      </c>
      <c r="Z4346">
        <v>-1.043618E-2</v>
      </c>
      <c r="AA4346">
        <v>0.99971100000000002</v>
      </c>
      <c r="AB4346">
        <v>27</v>
      </c>
      <c r="AC4346">
        <v>-0.46680000000003402</v>
      </c>
      <c r="AD4346">
        <v>-0.108614</v>
      </c>
      <c r="AE4346">
        <v>1.3299999999986699E-2</v>
      </c>
      <c r="AF4346">
        <v>-1.9929429531331901E-2</v>
      </c>
      <c r="AG4346">
        <v>-0.108614</v>
      </c>
      <c r="AH4346">
        <v>0.44257553690687201</v>
      </c>
      <c r="AI4346">
        <v>103.775220592709</v>
      </c>
      <c r="AJ4346">
        <v>92.578319928219699</v>
      </c>
      <c r="AK4346">
        <v>0.45614393454900798</v>
      </c>
      <c r="AL4346">
        <v>82.697498846589596</v>
      </c>
      <c r="AM4346">
        <v>89.741022629282199</v>
      </c>
      <c r="AN4346">
        <v>0.99999993700199197</v>
      </c>
    </row>
    <row r="4347" spans="1:40" x14ac:dyDescent="0.25">
      <c r="A4347" t="str">
        <f>"20190312151114059"</f>
        <v>20190312151114059</v>
      </c>
      <c r="B4347" t="str">
        <f>"1552374674056055"</f>
        <v>1552374674056055</v>
      </c>
      <c r="C4347" t="s">
        <v>40</v>
      </c>
      <c r="D4347">
        <v>5.0501069999999997</v>
      </c>
      <c r="E4347">
        <v>0.49359890000000001</v>
      </c>
      <c r="F4347" t="s">
        <v>41</v>
      </c>
      <c r="G4347">
        <v>-304.74119999999999</v>
      </c>
      <c r="H4347">
        <v>0.99318039999999996</v>
      </c>
      <c r="I4347">
        <v>138.4246</v>
      </c>
      <c r="J4347">
        <v>-304.05790000000002</v>
      </c>
      <c r="K4347">
        <v>1.109483</v>
      </c>
      <c r="L4347">
        <v>138.39580000000001</v>
      </c>
      <c r="M4347">
        <v>-0.99713830000000003</v>
      </c>
      <c r="N4347">
        <v>0</v>
      </c>
      <c r="O4347">
        <v>7.4484120000000001E-2</v>
      </c>
      <c r="P4347">
        <v>-0.99043689999999995</v>
      </c>
      <c r="Q4347">
        <v>0.1140289</v>
      </c>
      <c r="R4347">
        <v>7.7667849999999997E-2</v>
      </c>
      <c r="S4347">
        <v>-3.059723</v>
      </c>
      <c r="T4347">
        <v>-0.37472</v>
      </c>
      <c r="U4347">
        <v>0.15982060000000001</v>
      </c>
      <c r="V4347">
        <v>3.9447600000000003E-3</v>
      </c>
      <c r="W4347">
        <v>0.126861</v>
      </c>
      <c r="X4347">
        <v>0.99191269999999998</v>
      </c>
      <c r="Y4347">
        <v>-2.1656370000000001E-2</v>
      </c>
      <c r="Z4347">
        <v>-1.0392210000000001E-2</v>
      </c>
      <c r="AA4347">
        <v>0.99971149999999998</v>
      </c>
      <c r="AB4347">
        <v>27</v>
      </c>
      <c r="AC4347">
        <v>-0.68329999999997404</v>
      </c>
      <c r="AD4347">
        <v>-0.11630260000000001</v>
      </c>
      <c r="AE4347">
        <v>2.8799999999989698E-2</v>
      </c>
      <c r="AF4347">
        <v>-2.1555894191996099E-2</v>
      </c>
      <c r="AG4347">
        <v>-0.11630260000000001</v>
      </c>
      <c r="AH4347">
        <v>0.66433494681129002</v>
      </c>
      <c r="AI4347">
        <v>99.924806932752006</v>
      </c>
      <c r="AJ4347">
        <v>91.858442949634906</v>
      </c>
      <c r="AK4347">
        <v>0.67478283387763804</v>
      </c>
      <c r="AL4347">
        <v>82.711761379411698</v>
      </c>
      <c r="AM4347">
        <v>89.772140322789994</v>
      </c>
      <c r="AN4347">
        <v>1.00000003943687</v>
      </c>
    </row>
    <row r="4348" spans="1:40" x14ac:dyDescent="0.25">
      <c r="A4348" t="str">
        <f>"20190312151114084"</f>
        <v>20190312151114084</v>
      </c>
      <c r="B4348" t="str">
        <f>"1552374674075576"</f>
        <v>1552374674075576</v>
      </c>
      <c r="C4348" t="s">
        <v>40</v>
      </c>
      <c r="D4348">
        <v>5.0540659999999997</v>
      </c>
      <c r="E4348">
        <v>0.49357499999999999</v>
      </c>
      <c r="F4348" t="s">
        <v>41</v>
      </c>
      <c r="G4348">
        <v>-304.98489999999998</v>
      </c>
      <c r="H4348">
        <v>0.9958302</v>
      </c>
      <c r="I4348">
        <v>138.44499999999999</v>
      </c>
      <c r="J4348">
        <v>-304.34829999999999</v>
      </c>
      <c r="K4348">
        <v>1.109561</v>
      </c>
      <c r="L4348">
        <v>138.41890000000001</v>
      </c>
      <c r="M4348">
        <v>-0.99705770000000005</v>
      </c>
      <c r="N4348">
        <v>0</v>
      </c>
      <c r="O4348">
        <v>7.555597E-2</v>
      </c>
      <c r="P4348">
        <v>-0.99042730000000001</v>
      </c>
      <c r="Q4348">
        <v>0.1135283</v>
      </c>
      <c r="R4348">
        <v>7.8520989999999999E-2</v>
      </c>
      <c r="S4348">
        <v>-3.0595400000000001</v>
      </c>
      <c r="T4348">
        <v>-0.37511679999999997</v>
      </c>
      <c r="U4348">
        <v>0.16105649999999999</v>
      </c>
      <c r="V4348">
        <v>3.7023669999999998E-3</v>
      </c>
      <c r="W4348">
        <v>0.12636530000000001</v>
      </c>
      <c r="X4348">
        <v>0.99197690000000005</v>
      </c>
      <c r="Y4348">
        <v>-2.2310799999999999E-2</v>
      </c>
      <c r="Z4348">
        <v>-1.057399E-2</v>
      </c>
      <c r="AA4348">
        <v>0.99969520000000001</v>
      </c>
      <c r="AB4348">
        <v>27</v>
      </c>
      <c r="AC4348">
        <v>-0.63659999999998695</v>
      </c>
      <c r="AD4348">
        <v>-0.11373080000000001</v>
      </c>
      <c r="AE4348">
        <v>2.6099999999985302E-2</v>
      </c>
      <c r="AF4348">
        <v>-2.13958247929758E-2</v>
      </c>
      <c r="AG4348">
        <v>-0.11373080000000001</v>
      </c>
      <c r="AH4348">
        <v>0.61708955476313498</v>
      </c>
      <c r="AI4348">
        <v>100.43640749451301</v>
      </c>
      <c r="AJ4348">
        <v>91.985772674737007</v>
      </c>
      <c r="AK4348">
        <v>0.62784711099516599</v>
      </c>
      <c r="AL4348">
        <v>82.740393277021894</v>
      </c>
      <c r="AM4348">
        <v>89.7861552841444</v>
      </c>
      <c r="AN4348">
        <v>1.00000003334955</v>
      </c>
    </row>
    <row r="4349" spans="1:40" x14ac:dyDescent="0.25">
      <c r="A4349" t="str">
        <f>"20190312151114106"</f>
        <v>20190312151114106</v>
      </c>
      <c r="B4349" t="str">
        <f>"1552374674096071"</f>
        <v>1552374674096071</v>
      </c>
      <c r="C4349" t="s">
        <v>40</v>
      </c>
      <c r="D4349">
        <v>5.0282559999999998</v>
      </c>
      <c r="E4349">
        <v>0.4935136</v>
      </c>
      <c r="F4349" t="s">
        <v>41</v>
      </c>
      <c r="G4349">
        <v>-305.22969999999998</v>
      </c>
      <c r="H4349">
        <v>1.0011730000000001</v>
      </c>
      <c r="I4349">
        <v>138.4659</v>
      </c>
      <c r="J4349">
        <v>-304.62529999999998</v>
      </c>
      <c r="K4349">
        <v>1.1096349999999999</v>
      </c>
      <c r="L4349">
        <v>138.441</v>
      </c>
      <c r="M4349">
        <v>-0.99698659999999995</v>
      </c>
      <c r="N4349">
        <v>0</v>
      </c>
      <c r="O4349">
        <v>7.6486899999999997E-2</v>
      </c>
      <c r="P4349">
        <v>-0.99041500000000005</v>
      </c>
      <c r="Q4349">
        <v>0.1132425</v>
      </c>
      <c r="R4349">
        <v>7.9085630000000004E-2</v>
      </c>
      <c r="S4349">
        <v>-3.0591740000000001</v>
      </c>
      <c r="T4349">
        <v>-0.37618800000000002</v>
      </c>
      <c r="U4349">
        <v>0.16308590000000001</v>
      </c>
      <c r="V4349">
        <v>3.3155260000000001E-3</v>
      </c>
      <c r="W4349">
        <v>0.12608339999999901</v>
      </c>
      <c r="X4349">
        <v>0.99201410000000001</v>
      </c>
      <c r="Y4349">
        <v>-2.256352E-2</v>
      </c>
      <c r="Z4349">
        <v>-1.073406E-2</v>
      </c>
      <c r="AA4349">
        <v>0.99968780000000002</v>
      </c>
      <c r="AB4349">
        <v>27</v>
      </c>
      <c r="AC4349">
        <v>-0.60439999999999805</v>
      </c>
      <c r="AD4349">
        <v>-0.108462</v>
      </c>
      <c r="AE4349">
        <v>2.4900000000002299E-2</v>
      </c>
      <c r="AF4349">
        <v>-2.0738774070114301E-2</v>
      </c>
      <c r="AG4349">
        <v>-0.108462</v>
      </c>
      <c r="AH4349">
        <v>0.58570395054885005</v>
      </c>
      <c r="AI4349">
        <v>100.484891943878</v>
      </c>
      <c r="AJ4349">
        <v>92.027898245835004</v>
      </c>
      <c r="AK4349">
        <v>0.596022835034414</v>
      </c>
      <c r="AL4349">
        <v>82.756674908636796</v>
      </c>
      <c r="AM4349">
        <v>89.808505807186407</v>
      </c>
      <c r="AN4349">
        <v>0.99999999553351304</v>
      </c>
    </row>
    <row r="4350" spans="1:40" x14ac:dyDescent="0.25">
      <c r="A4350" t="str">
        <f>"20190312151114129"</f>
        <v>20190312151114129</v>
      </c>
      <c r="B4350" t="str">
        <f>"1552374674125351"</f>
        <v>1552374674125351</v>
      </c>
      <c r="C4350" t="s">
        <v>40</v>
      </c>
      <c r="D4350">
        <v>5.0352790000000001</v>
      </c>
      <c r="E4350">
        <v>0.48663600000000001</v>
      </c>
      <c r="F4350" t="s">
        <v>41</v>
      </c>
      <c r="G4350">
        <v>-305.47370000000001</v>
      </c>
      <c r="H4350">
        <v>1.00501</v>
      </c>
      <c r="I4350">
        <v>138.48679999999999</v>
      </c>
      <c r="J4350">
        <v>-304.8897</v>
      </c>
      <c r="K4350">
        <v>1.109699</v>
      </c>
      <c r="L4350">
        <v>138.4623</v>
      </c>
      <c r="M4350">
        <v>-0.99692449999999999</v>
      </c>
      <c r="N4350">
        <v>0</v>
      </c>
      <c r="O4350">
        <v>7.7294000000000002E-2</v>
      </c>
      <c r="P4350">
        <v>-0.99042289999999999</v>
      </c>
      <c r="Q4350">
        <v>0.112706399999999</v>
      </c>
      <c r="R4350">
        <v>7.9749840000000002E-2</v>
      </c>
      <c r="S4350">
        <v>-3.0590519999999999</v>
      </c>
      <c r="T4350">
        <v>-0.37721589999999999</v>
      </c>
      <c r="U4350">
        <v>0.1641541</v>
      </c>
      <c r="V4350">
        <v>3.1515760000000001E-3</v>
      </c>
      <c r="W4350">
        <v>0.12555069999999999</v>
      </c>
      <c r="X4350">
        <v>0.99208220000000003</v>
      </c>
      <c r="Y4350">
        <v>-2.3009160000000001E-2</v>
      </c>
      <c r="Z4350">
        <v>-1.0889579999999999E-2</v>
      </c>
      <c r="AA4350">
        <v>0.99967589999999995</v>
      </c>
      <c r="AB4350">
        <v>27</v>
      </c>
      <c r="AC4350">
        <v>-0.58400000000000296</v>
      </c>
      <c r="AD4350">
        <v>-0.104689</v>
      </c>
      <c r="AE4350">
        <v>2.4499999999988999E-2</v>
      </c>
      <c r="AF4350">
        <v>-2.0072871862141701E-2</v>
      </c>
      <c r="AG4350">
        <v>-0.104689</v>
      </c>
      <c r="AH4350">
        <v>0.56599037443978795</v>
      </c>
      <c r="AI4350">
        <v>100.472898568403</v>
      </c>
      <c r="AJ4350">
        <v>92.031145886858397</v>
      </c>
      <c r="AK4350">
        <v>0.57594080500020595</v>
      </c>
      <c r="AL4350">
        <v>82.787440894256093</v>
      </c>
      <c r="AM4350">
        <v>89.817987464951997</v>
      </c>
      <c r="AN4350">
        <v>1.0000000011293</v>
      </c>
    </row>
    <row r="4351" spans="1:40" x14ac:dyDescent="0.25">
      <c r="A4351" t="str">
        <f>"20190312151114150"</f>
        <v>20190312151114150</v>
      </c>
      <c r="B4351" t="str">
        <f>"1552374674145848"</f>
        <v>1552374674145848</v>
      </c>
      <c r="C4351" t="s">
        <v>40</v>
      </c>
      <c r="D4351">
        <v>4.991689</v>
      </c>
      <c r="E4351">
        <v>0.4862688</v>
      </c>
      <c r="F4351" t="s">
        <v>41</v>
      </c>
      <c r="G4351">
        <v>-305.7097</v>
      </c>
      <c r="H4351">
        <v>0.98921170000000003</v>
      </c>
      <c r="I4351">
        <v>138.49170000000001</v>
      </c>
      <c r="J4351">
        <v>-305.1481</v>
      </c>
      <c r="K4351">
        <v>1.1097570000000001</v>
      </c>
      <c r="L4351">
        <v>138.48320000000001</v>
      </c>
      <c r="M4351">
        <v>-0.99686839999999999</v>
      </c>
      <c r="N4351">
        <v>0</v>
      </c>
      <c r="O4351">
        <v>7.8013139999999995E-2</v>
      </c>
      <c r="P4351">
        <v>-0.99054180000000003</v>
      </c>
      <c r="Q4351">
        <v>0.1116477</v>
      </c>
      <c r="R4351">
        <v>7.9761540000000006E-2</v>
      </c>
      <c r="S4351">
        <v>-3.0715940000000002</v>
      </c>
      <c r="T4351">
        <v>-0.45138699999999998</v>
      </c>
      <c r="U4351">
        <v>0.1092072</v>
      </c>
      <c r="V4351">
        <v>2.4171639999999999E-3</v>
      </c>
      <c r="W4351">
        <v>0.1244962</v>
      </c>
      <c r="X4351">
        <v>0.99221709999999996</v>
      </c>
      <c r="Y4351">
        <v>-4.1269859999999998E-2</v>
      </c>
      <c r="Z4351">
        <v>-1.440322E-2</v>
      </c>
      <c r="AA4351">
        <v>0.99904420000000005</v>
      </c>
      <c r="AB4351">
        <v>27</v>
      </c>
      <c r="AC4351">
        <v>-0.56159999999999799</v>
      </c>
      <c r="AD4351">
        <v>-0.12054529999999899</v>
      </c>
      <c r="AE4351">
        <v>8.4999999999979502E-3</v>
      </c>
      <c r="AF4351">
        <v>-3.3785512291136202E-2</v>
      </c>
      <c r="AG4351">
        <v>-0.12054529999999899</v>
      </c>
      <c r="AH4351">
        <v>0.53586792781955195</v>
      </c>
      <c r="AI4351">
        <v>102.653527770003</v>
      </c>
      <c r="AJ4351">
        <v>93.607621060767997</v>
      </c>
      <c r="AK4351">
        <v>0.550297252635778</v>
      </c>
      <c r="AL4351">
        <v>82.848336805699901</v>
      </c>
      <c r="AM4351">
        <v>89.860420646227595</v>
      </c>
      <c r="AN4351">
        <v>0.99999996001432501</v>
      </c>
    </row>
    <row r="4352" spans="1:40" x14ac:dyDescent="0.25">
      <c r="A4352" t="str">
        <f>"20190312151114173"</f>
        <v>20190312151114173</v>
      </c>
      <c r="B4352" t="str">
        <f>"1552374674165371"</f>
        <v>1552374674165371</v>
      </c>
      <c r="C4352" t="s">
        <v>40</v>
      </c>
      <c r="D4352">
        <v>4.9890809999999997</v>
      </c>
      <c r="E4352">
        <v>0.48583340000000003</v>
      </c>
      <c r="F4352" t="s">
        <v>41</v>
      </c>
      <c r="G4352">
        <v>-305.95159999999998</v>
      </c>
      <c r="H4352">
        <v>0.98951630000000002</v>
      </c>
      <c r="I4352">
        <v>138.51140000000001</v>
      </c>
      <c r="J4352">
        <v>-305.42329999999998</v>
      </c>
      <c r="K4352">
        <v>1.1098049999999999</v>
      </c>
      <c r="L4352">
        <v>138.50559999999999</v>
      </c>
      <c r="M4352">
        <v>-0.99681330000000001</v>
      </c>
      <c r="N4352">
        <v>0</v>
      </c>
      <c r="O4352">
        <v>7.8712409999999997E-2</v>
      </c>
      <c r="P4352">
        <v>-0.99064989999999997</v>
      </c>
      <c r="Q4352">
        <v>0.11123959999999999</v>
      </c>
      <c r="R4352">
        <v>7.8983990000000004E-2</v>
      </c>
      <c r="S4352">
        <v>-3.07193</v>
      </c>
      <c r="T4352">
        <v>-0.4597193</v>
      </c>
      <c r="U4352">
        <v>0.1063538</v>
      </c>
      <c r="V4352">
        <v>9.1839489999999998E-4</v>
      </c>
      <c r="W4352">
        <v>0.1240921</v>
      </c>
      <c r="X4352">
        <v>0.99227030000000005</v>
      </c>
      <c r="Y4352">
        <v>-4.2829190000000003E-2</v>
      </c>
      <c r="Z4352">
        <v>-1.4884680000000001E-2</v>
      </c>
      <c r="AA4352">
        <v>0.99897150000000001</v>
      </c>
      <c r="AB4352">
        <v>27</v>
      </c>
      <c r="AC4352">
        <v>-0.52830000000000099</v>
      </c>
      <c r="AD4352">
        <v>-0.120288699999999</v>
      </c>
      <c r="AE4352">
        <v>5.8000000000220098E-3</v>
      </c>
      <c r="AF4352">
        <v>-3.4040697344900298E-2</v>
      </c>
      <c r="AG4352">
        <v>-0.120288699999999</v>
      </c>
      <c r="AH4352">
        <v>0.50113981343891201</v>
      </c>
      <c r="AI4352">
        <v>103.467470915959</v>
      </c>
      <c r="AJ4352">
        <v>93.885935235979801</v>
      </c>
      <c r="AK4352">
        <v>0.51649709876920402</v>
      </c>
      <c r="AL4352">
        <v>82.871671411502007</v>
      </c>
      <c r="AM4352">
        <v>89.946969957005805</v>
      </c>
      <c r="AN4352">
        <v>1.00000002049684</v>
      </c>
    </row>
    <row r="4353" spans="1:40" x14ac:dyDescent="0.25">
      <c r="A4353" t="str">
        <f>"20190312151114194"</f>
        <v>20190312151114194</v>
      </c>
      <c r="B4353" t="str">
        <f>"1552374674185863"</f>
        <v>1552374674185863</v>
      </c>
      <c r="C4353" t="s">
        <v>40</v>
      </c>
      <c r="D4353">
        <v>5.0182419999999999</v>
      </c>
      <c r="E4353">
        <v>0.48581839999999998</v>
      </c>
      <c r="F4353" t="s">
        <v>41</v>
      </c>
      <c r="G4353">
        <v>-306.1952</v>
      </c>
      <c r="H4353">
        <v>0.99328459999999996</v>
      </c>
      <c r="I4353">
        <v>138.5309</v>
      </c>
      <c r="J4353">
        <v>-305.68990000000002</v>
      </c>
      <c r="K4353">
        <v>1.1098589999999999</v>
      </c>
      <c r="L4353">
        <v>138.5275</v>
      </c>
      <c r="M4353">
        <v>-0.99676450000000005</v>
      </c>
      <c r="N4353">
        <v>0</v>
      </c>
      <c r="O4353">
        <v>7.9328889999999999E-2</v>
      </c>
      <c r="P4353">
        <v>-0.99070409999999998</v>
      </c>
      <c r="Q4353">
        <v>0.111209</v>
      </c>
      <c r="R4353">
        <v>7.8345600000000001E-2</v>
      </c>
      <c r="S4353">
        <v>-3.0724179999999999</v>
      </c>
      <c r="T4353">
        <v>-0.46382980000000001</v>
      </c>
      <c r="U4353">
        <v>0.100235</v>
      </c>
      <c r="V4353">
        <v>-3.5137919999999998E-4</v>
      </c>
      <c r="W4353">
        <v>0.1240637</v>
      </c>
      <c r="X4353">
        <v>0.9922742</v>
      </c>
      <c r="Y4353">
        <v>-4.5380009999999998E-2</v>
      </c>
      <c r="Z4353">
        <v>-1.5298300000000001E-2</v>
      </c>
      <c r="AA4353">
        <v>0.99885270000000004</v>
      </c>
      <c r="AB4353">
        <v>27</v>
      </c>
      <c r="AC4353">
        <v>-0.50529999999997699</v>
      </c>
      <c r="AD4353">
        <v>-0.116574399999999</v>
      </c>
      <c r="AE4353">
        <v>3.3999999999991802E-3</v>
      </c>
      <c r="AF4353">
        <v>-3.4844481831210201E-2</v>
      </c>
      <c r="AG4353">
        <v>-0.116574399999999</v>
      </c>
      <c r="AH4353">
        <v>0.47850994343860698</v>
      </c>
      <c r="AI4353">
        <v>103.656863258168</v>
      </c>
      <c r="AJ4353">
        <v>94.164854263431806</v>
      </c>
      <c r="AK4353">
        <v>0.493736260182564</v>
      </c>
      <c r="AL4353">
        <v>82.873311183879494</v>
      </c>
      <c r="AM4353">
        <v>90.020289295365203</v>
      </c>
      <c r="AN4353">
        <v>1.0000000065553301</v>
      </c>
    </row>
    <row r="4354" spans="1:40" x14ac:dyDescent="0.25">
      <c r="A4354" t="str">
        <f>"20190312151114219"</f>
        <v>20190312151114219</v>
      </c>
      <c r="B4354" t="str">
        <f>"1552374674215143"</f>
        <v>1552374674215143</v>
      </c>
      <c r="C4354" t="s">
        <v>40</v>
      </c>
      <c r="D4354">
        <v>4.9834230000000002</v>
      </c>
      <c r="E4354">
        <v>0.48578589999999999</v>
      </c>
      <c r="F4354" t="s">
        <v>41</v>
      </c>
      <c r="G4354">
        <v>-306.4384</v>
      </c>
      <c r="H4354">
        <v>0.99709990000000004</v>
      </c>
      <c r="I4354">
        <v>138.55160000000001</v>
      </c>
      <c r="J4354">
        <v>-305.96960000000001</v>
      </c>
      <c r="K4354">
        <v>1.1099030000000001</v>
      </c>
      <c r="L4354">
        <v>138.5504</v>
      </c>
      <c r="M4354">
        <v>-0.99671779999999999</v>
      </c>
      <c r="N4354">
        <v>0</v>
      </c>
      <c r="O4354">
        <v>7.9913990000000004E-2</v>
      </c>
      <c r="P4354">
        <v>-0.99084130000000004</v>
      </c>
      <c r="Q4354">
        <v>0.1109401</v>
      </c>
      <c r="R4354">
        <v>7.6979909999999999E-2</v>
      </c>
      <c r="S4354">
        <v>-3.0723569999999998</v>
      </c>
      <c r="T4354">
        <v>-0.4627676</v>
      </c>
      <c r="U4354">
        <v>9.7793580000000005E-2</v>
      </c>
      <c r="V4354">
        <v>-2.3216650000000001E-3</v>
      </c>
      <c r="W4354">
        <v>0.1237974</v>
      </c>
      <c r="X4354">
        <v>0.99230479999999999</v>
      </c>
      <c r="Y4354">
        <v>-4.6742989999999998E-2</v>
      </c>
      <c r="Z4354">
        <v>-1.5453649999999999E-2</v>
      </c>
      <c r="AA4354">
        <v>0.99878739999999999</v>
      </c>
      <c r="AB4354">
        <v>27</v>
      </c>
      <c r="AC4354">
        <v>-0.468799999999987</v>
      </c>
      <c r="AD4354">
        <v>-0.1128031</v>
      </c>
      <c r="AE4354">
        <v>1.20000000001141E-3</v>
      </c>
      <c r="AF4354">
        <v>-3.42855839687407E-2</v>
      </c>
      <c r="AG4354">
        <v>-0.1128031</v>
      </c>
      <c r="AH4354">
        <v>0.44181602849187501</v>
      </c>
      <c r="AI4354">
        <v>104.281426385442</v>
      </c>
      <c r="AJ4354">
        <v>94.437345141093004</v>
      </c>
      <c r="AK4354">
        <v>0.457276113163613</v>
      </c>
      <c r="AL4354">
        <v>82.888687550236796</v>
      </c>
      <c r="AM4354">
        <v>90.134052927307806</v>
      </c>
      <c r="AN4354">
        <v>1.0000000012390799</v>
      </c>
    </row>
    <row r="4355" spans="1:40" x14ac:dyDescent="0.25">
      <c r="A4355" t="str">
        <f>"20190312151114238"</f>
        <v>20190312151114238</v>
      </c>
      <c r="B4355" t="str">
        <f>"1552374674235640"</f>
        <v>1552374674235640</v>
      </c>
      <c r="C4355" t="s">
        <v>40</v>
      </c>
      <c r="D4355">
        <v>5.0127680000000003</v>
      </c>
      <c r="E4355">
        <v>0.48574000000000001</v>
      </c>
      <c r="F4355" t="s">
        <v>41</v>
      </c>
      <c r="G4355">
        <v>-306.9083</v>
      </c>
      <c r="H4355">
        <v>0.96762749999999997</v>
      </c>
      <c r="I4355">
        <v>138.57900000000001</v>
      </c>
      <c r="J4355">
        <v>-306.22280000000001</v>
      </c>
      <c r="K4355">
        <v>1.109945</v>
      </c>
      <c r="L4355">
        <v>138.57130000000001</v>
      </c>
      <c r="M4355">
        <v>-0.99668020000000002</v>
      </c>
      <c r="N4355">
        <v>0</v>
      </c>
      <c r="O4355">
        <v>8.0381599999999997E-2</v>
      </c>
      <c r="P4355">
        <v>-0.99098869999999895</v>
      </c>
      <c r="Q4355">
        <v>0.110623</v>
      </c>
      <c r="R4355">
        <v>7.5526209999999996E-2</v>
      </c>
      <c r="S4355">
        <v>-3.072632</v>
      </c>
      <c r="T4355">
        <v>-0.4657193</v>
      </c>
      <c r="U4355">
        <v>9.2697139999999997E-2</v>
      </c>
      <c r="V4355">
        <v>-4.2618159999999999E-3</v>
      </c>
      <c r="W4355">
        <v>0.1234822</v>
      </c>
      <c r="X4355">
        <v>0.99233760000000004</v>
      </c>
      <c r="Y4355">
        <v>-4.8822379999999999E-2</v>
      </c>
      <c r="Z4355">
        <v>-1.577723E-2</v>
      </c>
      <c r="AA4355">
        <v>0.99868290000000004</v>
      </c>
      <c r="AB4355">
        <v>27</v>
      </c>
      <c r="AC4355">
        <v>-0.68549999999999001</v>
      </c>
      <c r="AD4355">
        <v>-0.14231750000000001</v>
      </c>
      <c r="AE4355">
        <v>7.6999999999998103E-3</v>
      </c>
      <c r="AF4355">
        <v>-4.5471436978141197E-2</v>
      </c>
      <c r="AG4355">
        <v>-0.14231750000000001</v>
      </c>
      <c r="AH4355">
        <v>0.65564416495776301</v>
      </c>
      <c r="AI4355">
        <v>102.218463576004</v>
      </c>
      <c r="AJ4355">
        <v>93.967329263500503</v>
      </c>
      <c r="AK4355">
        <v>0.67245162906358502</v>
      </c>
      <c r="AL4355">
        <v>82.906886558671999</v>
      </c>
      <c r="AM4355">
        <v>90.246068040333299</v>
      </c>
      <c r="AN4355">
        <v>0.99999996458310803</v>
      </c>
    </row>
    <row r="4356" spans="1:40" x14ac:dyDescent="0.25">
      <c r="A4356" t="str">
        <f>"20190312151114261"</f>
        <v>20190312151114261</v>
      </c>
      <c r="B4356" t="str">
        <f>"1552374674255163"</f>
        <v>1552374674255163</v>
      </c>
      <c r="C4356" t="s">
        <v>40</v>
      </c>
      <c r="D4356">
        <v>5.0094269999999996</v>
      </c>
      <c r="E4356">
        <v>0.48559150000000001</v>
      </c>
      <c r="F4356" t="s">
        <v>41</v>
      </c>
      <c r="G4356">
        <v>-307.15010000000001</v>
      </c>
      <c r="H4356">
        <v>0.96877100000000005</v>
      </c>
      <c r="I4356">
        <v>138.59790000000001</v>
      </c>
      <c r="J4356">
        <v>-306.49790000000002</v>
      </c>
      <c r="K4356">
        <v>1.109985</v>
      </c>
      <c r="L4356">
        <v>138.5941</v>
      </c>
      <c r="M4356">
        <v>-0.99664319999999895</v>
      </c>
      <c r="N4356">
        <v>0</v>
      </c>
      <c r="O4356">
        <v>8.0838899999999894E-2</v>
      </c>
      <c r="P4356">
        <v>-0.9911489</v>
      </c>
      <c r="Q4356">
        <v>0.1100545</v>
      </c>
      <c r="R4356">
        <v>7.4245539999999999E-2</v>
      </c>
      <c r="S4356">
        <v>-3.072845</v>
      </c>
      <c r="T4356">
        <v>-0.4678388</v>
      </c>
      <c r="U4356">
        <v>8.7402339999999995E-2</v>
      </c>
      <c r="V4356">
        <v>-6.0205859999999996E-3</v>
      </c>
      <c r="W4356">
        <v>0.12291489999999999</v>
      </c>
      <c r="X4356">
        <v>0.99239900000000003</v>
      </c>
      <c r="Y4356">
        <v>-5.0958870000000003E-2</v>
      </c>
      <c r="Z4356">
        <v>-1.6078410000000001E-2</v>
      </c>
      <c r="AA4356">
        <v>0.99857130000000005</v>
      </c>
      <c r="AB4356">
        <v>27</v>
      </c>
      <c r="AC4356">
        <v>-0.65219999999999301</v>
      </c>
      <c r="AD4356">
        <v>-0.14121400000000001</v>
      </c>
      <c r="AE4356">
        <v>3.8000000000124601E-3</v>
      </c>
      <c r="AF4356">
        <v>-4.6748457782680199E-2</v>
      </c>
      <c r="AG4356">
        <v>-0.14121400000000001</v>
      </c>
      <c r="AH4356">
        <v>0.621248746396172</v>
      </c>
      <c r="AI4356">
        <v>102.771198670373</v>
      </c>
      <c r="AJ4356">
        <v>94.303350080317998</v>
      </c>
      <c r="AK4356">
        <v>0.63880890491591802</v>
      </c>
      <c r="AL4356">
        <v>82.939640559599297</v>
      </c>
      <c r="AM4356">
        <v>90.347591982756001</v>
      </c>
      <c r="AN4356">
        <v>1.00000004764939</v>
      </c>
    </row>
    <row r="4357" spans="1:40" x14ac:dyDescent="0.25">
      <c r="A4357" t="str">
        <f>"20190312151114284"</f>
        <v>20190312151114284</v>
      </c>
      <c r="B4357" t="str">
        <f>"1552374674275655"</f>
        <v>1552374674275655</v>
      </c>
      <c r="C4357" t="s">
        <v>40</v>
      </c>
      <c r="D4357">
        <v>4.9605059999999996</v>
      </c>
      <c r="E4357">
        <v>0.48558869999999998</v>
      </c>
      <c r="F4357" t="s">
        <v>41</v>
      </c>
      <c r="G4357">
        <v>-307.39330000000001</v>
      </c>
      <c r="H4357">
        <v>0.97366050000000004</v>
      </c>
      <c r="I4357">
        <v>138.61850000000001</v>
      </c>
      <c r="J4357">
        <v>-306.76859999999999</v>
      </c>
      <c r="K4357">
        <v>1.110031</v>
      </c>
      <c r="L4357">
        <v>138.6165</v>
      </c>
      <c r="M4357">
        <v>-0.99661149999999998</v>
      </c>
      <c r="N4357">
        <v>0</v>
      </c>
      <c r="O4357">
        <v>8.1229640000000006E-2</v>
      </c>
      <c r="P4357">
        <v>-0.99119930000000001</v>
      </c>
      <c r="Q4357">
        <v>0.11038100000000001</v>
      </c>
      <c r="R4357">
        <v>7.3075899999999902E-2</v>
      </c>
      <c r="S4357">
        <v>-3.0725709999999999</v>
      </c>
      <c r="T4357">
        <v>-0.46781349999999999</v>
      </c>
      <c r="U4357">
        <v>8.2260130000000001E-2</v>
      </c>
      <c r="V4357">
        <v>-7.5932269999999897E-3</v>
      </c>
      <c r="W4357">
        <v>0.1232414</v>
      </c>
      <c r="X4357">
        <v>0.99234770000000005</v>
      </c>
      <c r="Y4357">
        <v>-5.2989620000000001E-2</v>
      </c>
      <c r="Z4357">
        <v>-1.6292190000000002E-2</v>
      </c>
      <c r="AA4357">
        <v>0.99846210000000002</v>
      </c>
      <c r="AB4357">
        <v>27</v>
      </c>
      <c r="AC4357">
        <v>-0.62470000000001802</v>
      </c>
      <c r="AD4357">
        <v>-0.13637050000000001</v>
      </c>
      <c r="AE4357">
        <v>2.0000000000095402E-3</v>
      </c>
      <c r="AF4357">
        <v>-4.65373502832261E-2</v>
      </c>
      <c r="AG4357">
        <v>-0.13637050000000001</v>
      </c>
      <c r="AH4357">
        <v>0.59446929985014196</v>
      </c>
      <c r="AI4357">
        <v>102.881948905597</v>
      </c>
      <c r="AJ4357">
        <v>94.476205628851702</v>
      </c>
      <c r="AK4357">
        <v>0.61168324049785106</v>
      </c>
      <c r="AL4357">
        <v>82.920790033933599</v>
      </c>
      <c r="AM4357">
        <v>90.438406185051093</v>
      </c>
      <c r="AN4357">
        <v>1.0000000287327599</v>
      </c>
    </row>
    <row r="4358" spans="1:40" x14ac:dyDescent="0.25">
      <c r="A4358" t="str">
        <f>"20190312151114307"</f>
        <v>20190312151114307</v>
      </c>
      <c r="B4358" t="str">
        <f>"1552374674295176"</f>
        <v>1552374674295176</v>
      </c>
      <c r="C4358" t="s">
        <v>40</v>
      </c>
      <c r="D4358">
        <v>5.031981</v>
      </c>
      <c r="E4358">
        <v>0.48534929999999898</v>
      </c>
      <c r="F4358" t="s">
        <v>41</v>
      </c>
      <c r="G4358">
        <v>-307.63600000000002</v>
      </c>
      <c r="H4358">
        <v>0.97803839999999997</v>
      </c>
      <c r="I4358">
        <v>138.6386</v>
      </c>
      <c r="J4358">
        <v>-307.04430000000002</v>
      </c>
      <c r="K4358">
        <v>1.11009</v>
      </c>
      <c r="L4358">
        <v>138.63939999999999</v>
      </c>
      <c r="M4358">
        <v>-0.99658530000000001</v>
      </c>
      <c r="N4358">
        <v>0</v>
      </c>
      <c r="O4358">
        <v>8.1549090000000005E-2</v>
      </c>
      <c r="P4358">
        <v>-0.99117149999999998</v>
      </c>
      <c r="Q4358">
        <v>0.1111925</v>
      </c>
      <c r="R4358">
        <v>7.221735E-2</v>
      </c>
      <c r="S4358">
        <v>-3.0729060000000001</v>
      </c>
      <c r="T4358">
        <v>-0.46758430000000001</v>
      </c>
      <c r="U4358">
        <v>7.8216549999999996E-2</v>
      </c>
      <c r="V4358">
        <v>-8.7814499999999997E-3</v>
      </c>
      <c r="W4358">
        <v>0.12405049999999999</v>
      </c>
      <c r="X4358">
        <v>0.99223700000000004</v>
      </c>
      <c r="Y4358">
        <v>-5.4605010000000002E-2</v>
      </c>
      <c r="Z4358">
        <v>-1.645334E-2</v>
      </c>
      <c r="AA4358">
        <v>0.9983725</v>
      </c>
      <c r="AB4358">
        <v>27</v>
      </c>
      <c r="AC4358">
        <v>-0.59169999999994605</v>
      </c>
      <c r="AD4358">
        <v>-0.13205159999999999</v>
      </c>
      <c r="AE4358">
        <v>-7.9999999999813499E-4</v>
      </c>
      <c r="AF4358">
        <v>-4.6726693854240997E-2</v>
      </c>
      <c r="AG4358">
        <v>-0.13205159999999999</v>
      </c>
      <c r="AH4358">
        <v>0.56168811469423796</v>
      </c>
      <c r="AI4358">
        <v>103.185908582812</v>
      </c>
      <c r="AJ4358">
        <v>94.755471612188202</v>
      </c>
      <c r="AK4358">
        <v>0.57889079036539803</v>
      </c>
      <c r="AL4358">
        <v>82.874072987351795</v>
      </c>
      <c r="AM4358">
        <v>90.507063219208604</v>
      </c>
      <c r="AN4358">
        <v>0.99999995229167504</v>
      </c>
    </row>
    <row r="4359" spans="1:40" x14ac:dyDescent="0.25">
      <c r="A4359" t="str">
        <f>"20190312151114329"</f>
        <v>20190312151114329</v>
      </c>
      <c r="B4359" t="str">
        <f>"1552374674325432"</f>
        <v>1552374674325432</v>
      </c>
      <c r="C4359" t="s">
        <v>40</v>
      </c>
      <c r="D4359">
        <v>5.0226980000000001</v>
      </c>
      <c r="E4359">
        <v>0.48544599999999999</v>
      </c>
      <c r="F4359" t="s">
        <v>41</v>
      </c>
      <c r="G4359">
        <v>-307.87909999999999</v>
      </c>
      <c r="H4359">
        <v>0.98355099999999995</v>
      </c>
      <c r="I4359">
        <v>138.65969999999999</v>
      </c>
      <c r="J4359">
        <v>-307.30959999999999</v>
      </c>
      <c r="K4359">
        <v>1.1101570000000001</v>
      </c>
      <c r="L4359">
        <v>138.66149999999999</v>
      </c>
      <c r="M4359">
        <v>-0.99656769999999995</v>
      </c>
      <c r="N4359">
        <v>0</v>
      </c>
      <c r="O4359">
        <v>8.1764569999999995E-2</v>
      </c>
      <c r="P4359">
        <v>-0.99117599999999995</v>
      </c>
      <c r="Q4359">
        <v>0.1121437</v>
      </c>
      <c r="R4359">
        <v>7.0667339999999995E-2</v>
      </c>
      <c r="S4359">
        <v>-3.0735779999999999</v>
      </c>
      <c r="T4359">
        <v>-0.46584779999999998</v>
      </c>
      <c r="U4359">
        <v>7.4111940000000001E-2</v>
      </c>
      <c r="V4359">
        <v>-1.056058E-2</v>
      </c>
      <c r="W4359">
        <v>0.1249987</v>
      </c>
      <c r="X4359">
        <v>0.99210069999999995</v>
      </c>
      <c r="Y4359">
        <v>-5.615088E-2</v>
      </c>
      <c r="Z4359">
        <v>-1.6538669999999998E-2</v>
      </c>
      <c r="AA4359">
        <v>0.99828530000000004</v>
      </c>
      <c r="AB4359">
        <v>27</v>
      </c>
      <c r="AC4359">
        <v>-0.569500000000005</v>
      </c>
      <c r="AD4359">
        <v>-0.126606</v>
      </c>
      <c r="AE4359">
        <v>-1.8000000000029099E-3</v>
      </c>
      <c r="AF4359">
        <v>-4.6085188356270297E-2</v>
      </c>
      <c r="AG4359">
        <v>-0.126606</v>
      </c>
      <c r="AH4359">
        <v>0.54072226085138297</v>
      </c>
      <c r="AI4359">
        <v>103.132025671395</v>
      </c>
      <c r="AJ4359">
        <v>94.8714862100571</v>
      </c>
      <c r="AK4359">
        <v>0.55725531599264599</v>
      </c>
      <c r="AL4359">
        <v>82.819319291118106</v>
      </c>
      <c r="AM4359">
        <v>90.609871368138101</v>
      </c>
      <c r="AN4359">
        <v>0.99999999989605803</v>
      </c>
    </row>
    <row r="4360" spans="1:40" x14ac:dyDescent="0.25">
      <c r="A4360" t="str">
        <f>"20190312151114350"</f>
        <v>20190312151114350</v>
      </c>
      <c r="B4360" t="str">
        <f>"1552374674345686"</f>
        <v>1552374674345686</v>
      </c>
      <c r="C4360" t="s">
        <v>40</v>
      </c>
      <c r="D4360">
        <v>5.1185929999999997</v>
      </c>
      <c r="E4360">
        <v>0.48549229999999999</v>
      </c>
      <c r="F4360" t="s">
        <v>41</v>
      </c>
      <c r="G4360">
        <v>-308.12150000000003</v>
      </c>
      <c r="H4360">
        <v>0.9879059</v>
      </c>
      <c r="I4360">
        <v>138.68029999999999</v>
      </c>
      <c r="J4360">
        <v>-307.56849999999997</v>
      </c>
      <c r="K4360">
        <v>1.110228</v>
      </c>
      <c r="L4360">
        <v>138.68289999999999</v>
      </c>
      <c r="M4360">
        <v>-0.99655780000000005</v>
      </c>
      <c r="N4360">
        <v>0</v>
      </c>
      <c r="O4360">
        <v>8.1886849999999997E-2</v>
      </c>
      <c r="P4360">
        <v>-0.99134730000000004</v>
      </c>
      <c r="Q4360">
        <v>0.1117112</v>
      </c>
      <c r="R4360">
        <v>6.8930069999999996E-2</v>
      </c>
      <c r="S4360">
        <v>-3.0740050000000001</v>
      </c>
      <c r="T4360">
        <v>-0.46291700000000002</v>
      </c>
      <c r="U4360">
        <v>7.1243290000000001E-2</v>
      </c>
      <c r="V4360">
        <v>-1.245021E-2</v>
      </c>
      <c r="W4360">
        <v>0.1245648</v>
      </c>
      <c r="X4360">
        <v>0.99213340000000005</v>
      </c>
      <c r="Y4360">
        <v>-5.7214380000000002E-2</v>
      </c>
      <c r="Z4360">
        <v>-1.6531690000000002E-2</v>
      </c>
      <c r="AA4360">
        <v>0.99822500000000003</v>
      </c>
      <c r="AB4360">
        <v>27</v>
      </c>
      <c r="AC4360">
        <v>-0.553000000000054</v>
      </c>
      <c r="AD4360">
        <v>-0.122322099999999</v>
      </c>
      <c r="AE4360">
        <v>-2.6000000000010398E-3</v>
      </c>
      <c r="AF4360">
        <v>-4.5645189219863401E-2</v>
      </c>
      <c r="AG4360">
        <v>-0.122322099999999</v>
      </c>
      <c r="AH4360">
        <v>0.525231503327937</v>
      </c>
      <c r="AI4360">
        <v>103.062490467082</v>
      </c>
      <c r="AJ4360">
        <v>94.966804981580495</v>
      </c>
      <c r="AK4360">
        <v>0.541215586929508</v>
      </c>
      <c r="AL4360">
        <v>82.844376056454195</v>
      </c>
      <c r="AM4360">
        <v>90.718962838878795</v>
      </c>
      <c r="AN4360">
        <v>1.0000000402618201</v>
      </c>
    </row>
    <row r="4361" spans="1:40" x14ac:dyDescent="0.25">
      <c r="A4361" t="str">
        <f>"20190312151114373"</f>
        <v>20190312151114373</v>
      </c>
      <c r="B4361" t="str">
        <f>"1552374674365205"</f>
        <v>1552374674365205</v>
      </c>
      <c r="C4361" t="s">
        <v>40</v>
      </c>
      <c r="D4361">
        <v>5.0521349999999998</v>
      </c>
      <c r="E4361">
        <v>0.48557790000000001</v>
      </c>
      <c r="F4361" t="s">
        <v>41</v>
      </c>
      <c r="G4361">
        <v>-308.36279999999999</v>
      </c>
      <c r="H4361">
        <v>0.99026740000000002</v>
      </c>
      <c r="I4361">
        <v>138.70050000000001</v>
      </c>
      <c r="J4361">
        <v>-307.84269999999998</v>
      </c>
      <c r="K4361">
        <v>1.1103019999999999</v>
      </c>
      <c r="L4361">
        <v>138.7055</v>
      </c>
      <c r="M4361">
        <v>-0.99655490000000002</v>
      </c>
      <c r="N4361">
        <v>0</v>
      </c>
      <c r="O4361">
        <v>8.1920549999999995E-2</v>
      </c>
      <c r="P4361">
        <v>-0.99158610000000003</v>
      </c>
      <c r="Q4361">
        <v>0.11035880000000001</v>
      </c>
      <c r="R4361">
        <v>6.7660730000000002E-2</v>
      </c>
      <c r="S4361">
        <v>-3.0738829999999999</v>
      </c>
      <c r="T4361">
        <v>-0.46429300000000001</v>
      </c>
      <c r="U4361">
        <v>6.7031859999999999E-2</v>
      </c>
      <c r="V4361">
        <v>-1.3792810000000001E-2</v>
      </c>
      <c r="W4361">
        <v>0.1232111</v>
      </c>
      <c r="X4361">
        <v>0.99228470000000002</v>
      </c>
      <c r="Y4361">
        <v>-5.8588700000000001E-2</v>
      </c>
      <c r="Z4361">
        <v>-1.6689590000000001E-2</v>
      </c>
      <c r="AA4361">
        <v>0.99814270000000005</v>
      </c>
      <c r="AB4361">
        <v>27</v>
      </c>
      <c r="AC4361">
        <v>-0.520100000000013</v>
      </c>
      <c r="AD4361">
        <v>-0.12003460000000001</v>
      </c>
      <c r="AE4361">
        <v>-4.9999999999954499E-3</v>
      </c>
      <c r="AF4361">
        <v>-4.5186987927094198E-2</v>
      </c>
      <c r="AG4361">
        <v>-0.12003460000000001</v>
      </c>
      <c r="AH4361">
        <v>0.49175139053712102</v>
      </c>
      <c r="AI4361">
        <v>103.662045713117</v>
      </c>
      <c r="AJ4361">
        <v>95.250159769293305</v>
      </c>
      <c r="AK4361">
        <v>0.50820232109886598</v>
      </c>
      <c r="AL4361">
        <v>82.922539731734204</v>
      </c>
      <c r="AM4361">
        <v>90.796363090277595</v>
      </c>
      <c r="AN4361">
        <v>1.0000000713124899</v>
      </c>
    </row>
    <row r="4362" spans="1:40" x14ac:dyDescent="0.25">
      <c r="A4362" t="str">
        <f>"20190312151114395"</f>
        <v>20190312151114395</v>
      </c>
      <c r="B4362" t="str">
        <f>"1552374674385715"</f>
        <v>1552374674385715</v>
      </c>
      <c r="C4362" t="s">
        <v>40</v>
      </c>
      <c r="D4362">
        <v>5.0697929999999998</v>
      </c>
      <c r="E4362">
        <v>0.48557499999999998</v>
      </c>
      <c r="F4362" t="s">
        <v>41</v>
      </c>
      <c r="G4362">
        <v>-308.60449999999997</v>
      </c>
      <c r="H4362">
        <v>0.99377789999999999</v>
      </c>
      <c r="I4362">
        <v>138.72130000000001</v>
      </c>
      <c r="J4362">
        <v>-308.10599999999999</v>
      </c>
      <c r="K4362">
        <v>1.1103749999999999</v>
      </c>
      <c r="L4362">
        <v>138.72710000000001</v>
      </c>
      <c r="M4362">
        <v>-0.99656149999999999</v>
      </c>
      <c r="N4362">
        <v>0</v>
      </c>
      <c r="O4362">
        <v>8.1839720000000005E-2</v>
      </c>
      <c r="P4362">
        <v>-0.99172459999999996</v>
      </c>
      <c r="Q4362">
        <v>0.11007740000000001</v>
      </c>
      <c r="R4362">
        <v>6.60718E-2</v>
      </c>
      <c r="S4362">
        <v>-3.0734249999999999</v>
      </c>
      <c r="T4362">
        <v>-0.47013909999999998</v>
      </c>
      <c r="U4362">
        <v>6.35376E-2</v>
      </c>
      <c r="V4362">
        <v>-1.533063E-2</v>
      </c>
      <c r="W4362">
        <v>0.1229224</v>
      </c>
      <c r="X4362">
        <v>0.99229789999999995</v>
      </c>
      <c r="Y4362">
        <v>-5.9587460000000002E-2</v>
      </c>
      <c r="Z4362">
        <v>-1.6963849999999999E-2</v>
      </c>
      <c r="AA4362">
        <v>0.99807889999999999</v>
      </c>
      <c r="AB4362">
        <v>27</v>
      </c>
      <c r="AC4362">
        <v>-0.49849999999997802</v>
      </c>
      <c r="AD4362">
        <v>-0.116597099999999</v>
      </c>
      <c r="AE4362">
        <v>-5.7999999999935803E-3</v>
      </c>
      <c r="AF4362">
        <v>-4.4165224435745103E-2</v>
      </c>
      <c r="AG4362">
        <v>-0.116597099999999</v>
      </c>
      <c r="AH4362">
        <v>0.47061045679827002</v>
      </c>
      <c r="AI4362">
        <v>103.85670810989799</v>
      </c>
      <c r="AJ4362">
        <v>95.361315543839794</v>
      </c>
      <c r="AK4362">
        <v>0.48684664199904498</v>
      </c>
      <c r="AL4362">
        <v>82.939207457234701</v>
      </c>
      <c r="AM4362">
        <v>90.885127862457793</v>
      </c>
      <c r="AN4362">
        <v>1.0000000334911801</v>
      </c>
    </row>
    <row r="4363" spans="1:40" x14ac:dyDescent="0.25">
      <c r="A4363" t="str">
        <f>"20190312151114418"</f>
        <v>20190312151114418</v>
      </c>
      <c r="B4363" t="str">
        <f>"1552374674415957"</f>
        <v>1552374674415957</v>
      </c>
      <c r="C4363" t="s">
        <v>40</v>
      </c>
      <c r="D4363">
        <v>5.0744109999999996</v>
      </c>
      <c r="E4363">
        <v>0.48575610000000002</v>
      </c>
      <c r="F4363" t="s">
        <v>41</v>
      </c>
      <c r="G4363">
        <v>-308.8458</v>
      </c>
      <c r="H4363">
        <v>0.99705239999999995</v>
      </c>
      <c r="I4363">
        <v>138.74170000000001</v>
      </c>
      <c r="J4363">
        <v>-308.37549999999999</v>
      </c>
      <c r="K4363">
        <v>1.1104560000000001</v>
      </c>
      <c r="L4363">
        <v>138.7491</v>
      </c>
      <c r="M4363">
        <v>-0.99657879999999999</v>
      </c>
      <c r="N4363">
        <v>0</v>
      </c>
      <c r="O4363">
        <v>8.1632120000000002E-2</v>
      </c>
      <c r="P4363">
        <v>-0.99190800000000001</v>
      </c>
      <c r="Q4363">
        <v>0.10974489999999899</v>
      </c>
      <c r="R4363">
        <v>6.3832979999999998E-2</v>
      </c>
      <c r="S4363">
        <v>-3.0733640000000002</v>
      </c>
      <c r="T4363">
        <v>-0.47094629999999998</v>
      </c>
      <c r="U4363">
        <v>5.911255E-2</v>
      </c>
      <c r="V4363">
        <v>-1.7395299999999999E-2</v>
      </c>
      <c r="W4363">
        <v>0.12257079999999999</v>
      </c>
      <c r="X4363">
        <v>0.9923073</v>
      </c>
      <c r="Y4363">
        <v>-6.0798070000000003E-2</v>
      </c>
      <c r="Z4363">
        <v>-1.7054070000000001E-2</v>
      </c>
      <c r="AA4363">
        <v>0.99800440000000001</v>
      </c>
      <c r="AB4363">
        <v>27</v>
      </c>
      <c r="AC4363">
        <v>-0.47030000000000799</v>
      </c>
      <c r="AD4363">
        <v>-0.11340359999999899</v>
      </c>
      <c r="AE4363">
        <v>-7.3999999999898496E-3</v>
      </c>
      <c r="AF4363">
        <v>-4.3255660863215403E-2</v>
      </c>
      <c r="AG4363">
        <v>-0.11340359999999899</v>
      </c>
      <c r="AH4363">
        <v>0.442409004631937</v>
      </c>
      <c r="AI4363">
        <v>104.311767338378</v>
      </c>
      <c r="AJ4363">
        <v>95.5842317966369</v>
      </c>
      <c r="AK4363">
        <v>0.45875609649256399</v>
      </c>
      <c r="AL4363">
        <v>82.959505825494006</v>
      </c>
      <c r="AM4363">
        <v>91.004300983287905</v>
      </c>
      <c r="AN4363">
        <v>0.99999998755400898</v>
      </c>
    </row>
    <row r="4364" spans="1:40" x14ac:dyDescent="0.25">
      <c r="A4364" t="str">
        <f>"20190312151114438"</f>
        <v>20190312151114438</v>
      </c>
      <c r="B4364" t="str">
        <f>"1552374674435043"</f>
        <v>1552374674435043</v>
      </c>
      <c r="C4364" t="s">
        <v>40</v>
      </c>
      <c r="D4364">
        <v>5.080724</v>
      </c>
      <c r="E4364">
        <v>0.48584630000000001</v>
      </c>
      <c r="F4364" t="s">
        <v>41</v>
      </c>
      <c r="G4364">
        <v>-309.31220000000002</v>
      </c>
      <c r="H4364">
        <v>0.96619529999999998</v>
      </c>
      <c r="I4364">
        <v>138.76580000000001</v>
      </c>
      <c r="J4364">
        <v>-308.62670000000003</v>
      </c>
      <c r="K4364">
        <v>1.110535</v>
      </c>
      <c r="L4364">
        <v>138.76939999999999</v>
      </c>
      <c r="M4364">
        <v>-0.99660490000000002</v>
      </c>
      <c r="N4364">
        <v>0</v>
      </c>
      <c r="O4364">
        <v>8.1317509999999996E-2</v>
      </c>
      <c r="P4364">
        <v>-0.99208200000000002</v>
      </c>
      <c r="Q4364">
        <v>0.10907699999999999</v>
      </c>
      <c r="R4364">
        <v>6.2256270000000002E-2</v>
      </c>
      <c r="S4364">
        <v>-3.0733640000000002</v>
      </c>
      <c r="T4364">
        <v>-0.47333740000000002</v>
      </c>
      <c r="U4364">
        <v>5.4260250000000003E-2</v>
      </c>
      <c r="V4364">
        <v>-1.8691949999999999E-2</v>
      </c>
      <c r="W4364">
        <v>0.1218803</v>
      </c>
      <c r="X4364">
        <v>0.99236880000000005</v>
      </c>
      <c r="Y4364">
        <v>-6.2030349999999998E-2</v>
      </c>
      <c r="Z4364">
        <v>-1.7186389999999999E-2</v>
      </c>
      <c r="AA4364">
        <v>0.99792630000000004</v>
      </c>
      <c r="AB4364">
        <v>27</v>
      </c>
      <c r="AC4364">
        <v>-0.68549999999999001</v>
      </c>
      <c r="AD4364">
        <v>-0.14433969999999899</v>
      </c>
      <c r="AE4364">
        <v>-3.5999999999773899E-3</v>
      </c>
      <c r="AF4364">
        <v>-5.68168945086545E-2</v>
      </c>
      <c r="AG4364">
        <v>-0.14433969999999899</v>
      </c>
      <c r="AH4364">
        <v>0.65394416803159805</v>
      </c>
      <c r="AI4364">
        <v>102.40158997308799</v>
      </c>
      <c r="AJ4364">
        <v>94.965582731016198</v>
      </c>
      <c r="AK4364">
        <v>0.67209008577737295</v>
      </c>
      <c r="AL4364">
        <v>82.999367630153799</v>
      </c>
      <c r="AM4364">
        <v>91.079077877897305</v>
      </c>
      <c r="AN4364">
        <v>1.0000000158681599</v>
      </c>
    </row>
    <row r="4365" spans="1:40" x14ac:dyDescent="0.25">
      <c r="A4365" t="str">
        <f>"20190312151114462"</f>
        <v>20190312151114462</v>
      </c>
      <c r="B4365" t="str">
        <f>"1552374674455542"</f>
        <v>1552374674455542</v>
      </c>
      <c r="C4365" t="s">
        <v>40</v>
      </c>
      <c r="D4365">
        <v>5.0960460000000003</v>
      </c>
      <c r="E4365">
        <v>0.48589640000000001</v>
      </c>
      <c r="F4365" t="s">
        <v>41</v>
      </c>
      <c r="G4365">
        <v>-309.5521</v>
      </c>
      <c r="H4365">
        <v>0.96696510000000002</v>
      </c>
      <c r="I4365">
        <v>138.78479999999999</v>
      </c>
      <c r="J4365">
        <v>-308.90890000000002</v>
      </c>
      <c r="K4365">
        <v>1.1106180000000001</v>
      </c>
      <c r="L4365">
        <v>138.7919</v>
      </c>
      <c r="M4365">
        <v>-0.99664249999999999</v>
      </c>
      <c r="N4365">
        <v>0</v>
      </c>
      <c r="O4365">
        <v>8.0857449999999997E-2</v>
      </c>
      <c r="P4365">
        <v>-0.99225929999999996</v>
      </c>
      <c r="Q4365">
        <v>0.108483</v>
      </c>
      <c r="R4365">
        <v>6.0442410000000002E-2</v>
      </c>
      <c r="S4365">
        <v>-3.0731809999999999</v>
      </c>
      <c r="T4365">
        <v>-0.47682059999999998</v>
      </c>
      <c r="U4365">
        <v>5.1284789999999997E-2</v>
      </c>
      <c r="V4365">
        <v>-2.008041E-2</v>
      </c>
      <c r="W4365">
        <v>0.1212603</v>
      </c>
      <c r="X4365">
        <v>0.99241760000000001</v>
      </c>
      <c r="Y4365">
        <v>-6.2509209999999996E-2</v>
      </c>
      <c r="Z4365">
        <v>-1.727882E-2</v>
      </c>
      <c r="AA4365">
        <v>0.99789479999999997</v>
      </c>
      <c r="AB4365">
        <v>27</v>
      </c>
      <c r="AC4365">
        <v>-0.64319999999997801</v>
      </c>
      <c r="AD4365">
        <v>-0.1436529</v>
      </c>
      <c r="AE4365">
        <v>-7.1000000000083201E-3</v>
      </c>
      <c r="AF4365">
        <v>-5.6281525342064598E-2</v>
      </c>
      <c r="AG4365">
        <v>-0.1436529</v>
      </c>
      <c r="AH4365">
        <v>0.61009111209593603</v>
      </c>
      <c r="AI4365">
        <v>103.195543266033</v>
      </c>
      <c r="AJ4365">
        <v>95.270676100188396</v>
      </c>
      <c r="AK4365">
        <v>0.62929717211480896</v>
      </c>
      <c r="AL4365">
        <v>83.035156270562197</v>
      </c>
      <c r="AM4365">
        <v>91.159154947886805</v>
      </c>
      <c r="AN4365">
        <v>0.99999998800580903</v>
      </c>
    </row>
    <row r="4366" spans="1:40" x14ac:dyDescent="0.25">
      <c r="A4366" t="str">
        <f>"20190312151114484"</f>
        <v>20190312151114484</v>
      </c>
      <c r="B4366" t="str">
        <f>"1552374674475062"</f>
        <v>1552374674475062</v>
      </c>
      <c r="C4366" t="s">
        <v>40</v>
      </c>
      <c r="D4366">
        <v>5.0931860000000002</v>
      </c>
      <c r="E4366">
        <v>0.4859676</v>
      </c>
      <c r="F4366" t="s">
        <v>41</v>
      </c>
      <c r="G4366">
        <v>-309.79390000000001</v>
      </c>
      <c r="H4366">
        <v>0.97273829999999994</v>
      </c>
      <c r="I4366">
        <v>138.8056</v>
      </c>
      <c r="J4366">
        <v>-309.17899999999997</v>
      </c>
      <c r="K4366">
        <v>1.1106860000000001</v>
      </c>
      <c r="L4366">
        <v>138.8133</v>
      </c>
      <c r="M4366">
        <v>-0.99668650000000003</v>
      </c>
      <c r="N4366">
        <v>0</v>
      </c>
      <c r="O4366">
        <v>8.0317369999999999E-2</v>
      </c>
      <c r="P4366">
        <v>-0.99245799999999995</v>
      </c>
      <c r="Q4366">
        <v>0.107915899999999</v>
      </c>
      <c r="R4366">
        <v>5.8148709999999999E-2</v>
      </c>
      <c r="S4366">
        <v>-3.072937</v>
      </c>
      <c r="T4366">
        <v>-0.47883870000000001</v>
      </c>
      <c r="U4366">
        <v>4.653931E-2</v>
      </c>
      <c r="V4366">
        <v>-2.1866030000000002E-2</v>
      </c>
      <c r="W4366">
        <v>0.1206615</v>
      </c>
      <c r="X4366">
        <v>0.99245289999999997</v>
      </c>
      <c r="Y4366">
        <v>-6.3487569999999993E-2</v>
      </c>
      <c r="Z4366">
        <v>-1.7345180000000002E-2</v>
      </c>
      <c r="AA4366">
        <v>0.99783189999999999</v>
      </c>
      <c r="AB4366">
        <v>27</v>
      </c>
      <c r="AC4366">
        <v>-0.61489999999997702</v>
      </c>
      <c r="AD4366">
        <v>-0.13794770000000001</v>
      </c>
      <c r="AE4366">
        <v>-7.6999999999998103E-3</v>
      </c>
      <c r="AF4366">
        <v>-5.4332278218455397E-2</v>
      </c>
      <c r="AG4366">
        <v>-0.13794770000000001</v>
      </c>
      <c r="AH4366">
        <v>0.58295937162084199</v>
      </c>
      <c r="AI4366">
        <v>103.257796860686</v>
      </c>
      <c r="AJ4366">
        <v>95.324630611835701</v>
      </c>
      <c r="AK4366">
        <v>0.60151740901844597</v>
      </c>
      <c r="AL4366">
        <v>83.069719127890195</v>
      </c>
      <c r="AM4366">
        <v>91.262154178964707</v>
      </c>
      <c r="AN4366">
        <v>1.0000000397843001</v>
      </c>
    </row>
    <row r="4367" spans="1:40" x14ac:dyDescent="0.25">
      <c r="A4367" t="str">
        <f>"20190312151114508"</f>
        <v>20190312151114508</v>
      </c>
      <c r="B4367" t="str">
        <f>"1552374674505314"</f>
        <v>1552374674505314</v>
      </c>
      <c r="C4367" t="s">
        <v>40</v>
      </c>
      <c r="D4367">
        <v>5.0849409999999997</v>
      </c>
      <c r="E4367">
        <v>0.49159629999999999</v>
      </c>
      <c r="F4367" t="s">
        <v>41</v>
      </c>
      <c r="G4367">
        <v>-310.0351</v>
      </c>
      <c r="H4367">
        <v>0.97668219999999994</v>
      </c>
      <c r="I4367">
        <v>138.82470000000001</v>
      </c>
      <c r="J4367">
        <v>-309.45479999999998</v>
      </c>
      <c r="K4367">
        <v>1.110751</v>
      </c>
      <c r="L4367">
        <v>138.8348</v>
      </c>
      <c r="M4367">
        <v>-0.99673940000000005</v>
      </c>
      <c r="N4367">
        <v>0</v>
      </c>
      <c r="O4367">
        <v>7.9665680000000003E-2</v>
      </c>
      <c r="P4367">
        <v>-0.99259830000000004</v>
      </c>
      <c r="Q4367">
        <v>0.10769570000000001</v>
      </c>
      <c r="R4367">
        <v>5.6129060000000001E-2</v>
      </c>
      <c r="S4367">
        <v>-3.0727540000000002</v>
      </c>
      <c r="T4367">
        <v>-0.48110770000000003</v>
      </c>
      <c r="U4367">
        <v>4.040527E-2</v>
      </c>
      <c r="V4367">
        <v>-2.3260449999999998E-2</v>
      </c>
      <c r="W4367">
        <v>0.1203974</v>
      </c>
      <c r="X4367">
        <v>0.99245320000000004</v>
      </c>
      <c r="Y4367">
        <v>-6.4800899999999995E-2</v>
      </c>
      <c r="Z4367">
        <v>-1.7428929999999999E-2</v>
      </c>
      <c r="AA4367">
        <v>0.99774600000000002</v>
      </c>
      <c r="AB4367">
        <v>27</v>
      </c>
      <c r="AC4367">
        <v>-0.58030000000002202</v>
      </c>
      <c r="AD4367">
        <v>-0.13406879999999999</v>
      </c>
      <c r="AE4367">
        <v>-1.00999999999942E-2</v>
      </c>
      <c r="AF4367">
        <v>-5.3449588154479699E-2</v>
      </c>
      <c r="AG4367">
        <v>-0.13406879999999999</v>
      </c>
      <c r="AH4367">
        <v>0.54838840132052602</v>
      </c>
      <c r="AI4367">
        <v>103.675718218356</v>
      </c>
      <c r="AJ4367">
        <v>95.566845056354595</v>
      </c>
      <c r="AK4367">
        <v>0.56706361222547597</v>
      </c>
      <c r="AL4367">
        <v>83.084961570952601</v>
      </c>
      <c r="AM4367">
        <v>91.342614109389402</v>
      </c>
      <c r="AN4367">
        <v>0.99999996832560001</v>
      </c>
    </row>
    <row r="4368" spans="1:40" x14ac:dyDescent="0.25">
      <c r="A4368" t="str">
        <f>"20190312151114531"</f>
        <v>20190312151114531</v>
      </c>
      <c r="B4368" t="str">
        <f>"1552374674525813"</f>
        <v>1552374674525813</v>
      </c>
      <c r="C4368" t="s">
        <v>40</v>
      </c>
      <c r="D4368">
        <v>5.0790889999999997</v>
      </c>
      <c r="E4368">
        <v>0.49158459999999898</v>
      </c>
      <c r="F4368" t="s">
        <v>41</v>
      </c>
      <c r="G4368">
        <v>-310.28719999999998</v>
      </c>
      <c r="H4368">
        <v>1.00674</v>
      </c>
      <c r="I4368">
        <v>138.85759999999999</v>
      </c>
      <c r="J4368">
        <v>-309.72329999999999</v>
      </c>
      <c r="K4368">
        <v>1.1108049999999901</v>
      </c>
      <c r="L4368">
        <v>138.85550000000001</v>
      </c>
      <c r="M4368">
        <v>-0.99679759999999995</v>
      </c>
      <c r="N4368">
        <v>0</v>
      </c>
      <c r="O4368">
        <v>7.8941349999999993E-2</v>
      </c>
      <c r="P4368">
        <v>-0.99263570000000001</v>
      </c>
      <c r="Q4368">
        <v>0.1080779</v>
      </c>
      <c r="R4368">
        <v>5.4717210000000002E-2</v>
      </c>
      <c r="S4368">
        <v>-3.0592039999999998</v>
      </c>
      <c r="T4368">
        <v>-0.38245459999999998</v>
      </c>
      <c r="U4368">
        <v>8.2275390000000004E-2</v>
      </c>
      <c r="V4368">
        <v>-2.3968380000000001E-2</v>
      </c>
      <c r="W4368">
        <v>0.12073059999999999</v>
      </c>
      <c r="X4368">
        <v>0.9923959</v>
      </c>
      <c r="Y4368">
        <v>-5.1108319999999999E-2</v>
      </c>
      <c r="Z4368">
        <v>-1.30013E-2</v>
      </c>
      <c r="AA4368">
        <v>0.99860850000000001</v>
      </c>
      <c r="AB4368">
        <v>27</v>
      </c>
      <c r="AC4368">
        <v>-0.56389999999998897</v>
      </c>
      <c r="AD4368">
        <v>-0.10406499999999901</v>
      </c>
      <c r="AE4368">
        <v>2.0999999999844398E-3</v>
      </c>
      <c r="AF4368">
        <v>-4.1027940692205798E-2</v>
      </c>
      <c r="AG4368">
        <v>-0.10406499999999901</v>
      </c>
      <c r="AH4368">
        <v>0.54378629738422901</v>
      </c>
      <c r="AI4368">
        <v>100.803789984183</v>
      </c>
      <c r="AJ4368">
        <v>94.314714297504196</v>
      </c>
      <c r="AK4368">
        <v>0.55517236365411105</v>
      </c>
      <c r="AL4368">
        <v>83.065730498066799</v>
      </c>
      <c r="AM4368">
        <v>91.383540668500203</v>
      </c>
      <c r="AN4368">
        <v>0.999999991676497</v>
      </c>
    </row>
    <row r="4369" spans="1:40" x14ac:dyDescent="0.25">
      <c r="A4369" t="str">
        <f>"20190312151114552"</f>
        <v>20190312151114552</v>
      </c>
      <c r="B4369" t="str">
        <f>"1552374674545251"</f>
        <v>1552374674545251</v>
      </c>
      <c r="C4369" t="s">
        <v>40</v>
      </c>
      <c r="D4369">
        <v>5.0801550000000004</v>
      </c>
      <c r="E4369">
        <v>0.49184299999999997</v>
      </c>
      <c r="F4369" t="s">
        <v>41</v>
      </c>
      <c r="G4369">
        <v>-310.53129999999999</v>
      </c>
      <c r="H4369">
        <v>1.013439</v>
      </c>
      <c r="I4369">
        <v>138.87620000000001</v>
      </c>
      <c r="J4369">
        <v>-309.9803</v>
      </c>
      <c r="K4369">
        <v>1.1108549999999999</v>
      </c>
      <c r="L4369">
        <v>138.875</v>
      </c>
      <c r="M4369">
        <v>-0.99685849999999998</v>
      </c>
      <c r="N4369">
        <v>0</v>
      </c>
      <c r="O4369">
        <v>7.8174670000000002E-2</v>
      </c>
      <c r="P4369">
        <v>-0.99273929999999999</v>
      </c>
      <c r="Q4369">
        <v>0.1080453</v>
      </c>
      <c r="R4369">
        <v>5.2869699999999999E-2</v>
      </c>
      <c r="S4369">
        <v>-3.0581049999999999</v>
      </c>
      <c r="T4369">
        <v>-0.36854419999999999</v>
      </c>
      <c r="U4369">
        <v>7.7850340000000004E-2</v>
      </c>
      <c r="V4369">
        <v>-2.5070720000000001E-2</v>
      </c>
      <c r="W4369">
        <v>0.1206506</v>
      </c>
      <c r="X4369">
        <v>0.99237839999999999</v>
      </c>
      <c r="Y4369">
        <v>-5.1845879999999997E-2</v>
      </c>
      <c r="Z4369">
        <v>-1.2489200000000001E-2</v>
      </c>
      <c r="AA4369">
        <v>0.99857700000000005</v>
      </c>
      <c r="AB4369">
        <v>27</v>
      </c>
      <c r="AC4369">
        <v>-0.55099999999998694</v>
      </c>
      <c r="AD4369">
        <v>-9.7415999999999905E-2</v>
      </c>
      <c r="AE4369">
        <v>1.20000000001141E-3</v>
      </c>
      <c r="AF4369">
        <v>-4.06119705489816E-2</v>
      </c>
      <c r="AG4369">
        <v>-9.7415999999999905E-2</v>
      </c>
      <c r="AH4369">
        <v>0.53275468491862699</v>
      </c>
      <c r="AI4369">
        <v>100.33292056164299</v>
      </c>
      <c r="AJ4369">
        <v>94.359235128890106</v>
      </c>
      <c r="AK4369">
        <v>0.54310842702964701</v>
      </c>
      <c r="AL4369">
        <v>83.070347960727105</v>
      </c>
      <c r="AM4369">
        <v>91.447170723041694</v>
      </c>
      <c r="AN4369">
        <v>0.99999999853411903</v>
      </c>
    </row>
    <row r="4370" spans="1:40" x14ac:dyDescent="0.25">
      <c r="A4370" t="str">
        <f>"20190312151114574"</f>
        <v>20190312151114574</v>
      </c>
      <c r="B4370" t="str">
        <f>"1552374674565746"</f>
        <v>1552374674565746</v>
      </c>
      <c r="C4370" t="s">
        <v>40</v>
      </c>
      <c r="D4370">
        <v>5.0564660000000003</v>
      </c>
      <c r="E4370">
        <v>0.492199</v>
      </c>
      <c r="F4370" t="s">
        <v>41</v>
      </c>
      <c r="G4370">
        <v>-310.77390000000003</v>
      </c>
      <c r="H4370">
        <v>1.0178830000000001</v>
      </c>
      <c r="I4370">
        <v>138.8948</v>
      </c>
      <c r="J4370">
        <v>-310.2473</v>
      </c>
      <c r="K4370">
        <v>1.1108929999999999</v>
      </c>
      <c r="L4370">
        <v>138.89510000000001</v>
      </c>
      <c r="M4370">
        <v>-0.99692610000000004</v>
      </c>
      <c r="N4370">
        <v>0</v>
      </c>
      <c r="O4370">
        <v>7.7314759999999996E-2</v>
      </c>
      <c r="P4370">
        <v>-0.99286719999999895</v>
      </c>
      <c r="Q4370">
        <v>0.1077052</v>
      </c>
      <c r="R4370">
        <v>5.1131749999999997E-2</v>
      </c>
      <c r="S4370">
        <v>-3.057007</v>
      </c>
      <c r="T4370">
        <v>-0.35831649999999998</v>
      </c>
      <c r="U4370">
        <v>7.4600219999999995E-2</v>
      </c>
      <c r="V4370">
        <v>-2.5971029999999999E-2</v>
      </c>
      <c r="W4370">
        <v>0.12026249999999999</v>
      </c>
      <c r="X4370">
        <v>0.99240240000000002</v>
      </c>
      <c r="Y4370">
        <v>-5.2091030000000003E-2</v>
      </c>
      <c r="Z4370">
        <v>-1.206372E-2</v>
      </c>
      <c r="AA4370">
        <v>0.9985695</v>
      </c>
      <c r="AB4370">
        <v>27</v>
      </c>
      <c r="AC4370">
        <v>-0.52660000000003004</v>
      </c>
      <c r="AD4370">
        <v>-9.3009999999999995E-2</v>
      </c>
      <c r="AE4370">
        <v>-3.0000000000995799E-4</v>
      </c>
      <c r="AF4370">
        <v>-3.9775495706804699E-2</v>
      </c>
      <c r="AG4370">
        <v>-9.3009999999999995E-2</v>
      </c>
      <c r="AH4370">
        <v>0.50911790768186205</v>
      </c>
      <c r="AI4370">
        <v>100.322335190573</v>
      </c>
      <c r="AJ4370">
        <v>94.467232793799099</v>
      </c>
      <c r="AK4370">
        <v>0.51907031708727003</v>
      </c>
      <c r="AL4370">
        <v>83.092747864840405</v>
      </c>
      <c r="AM4370">
        <v>91.4990802620935</v>
      </c>
      <c r="AN4370">
        <v>1.00000004341563</v>
      </c>
    </row>
    <row r="4371" spans="1:40" x14ac:dyDescent="0.25">
      <c r="A4371" t="str">
        <f>"20190312151114596"</f>
        <v>20190312151114596</v>
      </c>
      <c r="B4371" t="str">
        <f>"1552374674585267"</f>
        <v>1552374674585267</v>
      </c>
      <c r="C4371" t="s">
        <v>40</v>
      </c>
      <c r="D4371">
        <v>5.0753519999999996</v>
      </c>
      <c r="E4371">
        <v>0.49251309999999898</v>
      </c>
      <c r="F4371" t="s">
        <v>41</v>
      </c>
      <c r="G4371">
        <v>-311.02530000000002</v>
      </c>
      <c r="H4371">
        <v>1.0205930000000001</v>
      </c>
      <c r="I4371">
        <v>138.91319999999999</v>
      </c>
      <c r="J4371">
        <v>-310.51549999999997</v>
      </c>
      <c r="K4371">
        <v>1.110919</v>
      </c>
      <c r="L4371">
        <v>138.91489999999999</v>
      </c>
      <c r="M4371">
        <v>-0.99699729999999998</v>
      </c>
      <c r="N4371">
        <v>0</v>
      </c>
      <c r="O4371">
        <v>7.6399499999999995E-2</v>
      </c>
      <c r="P4371">
        <v>-0.99299269999999995</v>
      </c>
      <c r="Q4371">
        <v>0.1072311</v>
      </c>
      <c r="R4371">
        <v>4.9667889999999999E-2</v>
      </c>
      <c r="S4371">
        <v>-3.056305</v>
      </c>
      <c r="T4371">
        <v>-0.35464230000000002</v>
      </c>
      <c r="U4371">
        <v>7.1685789999999999E-2</v>
      </c>
      <c r="V4371">
        <v>-2.6539159999999999E-2</v>
      </c>
      <c r="W4371">
        <v>0.1197351</v>
      </c>
      <c r="X4371">
        <v>0.99245110000000003</v>
      </c>
      <c r="Y4371">
        <v>-5.2143620000000002E-2</v>
      </c>
      <c r="Z4371">
        <v>-1.1841269999999999E-2</v>
      </c>
      <c r="AA4371">
        <v>0.99856940000000005</v>
      </c>
      <c r="AB4371">
        <v>27</v>
      </c>
      <c r="AC4371">
        <v>-0.509800000000041</v>
      </c>
      <c r="AD4371">
        <v>-9.0325999999999906E-2</v>
      </c>
      <c r="AE4371">
        <v>-1.6999999999995901E-3</v>
      </c>
      <c r="AF4371">
        <v>-3.94094546846094E-2</v>
      </c>
      <c r="AG4371">
        <v>-9.0325999999999906E-2</v>
      </c>
      <c r="AH4371">
        <v>0.49271256645419298</v>
      </c>
      <c r="AI4371">
        <v>100.35598145047901</v>
      </c>
      <c r="AJ4371">
        <v>94.573048806614395</v>
      </c>
      <c r="AK4371">
        <v>0.50247145643948399</v>
      </c>
      <c r="AL4371">
        <v>83.123185324398406</v>
      </c>
      <c r="AM4371">
        <v>91.531782843632499</v>
      </c>
      <c r="AN4371">
        <v>1.00000000353836</v>
      </c>
    </row>
    <row r="4372" spans="1:40" x14ac:dyDescent="0.25">
      <c r="A4372" t="str">
        <f>"20190312151114619"</f>
        <v>20190312151114619</v>
      </c>
      <c r="B4372" t="str">
        <f>"1552374674615524"</f>
        <v>1552374674615524</v>
      </c>
      <c r="C4372" t="s">
        <v>40</v>
      </c>
      <c r="D4372">
        <v>5.0708710000000004</v>
      </c>
      <c r="E4372">
        <v>0.49269230000000003</v>
      </c>
      <c r="F4372" t="s">
        <v>42</v>
      </c>
      <c r="G4372">
        <v>-320.21820000000002</v>
      </c>
      <c r="H4372" s="1">
        <v>-4.2638989999999997E-6</v>
      </c>
      <c r="I4372">
        <v>139.13579999999999</v>
      </c>
      <c r="J4372">
        <v>-310.77730000000003</v>
      </c>
      <c r="K4372">
        <v>1.110935</v>
      </c>
      <c r="L4372">
        <v>138.93389999999999</v>
      </c>
      <c r="M4372">
        <v>-0.99706879999999998</v>
      </c>
      <c r="N4372">
        <v>0</v>
      </c>
      <c r="O4372">
        <v>7.5471289999999996E-2</v>
      </c>
      <c r="P4372">
        <v>-0.99304150000000002</v>
      </c>
      <c r="Q4372">
        <v>0.1073718</v>
      </c>
      <c r="R4372">
        <v>4.8372970000000001E-2</v>
      </c>
      <c r="S4372">
        <v>-3.0555110000000001</v>
      </c>
      <c r="T4372">
        <v>-0.34984559999999998</v>
      </c>
      <c r="U4372">
        <v>6.9595340000000006E-2</v>
      </c>
      <c r="V4372">
        <v>-2.691605E-2</v>
      </c>
      <c r="W4372">
        <v>0.11981989999999899</v>
      </c>
      <c r="X4372">
        <v>0.9924307</v>
      </c>
      <c r="Y4372">
        <v>-5.1920710000000002E-2</v>
      </c>
      <c r="Z4372">
        <v>-1.156694E-2</v>
      </c>
      <c r="AA4372">
        <v>0.99858420000000003</v>
      </c>
      <c r="AB4372">
        <v>27</v>
      </c>
      <c r="AC4372">
        <v>-9.4408999999999992</v>
      </c>
      <c r="AD4372">
        <v>-1.1109392638989899</v>
      </c>
      <c r="AE4372">
        <v>0.201899999999994</v>
      </c>
      <c r="AF4372">
        <v>-0.50426967347756202</v>
      </c>
      <c r="AG4372">
        <v>-1.1109392638989899</v>
      </c>
      <c r="AH4372">
        <v>9.3004845296151402</v>
      </c>
      <c r="AI4372">
        <v>96.801787378560803</v>
      </c>
      <c r="AJ4372">
        <v>93.1035223200616</v>
      </c>
      <c r="AK4372">
        <v>9.3801645207998394</v>
      </c>
      <c r="AL4372">
        <v>83.118291304082803</v>
      </c>
      <c r="AM4372">
        <v>91.553557450730906</v>
      </c>
      <c r="AN4372">
        <v>0.99999998824305103</v>
      </c>
    </row>
    <row r="4373" spans="1:40" x14ac:dyDescent="0.25">
      <c r="A4373" t="str">
        <f>"20190312151114641"</f>
        <v>20190312151114641</v>
      </c>
      <c r="B4373" t="str">
        <f>"1552374674635057"</f>
        <v>1552374674635057</v>
      </c>
      <c r="C4373" t="s">
        <v>40</v>
      </c>
      <c r="D4373">
        <v>5.0626220000000002</v>
      </c>
      <c r="E4373">
        <v>0.49280639999999998</v>
      </c>
      <c r="F4373" t="s">
        <v>41</v>
      </c>
      <c r="G4373">
        <v>-311.72239999999999</v>
      </c>
      <c r="H4373">
        <v>1.00447</v>
      </c>
      <c r="I4373">
        <v>138.95500000000001</v>
      </c>
      <c r="J4373">
        <v>-311.04739999999998</v>
      </c>
      <c r="K4373">
        <v>1.110946</v>
      </c>
      <c r="L4373">
        <v>138.95320000000001</v>
      </c>
      <c r="M4373">
        <v>-0.99714309999999995</v>
      </c>
      <c r="N4373">
        <v>0</v>
      </c>
      <c r="O4373">
        <v>7.4491569999999993E-2</v>
      </c>
      <c r="P4373">
        <v>-0.99309499999999995</v>
      </c>
      <c r="Q4373">
        <v>0.10729859999999999</v>
      </c>
      <c r="R4373">
        <v>4.7431809999999998E-2</v>
      </c>
      <c r="S4373">
        <v>-3.0549620000000002</v>
      </c>
      <c r="T4373">
        <v>-0.34428779999999998</v>
      </c>
      <c r="U4373">
        <v>6.7398070000000004E-2</v>
      </c>
      <c r="V4373">
        <v>-2.6884760000000001E-2</v>
      </c>
      <c r="W4373">
        <v>0.11969489999999899</v>
      </c>
      <c r="X4373">
        <v>0.99244670000000001</v>
      </c>
      <c r="Y4373">
        <v>-5.1686679999999999E-2</v>
      </c>
      <c r="Z4373">
        <v>-1.12636E-2</v>
      </c>
      <c r="AA4373">
        <v>0.99859980000000004</v>
      </c>
      <c r="AB4373">
        <v>27</v>
      </c>
      <c r="AC4373">
        <v>-0.67500000000001104</v>
      </c>
      <c r="AD4373">
        <v>-0.106476</v>
      </c>
      <c r="AE4373">
        <v>1.8000000000029099E-3</v>
      </c>
      <c r="AF4373">
        <v>-4.7313475880714301E-2</v>
      </c>
      <c r="AG4373">
        <v>-0.106476</v>
      </c>
      <c r="AH4373">
        <v>0.65691282193300904</v>
      </c>
      <c r="AI4373">
        <v>99.183361489159694</v>
      </c>
      <c r="AJ4373">
        <v>94.119556562700694</v>
      </c>
      <c r="AK4373">
        <v>0.66716576590522403</v>
      </c>
      <c r="AL4373">
        <v>83.125505660806795</v>
      </c>
      <c r="AM4373">
        <v>91.551727313649195</v>
      </c>
      <c r="AN4373">
        <v>1.00000005587357</v>
      </c>
    </row>
    <row r="4374" spans="1:40" x14ac:dyDescent="0.25">
      <c r="A4374" t="str">
        <f>"20190312151114664"</f>
        <v>20190312151114664</v>
      </c>
      <c r="B4374" t="str">
        <f>"1552374674655539"</f>
        <v>1552374674655539</v>
      </c>
      <c r="C4374" t="s">
        <v>40</v>
      </c>
      <c r="D4374">
        <v>5.0350409999999997</v>
      </c>
      <c r="E4374">
        <v>0.49285909999999999</v>
      </c>
      <c r="F4374" t="s">
        <v>41</v>
      </c>
      <c r="G4374">
        <v>-311.96350000000001</v>
      </c>
      <c r="H4374">
        <v>1.0078659999999999</v>
      </c>
      <c r="I4374">
        <v>138.97280000000001</v>
      </c>
      <c r="J4374">
        <v>-311.32139999999998</v>
      </c>
      <c r="K4374">
        <v>1.110943</v>
      </c>
      <c r="L4374">
        <v>138.9725</v>
      </c>
      <c r="M4374">
        <v>-0.99721780000000004</v>
      </c>
      <c r="N4374">
        <v>0</v>
      </c>
      <c r="O4374">
        <v>7.3490150000000004E-2</v>
      </c>
      <c r="P4374">
        <v>-0.99315169999999997</v>
      </c>
      <c r="Q4374">
        <v>0.1071271</v>
      </c>
      <c r="R4374">
        <v>4.6622039999999997E-2</v>
      </c>
      <c r="S4374">
        <v>-3.0549010000000001</v>
      </c>
      <c r="T4374">
        <v>-0.34371289999999999</v>
      </c>
      <c r="U4374">
        <v>6.536865E-2</v>
      </c>
      <c r="V4374">
        <v>-2.6699000000000001E-2</v>
      </c>
      <c r="W4374">
        <v>0.1194776</v>
      </c>
      <c r="X4374">
        <v>0.99247779999999997</v>
      </c>
      <c r="Y4374">
        <v>-5.1357380000000001E-2</v>
      </c>
      <c r="Z4374">
        <v>-1.111476E-2</v>
      </c>
      <c r="AA4374">
        <v>0.99861849999999996</v>
      </c>
      <c r="AB4374">
        <v>27</v>
      </c>
      <c r="AC4374">
        <v>-0.64210000000002698</v>
      </c>
      <c r="AD4374">
        <v>-0.103077</v>
      </c>
      <c r="AE4374">
        <v>3.0000000000995799E-4</v>
      </c>
      <c r="AF4374">
        <v>-4.5714443183232902E-2</v>
      </c>
      <c r="AG4374">
        <v>-0.103077</v>
      </c>
      <c r="AH4374">
        <v>0.62429722660320397</v>
      </c>
      <c r="AI4374">
        <v>99.350864544320999</v>
      </c>
      <c r="AJ4374">
        <v>94.1880343460261</v>
      </c>
      <c r="AK4374">
        <v>0.63439869592315901</v>
      </c>
      <c r="AL4374">
        <v>83.138045353579798</v>
      </c>
      <c r="AM4374">
        <v>91.540962590535699</v>
      </c>
      <c r="AN4374">
        <v>0.99999995849779899</v>
      </c>
    </row>
    <row r="4375" spans="1:40" x14ac:dyDescent="0.25">
      <c r="A4375" t="str">
        <f>"20190312151114686"</f>
        <v>20190312151114686</v>
      </c>
      <c r="B4375" t="str">
        <f>"1552374674675059"</f>
        <v>1552374674675059</v>
      </c>
      <c r="C4375" t="s">
        <v>40</v>
      </c>
      <c r="D4375">
        <v>5.0534619999999997</v>
      </c>
      <c r="E4375">
        <v>0.49293520000000002</v>
      </c>
      <c r="F4375" t="s">
        <v>41</v>
      </c>
      <c r="G4375">
        <v>-312.2047</v>
      </c>
      <c r="H4375">
        <v>1.01163</v>
      </c>
      <c r="I4375">
        <v>138.99100000000001</v>
      </c>
      <c r="J4375">
        <v>-311.58479999999997</v>
      </c>
      <c r="K4375">
        <v>1.1109370000000001</v>
      </c>
      <c r="L4375">
        <v>138.99090000000001</v>
      </c>
      <c r="M4375">
        <v>-0.99728870000000003</v>
      </c>
      <c r="N4375">
        <v>0</v>
      </c>
      <c r="O4375">
        <v>7.2530020000000001E-2</v>
      </c>
      <c r="P4375">
        <v>-0.99321740000000003</v>
      </c>
      <c r="Q4375">
        <v>0.1067839</v>
      </c>
      <c r="R4375">
        <v>4.6004820000000002E-2</v>
      </c>
      <c r="S4375">
        <v>-3.0547789999999999</v>
      </c>
      <c r="T4375">
        <v>-0.34352909999999998</v>
      </c>
      <c r="U4375">
        <v>6.3339229999999996E-2</v>
      </c>
      <c r="V4375">
        <v>-2.6360910000000001E-2</v>
      </c>
      <c r="W4375">
        <v>0.1190922</v>
      </c>
      <c r="X4375">
        <v>0.9925332</v>
      </c>
      <c r="Y4375">
        <v>-5.1066750000000001E-2</v>
      </c>
      <c r="Z4375">
        <v>-1.0985750000000001E-2</v>
      </c>
      <c r="AA4375">
        <v>0.99863480000000004</v>
      </c>
      <c r="AB4375">
        <v>27</v>
      </c>
      <c r="AC4375">
        <v>-0.61990000000002898</v>
      </c>
      <c r="AD4375">
        <v>-9.9307000000000006E-2</v>
      </c>
      <c r="AE4375">
        <v>1.0000000000331901E-4</v>
      </c>
      <c r="AF4375">
        <v>-4.37425123440311E-2</v>
      </c>
      <c r="AG4375">
        <v>-9.9307000000000006E-2</v>
      </c>
      <c r="AH4375">
        <v>0.60280424011605804</v>
      </c>
      <c r="AI4375">
        <v>99.330876369848497</v>
      </c>
      <c r="AJ4375">
        <v>94.150395703679607</v>
      </c>
      <c r="AK4375">
        <v>0.61249346081167699</v>
      </c>
      <c r="AL4375">
        <v>83.160286239175804</v>
      </c>
      <c r="AM4375">
        <v>91.521373696277493</v>
      </c>
      <c r="AN4375">
        <v>1.00000000138955</v>
      </c>
    </row>
    <row r="4376" spans="1:40" x14ac:dyDescent="0.25">
      <c r="A4376" t="str">
        <f>"20190312151114710"</f>
        <v>20190312151114710</v>
      </c>
      <c r="B4376" t="str">
        <f>"1552374674705315"</f>
        <v>1552374674705315</v>
      </c>
      <c r="C4376" t="s">
        <v>40</v>
      </c>
      <c r="D4376">
        <v>5.0470610000000002</v>
      </c>
      <c r="E4376">
        <v>0.4930717</v>
      </c>
      <c r="F4376" t="s">
        <v>41</v>
      </c>
      <c r="G4376">
        <v>-312.44529999999997</v>
      </c>
      <c r="H4376">
        <v>1.014232</v>
      </c>
      <c r="I4376">
        <v>139.0085</v>
      </c>
      <c r="J4376">
        <v>-311.86320000000001</v>
      </c>
      <c r="K4376">
        <v>1.110922</v>
      </c>
      <c r="L4376">
        <v>139.00989999999999</v>
      </c>
      <c r="M4376">
        <v>-0.99736190000000002</v>
      </c>
      <c r="N4376">
        <v>0</v>
      </c>
      <c r="O4376">
        <v>7.1524399999999905E-2</v>
      </c>
      <c r="P4376">
        <v>-0.99330050000000003</v>
      </c>
      <c r="Q4376">
        <v>0.1063757</v>
      </c>
      <c r="R4376">
        <v>4.5148180000000003E-2</v>
      </c>
      <c r="S4376">
        <v>-3.054535</v>
      </c>
      <c r="T4376">
        <v>-0.3433852</v>
      </c>
      <c r="U4376">
        <v>6.2179570000000003E-2</v>
      </c>
      <c r="V4376">
        <v>-2.6217520000000001E-2</v>
      </c>
      <c r="W4376">
        <v>0.1186386</v>
      </c>
      <c r="X4376">
        <v>0.99259129999999995</v>
      </c>
      <c r="Y4376">
        <v>-5.0447770000000003E-2</v>
      </c>
      <c r="Z4376">
        <v>-1.0835010000000001E-2</v>
      </c>
      <c r="AA4376">
        <v>0.99866790000000005</v>
      </c>
      <c r="AB4376">
        <v>27</v>
      </c>
      <c r="AC4376">
        <v>-0.58209999999996798</v>
      </c>
      <c r="AD4376">
        <v>-9.6689999999999901E-2</v>
      </c>
      <c r="AE4376">
        <v>-1.39999999998963E-3</v>
      </c>
      <c r="AF4376">
        <v>-4.1878498645683999E-2</v>
      </c>
      <c r="AG4376">
        <v>-9.6689999999999901E-2</v>
      </c>
      <c r="AH4376">
        <v>0.56492209126108495</v>
      </c>
      <c r="AI4376">
        <v>99.6863521895133</v>
      </c>
      <c r="AJ4376">
        <v>94.239664736804798</v>
      </c>
      <c r="AK4376">
        <v>0.57466488838593099</v>
      </c>
      <c r="AL4376">
        <v>83.186461044710896</v>
      </c>
      <c r="AM4376">
        <v>91.513013525250301</v>
      </c>
      <c r="AN4376">
        <v>0.99999998230029996</v>
      </c>
    </row>
    <row r="4377" spans="1:40" x14ac:dyDescent="0.25">
      <c r="A4377" t="str">
        <f>"20190312151114732"</f>
        <v>20190312151114732</v>
      </c>
      <c r="B4377" t="str">
        <f>"1552374674725812"</f>
        <v>1552374674725812</v>
      </c>
      <c r="C4377" t="s">
        <v>40</v>
      </c>
      <c r="D4377">
        <v>5.0352059999999996</v>
      </c>
      <c r="E4377">
        <v>0.49314720000000001</v>
      </c>
      <c r="F4377" t="s">
        <v>41</v>
      </c>
      <c r="G4377">
        <v>-312.6875</v>
      </c>
      <c r="H4377">
        <v>1.0187889999999999</v>
      </c>
      <c r="I4377">
        <v>139.0265</v>
      </c>
      <c r="J4377">
        <v>-312.13150000000002</v>
      </c>
      <c r="K4377">
        <v>1.110919</v>
      </c>
      <c r="L4377">
        <v>139.02809999999999</v>
      </c>
      <c r="M4377">
        <v>-0.99743090000000001</v>
      </c>
      <c r="N4377">
        <v>0</v>
      </c>
      <c r="O4377">
        <v>7.0563699999999993E-2</v>
      </c>
      <c r="P4377">
        <v>-0.99331559999999997</v>
      </c>
      <c r="Q4377">
        <v>0.1067562</v>
      </c>
      <c r="R4377">
        <v>4.3898810000000003E-2</v>
      </c>
      <c r="S4377">
        <v>-3.0541079999999998</v>
      </c>
      <c r="T4377">
        <v>-0.3414973</v>
      </c>
      <c r="U4377">
        <v>6.0333249999999998E-2</v>
      </c>
      <c r="V4377">
        <v>-2.6506579999999998E-2</v>
      </c>
      <c r="W4377">
        <v>0.11897430000000001</v>
      </c>
      <c r="X4377">
        <v>0.99254350000000002</v>
      </c>
      <c r="Y4377">
        <v>-5.01027E-2</v>
      </c>
      <c r="Z4377">
        <v>-1.065134E-2</v>
      </c>
      <c r="AA4377">
        <v>0.99868729999999994</v>
      </c>
      <c r="AB4377">
        <v>27</v>
      </c>
      <c r="AC4377">
        <v>-0.55599999999998295</v>
      </c>
      <c r="AD4377">
        <v>-9.2130000000000004E-2</v>
      </c>
      <c r="AE4377">
        <v>-1.59999999999627E-3</v>
      </c>
      <c r="AF4377">
        <v>-3.9741252244238398E-2</v>
      </c>
      <c r="AG4377">
        <v>-9.2130000000000004E-2</v>
      </c>
      <c r="AH4377">
        <v>0.539682987878502</v>
      </c>
      <c r="AI4377">
        <v>99.661986126632698</v>
      </c>
      <c r="AJ4377">
        <v>94.211553208711393</v>
      </c>
      <c r="AK4377">
        <v>0.54893080751166401</v>
      </c>
      <c r="AL4377">
        <v>83.167090055699404</v>
      </c>
      <c r="AM4377">
        <v>91.529760933454895</v>
      </c>
      <c r="AN4377">
        <v>1.0000000411180101</v>
      </c>
    </row>
    <row r="4378" spans="1:40" x14ac:dyDescent="0.25">
      <c r="A4378" t="str">
        <f>"20190312151114754"</f>
        <v>20190312151114754</v>
      </c>
      <c r="B4378" t="str">
        <f>"1552374674745837"</f>
        <v>1552374674745837</v>
      </c>
      <c r="C4378" t="s">
        <v>40</v>
      </c>
      <c r="D4378">
        <v>5.0158129999999996</v>
      </c>
      <c r="E4378">
        <v>0.49320370000000002</v>
      </c>
      <c r="F4378" t="s">
        <v>42</v>
      </c>
      <c r="G4378">
        <v>-322.14609999999999</v>
      </c>
      <c r="H4378" s="1">
        <v>-3.4230960000000002E-6</v>
      </c>
      <c r="I4378">
        <v>139.2133</v>
      </c>
      <c r="J4378">
        <v>-312.39609999999999</v>
      </c>
      <c r="K4378">
        <v>1.1109089999999999</v>
      </c>
      <c r="L4378">
        <v>139.04570000000001</v>
      </c>
      <c r="M4378">
        <v>-0.99749739999999998</v>
      </c>
      <c r="N4378">
        <v>0</v>
      </c>
      <c r="O4378">
        <v>6.9624610000000003E-2</v>
      </c>
      <c r="P4378">
        <v>-0.99334840000000002</v>
      </c>
      <c r="Q4378">
        <v>0.1070962</v>
      </c>
      <c r="R4378">
        <v>4.2301760000000001E-2</v>
      </c>
      <c r="S4378">
        <v>-3.0541079999999998</v>
      </c>
      <c r="T4378">
        <v>-0.33879579999999998</v>
      </c>
      <c r="U4378">
        <v>5.6488040000000003E-2</v>
      </c>
      <c r="V4378">
        <v>-2.7165350000000001E-2</v>
      </c>
      <c r="W4378">
        <v>0.11927400000000001</v>
      </c>
      <c r="X4378">
        <v>0.99248970000000003</v>
      </c>
      <c r="Y4378">
        <v>-5.043479E-2</v>
      </c>
      <c r="Z4378">
        <v>-1.048253E-2</v>
      </c>
      <c r="AA4378">
        <v>0.99867240000000002</v>
      </c>
      <c r="AB4378">
        <v>27</v>
      </c>
      <c r="AC4378">
        <v>-9.75</v>
      </c>
      <c r="AD4378">
        <v>-1.1109124230959999</v>
      </c>
      <c r="AE4378">
        <v>0.167599999999993</v>
      </c>
      <c r="AF4378">
        <v>-0.50514215633887105</v>
      </c>
      <c r="AG4378">
        <v>-1.1109124230959999</v>
      </c>
      <c r="AH4378">
        <v>9.6132409301787192</v>
      </c>
      <c r="AI4378">
        <v>96.582896297286695</v>
      </c>
      <c r="AJ4378">
        <v>93.007926235071196</v>
      </c>
      <c r="AK4378">
        <v>9.6903919524218995</v>
      </c>
      <c r="AL4378">
        <v>83.149795243966807</v>
      </c>
      <c r="AM4378">
        <v>91.567846392619799</v>
      </c>
      <c r="AN4378">
        <v>1.00000002396135</v>
      </c>
    </row>
    <row r="4379" spans="1:40" x14ac:dyDescent="0.25">
      <c r="A4379" t="str">
        <f>"20190312151114776"</f>
        <v>20190312151114776</v>
      </c>
      <c r="B4379" t="str">
        <f>"1552374674765357"</f>
        <v>1552374674765357</v>
      </c>
      <c r="C4379" t="s">
        <v>40</v>
      </c>
      <c r="D4379">
        <v>5.0250019999999997</v>
      </c>
      <c r="E4379">
        <v>0.49327389999999999</v>
      </c>
      <c r="F4379" t="s">
        <v>42</v>
      </c>
      <c r="G4379">
        <v>-322.45460000000003</v>
      </c>
      <c r="H4379" s="1">
        <v>-3.290151E-6</v>
      </c>
      <c r="I4379">
        <v>139.2167</v>
      </c>
      <c r="J4379">
        <v>-312.65410000000003</v>
      </c>
      <c r="K4379">
        <v>1.1109</v>
      </c>
      <c r="L4379">
        <v>139.06270000000001</v>
      </c>
      <c r="M4379">
        <v>-0.99756069999999997</v>
      </c>
      <c r="N4379">
        <v>0</v>
      </c>
      <c r="O4379">
        <v>6.8718399999999999E-2</v>
      </c>
      <c r="P4379">
        <v>-0.99341769999999996</v>
      </c>
      <c r="Q4379">
        <v>0.1073046</v>
      </c>
      <c r="R4379">
        <v>4.0089909999999999E-2</v>
      </c>
      <c r="S4379">
        <v>-3.0541990000000001</v>
      </c>
      <c r="T4379">
        <v>-0.3373255</v>
      </c>
      <c r="U4379">
        <v>5.1925659999999998E-2</v>
      </c>
      <c r="V4379">
        <v>-2.8472339999999999E-2</v>
      </c>
      <c r="W4379">
        <v>0.11944630000000001</v>
      </c>
      <c r="X4379">
        <v>0.99243230000000004</v>
      </c>
      <c r="Y4379">
        <v>-5.1027629999999997E-2</v>
      </c>
      <c r="Z4379">
        <v>-1.0370300000000001E-2</v>
      </c>
      <c r="AA4379">
        <v>0.99864339999999996</v>
      </c>
      <c r="AB4379">
        <v>27</v>
      </c>
      <c r="AC4379">
        <v>-9.8004999999999995</v>
      </c>
      <c r="AD4379">
        <v>-1.1109032901510001</v>
      </c>
      <c r="AE4379">
        <v>0.153999999999996</v>
      </c>
      <c r="AF4379">
        <v>-0.51329592716551797</v>
      </c>
      <c r="AG4379">
        <v>-1.1109032901510001</v>
      </c>
      <c r="AH4379">
        <v>9.6637770843392694</v>
      </c>
      <c r="AI4379">
        <v>96.548523277493004</v>
      </c>
      <c r="AJ4379">
        <v>93.040434330700805</v>
      </c>
      <c r="AK4379">
        <v>9.7409530521768701</v>
      </c>
      <c r="AL4379">
        <v>83.139851804727101</v>
      </c>
      <c r="AM4379">
        <v>91.643333814718801</v>
      </c>
      <c r="AN4379">
        <v>0.99999998140602697</v>
      </c>
    </row>
    <row r="4380" spans="1:40" x14ac:dyDescent="0.25">
      <c r="A4380" t="str">
        <f>"20190312151114797"</f>
        <v>20190312151114797</v>
      </c>
      <c r="B4380" t="str">
        <f>"1552374674785853"</f>
        <v>1552374674785853</v>
      </c>
      <c r="C4380" t="s">
        <v>40</v>
      </c>
      <c r="D4380">
        <v>5.0147449999999996</v>
      </c>
      <c r="E4380">
        <v>0.49340020000000001</v>
      </c>
      <c r="F4380" t="s">
        <v>42</v>
      </c>
      <c r="G4380">
        <v>-322.75040000000001</v>
      </c>
      <c r="H4380" s="1">
        <v>-3.163474E-6</v>
      </c>
      <c r="I4380">
        <v>139.21539999999999</v>
      </c>
      <c r="J4380">
        <v>-312.91879999999998</v>
      </c>
      <c r="K4380">
        <v>1.110884</v>
      </c>
      <c r="L4380">
        <v>139.07990000000001</v>
      </c>
      <c r="M4380">
        <v>-0.9976237</v>
      </c>
      <c r="N4380">
        <v>0</v>
      </c>
      <c r="O4380">
        <v>6.7802340000000003E-2</v>
      </c>
      <c r="P4380">
        <v>-0.99348150000000002</v>
      </c>
      <c r="Q4380">
        <v>0.1075951</v>
      </c>
      <c r="R4380">
        <v>3.7656469999999997E-2</v>
      </c>
      <c r="S4380">
        <v>-3.0543209999999998</v>
      </c>
      <c r="T4380">
        <v>-0.336072599999999</v>
      </c>
      <c r="U4380">
        <v>4.6218870000000002E-2</v>
      </c>
      <c r="V4380">
        <v>-2.9989490000000001E-2</v>
      </c>
      <c r="W4380">
        <v>0.1197025</v>
      </c>
      <c r="X4380">
        <v>0.99235680000000004</v>
      </c>
      <c r="Y4380">
        <v>-5.1981779999999998E-2</v>
      </c>
      <c r="Z4380">
        <v>-1.028392E-2</v>
      </c>
      <c r="AA4380">
        <v>0.99859509999999996</v>
      </c>
      <c r="AB4380">
        <v>27</v>
      </c>
      <c r="AC4380">
        <v>-9.8316000000000301</v>
      </c>
      <c r="AD4380">
        <v>-1.1108871634739901</v>
      </c>
      <c r="AE4380">
        <v>0.135499999999979</v>
      </c>
      <c r="AF4380">
        <v>-0.52476879042089797</v>
      </c>
      <c r="AG4380">
        <v>-1.1108871634739901</v>
      </c>
      <c r="AH4380">
        <v>9.6944139442928297</v>
      </c>
      <c r="AI4380">
        <v>96.527561795149197</v>
      </c>
      <c r="AJ4380">
        <v>93.098456639675803</v>
      </c>
      <c r="AK4380">
        <v>9.7719555001376506</v>
      </c>
      <c r="AL4380">
        <v>83.125066937813202</v>
      </c>
      <c r="AM4380">
        <v>91.730978623223905</v>
      </c>
      <c r="AN4380">
        <v>1.00000003826147</v>
      </c>
    </row>
    <row r="4381" spans="1:40" x14ac:dyDescent="0.25">
      <c r="A4381" t="str">
        <f>"20190312151114820"</f>
        <v>20190312151114820</v>
      </c>
      <c r="B4381" t="str">
        <f>"1552374674815134"</f>
        <v>1552374674815134</v>
      </c>
      <c r="C4381" t="s">
        <v>40</v>
      </c>
      <c r="D4381">
        <v>5.0335109999999998</v>
      </c>
      <c r="E4381">
        <v>0.49353720000000001</v>
      </c>
      <c r="F4381" t="s">
        <v>42</v>
      </c>
      <c r="G4381">
        <v>-323.07339999999999</v>
      </c>
      <c r="H4381" s="1">
        <v>-3.025183E-6</v>
      </c>
      <c r="I4381">
        <v>139.214</v>
      </c>
      <c r="J4381">
        <v>-313.17849999999999</v>
      </c>
      <c r="K4381">
        <v>1.1108709999999999</v>
      </c>
      <c r="L4381">
        <v>139.09649999999999</v>
      </c>
      <c r="M4381">
        <v>-0.9976834</v>
      </c>
      <c r="N4381">
        <v>0</v>
      </c>
      <c r="O4381">
        <v>6.6923159999999995E-2</v>
      </c>
      <c r="P4381">
        <v>-0.99356540000000004</v>
      </c>
      <c r="Q4381">
        <v>0.10738590000000001</v>
      </c>
      <c r="R4381">
        <v>3.600685E-2</v>
      </c>
      <c r="S4381">
        <v>-3.0543209999999998</v>
      </c>
      <c r="T4381">
        <v>-0.33413929999999997</v>
      </c>
      <c r="U4381">
        <v>4.03595E-2</v>
      </c>
      <c r="V4381">
        <v>-3.0761199999999999E-2</v>
      </c>
      <c r="W4381">
        <v>0.11946569999999999</v>
      </c>
      <c r="X4381">
        <v>0.99236170000000001</v>
      </c>
      <c r="Y4381">
        <v>-5.3024250000000002E-2</v>
      </c>
      <c r="Z4381">
        <v>-1.0186499999999999E-2</v>
      </c>
      <c r="AA4381">
        <v>0.99854129999999997</v>
      </c>
      <c r="AB4381">
        <v>27</v>
      </c>
      <c r="AC4381">
        <v>-9.8948999999999998</v>
      </c>
      <c r="AD4381">
        <v>-1.110874025183</v>
      </c>
      <c r="AE4381">
        <v>0.117500000000006</v>
      </c>
      <c r="AF4381">
        <v>-0.53822797093664299</v>
      </c>
      <c r="AG4381">
        <v>-1.110874025183</v>
      </c>
      <c r="AH4381">
        <v>9.7576105555067194</v>
      </c>
      <c r="AI4381">
        <v>96.485209984048495</v>
      </c>
      <c r="AJ4381">
        <v>93.157224999280203</v>
      </c>
      <c r="AK4381">
        <v>9.8353797182142895</v>
      </c>
      <c r="AL4381">
        <v>83.138732545483606</v>
      </c>
      <c r="AM4381">
        <v>91.775484431279395</v>
      </c>
      <c r="AN4381">
        <v>1.0000000242644</v>
      </c>
    </row>
    <row r="4382" spans="1:40" x14ac:dyDescent="0.25">
      <c r="A4382" t="str">
        <f>"20190312151114842"</f>
        <v>20190312151114842</v>
      </c>
      <c r="B4382" t="str">
        <f>"1552374674835634"</f>
        <v>1552374674835634</v>
      </c>
      <c r="C4382" t="s">
        <v>40</v>
      </c>
      <c r="D4382">
        <v>5.0231859999999999</v>
      </c>
      <c r="E4382">
        <v>0.49371199999999998</v>
      </c>
      <c r="F4382" t="s">
        <v>41</v>
      </c>
      <c r="G4382">
        <v>-314.11779999999999</v>
      </c>
      <c r="H4382">
        <v>1.008764</v>
      </c>
      <c r="I4382">
        <v>139.10810000000001</v>
      </c>
      <c r="J4382">
        <v>-313.45499999999998</v>
      </c>
      <c r="K4382">
        <v>1.1108499999999999</v>
      </c>
      <c r="L4382">
        <v>139.114</v>
      </c>
      <c r="M4382">
        <v>-0.99774450000000003</v>
      </c>
      <c r="N4382">
        <v>0</v>
      </c>
      <c r="O4382">
        <v>6.6011379999999995E-2</v>
      </c>
      <c r="P4382">
        <v>-0.99368440000000002</v>
      </c>
      <c r="Q4382">
        <v>0.106908</v>
      </c>
      <c r="R4382">
        <v>3.4094859999999998E-2</v>
      </c>
      <c r="S4382">
        <v>-3.0539550000000002</v>
      </c>
      <c r="T4382">
        <v>-0.33205469999999998</v>
      </c>
      <c r="U4382">
        <v>3.7078859999999998E-2</v>
      </c>
      <c r="V4382">
        <v>-3.1762029999999997E-2</v>
      </c>
      <c r="W4382">
        <v>0.1189625</v>
      </c>
      <c r="X4382">
        <v>0.99239060000000001</v>
      </c>
      <c r="Y4382">
        <v>-5.3195609999999997E-2</v>
      </c>
      <c r="Z4382">
        <v>-1.0035290000000001E-2</v>
      </c>
      <c r="AA4382">
        <v>0.99853369999999997</v>
      </c>
      <c r="AB4382">
        <v>27</v>
      </c>
      <c r="AC4382">
        <v>-0.66280000000000405</v>
      </c>
      <c r="AD4382">
        <v>-0.102085999999999</v>
      </c>
      <c r="AE4382">
        <v>-5.8999999999968999E-3</v>
      </c>
      <c r="AF4382">
        <v>-4.8492430241126698E-2</v>
      </c>
      <c r="AG4382">
        <v>-0.102085999999999</v>
      </c>
      <c r="AH4382">
        <v>0.64564919285625599</v>
      </c>
      <c r="AI4382">
        <v>98.960043143304802</v>
      </c>
      <c r="AJ4382">
        <v>94.295219308408093</v>
      </c>
      <c r="AK4382">
        <v>0.655466206163694</v>
      </c>
      <c r="AL4382">
        <v>83.167770719846303</v>
      </c>
      <c r="AM4382">
        <v>91.833158500575806</v>
      </c>
      <c r="AN4382">
        <v>1.0000000029621601</v>
      </c>
    </row>
    <row r="4383" spans="1:40" x14ac:dyDescent="0.25">
      <c r="A4383" t="str">
        <f>"20190312151114864"</f>
        <v>20190312151114864</v>
      </c>
      <c r="B4383" t="str">
        <f>"1552374674855153"</f>
        <v>1552374674855153</v>
      </c>
      <c r="C4383" t="s">
        <v>40</v>
      </c>
      <c r="D4383">
        <v>5.0430140000000003</v>
      </c>
      <c r="E4383">
        <v>0.49874590000000002</v>
      </c>
      <c r="F4383" t="s">
        <v>41</v>
      </c>
      <c r="G4383">
        <v>-314.35930000000002</v>
      </c>
      <c r="H4383">
        <v>1.0122640000000001</v>
      </c>
      <c r="I4383">
        <v>139.12379999999999</v>
      </c>
      <c r="J4383">
        <v>-313.71480000000003</v>
      </c>
      <c r="K4383">
        <v>1.1108309999999999</v>
      </c>
      <c r="L4383">
        <v>139.1302</v>
      </c>
      <c r="M4383">
        <v>-0.99779969999999996</v>
      </c>
      <c r="N4383">
        <v>0</v>
      </c>
      <c r="O4383">
        <v>6.5176410000000004E-2</v>
      </c>
      <c r="P4383">
        <v>-0.99371449999999995</v>
      </c>
      <c r="Q4383">
        <v>0.1072105</v>
      </c>
      <c r="R4383">
        <v>3.2215519999999997E-2</v>
      </c>
      <c r="S4383">
        <v>-3.053741</v>
      </c>
      <c r="T4383">
        <v>-0.33294109999999899</v>
      </c>
      <c r="U4383">
        <v>3.3355709999999997E-2</v>
      </c>
      <c r="V4383">
        <v>-3.2802900000000003E-2</v>
      </c>
      <c r="W4383">
        <v>0.1192428</v>
      </c>
      <c r="X4383">
        <v>0.99232310000000001</v>
      </c>
      <c r="Y4383">
        <v>-5.3575190000000002E-2</v>
      </c>
      <c r="Z4383">
        <v>-9.9927790000000002E-3</v>
      </c>
      <c r="AA4383">
        <v>0.99851380000000001</v>
      </c>
      <c r="AB4383">
        <v>27</v>
      </c>
      <c r="AC4383">
        <v>-0.64449999999999297</v>
      </c>
      <c r="AD4383">
        <v>-9.8566999999999794E-2</v>
      </c>
      <c r="AE4383">
        <v>-6.4000000000134999E-3</v>
      </c>
      <c r="AF4383">
        <v>-4.7289726200577198E-2</v>
      </c>
      <c r="AG4383">
        <v>-9.8566999999999794E-2</v>
      </c>
      <c r="AH4383">
        <v>0.62802466469168605</v>
      </c>
      <c r="AI4383">
        <v>98.894898286485997</v>
      </c>
      <c r="AJ4383">
        <v>94.306197358413996</v>
      </c>
      <c r="AK4383">
        <v>0.63746901976035697</v>
      </c>
      <c r="AL4383">
        <v>83.151595592681801</v>
      </c>
      <c r="AM4383">
        <v>91.893318398182004</v>
      </c>
      <c r="AN4383">
        <v>1.00000000519693</v>
      </c>
    </row>
    <row r="4384" spans="1:40" x14ac:dyDescent="0.25">
      <c r="A4384" t="str">
        <f>"20190312151114887"</f>
        <v>20190312151114887</v>
      </c>
      <c r="B4384" t="str">
        <f>"1552374674875645"</f>
        <v>1552374674875645</v>
      </c>
      <c r="C4384" t="s">
        <v>40</v>
      </c>
      <c r="D4384">
        <v>5.0597469999999998</v>
      </c>
      <c r="E4384">
        <v>0.49888939999999998</v>
      </c>
      <c r="F4384" t="s">
        <v>42</v>
      </c>
      <c r="G4384">
        <v>-325.56979999999999</v>
      </c>
      <c r="H4384" s="1">
        <v>-1.921071E-6</v>
      </c>
      <c r="I4384">
        <v>139.40090000000001</v>
      </c>
      <c r="J4384">
        <v>-313.98320000000001</v>
      </c>
      <c r="K4384">
        <v>1.1108150000000001</v>
      </c>
      <c r="L4384">
        <v>139.14670000000001</v>
      </c>
      <c r="M4384">
        <v>-0.99785420000000002</v>
      </c>
      <c r="N4384">
        <v>0</v>
      </c>
      <c r="O4384">
        <v>6.4338740000000005E-2</v>
      </c>
      <c r="P4384">
        <v>-0.9938091</v>
      </c>
      <c r="Q4384">
        <v>0.10672189999999999</v>
      </c>
      <c r="R4384">
        <v>3.088962E-2</v>
      </c>
      <c r="S4384">
        <v>-3.047577</v>
      </c>
      <c r="T4384">
        <v>-0.28556419999999999</v>
      </c>
      <c r="U4384">
        <v>6.9625850000000003E-2</v>
      </c>
      <c r="V4384">
        <v>-3.3291830000000001E-2</v>
      </c>
      <c r="W4384">
        <v>0.1187366</v>
      </c>
      <c r="X4384">
        <v>0.99236749999999996</v>
      </c>
      <c r="Y4384">
        <v>-4.1072619999999997E-2</v>
      </c>
      <c r="Z4384">
        <v>-7.9307709999999997E-3</v>
      </c>
      <c r="AA4384">
        <v>0.99912469999999998</v>
      </c>
      <c r="AB4384">
        <v>27</v>
      </c>
      <c r="AC4384">
        <v>-11.586599999999899</v>
      </c>
      <c r="AD4384">
        <v>-1.1108169210709999</v>
      </c>
      <c r="AE4384">
        <v>0.25419999999999698</v>
      </c>
      <c r="AF4384">
        <v>-0.48737160553790299</v>
      </c>
      <c r="AG4384">
        <v>-1.1108169210709999</v>
      </c>
      <c r="AH4384">
        <v>11.473541431297599</v>
      </c>
      <c r="AI4384">
        <v>95.524934811081707</v>
      </c>
      <c r="AJ4384">
        <v>92.432340450881199</v>
      </c>
      <c r="AK4384">
        <v>11.5374866539349</v>
      </c>
      <c r="AL4384">
        <v>83.180806143771605</v>
      </c>
      <c r="AM4384">
        <v>91.921431562175698</v>
      </c>
      <c r="AN4384">
        <v>0.999999990590279</v>
      </c>
    </row>
    <row r="4385" spans="1:40" x14ac:dyDescent="0.25">
      <c r="A4385" t="str">
        <f>"20190312151114901"</f>
        <v>20190312151114901</v>
      </c>
      <c r="B4385" t="str">
        <f>"1552374674895166"</f>
        <v>1552374674895166</v>
      </c>
      <c r="C4385" t="s">
        <v>40</v>
      </c>
      <c r="D4385">
        <v>5.0699690000000004</v>
      </c>
      <c r="E4385">
        <v>0.49872030000000001</v>
      </c>
      <c r="F4385" t="s">
        <v>42</v>
      </c>
      <c r="G4385">
        <v>-325.58109999999999</v>
      </c>
      <c r="H4385" s="1">
        <v>-1.9161050000000001E-6</v>
      </c>
      <c r="I4385">
        <v>139.4015</v>
      </c>
      <c r="J4385">
        <v>-314.15519999999998</v>
      </c>
      <c r="K4385">
        <v>1.110803</v>
      </c>
      <c r="L4385">
        <v>139.15719999999999</v>
      </c>
      <c r="M4385">
        <v>-0.99788790000000005</v>
      </c>
      <c r="N4385">
        <v>0</v>
      </c>
      <c r="O4385">
        <v>6.3815179999999999E-2</v>
      </c>
      <c r="P4385">
        <v>-0.99383670000000002</v>
      </c>
      <c r="Q4385">
        <v>0.10671369999999999</v>
      </c>
      <c r="R4385">
        <v>3.0017209999999999E-2</v>
      </c>
      <c r="S4385">
        <v>-3.0479430000000001</v>
      </c>
      <c r="T4385">
        <v>-0.29192479999999998</v>
      </c>
      <c r="U4385">
        <v>6.6986080000000003E-2</v>
      </c>
      <c r="V4385">
        <v>-3.3638759999999997E-2</v>
      </c>
      <c r="W4385">
        <v>0.11871719999999999</v>
      </c>
      <c r="X4385">
        <v>0.99235810000000002</v>
      </c>
      <c r="Y4385">
        <v>-4.1396299999999997E-2</v>
      </c>
      <c r="Z4385">
        <v>-8.0713050000000008E-3</v>
      </c>
      <c r="AA4385">
        <v>0.99911019999999995</v>
      </c>
      <c r="AB4385">
        <v>27</v>
      </c>
      <c r="AC4385">
        <v>-11.4259</v>
      </c>
      <c r="AD4385">
        <v>-1.110804916105</v>
      </c>
      <c r="AE4385">
        <v>0.24430000000000901</v>
      </c>
      <c r="AF4385">
        <v>-0.480854955832208</v>
      </c>
      <c r="AG4385">
        <v>-1.110804916105</v>
      </c>
      <c r="AH4385">
        <v>11.311339935883201</v>
      </c>
      <c r="AI4385">
        <v>95.603592163159007</v>
      </c>
      <c r="AJ4385">
        <v>92.434228057154897</v>
      </c>
      <c r="AK4385">
        <v>11.3759184330452</v>
      </c>
      <c r="AL4385">
        <v>83.181925453294994</v>
      </c>
      <c r="AM4385">
        <v>91.941457692394295</v>
      </c>
      <c r="AN4385">
        <v>0.99999996919289302</v>
      </c>
    </row>
    <row r="4386" spans="1:40" x14ac:dyDescent="0.25">
      <c r="A4386" t="str">
        <f>"20190312151114921"</f>
        <v>20190312151114921</v>
      </c>
      <c r="B4386" t="str">
        <f>"1552374674915661"</f>
        <v>1552374674915661</v>
      </c>
      <c r="C4386" t="s">
        <v>40</v>
      </c>
      <c r="D4386">
        <v>5.0662449999999897</v>
      </c>
      <c r="E4386">
        <v>0.49853069999999999</v>
      </c>
      <c r="F4386" t="s">
        <v>41</v>
      </c>
      <c r="G4386">
        <v>-315.08089999999999</v>
      </c>
      <c r="H4386">
        <v>1.021142</v>
      </c>
      <c r="I4386">
        <v>139.17660000000001</v>
      </c>
      <c r="J4386">
        <v>-314.38810000000001</v>
      </c>
      <c r="K4386">
        <v>1.1107860000000001</v>
      </c>
      <c r="L4386">
        <v>139.1713</v>
      </c>
      <c r="M4386">
        <v>-0.99793209999999999</v>
      </c>
      <c r="N4386">
        <v>0</v>
      </c>
      <c r="O4386">
        <v>6.312516E-2</v>
      </c>
      <c r="P4386">
        <v>-0.99385679999999998</v>
      </c>
      <c r="Q4386">
        <v>0.1068264</v>
      </c>
      <c r="R4386">
        <v>2.8929360000000001E-2</v>
      </c>
      <c r="S4386">
        <v>-3.0484309999999999</v>
      </c>
      <c r="T4386">
        <v>-0.29541889999999998</v>
      </c>
      <c r="U4386">
        <v>6.2927250000000004E-2</v>
      </c>
      <c r="V4386">
        <v>-3.4033939999999999E-2</v>
      </c>
      <c r="W4386">
        <v>0.1188167</v>
      </c>
      <c r="X4386">
        <v>0.99233280000000001</v>
      </c>
      <c r="Y4386">
        <v>-4.2027450000000001E-2</v>
      </c>
      <c r="Z4386">
        <v>-8.1302590000000008E-3</v>
      </c>
      <c r="AA4386">
        <v>0.99908339999999995</v>
      </c>
      <c r="AB4386">
        <v>27</v>
      </c>
      <c r="AC4386">
        <v>-0.69279999999997699</v>
      </c>
      <c r="AD4386">
        <v>-8.9644000000000001E-2</v>
      </c>
      <c r="AE4386">
        <v>5.3000000000054098E-3</v>
      </c>
      <c r="AF4386">
        <v>-3.7813821462347498E-2</v>
      </c>
      <c r="AG4386">
        <v>-8.9644000000000001E-2</v>
      </c>
      <c r="AH4386">
        <v>0.68036221200814395</v>
      </c>
      <c r="AI4386">
        <v>97.494576210234797</v>
      </c>
      <c r="AJ4386">
        <v>93.181166740896899</v>
      </c>
      <c r="AK4386">
        <v>0.68728354509489098</v>
      </c>
      <c r="AL4386">
        <v>83.176184450235993</v>
      </c>
      <c r="AM4386">
        <v>91.964297744257905</v>
      </c>
      <c r="AN4386">
        <v>1.0000000516133201</v>
      </c>
    </row>
    <row r="4387" spans="1:40" x14ac:dyDescent="0.25">
      <c r="A4387" t="str">
        <f>"20190312151114943"</f>
        <v>20190312151114943</v>
      </c>
      <c r="B4387" t="str">
        <f>"1552374674935182"</f>
        <v>1552374674935182</v>
      </c>
      <c r="C4387" t="s">
        <v>40</v>
      </c>
      <c r="D4387">
        <v>5.0919290000000004</v>
      </c>
      <c r="E4387">
        <v>0.49866080000000002</v>
      </c>
      <c r="F4387" t="s">
        <v>41</v>
      </c>
      <c r="G4387">
        <v>-315.31869999999998</v>
      </c>
      <c r="H4387">
        <v>1.01878</v>
      </c>
      <c r="I4387">
        <v>139.1892</v>
      </c>
      <c r="J4387">
        <v>-314.6635</v>
      </c>
      <c r="K4387">
        <v>1.110773</v>
      </c>
      <c r="L4387">
        <v>139.18780000000001</v>
      </c>
      <c r="M4387">
        <v>-0.99798229999999999</v>
      </c>
      <c r="N4387">
        <v>0</v>
      </c>
      <c r="O4387">
        <v>6.2330719999999999E-2</v>
      </c>
      <c r="P4387">
        <v>-0.99390480000000003</v>
      </c>
      <c r="Q4387">
        <v>0.1067158</v>
      </c>
      <c r="R4387">
        <v>2.7664790000000002E-2</v>
      </c>
      <c r="S4387">
        <v>-3.0492859999999999</v>
      </c>
      <c r="T4387">
        <v>-0.3014481</v>
      </c>
      <c r="U4387">
        <v>5.8044430000000001E-2</v>
      </c>
      <c r="V4387">
        <v>-3.4503369999999998E-2</v>
      </c>
      <c r="W4387">
        <v>0.1186931</v>
      </c>
      <c r="X4387">
        <v>0.99233130000000003</v>
      </c>
      <c r="Y4387">
        <v>-4.2817099999999997E-2</v>
      </c>
      <c r="Z4387">
        <v>-8.2540200000000008E-3</v>
      </c>
      <c r="AA4387">
        <v>0.99904879999999996</v>
      </c>
      <c r="AB4387">
        <v>27</v>
      </c>
      <c r="AC4387">
        <v>-0.65519999999997902</v>
      </c>
      <c r="AD4387">
        <v>-9.1993000000000005E-2</v>
      </c>
      <c r="AE4387">
        <v>1.39999999998963E-3</v>
      </c>
      <c r="AF4387">
        <v>-3.8682240798798201E-2</v>
      </c>
      <c r="AG4387">
        <v>-9.1993000000000005E-2</v>
      </c>
      <c r="AH4387">
        <v>0.64136955521172601</v>
      </c>
      <c r="AI4387">
        <v>98.147778963425395</v>
      </c>
      <c r="AJ4387">
        <v>93.451438645136093</v>
      </c>
      <c r="AK4387">
        <v>0.64908700045117496</v>
      </c>
      <c r="AL4387">
        <v>83.183316131700593</v>
      </c>
      <c r="AM4387">
        <v>91.991372637558499</v>
      </c>
      <c r="AN4387">
        <v>0.99999997174432798</v>
      </c>
    </row>
    <row r="4388" spans="1:40" x14ac:dyDescent="0.25">
      <c r="A4388" t="str">
        <f>"20190312151114965"</f>
        <v>20190312151114965</v>
      </c>
      <c r="B4388" t="str">
        <f>"1552374674955678"</f>
        <v>1552374674955678</v>
      </c>
      <c r="C4388" t="s">
        <v>40</v>
      </c>
      <c r="D4388">
        <v>5.0484989999999996</v>
      </c>
      <c r="E4388">
        <v>0.49870019999999998</v>
      </c>
      <c r="F4388" t="s">
        <v>41</v>
      </c>
      <c r="G4388">
        <v>-315.5616</v>
      </c>
      <c r="H4388">
        <v>1.0219009999999999</v>
      </c>
      <c r="I4388">
        <v>139.20429999999999</v>
      </c>
      <c r="J4388">
        <v>-314.9194</v>
      </c>
      <c r="K4388">
        <v>1.110762</v>
      </c>
      <c r="L4388">
        <v>139.203</v>
      </c>
      <c r="M4388">
        <v>-0.99802740000000001</v>
      </c>
      <c r="N4388">
        <v>0</v>
      </c>
      <c r="O4388">
        <v>6.1605739999999999E-2</v>
      </c>
      <c r="P4388">
        <v>-0.99389229999999995</v>
      </c>
      <c r="Q4388">
        <v>0.1069553</v>
      </c>
      <c r="R4388">
        <v>2.7184779999999999E-2</v>
      </c>
      <c r="S4388">
        <v>-3.0492859999999999</v>
      </c>
      <c r="T4388">
        <v>-0.30180940000000001</v>
      </c>
      <c r="U4388">
        <v>5.5313109999999999E-2</v>
      </c>
      <c r="V4388">
        <v>-3.4256849999999998E-2</v>
      </c>
      <c r="W4388">
        <v>0.11892270000000001</v>
      </c>
      <c r="X4388">
        <v>0.99231239999999998</v>
      </c>
      <c r="Y4388">
        <v>-4.2987360000000002E-2</v>
      </c>
      <c r="Z4388">
        <v>-8.2009209999999999E-3</v>
      </c>
      <c r="AA4388">
        <v>0.99904199999999999</v>
      </c>
      <c r="AB4388">
        <v>27</v>
      </c>
      <c r="AC4388">
        <v>-0.64220000000000199</v>
      </c>
      <c r="AD4388">
        <v>-8.8860999999999996E-2</v>
      </c>
      <c r="AE4388">
        <v>1.2999999999863099E-3</v>
      </c>
      <c r="AF4388">
        <v>-3.7549636533379498E-2</v>
      </c>
      <c r="AG4388">
        <v>-8.8860999999999996E-2</v>
      </c>
      <c r="AH4388">
        <v>0.62901688467602501</v>
      </c>
      <c r="AI4388">
        <v>98.026842821686401</v>
      </c>
      <c r="AJ4388">
        <v>93.416260504074003</v>
      </c>
      <c r="AK4388">
        <v>0.63637134892476199</v>
      </c>
      <c r="AL4388">
        <v>83.170067511009293</v>
      </c>
      <c r="AM4388">
        <v>91.977193620558296</v>
      </c>
      <c r="AN4388">
        <v>1.0000000197704799</v>
      </c>
    </row>
    <row r="4389" spans="1:40" x14ac:dyDescent="0.25">
      <c r="A4389" t="str">
        <f>"20190312151114988"</f>
        <v>20190312151114988</v>
      </c>
      <c r="B4389" t="str">
        <f>"1552374674985935"</f>
        <v>1552374674985935</v>
      </c>
      <c r="C4389" t="s">
        <v>40</v>
      </c>
      <c r="D4389">
        <v>5.0625460000000002</v>
      </c>
      <c r="E4389">
        <v>0.49869330000000001</v>
      </c>
      <c r="F4389" t="s">
        <v>41</v>
      </c>
      <c r="G4389">
        <v>-315.8082</v>
      </c>
      <c r="H4389">
        <v>1.0229360000000001</v>
      </c>
      <c r="I4389">
        <v>139.21870000000001</v>
      </c>
      <c r="J4389">
        <v>-315.20179999999999</v>
      </c>
      <c r="K4389">
        <v>1.110754</v>
      </c>
      <c r="L4389">
        <v>139.21940000000001</v>
      </c>
      <c r="M4389">
        <v>-0.99807579999999996</v>
      </c>
      <c r="N4389">
        <v>0</v>
      </c>
      <c r="O4389">
        <v>6.081454E-2</v>
      </c>
      <c r="P4389">
        <v>-0.99386980000000003</v>
      </c>
      <c r="Q4389">
        <v>0.107333999999999</v>
      </c>
      <c r="R4389">
        <v>2.649464E-2</v>
      </c>
      <c r="S4389">
        <v>-3.0494080000000001</v>
      </c>
      <c r="T4389">
        <v>-0.30138179999999998</v>
      </c>
      <c r="U4389">
        <v>5.3726200000000002E-2</v>
      </c>
      <c r="V4389">
        <v>-3.4154539999999997E-2</v>
      </c>
      <c r="W4389">
        <v>0.1192906</v>
      </c>
      <c r="X4389">
        <v>0.99227169999999998</v>
      </c>
      <c r="Y4389">
        <v>-4.272244E-2</v>
      </c>
      <c r="Z4389">
        <v>-8.0981630000000002E-3</v>
      </c>
      <c r="AA4389">
        <v>0.99905409999999994</v>
      </c>
      <c r="AB4389">
        <v>27</v>
      </c>
      <c r="AC4389">
        <v>-0.60640000000000704</v>
      </c>
      <c r="AD4389">
        <v>-8.7817999999999896E-2</v>
      </c>
      <c r="AE4389">
        <v>-6.9999999999481501E-4</v>
      </c>
      <c r="AF4389">
        <v>-3.6807399458856999E-2</v>
      </c>
      <c r="AG4389">
        <v>-8.7817999999999896E-2</v>
      </c>
      <c r="AH4389">
        <v>0.59280237797020796</v>
      </c>
      <c r="AI4389">
        <v>98.410571954428207</v>
      </c>
      <c r="AJ4389">
        <v>93.552962781253896</v>
      </c>
      <c r="AK4389">
        <v>0.60040107020728894</v>
      </c>
      <c r="AL4389">
        <v>83.148836807781194</v>
      </c>
      <c r="AM4389">
        <v>91.971374079727497</v>
      </c>
      <c r="AN4389">
        <v>0.99999995323592905</v>
      </c>
    </row>
    <row r="4390" spans="1:40" x14ac:dyDescent="0.25">
      <c r="A4390" t="str">
        <f>"20190312151115010"</f>
        <v>20190312151115010</v>
      </c>
      <c r="B4390" t="str">
        <f>"1552374675005454"</f>
        <v>1552374675005454</v>
      </c>
      <c r="C4390" t="s">
        <v>40</v>
      </c>
      <c r="D4390">
        <v>5.0816730000000003</v>
      </c>
      <c r="E4390">
        <v>0.49886799999999998</v>
      </c>
      <c r="F4390" t="s">
        <v>42</v>
      </c>
      <c r="G4390">
        <v>-326.40530000000001</v>
      </c>
      <c r="H4390" s="1">
        <v>-1.561338E-6</v>
      </c>
      <c r="I4390">
        <v>139.4083</v>
      </c>
      <c r="J4390">
        <v>-315.45260000000002</v>
      </c>
      <c r="K4390">
        <v>1.1107530000000001</v>
      </c>
      <c r="L4390">
        <v>139.23390000000001</v>
      </c>
      <c r="M4390">
        <v>-0.99811850000000002</v>
      </c>
      <c r="N4390">
        <v>0</v>
      </c>
      <c r="O4390">
        <v>6.0115990000000001E-2</v>
      </c>
      <c r="P4390">
        <v>-0.99388140000000003</v>
      </c>
      <c r="Q4390">
        <v>0.1074016</v>
      </c>
      <c r="R4390">
        <v>2.5786239999999998E-2</v>
      </c>
      <c r="S4390">
        <v>-3.0497740000000002</v>
      </c>
      <c r="T4390">
        <v>-0.30236770000000002</v>
      </c>
      <c r="U4390">
        <v>5.1422120000000002E-2</v>
      </c>
      <c r="V4390">
        <v>-3.4166599999999998E-2</v>
      </c>
      <c r="W4390">
        <v>0.1193502</v>
      </c>
      <c r="X4390">
        <v>0.99226420000000004</v>
      </c>
      <c r="Y4390">
        <v>-4.27798E-2</v>
      </c>
      <c r="Z4390">
        <v>-8.0574970000000003E-3</v>
      </c>
      <c r="AA4390">
        <v>0.99905200000000005</v>
      </c>
      <c r="AB4390">
        <v>27</v>
      </c>
      <c r="AC4390">
        <v>-10.952699999999901</v>
      </c>
      <c r="AD4390">
        <v>-1.1107545613380001</v>
      </c>
      <c r="AE4390">
        <v>0.17439999999999101</v>
      </c>
      <c r="AF4390">
        <v>-0.47946584764532402</v>
      </c>
      <c r="AG4390">
        <v>-1.1107545613380001</v>
      </c>
      <c r="AH4390">
        <v>10.8319968710632</v>
      </c>
      <c r="AI4390">
        <v>95.849177207399094</v>
      </c>
      <c r="AJ4390">
        <v>92.534477200921899</v>
      </c>
      <c r="AK4390">
        <v>10.899349494777899</v>
      </c>
      <c r="AL4390">
        <v>83.145397968473603</v>
      </c>
      <c r="AM4390">
        <v>91.972084518282401</v>
      </c>
      <c r="AN4390">
        <v>1.00000003469861</v>
      </c>
    </row>
    <row r="4391" spans="1:40" x14ac:dyDescent="0.25">
      <c r="A4391" t="str">
        <f>"20190312151115032"</f>
        <v>20190312151115032</v>
      </c>
      <c r="B4391" t="str">
        <f>"1552374675025950"</f>
        <v>1552374675025950</v>
      </c>
      <c r="C4391" t="s">
        <v>40</v>
      </c>
      <c r="D4391">
        <v>5.1171980000000001</v>
      </c>
      <c r="E4391">
        <v>0.4988571</v>
      </c>
      <c r="F4391" t="s">
        <v>42</v>
      </c>
      <c r="G4391">
        <v>-326.6302</v>
      </c>
      <c r="H4391" s="1">
        <v>-1.4629119999999999E-6</v>
      </c>
      <c r="I4391">
        <v>139.41909999999999</v>
      </c>
      <c r="J4391">
        <v>-315.72910000000002</v>
      </c>
      <c r="K4391">
        <v>1.110746</v>
      </c>
      <c r="L4391">
        <v>139.24969999999999</v>
      </c>
      <c r="M4391">
        <v>-0.99816459999999996</v>
      </c>
      <c r="N4391">
        <v>0</v>
      </c>
      <c r="O4391">
        <v>5.93471E-2</v>
      </c>
      <c r="P4391">
        <v>-0.99391410000000002</v>
      </c>
      <c r="Q4391">
        <v>0.1072558</v>
      </c>
      <c r="R4391">
        <v>2.5130090000000001E-2</v>
      </c>
      <c r="S4391">
        <v>-3.0499269999999998</v>
      </c>
      <c r="T4391">
        <v>-0.30308160000000001</v>
      </c>
      <c r="U4391">
        <v>5.0552369999999999E-2</v>
      </c>
      <c r="V4391">
        <v>-3.4056990000000002E-2</v>
      </c>
      <c r="W4391">
        <v>0.11919399999999999</v>
      </c>
      <c r="X4391">
        <v>0.99228669999999997</v>
      </c>
      <c r="Y4391">
        <v>-4.2299660000000003E-2</v>
      </c>
      <c r="Z4391">
        <v>-7.9761640000000009E-3</v>
      </c>
      <c r="AA4391">
        <v>0.99907310000000005</v>
      </c>
      <c r="AB4391">
        <v>27</v>
      </c>
      <c r="AC4391">
        <v>-10.9010999999999</v>
      </c>
      <c r="AD4391">
        <v>-1.110747462912</v>
      </c>
      <c r="AE4391">
        <v>0.169399999999996</v>
      </c>
      <c r="AF4391">
        <v>-0.47298487645609399</v>
      </c>
      <c r="AG4391">
        <v>-1.110747462912</v>
      </c>
      <c r="AH4391">
        <v>10.7800434298354</v>
      </c>
      <c r="AI4391">
        <v>95.877232202430406</v>
      </c>
      <c r="AJ4391">
        <v>92.512296664491899</v>
      </c>
      <c r="AK4391">
        <v>10.8474333816281</v>
      </c>
      <c r="AL4391">
        <v>83.154411617589702</v>
      </c>
      <c r="AM4391">
        <v>91.965718299486099</v>
      </c>
      <c r="AN4391">
        <v>0.999999991600375</v>
      </c>
    </row>
    <row r="4392" spans="1:40" x14ac:dyDescent="0.25">
      <c r="A4392" t="str">
        <f>"20190312151115065"</f>
        <v>20190312151115065</v>
      </c>
      <c r="B4392" t="str">
        <f>"1552374675055233"</f>
        <v>1552374675055233</v>
      </c>
      <c r="C4392" t="s">
        <v>40</v>
      </c>
      <c r="D4392">
        <v>5.0852919999999999</v>
      </c>
      <c r="E4392">
        <v>0.49572050000000001</v>
      </c>
      <c r="F4392" t="s">
        <v>42</v>
      </c>
      <c r="G4392">
        <v>-326.85820000000001</v>
      </c>
      <c r="H4392" s="1">
        <v>-1.3639829999999999E-6</v>
      </c>
      <c r="I4392">
        <v>139.42570000000001</v>
      </c>
      <c r="J4392">
        <v>-316.12759999999997</v>
      </c>
      <c r="K4392">
        <v>1.1107340000000001</v>
      </c>
      <c r="L4392">
        <v>139.27199999999999</v>
      </c>
      <c r="M4392">
        <v>-0.99823030000000001</v>
      </c>
      <c r="N4392">
        <v>0</v>
      </c>
      <c r="O4392">
        <v>5.8237259999999999E-2</v>
      </c>
      <c r="P4392">
        <v>-0.99401810000000002</v>
      </c>
      <c r="Q4392">
        <v>0.1066773</v>
      </c>
      <c r="R4392">
        <v>2.341172E-2</v>
      </c>
      <c r="S4392">
        <v>-3.0500180000000001</v>
      </c>
      <c r="T4392">
        <v>-0.30441309999999999</v>
      </c>
      <c r="U4392">
        <v>4.8248289999999999E-2</v>
      </c>
      <c r="V4392">
        <v>-3.4672769999999999E-2</v>
      </c>
      <c r="W4392">
        <v>0.1185818</v>
      </c>
      <c r="X4392">
        <v>0.99233870000000002</v>
      </c>
      <c r="Y4392">
        <v>-4.194672E-2</v>
      </c>
      <c r="Z4392">
        <v>-7.8829759999999999E-3</v>
      </c>
      <c r="AA4392">
        <v>0.9990888</v>
      </c>
      <c r="AB4392">
        <v>27</v>
      </c>
      <c r="AC4392">
        <v>-10.730600000000001</v>
      </c>
      <c r="AD4392">
        <v>-1.110735363983</v>
      </c>
      <c r="AE4392">
        <v>0.15369999999998599</v>
      </c>
      <c r="AF4392">
        <v>-0.466529241888332</v>
      </c>
      <c r="AG4392">
        <v>-1.110735363983</v>
      </c>
      <c r="AH4392">
        <v>10.6077035253824</v>
      </c>
      <c r="AI4392">
        <v>95.971941368356397</v>
      </c>
      <c r="AJ4392">
        <v>92.518258747175693</v>
      </c>
      <c r="AK4392">
        <v>10.675896059102</v>
      </c>
      <c r="AL4392">
        <v>83.189738496634504</v>
      </c>
      <c r="AM4392">
        <v>92.001126770443406</v>
      </c>
      <c r="AN4392">
        <v>0.99999996989420104</v>
      </c>
    </row>
    <row r="4393" spans="1:40" x14ac:dyDescent="0.25">
      <c r="A4393" t="str">
        <f>"20190312151115087"</f>
        <v>20190312151115087</v>
      </c>
      <c r="B4393" t="str">
        <f>"1552374675075726"</f>
        <v>1552374675075726</v>
      </c>
      <c r="C4393" t="s">
        <v>40</v>
      </c>
      <c r="D4393">
        <v>5.2698410000000004</v>
      </c>
      <c r="E4393">
        <v>0.4942626</v>
      </c>
      <c r="F4393" t="s">
        <v>42</v>
      </c>
      <c r="G4393">
        <v>-326.9307</v>
      </c>
      <c r="H4393" s="1">
        <v>-1.349156E-6</v>
      </c>
      <c r="I4393">
        <v>139.3339</v>
      </c>
      <c r="J4393">
        <v>-316.38639999999998</v>
      </c>
      <c r="K4393">
        <v>1.110724</v>
      </c>
      <c r="L4393">
        <v>139.28630000000001</v>
      </c>
      <c r="M4393">
        <v>-0.99827270000000001</v>
      </c>
      <c r="N4393">
        <v>0</v>
      </c>
      <c r="O4393">
        <v>5.7512260000000003E-2</v>
      </c>
      <c r="P4393">
        <v>-0.99408319999999994</v>
      </c>
      <c r="Q4393">
        <v>0.1063181</v>
      </c>
      <c r="R4393">
        <v>2.2252850000000001E-2</v>
      </c>
      <c r="S4393">
        <v>-3.0512999999999999</v>
      </c>
      <c r="T4393">
        <v>-0.31372689999999998</v>
      </c>
      <c r="U4393">
        <v>1.748657E-2</v>
      </c>
      <c r="V4393">
        <v>-3.5110669999999997E-2</v>
      </c>
      <c r="W4393">
        <v>0.1181917</v>
      </c>
      <c r="X4393">
        <v>0.99236990000000003</v>
      </c>
      <c r="Y4393">
        <v>-5.1221259999999998E-2</v>
      </c>
      <c r="Z4393">
        <v>-8.5216800000000002E-3</v>
      </c>
      <c r="AA4393">
        <v>0.99865099999999996</v>
      </c>
      <c r="AB4393">
        <v>27</v>
      </c>
      <c r="AC4393">
        <v>-10.5443</v>
      </c>
      <c r="AD4393">
        <v>-1.1107253491560001</v>
      </c>
      <c r="AE4393">
        <v>4.7599999999988499E-2</v>
      </c>
      <c r="AF4393">
        <v>-0.55281490581236703</v>
      </c>
      <c r="AG4393">
        <v>-1.1107253491560001</v>
      </c>
      <c r="AH4393">
        <v>10.414027609923201</v>
      </c>
      <c r="AI4393">
        <v>96.079465644263806</v>
      </c>
      <c r="AJ4393">
        <v>93.038618796782799</v>
      </c>
      <c r="AK4393">
        <v>10.487673058481001</v>
      </c>
      <c r="AL4393">
        <v>83.212248271531905</v>
      </c>
      <c r="AM4393">
        <v>92.026315421041403</v>
      </c>
      <c r="AN4393">
        <v>1.0000000277613701</v>
      </c>
    </row>
    <row r="4394" spans="1:40" x14ac:dyDescent="0.25">
      <c r="A4394" t="str">
        <f>"20190312151115110"</f>
        <v>20190312151115110</v>
      </c>
      <c r="B4394" t="str">
        <f>"1552374675105983"</f>
        <v>1552374675105983</v>
      </c>
      <c r="C4394" t="s">
        <v>40</v>
      </c>
      <c r="D4394">
        <v>5.1125429999999996</v>
      </c>
      <c r="E4394">
        <v>0.49242859999999999</v>
      </c>
      <c r="F4394" t="s">
        <v>42</v>
      </c>
      <c r="G4394">
        <v>-327.24209999999999</v>
      </c>
      <c r="H4394" s="1">
        <v>-1.222895E-6</v>
      </c>
      <c r="I4394">
        <v>139.29239999999999</v>
      </c>
      <c r="J4394">
        <v>-316.66550000000001</v>
      </c>
      <c r="K4394">
        <v>1.1107089999999999</v>
      </c>
      <c r="L4394">
        <v>139.3015</v>
      </c>
      <c r="M4394">
        <v>-0.99831809999999999</v>
      </c>
      <c r="N4394">
        <v>0</v>
      </c>
      <c r="O4394">
        <v>5.6730000000000003E-2</v>
      </c>
      <c r="P4394">
        <v>-0.99415359999999997</v>
      </c>
      <c r="Q4394">
        <v>0.1058273</v>
      </c>
      <c r="R4394">
        <v>2.1437919999999999E-2</v>
      </c>
      <c r="S4394">
        <v>-3.0511780000000002</v>
      </c>
      <c r="T4394">
        <v>-0.31219010000000003</v>
      </c>
      <c r="U4394">
        <v>1.7242430000000001E-3</v>
      </c>
      <c r="V4394">
        <v>-3.5148400000000003E-2</v>
      </c>
      <c r="W4394">
        <v>0.1176613</v>
      </c>
      <c r="X4394">
        <v>0.99243159999999997</v>
      </c>
      <c r="Y4394">
        <v>-5.55837E-2</v>
      </c>
      <c r="Z4394">
        <v>-8.6236319999999905E-3</v>
      </c>
      <c r="AA4394">
        <v>0.99841679999999999</v>
      </c>
      <c r="AB4394">
        <v>27</v>
      </c>
      <c r="AC4394">
        <v>-10.5765999999999</v>
      </c>
      <c r="AD4394">
        <v>-1.1107102228950001</v>
      </c>
      <c r="AE4394">
        <v>-9.1000000000178698E-3</v>
      </c>
      <c r="AF4394">
        <v>-0.60249417575642195</v>
      </c>
      <c r="AG4394">
        <v>-1.1107102228950001</v>
      </c>
      <c r="AH4394">
        <v>10.443870013564601</v>
      </c>
      <c r="AI4394">
        <v>96.060611923934005</v>
      </c>
      <c r="AJ4394">
        <v>93.301664530293294</v>
      </c>
      <c r="AK4394">
        <v>10.520033141169201</v>
      </c>
      <c r="AL4394">
        <v>83.242851548462497</v>
      </c>
      <c r="AM4394">
        <v>92.028365078721095</v>
      </c>
      <c r="AN4394">
        <v>1.0000000361093999</v>
      </c>
    </row>
    <row r="4395" spans="1:40" x14ac:dyDescent="0.25">
      <c r="A4395" t="str">
        <f>"20190312151115134"</f>
        <v>20190312151115134</v>
      </c>
      <c r="B4395" t="str">
        <f>"1552374675125502"</f>
        <v>1552374675125502</v>
      </c>
      <c r="C4395" t="s">
        <v>40</v>
      </c>
      <c r="D4395">
        <v>5.1191509999999996</v>
      </c>
      <c r="E4395">
        <v>0.4915795</v>
      </c>
      <c r="F4395" t="s">
        <v>42</v>
      </c>
      <c r="G4395">
        <v>-327.61219999999997</v>
      </c>
      <c r="H4395" s="1">
        <v>-1.0724849999999999E-6</v>
      </c>
      <c r="I4395">
        <v>139.24529999999999</v>
      </c>
      <c r="J4395">
        <v>-316.93680000000001</v>
      </c>
      <c r="K4395">
        <v>1.110698</v>
      </c>
      <c r="L4395">
        <v>139.31610000000001</v>
      </c>
      <c r="M4395">
        <v>-0.9983611</v>
      </c>
      <c r="N4395">
        <v>0</v>
      </c>
      <c r="O4395">
        <v>5.5978800000000002E-2</v>
      </c>
      <c r="P4395">
        <v>-0.99415629999999999</v>
      </c>
      <c r="Q4395">
        <v>0.1059495</v>
      </c>
      <c r="R4395">
        <v>2.0690340000000002E-2</v>
      </c>
      <c r="S4395">
        <v>-3.0509029999999999</v>
      </c>
      <c r="T4395">
        <v>-0.30956240000000002</v>
      </c>
      <c r="U4395">
        <v>-1.5655519999999999E-2</v>
      </c>
      <c r="V4395">
        <v>-3.514573E-2</v>
      </c>
      <c r="W4395">
        <v>0.1177328</v>
      </c>
      <c r="X4395">
        <v>0.99242319999999995</v>
      </c>
      <c r="Y4395">
        <v>-6.0507430000000001E-2</v>
      </c>
      <c r="Z4395">
        <v>-8.725567E-3</v>
      </c>
      <c r="AA4395">
        <v>0.99812959999999995</v>
      </c>
      <c r="AB4395">
        <v>27</v>
      </c>
      <c r="AC4395">
        <v>-10.6753999999999</v>
      </c>
      <c r="AD4395">
        <v>-1.1106990724850001</v>
      </c>
      <c r="AE4395">
        <v>-7.0800000000019694E-2</v>
      </c>
      <c r="AF4395">
        <v>-0.66117052905000395</v>
      </c>
      <c r="AG4395">
        <v>-1.1106990724850001</v>
      </c>
      <c r="AH4395">
        <v>10.540598502990701</v>
      </c>
      <c r="AI4395">
        <v>96.003542426228506</v>
      </c>
      <c r="AJ4395">
        <v>93.589237784213196</v>
      </c>
      <c r="AK4395">
        <v>10.619558168744801</v>
      </c>
      <c r="AL4395">
        <v>83.238726126359794</v>
      </c>
      <c r="AM4395">
        <v>92.028228278148006</v>
      </c>
      <c r="AN4395">
        <v>1.0000000212156499</v>
      </c>
    </row>
    <row r="4396" spans="1:40" x14ac:dyDescent="0.25">
      <c r="A4396" t="str">
        <f>"20190312151115154"</f>
        <v>20190312151115154</v>
      </c>
      <c r="B4396" t="str">
        <f>"1552374675145999"</f>
        <v>1552374675145999</v>
      </c>
      <c r="C4396" t="s">
        <v>40</v>
      </c>
      <c r="D4396">
        <v>5.0961239999999997</v>
      </c>
      <c r="E4396">
        <v>0.49083599999999999</v>
      </c>
      <c r="F4396" t="s">
        <v>42</v>
      </c>
      <c r="G4396">
        <v>-327.79899999999998</v>
      </c>
      <c r="H4396" s="1">
        <v>-9.955236000000001E-7</v>
      </c>
      <c r="I4396">
        <v>139.22739999999999</v>
      </c>
      <c r="J4396">
        <v>-317.19650000000001</v>
      </c>
      <c r="K4396">
        <v>1.1106780000000001</v>
      </c>
      <c r="L4396">
        <v>139.32980000000001</v>
      </c>
      <c r="M4396">
        <v>-0.99840070000000003</v>
      </c>
      <c r="N4396">
        <v>0</v>
      </c>
      <c r="O4396">
        <v>5.5280379999999997E-2</v>
      </c>
      <c r="P4396">
        <v>-0.9941622</v>
      </c>
      <c r="Q4396">
        <v>0.106044899999999</v>
      </c>
      <c r="R4396">
        <v>1.9905220000000001E-2</v>
      </c>
      <c r="S4396">
        <v>-3.0514220000000001</v>
      </c>
      <c r="T4396">
        <v>-0.31202039999999998</v>
      </c>
      <c r="U4396">
        <v>-2.4887079999999999E-2</v>
      </c>
      <c r="V4396">
        <v>-3.5231230000000002E-2</v>
      </c>
      <c r="W4396">
        <v>0.11776929999999999</v>
      </c>
      <c r="X4396">
        <v>0.99241579999999996</v>
      </c>
      <c r="Y4396">
        <v>-6.2809959999999998E-2</v>
      </c>
      <c r="Z4396">
        <v>-8.839286E-3</v>
      </c>
      <c r="AA4396">
        <v>0.99798640000000005</v>
      </c>
      <c r="AB4396">
        <v>27</v>
      </c>
      <c r="AC4396">
        <v>-10.602499999999999</v>
      </c>
      <c r="AD4396">
        <v>-1.1106789955236001</v>
      </c>
      <c r="AE4396">
        <v>-0.10240000000001701</v>
      </c>
      <c r="AF4396">
        <v>-0.68092301537298505</v>
      </c>
      <c r="AG4396">
        <v>-1.1106789955236001</v>
      </c>
      <c r="AH4396">
        <v>10.4657843830019</v>
      </c>
      <c r="AI4396">
        <v>96.045141272889296</v>
      </c>
      <c r="AJ4396">
        <v>93.722521276584501</v>
      </c>
      <c r="AK4396">
        <v>10.546558999761499</v>
      </c>
      <c r="AL4396">
        <v>83.236619925721001</v>
      </c>
      <c r="AM4396">
        <v>92.033173417416094</v>
      </c>
      <c r="AN4396">
        <v>0.999999983839721</v>
      </c>
    </row>
    <row r="4397" spans="1:40" x14ac:dyDescent="0.25">
      <c r="A4397" t="str">
        <f>"20190312151115177"</f>
        <v>20190312151115177</v>
      </c>
      <c r="B4397" t="str">
        <f>"1552374675165518"</f>
        <v>1552374675165518</v>
      </c>
      <c r="C4397" t="s">
        <v>40</v>
      </c>
      <c r="D4397">
        <v>5.1339779999999999</v>
      </c>
      <c r="E4397">
        <v>0.49023660000000002</v>
      </c>
      <c r="F4397" t="s">
        <v>42</v>
      </c>
      <c r="G4397">
        <v>-327.99270000000001</v>
      </c>
      <c r="H4397" s="1">
        <v>-9.1501530000000005E-7</v>
      </c>
      <c r="I4397">
        <v>139.21289999999999</v>
      </c>
      <c r="J4397">
        <v>-317.46170000000001</v>
      </c>
      <c r="K4397">
        <v>1.1106419999999999</v>
      </c>
      <c r="L4397">
        <v>139.34379999999999</v>
      </c>
      <c r="M4397">
        <v>-0.99843850000000001</v>
      </c>
      <c r="N4397">
        <v>0</v>
      </c>
      <c r="O4397">
        <v>5.4604670000000001E-2</v>
      </c>
      <c r="P4397">
        <v>-0.99417169999999999</v>
      </c>
      <c r="Q4397">
        <v>0.1060852</v>
      </c>
      <c r="R4397">
        <v>1.9201380000000001E-2</v>
      </c>
      <c r="S4397">
        <v>-3.0518190000000001</v>
      </c>
      <c r="T4397">
        <v>-0.3139651</v>
      </c>
      <c r="U4397">
        <v>-3.303528E-2</v>
      </c>
      <c r="V4397">
        <v>-3.5255000000000002E-2</v>
      </c>
      <c r="W4397">
        <v>0.11774229999999999</v>
      </c>
      <c r="X4397">
        <v>0.99241820000000003</v>
      </c>
      <c r="Y4397">
        <v>-6.4783300000000002E-2</v>
      </c>
      <c r="Z4397">
        <v>-8.9248969999999993E-3</v>
      </c>
      <c r="AA4397">
        <v>0.99785939999999995</v>
      </c>
      <c r="AB4397">
        <v>27</v>
      </c>
      <c r="AC4397">
        <v>-10.531000000000001</v>
      </c>
      <c r="AD4397">
        <v>-1.1106429150153001</v>
      </c>
      <c r="AE4397">
        <v>-0.13089999999999599</v>
      </c>
      <c r="AF4397">
        <v>-0.69802369607356796</v>
      </c>
      <c r="AG4397">
        <v>-1.1106429150153001</v>
      </c>
      <c r="AH4397">
        <v>10.392562511987601</v>
      </c>
      <c r="AI4397">
        <v>96.086381353387395</v>
      </c>
      <c r="AJ4397">
        <v>93.842539658825203</v>
      </c>
      <c r="AK4397">
        <v>10.475023643435099</v>
      </c>
      <c r="AL4397">
        <v>83.238178022799502</v>
      </c>
      <c r="AM4397">
        <v>92.034539101525098</v>
      </c>
      <c r="AN4397">
        <v>1.00000002396276</v>
      </c>
    </row>
    <row r="4398" spans="1:40" x14ac:dyDescent="0.25">
      <c r="A4398" t="str">
        <f>"20190312151115199"</f>
        <v>20190312151115199</v>
      </c>
      <c r="B4398" t="str">
        <f>"1552374675195774"</f>
        <v>1552374675195774</v>
      </c>
      <c r="C4398" t="s">
        <v>40</v>
      </c>
      <c r="D4398">
        <v>5.129785</v>
      </c>
      <c r="E4398">
        <v>0.48932189999999998</v>
      </c>
      <c r="F4398" t="s">
        <v>42</v>
      </c>
      <c r="G4398">
        <v>-328.17020000000002</v>
      </c>
      <c r="H4398" s="1">
        <v>-8.4060090000000003E-7</v>
      </c>
      <c r="I4398">
        <v>139.203</v>
      </c>
      <c r="J4398">
        <v>-317.72579999999999</v>
      </c>
      <c r="K4398">
        <v>1.110589</v>
      </c>
      <c r="L4398">
        <v>139.35749999999999</v>
      </c>
      <c r="M4398">
        <v>-0.9984729</v>
      </c>
      <c r="N4398">
        <v>0</v>
      </c>
      <c r="O4398">
        <v>5.3991690000000002E-2</v>
      </c>
      <c r="P4398">
        <v>-0.99419829999999998</v>
      </c>
      <c r="Q4398">
        <v>0.10599260000000001</v>
      </c>
      <c r="R4398">
        <v>1.8315629999999999E-2</v>
      </c>
      <c r="S4398">
        <v>-3.052155</v>
      </c>
      <c r="T4398">
        <v>-0.31655719999999998</v>
      </c>
      <c r="U4398">
        <v>-4.01001E-2</v>
      </c>
      <c r="V4398">
        <v>-3.552023E-2</v>
      </c>
      <c r="W4398">
        <v>0.117578</v>
      </c>
      <c r="X4398">
        <v>0.99242819999999998</v>
      </c>
      <c r="Y4398">
        <v>-6.6462779999999999E-2</v>
      </c>
      <c r="Z4398">
        <v>-9.0206729999999999E-3</v>
      </c>
      <c r="AA4398">
        <v>0.99774810000000003</v>
      </c>
      <c r="AB4398">
        <v>27</v>
      </c>
      <c r="AC4398">
        <v>-10.4444</v>
      </c>
      <c r="AD4398">
        <v>-1.1105898406008901</v>
      </c>
      <c r="AE4398">
        <v>-0.15449999999998401</v>
      </c>
      <c r="AF4398">
        <v>-0.71019568923444298</v>
      </c>
      <c r="AG4398">
        <v>-1.1105898406008901</v>
      </c>
      <c r="AH4398">
        <v>10.3043374896447</v>
      </c>
      <c r="AI4398">
        <v>96.137080801046295</v>
      </c>
      <c r="AJ4398">
        <v>93.942705449268104</v>
      </c>
      <c r="AK4398">
        <v>10.3883183822768</v>
      </c>
      <c r="AL4398">
        <v>83.247657419136402</v>
      </c>
      <c r="AM4398">
        <v>92.049811676266998</v>
      </c>
      <c r="AN4398">
        <v>1.0000000024892399</v>
      </c>
    </row>
    <row r="4399" spans="1:40" x14ac:dyDescent="0.25">
      <c r="A4399" t="str">
        <f>"20190312151115222"</f>
        <v>20190312151115222</v>
      </c>
      <c r="B4399" t="str">
        <f>"1552374675215294"</f>
        <v>1552374675215294</v>
      </c>
      <c r="C4399" t="s">
        <v>40</v>
      </c>
      <c r="D4399">
        <v>5.1436869999999999</v>
      </c>
      <c r="E4399">
        <v>0.48883100000000002</v>
      </c>
      <c r="F4399" t="s">
        <v>42</v>
      </c>
      <c r="G4399">
        <v>-328.37759999999997</v>
      </c>
      <c r="H4399" s="1">
        <v>-7.5563159999999998E-7</v>
      </c>
      <c r="I4399">
        <v>139.18049999999999</v>
      </c>
      <c r="J4399">
        <v>-318.00400000000002</v>
      </c>
      <c r="K4399">
        <v>1.1105210000000001</v>
      </c>
      <c r="L4399">
        <v>139.37190000000001</v>
      </c>
      <c r="M4399">
        <v>-0.99850399999999995</v>
      </c>
      <c r="N4399">
        <v>0</v>
      </c>
      <c r="O4399">
        <v>5.3429949999999997E-2</v>
      </c>
      <c r="P4399">
        <v>-0.99427379999999999</v>
      </c>
      <c r="Q4399">
        <v>0.1054942</v>
      </c>
      <c r="R4399">
        <v>1.7056579999999998E-2</v>
      </c>
      <c r="S4399">
        <v>-3.0523989999999999</v>
      </c>
      <c r="T4399">
        <v>-0.3182547</v>
      </c>
      <c r="U4399">
        <v>-5.0689699999999997E-2</v>
      </c>
      <c r="V4399">
        <v>-3.6205080000000001E-2</v>
      </c>
      <c r="W4399">
        <v>0.117006</v>
      </c>
      <c r="X4399">
        <v>0.99247099999999999</v>
      </c>
      <c r="Y4399">
        <v>-6.9341420000000001E-2</v>
      </c>
      <c r="Z4399">
        <v>-9.1592549999999998E-3</v>
      </c>
      <c r="AA4399">
        <v>0.99755099999999997</v>
      </c>
      <c r="AB4399">
        <v>27</v>
      </c>
      <c r="AC4399">
        <v>-10.3735999999999</v>
      </c>
      <c r="AD4399">
        <v>-1.1105217556315901</v>
      </c>
      <c r="AE4399">
        <v>-0.191400000000015</v>
      </c>
      <c r="AF4399">
        <v>-0.73698177211930704</v>
      </c>
      <c r="AG4399">
        <v>-1.1105217556315901</v>
      </c>
      <c r="AH4399">
        <v>10.2313390799308</v>
      </c>
      <c r="AI4399">
        <v>96.178816671516302</v>
      </c>
      <c r="AJ4399">
        <v>94.1200023190069</v>
      </c>
      <c r="AK4399">
        <v>10.3177856185659</v>
      </c>
      <c r="AL4399">
        <v>83.280658033507706</v>
      </c>
      <c r="AM4399">
        <v>92.089208482515204</v>
      </c>
      <c r="AN4399">
        <v>0.99999994884740095</v>
      </c>
    </row>
    <row r="4400" spans="1:40" x14ac:dyDescent="0.25">
      <c r="A4400" t="str">
        <f>"20190312151115244"</f>
        <v>20190312151115244</v>
      </c>
      <c r="B4400" t="str">
        <f>"1552374675235790"</f>
        <v>1552374675235790</v>
      </c>
      <c r="C4400" t="s">
        <v>40</v>
      </c>
      <c r="D4400">
        <v>5.0849129999999896</v>
      </c>
      <c r="E4400">
        <v>0.48836970000000002</v>
      </c>
      <c r="F4400" t="s">
        <v>42</v>
      </c>
      <c r="G4400">
        <v>-328.59280000000001</v>
      </c>
      <c r="H4400" s="1">
        <v>-6.6503869999999902E-7</v>
      </c>
      <c r="I4400">
        <v>139.17080000000001</v>
      </c>
      <c r="J4400">
        <v>-318.26990000000001</v>
      </c>
      <c r="K4400">
        <v>1.110457</v>
      </c>
      <c r="L4400">
        <v>139.38550000000001</v>
      </c>
      <c r="M4400">
        <v>-0.99852940000000001</v>
      </c>
      <c r="N4400">
        <v>0</v>
      </c>
      <c r="O4400">
        <v>5.2967569999999999E-2</v>
      </c>
      <c r="P4400">
        <v>-0.99434180000000005</v>
      </c>
      <c r="Q4400">
        <v>0.1050315</v>
      </c>
      <c r="R4400">
        <v>1.590368E-2</v>
      </c>
      <c r="S4400">
        <v>-3.0522770000000001</v>
      </c>
      <c r="T4400">
        <v>-0.32011719999999999</v>
      </c>
      <c r="U4400">
        <v>-5.7922359999999999E-2</v>
      </c>
      <c r="V4400">
        <v>-3.6883640000000002E-2</v>
      </c>
      <c r="W4400">
        <v>0.116477</v>
      </c>
      <c r="X4400">
        <v>0.99250830000000001</v>
      </c>
      <c r="Y4400">
        <v>-7.1227390000000002E-2</v>
      </c>
      <c r="Z4400">
        <v>-9.2631209999999992E-3</v>
      </c>
      <c r="AA4400">
        <v>0.99741709999999995</v>
      </c>
      <c r="AB4400">
        <v>27</v>
      </c>
      <c r="AC4400">
        <v>-10.322900000000001</v>
      </c>
      <c r="AD4400">
        <v>-1.1104576650386999</v>
      </c>
      <c r="AE4400">
        <v>-0.21469999999999301</v>
      </c>
      <c r="AF4400">
        <v>-0.75250987171891803</v>
      </c>
      <c r="AG4400">
        <v>-1.1104576650386999</v>
      </c>
      <c r="AH4400">
        <v>10.1792925104782</v>
      </c>
      <c r="AI4400">
        <v>96.208960093199494</v>
      </c>
      <c r="AJ4400">
        <v>94.227931757901899</v>
      </c>
      <c r="AK4400">
        <v>10.2672967886759</v>
      </c>
      <c r="AL4400">
        <v>83.311176586569502</v>
      </c>
      <c r="AM4400">
        <v>92.128249089792504</v>
      </c>
      <c r="AN4400">
        <v>1.00000000999876</v>
      </c>
    </row>
    <row r="4401" spans="1:40" x14ac:dyDescent="0.25">
      <c r="A4401" t="str">
        <f>"20190312151115266"</f>
        <v>20190312151115266</v>
      </c>
      <c r="B4401" t="str">
        <f>"1552374675255310"</f>
        <v>1552374675255310</v>
      </c>
      <c r="C4401" t="s">
        <v>40</v>
      </c>
      <c r="D4401">
        <v>5.097461</v>
      </c>
      <c r="E4401">
        <v>0.48796879999999998</v>
      </c>
      <c r="F4401" t="s">
        <v>42</v>
      </c>
      <c r="G4401">
        <v>-328.7842</v>
      </c>
      <c r="H4401" s="1">
        <v>-5.8425429999999999E-7</v>
      </c>
      <c r="I4401">
        <v>139.16319999999999</v>
      </c>
      <c r="J4401">
        <v>-318.53449999999998</v>
      </c>
      <c r="K4401">
        <v>1.1103889999999901</v>
      </c>
      <c r="L4401">
        <v>139.3991</v>
      </c>
      <c r="M4401">
        <v>-0.99854960000000004</v>
      </c>
      <c r="N4401">
        <v>0</v>
      </c>
      <c r="O4401">
        <v>5.2600800000000003E-2</v>
      </c>
      <c r="P4401">
        <v>-0.99441279999999999</v>
      </c>
      <c r="Q4401">
        <v>0.10443379999999999</v>
      </c>
      <c r="R4401">
        <v>1.53852E-2</v>
      </c>
      <c r="S4401">
        <v>-3.052155</v>
      </c>
      <c r="T4401">
        <v>-0.32235219999999998</v>
      </c>
      <c r="U4401">
        <v>-6.4514160000000001E-2</v>
      </c>
      <c r="V4401">
        <v>-3.7021909999999998E-2</v>
      </c>
      <c r="W4401">
        <v>0.115813</v>
      </c>
      <c r="X4401">
        <v>0.99258080000000004</v>
      </c>
      <c r="Y4401">
        <v>-7.2997549999999994E-2</v>
      </c>
      <c r="Z4401">
        <v>-9.3822939999999994E-3</v>
      </c>
      <c r="AA4401">
        <v>0.99728799999999995</v>
      </c>
      <c r="AB4401">
        <v>27</v>
      </c>
      <c r="AC4401">
        <v>-10.249700000000001</v>
      </c>
      <c r="AD4401">
        <v>-1.1103895842542999</v>
      </c>
      <c r="AE4401">
        <v>-0.23590000000001499</v>
      </c>
      <c r="AF4401">
        <v>-0.76576887022513396</v>
      </c>
      <c r="AG4401">
        <v>-1.1103895842542999</v>
      </c>
      <c r="AH4401">
        <v>10.1045725384874</v>
      </c>
      <c r="AI4401">
        <v>96.253271872524493</v>
      </c>
      <c r="AJ4401">
        <v>94.333841579540803</v>
      </c>
      <c r="AK4401">
        <v>10.1942019391897</v>
      </c>
      <c r="AL4401">
        <v>83.349479870203695</v>
      </c>
      <c r="AM4401">
        <v>92.136064238104694</v>
      </c>
      <c r="AN4401">
        <v>0.99999995865884295</v>
      </c>
    </row>
    <row r="4402" spans="1:40" x14ac:dyDescent="0.25">
      <c r="A4402" t="str">
        <f>"20190312151115288"</f>
        <v>20190312151115288</v>
      </c>
      <c r="B4402" t="str">
        <f>"1552374675285566"</f>
        <v>1552374675285566</v>
      </c>
      <c r="C4402" t="s">
        <v>40</v>
      </c>
      <c r="D4402">
        <v>5.198588</v>
      </c>
      <c r="E4402">
        <v>0.48748649999999999</v>
      </c>
      <c r="F4402" t="s">
        <v>42</v>
      </c>
      <c r="G4402">
        <v>-328.97030000000001</v>
      </c>
      <c r="H4402" s="1">
        <v>-5.0494869999999997E-7</v>
      </c>
      <c r="I4402">
        <v>139.16030000000001</v>
      </c>
      <c r="J4402">
        <v>-318.79899999999998</v>
      </c>
      <c r="K4402">
        <v>1.1103099999999999</v>
      </c>
      <c r="L4402">
        <v>139.4127</v>
      </c>
      <c r="M4402">
        <v>-0.9985638</v>
      </c>
      <c r="N4402">
        <v>0</v>
      </c>
      <c r="O4402">
        <v>5.2348489999999998E-2</v>
      </c>
      <c r="P4402">
        <v>-0.9944904</v>
      </c>
      <c r="Q4402">
        <v>0.10371950000000001</v>
      </c>
      <c r="R4402">
        <v>1.520763E-2</v>
      </c>
      <c r="S4402">
        <v>-3.052063</v>
      </c>
      <c r="T4402">
        <v>-0.32474710000000001</v>
      </c>
      <c r="U4402">
        <v>-6.9808960000000003E-2</v>
      </c>
      <c r="V4402">
        <v>-3.6931079999999998E-2</v>
      </c>
      <c r="W4402">
        <v>0.11503190000000001</v>
      </c>
      <c r="X4402">
        <v>0.99267510000000003</v>
      </c>
      <c r="Y4402">
        <v>-7.4458129999999997E-2</v>
      </c>
      <c r="Z4402">
        <v>-9.5024970000000004E-3</v>
      </c>
      <c r="AA4402">
        <v>0.99717889999999998</v>
      </c>
      <c r="AB4402">
        <v>27</v>
      </c>
      <c r="AC4402">
        <v>-10.171299999999899</v>
      </c>
      <c r="AD4402">
        <v>-1.1103105049486901</v>
      </c>
      <c r="AE4402">
        <v>-0.25239999999999402</v>
      </c>
      <c r="AF4402">
        <v>-0.77530768824815099</v>
      </c>
      <c r="AG4402">
        <v>-1.1103105049486901</v>
      </c>
      <c r="AH4402">
        <v>10.0247554943608</v>
      </c>
      <c r="AI4402">
        <v>96.301476180562901</v>
      </c>
      <c r="AJ4402">
        <v>94.422412800420005</v>
      </c>
      <c r="AK4402">
        <v>10.1158101084675</v>
      </c>
      <c r="AL4402">
        <v>83.394535326651706</v>
      </c>
      <c r="AM4402">
        <v>92.130626195908505</v>
      </c>
      <c r="AN4402">
        <v>1.0000000484237901</v>
      </c>
    </row>
    <row r="4403" spans="1:40" x14ac:dyDescent="0.25">
      <c r="A4403" t="str">
        <f>"20190312151115310"</f>
        <v>20190312151115310</v>
      </c>
      <c r="B4403" t="str">
        <f>"1552374675305089"</f>
        <v>1552374675305089</v>
      </c>
      <c r="C4403" t="s">
        <v>40</v>
      </c>
      <c r="D4403">
        <v>5.1100729999999999</v>
      </c>
      <c r="E4403">
        <v>0.48716989999999999</v>
      </c>
      <c r="F4403" t="s">
        <v>42</v>
      </c>
      <c r="G4403">
        <v>-329.22269999999997</v>
      </c>
      <c r="H4403" s="1">
        <v>-3.9663939999999998E-7</v>
      </c>
      <c r="I4403">
        <v>139.16040000000001</v>
      </c>
      <c r="J4403">
        <v>-319.07089999999999</v>
      </c>
      <c r="K4403">
        <v>1.110217</v>
      </c>
      <c r="L4403">
        <v>139.42670000000001</v>
      </c>
      <c r="M4403">
        <v>-0.99857209999999996</v>
      </c>
      <c r="N4403">
        <v>0</v>
      </c>
      <c r="O4403">
        <v>5.2206679999999998E-2</v>
      </c>
      <c r="P4403">
        <v>-0.99454830000000005</v>
      </c>
      <c r="Q4403">
        <v>0.1032517</v>
      </c>
      <c r="R4403">
        <v>1.459327E-2</v>
      </c>
      <c r="S4403">
        <v>-3.0516049999999999</v>
      </c>
      <c r="T4403">
        <v>-0.32505070000000003</v>
      </c>
      <c r="U4403">
        <v>-7.3837280000000005E-2</v>
      </c>
      <c r="V4403">
        <v>-3.7382619999999998E-2</v>
      </c>
      <c r="W4403">
        <v>0.11449620000000001</v>
      </c>
      <c r="X4403">
        <v>0.99272009999999999</v>
      </c>
      <c r="Y4403">
        <v>-7.5628100000000004E-2</v>
      </c>
      <c r="Z4403">
        <v>-9.5597229999999991E-3</v>
      </c>
      <c r="AA4403">
        <v>0.99709029999999998</v>
      </c>
      <c r="AB4403">
        <v>27</v>
      </c>
      <c r="AC4403">
        <v>-10.1517999999999</v>
      </c>
      <c r="AD4403">
        <v>-1.1102173966394</v>
      </c>
      <c r="AE4403">
        <v>-0.26630000000000098</v>
      </c>
      <c r="AF4403">
        <v>-0.78656177308180997</v>
      </c>
      <c r="AG4403">
        <v>-1.1102173966394</v>
      </c>
      <c r="AH4403">
        <v>10.004479736885401</v>
      </c>
      <c r="AI4403">
        <v>96.312996827212601</v>
      </c>
      <c r="AJ4403">
        <v>94.495401838235907</v>
      </c>
      <c r="AK4403">
        <v>10.096577484297599</v>
      </c>
      <c r="AL4403">
        <v>83.425432623717299</v>
      </c>
      <c r="AM4403">
        <v>92.156554302078504</v>
      </c>
      <c r="AN4403">
        <v>1.00000001851825</v>
      </c>
    </row>
    <row r="4404" spans="1:40" x14ac:dyDescent="0.25">
      <c r="A4404" t="str">
        <f>"20190312151115334"</f>
        <v>20190312151115334</v>
      </c>
      <c r="B4404" t="str">
        <f>"1552374675325581"</f>
        <v>1552374675325581</v>
      </c>
      <c r="C4404" t="s">
        <v>40</v>
      </c>
      <c r="D4404">
        <v>5.1606189999999996</v>
      </c>
      <c r="E4404">
        <v>0.48693760000000003</v>
      </c>
      <c r="F4404" t="s">
        <v>42</v>
      </c>
      <c r="G4404">
        <v>-329.60840000000002</v>
      </c>
      <c r="H4404" s="1">
        <v>-2.4086190000000001E-7</v>
      </c>
      <c r="I4404">
        <v>139.15950000000001</v>
      </c>
      <c r="J4404">
        <v>-319.35509999999999</v>
      </c>
      <c r="K4404">
        <v>1.1101160000000001</v>
      </c>
      <c r="L4404">
        <v>139.44139999999999</v>
      </c>
      <c r="M4404">
        <v>-0.99857430000000003</v>
      </c>
      <c r="N4404">
        <v>0</v>
      </c>
      <c r="O4404">
        <v>5.2181470000000001E-2</v>
      </c>
      <c r="P4404">
        <v>-0.9945562</v>
      </c>
      <c r="Q4404">
        <v>0.1032021</v>
      </c>
      <c r="R4404">
        <v>1.4402359999999999E-2</v>
      </c>
      <c r="S4404">
        <v>-3.0509339999999998</v>
      </c>
      <c r="T4404">
        <v>-0.3214437</v>
      </c>
      <c r="U4404">
        <v>-7.7331540000000004E-2</v>
      </c>
      <c r="V4404">
        <v>-3.7523250000000001E-2</v>
      </c>
      <c r="W4404">
        <v>0.1143773</v>
      </c>
      <c r="X4404">
        <v>0.99272850000000001</v>
      </c>
      <c r="Y4404">
        <v>-7.6758919999999994E-2</v>
      </c>
      <c r="Z4404">
        <v>-9.5129480000000002E-3</v>
      </c>
      <c r="AA4404">
        <v>0.99700429999999995</v>
      </c>
      <c r="AB4404">
        <v>27</v>
      </c>
      <c r="AC4404">
        <v>-10.253299999999999</v>
      </c>
      <c r="AD4404">
        <v>-1.1101162408619001</v>
      </c>
      <c r="AE4404">
        <v>-0.281899999999978</v>
      </c>
      <c r="AF4404">
        <v>-0.80712781898939001</v>
      </c>
      <c r="AG4404">
        <v>-1.1101162408619001</v>
      </c>
      <c r="AH4404">
        <v>10.106240430325601</v>
      </c>
      <c r="AI4404">
        <v>96.248764275588499</v>
      </c>
      <c r="AJ4404">
        <v>94.566195590958401</v>
      </c>
      <c r="AK4404">
        <v>10.1990151004869</v>
      </c>
      <c r="AL4404">
        <v>83.432290137779304</v>
      </c>
      <c r="AM4404">
        <v>92.164641060122904</v>
      </c>
      <c r="AN4404">
        <v>1.00000001787905</v>
      </c>
    </row>
    <row r="4405" spans="1:40" x14ac:dyDescent="0.25">
      <c r="A4405" t="str">
        <f>"20190312151115356"</f>
        <v>20190312151115356</v>
      </c>
      <c r="B4405" t="str">
        <f>"1552374675345102"</f>
        <v>1552374675345102</v>
      </c>
      <c r="C4405" t="s">
        <v>40</v>
      </c>
      <c r="D4405">
        <v>5.132136</v>
      </c>
      <c r="E4405">
        <v>0.48673929999999999</v>
      </c>
      <c r="F4405" t="s">
        <v>42</v>
      </c>
      <c r="G4405">
        <v>-330.04820000000001</v>
      </c>
      <c r="H4405" s="1">
        <v>-4.7651130000000001E-6</v>
      </c>
      <c r="I4405">
        <v>139.16329999999999</v>
      </c>
      <c r="J4405">
        <v>-319.62459999999999</v>
      </c>
      <c r="K4405">
        <v>1.110017</v>
      </c>
      <c r="L4405">
        <v>139.4555</v>
      </c>
      <c r="M4405">
        <v>-0.99856940000000005</v>
      </c>
      <c r="N4405">
        <v>0</v>
      </c>
      <c r="O4405">
        <v>5.2287859999999999E-2</v>
      </c>
      <c r="P4405">
        <v>-0.99457680000000004</v>
      </c>
      <c r="Q4405">
        <v>0.10305159999999999</v>
      </c>
      <c r="R4405">
        <v>1.404589E-2</v>
      </c>
      <c r="S4405">
        <v>-3.0504150000000001</v>
      </c>
      <c r="T4405">
        <v>-0.31668370000000001</v>
      </c>
      <c r="U4405">
        <v>-7.9330440000000002E-2</v>
      </c>
      <c r="V4405">
        <v>-3.7960630000000002E-2</v>
      </c>
      <c r="W4405">
        <v>0.11416320000000001</v>
      </c>
      <c r="X4405">
        <v>0.99273650000000002</v>
      </c>
      <c r="Y4405">
        <v>-7.7538200000000002E-2</v>
      </c>
      <c r="Z4405">
        <v>-9.4257070000000002E-3</v>
      </c>
      <c r="AA4405">
        <v>0.99694479999999996</v>
      </c>
      <c r="AB4405">
        <v>27</v>
      </c>
      <c r="AC4405">
        <v>-10.4236</v>
      </c>
      <c r="AD4405">
        <v>-1.110021765113</v>
      </c>
      <c r="AE4405">
        <v>-0.29220000000000801</v>
      </c>
      <c r="AF4405">
        <v>-0.82748544833258697</v>
      </c>
      <c r="AG4405">
        <v>-1.110021765113</v>
      </c>
      <c r="AH4405">
        <v>10.2775994844124</v>
      </c>
      <c r="AI4405">
        <v>96.144547718990793</v>
      </c>
      <c r="AJ4405">
        <v>94.603154027568493</v>
      </c>
      <c r="AK4405">
        <v>10.3704354608773</v>
      </c>
      <c r="AL4405">
        <v>83.444637942227899</v>
      </c>
      <c r="AM4405">
        <v>92.189830582350098</v>
      </c>
      <c r="AN4405">
        <v>1.00000000204824</v>
      </c>
    </row>
    <row r="4406" spans="1:40" x14ac:dyDescent="0.25">
      <c r="A4406" t="str">
        <f>"20190312151115379"</f>
        <v>20190312151115379</v>
      </c>
      <c r="B4406" t="str">
        <f>"1552374675375358"</f>
        <v>1552374675375358</v>
      </c>
      <c r="C4406" t="s">
        <v>40</v>
      </c>
      <c r="D4406">
        <v>5.1264949999999896</v>
      </c>
      <c r="E4406">
        <v>0.48650589999999999</v>
      </c>
      <c r="F4406" t="s">
        <v>42</v>
      </c>
      <c r="G4406">
        <v>-330.46699999999998</v>
      </c>
      <c r="H4406" s="1">
        <v>-4.5667489999999997E-6</v>
      </c>
      <c r="I4406">
        <v>139.16550000000001</v>
      </c>
      <c r="J4406">
        <v>-319.89089999999999</v>
      </c>
      <c r="K4406">
        <v>1.109912</v>
      </c>
      <c r="L4406">
        <v>139.46969999999999</v>
      </c>
      <c r="M4406">
        <v>-0.99855749999999999</v>
      </c>
      <c r="N4406">
        <v>0</v>
      </c>
      <c r="O4406">
        <v>5.2531939999999999E-2</v>
      </c>
      <c r="P4406">
        <v>-0.99462320000000004</v>
      </c>
      <c r="Q4406">
        <v>0.10263</v>
      </c>
      <c r="R4406">
        <v>1.385199E-2</v>
      </c>
      <c r="S4406">
        <v>-3.0498660000000002</v>
      </c>
      <c r="T4406">
        <v>-0.312237599999999</v>
      </c>
      <c r="U4406">
        <v>-8.1573489999999999E-2</v>
      </c>
      <c r="V4406">
        <v>-3.8372700000000003E-2</v>
      </c>
      <c r="W4406">
        <v>0.1136823</v>
      </c>
      <c r="X4406">
        <v>0.99277590000000004</v>
      </c>
      <c r="Y4406">
        <v>-7.8531859999999995E-2</v>
      </c>
      <c r="Z4406">
        <v>-9.3712889999999997E-3</v>
      </c>
      <c r="AA4406">
        <v>0.99686750000000002</v>
      </c>
      <c r="AB4406">
        <v>27</v>
      </c>
      <c r="AC4406">
        <v>-10.576099999999901</v>
      </c>
      <c r="AD4406">
        <v>-1.1099165667489901</v>
      </c>
      <c r="AE4406">
        <v>-0.30419999999997999</v>
      </c>
      <c r="AF4406">
        <v>-0.85004293203536996</v>
      </c>
      <c r="AG4406">
        <v>-1.1099165667489901</v>
      </c>
      <c r="AH4406">
        <v>10.4307290008328</v>
      </c>
      <c r="AI4406">
        <v>96.053973238185804</v>
      </c>
      <c r="AJ4406">
        <v>94.658972654513207</v>
      </c>
      <c r="AK4406">
        <v>10.5240009150637</v>
      </c>
      <c r="AL4406">
        <v>83.472372412895396</v>
      </c>
      <c r="AM4406">
        <v>92.213490335756205</v>
      </c>
      <c r="AN4406">
        <v>1.00000005852969</v>
      </c>
    </row>
    <row r="4407" spans="1:40" x14ac:dyDescent="0.25">
      <c r="A4407" t="str">
        <f>"20190312151115400"</f>
        <v>20190312151115400</v>
      </c>
      <c r="B4407" t="str">
        <f>"1552374675395854"</f>
        <v>1552374675395854</v>
      </c>
      <c r="C4407" t="s">
        <v>40</v>
      </c>
      <c r="D4407">
        <v>5.1766670000000001</v>
      </c>
      <c r="E4407">
        <v>0.50602799999999903</v>
      </c>
      <c r="F4407" t="s">
        <v>42</v>
      </c>
      <c r="G4407">
        <v>-330.92149999999998</v>
      </c>
      <c r="H4407" s="1">
        <v>-4.3516230000000004E-6</v>
      </c>
      <c r="I4407">
        <v>139.1671</v>
      </c>
      <c r="J4407">
        <v>-320.16090000000003</v>
      </c>
      <c r="K4407">
        <v>1.1097980000000001</v>
      </c>
      <c r="L4407">
        <v>139.48419999999999</v>
      </c>
      <c r="M4407">
        <v>-0.99853769999999997</v>
      </c>
      <c r="N4407">
        <v>0</v>
      </c>
      <c r="O4407">
        <v>5.2920799999999997E-2</v>
      </c>
      <c r="P4407">
        <v>-0.99468789999999996</v>
      </c>
      <c r="Q4407">
        <v>0.1019664</v>
      </c>
      <c r="R4407">
        <v>1.411458E-2</v>
      </c>
      <c r="S4407">
        <v>-3.0490110000000001</v>
      </c>
      <c r="T4407">
        <v>-0.30679659999999997</v>
      </c>
      <c r="U4407">
        <v>-8.363342E-2</v>
      </c>
      <c r="V4407">
        <v>-3.8473880000000002E-2</v>
      </c>
      <c r="W4407">
        <v>0.1129594</v>
      </c>
      <c r="X4407">
        <v>0.99285440000000003</v>
      </c>
      <c r="Y4407">
        <v>-7.9616259999999994E-2</v>
      </c>
      <c r="Z4407">
        <v>-9.3047230000000009E-3</v>
      </c>
      <c r="AA4407">
        <v>0.99678219999999995</v>
      </c>
      <c r="AB4407">
        <v>27</v>
      </c>
      <c r="AC4407">
        <v>-10.760599999999901</v>
      </c>
      <c r="AD4407">
        <v>-1.109802351623</v>
      </c>
      <c r="AE4407">
        <v>-0.31709999999998201</v>
      </c>
      <c r="AF4407">
        <v>-0.87683111390226698</v>
      </c>
      <c r="AG4407">
        <v>-1.109802351623</v>
      </c>
      <c r="AH4407">
        <v>10.6159139809716</v>
      </c>
      <c r="AI4407">
        <v>95.947993127272795</v>
      </c>
      <c r="AJ4407">
        <v>94.721679485092494</v>
      </c>
      <c r="AK4407">
        <v>10.7097209913874</v>
      </c>
      <c r="AL4407">
        <v>83.514059438442402</v>
      </c>
      <c r="AM4407">
        <v>92.219145678035304</v>
      </c>
      <c r="AN4407">
        <v>0.99999996254498602</v>
      </c>
    </row>
    <row r="4408" spans="1:40" x14ac:dyDescent="0.25">
      <c r="A4408" t="str">
        <f>"20190312151115423"</f>
        <v>20190312151115423</v>
      </c>
      <c r="B4408" t="str">
        <f>"1552374675415375"</f>
        <v>1552374675415375</v>
      </c>
      <c r="C4408" t="s">
        <v>40</v>
      </c>
      <c r="D4408">
        <v>5.1915779999999998</v>
      </c>
      <c r="E4408">
        <v>0.51461409999999996</v>
      </c>
      <c r="F4408" t="s">
        <v>42</v>
      </c>
      <c r="G4408">
        <v>-342.16739999999999</v>
      </c>
      <c r="H4408" s="1">
        <v>-3.4573919999999999E-6</v>
      </c>
      <c r="I4408">
        <v>140.04820000000001</v>
      </c>
      <c r="J4408">
        <v>-320.42849999999999</v>
      </c>
      <c r="K4408">
        <v>1.109704</v>
      </c>
      <c r="L4408">
        <v>139.49879999999999</v>
      </c>
      <c r="M4408">
        <v>-0.99851230000000002</v>
      </c>
      <c r="N4408">
        <v>0</v>
      </c>
      <c r="O4408">
        <v>5.3411430000000003E-2</v>
      </c>
      <c r="P4408">
        <v>-0.99474450000000003</v>
      </c>
      <c r="Q4408">
        <v>0.1013283</v>
      </c>
      <c r="R4408">
        <v>1.469547E-2</v>
      </c>
      <c r="S4408">
        <v>-3.030548</v>
      </c>
      <c r="T4408">
        <v>-0.15283329999999901</v>
      </c>
      <c r="U4408">
        <v>7.7682500000000002E-2</v>
      </c>
      <c r="V4408">
        <v>-3.8361880000000001E-2</v>
      </c>
      <c r="W4408">
        <v>0.1122643</v>
      </c>
      <c r="X4408">
        <v>0.99293759999999998</v>
      </c>
      <c r="Y4408">
        <v>-2.770601E-2</v>
      </c>
      <c r="Z4408">
        <v>-3.388238E-3</v>
      </c>
      <c r="AA4408">
        <v>0.99961040000000001</v>
      </c>
      <c r="AB4408">
        <v>27</v>
      </c>
      <c r="AC4408">
        <v>-21.738900000000001</v>
      </c>
      <c r="AD4408">
        <v>-1.1097074573920001</v>
      </c>
      <c r="AE4408">
        <v>0.54940000000001898</v>
      </c>
      <c r="AF4408">
        <v>-0.61096890753604205</v>
      </c>
      <c r="AG4408">
        <v>-1.1097074573920001</v>
      </c>
      <c r="AH4408">
        <v>21.680752214834602</v>
      </c>
      <c r="AI4408">
        <v>92.928909091855999</v>
      </c>
      <c r="AJ4408">
        <v>91.614181902150705</v>
      </c>
      <c r="AK4408">
        <v>21.717728938542901</v>
      </c>
      <c r="AL4408">
        <v>83.554140883707205</v>
      </c>
      <c r="AM4408">
        <v>92.212506808134705</v>
      </c>
      <c r="AN4408">
        <v>0.99999999219269198</v>
      </c>
    </row>
    <row r="4409" spans="1:40" x14ac:dyDescent="0.25">
      <c r="A4409" t="str">
        <f>"20190312151115444"</f>
        <v>20190312151115444</v>
      </c>
      <c r="B4409" t="str">
        <f>"1552374675435870"</f>
        <v>1552374675435870</v>
      </c>
      <c r="C4409" t="s">
        <v>40</v>
      </c>
      <c r="D4409">
        <v>5.1367570000000002</v>
      </c>
      <c r="E4409">
        <v>0.51676849999999996</v>
      </c>
      <c r="F4409" t="s">
        <v>42</v>
      </c>
      <c r="G4409">
        <v>-346.7457</v>
      </c>
      <c r="H4409" s="1">
        <v>-1.6913710000000001E-6</v>
      </c>
      <c r="I4409">
        <v>140.79259999999999</v>
      </c>
      <c r="J4409">
        <v>-320.69290000000001</v>
      </c>
      <c r="K4409">
        <v>1.1096170000000001</v>
      </c>
      <c r="L4409">
        <v>139.51349999999999</v>
      </c>
      <c r="M4409">
        <v>-0.99848159999999997</v>
      </c>
      <c r="N4409">
        <v>0</v>
      </c>
      <c r="O4409">
        <v>5.3995189999999998E-2</v>
      </c>
      <c r="P4409">
        <v>-0.99476339999999996</v>
      </c>
      <c r="Q4409">
        <v>0.1010566</v>
      </c>
      <c r="R4409">
        <v>1.527326E-2</v>
      </c>
      <c r="S4409">
        <v>-3.0266419999999998</v>
      </c>
      <c r="T4409">
        <v>-0.12762319999999999</v>
      </c>
      <c r="U4409">
        <v>0.14880370000000001</v>
      </c>
      <c r="V4409">
        <v>-3.8346249999999998E-2</v>
      </c>
      <c r="W4409">
        <v>0.1119411</v>
      </c>
      <c r="X4409">
        <v>0.99297469999999999</v>
      </c>
      <c r="Y4409">
        <v>-4.8474909999999998E-3</v>
      </c>
      <c r="Z4409">
        <v>-2.3750569999999999E-3</v>
      </c>
      <c r="AA4409">
        <v>0.99998549999999997</v>
      </c>
      <c r="AB4409">
        <v>27</v>
      </c>
      <c r="AC4409">
        <v>-26.052799999999898</v>
      </c>
      <c r="AD4409">
        <v>-1.109618691371</v>
      </c>
      <c r="AE4409">
        <v>1.2790999999999899</v>
      </c>
      <c r="AF4409">
        <v>-0.129341719906267</v>
      </c>
      <c r="AG4409">
        <v>-1.109618691371</v>
      </c>
      <c r="AH4409">
        <v>26.036741662291</v>
      </c>
      <c r="AI4409">
        <v>92.440291394522603</v>
      </c>
      <c r="AJ4409">
        <v>90.284623698416198</v>
      </c>
      <c r="AK4409">
        <v>26.060696447133399</v>
      </c>
      <c r="AL4409">
        <v>83.572776395259993</v>
      </c>
      <c r="AM4409">
        <v>92.211523700116899</v>
      </c>
      <c r="AN4409">
        <v>0.99999999979918097</v>
      </c>
    </row>
    <row r="4410" spans="1:40" x14ac:dyDescent="0.25">
      <c r="A4410" t="str">
        <f>"20190312151115466"</f>
        <v>20190312151115466</v>
      </c>
      <c r="B4410" t="str">
        <f>"1552374675455390"</f>
        <v>1552374675455390</v>
      </c>
      <c r="C4410" t="s">
        <v>40</v>
      </c>
      <c r="D4410">
        <v>5.1449420000000003</v>
      </c>
      <c r="E4410">
        <v>0.51747469999999995</v>
      </c>
      <c r="F4410" t="s">
        <v>42</v>
      </c>
      <c r="G4410">
        <v>-348.99540000000002</v>
      </c>
      <c r="H4410" s="1">
        <v>-8.0572039999999996E-7</v>
      </c>
      <c r="I4410">
        <v>141.09110000000001</v>
      </c>
      <c r="J4410">
        <v>-320.95839999999998</v>
      </c>
      <c r="K4410">
        <v>1.109545</v>
      </c>
      <c r="L4410">
        <v>139.52850000000001</v>
      </c>
      <c r="M4410">
        <v>-0.99844469999999996</v>
      </c>
      <c r="N4410">
        <v>0</v>
      </c>
      <c r="O4410">
        <v>5.4681569999999999E-2</v>
      </c>
      <c r="P4410">
        <v>-0.99474910000000005</v>
      </c>
      <c r="Q4410">
        <v>0.1011382</v>
      </c>
      <c r="R4410">
        <v>1.5667239999999999E-2</v>
      </c>
      <c r="S4410">
        <v>-3.0252690000000002</v>
      </c>
      <c r="T4410">
        <v>-0.118608199999999</v>
      </c>
      <c r="U4410">
        <v>0.16864009999999999</v>
      </c>
      <c r="V4410">
        <v>-3.8615980000000001E-2</v>
      </c>
      <c r="W4410">
        <v>0.1119757</v>
      </c>
      <c r="X4410">
        <v>0.99296030000000002</v>
      </c>
      <c r="Y4410">
        <v>1.015179E-3</v>
      </c>
      <c r="Z4410">
        <v>-2.1199869999999998E-3</v>
      </c>
      <c r="AA4410">
        <v>0.99999729999999998</v>
      </c>
      <c r="AB4410">
        <v>27</v>
      </c>
      <c r="AC4410">
        <v>-28.036999999999999</v>
      </c>
      <c r="AD4410">
        <v>-1.1095458057204</v>
      </c>
      <c r="AE4410">
        <v>1.5626</v>
      </c>
      <c r="AF4410">
        <v>2.7021919656300099E-2</v>
      </c>
      <c r="AG4410">
        <v>-1.1095458057204</v>
      </c>
      <c r="AH4410">
        <v>28.036724631074701</v>
      </c>
      <c r="AI4410">
        <v>92.2662813235372</v>
      </c>
      <c r="AJ4410">
        <v>89.944778090464396</v>
      </c>
      <c r="AK4410">
        <v>28.058684041092299</v>
      </c>
      <c r="AL4410">
        <v>83.570781125153403</v>
      </c>
      <c r="AM4410">
        <v>92.227096356142098</v>
      </c>
      <c r="AN4410">
        <v>0.99999995433896904</v>
      </c>
    </row>
    <row r="4411" spans="1:40" x14ac:dyDescent="0.25">
      <c r="A4411" t="str">
        <f>"20190312151115489"</f>
        <v>20190312151115489</v>
      </c>
      <c r="B4411" t="str">
        <f>"1552374675485646"</f>
        <v>1552374675485646</v>
      </c>
      <c r="C4411" t="s">
        <v>40</v>
      </c>
      <c r="D4411">
        <v>5.1438300000000003</v>
      </c>
      <c r="E4411">
        <v>0.51776889999999998</v>
      </c>
      <c r="F4411" t="s">
        <v>42</v>
      </c>
      <c r="G4411">
        <v>-346.2953</v>
      </c>
      <c r="H4411" s="1">
        <v>-1.9390099999999998E-6</v>
      </c>
      <c r="I4411">
        <v>140.99719999999999</v>
      </c>
      <c r="J4411">
        <v>-321.23770000000002</v>
      </c>
      <c r="K4411">
        <v>1.109469</v>
      </c>
      <c r="L4411">
        <v>139.5446</v>
      </c>
      <c r="M4411">
        <v>-0.99839999999999995</v>
      </c>
      <c r="N4411">
        <v>0</v>
      </c>
      <c r="O4411">
        <v>5.5506140000000002E-2</v>
      </c>
      <c r="P4411">
        <v>-0.99468259999999997</v>
      </c>
      <c r="Q4411">
        <v>0.101843</v>
      </c>
      <c r="R4411">
        <v>1.533732E-2</v>
      </c>
      <c r="S4411">
        <v>-3.0265810000000002</v>
      </c>
      <c r="T4411">
        <v>-0.1325392</v>
      </c>
      <c r="U4411">
        <v>0.17544560000000001</v>
      </c>
      <c r="V4411">
        <v>-3.974126E-2</v>
      </c>
      <c r="W4411">
        <v>0.1126381</v>
      </c>
      <c r="X4411">
        <v>0.99284099999999997</v>
      </c>
      <c r="Y4411">
        <v>2.4161389999999999E-3</v>
      </c>
      <c r="Z4411">
        <v>-2.3729070000000001E-3</v>
      </c>
      <c r="AA4411">
        <v>0.9999943</v>
      </c>
      <c r="AB4411">
        <v>27</v>
      </c>
      <c r="AC4411">
        <v>-25.057599999999901</v>
      </c>
      <c r="AD4411">
        <v>-1.1094709390099999</v>
      </c>
      <c r="AE4411">
        <v>1.4525999999999799</v>
      </c>
      <c r="AF4411">
        <v>5.9312758926328701E-2</v>
      </c>
      <c r="AG4411">
        <v>-1.1094709390099999</v>
      </c>
      <c r="AH4411">
        <v>25.050652515395299</v>
      </c>
      <c r="AI4411">
        <v>92.535914378734404</v>
      </c>
      <c r="AJ4411">
        <v>89.864340283942994</v>
      </c>
      <c r="AK4411">
        <v>25.075279364644398</v>
      </c>
      <c r="AL4411">
        <v>83.532586932915706</v>
      </c>
      <c r="AM4411">
        <v>92.2922014149771</v>
      </c>
      <c r="AN4411">
        <v>0.99999998029949799</v>
      </c>
    </row>
    <row r="4412" spans="1:40" x14ac:dyDescent="0.25">
      <c r="A4412" t="str">
        <f>"20190312151115511"</f>
        <v>20190312151115511</v>
      </c>
      <c r="B4412" t="str">
        <f>"1552374675505170"</f>
        <v>1552374675505170</v>
      </c>
      <c r="C4412" t="s">
        <v>40</v>
      </c>
      <c r="D4412">
        <v>5.1957979999999999</v>
      </c>
      <c r="E4412">
        <v>0.51786259999999995</v>
      </c>
      <c r="F4412" t="s">
        <v>42</v>
      </c>
      <c r="G4412">
        <v>-345.33030000000002</v>
      </c>
      <c r="H4412" s="1">
        <v>-2.3410149999999999E-6</v>
      </c>
      <c r="I4412">
        <v>140.952</v>
      </c>
      <c r="J4412">
        <v>-321.51650000000001</v>
      </c>
      <c r="K4412">
        <v>1.109394</v>
      </c>
      <c r="L4412">
        <v>139.56110000000001</v>
      </c>
      <c r="M4412">
        <v>-0.99834920000000005</v>
      </c>
      <c r="N4412">
        <v>0</v>
      </c>
      <c r="O4412">
        <v>5.6419999999999998E-2</v>
      </c>
      <c r="P4412">
        <v>-0.99467000000000005</v>
      </c>
      <c r="Q4412">
        <v>0.1019859</v>
      </c>
      <c r="R4412">
        <v>1.5191680000000001E-2</v>
      </c>
      <c r="S4412">
        <v>-3.0275569999999998</v>
      </c>
      <c r="T4412">
        <v>-0.13942070000000001</v>
      </c>
      <c r="U4412">
        <v>0.17686459999999901</v>
      </c>
      <c r="V4412">
        <v>-4.0776600000000003E-2</v>
      </c>
      <c r="W4412">
        <v>0.11274190000000001</v>
      </c>
      <c r="X4412">
        <v>0.99278719999999998</v>
      </c>
      <c r="Y4412">
        <v>1.9561180000000002E-3</v>
      </c>
      <c r="Z4412">
        <v>-2.5476600000000002E-3</v>
      </c>
      <c r="AA4412">
        <v>0.99999479999999996</v>
      </c>
      <c r="AB4412">
        <v>27</v>
      </c>
      <c r="AC4412">
        <v>-23.813800000000001</v>
      </c>
      <c r="AD4412">
        <v>-1.1093963410150001</v>
      </c>
      <c r="AE4412">
        <v>1.39089999999998</v>
      </c>
      <c r="AF4412">
        <v>4.4934721078623202E-2</v>
      </c>
      <c r="AG4412">
        <v>-1.1093963410150001</v>
      </c>
      <c r="AH4412">
        <v>23.8028590029413</v>
      </c>
      <c r="AI4412">
        <v>92.668488226983101</v>
      </c>
      <c r="AJ4412">
        <v>89.891837916918803</v>
      </c>
      <c r="AK4412">
        <v>23.828740547593299</v>
      </c>
      <c r="AL4412">
        <v>83.526601280608403</v>
      </c>
      <c r="AM4412">
        <v>92.351978986855201</v>
      </c>
      <c r="AN4412">
        <v>0.99999994580350304</v>
      </c>
    </row>
    <row r="4413" spans="1:40" x14ac:dyDescent="0.25">
      <c r="A4413" t="str">
        <f>"20190312151115534"</f>
        <v>20190312151115534</v>
      </c>
      <c r="B4413" t="str">
        <f>"1552374675525662"</f>
        <v>1552374675525662</v>
      </c>
      <c r="C4413" t="s">
        <v>40</v>
      </c>
      <c r="D4413">
        <v>5.1399010000000001</v>
      </c>
      <c r="E4413">
        <v>0.51825600000000005</v>
      </c>
      <c r="F4413" t="s">
        <v>42</v>
      </c>
      <c r="G4413">
        <v>-347.08609999999999</v>
      </c>
      <c r="H4413" s="1">
        <v>-1.6166980000000001E-6</v>
      </c>
      <c r="I4413">
        <v>141.0607</v>
      </c>
      <c r="J4413">
        <v>-321.79539999999997</v>
      </c>
      <c r="K4413">
        <v>1.1093230000000001</v>
      </c>
      <c r="L4413">
        <v>139.5778</v>
      </c>
      <c r="M4413">
        <v>-0.99829310000000004</v>
      </c>
      <c r="N4413">
        <v>0</v>
      </c>
      <c r="O4413">
        <v>5.741371E-2</v>
      </c>
      <c r="P4413">
        <v>-0.99463520000000005</v>
      </c>
      <c r="Q4413">
        <v>0.1022054</v>
      </c>
      <c r="R4413">
        <v>1.59813E-2</v>
      </c>
      <c r="S4413">
        <v>-3.0268250000000001</v>
      </c>
      <c r="T4413">
        <v>-0.131326</v>
      </c>
      <c r="U4413">
        <v>0.177536</v>
      </c>
      <c r="V4413">
        <v>-4.095708E-2</v>
      </c>
      <c r="W4413">
        <v>0.11292190000000001</v>
      </c>
      <c r="X4413">
        <v>0.99275930000000001</v>
      </c>
      <c r="Y4413">
        <v>1.19111E-3</v>
      </c>
      <c r="Z4413">
        <v>-2.4599880000000002E-3</v>
      </c>
      <c r="AA4413">
        <v>0.9999962</v>
      </c>
      <c r="AB4413">
        <v>27</v>
      </c>
      <c r="AC4413">
        <v>-25.290700000000001</v>
      </c>
      <c r="AD4413">
        <v>-1.109324616698</v>
      </c>
      <c r="AE4413">
        <v>1.4829000000000001</v>
      </c>
      <c r="AF4413">
        <v>2.8283316131597399E-2</v>
      </c>
      <c r="AG4413">
        <v>-1.109324616698</v>
      </c>
      <c r="AH4413">
        <v>25.2856393478515</v>
      </c>
      <c r="AI4413">
        <v>92.512052267458202</v>
      </c>
      <c r="AJ4413">
        <v>89.935911686991901</v>
      </c>
      <c r="AK4413">
        <v>25.3099774452843</v>
      </c>
      <c r="AL4413">
        <v>83.516221672475695</v>
      </c>
      <c r="AM4413">
        <v>92.3624435531637</v>
      </c>
      <c r="AN4413">
        <v>0.99999993281911104</v>
      </c>
    </row>
    <row r="4414" spans="1:40" x14ac:dyDescent="0.25">
      <c r="A4414" t="str">
        <f>"20190312151115558"</f>
        <v>20190312151115558</v>
      </c>
      <c r="B4414" t="str">
        <f>"1552374675555399"</f>
        <v>1552374675555399</v>
      </c>
      <c r="C4414" t="s">
        <v>40</v>
      </c>
      <c r="D4414">
        <v>5.0615969999999999</v>
      </c>
      <c r="E4414">
        <v>0.51911759999999996</v>
      </c>
      <c r="F4414" t="s">
        <v>42</v>
      </c>
      <c r="G4414">
        <v>-348.35910000000001</v>
      </c>
      <c r="H4414" s="1">
        <v>-1.103144E-6</v>
      </c>
      <c r="I4414">
        <v>141.1831</v>
      </c>
      <c r="J4414">
        <v>-322.06939999999997</v>
      </c>
      <c r="K4414">
        <v>1.109262</v>
      </c>
      <c r="L4414">
        <v>139.59469999999999</v>
      </c>
      <c r="M4414">
        <v>-0.99823300000000004</v>
      </c>
      <c r="N4414">
        <v>0</v>
      </c>
      <c r="O4414">
        <v>5.8457170000000003E-2</v>
      </c>
      <c r="P4414">
        <v>-0.9945754</v>
      </c>
      <c r="Q4414">
        <v>0.1026353</v>
      </c>
      <c r="R4414">
        <v>1.6916219999999999E-2</v>
      </c>
      <c r="S4414">
        <v>-3.0262449999999999</v>
      </c>
      <c r="T4414">
        <v>-0.12637880000000001</v>
      </c>
      <c r="U4414">
        <v>0.18289179999999999</v>
      </c>
      <c r="V4414">
        <v>-4.1042809999999999E-2</v>
      </c>
      <c r="W4414">
        <v>0.1133142</v>
      </c>
      <c r="X4414">
        <v>0.99271109999999896</v>
      </c>
      <c r="Y4414">
        <v>1.916994E-3</v>
      </c>
      <c r="Z4414">
        <v>-2.395987E-3</v>
      </c>
      <c r="AA4414">
        <v>0.99999530000000003</v>
      </c>
      <c r="AB4414">
        <v>27</v>
      </c>
      <c r="AC4414">
        <v>-26.2897</v>
      </c>
      <c r="AD4414">
        <v>-1.1092631031439999</v>
      </c>
      <c r="AE4414">
        <v>1.5884</v>
      </c>
      <c r="AF4414">
        <v>4.8688241093027301E-2</v>
      </c>
      <c r="AG4414">
        <v>-1.1092631031439999</v>
      </c>
      <c r="AH4414">
        <v>26.290959916766599</v>
      </c>
      <c r="AI4414">
        <v>92.415975404625001</v>
      </c>
      <c r="AJ4414">
        <v>89.893894040143806</v>
      </c>
      <c r="AK4414">
        <v>26.314395461835002</v>
      </c>
      <c r="AL4414">
        <v>83.493599606147697</v>
      </c>
      <c r="AM4414">
        <v>92.367497736100503</v>
      </c>
      <c r="AN4414">
        <v>0.99999997411877195</v>
      </c>
    </row>
    <row r="4415" spans="1:40" x14ac:dyDescent="0.25">
      <c r="A4415" t="str">
        <f>"20190312151115601"</f>
        <v>20190312151115601</v>
      </c>
      <c r="B4415" t="str">
        <f>"1552374675595415"</f>
        <v>1552374675595415</v>
      </c>
      <c r="C4415" t="s">
        <v>40</v>
      </c>
      <c r="D4415">
        <v>5.7267210000000004</v>
      </c>
      <c r="E4415">
        <v>0.56001869999999998</v>
      </c>
      <c r="F4415" t="s">
        <v>42</v>
      </c>
      <c r="G4415">
        <v>-346.75009999999997</v>
      </c>
      <c r="H4415" s="1">
        <v>-1.7878169999999999E-6</v>
      </c>
      <c r="I4415">
        <v>141.16210000000001</v>
      </c>
      <c r="J4415">
        <v>-322.60910000000001</v>
      </c>
      <c r="K4415">
        <v>1.1091879999999901</v>
      </c>
      <c r="L4415">
        <v>139.62889999999999</v>
      </c>
      <c r="M4415">
        <v>-0.9981023</v>
      </c>
      <c r="N4415">
        <v>0</v>
      </c>
      <c r="O4415">
        <v>6.0660070000000003E-2</v>
      </c>
      <c r="P4415">
        <v>-0.99452700000000005</v>
      </c>
      <c r="Q4415">
        <v>0.1027004</v>
      </c>
      <c r="R4415">
        <v>1.9209279999999999E-2</v>
      </c>
      <c r="S4415">
        <v>-3.0270999999999999</v>
      </c>
      <c r="T4415">
        <v>-0.13605210000000001</v>
      </c>
      <c r="U4415">
        <v>0.19226070000000001</v>
      </c>
      <c r="V4415">
        <v>-4.0923979999999999E-2</v>
      </c>
      <c r="W4415">
        <v>0.1133185</v>
      </c>
      <c r="X4415">
        <v>0.99271549999999997</v>
      </c>
      <c r="Y4415">
        <v>2.7853230000000001E-3</v>
      </c>
      <c r="Z4415">
        <v>-2.6573270000000001E-3</v>
      </c>
      <c r="AA4415">
        <v>0.99999260000000001</v>
      </c>
      <c r="AB4415">
        <v>27</v>
      </c>
      <c r="AC4415">
        <v>-24.140999999999899</v>
      </c>
      <c r="AD4415">
        <v>-1.1091897878169901</v>
      </c>
      <c r="AE4415">
        <v>1.5332000000000201</v>
      </c>
      <c r="AF4415">
        <v>6.5761123884716194E-2</v>
      </c>
      <c r="AG4415">
        <v>-1.1091897878169901</v>
      </c>
      <c r="AH4415">
        <v>24.138794366706801</v>
      </c>
      <c r="AI4415">
        <v>92.630909603127094</v>
      </c>
      <c r="AJ4415">
        <v>89.843909953574993</v>
      </c>
      <c r="AK4415">
        <v>24.164354325927398</v>
      </c>
      <c r="AL4415">
        <v>83.493351540017002</v>
      </c>
      <c r="AM4415">
        <v>92.360640506452697</v>
      </c>
      <c r="AN4415">
        <v>0.99999995926076901</v>
      </c>
    </row>
    <row r="4416" spans="1:40" x14ac:dyDescent="0.25">
      <c r="A4416" t="str">
        <f>"20190312151115681"</f>
        <v>20190312151115681</v>
      </c>
      <c r="B4416" t="str">
        <f>"1552374675675447"</f>
        <v>1552374675675447</v>
      </c>
      <c r="C4416" t="s">
        <v>40</v>
      </c>
      <c r="D4416">
        <v>9.7551009999999998</v>
      </c>
      <c r="E4416">
        <v>0.53944630000000005</v>
      </c>
      <c r="F4416" t="s">
        <v>82</v>
      </c>
      <c r="G4416">
        <v>-511.95490000000001</v>
      </c>
      <c r="H4416">
        <v>89.651919999999905</v>
      </c>
      <c r="I4416">
        <v>176.61689999999999</v>
      </c>
      <c r="J4416">
        <v>-323.58240000000001</v>
      </c>
      <c r="K4416">
        <v>1.1091390000000001</v>
      </c>
      <c r="L4416">
        <v>139.69399999999999</v>
      </c>
      <c r="M4416">
        <v>-0.99784320000000004</v>
      </c>
      <c r="N4416">
        <v>0</v>
      </c>
      <c r="O4416">
        <v>6.4795350000000002E-2</v>
      </c>
      <c r="P4416">
        <v>-0.99449770000000004</v>
      </c>
      <c r="Q4416">
        <v>0.1016941</v>
      </c>
      <c r="R4416">
        <v>2.5151179999999999E-2</v>
      </c>
      <c r="S4416">
        <v>-2.8672490000000002</v>
      </c>
      <c r="T4416">
        <v>1.340795</v>
      </c>
      <c r="U4416">
        <v>0.56010439999999995</v>
      </c>
      <c r="V4416">
        <v>-3.910396E-2</v>
      </c>
      <c r="W4416">
        <v>0.1122273</v>
      </c>
      <c r="X4416">
        <v>0.99291280000000004</v>
      </c>
      <c r="Y4416">
        <v>0.12199740000000001</v>
      </c>
      <c r="Z4416">
        <v>1.61738299999999E-3</v>
      </c>
      <c r="AA4416">
        <v>0.99252910000000005</v>
      </c>
      <c r="AB4416">
        <v>28</v>
      </c>
      <c r="AC4416">
        <v>-188.3725</v>
      </c>
      <c r="AD4416">
        <v>88.542780999999906</v>
      </c>
      <c r="AE4416">
        <v>36.922899999999998</v>
      </c>
      <c r="AF4416">
        <v>20.3163703673684</v>
      </c>
      <c r="AG4416">
        <v>88.542780999999906</v>
      </c>
      <c r="AH4416">
        <v>156.97131348387001</v>
      </c>
      <c r="AI4416">
        <v>60.777181585584202</v>
      </c>
      <c r="AJ4416">
        <v>82.625359241270104</v>
      </c>
      <c r="AK4416">
        <v>181.363095002731</v>
      </c>
      <c r="AL4416">
        <v>83.556274085174906</v>
      </c>
      <c r="AM4416">
        <v>92.255318486009301</v>
      </c>
      <c r="AN4416">
        <v>0.99999995747840398</v>
      </c>
    </row>
    <row r="4417" spans="1:40" x14ac:dyDescent="0.25">
      <c r="A4417" t="str">
        <f>"20190312151115703"</f>
        <v>20190312151115703</v>
      </c>
      <c r="B4417" t="str">
        <f>"1552374675695944"</f>
        <v>1552374675695944</v>
      </c>
      <c r="C4417" t="s">
        <v>40</v>
      </c>
      <c r="D4417">
        <v>5.0665069999999996</v>
      </c>
      <c r="E4417">
        <v>0.5365896</v>
      </c>
      <c r="F4417" t="s">
        <v>82</v>
      </c>
      <c r="G4417">
        <v>-511.92599999999999</v>
      </c>
      <c r="H4417">
        <v>2.4307300000000001</v>
      </c>
      <c r="I4417">
        <v>163.73650000000001</v>
      </c>
      <c r="J4417">
        <v>-323.85840000000002</v>
      </c>
      <c r="K4417">
        <v>1.1091359999999999</v>
      </c>
      <c r="L4417">
        <v>139.7132</v>
      </c>
      <c r="M4417">
        <v>-0.99776690000000001</v>
      </c>
      <c r="N4417">
        <v>0</v>
      </c>
      <c r="O4417">
        <v>6.5962510000000002E-2</v>
      </c>
      <c r="P4417">
        <v>-0.99450139999999998</v>
      </c>
      <c r="Q4417">
        <v>0.1013135</v>
      </c>
      <c r="R4417">
        <v>2.6500659999999999E-2</v>
      </c>
      <c r="S4417">
        <v>-3.0047299999999999</v>
      </c>
      <c r="T4417">
        <v>2.108467E-2</v>
      </c>
      <c r="U4417">
        <v>0.38356020000000002</v>
      </c>
      <c r="V4417">
        <v>-3.8921070000000002E-2</v>
      </c>
      <c r="W4417">
        <v>0.11182930000000001</v>
      </c>
      <c r="X4417">
        <v>0.99296490000000004</v>
      </c>
      <c r="Y4417">
        <v>6.0913759999999997E-2</v>
      </c>
      <c r="Z4417">
        <v>2.4743060000000002E-4</v>
      </c>
      <c r="AA4417">
        <v>0.998143</v>
      </c>
      <c r="AB4417">
        <v>28</v>
      </c>
      <c r="AC4417">
        <v>-188.0676</v>
      </c>
      <c r="AD4417">
        <v>1.3215939999999999</v>
      </c>
      <c r="AE4417">
        <v>24.023299999999999</v>
      </c>
      <c r="AF4417">
        <v>11.564317737333999</v>
      </c>
      <c r="AG4417">
        <v>1.3215939999999999</v>
      </c>
      <c r="AH4417">
        <v>189.23349254585</v>
      </c>
      <c r="AI4417">
        <v>89.600601707490199</v>
      </c>
      <c r="AJ4417">
        <v>86.502925555658905</v>
      </c>
      <c r="AK4417">
        <v>189.59112520508799</v>
      </c>
      <c r="AL4417">
        <v>83.579222328494893</v>
      </c>
      <c r="AM4417">
        <v>92.244663471447197</v>
      </c>
      <c r="AN4417">
        <v>0.99999996733022101</v>
      </c>
    </row>
    <row r="4418" spans="1:40" x14ac:dyDescent="0.25">
      <c r="A4418" t="str">
        <f>"20190312151115725"</f>
        <v>20190312151115725</v>
      </c>
      <c r="B4418" t="str">
        <f>"1552374675715463"</f>
        <v>1552374675715463</v>
      </c>
      <c r="C4418" t="s">
        <v>40</v>
      </c>
      <c r="D4418">
        <v>5.1876410000000002</v>
      </c>
      <c r="E4418">
        <v>0.53404180000000001</v>
      </c>
      <c r="F4418" t="s">
        <v>82</v>
      </c>
      <c r="G4418">
        <v>-511.92829999999998</v>
      </c>
      <c r="H4418">
        <v>9.3615750000000002</v>
      </c>
      <c r="I4418">
        <v>162.79900000000001</v>
      </c>
      <c r="J4418">
        <v>-324.12560000000002</v>
      </c>
      <c r="K4418">
        <v>1.109132</v>
      </c>
      <c r="L4418">
        <v>139.7321</v>
      </c>
      <c r="M4418">
        <v>-0.99769220000000003</v>
      </c>
      <c r="N4418">
        <v>0</v>
      </c>
      <c r="O4418">
        <v>6.7085249999999999E-2</v>
      </c>
      <c r="P4418">
        <v>-0.99446710000000005</v>
      </c>
      <c r="Q4418">
        <v>0.10131800000000001</v>
      </c>
      <c r="R4418">
        <v>2.7747609999999999E-2</v>
      </c>
      <c r="S4418">
        <v>-2.993439</v>
      </c>
      <c r="T4418">
        <v>0.13135160000000001</v>
      </c>
      <c r="U4418">
        <v>0.36744690000000002</v>
      </c>
      <c r="V4418">
        <v>-3.879374E-2</v>
      </c>
      <c r="W4418">
        <v>0.1118193</v>
      </c>
      <c r="X4418">
        <v>0.9929711</v>
      </c>
      <c r="Y4418">
        <v>5.4984060000000001E-2</v>
      </c>
      <c r="Z4418">
        <v>1.7255339999999999E-3</v>
      </c>
      <c r="AA4418">
        <v>0.99848570000000003</v>
      </c>
      <c r="AB4418">
        <v>28</v>
      </c>
      <c r="AC4418">
        <v>-187.80269999999999</v>
      </c>
      <c r="AD4418">
        <v>8.2524429999999995</v>
      </c>
      <c r="AE4418">
        <v>23.0669</v>
      </c>
      <c r="AF4418">
        <v>10.3956724208865</v>
      </c>
      <c r="AG4418">
        <v>8.2524429999999995</v>
      </c>
      <c r="AH4418">
        <v>188.56841734813199</v>
      </c>
      <c r="AI4418">
        <v>87.4979208080928</v>
      </c>
      <c r="AJ4418">
        <v>86.8445095994404</v>
      </c>
      <c r="AK4418">
        <v>189.03497253611599</v>
      </c>
      <c r="AL4418">
        <v>83.5797994857042</v>
      </c>
      <c r="AM4418">
        <v>92.237313590431</v>
      </c>
      <c r="AN4418">
        <v>1.00000005777544</v>
      </c>
    </row>
    <row r="4419" spans="1:40" x14ac:dyDescent="0.25">
      <c r="A4419" t="str">
        <f>"20190312151115741"</f>
        <v>20190312151115741</v>
      </c>
      <c r="B4419" t="str">
        <f>"1552374675735960"</f>
        <v>1552374675735960</v>
      </c>
      <c r="C4419" t="s">
        <v>40</v>
      </c>
      <c r="D4419">
        <v>4.9984460000000004</v>
      </c>
      <c r="E4419">
        <v>0.53527690000000006</v>
      </c>
      <c r="F4419" t="s">
        <v>82</v>
      </c>
      <c r="G4419">
        <v>-511.93020000000001</v>
      </c>
      <c r="H4419">
        <v>15.010439999999999</v>
      </c>
      <c r="I4419">
        <v>161.9325</v>
      </c>
      <c r="J4419">
        <v>-324.3295</v>
      </c>
      <c r="K4419">
        <v>1.1091299999999999</v>
      </c>
      <c r="L4419">
        <v>139.7467</v>
      </c>
      <c r="M4419">
        <v>-0.99763449999999998</v>
      </c>
      <c r="N4419">
        <v>0</v>
      </c>
      <c r="O4419">
        <v>6.793834E-2</v>
      </c>
      <c r="P4419">
        <v>-0.99445649999999997</v>
      </c>
      <c r="Q4419">
        <v>0.1011416</v>
      </c>
      <c r="R4419">
        <v>2.8753330000000001E-2</v>
      </c>
      <c r="S4419">
        <v>-2.984375</v>
      </c>
      <c r="T4419">
        <v>0.22090409999999999</v>
      </c>
      <c r="U4419">
        <v>0.35278320000000002</v>
      </c>
      <c r="V4419">
        <v>-3.8639260000000002E-2</v>
      </c>
      <c r="W4419">
        <v>0.1116336</v>
      </c>
      <c r="X4419">
        <v>0.99299789999999999</v>
      </c>
      <c r="Y4419">
        <v>4.9698079999999999E-2</v>
      </c>
      <c r="Z4419">
        <v>3.1665030000000002E-3</v>
      </c>
      <c r="AA4419">
        <v>0.99875930000000002</v>
      </c>
      <c r="AB4419">
        <v>28</v>
      </c>
      <c r="AC4419">
        <v>-187.60069999999999</v>
      </c>
      <c r="AD4419">
        <v>13.90131</v>
      </c>
      <c r="AE4419">
        <v>22.1858</v>
      </c>
      <c r="AF4419">
        <v>9.3379880938246203</v>
      </c>
      <c r="AG4419">
        <v>13.90131</v>
      </c>
      <c r="AH4419">
        <v>187.65835543223</v>
      </c>
      <c r="AI4419">
        <v>85.768611764786897</v>
      </c>
      <c r="AJ4419">
        <v>87.151278640338603</v>
      </c>
      <c r="AK4419">
        <v>188.40409444830399</v>
      </c>
      <c r="AL4419">
        <v>83.590505596903299</v>
      </c>
      <c r="AM4419">
        <v>92.228353333524694</v>
      </c>
      <c r="AN4419">
        <v>0.999999941233357</v>
      </c>
    </row>
    <row r="4420" spans="1:40" x14ac:dyDescent="0.25">
      <c r="A4420" t="str">
        <f>"20190312151115759"</f>
        <v>20190312151115759</v>
      </c>
      <c r="B4420" t="str">
        <f>"1552374675755479"</f>
        <v>1552374675755479</v>
      </c>
      <c r="C4420" t="s">
        <v>40</v>
      </c>
      <c r="D4420">
        <v>5.0066100000000002</v>
      </c>
      <c r="E4420">
        <v>0.53420279999999998</v>
      </c>
      <c r="F4420" t="s">
        <v>42</v>
      </c>
      <c r="G4420">
        <v>-356.2312</v>
      </c>
      <c r="H4420" s="1">
        <v>-2.6413929999999998E-6</v>
      </c>
      <c r="I4420">
        <v>143.53360000000001</v>
      </c>
      <c r="J4420">
        <v>-324.54230000000001</v>
      </c>
      <c r="K4420">
        <v>1.1091279999999999</v>
      </c>
      <c r="L4420">
        <v>139.76220000000001</v>
      </c>
      <c r="M4420">
        <v>-0.99757390000000001</v>
      </c>
      <c r="N4420">
        <v>0</v>
      </c>
      <c r="O4420">
        <v>6.8826159999999997E-2</v>
      </c>
      <c r="P4420">
        <v>-0.99445700000000004</v>
      </c>
      <c r="Q4420">
        <v>0.1009193</v>
      </c>
      <c r="R4420">
        <v>2.9514909999999998E-2</v>
      </c>
      <c r="S4420">
        <v>-3.017029</v>
      </c>
      <c r="T4420">
        <v>-0.1048934</v>
      </c>
      <c r="U4420">
        <v>0.35813899999999999</v>
      </c>
      <c r="V4420">
        <v>-3.8765269999999998E-2</v>
      </c>
      <c r="W4420">
        <v>0.1114028</v>
      </c>
      <c r="X4420">
        <v>0.99301899999999999</v>
      </c>
      <c r="Y4420">
        <v>4.926026E-2</v>
      </c>
      <c r="Z4420">
        <v>-1.5270310000000001E-3</v>
      </c>
      <c r="AA4420">
        <v>0.99878480000000003</v>
      </c>
      <c r="AB4420">
        <v>28</v>
      </c>
      <c r="AC4420">
        <v>-31.688899999999901</v>
      </c>
      <c r="AD4420">
        <v>-1.109130641393</v>
      </c>
      <c r="AE4420">
        <v>3.7713999999999999</v>
      </c>
      <c r="AF4420">
        <v>1.57940349161383</v>
      </c>
      <c r="AG4420">
        <v>-1.109130641393</v>
      </c>
      <c r="AH4420">
        <v>31.834877649266001</v>
      </c>
      <c r="AI4420">
        <v>91.992934967457202</v>
      </c>
      <c r="AJ4420">
        <v>87.159749804578297</v>
      </c>
      <c r="AK4420">
        <v>31.8933240837755</v>
      </c>
      <c r="AL4420">
        <v>83.603813050837402</v>
      </c>
      <c r="AM4420">
        <v>92.235565602380206</v>
      </c>
      <c r="AN4420">
        <v>1.0000000321835001</v>
      </c>
    </row>
    <row r="4421" spans="1:40" x14ac:dyDescent="0.25">
      <c r="A4421" t="str">
        <f>"20190312151115780"</f>
        <v>20190312151115780</v>
      </c>
      <c r="B4421" t="str">
        <f>"1552374675775976"</f>
        <v>1552374675775976</v>
      </c>
      <c r="C4421" t="s">
        <v>40</v>
      </c>
      <c r="D4421">
        <v>5.1751239999999896</v>
      </c>
      <c r="E4421">
        <v>0.53099499999999999</v>
      </c>
      <c r="F4421" t="s">
        <v>42</v>
      </c>
      <c r="G4421">
        <v>-353.35210000000001</v>
      </c>
      <c r="H4421" s="1">
        <v>-3.7561720000000002E-6</v>
      </c>
      <c r="I4421">
        <v>143.11660000000001</v>
      </c>
      <c r="J4421">
        <v>-324.81459999999998</v>
      </c>
      <c r="K4421">
        <v>1.109119</v>
      </c>
      <c r="L4421">
        <v>139.78219999999999</v>
      </c>
      <c r="M4421">
        <v>-0.99749509999999997</v>
      </c>
      <c r="N4421">
        <v>0</v>
      </c>
      <c r="O4421">
        <v>6.9959729999999998E-2</v>
      </c>
      <c r="P4421">
        <v>-0.99441219999999997</v>
      </c>
      <c r="Q4421">
        <v>0.1009516</v>
      </c>
      <c r="R4421">
        <v>3.0878619999999999E-2</v>
      </c>
      <c r="S4421">
        <v>-3.0180660000000001</v>
      </c>
      <c r="T4421">
        <v>-0.1161908</v>
      </c>
      <c r="U4421">
        <v>0.3514099</v>
      </c>
      <c r="V4421">
        <v>-3.8531259999999998E-2</v>
      </c>
      <c r="W4421">
        <v>0.1114256</v>
      </c>
      <c r="X4421">
        <v>0.99302550000000001</v>
      </c>
      <c r="Y4421">
        <v>4.5894150000000002E-2</v>
      </c>
      <c r="Z4421">
        <v>-1.798942E-3</v>
      </c>
      <c r="AA4421">
        <v>0.99894470000000002</v>
      </c>
      <c r="AB4421">
        <v>28</v>
      </c>
      <c r="AC4421">
        <v>-28.537500000000001</v>
      </c>
      <c r="AD4421">
        <v>-1.1091227561720001</v>
      </c>
      <c r="AE4421">
        <v>3.3344000000000098</v>
      </c>
      <c r="AF4421">
        <v>1.3276659818358301</v>
      </c>
      <c r="AG4421">
        <v>-1.1091227561720001</v>
      </c>
      <c r="AH4421">
        <v>28.6581509280159</v>
      </c>
      <c r="AI4421">
        <v>92.213972896530294</v>
      </c>
      <c r="AJ4421">
        <v>87.347515340415697</v>
      </c>
      <c r="AK4421">
        <v>28.7103198320834</v>
      </c>
      <c r="AL4421">
        <v>83.602498206909999</v>
      </c>
      <c r="AM4421">
        <v>92.222069450376594</v>
      </c>
      <c r="AN4421">
        <v>0.99999998299139803</v>
      </c>
    </row>
    <row r="4422" spans="1:40" x14ac:dyDescent="0.25">
      <c r="A4422" t="str">
        <f>"20190312151115802"</f>
        <v>20190312151115802</v>
      </c>
      <c r="B4422" t="str">
        <f>"1552374675795499"</f>
        <v>1552374675795499</v>
      </c>
      <c r="C4422" t="s">
        <v>40</v>
      </c>
      <c r="D4422">
        <v>4.9876990000000001</v>
      </c>
      <c r="E4422">
        <v>0.53152779999999999</v>
      </c>
      <c r="F4422" t="s">
        <v>42</v>
      </c>
      <c r="G4422">
        <v>-350.5222</v>
      </c>
      <c r="H4422" s="1">
        <v>-4.6253399999999998E-6</v>
      </c>
      <c r="I4422">
        <v>142.5874</v>
      </c>
      <c r="J4422">
        <v>-325.08300000000003</v>
      </c>
      <c r="K4422">
        <v>1.109116</v>
      </c>
      <c r="L4422">
        <v>139.8023</v>
      </c>
      <c r="M4422">
        <v>-0.99741630000000003</v>
      </c>
      <c r="N4422">
        <v>0</v>
      </c>
      <c r="O4422">
        <v>7.1076009999999995E-2</v>
      </c>
      <c r="P4422">
        <v>-0.99440220000000001</v>
      </c>
      <c r="Q4422">
        <v>0.1004848</v>
      </c>
      <c r="R4422">
        <v>3.2674149999999999E-2</v>
      </c>
      <c r="S4422">
        <v>-3.0198670000000001</v>
      </c>
      <c r="T4422">
        <v>-0.1302884</v>
      </c>
      <c r="U4422">
        <v>0.32954410000000001</v>
      </c>
      <c r="V4422">
        <v>-3.7852839999999999E-2</v>
      </c>
      <c r="W4422">
        <v>0.1109503</v>
      </c>
      <c r="X4422">
        <v>0.99310480000000001</v>
      </c>
      <c r="Y4422">
        <v>3.7577220000000001E-2</v>
      </c>
      <c r="Z4422">
        <v>-2.2434450000000002E-3</v>
      </c>
      <c r="AA4422">
        <v>0.99929120000000005</v>
      </c>
      <c r="AB4422">
        <v>28</v>
      </c>
      <c r="AC4422">
        <v>-25.4392</v>
      </c>
      <c r="AD4422">
        <v>-1.1091206253400001</v>
      </c>
      <c r="AE4422">
        <v>2.7850999999999999</v>
      </c>
      <c r="AF4422">
        <v>0.96802184273723502</v>
      </c>
      <c r="AG4422">
        <v>-1.1091206253400001</v>
      </c>
      <c r="AH4422">
        <v>25.524874727637101</v>
      </c>
      <c r="AI4422">
        <v>92.486296864355893</v>
      </c>
      <c r="AJ4422">
        <v>87.828118692451099</v>
      </c>
      <c r="AK4422">
        <v>25.567292479086198</v>
      </c>
      <c r="AL4422">
        <v>83.629900754302</v>
      </c>
      <c r="AM4422">
        <v>92.182809513612796</v>
      </c>
      <c r="AN4422">
        <v>0.99999997517459704</v>
      </c>
    </row>
    <row r="4423" spans="1:40" x14ac:dyDescent="0.25">
      <c r="A4423" t="str">
        <f>"20190312151115824"</f>
        <v>20190312151115824</v>
      </c>
      <c r="B4423" t="str">
        <f>"1552374675815991"</f>
        <v>1552374675815991</v>
      </c>
      <c r="C4423" t="s">
        <v>40</v>
      </c>
      <c r="D4423">
        <v>5.1937410000000002</v>
      </c>
      <c r="E4423">
        <v>0.53047239999999996</v>
      </c>
      <c r="F4423" t="s">
        <v>42</v>
      </c>
      <c r="G4423">
        <v>-350.26920000000001</v>
      </c>
      <c r="H4423" s="1">
        <v>-4.7187869999999999E-6</v>
      </c>
      <c r="I4423">
        <v>142.62889999999999</v>
      </c>
      <c r="J4423">
        <v>-325.36130000000003</v>
      </c>
      <c r="K4423">
        <v>1.1091139999999999</v>
      </c>
      <c r="L4423">
        <v>139.82339999999999</v>
      </c>
      <c r="M4423">
        <v>-0.99733309999999997</v>
      </c>
      <c r="N4423">
        <v>0</v>
      </c>
      <c r="O4423">
        <v>7.22333E-2</v>
      </c>
      <c r="P4423">
        <v>-0.99434489999999998</v>
      </c>
      <c r="Q4423">
        <v>0.1003916</v>
      </c>
      <c r="R4423">
        <v>3.4633810000000001E-2</v>
      </c>
      <c r="S4423">
        <v>-3.0191650000000001</v>
      </c>
      <c r="T4423">
        <v>-0.1329545</v>
      </c>
      <c r="U4423">
        <v>0.33885189999999998</v>
      </c>
      <c r="V4423">
        <v>-3.7048680000000001E-2</v>
      </c>
      <c r="W4423">
        <v>0.1108489</v>
      </c>
      <c r="X4423">
        <v>0.99314650000000004</v>
      </c>
      <c r="Y4423">
        <v>3.9486680000000003E-2</v>
      </c>
      <c r="Z4423">
        <v>-2.298058E-3</v>
      </c>
      <c r="AA4423">
        <v>0.99921749999999998</v>
      </c>
      <c r="AB4423">
        <v>28</v>
      </c>
      <c r="AC4423">
        <v>-24.907899999999898</v>
      </c>
      <c r="AD4423">
        <v>-1.109118718787</v>
      </c>
      <c r="AE4423">
        <v>2.8054999999999901</v>
      </c>
      <c r="AF4423">
        <v>0.99694067587125701</v>
      </c>
      <c r="AG4423">
        <v>-1.109118718787</v>
      </c>
      <c r="AH4423">
        <v>24.996546566187799</v>
      </c>
      <c r="AI4423">
        <v>92.538582059834894</v>
      </c>
      <c r="AJ4423">
        <v>87.716075084254896</v>
      </c>
      <c r="AK4423">
        <v>25.0409938955938</v>
      </c>
      <c r="AL4423">
        <v>83.635746936458105</v>
      </c>
      <c r="AM4423">
        <v>92.136390901817606</v>
      </c>
      <c r="AN4423">
        <v>1.0000000268916001</v>
      </c>
    </row>
    <row r="4424" spans="1:40" x14ac:dyDescent="0.25">
      <c r="A4424" t="str">
        <f>"20190312151115847"</f>
        <v>20190312151115847</v>
      </c>
      <c r="B4424" t="str">
        <f>"1552374675835513"</f>
        <v>1552374675835513</v>
      </c>
      <c r="C4424" t="s">
        <v>40</v>
      </c>
      <c r="D4424">
        <v>5.1545829999999997</v>
      </c>
      <c r="E4424">
        <v>0.52949760000000001</v>
      </c>
      <c r="F4424" t="s">
        <v>42</v>
      </c>
      <c r="G4424">
        <v>-348.64510000000001</v>
      </c>
      <c r="H4424" s="1">
        <v>-1.308116E-6</v>
      </c>
      <c r="I4424">
        <v>142.41460000000001</v>
      </c>
      <c r="J4424">
        <v>-325.63940000000002</v>
      </c>
      <c r="K4424">
        <v>1.1091120000000001</v>
      </c>
      <c r="L4424">
        <v>139.84479999999999</v>
      </c>
      <c r="M4424">
        <v>-0.99724869999999999</v>
      </c>
      <c r="N4424">
        <v>0</v>
      </c>
      <c r="O4424">
        <v>7.3389930000000006E-2</v>
      </c>
      <c r="P4424">
        <v>-0.99426879999999995</v>
      </c>
      <c r="Q4424">
        <v>0.10044640000000001</v>
      </c>
      <c r="R4424">
        <v>3.6609000000000003E-2</v>
      </c>
      <c r="S4424">
        <v>-3.0198360000000002</v>
      </c>
      <c r="T4424">
        <v>-0.143849</v>
      </c>
      <c r="U4424">
        <v>0.3360901</v>
      </c>
      <c r="V4424">
        <v>-3.6225889999999997E-2</v>
      </c>
      <c r="W4424">
        <v>0.1108972</v>
      </c>
      <c r="X4424">
        <v>0.99317149999999998</v>
      </c>
      <c r="Y4424">
        <v>3.7409449999999997E-2</v>
      </c>
      <c r="Z4424">
        <v>-2.5897390000000002E-3</v>
      </c>
      <c r="AA4424">
        <v>0.99929670000000004</v>
      </c>
      <c r="AB4424">
        <v>28</v>
      </c>
      <c r="AC4424">
        <v>-23.005699999999901</v>
      </c>
      <c r="AD4424">
        <v>-1.1091133081160001</v>
      </c>
      <c r="AE4424">
        <v>2.5698000000000101</v>
      </c>
      <c r="AF4424">
        <v>0.87238797898773601</v>
      </c>
      <c r="AG4424">
        <v>-1.1091133081160001</v>
      </c>
      <c r="AH4424">
        <v>23.079281290587598</v>
      </c>
      <c r="AI4424">
        <v>92.749366973894297</v>
      </c>
      <c r="AJ4424">
        <v>87.835272117653005</v>
      </c>
      <c r="AK4424">
        <v>23.122379159727199</v>
      </c>
      <c r="AL4424">
        <v>83.632962634019293</v>
      </c>
      <c r="AM4424">
        <v>92.088935163017297</v>
      </c>
      <c r="AN4424">
        <v>1.0000000662431801</v>
      </c>
    </row>
    <row r="4425" spans="1:40" x14ac:dyDescent="0.25">
      <c r="A4425" t="str">
        <f>"20190312151115862"</f>
        <v>20190312151115862</v>
      </c>
      <c r="B4425" t="str">
        <f>"1552374675856008"</f>
        <v>1552374675856008</v>
      </c>
      <c r="C4425" t="s">
        <v>40</v>
      </c>
      <c r="D4425">
        <v>5.2268330000000001</v>
      </c>
      <c r="E4425">
        <v>0.52869829999999995</v>
      </c>
      <c r="F4425" t="s">
        <v>42</v>
      </c>
      <c r="G4425">
        <v>-347.41149999999999</v>
      </c>
      <c r="H4425" s="1">
        <v>-1.7942060000000001E-6</v>
      </c>
      <c r="I4425">
        <v>142.2525</v>
      </c>
      <c r="J4425">
        <v>-325.8288</v>
      </c>
      <c r="K4425">
        <v>1.10911</v>
      </c>
      <c r="L4425">
        <v>139.8595</v>
      </c>
      <c r="M4425">
        <v>-0.99719049999999998</v>
      </c>
      <c r="N4425">
        <v>0</v>
      </c>
      <c r="O4425">
        <v>7.4177839999999995E-2</v>
      </c>
      <c r="P4425">
        <v>-0.99422120000000003</v>
      </c>
      <c r="Q4425">
        <v>0.1005156</v>
      </c>
      <c r="R4425">
        <v>3.7696689999999998E-2</v>
      </c>
      <c r="S4425">
        <v>-3.0205380000000002</v>
      </c>
      <c r="T4425">
        <v>-0.1538725</v>
      </c>
      <c r="U4425">
        <v>0.33404539999999999</v>
      </c>
      <c r="V4425">
        <v>-3.5923009999999998E-2</v>
      </c>
      <c r="W4425">
        <v>0.11096209999999999</v>
      </c>
      <c r="X4425">
        <v>0.99317520000000004</v>
      </c>
      <c r="Y4425">
        <v>3.593474E-2</v>
      </c>
      <c r="Z4425">
        <v>-2.8467100000000001E-3</v>
      </c>
      <c r="AA4425">
        <v>0.99935010000000002</v>
      </c>
      <c r="AB4425">
        <v>28</v>
      </c>
      <c r="AC4425">
        <v>-21.5826999999999</v>
      </c>
      <c r="AD4425">
        <v>-1.109111794206</v>
      </c>
      <c r="AE4425">
        <v>2.3929999999999998</v>
      </c>
      <c r="AF4425">
        <v>0.78331802431453501</v>
      </c>
      <c r="AG4425">
        <v>-1.109111794206</v>
      </c>
      <c r="AH4425">
        <v>21.6442864780078</v>
      </c>
      <c r="AI4425">
        <v>92.931509199590494</v>
      </c>
      <c r="AJ4425">
        <v>87.927340410849794</v>
      </c>
      <c r="AK4425">
        <v>21.686835943524301</v>
      </c>
      <c r="AL4425">
        <v>83.629220712437998</v>
      </c>
      <c r="AM4425">
        <v>92.071477414445695</v>
      </c>
      <c r="AN4425">
        <v>1.0000000140894501</v>
      </c>
    </row>
    <row r="4426" spans="1:40" x14ac:dyDescent="0.25">
      <c r="A4426" t="str">
        <f>"20190312151115880"</f>
        <v>20190312151115880</v>
      </c>
      <c r="B4426" t="str">
        <f>"1552374675875527"</f>
        <v>1552374675875527</v>
      </c>
      <c r="C4426" t="s">
        <v>40</v>
      </c>
      <c r="D4426">
        <v>5.2541370000000001</v>
      </c>
      <c r="E4426">
        <v>0.52803009999999995</v>
      </c>
      <c r="F4426" t="s">
        <v>42</v>
      </c>
      <c r="G4426">
        <v>-346.87380000000002</v>
      </c>
      <c r="H4426" s="1">
        <v>-2.001122E-6</v>
      </c>
      <c r="I4426">
        <v>142.16329999999999</v>
      </c>
      <c r="J4426">
        <v>-326.05220000000003</v>
      </c>
      <c r="K4426">
        <v>1.10911</v>
      </c>
      <c r="L4426">
        <v>139.87710000000001</v>
      </c>
      <c r="M4426">
        <v>-0.99712100000000004</v>
      </c>
      <c r="N4426">
        <v>0</v>
      </c>
      <c r="O4426">
        <v>7.5106889999999996E-2</v>
      </c>
      <c r="P4426">
        <v>-0.99414800000000003</v>
      </c>
      <c r="Q4426">
        <v>0.1005384</v>
      </c>
      <c r="R4426">
        <v>3.952261E-2</v>
      </c>
      <c r="S4426">
        <v>-3.0209959999999998</v>
      </c>
      <c r="T4426">
        <v>-0.15921260000000001</v>
      </c>
      <c r="U4426">
        <v>0.33071899999999999</v>
      </c>
      <c r="V4426">
        <v>-3.5022640000000001E-2</v>
      </c>
      <c r="W4426">
        <v>0.1109806</v>
      </c>
      <c r="X4426">
        <v>0.99320520000000001</v>
      </c>
      <c r="Y4426">
        <v>3.3907279999999998E-2</v>
      </c>
      <c r="Z4426">
        <v>-3.0469590000000001E-3</v>
      </c>
      <c r="AA4426">
        <v>0.99942030000000004</v>
      </c>
      <c r="AB4426">
        <v>28</v>
      </c>
      <c r="AC4426">
        <v>-20.821599999999901</v>
      </c>
      <c r="AD4426">
        <v>-1.1091120011219999</v>
      </c>
      <c r="AE4426">
        <v>2.28619999999998</v>
      </c>
      <c r="AF4426">
        <v>0.71381005543853804</v>
      </c>
      <c r="AG4426">
        <v>-1.1091120011219999</v>
      </c>
      <c r="AH4426">
        <v>20.8759733000112</v>
      </c>
      <c r="AI4426">
        <v>93.039414479990896</v>
      </c>
      <c r="AJ4426">
        <v>88.0416541387264</v>
      </c>
      <c r="AK4426">
        <v>20.917598223721999</v>
      </c>
      <c r="AL4426">
        <v>83.6281535772534</v>
      </c>
      <c r="AM4426">
        <v>92.019540748422301</v>
      </c>
      <c r="AN4426">
        <v>0.999999924097981</v>
      </c>
    </row>
    <row r="4427" spans="1:40" x14ac:dyDescent="0.25">
      <c r="A4427" t="str">
        <f>"20190312151115896"</f>
        <v>20190312151115896</v>
      </c>
      <c r="B4427" t="str">
        <f>"1552374675885287"</f>
        <v>1552374675885287</v>
      </c>
      <c r="C4427" t="s">
        <v>40</v>
      </c>
      <c r="D4427">
        <v>5.2333369999999997</v>
      </c>
      <c r="E4427">
        <v>0.52772180000000002</v>
      </c>
      <c r="F4427" t="s">
        <v>42</v>
      </c>
      <c r="G4427">
        <v>-346.36750000000001</v>
      </c>
      <c r="H4427" s="1">
        <v>-2.2017999999999998E-6</v>
      </c>
      <c r="I4427">
        <v>142.1011</v>
      </c>
      <c r="J4427">
        <v>-326.24189999999999</v>
      </c>
      <c r="K4427">
        <v>1.109108</v>
      </c>
      <c r="L4427">
        <v>139.89230000000001</v>
      </c>
      <c r="M4427">
        <v>-0.99706119999999998</v>
      </c>
      <c r="N4427">
        <v>0</v>
      </c>
      <c r="O4427">
        <v>7.5895820000000003E-2</v>
      </c>
      <c r="P4427">
        <v>-0.99410949999999998</v>
      </c>
      <c r="Q4427">
        <v>0.1004473</v>
      </c>
      <c r="R4427">
        <v>4.0706220000000001E-2</v>
      </c>
      <c r="S4427">
        <v>-3.0211489999999999</v>
      </c>
      <c r="T4427">
        <v>-0.16494039999999999</v>
      </c>
      <c r="U4427">
        <v>0.33074949999999997</v>
      </c>
      <c r="V4427">
        <v>-3.4626120000000003E-2</v>
      </c>
      <c r="W4427">
        <v>0.11088720000000001</v>
      </c>
      <c r="X4427">
        <v>0.99322960000000005</v>
      </c>
      <c r="Y4427">
        <v>3.3127419999999998E-2</v>
      </c>
      <c r="Z4427">
        <v>-3.220199E-3</v>
      </c>
      <c r="AA4427">
        <v>0.99944599999999995</v>
      </c>
      <c r="AB4427">
        <v>28</v>
      </c>
      <c r="AC4427">
        <v>-20.125599999999999</v>
      </c>
      <c r="AD4427">
        <v>-1.1091102018000001</v>
      </c>
      <c r="AE4427">
        <v>2.2087999999999899</v>
      </c>
      <c r="AF4427">
        <v>0.67287733597572896</v>
      </c>
      <c r="AG4427">
        <v>-1.1091102018000001</v>
      </c>
      <c r="AH4427">
        <v>20.174652123969299</v>
      </c>
      <c r="AI4427">
        <v>93.144947445013599</v>
      </c>
      <c r="AJ4427">
        <v>88.089744231688101</v>
      </c>
      <c r="AK4427">
        <v>20.216317114454501</v>
      </c>
      <c r="AL4427">
        <v>83.633538652462505</v>
      </c>
      <c r="AM4427">
        <v>91.9966454747737</v>
      </c>
      <c r="AN4427">
        <v>0.99999998881312702</v>
      </c>
    </row>
    <row r="4428" spans="1:40" x14ac:dyDescent="0.25">
      <c r="A4428" t="str">
        <f>"20190312151115914"</f>
        <v>20190312151115914</v>
      </c>
      <c r="B4428" t="str">
        <f>"1552374675905783"</f>
        <v>1552374675905783</v>
      </c>
      <c r="C4428" t="s">
        <v>40</v>
      </c>
      <c r="D4428">
        <v>5.116161</v>
      </c>
      <c r="E4428">
        <v>0.52710480000000004</v>
      </c>
      <c r="F4428" t="s">
        <v>42</v>
      </c>
      <c r="G4428">
        <v>-346.15339999999998</v>
      </c>
      <c r="H4428" s="1">
        <v>-2.2877959999999998E-6</v>
      </c>
      <c r="I4428">
        <v>142.07910000000001</v>
      </c>
      <c r="J4428">
        <v>-326.4735</v>
      </c>
      <c r="K4428">
        <v>1.1091040000000001</v>
      </c>
      <c r="L4428">
        <v>139.9109</v>
      </c>
      <c r="M4428">
        <v>-0.99698750000000003</v>
      </c>
      <c r="N4428">
        <v>0</v>
      </c>
      <c r="O4428">
        <v>7.6859319999999995E-2</v>
      </c>
      <c r="P4428">
        <v>-0.99403719999999995</v>
      </c>
      <c r="Q4428">
        <v>0.1004901</v>
      </c>
      <c r="R4428">
        <v>4.2336949999999998E-2</v>
      </c>
      <c r="S4428">
        <v>-3.021118</v>
      </c>
      <c r="T4428">
        <v>-0.16828299999999999</v>
      </c>
      <c r="U4428">
        <v>0.33181759999999999</v>
      </c>
      <c r="V4428">
        <v>-3.3955329999999999E-2</v>
      </c>
      <c r="W4428">
        <v>0.1109271</v>
      </c>
      <c r="X4428">
        <v>0.99324829999999997</v>
      </c>
      <c r="Y4428">
        <v>3.251677E-2</v>
      </c>
      <c r="Z4428">
        <v>-3.3554990000000001E-3</v>
      </c>
      <c r="AA4428">
        <v>0.99946559999999995</v>
      </c>
      <c r="AB4428">
        <v>28</v>
      </c>
      <c r="AC4428">
        <v>-19.6798999999999</v>
      </c>
      <c r="AD4428">
        <v>-1.1091062877959901</v>
      </c>
      <c r="AE4428">
        <v>2.1682000000000099</v>
      </c>
      <c r="AF4428">
        <v>0.64708920169916795</v>
      </c>
      <c r="AG4428">
        <v>-1.1091062877959901</v>
      </c>
      <c r="AH4428">
        <v>19.7264322563165</v>
      </c>
      <c r="AI4428">
        <v>93.216304867390505</v>
      </c>
      <c r="AJ4428">
        <v>88.121191404278406</v>
      </c>
      <c r="AK4428">
        <v>19.7681807649472</v>
      </c>
      <c r="AL4428">
        <v>83.631238339904698</v>
      </c>
      <c r="AM4428">
        <v>91.9579592897705</v>
      </c>
      <c r="AN4428">
        <v>0.99999998570135396</v>
      </c>
    </row>
    <row r="4429" spans="1:40" x14ac:dyDescent="0.25">
      <c r="A4429" t="str">
        <f>"20190312151115929"</f>
        <v>20190312151115929</v>
      </c>
      <c r="B4429" t="str">
        <f>"1552374675925304"</f>
        <v>1552374675925304</v>
      </c>
      <c r="C4429" t="s">
        <v>40</v>
      </c>
      <c r="D4429">
        <v>5.3568319999999998</v>
      </c>
      <c r="E4429">
        <v>0.52671219999999996</v>
      </c>
      <c r="F4429" t="s">
        <v>42</v>
      </c>
      <c r="G4429">
        <v>-345.52670000000001</v>
      </c>
      <c r="H4429" s="1">
        <v>-2.5360310000000002E-6</v>
      </c>
      <c r="I4429">
        <v>142.0017</v>
      </c>
      <c r="J4429">
        <v>-326.65120000000002</v>
      </c>
      <c r="K4429">
        <v>1.1091009999999999</v>
      </c>
      <c r="L4429">
        <v>139.9254</v>
      </c>
      <c r="M4429">
        <v>-0.99693030000000005</v>
      </c>
      <c r="N4429">
        <v>0</v>
      </c>
      <c r="O4429">
        <v>7.7598299999999995E-2</v>
      </c>
      <c r="P4429">
        <v>-0.99398450000000005</v>
      </c>
      <c r="Q4429">
        <v>0.1004665</v>
      </c>
      <c r="R4429">
        <v>4.3607680000000003E-2</v>
      </c>
      <c r="S4429">
        <v>-3.0216669999999999</v>
      </c>
      <c r="T4429">
        <v>-0.1758951</v>
      </c>
      <c r="U4429">
        <v>0.33158870000000001</v>
      </c>
      <c r="V4429">
        <v>-3.3420709999999999E-2</v>
      </c>
      <c r="W4429">
        <v>0.110901</v>
      </c>
      <c r="X4429">
        <v>0.99326939999999997</v>
      </c>
      <c r="Y4429">
        <v>3.169023E-2</v>
      </c>
      <c r="Z4429">
        <v>-3.5730509999999998E-3</v>
      </c>
      <c r="AA4429">
        <v>0.99949129999999997</v>
      </c>
      <c r="AB4429">
        <v>28</v>
      </c>
      <c r="AC4429">
        <v>-18.875499999999899</v>
      </c>
      <c r="AD4429">
        <v>-1.109103536031</v>
      </c>
      <c r="AE4429">
        <v>2.0762999999999998</v>
      </c>
      <c r="AF4429">
        <v>0.603194803178835</v>
      </c>
      <c r="AG4429">
        <v>-1.109103536031</v>
      </c>
      <c r="AH4429">
        <v>18.9151787881788</v>
      </c>
      <c r="AI4429">
        <v>93.35403107015</v>
      </c>
      <c r="AJ4429">
        <v>88.173487616440596</v>
      </c>
      <c r="AK4429">
        <v>18.9572662378568</v>
      </c>
      <c r="AL4429">
        <v>83.632743380195294</v>
      </c>
      <c r="AM4429">
        <v>91.927114128995498</v>
      </c>
      <c r="AN4429">
        <v>1.0000000383171299</v>
      </c>
    </row>
    <row r="4430" spans="1:40" x14ac:dyDescent="0.25">
      <c r="A4430" t="str">
        <f>"20190312151115948"</f>
        <v>20190312151115948</v>
      </c>
      <c r="B4430" t="str">
        <f>"1552374675945801"</f>
        <v>1552374675945801</v>
      </c>
      <c r="C4430" t="s">
        <v>40</v>
      </c>
      <c r="D4430">
        <v>5.2288759999999996</v>
      </c>
      <c r="E4430">
        <v>0.52649799999999902</v>
      </c>
      <c r="F4430" t="s">
        <v>42</v>
      </c>
      <c r="G4430">
        <v>-345.03530000000001</v>
      </c>
      <c r="H4430" s="1">
        <v>-2.732174E-6</v>
      </c>
      <c r="I4430">
        <v>141.94659999999999</v>
      </c>
      <c r="J4430">
        <v>-326.89789999999999</v>
      </c>
      <c r="K4430">
        <v>1.1091</v>
      </c>
      <c r="L4430">
        <v>139.94569999999999</v>
      </c>
      <c r="M4430">
        <v>-0.99684980000000001</v>
      </c>
      <c r="N4430">
        <v>0</v>
      </c>
      <c r="O4430">
        <v>7.8624680000000002E-2</v>
      </c>
      <c r="P4430">
        <v>-0.99395140000000004</v>
      </c>
      <c r="Q4430">
        <v>0.10012020000000001</v>
      </c>
      <c r="R4430">
        <v>4.5129820000000001E-2</v>
      </c>
      <c r="S4430">
        <v>-3.0220030000000002</v>
      </c>
      <c r="T4430">
        <v>-0.1823159</v>
      </c>
      <c r="U4430">
        <v>0.332260099999999</v>
      </c>
      <c r="V4430">
        <v>-3.2924679999999998E-2</v>
      </c>
      <c r="W4430">
        <v>0.1105532</v>
      </c>
      <c r="X4430">
        <v>0.99332469999999995</v>
      </c>
      <c r="Y4430">
        <v>3.0877459999999999E-2</v>
      </c>
      <c r="Z4430">
        <v>-3.7886209999999998E-3</v>
      </c>
      <c r="AA4430">
        <v>0.99951599999999996</v>
      </c>
      <c r="AB4430">
        <v>28</v>
      </c>
      <c r="AC4430">
        <v>-18.1374</v>
      </c>
      <c r="AD4430">
        <v>-1.1091027321739999</v>
      </c>
      <c r="AE4430">
        <v>2.0009000000000001</v>
      </c>
      <c r="AF4430">
        <v>0.56648756641586395</v>
      </c>
      <c r="AG4430">
        <v>-1.1091027321739999</v>
      </c>
      <c r="AH4430">
        <v>18.171442436851098</v>
      </c>
      <c r="AI4430">
        <v>93.491050774090994</v>
      </c>
      <c r="AJ4430">
        <v>88.214404920320703</v>
      </c>
      <c r="AK4430">
        <v>18.214069761291999</v>
      </c>
      <c r="AL4430">
        <v>83.652793916061697</v>
      </c>
      <c r="AM4430">
        <v>91.898427383440605</v>
      </c>
      <c r="AN4430">
        <v>1.0000000021067099</v>
      </c>
    </row>
    <row r="4431" spans="1:40" x14ac:dyDescent="0.25">
      <c r="A4431" t="str">
        <f>"20190312151115971"</f>
        <v>20190312151115971</v>
      </c>
      <c r="B4431" t="str">
        <f>"1552374675965319"</f>
        <v>1552374675965319</v>
      </c>
      <c r="C4431" t="s">
        <v>40</v>
      </c>
      <c r="D4431">
        <v>5.2072459999999996</v>
      </c>
      <c r="E4431">
        <v>0.52637330000000004</v>
      </c>
      <c r="F4431" t="s">
        <v>42</v>
      </c>
      <c r="G4431">
        <v>-345.22859999999997</v>
      </c>
      <c r="H4431" s="1">
        <v>-2.6581020000000001E-6</v>
      </c>
      <c r="I4431">
        <v>141.97989999999999</v>
      </c>
      <c r="J4431">
        <v>-327.18079999999998</v>
      </c>
      <c r="K4431">
        <v>1.109091</v>
      </c>
      <c r="L4431">
        <v>139.9693</v>
      </c>
      <c r="M4431">
        <v>-0.99675630000000004</v>
      </c>
      <c r="N4431">
        <v>0</v>
      </c>
      <c r="O4431">
        <v>7.9801570000000002E-2</v>
      </c>
      <c r="P4431">
        <v>-0.99391229999999997</v>
      </c>
      <c r="Q4431">
        <v>9.9706989999999995E-2</v>
      </c>
      <c r="R4431">
        <v>4.6869729999999998E-2</v>
      </c>
      <c r="S4431">
        <v>-3.0213930000000002</v>
      </c>
      <c r="T4431">
        <v>-0.18280969999999999</v>
      </c>
      <c r="U4431">
        <v>0.3352966</v>
      </c>
      <c r="V4431">
        <v>-3.236253E-2</v>
      </c>
      <c r="W4431">
        <v>0.110138</v>
      </c>
      <c r="X4431">
        <v>0.99338930000000003</v>
      </c>
      <c r="Y4431">
        <v>3.0714579999999998E-2</v>
      </c>
      <c r="Z4431">
        <v>-3.874883E-3</v>
      </c>
      <c r="AA4431">
        <v>0.99952070000000004</v>
      </c>
      <c r="AB4431">
        <v>28</v>
      </c>
      <c r="AC4431">
        <v>-18.047799999999899</v>
      </c>
      <c r="AD4431">
        <v>-1.1090936581019999</v>
      </c>
      <c r="AE4431">
        <v>2.0105999999999802</v>
      </c>
      <c r="AF4431">
        <v>0.56177054549397398</v>
      </c>
      <c r="AG4431">
        <v>-1.1090936581019999</v>
      </c>
      <c r="AH4431">
        <v>18.083238947225901</v>
      </c>
      <c r="AI4431">
        <v>93.508019640844296</v>
      </c>
      <c r="AJ4431">
        <v>88.220632212192797</v>
      </c>
      <c r="AK4431">
        <v>18.125926340761001</v>
      </c>
      <c r="AL4431">
        <v>83.676729320778904</v>
      </c>
      <c r="AM4431">
        <v>91.865915831735194</v>
      </c>
      <c r="AN4431">
        <v>1.00000000687324</v>
      </c>
    </row>
    <row r="4432" spans="1:40" x14ac:dyDescent="0.25">
      <c r="A4432" t="str">
        <f>"20190312151115993"</f>
        <v>20190312151115993</v>
      </c>
      <c r="B4432" t="str">
        <f>"1552374675985816"</f>
        <v>1552374675985816</v>
      </c>
      <c r="C4432" t="s">
        <v>40</v>
      </c>
      <c r="D4432">
        <v>5.1792410000000002</v>
      </c>
      <c r="E4432">
        <v>0.526350599999999</v>
      </c>
      <c r="F4432" t="s">
        <v>42</v>
      </c>
      <c r="G4432">
        <v>-345.40710000000001</v>
      </c>
      <c r="H4432" s="1">
        <v>-2.5920950000000002E-6</v>
      </c>
      <c r="I4432">
        <v>142.0196</v>
      </c>
      <c r="J4432">
        <v>-327.46170000000001</v>
      </c>
      <c r="K4432">
        <v>1.1090880000000001</v>
      </c>
      <c r="L4432">
        <v>139.9931</v>
      </c>
      <c r="M4432">
        <v>-0.9966621</v>
      </c>
      <c r="N4432">
        <v>0</v>
      </c>
      <c r="O4432">
        <v>8.0969920000000001E-2</v>
      </c>
      <c r="P4432">
        <v>-0.99388030000000005</v>
      </c>
      <c r="Q4432">
        <v>9.9322270000000004E-2</v>
      </c>
      <c r="R4432">
        <v>4.8345050000000001E-2</v>
      </c>
      <c r="S4432">
        <v>-3.020721</v>
      </c>
      <c r="T4432">
        <v>-0.1838149</v>
      </c>
      <c r="U4432">
        <v>0.33981319999999998</v>
      </c>
      <c r="V4432">
        <v>-3.2055529999999999E-2</v>
      </c>
      <c r="W4432">
        <v>0.10975310000000001</v>
      </c>
      <c r="X4432">
        <v>0.99344180000000004</v>
      </c>
      <c r="Y4432">
        <v>3.104585E-2</v>
      </c>
      <c r="Z4432">
        <v>-3.9570559999999996E-3</v>
      </c>
      <c r="AA4432">
        <v>0.99951009999999996</v>
      </c>
      <c r="AB4432">
        <v>28</v>
      </c>
      <c r="AC4432">
        <v>-17.945399999999999</v>
      </c>
      <c r="AD4432">
        <v>-1.1090905920949901</v>
      </c>
      <c r="AE4432">
        <v>2.0264999999999902</v>
      </c>
      <c r="AF4432">
        <v>0.56459945981113702</v>
      </c>
      <c r="AG4432">
        <v>-1.1090905920949901</v>
      </c>
      <c r="AH4432">
        <v>17.9827415988395</v>
      </c>
      <c r="AI4432">
        <v>93.527528938684597</v>
      </c>
      <c r="AJ4432">
        <v>88.201690058577</v>
      </c>
      <c r="AK4432">
        <v>18.025755182574901</v>
      </c>
      <c r="AL4432">
        <v>83.698916648147701</v>
      </c>
      <c r="AM4432">
        <v>91.848129963294397</v>
      </c>
      <c r="AN4432">
        <v>0.99999995497521399</v>
      </c>
    </row>
    <row r="4433" spans="1:40" x14ac:dyDescent="0.25">
      <c r="A4433" t="str">
        <f>"20190312151116016"</f>
        <v>20190312151116016</v>
      </c>
      <c r="B4433" t="str">
        <f>"1552374676005336"</f>
        <v>1552374676005336</v>
      </c>
      <c r="C4433" t="s">
        <v>40</v>
      </c>
      <c r="D4433">
        <v>5.1949019999999999</v>
      </c>
      <c r="E4433">
        <v>0.50427079999999902</v>
      </c>
      <c r="F4433" t="s">
        <v>42</v>
      </c>
      <c r="G4433">
        <v>-345.86579999999998</v>
      </c>
      <c r="H4433" s="1">
        <v>-2.414718E-6</v>
      </c>
      <c r="I4433">
        <v>142.0926</v>
      </c>
      <c r="J4433">
        <v>-327.73790000000002</v>
      </c>
      <c r="K4433">
        <v>1.1090819999999999</v>
      </c>
      <c r="L4433">
        <v>140.01679999999999</v>
      </c>
      <c r="M4433">
        <v>-0.99656809999999996</v>
      </c>
      <c r="N4433">
        <v>0</v>
      </c>
      <c r="O4433">
        <v>8.2117350000000006E-2</v>
      </c>
      <c r="P4433">
        <v>-0.9938245</v>
      </c>
      <c r="Q4433">
        <v>9.8984160000000002E-2</v>
      </c>
      <c r="R4433">
        <v>5.0148819999999997E-2</v>
      </c>
      <c r="S4433">
        <v>-3.0198670000000001</v>
      </c>
      <c r="T4433">
        <v>-0.18198729999999999</v>
      </c>
      <c r="U4433">
        <v>0.34451290000000001</v>
      </c>
      <c r="V4433">
        <v>-3.1398240000000001E-2</v>
      </c>
      <c r="W4433">
        <v>0.10941430000000001</v>
      </c>
      <c r="X4433">
        <v>0.99350019999999994</v>
      </c>
      <c r="Y4433">
        <v>3.1461799999999998E-2</v>
      </c>
      <c r="Z4433">
        <v>-3.9745190000000001E-3</v>
      </c>
      <c r="AA4433">
        <v>0.99949710000000003</v>
      </c>
      <c r="AB4433">
        <v>28</v>
      </c>
      <c r="AC4433">
        <v>-18.127899999999901</v>
      </c>
      <c r="AD4433">
        <v>-1.1090844147179999</v>
      </c>
      <c r="AE4433">
        <v>2.0758000000000099</v>
      </c>
      <c r="AF4433">
        <v>0.57795713421023798</v>
      </c>
      <c r="AG4433">
        <v>-1.1090844147179999</v>
      </c>
      <c r="AH4433">
        <v>18.1700055142318</v>
      </c>
      <c r="AI4433">
        <v>93.4911992217977</v>
      </c>
      <c r="AJ4433">
        <v>88.178132460768296</v>
      </c>
      <c r="AK4433">
        <v>18.212995444878601</v>
      </c>
      <c r="AL4433">
        <v>83.718446313360801</v>
      </c>
      <c r="AM4433">
        <v>91.810153694475204</v>
      </c>
      <c r="AN4433">
        <v>0.99999999295981301</v>
      </c>
    </row>
    <row r="4434" spans="1:40" x14ac:dyDescent="0.25">
      <c r="A4434" t="str">
        <f>"20190312151116048"</f>
        <v>20190312151116048</v>
      </c>
      <c r="B4434" t="str">
        <f>"1552374676046056"</f>
        <v>1552374676046056</v>
      </c>
      <c r="C4434" t="s">
        <v>40</v>
      </c>
      <c r="D4434">
        <v>5.1798270000000004</v>
      </c>
      <c r="E4434">
        <v>0.50095879999999904</v>
      </c>
      <c r="F4434" t="s">
        <v>42</v>
      </c>
      <c r="G4434">
        <v>-351.12599999999998</v>
      </c>
      <c r="H4434" s="1">
        <v>-4.2036979999999996E-6</v>
      </c>
      <c r="I4434">
        <v>141.36869999999999</v>
      </c>
      <c r="J4434">
        <v>-328.14870000000002</v>
      </c>
      <c r="K4434">
        <v>1.1090869999999999</v>
      </c>
      <c r="L4434">
        <v>140.05260000000001</v>
      </c>
      <c r="M4434">
        <v>-0.99642719999999996</v>
      </c>
      <c r="N4434">
        <v>0</v>
      </c>
      <c r="O4434">
        <v>8.3810099999999998E-2</v>
      </c>
      <c r="P4434">
        <v>-0.99365409999999998</v>
      </c>
      <c r="Q4434">
        <v>9.993051E-2</v>
      </c>
      <c r="R4434">
        <v>5.1628220000000002E-2</v>
      </c>
      <c r="S4434">
        <v>-3.0241389999999999</v>
      </c>
      <c r="T4434">
        <v>-0.14340810000000001</v>
      </c>
      <c r="U4434">
        <v>0.174819899999999</v>
      </c>
      <c r="V4434">
        <v>-3.159816E-2</v>
      </c>
      <c r="W4434">
        <v>0.11036029999999999</v>
      </c>
      <c r="X4434">
        <v>0.99338919999999997</v>
      </c>
      <c r="Y4434">
        <v>-2.6043489999999999E-2</v>
      </c>
      <c r="Z4434">
        <v>-4.5797930000000004E-3</v>
      </c>
      <c r="AA4434">
        <v>0.99965029999999999</v>
      </c>
      <c r="AB4434">
        <v>28</v>
      </c>
      <c r="AC4434">
        <v>-22.9772999999999</v>
      </c>
      <c r="AD4434">
        <v>-1.1090912036980001</v>
      </c>
      <c r="AE4434">
        <v>1.3160999999999701</v>
      </c>
      <c r="AF4434">
        <v>-0.61294194414922998</v>
      </c>
      <c r="AG4434">
        <v>-1.1090912036980001</v>
      </c>
      <c r="AH4434">
        <v>22.953455369532499</v>
      </c>
      <c r="AI4434">
        <v>92.765346933953893</v>
      </c>
      <c r="AJ4434">
        <v>91.529645182370601</v>
      </c>
      <c r="AK4434">
        <v>22.988407829298101</v>
      </c>
      <c r="AL4434">
        <v>83.663914121185698</v>
      </c>
      <c r="AM4434">
        <v>91.821875042836993</v>
      </c>
      <c r="AN4434">
        <v>0.99999997110405703</v>
      </c>
    </row>
    <row r="4435" spans="1:40" x14ac:dyDescent="0.25">
      <c r="A4435" t="str">
        <f>"20190312151116072"</f>
        <v>20190312151116072</v>
      </c>
      <c r="B4435" t="str">
        <f>"1552374676065575"</f>
        <v>1552374676065575</v>
      </c>
      <c r="C4435" t="s">
        <v>40</v>
      </c>
      <c r="D4435">
        <v>5.0593519999999996</v>
      </c>
      <c r="E4435">
        <v>0.49991550000000001</v>
      </c>
      <c r="F4435" t="s">
        <v>42</v>
      </c>
      <c r="G4435">
        <v>-346.97120000000001</v>
      </c>
      <c r="H4435" s="1">
        <v>-1.6498300000000001E-6</v>
      </c>
      <c r="I4435">
        <v>141</v>
      </c>
      <c r="J4435">
        <v>-328.42630000000003</v>
      </c>
      <c r="K4435">
        <v>1.1090930000000001</v>
      </c>
      <c r="L4435">
        <v>140.0772</v>
      </c>
      <c r="M4435">
        <v>-0.99633159999999998</v>
      </c>
      <c r="N4435">
        <v>0</v>
      </c>
      <c r="O4435">
        <v>8.493974E-2</v>
      </c>
      <c r="P4435">
        <v>-0.9936431</v>
      </c>
      <c r="Q4435">
        <v>9.9749400000000002E-2</v>
      </c>
      <c r="R4435">
        <v>5.2187919999999999E-2</v>
      </c>
      <c r="S4435">
        <v>-3.029175</v>
      </c>
      <c r="T4435">
        <v>-0.17849089999999901</v>
      </c>
      <c r="U4435">
        <v>0.15248110000000001</v>
      </c>
      <c r="V4435">
        <v>-3.2169110000000001E-2</v>
      </c>
      <c r="W4435">
        <v>0.1101806</v>
      </c>
      <c r="X4435">
        <v>0.99339089999999997</v>
      </c>
      <c r="Y4435">
        <v>-3.4538560000000003E-2</v>
      </c>
      <c r="Z4435">
        <v>-6.0066199999999998E-3</v>
      </c>
      <c r="AA4435">
        <v>0.99938530000000003</v>
      </c>
      <c r="AB4435">
        <v>28</v>
      </c>
      <c r="AC4435">
        <v>-18.544899999999899</v>
      </c>
      <c r="AD4435">
        <v>-1.1090946498300001</v>
      </c>
      <c r="AE4435">
        <v>0.92279999999999496</v>
      </c>
      <c r="AF4435">
        <v>-0.65348820160315901</v>
      </c>
      <c r="AG4435">
        <v>-1.1090946498300001</v>
      </c>
      <c r="AH4435">
        <v>18.490288027735499</v>
      </c>
      <c r="AI4435">
        <v>93.430497525471594</v>
      </c>
      <c r="AJ4435">
        <v>92.024118726891501</v>
      </c>
      <c r="AK4435">
        <v>18.535044891246802</v>
      </c>
      <c r="AL4435">
        <v>83.674273837452702</v>
      </c>
      <c r="AM4435">
        <v>91.854768705416504</v>
      </c>
      <c r="AN4435">
        <v>1.0000000482286699</v>
      </c>
    </row>
    <row r="4436" spans="1:40" x14ac:dyDescent="0.25">
      <c r="A4436" t="str">
        <f>"20190312151116092"</f>
        <v>20190312151116092</v>
      </c>
      <c r="B4436" t="str">
        <f>"1552374676085098"</f>
        <v>1552374676085098</v>
      </c>
      <c r="C4436" t="s">
        <v>40</v>
      </c>
      <c r="D4436">
        <v>5.1904110000000001</v>
      </c>
      <c r="E4436">
        <v>0.49913770000000002</v>
      </c>
      <c r="F4436" t="s">
        <v>42</v>
      </c>
      <c r="G4436">
        <v>-349.37470000000002</v>
      </c>
      <c r="H4436" s="1">
        <v>-6.4258659999999903E-7</v>
      </c>
      <c r="I4436">
        <v>141.08969999999999</v>
      </c>
      <c r="J4436">
        <v>-328.69779999999997</v>
      </c>
      <c r="K4436">
        <v>1.109103</v>
      </c>
      <c r="L4436">
        <v>140.10149999999999</v>
      </c>
      <c r="M4436">
        <v>-0.99623850000000003</v>
      </c>
      <c r="N4436">
        <v>0</v>
      </c>
      <c r="O4436">
        <v>8.6026179999999994E-2</v>
      </c>
      <c r="P4436">
        <v>-0.99361690000000003</v>
      </c>
      <c r="Q4436">
        <v>9.9344779999999994E-2</v>
      </c>
      <c r="R4436">
        <v>5.3443610000000003E-2</v>
      </c>
      <c r="S4436">
        <v>-3.0276179999999999</v>
      </c>
      <c r="T4436">
        <v>-0.16029489999999999</v>
      </c>
      <c r="U4436">
        <v>0.146347</v>
      </c>
      <c r="V4436">
        <v>-3.2004289999999998E-2</v>
      </c>
      <c r="W4436">
        <v>0.1097759</v>
      </c>
      <c r="X4436">
        <v>0.99344100000000002</v>
      </c>
      <c r="Y4436">
        <v>-3.765611E-2</v>
      </c>
      <c r="Z4436">
        <v>-5.537971E-3</v>
      </c>
      <c r="AA4436">
        <v>0.99927540000000004</v>
      </c>
      <c r="AB4436">
        <v>28</v>
      </c>
      <c r="AC4436">
        <v>-20.6769</v>
      </c>
      <c r="AD4436">
        <v>-1.1091036425866001</v>
      </c>
      <c r="AE4436">
        <v>0.98820000000000596</v>
      </c>
      <c r="AF4436">
        <v>-0.79204118257545097</v>
      </c>
      <c r="AG4436">
        <v>-1.1091036425866001</v>
      </c>
      <c r="AH4436">
        <v>20.6260450678758</v>
      </c>
      <c r="AI4436">
        <v>93.075681789763493</v>
      </c>
      <c r="AJ4436">
        <v>92.199080385336302</v>
      </c>
      <c r="AK4436">
        <v>20.671022598481599</v>
      </c>
      <c r="AL4436">
        <v>83.697602784758601</v>
      </c>
      <c r="AM4436">
        <v>91.845179300284499</v>
      </c>
      <c r="AN4436">
        <v>1.0000000216400999</v>
      </c>
    </row>
    <row r="4437" spans="1:40" x14ac:dyDescent="0.25">
      <c r="A4437" t="str">
        <f>"20190312151116115"</f>
        <v>20190312151116115</v>
      </c>
      <c r="B4437" t="str">
        <f>"1552374676105592"</f>
        <v>1552374676105592</v>
      </c>
      <c r="C4437" t="s">
        <v>40</v>
      </c>
      <c r="D4437">
        <v>5.0662479999999999</v>
      </c>
      <c r="E4437">
        <v>0.49850650000000002</v>
      </c>
      <c r="F4437" t="s">
        <v>42</v>
      </c>
      <c r="G4437">
        <v>-350.78949999999998</v>
      </c>
      <c r="H4437" s="1">
        <v>-4.279651E-6</v>
      </c>
      <c r="I4437">
        <v>141.15129999999999</v>
      </c>
      <c r="J4437">
        <v>-328.98140000000001</v>
      </c>
      <c r="K4437">
        <v>1.109118</v>
      </c>
      <c r="L4437">
        <v>140.12719999999999</v>
      </c>
      <c r="M4437">
        <v>-0.99614250000000004</v>
      </c>
      <c r="N4437">
        <v>0</v>
      </c>
      <c r="O4437">
        <v>8.7129830000000005E-2</v>
      </c>
      <c r="P4437">
        <v>-0.99359759999999997</v>
      </c>
      <c r="Q4437">
        <v>9.9044170000000001E-2</v>
      </c>
      <c r="R4437">
        <v>5.4353650000000003E-2</v>
      </c>
      <c r="S4437">
        <v>-3.026764</v>
      </c>
      <c r="T4437">
        <v>-0.15195790000000001</v>
      </c>
      <c r="U4437">
        <v>0.14384459999999999</v>
      </c>
      <c r="V4437">
        <v>-3.2203370000000002E-2</v>
      </c>
      <c r="W4437">
        <v>0.1094759</v>
      </c>
      <c r="X4437">
        <v>0.99346760000000001</v>
      </c>
      <c r="Y4437">
        <v>-3.9587360000000002E-2</v>
      </c>
      <c r="Z4437">
        <v>-5.3554830000000003E-3</v>
      </c>
      <c r="AA4437">
        <v>0.99920180000000003</v>
      </c>
      <c r="AB4437">
        <v>28</v>
      </c>
      <c r="AC4437">
        <v>-21.8080999999999</v>
      </c>
      <c r="AD4437">
        <v>-1.1091222796510001</v>
      </c>
      <c r="AE4437">
        <v>1.0241</v>
      </c>
      <c r="AF4437">
        <v>-0.87776885053190201</v>
      </c>
      <c r="AG4437">
        <v>-1.1091222796510001</v>
      </c>
      <c r="AH4437">
        <v>21.7582332860548</v>
      </c>
      <c r="AI4437">
        <v>92.915749369705296</v>
      </c>
      <c r="AJ4437">
        <v>92.310168905569597</v>
      </c>
      <c r="AK4437">
        <v>21.8041589178892</v>
      </c>
      <c r="AL4437">
        <v>83.714895298521697</v>
      </c>
      <c r="AM4437">
        <v>91.856599398034007</v>
      </c>
      <c r="AN4437">
        <v>0.99999995098496197</v>
      </c>
    </row>
    <row r="4438" spans="1:40" x14ac:dyDescent="0.25">
      <c r="A4438" t="str">
        <f>"20190312151116137"</f>
        <v>20190312151116137</v>
      </c>
      <c r="B4438" t="str">
        <f>"1552374676126087"</f>
        <v>1552374676126087</v>
      </c>
      <c r="C4438" t="s">
        <v>40</v>
      </c>
      <c r="D4438">
        <v>5.1528090000000004</v>
      </c>
      <c r="E4438">
        <v>0.49805650000000001</v>
      </c>
      <c r="F4438" t="s">
        <v>42</v>
      </c>
      <c r="G4438">
        <v>-351.93049999999999</v>
      </c>
      <c r="H4438" s="1">
        <v>-3.8657819999999901E-6</v>
      </c>
      <c r="I4438">
        <v>141.2011</v>
      </c>
      <c r="J4438">
        <v>-329.25749999999999</v>
      </c>
      <c r="K4438">
        <v>1.109148</v>
      </c>
      <c r="L4438">
        <v>140.1525</v>
      </c>
      <c r="M4438">
        <v>-0.99605200000000005</v>
      </c>
      <c r="N4438">
        <v>0</v>
      </c>
      <c r="O4438">
        <v>8.8158929999999996E-2</v>
      </c>
      <c r="P4438">
        <v>-0.99352289999999999</v>
      </c>
      <c r="Q4438">
        <v>9.9450029999999995E-2</v>
      </c>
      <c r="R4438">
        <v>5.4972600000000003E-2</v>
      </c>
      <c r="S4438">
        <v>-3.026154</v>
      </c>
      <c r="T4438">
        <v>-0.14625299999999999</v>
      </c>
      <c r="U4438">
        <v>0.14161679999999999</v>
      </c>
      <c r="V4438">
        <v>-3.2614530000000003E-2</v>
      </c>
      <c r="W4438">
        <v>0.1098802</v>
      </c>
      <c r="X4438">
        <v>0.9934096</v>
      </c>
      <c r="Y4438">
        <v>-4.1352409999999999E-2</v>
      </c>
      <c r="Z4438">
        <v>-5.2479140000000002E-3</v>
      </c>
      <c r="AA4438">
        <v>0.99913079999999999</v>
      </c>
      <c r="AB4438">
        <v>28</v>
      </c>
      <c r="AC4438">
        <v>-22.672999999999998</v>
      </c>
      <c r="AD4438">
        <v>-1.1091518657819901</v>
      </c>
      <c r="AE4438">
        <v>1.04859999999999</v>
      </c>
      <c r="AF4438">
        <v>-0.95214529908904699</v>
      </c>
      <c r="AG4438">
        <v>-1.1091518657819901</v>
      </c>
      <c r="AH4438">
        <v>22.623135501196099</v>
      </c>
      <c r="AI4438">
        <v>92.804332835910799</v>
      </c>
      <c r="AJ4438">
        <v>92.409998835726995</v>
      </c>
      <c r="AK4438">
        <v>22.670312270399499</v>
      </c>
      <c r="AL4438">
        <v>83.691590324850594</v>
      </c>
      <c r="AM4438">
        <v>91.880396524013605</v>
      </c>
      <c r="AN4438">
        <v>0.99999999964566</v>
      </c>
    </row>
    <row r="4439" spans="1:40" x14ac:dyDescent="0.25">
      <c r="A4439" t="str">
        <f>"20190312151116161"</f>
        <v>20190312151116161</v>
      </c>
      <c r="B4439" t="str">
        <f>"1552374676155264"</f>
        <v>1552374676155264</v>
      </c>
      <c r="C4439" t="s">
        <v>40</v>
      </c>
      <c r="D4439">
        <v>5.002491</v>
      </c>
      <c r="E4439">
        <v>0.49784410000000001</v>
      </c>
      <c r="F4439" t="s">
        <v>42</v>
      </c>
      <c r="G4439">
        <v>-353.22800000000001</v>
      </c>
      <c r="H4439" s="1">
        <v>-3.3260719999999999E-6</v>
      </c>
      <c r="I4439">
        <v>141.2646</v>
      </c>
      <c r="J4439">
        <v>-329.54610000000002</v>
      </c>
      <c r="K4439">
        <v>1.109186</v>
      </c>
      <c r="L4439">
        <v>140.17920000000001</v>
      </c>
      <c r="M4439">
        <v>-0.99596229999999997</v>
      </c>
      <c r="N4439">
        <v>0</v>
      </c>
      <c r="O4439">
        <v>8.9165460000000002E-2</v>
      </c>
      <c r="P4439">
        <v>-0.99350919999999998</v>
      </c>
      <c r="Q4439">
        <v>9.9178989999999995E-2</v>
      </c>
      <c r="R4439">
        <v>5.5705379999999999E-2</v>
      </c>
      <c r="S4439">
        <v>-3.0258180000000001</v>
      </c>
      <c r="T4439">
        <v>-0.14000960000000001</v>
      </c>
      <c r="U4439">
        <v>0.1403961</v>
      </c>
      <c r="V4439">
        <v>-3.2900680000000002E-2</v>
      </c>
      <c r="W4439">
        <v>0.1096081</v>
      </c>
      <c r="X4439">
        <v>0.99343020000000004</v>
      </c>
      <c r="Y4439">
        <v>-4.2769069999999999E-2</v>
      </c>
      <c r="Z4439">
        <v>-5.1038359999999996E-3</v>
      </c>
      <c r="AA4439">
        <v>0.99907199999999996</v>
      </c>
      <c r="AB4439">
        <v>28</v>
      </c>
      <c r="AC4439">
        <v>-23.681899999999899</v>
      </c>
      <c r="AD4439">
        <v>-1.109189326072</v>
      </c>
      <c r="AE4439">
        <v>1.0853999999999899</v>
      </c>
      <c r="AF4439">
        <v>-1.0283947355829499</v>
      </c>
      <c r="AG4439">
        <v>-1.109189326072</v>
      </c>
      <c r="AH4439">
        <v>23.632611776468501</v>
      </c>
      <c r="AI4439">
        <v>92.684650731875706</v>
      </c>
      <c r="AJ4439">
        <v>92.491706295526299</v>
      </c>
      <c r="AK4439">
        <v>23.680967802657999</v>
      </c>
      <c r="AL4439">
        <v>83.707275097989907</v>
      </c>
      <c r="AM4439">
        <v>91.896843247398905</v>
      </c>
      <c r="AN4439">
        <v>0.99999997630105597</v>
      </c>
    </row>
    <row r="4440" spans="1:40" x14ac:dyDescent="0.25">
      <c r="A4440" t="str">
        <f>"20190312151116184"</f>
        <v>20190312151116184</v>
      </c>
      <c r="B4440" t="str">
        <f>"1552374676175759"</f>
        <v>1552374676175759</v>
      </c>
      <c r="C4440" t="s">
        <v>40</v>
      </c>
      <c r="D4440">
        <v>5.0072109999999999</v>
      </c>
      <c r="E4440">
        <v>0.49776920000000002</v>
      </c>
      <c r="F4440" t="s">
        <v>42</v>
      </c>
      <c r="G4440">
        <v>-350.60050000000001</v>
      </c>
      <c r="H4440" s="1">
        <v>-4.345227E-6</v>
      </c>
      <c r="I4440">
        <v>141.1584</v>
      </c>
      <c r="J4440">
        <v>-329.84559999999999</v>
      </c>
      <c r="K4440">
        <v>1.109237</v>
      </c>
      <c r="L4440">
        <v>140.2071</v>
      </c>
      <c r="M4440">
        <v>-0.99587579999999998</v>
      </c>
      <c r="N4440">
        <v>0</v>
      </c>
      <c r="O4440">
        <v>9.0126189999999995E-2</v>
      </c>
      <c r="P4440">
        <v>-0.99352499999999999</v>
      </c>
      <c r="Q4440">
        <v>9.8533679999999998E-2</v>
      </c>
      <c r="R4440">
        <v>5.6562670000000002E-2</v>
      </c>
      <c r="S4440">
        <v>-3.0275880000000002</v>
      </c>
      <c r="T4440">
        <v>-0.15950020000000001</v>
      </c>
      <c r="U4440">
        <v>0.14082339999999999</v>
      </c>
      <c r="V4440">
        <v>-3.3023829999999997E-2</v>
      </c>
      <c r="W4440">
        <v>0.10896069999999999</v>
      </c>
      <c r="X4440">
        <v>0.99349739999999997</v>
      </c>
      <c r="Y4440">
        <v>-4.3575129999999997E-2</v>
      </c>
      <c r="Z4440">
        <v>-5.8815489999999998E-3</v>
      </c>
      <c r="AA4440">
        <v>0.9990329</v>
      </c>
      <c r="AB4440">
        <v>28</v>
      </c>
      <c r="AC4440">
        <v>-20.754899999999999</v>
      </c>
      <c r="AD4440">
        <v>-1.109241345227</v>
      </c>
      <c r="AE4440">
        <v>0.95130000000000303</v>
      </c>
      <c r="AF4440">
        <v>-0.92060950683795895</v>
      </c>
      <c r="AG4440">
        <v>-1.109241345227</v>
      </c>
      <c r="AH4440">
        <v>20.697173059341601</v>
      </c>
      <c r="AI4440">
        <v>93.064742446715101</v>
      </c>
      <c r="AJ4440">
        <v>92.546835469301499</v>
      </c>
      <c r="AK4440">
        <v>20.747310931163501</v>
      </c>
      <c r="AL4440">
        <v>83.744592330848604</v>
      </c>
      <c r="AM4440">
        <v>91.903809387367701</v>
      </c>
      <c r="AN4440">
        <v>1.0000000456495499</v>
      </c>
    </row>
    <row r="4441" spans="1:40" x14ac:dyDescent="0.25">
      <c r="A4441" t="str">
        <f>"20190312151116205"</f>
        <v>20190312151116205</v>
      </c>
      <c r="B4441" t="str">
        <f>"1552374676196260"</f>
        <v>1552374676196260</v>
      </c>
      <c r="C4441" t="s">
        <v>40</v>
      </c>
      <c r="D4441">
        <v>5.0926479999999996</v>
      </c>
      <c r="E4441">
        <v>0.49747959999999902</v>
      </c>
      <c r="F4441" t="s">
        <v>42</v>
      </c>
      <c r="G4441">
        <v>-349.50439999999998</v>
      </c>
      <c r="H4441" s="1">
        <v>-5.9797939999999995E-7</v>
      </c>
      <c r="I4441">
        <v>141.13120000000001</v>
      </c>
      <c r="J4441">
        <v>-330.10329999999999</v>
      </c>
      <c r="K4441">
        <v>1.1092820000000001</v>
      </c>
      <c r="L4441">
        <v>140.2313</v>
      </c>
      <c r="M4441">
        <v>-0.99580619999999997</v>
      </c>
      <c r="N4441">
        <v>0</v>
      </c>
      <c r="O4441">
        <v>9.0891910000000006E-2</v>
      </c>
      <c r="P4441">
        <v>-0.99354209999999998</v>
      </c>
      <c r="Q4441">
        <v>9.8026180000000004E-2</v>
      </c>
      <c r="R4441">
        <v>5.7143630000000001E-2</v>
      </c>
      <c r="S4441">
        <v>-3.0284119999999999</v>
      </c>
      <c r="T4441">
        <v>-0.1708769</v>
      </c>
      <c r="U4441">
        <v>0.1423645</v>
      </c>
      <c r="V4441">
        <v>-3.3225610000000003E-2</v>
      </c>
      <c r="W4441">
        <v>0.10845109999999999</v>
      </c>
      <c r="X4441">
        <v>0.99354640000000005</v>
      </c>
      <c r="Y4441">
        <v>-4.3819919999999998E-2</v>
      </c>
      <c r="Z4441">
        <v>-6.3484719999999904E-3</v>
      </c>
      <c r="AA4441">
        <v>0.99901930000000005</v>
      </c>
      <c r="AB4441">
        <v>28</v>
      </c>
      <c r="AC4441">
        <v>-19.4010999999999</v>
      </c>
      <c r="AD4441">
        <v>-1.1092825979794001</v>
      </c>
      <c r="AE4441">
        <v>0.89990000000000203</v>
      </c>
      <c r="AF4441">
        <v>-0.86450405872324498</v>
      </c>
      <c r="AG4441">
        <v>-1.1092825979794001</v>
      </c>
      <c r="AH4441">
        <v>19.339496068208401</v>
      </c>
      <c r="AI4441">
        <v>93.279529591518397</v>
      </c>
      <c r="AJ4441">
        <v>92.5595021190138</v>
      </c>
      <c r="AK4441">
        <v>19.3905642858061</v>
      </c>
      <c r="AL4441">
        <v>83.773964130986698</v>
      </c>
      <c r="AM4441">
        <v>91.915338881955194</v>
      </c>
      <c r="AN4441">
        <v>1.0000000156020199</v>
      </c>
    </row>
    <row r="4442" spans="1:40" x14ac:dyDescent="0.25">
      <c r="A4442" t="str">
        <f>"20190312151116226"</f>
        <v>20190312151116226</v>
      </c>
      <c r="B4442" t="str">
        <f>"1552374676215776"</f>
        <v>1552374676215776</v>
      </c>
      <c r="C4442" t="s">
        <v>40</v>
      </c>
      <c r="D4442">
        <v>5.0854290000000004</v>
      </c>
      <c r="E4442">
        <v>0.49728109999999998</v>
      </c>
      <c r="F4442" t="s">
        <v>42</v>
      </c>
      <c r="G4442">
        <v>-348.68630000000002</v>
      </c>
      <c r="H4442" s="1">
        <v>-9.4090650000000004E-7</v>
      </c>
      <c r="I4442">
        <v>141.1009</v>
      </c>
      <c r="J4442">
        <v>-330.38319999999999</v>
      </c>
      <c r="K4442">
        <v>1.1093420000000001</v>
      </c>
      <c r="L4442">
        <v>140.2577</v>
      </c>
      <c r="M4442">
        <v>-0.99573750000000005</v>
      </c>
      <c r="N4442">
        <v>0</v>
      </c>
      <c r="O4442">
        <v>9.164079E-2</v>
      </c>
      <c r="P4442">
        <v>-0.9935775</v>
      </c>
      <c r="Q4442">
        <v>9.7462720000000003E-2</v>
      </c>
      <c r="R4442">
        <v>5.7486179999999998E-2</v>
      </c>
      <c r="S4442">
        <v>-3.029175</v>
      </c>
      <c r="T4442">
        <v>-0.18082280000000001</v>
      </c>
      <c r="U4442">
        <v>0.14176939999999999</v>
      </c>
      <c r="V4442">
        <v>-3.3651710000000001E-2</v>
      </c>
      <c r="W4442">
        <v>0.1078856</v>
      </c>
      <c r="X4442">
        <v>0.99359359999999997</v>
      </c>
      <c r="Y4442">
        <v>-4.4750489999999997E-2</v>
      </c>
      <c r="Z4442">
        <v>-6.7878959999999999E-3</v>
      </c>
      <c r="AA4442">
        <v>0.99897519999999995</v>
      </c>
      <c r="AB4442">
        <v>28</v>
      </c>
      <c r="AC4442">
        <v>-18.303100000000001</v>
      </c>
      <c r="AD4442">
        <v>-1.1093429409065001</v>
      </c>
      <c r="AE4442">
        <v>0.84319999999999595</v>
      </c>
      <c r="AF4442">
        <v>-0.83469049894158998</v>
      </c>
      <c r="AG4442">
        <v>-1.1093429409065001</v>
      </c>
      <c r="AH4442">
        <v>18.2364999901434</v>
      </c>
      <c r="AI4442">
        <v>93.477433395916904</v>
      </c>
      <c r="AJ4442">
        <v>92.620617371873394</v>
      </c>
      <c r="AK4442">
        <v>18.2892668491676</v>
      </c>
      <c r="AL4442">
        <v>83.806555972567907</v>
      </c>
      <c r="AM4442">
        <v>91.939791308656893</v>
      </c>
      <c r="AN4442">
        <v>0.99999999111712201</v>
      </c>
    </row>
    <row r="4443" spans="1:40" x14ac:dyDescent="0.25">
      <c r="A4443" t="str">
        <f>"20190312151116248"</f>
        <v>20190312151116248</v>
      </c>
      <c r="B4443" t="str">
        <f>"1552374676246032"</f>
        <v>1552374676246032</v>
      </c>
      <c r="C4443" t="s">
        <v>40</v>
      </c>
      <c r="D4443">
        <v>4.9672919999999996</v>
      </c>
      <c r="E4443">
        <v>0.49717080000000002</v>
      </c>
      <c r="F4443" t="s">
        <v>42</v>
      </c>
      <c r="G4443">
        <v>-348.18259999999998</v>
      </c>
      <c r="H4443" s="1">
        <v>-1.152968E-6</v>
      </c>
      <c r="I4443">
        <v>141.0857</v>
      </c>
      <c r="J4443">
        <v>-330.66520000000003</v>
      </c>
      <c r="K4443">
        <v>1.1094040000000001</v>
      </c>
      <c r="L4443">
        <v>140.28440000000001</v>
      </c>
      <c r="M4443">
        <v>-0.99567720000000004</v>
      </c>
      <c r="N4443">
        <v>0</v>
      </c>
      <c r="O4443">
        <v>9.2293050000000001E-2</v>
      </c>
      <c r="P4443">
        <v>-0.99359739999999996</v>
      </c>
      <c r="Q4443">
        <v>9.7190509999999994E-2</v>
      </c>
      <c r="R4443">
        <v>5.7606449999999997E-2</v>
      </c>
      <c r="S4443">
        <v>-3.0297550000000002</v>
      </c>
      <c r="T4443">
        <v>-0.18882950000000001</v>
      </c>
      <c r="U4443">
        <v>0.14096069999999999</v>
      </c>
      <c r="V4443">
        <v>-3.4203259999999999E-2</v>
      </c>
      <c r="W4443">
        <v>0.1076106</v>
      </c>
      <c r="X4443">
        <v>0.99360459999999995</v>
      </c>
      <c r="Y4443">
        <v>-4.565512E-2</v>
      </c>
      <c r="Z4443">
        <v>-7.1551669999999996E-3</v>
      </c>
      <c r="AA4443">
        <v>0.99893160000000003</v>
      </c>
      <c r="AB4443">
        <v>28</v>
      </c>
      <c r="AC4443">
        <v>-17.517399999999899</v>
      </c>
      <c r="AD4443">
        <v>-1.109405152968</v>
      </c>
      <c r="AE4443">
        <v>0.80129999999999701</v>
      </c>
      <c r="AF4443">
        <v>-0.81567796330124898</v>
      </c>
      <c r="AG4443">
        <v>-1.109405152968</v>
      </c>
      <c r="AH4443">
        <v>17.446753122038398</v>
      </c>
      <c r="AI4443">
        <v>93.634469449655697</v>
      </c>
      <c r="AJ4443">
        <v>92.676767311372203</v>
      </c>
      <c r="AK4443">
        <v>17.5010086804905</v>
      </c>
      <c r="AL4443">
        <v>83.822404650852107</v>
      </c>
      <c r="AM4443">
        <v>91.971537701998301</v>
      </c>
      <c r="AN4443">
        <v>1.0000000026840701</v>
      </c>
    </row>
    <row r="4444" spans="1:40" x14ac:dyDescent="0.25">
      <c r="A4444" t="str">
        <f>"20190312151116272"</f>
        <v>20190312151116272</v>
      </c>
      <c r="B4444" t="str">
        <f>"1552374676265555"</f>
        <v>1552374676265555</v>
      </c>
      <c r="C4444" t="s">
        <v>40</v>
      </c>
      <c r="D4444">
        <v>5.0808339999999896</v>
      </c>
      <c r="E4444">
        <v>0.49713950000000001</v>
      </c>
      <c r="F4444" t="s">
        <v>42</v>
      </c>
      <c r="G4444">
        <v>-347.7088</v>
      </c>
      <c r="H4444" s="1">
        <v>-1.353345E-6</v>
      </c>
      <c r="I4444">
        <v>141.07490000000001</v>
      </c>
      <c r="J4444">
        <v>-330.94940000000003</v>
      </c>
      <c r="K4444">
        <v>1.1094889999999999</v>
      </c>
      <c r="L4444">
        <v>140.31139999999999</v>
      </c>
      <c r="M4444">
        <v>-0.99562660000000003</v>
      </c>
      <c r="N4444">
        <v>0</v>
      </c>
      <c r="O4444">
        <v>9.2837210000000003E-2</v>
      </c>
      <c r="P4444">
        <v>-0.99361489999999997</v>
      </c>
      <c r="Q4444">
        <v>9.6787239999999997E-2</v>
      </c>
      <c r="R4444">
        <v>5.7978349999999998E-2</v>
      </c>
      <c r="S4444">
        <v>-3.0305179999999998</v>
      </c>
      <c r="T4444">
        <v>-0.19726360000000001</v>
      </c>
      <c r="U4444">
        <v>0.14057919999999999</v>
      </c>
      <c r="V4444">
        <v>-3.4399510000000001E-2</v>
      </c>
      <c r="W4444">
        <v>0.1072034</v>
      </c>
      <c r="X4444">
        <v>0.99364189999999997</v>
      </c>
      <c r="Y4444">
        <v>-4.6311539999999998E-2</v>
      </c>
      <c r="Z4444">
        <v>-7.528791E-3</v>
      </c>
      <c r="AA4444">
        <v>0.99889870000000003</v>
      </c>
      <c r="AB4444">
        <v>28</v>
      </c>
      <c r="AC4444">
        <v>-16.7593999999999</v>
      </c>
      <c r="AD4444">
        <v>-1.109490353345</v>
      </c>
      <c r="AE4444">
        <v>0.76350000000002105</v>
      </c>
      <c r="AF4444">
        <v>-0.79231318327929101</v>
      </c>
      <c r="AG4444">
        <v>-1.109490353345</v>
      </c>
      <c r="AH4444">
        <v>16.684926731056301</v>
      </c>
      <c r="AI4444">
        <v>93.800102252299297</v>
      </c>
      <c r="AJ4444">
        <v>92.718748819042204</v>
      </c>
      <c r="AK4444">
        <v>16.740534909174201</v>
      </c>
      <c r="AL4444">
        <v>83.845871599665799</v>
      </c>
      <c r="AM4444">
        <v>91.982766528594993</v>
      </c>
      <c r="AN4444">
        <v>1.0000000603476999</v>
      </c>
    </row>
    <row r="4445" spans="1:40" x14ac:dyDescent="0.25">
      <c r="A4445" t="str">
        <f>"20190312151116293"</f>
        <v>20190312151116293</v>
      </c>
      <c r="B4445" t="str">
        <f>"1552374676286047"</f>
        <v>1552374676286047</v>
      </c>
      <c r="C4445" t="s">
        <v>40</v>
      </c>
      <c r="D4445">
        <v>5.0718990000000002</v>
      </c>
      <c r="E4445">
        <v>0.49697930000000001</v>
      </c>
      <c r="F4445" t="s">
        <v>42</v>
      </c>
      <c r="G4445">
        <v>-347.62799999999999</v>
      </c>
      <c r="H4445" s="1">
        <v>-1.3920449999999999E-6</v>
      </c>
      <c r="I4445">
        <v>141.09010000000001</v>
      </c>
      <c r="J4445">
        <v>-331.2303</v>
      </c>
      <c r="K4445">
        <v>1.109578</v>
      </c>
      <c r="L4445">
        <v>140.3382</v>
      </c>
      <c r="M4445">
        <v>-0.99558780000000002</v>
      </c>
      <c r="N4445">
        <v>0</v>
      </c>
      <c r="O4445">
        <v>9.3253269999999999E-2</v>
      </c>
      <c r="P4445">
        <v>-0.99360389999999998</v>
      </c>
      <c r="Q4445">
        <v>9.6879010000000002E-2</v>
      </c>
      <c r="R4445">
        <v>5.8016440000000002E-2</v>
      </c>
      <c r="S4445">
        <v>-3.0306700000000002</v>
      </c>
      <c r="T4445">
        <v>-0.20160690000000001</v>
      </c>
      <c r="U4445">
        <v>0.14151</v>
      </c>
      <c r="V4445">
        <v>-3.4799549999999999E-2</v>
      </c>
      <c r="W4445">
        <v>0.1072892</v>
      </c>
      <c r="X4445">
        <v>0.99361869999999997</v>
      </c>
      <c r="Y4445">
        <v>-4.6411059999999997E-2</v>
      </c>
      <c r="Z4445">
        <v>-7.7245509999999996E-3</v>
      </c>
      <c r="AA4445">
        <v>0.99889249999999996</v>
      </c>
      <c r="AB4445">
        <v>28</v>
      </c>
      <c r="AC4445">
        <v>-16.3977</v>
      </c>
      <c r="AD4445">
        <v>-1.1095793920449999</v>
      </c>
      <c r="AE4445">
        <v>0.75190000000000601</v>
      </c>
      <c r="AF4445">
        <v>-0.77704865009620405</v>
      </c>
      <c r="AG4445">
        <v>-1.1095793920449999</v>
      </c>
      <c r="AH4445">
        <v>16.3217816273404</v>
      </c>
      <c r="AI4445">
        <v>93.884683600532597</v>
      </c>
      <c r="AJ4445">
        <v>92.725683893163193</v>
      </c>
      <c r="AK4445">
        <v>16.3778975000595</v>
      </c>
      <c r="AL4445">
        <v>83.840927047158502</v>
      </c>
      <c r="AM4445">
        <v>92.005852656097503</v>
      </c>
      <c r="AN4445">
        <v>1.0000000510532601</v>
      </c>
    </row>
    <row r="4446" spans="1:40" x14ac:dyDescent="0.25">
      <c r="A4446" t="str">
        <f>"20190312151116317"</f>
        <v>20190312151116317</v>
      </c>
      <c r="B4446" t="str">
        <f>"1552374676305571"</f>
        <v>1552374676305571</v>
      </c>
      <c r="C4446" t="s">
        <v>40</v>
      </c>
      <c r="D4446">
        <v>5.0907530000000003</v>
      </c>
      <c r="E4446">
        <v>0.49693559999999998</v>
      </c>
      <c r="F4446" t="s">
        <v>42</v>
      </c>
      <c r="G4446">
        <v>-347.5788</v>
      </c>
      <c r="H4446" s="1">
        <v>-1.4141060000000001E-6</v>
      </c>
      <c r="I4446">
        <v>141.09379999999999</v>
      </c>
      <c r="J4446">
        <v>-331.5181</v>
      </c>
      <c r="K4446">
        <v>1.109683</v>
      </c>
      <c r="L4446">
        <v>140.3655</v>
      </c>
      <c r="M4446">
        <v>-0.99556029999999995</v>
      </c>
      <c r="N4446">
        <v>0</v>
      </c>
      <c r="O4446">
        <v>9.3545400000000001E-2</v>
      </c>
      <c r="P4446">
        <v>-0.99356060000000002</v>
      </c>
      <c r="Q4446">
        <v>9.7270510000000004E-2</v>
      </c>
      <c r="R4446">
        <v>5.8101849999999997E-2</v>
      </c>
      <c r="S4446">
        <v>-3.0312190000000001</v>
      </c>
      <c r="T4446">
        <v>-0.20573060000000001</v>
      </c>
      <c r="U4446">
        <v>0.14012149999999901</v>
      </c>
      <c r="V4446">
        <v>-3.5028799999999999E-2</v>
      </c>
      <c r="W4446">
        <v>0.1076775</v>
      </c>
      <c r="X4446">
        <v>0.99356860000000002</v>
      </c>
      <c r="Y4446">
        <v>-4.715424E-2</v>
      </c>
      <c r="Z4446">
        <v>-7.9257700000000004E-3</v>
      </c>
      <c r="AA4446">
        <v>0.99885619999999997</v>
      </c>
      <c r="AB4446">
        <v>28</v>
      </c>
      <c r="AC4446">
        <v>-16.060699999999901</v>
      </c>
      <c r="AD4446">
        <v>-1.109684414106</v>
      </c>
      <c r="AE4446">
        <v>0.72829999999998996</v>
      </c>
      <c r="AF4446">
        <v>-0.77369445460618802</v>
      </c>
      <c r="AG4446">
        <v>-1.109684414106</v>
      </c>
      <c r="AH4446">
        <v>15.9822586499129</v>
      </c>
      <c r="AI4446">
        <v>93.967170518202295</v>
      </c>
      <c r="AJ4446">
        <v>92.7715010734141</v>
      </c>
      <c r="AK4446">
        <v>16.0394075377089</v>
      </c>
      <c r="AL4446">
        <v>83.818549217890094</v>
      </c>
      <c r="AM4446">
        <v>92.019157493762904</v>
      </c>
      <c r="AN4446">
        <v>1.0000000118708201</v>
      </c>
    </row>
    <row r="4447" spans="1:40" x14ac:dyDescent="0.25">
      <c r="A4447" t="str">
        <f>"20190312151116338"</f>
        <v>20190312151116338</v>
      </c>
      <c r="B4447" t="str">
        <f>"1552374676335824"</f>
        <v>1552374676335824</v>
      </c>
      <c r="C4447" t="s">
        <v>40</v>
      </c>
      <c r="D4447">
        <v>4.9813080000000003</v>
      </c>
      <c r="E4447">
        <v>0.49682739999999997</v>
      </c>
      <c r="F4447" t="s">
        <v>42</v>
      </c>
      <c r="G4447">
        <v>-347.73099999999999</v>
      </c>
      <c r="H4447" s="1">
        <v>-1.3545619999999999E-6</v>
      </c>
      <c r="I4447">
        <v>141.11539999999999</v>
      </c>
      <c r="J4447">
        <v>-331.7876</v>
      </c>
      <c r="K4447">
        <v>1.109783</v>
      </c>
      <c r="L4447">
        <v>140.39109999999999</v>
      </c>
      <c r="M4447">
        <v>-0.99554540000000002</v>
      </c>
      <c r="N4447">
        <v>0</v>
      </c>
      <c r="O4447">
        <v>9.3701859999999998E-2</v>
      </c>
      <c r="P4447">
        <v>-0.99357479999999998</v>
      </c>
      <c r="Q4447">
        <v>9.7307859999999996E-2</v>
      </c>
      <c r="R4447">
        <v>5.7796119999999999E-2</v>
      </c>
      <c r="S4447">
        <v>-3.0315859999999999</v>
      </c>
      <c r="T4447">
        <v>-0.20749629999999999</v>
      </c>
      <c r="U4447">
        <v>0.1402283</v>
      </c>
      <c r="V4447">
        <v>-3.5515690000000003E-2</v>
      </c>
      <c r="W4447">
        <v>0.1077173</v>
      </c>
      <c r="X4447">
        <v>0.99354699999999996</v>
      </c>
      <c r="Y4447">
        <v>-4.7275560000000001E-2</v>
      </c>
      <c r="Z4447">
        <v>-8.0074569999999904E-3</v>
      </c>
      <c r="AA4447">
        <v>0.99884980000000001</v>
      </c>
      <c r="AB4447">
        <v>28</v>
      </c>
      <c r="AC4447">
        <v>-15.943399999999899</v>
      </c>
      <c r="AD4447">
        <v>-1.1097843545620001</v>
      </c>
      <c r="AE4447">
        <v>0.72429999999999894</v>
      </c>
      <c r="AF4447">
        <v>-0.76917578263754305</v>
      </c>
      <c r="AG4447">
        <v>-1.1097843545620001</v>
      </c>
      <c r="AH4447">
        <v>15.8644095755833</v>
      </c>
      <c r="AI4447">
        <v>93.996889944745305</v>
      </c>
      <c r="AJ4447">
        <v>92.775775661734301</v>
      </c>
      <c r="AK4447">
        <v>15.9217694958847</v>
      </c>
      <c r="AL4447">
        <v>83.816255500121997</v>
      </c>
      <c r="AM4447">
        <v>92.047243939574003</v>
      </c>
      <c r="AN4447">
        <v>1.00000001108223</v>
      </c>
    </row>
    <row r="4448" spans="1:40" x14ac:dyDescent="0.25">
      <c r="A4448" t="str">
        <f>"20190312151116361"</f>
        <v>20190312151116361</v>
      </c>
      <c r="B4448" t="str">
        <f>"1552374676355343"</f>
        <v>1552374676355343</v>
      </c>
      <c r="C4448" t="s">
        <v>40</v>
      </c>
      <c r="D4448">
        <v>5.1017169999999998</v>
      </c>
      <c r="E4448">
        <v>0.49676160000000003</v>
      </c>
      <c r="F4448" t="s">
        <v>42</v>
      </c>
      <c r="G4448">
        <v>-347.54770000000002</v>
      </c>
      <c r="H4448" s="1">
        <v>-1.4322229999999901E-6</v>
      </c>
      <c r="I4448">
        <v>141.11160000000001</v>
      </c>
      <c r="J4448">
        <v>-332.08030000000002</v>
      </c>
      <c r="K4448">
        <v>1.109877</v>
      </c>
      <c r="L4448">
        <v>140.4187</v>
      </c>
      <c r="M4448">
        <v>-0.99554189999999998</v>
      </c>
      <c r="N4448">
        <v>0</v>
      </c>
      <c r="O4448">
        <v>9.3738299999999997E-2</v>
      </c>
      <c r="P4448">
        <v>-0.99355640000000001</v>
      </c>
      <c r="Q4448">
        <v>9.7404260000000006E-2</v>
      </c>
      <c r="R4448">
        <v>5.7949269999999997E-2</v>
      </c>
      <c r="S4448">
        <v>-3.0322269999999998</v>
      </c>
      <c r="T4448">
        <v>-0.21352180000000001</v>
      </c>
      <c r="U4448">
        <v>0.13865659999999999</v>
      </c>
      <c r="V4448">
        <v>-3.5422919999999997E-2</v>
      </c>
      <c r="W4448">
        <v>0.10781780000000001</v>
      </c>
      <c r="X4448">
        <v>0.99353939999999996</v>
      </c>
      <c r="Y4448">
        <v>-4.781788E-2</v>
      </c>
      <c r="Z4448">
        <v>-8.2594350000000007E-3</v>
      </c>
      <c r="AA4448">
        <v>0.99882190000000004</v>
      </c>
      <c r="AB4448">
        <v>28</v>
      </c>
      <c r="AC4448">
        <v>-15.4673999999999</v>
      </c>
      <c r="AD4448">
        <v>-1.109878432223</v>
      </c>
      <c r="AE4448">
        <v>0.69290000000000795</v>
      </c>
      <c r="AF4448">
        <v>-0.75623241778017503</v>
      </c>
      <c r="AG4448">
        <v>-1.109878432223</v>
      </c>
      <c r="AH4448">
        <v>15.3851839713627</v>
      </c>
      <c r="AI4448">
        <v>94.121178985064404</v>
      </c>
      <c r="AJ4448">
        <v>92.814011295254502</v>
      </c>
      <c r="AK4448">
        <v>15.4436913798706</v>
      </c>
      <c r="AL4448">
        <v>83.810463475705603</v>
      </c>
      <c r="AM4448">
        <v>92.041916503182804</v>
      </c>
      <c r="AN4448">
        <v>1.00000000030526</v>
      </c>
    </row>
    <row r="4449" spans="1:40" x14ac:dyDescent="0.25">
      <c r="A4449" t="str">
        <f>"20190312151116384"</f>
        <v>20190312151116384</v>
      </c>
      <c r="B4449" t="str">
        <f>"1552374676375840"</f>
        <v>1552374676375840</v>
      </c>
      <c r="C4449" t="s">
        <v>40</v>
      </c>
      <c r="D4449">
        <v>5.0819130000000001</v>
      </c>
      <c r="E4449">
        <v>0.49273660000000002</v>
      </c>
      <c r="F4449" t="s">
        <v>42</v>
      </c>
      <c r="G4449">
        <v>-347.60640000000001</v>
      </c>
      <c r="H4449" s="1">
        <v>-1.4107669999999901E-6</v>
      </c>
      <c r="I4449">
        <v>141.12569999999999</v>
      </c>
      <c r="J4449">
        <v>-332.37</v>
      </c>
      <c r="K4449">
        <v>1.1099589999999999</v>
      </c>
      <c r="L4449">
        <v>140.446</v>
      </c>
      <c r="M4449">
        <v>-0.99554830000000005</v>
      </c>
      <c r="N4449">
        <v>0</v>
      </c>
      <c r="O4449">
        <v>9.3669509999999997E-2</v>
      </c>
      <c r="P4449">
        <v>-0.99363009999999996</v>
      </c>
      <c r="Q4449">
        <v>9.6906829999999999E-2</v>
      </c>
      <c r="R4449">
        <v>5.7522360000000002E-2</v>
      </c>
      <c r="S4449">
        <v>-3.032715</v>
      </c>
      <c r="T4449">
        <v>-0.21679229999999999</v>
      </c>
      <c r="U4449">
        <v>0.13812260000000001</v>
      </c>
      <c r="V4449">
        <v>-3.5806669999999999E-2</v>
      </c>
      <c r="W4449">
        <v>0.1073257</v>
      </c>
      <c r="X4449">
        <v>0.99357890000000004</v>
      </c>
      <c r="Y4449">
        <v>-4.7920999999999998E-2</v>
      </c>
      <c r="Z4449">
        <v>-8.3831200000000008E-3</v>
      </c>
      <c r="AA4449">
        <v>0.99881600000000004</v>
      </c>
      <c r="AB4449">
        <v>28</v>
      </c>
      <c r="AC4449">
        <v>-15.2364</v>
      </c>
      <c r="AD4449">
        <v>-1.109960410767</v>
      </c>
      <c r="AE4449">
        <v>0.67969999999999597</v>
      </c>
      <c r="AF4449">
        <v>-0.74659873544266997</v>
      </c>
      <c r="AG4449">
        <v>-1.109960410767</v>
      </c>
      <c r="AH4449">
        <v>15.1528176183698</v>
      </c>
      <c r="AI4449">
        <v>94.184437731474802</v>
      </c>
      <c r="AJ4449">
        <v>92.820755319894701</v>
      </c>
      <c r="AK4449">
        <v>15.2117488659527</v>
      </c>
      <c r="AL4449">
        <v>83.838823147849297</v>
      </c>
      <c r="AM4449">
        <v>92.063936348178501</v>
      </c>
      <c r="AN4449">
        <v>0.999999977011094</v>
      </c>
    </row>
    <row r="4450" spans="1:40" x14ac:dyDescent="0.25">
      <c r="A4450" t="str">
        <f>"20190312151116405"</f>
        <v>20190312151116405</v>
      </c>
      <c r="B4450" t="str">
        <f>"1552374676395359"</f>
        <v>1552374676395359</v>
      </c>
      <c r="C4450" t="s">
        <v>40</v>
      </c>
      <c r="D4450">
        <v>4.9952550000000002</v>
      </c>
      <c r="E4450">
        <v>0.49291449999999998</v>
      </c>
      <c r="F4450" t="s">
        <v>42</v>
      </c>
      <c r="G4450">
        <v>-364.66300000000001</v>
      </c>
      <c r="H4450" s="1">
        <v>-2.796913E-6</v>
      </c>
      <c r="I4450">
        <v>141.58949999999999</v>
      </c>
      <c r="J4450">
        <v>-332.6429</v>
      </c>
      <c r="K4450">
        <v>1.110023</v>
      </c>
      <c r="L4450">
        <v>140.47149999999999</v>
      </c>
      <c r="M4450">
        <v>-0.99556369999999905</v>
      </c>
      <c r="N4450">
        <v>0</v>
      </c>
      <c r="O4450">
        <v>9.3504680000000007E-2</v>
      </c>
      <c r="P4450">
        <v>-0.99372269999999896</v>
      </c>
      <c r="Q4450">
        <v>9.6711359999999996E-2</v>
      </c>
      <c r="R4450">
        <v>5.623537E-2</v>
      </c>
      <c r="S4450">
        <v>-3.0231319999999999</v>
      </c>
      <c r="T4450">
        <v>-0.10391010000000001</v>
      </c>
      <c r="U4450">
        <v>0.1070557</v>
      </c>
      <c r="V4450">
        <v>-3.6951119999999997E-2</v>
      </c>
      <c r="W4450">
        <v>0.1071337</v>
      </c>
      <c r="X4450">
        <v>0.99355780000000005</v>
      </c>
      <c r="Y4450">
        <v>-5.8127079999999998E-2</v>
      </c>
      <c r="Z4450">
        <v>-4.2056330000000003E-3</v>
      </c>
      <c r="AA4450">
        <v>0.99830030000000003</v>
      </c>
      <c r="AB4450">
        <v>28</v>
      </c>
      <c r="AC4450">
        <v>-32.020099999999999</v>
      </c>
      <c r="AD4450">
        <v>-1.1100257969130001</v>
      </c>
      <c r="AE4450">
        <v>1.1179999999999899</v>
      </c>
      <c r="AF4450">
        <v>-1.8788370789534401</v>
      </c>
      <c r="AG4450">
        <v>-1.1100257969130001</v>
      </c>
      <c r="AH4450">
        <v>31.945998411458199</v>
      </c>
      <c r="AI4450">
        <v>91.9866224674291</v>
      </c>
      <c r="AJ4450">
        <v>93.365854223447599</v>
      </c>
      <c r="AK4450">
        <v>32.020446601256999</v>
      </c>
      <c r="AL4450">
        <v>83.849888235904402</v>
      </c>
      <c r="AM4450">
        <v>92.129889096970103</v>
      </c>
      <c r="AN4450">
        <v>1.0000000584428901</v>
      </c>
    </row>
    <row r="4451" spans="1:40" x14ac:dyDescent="0.25">
      <c r="A4451" t="str">
        <f>"20190312151116427"</f>
        <v>20190312151116427</v>
      </c>
      <c r="B4451" t="str">
        <f>"1552374676415856"</f>
        <v>1552374676415856</v>
      </c>
      <c r="C4451" t="s">
        <v>40</v>
      </c>
      <c r="D4451">
        <v>4.9996939999999999</v>
      </c>
      <c r="E4451">
        <v>0.49383300000000002</v>
      </c>
      <c r="F4451" t="s">
        <v>42</v>
      </c>
      <c r="G4451">
        <v>-344.64069999999998</v>
      </c>
      <c r="H4451" s="1">
        <v>-2.61543E-6</v>
      </c>
      <c r="I4451">
        <v>140.8717</v>
      </c>
      <c r="J4451">
        <v>-332.92189999999999</v>
      </c>
      <c r="K4451">
        <v>1.110101</v>
      </c>
      <c r="L4451">
        <v>140.4975</v>
      </c>
      <c r="M4451">
        <v>-0.99558950000000002</v>
      </c>
      <c r="N4451">
        <v>0</v>
      </c>
      <c r="O4451">
        <v>9.3227030000000002E-2</v>
      </c>
      <c r="P4451">
        <v>-0.99384760000000005</v>
      </c>
      <c r="Q4451">
        <v>9.6478759999999997E-2</v>
      </c>
      <c r="R4451">
        <v>5.439397E-2</v>
      </c>
      <c r="S4451">
        <v>-3.0405880000000001</v>
      </c>
      <c r="T4451">
        <v>-0.28131159999999999</v>
      </c>
      <c r="U4451">
        <v>0.10142519999999999</v>
      </c>
      <c r="V4451">
        <v>-3.8539129999999998E-2</v>
      </c>
      <c r="W4451">
        <v>0.1069032</v>
      </c>
      <c r="X4451">
        <v>0.99352220000000002</v>
      </c>
      <c r="Y4451">
        <v>-5.9337529999999999E-2</v>
      </c>
      <c r="Z4451">
        <v>-1.133054E-2</v>
      </c>
      <c r="AA4451">
        <v>0.99817370000000005</v>
      </c>
      <c r="AB4451">
        <v>28</v>
      </c>
      <c r="AC4451">
        <v>-11.7187999999999</v>
      </c>
      <c r="AD4451">
        <v>-1.1101036154299999</v>
      </c>
      <c r="AE4451">
        <v>0.37420000000000098</v>
      </c>
      <c r="AF4451">
        <v>-0.71360205686232103</v>
      </c>
      <c r="AG4451">
        <v>-1.1101036154299999</v>
      </c>
      <c r="AH4451">
        <v>11.598670632828901</v>
      </c>
      <c r="AI4451">
        <v>95.456845155481702</v>
      </c>
      <c r="AJ4451">
        <v>93.520654712417397</v>
      </c>
      <c r="AK4451">
        <v>11.6735049741454</v>
      </c>
      <c r="AL4451">
        <v>83.863170591321406</v>
      </c>
      <c r="AM4451">
        <v>92.221412841085296</v>
      </c>
      <c r="AN4451">
        <v>0.99999996030211702</v>
      </c>
    </row>
    <row r="4452" spans="1:40" x14ac:dyDescent="0.25">
      <c r="A4452" t="str">
        <f>"20190312151116450"</f>
        <v>20190312151116450</v>
      </c>
      <c r="B4452" t="str">
        <f>"1552374676446112"</f>
        <v>1552374676446112</v>
      </c>
      <c r="C4452" t="s">
        <v>40</v>
      </c>
      <c r="D4452">
        <v>4.9693459999999998</v>
      </c>
      <c r="E4452">
        <v>0.49358099999999999</v>
      </c>
      <c r="F4452" t="s">
        <v>42</v>
      </c>
      <c r="G4452">
        <v>-345.22500000000002</v>
      </c>
      <c r="H4452" s="1">
        <v>-2.3762499999999999E-6</v>
      </c>
      <c r="I4452">
        <v>140.91480000000001</v>
      </c>
      <c r="J4452">
        <v>-333.21539999999999</v>
      </c>
      <c r="K4452">
        <v>1.1101939999999999</v>
      </c>
      <c r="L4452">
        <v>140.5247</v>
      </c>
      <c r="M4452">
        <v>-0.99562830000000002</v>
      </c>
      <c r="N4452">
        <v>0</v>
      </c>
      <c r="O4452">
        <v>9.2811469999999993E-2</v>
      </c>
      <c r="P4452">
        <v>-0.99399029999999999</v>
      </c>
      <c r="Q4452">
        <v>9.645252E-2</v>
      </c>
      <c r="R4452">
        <v>5.1772690000000003E-2</v>
      </c>
      <c r="S4452">
        <v>-3.0395509999999999</v>
      </c>
      <c r="T4452">
        <v>-0.27425899999999998</v>
      </c>
      <c r="U4452">
        <v>0.1031036</v>
      </c>
      <c r="V4452">
        <v>-4.0772410000000002E-2</v>
      </c>
      <c r="W4452">
        <v>0.1068762</v>
      </c>
      <c r="X4452">
        <v>0.99343599999999999</v>
      </c>
      <c r="Y4452">
        <v>-5.8396110000000001E-2</v>
      </c>
      <c r="Z4452">
        <v>-1.097161E-2</v>
      </c>
      <c r="AA4452">
        <v>0.99823320000000004</v>
      </c>
      <c r="AB4452">
        <v>29</v>
      </c>
      <c r="AC4452">
        <v>-12.009600000000001</v>
      </c>
      <c r="AD4452">
        <v>-1.11019637625</v>
      </c>
      <c r="AE4452">
        <v>0.39010000000001799</v>
      </c>
      <c r="AF4452">
        <v>-0.72012666464533004</v>
      </c>
      <c r="AG4452">
        <v>-1.11019637625</v>
      </c>
      <c r="AH4452">
        <v>11.892444040632</v>
      </c>
      <c r="AI4452">
        <v>95.323586076684194</v>
      </c>
      <c r="AJ4452">
        <v>93.465217030254493</v>
      </c>
      <c r="AK4452">
        <v>11.965840700366</v>
      </c>
      <c r="AL4452">
        <v>83.864726728585296</v>
      </c>
      <c r="AM4452">
        <v>92.350203414454597</v>
      </c>
      <c r="AN4452">
        <v>0.99999999881982404</v>
      </c>
    </row>
    <row r="4453" spans="1:40" x14ac:dyDescent="0.25">
      <c r="A4453" t="str">
        <f>"20190312151116472"</f>
        <v>20190312151116472</v>
      </c>
      <c r="B4453" t="str">
        <f>"1552374676465631"</f>
        <v>1552374676465631</v>
      </c>
      <c r="C4453" t="s">
        <v>40</v>
      </c>
      <c r="D4453">
        <v>5.0900829999999999</v>
      </c>
      <c r="E4453">
        <v>0.47374149999999998</v>
      </c>
      <c r="F4453" t="s">
        <v>42</v>
      </c>
      <c r="G4453">
        <v>-345.40519999999998</v>
      </c>
      <c r="H4453" s="1">
        <v>-2.294092E-6</v>
      </c>
      <c r="I4453">
        <v>140.8964</v>
      </c>
      <c r="J4453">
        <v>-333.49239999999998</v>
      </c>
      <c r="K4453">
        <v>1.1103050000000001</v>
      </c>
      <c r="L4453">
        <v>140.55000000000001</v>
      </c>
      <c r="M4453">
        <v>-0.9956758</v>
      </c>
      <c r="N4453">
        <v>0</v>
      </c>
      <c r="O4453">
        <v>9.2299829999999999E-2</v>
      </c>
      <c r="P4453">
        <v>-0.9941065</v>
      </c>
      <c r="Q4453">
        <v>9.6712980000000004E-2</v>
      </c>
      <c r="R4453">
        <v>4.8983369999999998E-2</v>
      </c>
      <c r="S4453">
        <v>-3.0401609999999999</v>
      </c>
      <c r="T4453">
        <v>-0.2768872</v>
      </c>
      <c r="U4453">
        <v>9.2742920000000006E-2</v>
      </c>
      <c r="V4453">
        <v>-4.3075200000000001E-2</v>
      </c>
      <c r="W4453">
        <v>0.1071365</v>
      </c>
      <c r="X4453">
        <v>0.99331069999999999</v>
      </c>
      <c r="Y4453">
        <v>-6.1266699999999903E-2</v>
      </c>
      <c r="Z4453">
        <v>-1.115915E-2</v>
      </c>
      <c r="AA4453">
        <v>0.99805900000000003</v>
      </c>
      <c r="AB4453">
        <v>29</v>
      </c>
      <c r="AC4453">
        <v>-11.912800000000001</v>
      </c>
      <c r="AD4453">
        <v>-1.11030729409199</v>
      </c>
      <c r="AE4453">
        <v>0.346399999999988</v>
      </c>
      <c r="AF4453">
        <v>-0.74819508058384099</v>
      </c>
      <c r="AG4453">
        <v>-1.11030729409199</v>
      </c>
      <c r="AH4453">
        <v>11.7915719238209</v>
      </c>
      <c r="AI4453">
        <v>95.368439939227798</v>
      </c>
      <c r="AJ4453">
        <v>93.630646375719806</v>
      </c>
      <c r="AK4453">
        <v>11.8673394912493</v>
      </c>
      <c r="AL4453">
        <v>83.849726052757902</v>
      </c>
      <c r="AM4453">
        <v>92.483091971059096</v>
      </c>
      <c r="AN4453">
        <v>0.99999992461088705</v>
      </c>
    </row>
    <row r="4454" spans="1:40" x14ac:dyDescent="0.25">
      <c r="A4454" t="str">
        <f>"20190312151116494"</f>
        <v>20190312151116494</v>
      </c>
      <c r="B4454" t="str">
        <f>"1552374676485152"</f>
        <v>1552374676485152</v>
      </c>
      <c r="C4454" t="s">
        <v>40</v>
      </c>
      <c r="D4454">
        <v>4.9037730000000002</v>
      </c>
      <c r="E4454">
        <v>0.46546029999999999</v>
      </c>
      <c r="F4454" t="s">
        <v>42</v>
      </c>
      <c r="G4454">
        <v>-348.33679999999998</v>
      </c>
      <c r="H4454" s="1">
        <v>-8.4916380000000004E-7</v>
      </c>
      <c r="I4454">
        <v>140.1925</v>
      </c>
      <c r="J4454">
        <v>-333.77499999999998</v>
      </c>
      <c r="K4454">
        <v>1.110422</v>
      </c>
      <c r="L4454">
        <v>140.57560000000001</v>
      </c>
      <c r="M4454">
        <v>-0.99573529999999999</v>
      </c>
      <c r="N4454">
        <v>0</v>
      </c>
      <c r="O4454">
        <v>9.1651670000000005E-2</v>
      </c>
      <c r="P4454">
        <v>-0.99418309999999999</v>
      </c>
      <c r="Q4454">
        <v>9.7449079999999993E-2</v>
      </c>
      <c r="R4454">
        <v>4.5866440000000001E-2</v>
      </c>
      <c r="S4454">
        <v>-3.0435490000000001</v>
      </c>
      <c r="T4454">
        <v>-0.22764780000000001</v>
      </c>
      <c r="U4454">
        <v>-7.3272710000000005E-2</v>
      </c>
      <c r="V4454">
        <v>-4.5567530000000002E-2</v>
      </c>
      <c r="W4454">
        <v>0.1078742</v>
      </c>
      <c r="X4454">
        <v>0.99311970000000005</v>
      </c>
      <c r="Y4454">
        <v>-0.115019899999999</v>
      </c>
      <c r="Z4454">
        <v>-1.1134689999999999E-2</v>
      </c>
      <c r="AA4454">
        <v>0.99330079999999998</v>
      </c>
      <c r="AB4454">
        <v>29</v>
      </c>
      <c r="AC4454">
        <v>-14.5618</v>
      </c>
      <c r="AD4454">
        <v>-1.1104228491638</v>
      </c>
      <c r="AE4454">
        <v>-0.38310000000001299</v>
      </c>
      <c r="AF4454">
        <v>-1.7062599207426901</v>
      </c>
      <c r="AG4454">
        <v>-1.1104228491638</v>
      </c>
      <c r="AH4454">
        <v>14.381818873718</v>
      </c>
      <c r="AI4454">
        <v>94.384430653545493</v>
      </c>
      <c r="AJ4454">
        <v>96.765948641975996</v>
      </c>
      <c r="AK4454">
        <v>14.525187638633399</v>
      </c>
      <c r="AL4454">
        <v>83.8072129760248</v>
      </c>
      <c r="AM4454">
        <v>92.627072343247505</v>
      </c>
      <c r="AN4454">
        <v>0.99999999067201495</v>
      </c>
    </row>
    <row r="4455" spans="1:40" x14ac:dyDescent="0.25">
      <c r="A4455" t="str">
        <f>"20190312151116517"</f>
        <v>20190312151116517</v>
      </c>
      <c r="B4455" t="str">
        <f>"1552374676505647"</f>
        <v>1552374676505647</v>
      </c>
      <c r="C4455" t="s">
        <v>40</v>
      </c>
      <c r="D4455">
        <v>4.9052930000000003</v>
      </c>
      <c r="E4455">
        <v>0.46257949999999998</v>
      </c>
      <c r="F4455" t="s">
        <v>42</v>
      </c>
      <c r="G4455">
        <v>-350.84879999999998</v>
      </c>
      <c r="H4455" s="1">
        <v>-3.9411070000000002E-6</v>
      </c>
      <c r="I4455">
        <v>139.74010000000001</v>
      </c>
      <c r="J4455">
        <v>-334.05930000000001</v>
      </c>
      <c r="K4455">
        <v>1.110535</v>
      </c>
      <c r="L4455">
        <v>140.601</v>
      </c>
      <c r="M4455">
        <v>-0.99580729999999995</v>
      </c>
      <c r="N4455">
        <v>0</v>
      </c>
      <c r="O4455">
        <v>9.0864689999999998E-2</v>
      </c>
      <c r="P4455">
        <v>-0.99422359999999999</v>
      </c>
      <c r="Q4455">
        <v>9.8454070000000005E-2</v>
      </c>
      <c r="R4455">
        <v>4.2737310000000001E-2</v>
      </c>
      <c r="S4455">
        <v>-3.0438230000000002</v>
      </c>
      <c r="T4455">
        <v>-0.1979611</v>
      </c>
      <c r="U4455">
        <v>-0.148925799999999</v>
      </c>
      <c r="V4455">
        <v>-4.7931300000000003E-2</v>
      </c>
      <c r="W4455">
        <v>0.10888009999999999</v>
      </c>
      <c r="X4455">
        <v>0.99289859999999996</v>
      </c>
      <c r="Y4455">
        <v>-0.13894329999999999</v>
      </c>
      <c r="Z4455">
        <v>-1.040807E-2</v>
      </c>
      <c r="AA4455">
        <v>0.99024559999999995</v>
      </c>
      <c r="AB4455">
        <v>29</v>
      </c>
      <c r="AC4455">
        <v>-16.789499999999901</v>
      </c>
      <c r="AD4455">
        <v>-1.1105389411069999</v>
      </c>
      <c r="AE4455">
        <v>-0.86089999999998601</v>
      </c>
      <c r="AF4455">
        <v>-2.3726425646620699</v>
      </c>
      <c r="AG4455">
        <v>-1.1105389411069999</v>
      </c>
      <c r="AH4455">
        <v>16.5695046548508</v>
      </c>
      <c r="AI4455">
        <v>93.795801160995595</v>
      </c>
      <c r="AJ4455">
        <v>98.148978383907405</v>
      </c>
      <c r="AK4455">
        <v>16.7753156151079</v>
      </c>
      <c r="AL4455">
        <v>83.749237458664894</v>
      </c>
      <c r="AM4455">
        <v>92.763757434900995</v>
      </c>
      <c r="AN4455">
        <v>0.999999957788829</v>
      </c>
    </row>
    <row r="4456" spans="1:40" x14ac:dyDescent="0.25">
      <c r="A4456" t="str">
        <f>"20190312151116539"</f>
        <v>20190312151116539</v>
      </c>
      <c r="B4456" t="str">
        <f>"1552374676535904"</f>
        <v>1552374676535904</v>
      </c>
      <c r="C4456" t="s">
        <v>40</v>
      </c>
      <c r="D4456">
        <v>5.0705650000000002</v>
      </c>
      <c r="E4456">
        <v>0.46082030000000002</v>
      </c>
      <c r="F4456" t="s">
        <v>42</v>
      </c>
      <c r="G4456">
        <v>-351.71010000000001</v>
      </c>
      <c r="H4456" s="1">
        <v>-3.5511580000000001E-6</v>
      </c>
      <c r="I4456">
        <v>139.54570000000001</v>
      </c>
      <c r="J4456">
        <v>-334.3408</v>
      </c>
      <c r="K4456">
        <v>1.110641</v>
      </c>
      <c r="L4456">
        <v>140.62569999999999</v>
      </c>
      <c r="M4456">
        <v>-0.99589050000000001</v>
      </c>
      <c r="N4456">
        <v>0</v>
      </c>
      <c r="O4456">
        <v>8.9946159999999997E-2</v>
      </c>
      <c r="P4456">
        <v>-0.99430540000000001</v>
      </c>
      <c r="Q4456">
        <v>9.8585469999999994E-2</v>
      </c>
      <c r="R4456">
        <v>4.0470329999999999E-2</v>
      </c>
      <c r="S4456">
        <v>-3.0442499999999999</v>
      </c>
      <c r="T4456">
        <v>-0.19153609999999999</v>
      </c>
      <c r="U4456">
        <v>-0.1819916</v>
      </c>
      <c r="V4456">
        <v>-4.9307320000000002E-2</v>
      </c>
      <c r="W4456">
        <v>0.10901370000000001</v>
      </c>
      <c r="X4456">
        <v>0.99281660000000005</v>
      </c>
      <c r="Y4456">
        <v>-0.14875389999999999</v>
      </c>
      <c r="Z4456">
        <v>-1.0317740000000001E-2</v>
      </c>
      <c r="AA4456">
        <v>0.98882040000000004</v>
      </c>
      <c r="AB4456">
        <v>29</v>
      </c>
      <c r="AC4456">
        <v>-17.369299999999999</v>
      </c>
      <c r="AD4456">
        <v>-1.1106445511579901</v>
      </c>
      <c r="AE4456">
        <v>-1.0799999999999801</v>
      </c>
      <c r="AF4456">
        <v>-2.6273101276102602</v>
      </c>
      <c r="AG4456">
        <v>-1.1106445511579901</v>
      </c>
      <c r="AH4456">
        <v>17.131962884165699</v>
      </c>
      <c r="AI4456">
        <v>93.6664805422337</v>
      </c>
      <c r="AJ4456">
        <v>98.718793886725706</v>
      </c>
      <c r="AK4456">
        <v>17.3677989995881</v>
      </c>
      <c r="AL4456">
        <v>83.741537169884495</v>
      </c>
      <c r="AM4456">
        <v>92.843205928462396</v>
      </c>
      <c r="AN4456">
        <v>0.99999999991441602</v>
      </c>
    </row>
    <row r="4457" spans="1:40" x14ac:dyDescent="0.25">
      <c r="A4457" t="str">
        <f>"20190312151116563"</f>
        <v>20190312151116563</v>
      </c>
      <c r="B4457" t="str">
        <f>"1552374676555435"</f>
        <v>1552374676555435</v>
      </c>
      <c r="C4457" t="s">
        <v>40</v>
      </c>
      <c r="D4457">
        <v>5.1553940000000003</v>
      </c>
      <c r="E4457">
        <v>0.46032250000000002</v>
      </c>
      <c r="F4457" t="s">
        <v>42</v>
      </c>
      <c r="G4457">
        <v>-352.12009999999998</v>
      </c>
      <c r="H4457" s="1">
        <v>-3.3942259999999999E-6</v>
      </c>
      <c r="I4457">
        <v>139.43899999999999</v>
      </c>
      <c r="J4457">
        <v>-334.6422</v>
      </c>
      <c r="K4457">
        <v>1.1107400000000001</v>
      </c>
      <c r="L4457">
        <v>140.65180000000001</v>
      </c>
      <c r="M4457">
        <v>-0.99599130000000002</v>
      </c>
      <c r="N4457">
        <v>0</v>
      </c>
      <c r="O4457">
        <v>8.8820380000000004E-2</v>
      </c>
      <c r="P4457">
        <v>-0.99439789999999995</v>
      </c>
      <c r="Q4457">
        <v>9.9128800000000003E-2</v>
      </c>
      <c r="R4457">
        <v>3.6688180000000001E-2</v>
      </c>
      <c r="S4457">
        <v>-3.0443120000000001</v>
      </c>
      <c r="T4457">
        <v>-0.19017390000000001</v>
      </c>
      <c r="U4457">
        <v>-0.20318600000000001</v>
      </c>
      <c r="V4457">
        <v>-5.1987810000000002E-2</v>
      </c>
      <c r="W4457">
        <v>0.109555</v>
      </c>
      <c r="X4457">
        <v>0.99262019999999995</v>
      </c>
      <c r="Y4457">
        <v>-0.15448709999999999</v>
      </c>
      <c r="Z4457">
        <v>-1.035112E-2</v>
      </c>
      <c r="AA4457">
        <v>0.9879405</v>
      </c>
      <c r="AB4457">
        <v>29</v>
      </c>
      <c r="AC4457">
        <v>-17.477899999999899</v>
      </c>
      <c r="AD4457">
        <v>-1.1107433942260001</v>
      </c>
      <c r="AE4457">
        <v>-1.2128000000000101</v>
      </c>
      <c r="AF4457">
        <v>-2.74943580951969</v>
      </c>
      <c r="AG4457">
        <v>-1.1107433942260001</v>
      </c>
      <c r="AH4457">
        <v>17.231824359146401</v>
      </c>
      <c r="AI4457">
        <v>93.642173576615804</v>
      </c>
      <c r="AJ4457">
        <v>99.065454144680899</v>
      </c>
      <c r="AK4457">
        <v>17.485105630305998</v>
      </c>
      <c r="AL4457">
        <v>83.7103357451238</v>
      </c>
      <c r="AM4457">
        <v>92.9980882874397</v>
      </c>
      <c r="AN4457">
        <v>0.99999994593081598</v>
      </c>
    </row>
    <row r="4458" spans="1:40" x14ac:dyDescent="0.25">
      <c r="A4458" t="str">
        <f>"20190312151116585"</f>
        <v>20190312151116585</v>
      </c>
      <c r="B4458" t="str">
        <f>"1552374676575920"</f>
        <v>1552374676575920</v>
      </c>
      <c r="C4458" t="s">
        <v>40</v>
      </c>
      <c r="D4458">
        <v>5.0325660000000001</v>
      </c>
      <c r="E4458">
        <v>0.46001599999999998</v>
      </c>
      <c r="F4458" t="s">
        <v>42</v>
      </c>
      <c r="G4458">
        <v>-352.60520000000002</v>
      </c>
      <c r="H4458" s="1">
        <v>-3.200556E-6</v>
      </c>
      <c r="I4458">
        <v>139.35759999999999</v>
      </c>
      <c r="J4458">
        <v>-334.92669999999998</v>
      </c>
      <c r="K4458">
        <v>1.110825</v>
      </c>
      <c r="L4458">
        <v>140.67590000000001</v>
      </c>
      <c r="M4458">
        <v>-0.99609389999999998</v>
      </c>
      <c r="N4458">
        <v>0</v>
      </c>
      <c r="O4458">
        <v>8.7661580000000003E-2</v>
      </c>
      <c r="P4458">
        <v>-0.99450269999999996</v>
      </c>
      <c r="Q4458">
        <v>9.9200949999999996E-2</v>
      </c>
      <c r="R4458">
        <v>3.3525480000000003E-2</v>
      </c>
      <c r="S4458">
        <v>-3.0437319999999999</v>
      </c>
      <c r="T4458">
        <v>-0.18821019999999999</v>
      </c>
      <c r="U4458">
        <v>-0.21928410000000001</v>
      </c>
      <c r="V4458">
        <v>-5.4012119999999997E-2</v>
      </c>
      <c r="W4458">
        <v>0.10962710000000001</v>
      </c>
      <c r="X4458">
        <v>0.99250419999999995</v>
      </c>
      <c r="Y4458">
        <v>-0.15855320000000001</v>
      </c>
      <c r="Z4458">
        <v>-1.029888E-2</v>
      </c>
      <c r="AA4458">
        <v>0.98729670000000003</v>
      </c>
      <c r="AB4458">
        <v>29</v>
      </c>
      <c r="AC4458">
        <v>-17.6785</v>
      </c>
      <c r="AD4458">
        <v>-1.110828200556</v>
      </c>
      <c r="AE4458">
        <v>-1.31830000000002</v>
      </c>
      <c r="AF4458">
        <v>-2.8518392589738499</v>
      </c>
      <c r="AG4458">
        <v>-1.110828200556</v>
      </c>
      <c r="AH4458">
        <v>17.4264417050174</v>
      </c>
      <c r="AI4458">
        <v>93.599564216957305</v>
      </c>
      <c r="AJ4458">
        <v>99.294076169496194</v>
      </c>
      <c r="AK4458">
        <v>17.693156783020498</v>
      </c>
      <c r="AL4458">
        <v>83.706180019022398</v>
      </c>
      <c r="AM4458">
        <v>93.114966104650506</v>
      </c>
      <c r="AN4458">
        <v>0.99999999858947197</v>
      </c>
    </row>
    <row r="4459" spans="1:40" x14ac:dyDescent="0.25">
      <c r="A4459" t="str">
        <f>"20190312151116608"</f>
        <v>20190312151116608</v>
      </c>
      <c r="B4459" t="str">
        <f>"1552374676595441"</f>
        <v>1552374676595441</v>
      </c>
      <c r="C4459" t="s">
        <v>40</v>
      </c>
      <c r="D4459">
        <v>4.9241519999999896</v>
      </c>
      <c r="E4459">
        <v>0.45989049999999998</v>
      </c>
      <c r="F4459" t="s">
        <v>42</v>
      </c>
      <c r="G4459">
        <v>-353.1377</v>
      </c>
      <c r="H4459" s="1">
        <v>-2.9842670000000001E-6</v>
      </c>
      <c r="I4459">
        <v>139.28899999999999</v>
      </c>
      <c r="J4459">
        <v>-335.21039999999999</v>
      </c>
      <c r="K4459">
        <v>1.1108910000000001</v>
      </c>
      <c r="L4459">
        <v>140.6996</v>
      </c>
      <c r="M4459">
        <v>-0.99620220000000004</v>
      </c>
      <c r="N4459">
        <v>0</v>
      </c>
      <c r="O4459">
        <v>8.6420949999999996E-2</v>
      </c>
      <c r="P4459">
        <v>-0.99461739999999998</v>
      </c>
      <c r="Q4459">
        <v>9.9321480000000004E-2</v>
      </c>
      <c r="R4459">
        <v>2.9523580000000001E-2</v>
      </c>
      <c r="S4459">
        <v>-3.0428769999999998</v>
      </c>
      <c r="T4459">
        <v>-0.18560869999999999</v>
      </c>
      <c r="U4459">
        <v>-0.2317352</v>
      </c>
      <c r="V4459">
        <v>-5.6790170000000001E-2</v>
      </c>
      <c r="W4459">
        <v>0.1097451</v>
      </c>
      <c r="X4459">
        <v>0.99233610000000005</v>
      </c>
      <c r="Y4459">
        <v>-0.1613705</v>
      </c>
      <c r="Z4459">
        <v>-1.016865E-2</v>
      </c>
      <c r="AA4459">
        <v>0.98684150000000004</v>
      </c>
      <c r="AB4459">
        <v>29</v>
      </c>
      <c r="AC4459">
        <v>-17.927299999999999</v>
      </c>
      <c r="AD4459">
        <v>-1.110893984267</v>
      </c>
      <c r="AE4459">
        <v>-1.4106000000000101</v>
      </c>
      <c r="AF4459">
        <v>-2.94347049869672</v>
      </c>
      <c r="AG4459">
        <v>-1.110893984267</v>
      </c>
      <c r="AH4459">
        <v>17.670872794209899</v>
      </c>
      <c r="AI4459">
        <v>93.548448881911597</v>
      </c>
      <c r="AJ4459">
        <v>99.457038019068406</v>
      </c>
      <c r="AK4459">
        <v>17.948756205657499</v>
      </c>
      <c r="AL4459">
        <v>83.699378229605301</v>
      </c>
      <c r="AM4459">
        <v>93.275394067387197</v>
      </c>
      <c r="AN4459">
        <v>1.00000002287292</v>
      </c>
    </row>
    <row r="4460" spans="1:40" x14ac:dyDescent="0.25">
      <c r="A4460" t="str">
        <f>"20190312151116628"</f>
        <v>20190312151116628</v>
      </c>
      <c r="B4460" t="str">
        <f>"1552374676625695"</f>
        <v>1552374676625695</v>
      </c>
      <c r="C4460" t="s">
        <v>40</v>
      </c>
      <c r="D4460">
        <v>5.0540070000000004</v>
      </c>
      <c r="E4460">
        <v>0.45990579999999998</v>
      </c>
      <c r="F4460" t="s">
        <v>42</v>
      </c>
      <c r="G4460">
        <v>-353.41629999999998</v>
      </c>
      <c r="H4460" s="1">
        <v>-2.8748649999999999E-6</v>
      </c>
      <c r="I4460">
        <v>139.2319</v>
      </c>
      <c r="J4460">
        <v>-335.48039999999997</v>
      </c>
      <c r="K4460">
        <v>1.1109469999999999</v>
      </c>
      <c r="L4460">
        <v>140.7217</v>
      </c>
      <c r="M4460">
        <v>-0.99630980000000002</v>
      </c>
      <c r="N4460">
        <v>0</v>
      </c>
      <c r="O4460">
        <v>8.5168859999999999E-2</v>
      </c>
      <c r="P4460">
        <v>-0.99478230000000001</v>
      </c>
      <c r="Q4460">
        <v>9.8808149999999997E-2</v>
      </c>
      <c r="R4460">
        <v>2.5403430000000001E-2</v>
      </c>
      <c r="S4460">
        <v>-3.042084</v>
      </c>
      <c r="T4460">
        <v>-0.18562290000000001</v>
      </c>
      <c r="U4460">
        <v>-0.245224</v>
      </c>
      <c r="V4460">
        <v>-5.967455E-2</v>
      </c>
      <c r="W4460">
        <v>0.10922850000000001</v>
      </c>
      <c r="X4460">
        <v>0.99222379999999999</v>
      </c>
      <c r="Y4460">
        <v>-0.16449440000000001</v>
      </c>
      <c r="Z4460">
        <v>-1.0189500000000001E-2</v>
      </c>
      <c r="AA4460">
        <v>0.98632540000000002</v>
      </c>
      <c r="AB4460">
        <v>29</v>
      </c>
      <c r="AC4460">
        <v>-17.9359</v>
      </c>
      <c r="AD4460">
        <v>-1.110949874865</v>
      </c>
      <c r="AE4460">
        <v>-1.4898</v>
      </c>
      <c r="AF4460">
        <v>-3.0006195630644199</v>
      </c>
      <c r="AG4460">
        <v>-1.110949874865</v>
      </c>
      <c r="AH4460">
        <v>17.676479076586102</v>
      </c>
      <c r="AI4460">
        <v>93.545664526334903</v>
      </c>
      <c r="AJ4460">
        <v>99.634240457673101</v>
      </c>
      <c r="AK4460">
        <v>17.9637368031179</v>
      </c>
      <c r="AL4460">
        <v>83.729156060196104</v>
      </c>
      <c r="AM4460">
        <v>93.441750125702697</v>
      </c>
      <c r="AN4460">
        <v>0.99999999320819599</v>
      </c>
    </row>
    <row r="4461" spans="1:40" x14ac:dyDescent="0.25">
      <c r="A4461" t="str">
        <f>"20190312151116644"</f>
        <v>20190312151116644</v>
      </c>
      <c r="B4461" t="str">
        <f>"1552374676635456"</f>
        <v>1552374676635456</v>
      </c>
      <c r="C4461" t="s">
        <v>40</v>
      </c>
      <c r="D4461">
        <v>5.1572120000000004</v>
      </c>
      <c r="E4461">
        <v>0.45997260000000001</v>
      </c>
      <c r="F4461" t="s">
        <v>42</v>
      </c>
      <c r="G4461">
        <v>-353.57010000000002</v>
      </c>
      <c r="H4461" s="1">
        <v>-2.8164299999999998E-6</v>
      </c>
      <c r="I4461">
        <v>139.18940000000001</v>
      </c>
      <c r="J4461">
        <v>-335.6814</v>
      </c>
      <c r="K4461">
        <v>1.110984</v>
      </c>
      <c r="L4461">
        <v>140.7379</v>
      </c>
      <c r="M4461">
        <v>-0.9963921</v>
      </c>
      <c r="N4461">
        <v>0</v>
      </c>
      <c r="O4461">
        <v>8.4201020000000001E-2</v>
      </c>
      <c r="P4461">
        <v>-0.99485089999999998</v>
      </c>
      <c r="Q4461">
        <v>9.876037E-2</v>
      </c>
      <c r="R4461">
        <v>2.2770809999999999E-2</v>
      </c>
      <c r="S4461">
        <v>-3.0408629999999999</v>
      </c>
      <c r="T4461">
        <v>-0.1867499</v>
      </c>
      <c r="U4461">
        <v>-0.25756839999999998</v>
      </c>
      <c r="V4461">
        <v>-6.13492E-2</v>
      </c>
      <c r="W4461">
        <v>0.1091782</v>
      </c>
      <c r="X4461">
        <v>0.99212719999999999</v>
      </c>
      <c r="Y4461">
        <v>-0.1675343</v>
      </c>
      <c r="Z4461">
        <v>-1.028773E-2</v>
      </c>
      <c r="AA4461">
        <v>0.98581249999999998</v>
      </c>
      <c r="AB4461">
        <v>29</v>
      </c>
      <c r="AC4461">
        <v>-17.8887</v>
      </c>
      <c r="AD4461">
        <v>-1.1109868164299901</v>
      </c>
      <c r="AE4461">
        <v>-1.54849999999998</v>
      </c>
      <c r="AF4461">
        <v>-3.0377026385071799</v>
      </c>
      <c r="AG4461">
        <v>-1.1109868164299901</v>
      </c>
      <c r="AH4461">
        <v>17.627289164927401</v>
      </c>
      <c r="AI4461">
        <v>93.554132765602006</v>
      </c>
      <c r="AJ4461">
        <v>99.777718992673996</v>
      </c>
      <c r="AK4461">
        <v>17.921586211333</v>
      </c>
      <c r="AL4461">
        <v>83.732055372017101</v>
      </c>
      <c r="AM4461">
        <v>93.538437741138694</v>
      </c>
      <c r="AN4461">
        <v>0.99999999233785997</v>
      </c>
    </row>
    <row r="4462" spans="1:40" x14ac:dyDescent="0.25">
      <c r="A4462" t="str">
        <f>"20190312151116656"</f>
        <v>20190312151116656</v>
      </c>
      <c r="B4462" t="str">
        <f>"1552374676645216"</f>
        <v>1552374676645216</v>
      </c>
      <c r="C4462" t="s">
        <v>40</v>
      </c>
      <c r="D4462">
        <v>4.9879059999999997</v>
      </c>
      <c r="E4462">
        <v>0.46004479999999998</v>
      </c>
      <c r="F4462" t="s">
        <v>42</v>
      </c>
      <c r="G4462">
        <v>-353.78300000000002</v>
      </c>
      <c r="H4462" s="1">
        <v>-2.7303980000000001E-6</v>
      </c>
      <c r="I4462">
        <v>139.15960000000001</v>
      </c>
      <c r="J4462">
        <v>-335.85489999999999</v>
      </c>
      <c r="K4462">
        <v>1.1110150000000001</v>
      </c>
      <c r="L4462">
        <v>140.7518</v>
      </c>
      <c r="M4462">
        <v>-0.99646369999999895</v>
      </c>
      <c r="N4462">
        <v>0</v>
      </c>
      <c r="O4462">
        <v>8.3346729999999994E-2</v>
      </c>
      <c r="P4462">
        <v>-0.99491269999999998</v>
      </c>
      <c r="Q4462">
        <v>9.8676029999999998E-2</v>
      </c>
      <c r="R4462">
        <v>2.0292640000000001E-2</v>
      </c>
      <c r="S4462">
        <v>-3.0401609999999999</v>
      </c>
      <c r="T4462">
        <v>-0.18659029999999999</v>
      </c>
      <c r="U4462">
        <v>-0.26506039999999997</v>
      </c>
      <c r="V4462">
        <v>-6.2980449999999993E-2</v>
      </c>
      <c r="W4462">
        <v>0.10909149999999999</v>
      </c>
      <c r="X4462">
        <v>0.99203459999999999</v>
      </c>
      <c r="Y4462">
        <v>-0.16911899999999999</v>
      </c>
      <c r="Z4462">
        <v>-1.027661E-2</v>
      </c>
      <c r="AA4462">
        <v>0.98554209999999998</v>
      </c>
      <c r="AB4462">
        <v>29</v>
      </c>
      <c r="AC4462">
        <v>-17.928100000000001</v>
      </c>
      <c r="AD4462">
        <v>-1.11101773039799</v>
      </c>
      <c r="AE4462">
        <v>-1.5921999999999901</v>
      </c>
      <c r="AF4462">
        <v>-3.0692977294311299</v>
      </c>
      <c r="AG4462">
        <v>-1.11101773039799</v>
      </c>
      <c r="AH4462">
        <v>17.665689901177199</v>
      </c>
      <c r="AI4462">
        <v>93.545684944676495</v>
      </c>
      <c r="AJ4462">
        <v>99.856374383378295</v>
      </c>
      <c r="AK4462">
        <v>17.9647306863673</v>
      </c>
      <c r="AL4462">
        <v>83.737053254308506</v>
      </c>
      <c r="AM4462">
        <v>93.632612854725096</v>
      </c>
      <c r="AN4462">
        <v>1.0000000700258</v>
      </c>
    </row>
    <row r="4463" spans="1:40" x14ac:dyDescent="0.25">
      <c r="A4463" t="str">
        <f>"20190312151116674"</f>
        <v>20190312151116674</v>
      </c>
      <c r="B4463" t="str">
        <f>"1552374676665712"</f>
        <v>1552374676665712</v>
      </c>
      <c r="C4463" t="s">
        <v>40</v>
      </c>
      <c r="D4463">
        <v>5.1871640000000001</v>
      </c>
      <c r="E4463">
        <v>0.46017839999999999</v>
      </c>
      <c r="F4463" t="s">
        <v>42</v>
      </c>
      <c r="G4463">
        <v>-353.9939</v>
      </c>
      <c r="H4463" s="1">
        <v>-2.6456550000000002E-6</v>
      </c>
      <c r="I4463">
        <v>139.12719999999999</v>
      </c>
      <c r="J4463">
        <v>-336.0675</v>
      </c>
      <c r="K4463">
        <v>1.111049</v>
      </c>
      <c r="L4463">
        <v>140.76840000000001</v>
      </c>
      <c r="M4463">
        <v>-0.99655269999999996</v>
      </c>
      <c r="N4463">
        <v>0</v>
      </c>
      <c r="O4463">
        <v>8.2275100000000004E-2</v>
      </c>
      <c r="P4463">
        <v>-0.99504490000000001</v>
      </c>
      <c r="Q4463">
        <v>9.8157439999999999E-2</v>
      </c>
      <c r="R4463">
        <v>1.5850610000000001E-2</v>
      </c>
      <c r="S4463">
        <v>-3.0393979999999998</v>
      </c>
      <c r="T4463">
        <v>-0.18616460000000001</v>
      </c>
      <c r="U4463">
        <v>-0.27220149999999999</v>
      </c>
      <c r="V4463">
        <v>-6.6357169999999993E-2</v>
      </c>
      <c r="W4463">
        <v>0.1085653</v>
      </c>
      <c r="X4463">
        <v>0.99187210000000003</v>
      </c>
      <c r="Y4463">
        <v>-0.1703797</v>
      </c>
      <c r="Z4463">
        <v>-1.022794E-2</v>
      </c>
      <c r="AA4463">
        <v>0.98532540000000002</v>
      </c>
      <c r="AB4463">
        <v>29</v>
      </c>
      <c r="AC4463">
        <v>-17.926400000000001</v>
      </c>
      <c r="AD4463">
        <v>-1.1110516456549999</v>
      </c>
      <c r="AE4463">
        <v>-1.64120000000002</v>
      </c>
      <c r="AF4463">
        <v>-3.0988105841122899</v>
      </c>
      <c r="AG4463">
        <v>-1.1110516456549999</v>
      </c>
      <c r="AH4463">
        <v>17.663292216732099</v>
      </c>
      <c r="AI4463">
        <v>93.545257665342106</v>
      </c>
      <c r="AJ4463">
        <v>99.950586999617997</v>
      </c>
      <c r="AK4463">
        <v>17.967441518735701</v>
      </c>
      <c r="AL4463">
        <v>83.767381870530301</v>
      </c>
      <c r="AM4463">
        <v>93.827437769860694</v>
      </c>
      <c r="AN4463">
        <v>0.99999998056645401</v>
      </c>
    </row>
    <row r="4464" spans="1:40" x14ac:dyDescent="0.25">
      <c r="A4464" t="str">
        <f>"20190312151116696"</f>
        <v>20190312151116696</v>
      </c>
      <c r="B4464" t="str">
        <f>"1552374676685232"</f>
        <v>1552374676685232</v>
      </c>
      <c r="C4464" t="s">
        <v>40</v>
      </c>
      <c r="D4464">
        <v>5.0110000000000001</v>
      </c>
      <c r="E4464">
        <v>0.460426</v>
      </c>
      <c r="F4464" t="s">
        <v>42</v>
      </c>
      <c r="G4464">
        <v>-354.10570000000001</v>
      </c>
      <c r="H4464" s="1">
        <v>-2.6063610000000001E-6</v>
      </c>
      <c r="I4464">
        <v>139.07839999999999</v>
      </c>
      <c r="J4464">
        <v>-336.35570000000001</v>
      </c>
      <c r="K4464">
        <v>1.111073</v>
      </c>
      <c r="L4464">
        <v>140.79060000000001</v>
      </c>
      <c r="M4464">
        <v>-0.99667300000000003</v>
      </c>
      <c r="N4464">
        <v>0</v>
      </c>
      <c r="O4464">
        <v>8.0802529999999997E-2</v>
      </c>
      <c r="P4464">
        <v>-0.99515560000000003</v>
      </c>
      <c r="Q4464">
        <v>9.7753350000000003E-2</v>
      </c>
      <c r="R4464">
        <v>1.047914E-2</v>
      </c>
      <c r="S4464">
        <v>-3.037903</v>
      </c>
      <c r="T4464">
        <v>-0.18711829999999999</v>
      </c>
      <c r="U4464">
        <v>-0.2846069</v>
      </c>
      <c r="V4464">
        <v>-7.0260810000000007E-2</v>
      </c>
      <c r="W4464">
        <v>0.1081525</v>
      </c>
      <c r="X4464">
        <v>0.99164839999999999</v>
      </c>
      <c r="Y4464">
        <v>-0.1729493</v>
      </c>
      <c r="Z4464">
        <v>-1.0272089999999999E-2</v>
      </c>
      <c r="AA4464">
        <v>0.98487720000000001</v>
      </c>
      <c r="AB4464">
        <v>29</v>
      </c>
      <c r="AC4464">
        <v>-17.75</v>
      </c>
      <c r="AD4464">
        <v>-1.1110756063609999</v>
      </c>
      <c r="AE4464">
        <v>-1.7122000000000199</v>
      </c>
      <c r="AF4464">
        <v>-3.12878099107466</v>
      </c>
      <c r="AG4464">
        <v>-1.1110756063609999</v>
      </c>
      <c r="AH4464">
        <v>17.4857136989061</v>
      </c>
      <c r="AI4464">
        <v>93.579101402393704</v>
      </c>
      <c r="AJ4464">
        <v>100.14477778407699</v>
      </c>
      <c r="AK4464">
        <v>17.798144371065</v>
      </c>
      <c r="AL4464">
        <v>83.791174072617096</v>
      </c>
      <c r="AM4464">
        <v>94.052778922619098</v>
      </c>
      <c r="AN4464">
        <v>1.0000000469503301</v>
      </c>
    </row>
    <row r="4465" spans="1:40" x14ac:dyDescent="0.25">
      <c r="A4465" t="str">
        <f>"20190312151116719"</f>
        <v>20190312151116719</v>
      </c>
      <c r="B4465" t="str">
        <f>"1552374676715490"</f>
        <v>1552374676715490</v>
      </c>
      <c r="C4465" t="s">
        <v>40</v>
      </c>
      <c r="D4465">
        <v>5.1403400000000001</v>
      </c>
      <c r="E4465">
        <v>0.46070139999999998</v>
      </c>
      <c r="F4465" t="s">
        <v>42</v>
      </c>
      <c r="G4465">
        <v>-354.36520000000002</v>
      </c>
      <c r="H4465" s="1">
        <v>-2.5058889999999999E-6</v>
      </c>
      <c r="I4465">
        <v>139.0172</v>
      </c>
      <c r="J4465">
        <v>-336.63369999999998</v>
      </c>
      <c r="K4465">
        <v>1.1110869999999999</v>
      </c>
      <c r="L4465">
        <v>140.8116</v>
      </c>
      <c r="M4465">
        <v>-0.99678860000000002</v>
      </c>
      <c r="N4465">
        <v>0</v>
      </c>
      <c r="O4465">
        <v>7.9364859999999995E-2</v>
      </c>
      <c r="P4465">
        <v>-0.99524820000000003</v>
      </c>
      <c r="Q4465">
        <v>9.7245739999999997E-2</v>
      </c>
      <c r="R4465">
        <v>4.9596889999999998E-3</v>
      </c>
      <c r="S4465">
        <v>-3.0361630000000002</v>
      </c>
      <c r="T4465">
        <v>-0.18731310000000001</v>
      </c>
      <c r="U4465">
        <v>-0.2989655</v>
      </c>
      <c r="V4465">
        <v>-7.4342290000000005E-2</v>
      </c>
      <c r="W4465">
        <v>0.1076357</v>
      </c>
      <c r="X4465">
        <v>0.99140700000000004</v>
      </c>
      <c r="Y4465">
        <v>-0.1761905</v>
      </c>
      <c r="Z4465">
        <v>-1.0297829999999999E-2</v>
      </c>
      <c r="AA4465">
        <v>0.98430220000000002</v>
      </c>
      <c r="AB4465">
        <v>29</v>
      </c>
      <c r="AC4465">
        <v>-17.7315</v>
      </c>
      <c r="AD4465">
        <v>-1.111089505889</v>
      </c>
      <c r="AE4465">
        <v>-1.79439999999999</v>
      </c>
      <c r="AF4465">
        <v>-3.1837030611908901</v>
      </c>
      <c r="AG4465">
        <v>-1.111089505889</v>
      </c>
      <c r="AH4465">
        <v>17.465259204276698</v>
      </c>
      <c r="AI4465">
        <v>93.581230743347405</v>
      </c>
      <c r="AJ4465">
        <v>100.330888471173</v>
      </c>
      <c r="AK4465">
        <v>17.7877981814643</v>
      </c>
      <c r="AL4465">
        <v>83.820958293367994</v>
      </c>
      <c r="AM4465">
        <v>94.288392724183296</v>
      </c>
      <c r="AN4465">
        <v>1.0000000298229601</v>
      </c>
    </row>
    <row r="4466" spans="1:40" x14ac:dyDescent="0.25">
      <c r="A4466" t="str">
        <f>"20190312151116740"</f>
        <v>20190312151116740</v>
      </c>
      <c r="B4466" t="str">
        <f>"1552374676735984"</f>
        <v>1552374676735984</v>
      </c>
      <c r="C4466" t="s">
        <v>40</v>
      </c>
      <c r="D4466">
        <v>5.2607989999999996</v>
      </c>
      <c r="E4466">
        <v>0.46099909999999999</v>
      </c>
      <c r="F4466" t="s">
        <v>42</v>
      </c>
      <c r="G4466">
        <v>-354.59059999999999</v>
      </c>
      <c r="H4466" s="1">
        <v>-2.41995E-6</v>
      </c>
      <c r="I4466">
        <v>138.95660000000001</v>
      </c>
      <c r="J4466">
        <v>-336.9153</v>
      </c>
      <c r="K4466">
        <v>1.1111</v>
      </c>
      <c r="L4466">
        <v>140.83250000000001</v>
      </c>
      <c r="M4466">
        <v>-0.99690400000000001</v>
      </c>
      <c r="N4466">
        <v>0</v>
      </c>
      <c r="O4466">
        <v>7.7899209999999997E-2</v>
      </c>
      <c r="P4466">
        <v>-0.99533150000000004</v>
      </c>
      <c r="Q4466">
        <v>9.6516619999999997E-2</v>
      </c>
      <c r="R4466">
        <v>-1.0801779999999999E-4</v>
      </c>
      <c r="S4466">
        <v>-3.0342099999999999</v>
      </c>
      <c r="T4466">
        <v>-0.1877431</v>
      </c>
      <c r="U4466">
        <v>-0.31343080000000001</v>
      </c>
      <c r="V4466">
        <v>-7.7942709999999998E-2</v>
      </c>
      <c r="W4466">
        <v>0.10690040000000001</v>
      </c>
      <c r="X4466">
        <v>0.99121000000000004</v>
      </c>
      <c r="Y4466">
        <v>-0.17944350000000001</v>
      </c>
      <c r="Z4466">
        <v>-1.033573E-2</v>
      </c>
      <c r="AA4466">
        <v>0.98371399999999998</v>
      </c>
      <c r="AB4466">
        <v>29</v>
      </c>
      <c r="AC4466">
        <v>-17.675299999999901</v>
      </c>
      <c r="AD4466">
        <v>-1.1111024199499999</v>
      </c>
      <c r="AE4466">
        <v>-1.8758999999999999</v>
      </c>
      <c r="AF4466">
        <v>-3.23453017074982</v>
      </c>
      <c r="AG4466">
        <v>-1.1111024199499999</v>
      </c>
      <c r="AH4466">
        <v>17.407422142005998</v>
      </c>
      <c r="AI4466">
        <v>93.590891615360405</v>
      </c>
      <c r="AJ4466">
        <v>100.526266961188</v>
      </c>
      <c r="AK4466">
        <v>17.740210811687401</v>
      </c>
      <c r="AL4466">
        <v>83.863332267720807</v>
      </c>
      <c r="AM4466">
        <v>94.496138964135199</v>
      </c>
      <c r="AN4466">
        <v>1.0000000128311499</v>
      </c>
    </row>
    <row r="4467" spans="1:40" x14ac:dyDescent="0.25">
      <c r="A4467" t="str">
        <f>"20190312151116754"</f>
        <v>20190312151116754</v>
      </c>
      <c r="B4467" t="str">
        <f>"1552374676745744"</f>
        <v>1552374676745744</v>
      </c>
      <c r="C4467" t="s">
        <v>40</v>
      </c>
      <c r="D4467">
        <v>5.038233</v>
      </c>
      <c r="E4467">
        <v>0.4612195</v>
      </c>
      <c r="F4467" t="s">
        <v>42</v>
      </c>
      <c r="G4467">
        <v>-354.8716</v>
      </c>
      <c r="H4467" s="1">
        <v>-2.309535E-6</v>
      </c>
      <c r="I4467">
        <v>138.89949999999999</v>
      </c>
      <c r="J4467">
        <v>-337.10590000000002</v>
      </c>
      <c r="K4467">
        <v>1.1111040000000001</v>
      </c>
      <c r="L4467">
        <v>140.84630000000001</v>
      </c>
      <c r="M4467">
        <v>-0.99698109999999995</v>
      </c>
      <c r="N4467">
        <v>0</v>
      </c>
      <c r="O4467">
        <v>7.6904929999999996E-2</v>
      </c>
      <c r="P4467">
        <v>-0.9953495</v>
      </c>
      <c r="Q4467">
        <v>9.6285979999999993E-2</v>
      </c>
      <c r="R4467">
        <v>-2.9753119999999999E-3</v>
      </c>
      <c r="S4467">
        <v>-3.0322269999999998</v>
      </c>
      <c r="T4467">
        <v>-0.18762899999999999</v>
      </c>
      <c r="U4467">
        <v>-0.32640079999999999</v>
      </c>
      <c r="V4467">
        <v>-7.9813449999999994E-2</v>
      </c>
      <c r="W4467">
        <v>0.1066672</v>
      </c>
      <c r="X4467">
        <v>0.99108620000000003</v>
      </c>
      <c r="Y4467">
        <v>-0.1826846</v>
      </c>
      <c r="Z4467">
        <v>-1.037268E-2</v>
      </c>
      <c r="AA4467">
        <v>0.98311689999999996</v>
      </c>
      <c r="AB4467">
        <v>29</v>
      </c>
      <c r="AC4467">
        <v>-17.765699999999899</v>
      </c>
      <c r="AD4467">
        <v>-1.111106309535</v>
      </c>
      <c r="AE4467">
        <v>-1.9468000000000201</v>
      </c>
      <c r="AF4467">
        <v>-3.2946475769198198</v>
      </c>
      <c r="AG4467">
        <v>-1.111106309535</v>
      </c>
      <c r="AH4467">
        <v>17.495729516509702</v>
      </c>
      <c r="AI4467">
        <v>93.5712179145752</v>
      </c>
      <c r="AJ4467">
        <v>100.664566704365</v>
      </c>
      <c r="AK4467">
        <v>17.837875748027301</v>
      </c>
      <c r="AL4467">
        <v>83.876770198379205</v>
      </c>
      <c r="AM4467">
        <v>94.604167062270506</v>
      </c>
      <c r="AN4467">
        <v>0.99999996709358996</v>
      </c>
    </row>
    <row r="4468" spans="1:40" x14ac:dyDescent="0.25">
      <c r="A4468" t="str">
        <f>"20190312151116775"</f>
        <v>20190312151116775</v>
      </c>
      <c r="B4468" t="str">
        <f>"1552374676765264"</f>
        <v>1552374676765264</v>
      </c>
      <c r="C4468" t="s">
        <v>40</v>
      </c>
      <c r="D4468">
        <v>5.1963369999999998</v>
      </c>
      <c r="E4468">
        <v>0.46160329999999999</v>
      </c>
      <c r="F4468" t="s">
        <v>42</v>
      </c>
      <c r="G4468">
        <v>-355.07220000000001</v>
      </c>
      <c r="H4468" s="1">
        <v>-2.2288289999999999E-6</v>
      </c>
      <c r="I4468">
        <v>138.86920000000001</v>
      </c>
      <c r="J4468">
        <v>-337.3535</v>
      </c>
      <c r="K4468">
        <v>1.1111040000000001</v>
      </c>
      <c r="L4468">
        <v>140.864</v>
      </c>
      <c r="M4468">
        <v>-0.99707970000000001</v>
      </c>
      <c r="N4468">
        <v>0</v>
      </c>
      <c r="O4468">
        <v>7.5615730000000006E-2</v>
      </c>
      <c r="P4468">
        <v>-0.99537030000000004</v>
      </c>
      <c r="Q4468">
        <v>9.5793600000000007E-2</v>
      </c>
      <c r="R4468">
        <v>-7.8587550000000003E-3</v>
      </c>
      <c r="S4468">
        <v>-3.031158</v>
      </c>
      <c r="T4468">
        <v>-0.18745899999999999</v>
      </c>
      <c r="U4468">
        <v>-0.3335571</v>
      </c>
      <c r="V4468">
        <v>-8.3401009999999998E-2</v>
      </c>
      <c r="W4468">
        <v>0.1061674</v>
      </c>
      <c r="X4468">
        <v>0.99084450000000002</v>
      </c>
      <c r="Y4468">
        <v>-0.1837452</v>
      </c>
      <c r="Z4468">
        <v>-1.031897E-2</v>
      </c>
      <c r="AA4468">
        <v>0.98291980000000001</v>
      </c>
      <c r="AB4468">
        <v>29</v>
      </c>
      <c r="AC4468">
        <v>-17.718699999999998</v>
      </c>
      <c r="AD4468">
        <v>-1.1111062288289999</v>
      </c>
      <c r="AE4468">
        <v>-1.9947999999999899</v>
      </c>
      <c r="AF4468">
        <v>-3.3161006132582802</v>
      </c>
      <c r="AG4468">
        <v>-1.1111062288289999</v>
      </c>
      <c r="AH4468">
        <v>17.449361791746199</v>
      </c>
      <c r="AI4468">
        <v>93.579554546559393</v>
      </c>
      <c r="AJ4468">
        <v>100.76025478701099</v>
      </c>
      <c r="AK4468">
        <v>17.796384668472601</v>
      </c>
      <c r="AL4468">
        <v>83.905570579989302</v>
      </c>
      <c r="AM4468">
        <v>94.811338751400996</v>
      </c>
      <c r="AN4468">
        <v>1.00000003423601</v>
      </c>
    </row>
    <row r="4469" spans="1:40" x14ac:dyDescent="0.25">
      <c r="A4469" t="str">
        <f>"20190312151116797"</f>
        <v>20190312151116797</v>
      </c>
      <c r="B4469" t="str">
        <f>"1552374676785760"</f>
        <v>1552374676785760</v>
      </c>
      <c r="C4469" t="s">
        <v>40</v>
      </c>
      <c r="D4469">
        <v>5.1145649999999998</v>
      </c>
      <c r="E4469">
        <v>0.472912</v>
      </c>
      <c r="F4469" t="s">
        <v>42</v>
      </c>
      <c r="G4469">
        <v>-355.33870000000002</v>
      </c>
      <c r="H4469" s="1">
        <v>-2.1243429999999998E-6</v>
      </c>
      <c r="I4469">
        <v>138.81389999999999</v>
      </c>
      <c r="J4469">
        <v>-337.64359999999999</v>
      </c>
      <c r="K4469">
        <v>1.1111070000000001</v>
      </c>
      <c r="L4469">
        <v>140.8844</v>
      </c>
      <c r="M4469">
        <v>-0.99719270000000004</v>
      </c>
      <c r="N4469">
        <v>0</v>
      </c>
      <c r="O4469">
        <v>7.4109179999999997E-2</v>
      </c>
      <c r="P4469">
        <v>-0.99535890000000005</v>
      </c>
      <c r="Q4469">
        <v>9.5337850000000002E-2</v>
      </c>
      <c r="R4469">
        <v>-1.3101929999999999E-2</v>
      </c>
      <c r="S4469">
        <v>-3.029236</v>
      </c>
      <c r="T4469">
        <v>-0.18714359999999999</v>
      </c>
      <c r="U4469">
        <v>-0.34529110000000002</v>
      </c>
      <c r="V4469">
        <v>-8.7129719999999994E-2</v>
      </c>
      <c r="W4469">
        <v>0.1057037</v>
      </c>
      <c r="X4469">
        <v>0.99057320000000004</v>
      </c>
      <c r="Y4469">
        <v>-0.18608739999999999</v>
      </c>
      <c r="Z4469">
        <v>-1.028545E-2</v>
      </c>
      <c r="AA4469">
        <v>0.98247930000000006</v>
      </c>
      <c r="AB4469">
        <v>29</v>
      </c>
      <c r="AC4469">
        <v>-17.6951</v>
      </c>
      <c r="AD4469">
        <v>-1.111109124343</v>
      </c>
      <c r="AE4469">
        <v>-2.0705</v>
      </c>
      <c r="AF4469">
        <v>-3.3631689307910801</v>
      </c>
      <c r="AG4469">
        <v>-1.111109124343</v>
      </c>
      <c r="AH4469">
        <v>17.4252068409053</v>
      </c>
      <c r="AI4469">
        <v>93.582555354899299</v>
      </c>
      <c r="AJ4469">
        <v>100.924103529192</v>
      </c>
      <c r="AK4469">
        <v>17.7815438641185</v>
      </c>
      <c r="AL4469">
        <v>83.932289148462203</v>
      </c>
      <c r="AM4469">
        <v>95.026736293783102</v>
      </c>
      <c r="AN4469">
        <v>1.0000000624295999</v>
      </c>
    </row>
    <row r="4470" spans="1:40" x14ac:dyDescent="0.25">
      <c r="A4470" t="str">
        <f>"20190312151116818"</f>
        <v>20190312151116818</v>
      </c>
      <c r="B4470" t="str">
        <f>"1552374676816016"</f>
        <v>1552374676816016</v>
      </c>
      <c r="C4470" t="s">
        <v>40</v>
      </c>
      <c r="D4470">
        <v>5.1382979999999998</v>
      </c>
      <c r="E4470">
        <v>0.47178350000000002</v>
      </c>
      <c r="F4470" t="s">
        <v>42</v>
      </c>
      <c r="G4470">
        <v>-347.64249999999998</v>
      </c>
      <c r="H4470" s="1">
        <v>-1.089778E-6</v>
      </c>
      <c r="I4470">
        <v>139.97749999999999</v>
      </c>
      <c r="J4470">
        <v>-337.92189999999999</v>
      </c>
      <c r="K4470">
        <v>1.1111070000000001</v>
      </c>
      <c r="L4470">
        <v>140.90350000000001</v>
      </c>
      <c r="M4470">
        <v>-0.99729869999999998</v>
      </c>
      <c r="N4470">
        <v>0</v>
      </c>
      <c r="O4470">
        <v>7.2669590000000006E-2</v>
      </c>
      <c r="P4470">
        <v>-0.9952723</v>
      </c>
      <c r="Q4470">
        <v>9.5515149999999993E-2</v>
      </c>
      <c r="R4470">
        <v>-1.7614830000000001E-2</v>
      </c>
      <c r="S4470">
        <v>-3.0427550000000001</v>
      </c>
      <c r="T4470">
        <v>-0.33812239999999999</v>
      </c>
      <c r="U4470">
        <v>-0.27595520000000001</v>
      </c>
      <c r="V4470">
        <v>-9.0193620000000002E-2</v>
      </c>
      <c r="W4470">
        <v>0.10587489999999999</v>
      </c>
      <c r="X4470">
        <v>0.99028059999999996</v>
      </c>
      <c r="Y4470">
        <v>-0.16103110000000001</v>
      </c>
      <c r="Z4470">
        <v>-1.6937569999999999E-2</v>
      </c>
      <c r="AA4470">
        <v>0.98680389999999996</v>
      </c>
      <c r="AB4470">
        <v>29</v>
      </c>
      <c r="AC4470">
        <v>-9.7205999999999904</v>
      </c>
      <c r="AD4470">
        <v>-1.1111080897779999</v>
      </c>
      <c r="AE4470">
        <v>-0.92600000000001603</v>
      </c>
      <c r="AF4470">
        <v>-1.6091486010171401</v>
      </c>
      <c r="AG4470">
        <v>-1.1111080897779999</v>
      </c>
      <c r="AH4470">
        <v>9.50453572779106</v>
      </c>
      <c r="AI4470">
        <v>96.575050060190506</v>
      </c>
      <c r="AJ4470">
        <v>99.609240228433904</v>
      </c>
      <c r="AK4470">
        <v>9.7036137499481292</v>
      </c>
      <c r="AL4470">
        <v>83.922424530761504</v>
      </c>
      <c r="AM4470">
        <v>95.204075616028405</v>
      </c>
      <c r="AN4470">
        <v>1.0000000251375301</v>
      </c>
    </row>
    <row r="4471" spans="1:40" x14ac:dyDescent="0.25">
      <c r="A4471" t="str">
        <f>"20190312151116832"</f>
        <v>20190312151116832</v>
      </c>
      <c r="B4471" t="str">
        <f>"1552374676825777"</f>
        <v>1552374676825777</v>
      </c>
      <c r="C4471" t="s">
        <v>40</v>
      </c>
      <c r="D4471">
        <v>5.080946</v>
      </c>
      <c r="E4471">
        <v>0.47194619999999998</v>
      </c>
      <c r="F4471" t="s">
        <v>42</v>
      </c>
      <c r="G4471">
        <v>-351.91550000000001</v>
      </c>
      <c r="H4471" s="1">
        <v>-3.4641360000000001E-6</v>
      </c>
      <c r="I4471">
        <v>139.53970000000001</v>
      </c>
      <c r="J4471">
        <v>-338.1121</v>
      </c>
      <c r="K4471">
        <v>1.1111070000000001</v>
      </c>
      <c r="L4471">
        <v>140.91640000000001</v>
      </c>
      <c r="M4471">
        <v>-0.99736959999999997</v>
      </c>
      <c r="N4471">
        <v>0</v>
      </c>
      <c r="O4471">
        <v>7.1688409999999994E-2</v>
      </c>
      <c r="P4471">
        <v>-0.99520299999999995</v>
      </c>
      <c r="Q4471">
        <v>9.5772889999999999E-2</v>
      </c>
      <c r="R4471">
        <v>-1.9964570000000001E-2</v>
      </c>
      <c r="S4471">
        <v>-3.0321349999999998</v>
      </c>
      <c r="T4471">
        <v>-0.24075759999999999</v>
      </c>
      <c r="U4471">
        <v>-0.29550169999999998</v>
      </c>
      <c r="V4471">
        <v>-9.1558050000000002E-2</v>
      </c>
      <c r="W4471">
        <v>0.1061309</v>
      </c>
      <c r="X4471">
        <v>0.99012789999999995</v>
      </c>
      <c r="Y4471">
        <v>-0.1673557</v>
      </c>
      <c r="Z4471">
        <v>-1.2289639999999999E-2</v>
      </c>
      <c r="AA4471">
        <v>0.98582000000000003</v>
      </c>
      <c r="AB4471">
        <v>29</v>
      </c>
      <c r="AC4471">
        <v>-13.8034</v>
      </c>
      <c r="AD4471">
        <v>-1.1111104641359999</v>
      </c>
      <c r="AE4471">
        <v>-1.37669999999999</v>
      </c>
      <c r="AF4471">
        <v>-2.3476958822190799</v>
      </c>
      <c r="AG4471">
        <v>-1.1111104641359999</v>
      </c>
      <c r="AH4471">
        <v>13.582043503116299</v>
      </c>
      <c r="AI4471">
        <v>94.608756368689001</v>
      </c>
      <c r="AJ4471">
        <v>99.806839033294906</v>
      </c>
      <c r="AK4471">
        <v>13.8281650315378</v>
      </c>
      <c r="AL4471">
        <v>83.907673251831696</v>
      </c>
      <c r="AM4471">
        <v>95.283169760216396</v>
      </c>
      <c r="AN4471">
        <v>0.99999995140650999</v>
      </c>
    </row>
    <row r="4472" spans="1:40" x14ac:dyDescent="0.25">
      <c r="A4472" t="str">
        <f>"20190312151116852"</f>
        <v>20190312151116852</v>
      </c>
      <c r="B4472" t="str">
        <f>"1552374676845296"</f>
        <v>1552374676845296</v>
      </c>
      <c r="C4472" t="s">
        <v>40</v>
      </c>
      <c r="D4472">
        <v>5.1059869999999998</v>
      </c>
      <c r="E4472">
        <v>0.4723444</v>
      </c>
      <c r="F4472" t="s">
        <v>42</v>
      </c>
      <c r="G4472">
        <v>-353.31990000000002</v>
      </c>
      <c r="H4472" s="1">
        <v>-2.8852809999999998E-6</v>
      </c>
      <c r="I4472">
        <v>139.40639999999999</v>
      </c>
      <c r="J4472">
        <v>-338.35860000000002</v>
      </c>
      <c r="K4472">
        <v>1.111105</v>
      </c>
      <c r="L4472">
        <v>140.93270000000001</v>
      </c>
      <c r="M4472">
        <v>-0.99746009999999996</v>
      </c>
      <c r="N4472">
        <v>0</v>
      </c>
      <c r="O4472">
        <v>7.0418759999999997E-2</v>
      </c>
      <c r="P4472">
        <v>-0.99508220000000003</v>
      </c>
      <c r="Q4472">
        <v>9.600525E-2</v>
      </c>
      <c r="R4472">
        <v>-2.438475E-2</v>
      </c>
      <c r="S4472">
        <v>-3.0297239999999999</v>
      </c>
      <c r="T4472">
        <v>-0.22135779999999999</v>
      </c>
      <c r="U4472">
        <v>-0.30081180000000002</v>
      </c>
      <c r="V4472">
        <v>-9.4698249999999998E-2</v>
      </c>
      <c r="W4472">
        <v>0.1063547</v>
      </c>
      <c r="X4472">
        <v>0.98980849999999998</v>
      </c>
      <c r="Y4472">
        <v>-0.16800379999999901</v>
      </c>
      <c r="Z4472">
        <v>-1.1241330000000001E-2</v>
      </c>
      <c r="AA4472">
        <v>0.98572219999999999</v>
      </c>
      <c r="AB4472">
        <v>29</v>
      </c>
      <c r="AC4472">
        <v>-14.9612999999999</v>
      </c>
      <c r="AD4472">
        <v>-1.1111078852809999</v>
      </c>
      <c r="AE4472">
        <v>-1.52630000000002</v>
      </c>
      <c r="AF4472">
        <v>-2.5621415153784399</v>
      </c>
      <c r="AG4472">
        <v>-1.1111078852809999</v>
      </c>
      <c r="AH4472">
        <v>14.7362298218611</v>
      </c>
      <c r="AI4472">
        <v>94.248430287187503</v>
      </c>
      <c r="AJ4472">
        <v>99.863236632124199</v>
      </c>
      <c r="AK4472">
        <v>14.9985199016526</v>
      </c>
      <c r="AL4472">
        <v>83.894777605123295</v>
      </c>
      <c r="AM4472">
        <v>95.465042526683604</v>
      </c>
      <c r="AN4472">
        <v>0.99999997371869997</v>
      </c>
    </row>
    <row r="4473" spans="1:40" x14ac:dyDescent="0.25">
      <c r="A4473" t="str">
        <f>"20190312151116874"</f>
        <v>20190312151116874</v>
      </c>
      <c r="B4473" t="str">
        <f>"1552374676865797"</f>
        <v>1552374676865797</v>
      </c>
      <c r="C4473" t="s">
        <v>40</v>
      </c>
      <c r="D4473">
        <v>5.054964</v>
      </c>
      <c r="E4473">
        <v>0.47294219999999998</v>
      </c>
      <c r="F4473" t="s">
        <v>42</v>
      </c>
      <c r="G4473">
        <v>-354.87959999999998</v>
      </c>
      <c r="H4473" s="1">
        <v>-2.2458600000000001E-6</v>
      </c>
      <c r="I4473">
        <v>139.23910000000001</v>
      </c>
      <c r="J4473">
        <v>-338.64030000000002</v>
      </c>
      <c r="K4473">
        <v>1.111102</v>
      </c>
      <c r="L4473">
        <v>140.95099999999999</v>
      </c>
      <c r="M4473">
        <v>-0.99756109999999998</v>
      </c>
      <c r="N4473">
        <v>0</v>
      </c>
      <c r="O4473">
        <v>6.8970760000000006E-2</v>
      </c>
      <c r="P4473">
        <v>-0.99506099999999997</v>
      </c>
      <c r="Q4473">
        <v>9.5061099999999996E-2</v>
      </c>
      <c r="R4473">
        <v>-2.858525E-2</v>
      </c>
      <c r="S4473">
        <v>-3.0268860000000002</v>
      </c>
      <c r="T4473">
        <v>-0.2035719</v>
      </c>
      <c r="U4473">
        <v>-0.31028749999999999</v>
      </c>
      <c r="V4473">
        <v>-9.744622E-2</v>
      </c>
      <c r="W4473">
        <v>0.1054055</v>
      </c>
      <c r="X4473">
        <v>0.9896433</v>
      </c>
      <c r="Y4473">
        <v>-0.16981379999999999</v>
      </c>
      <c r="Z4473">
        <v>-1.031196E-2</v>
      </c>
      <c r="AA4473">
        <v>0.98542220000000003</v>
      </c>
      <c r="AB4473">
        <v>29</v>
      </c>
      <c r="AC4473">
        <v>-16.239299999999901</v>
      </c>
      <c r="AD4473">
        <v>-1.11110424586</v>
      </c>
      <c r="AE4473">
        <v>-1.71189999999998</v>
      </c>
      <c r="AF4473">
        <v>-2.8148913794886399</v>
      </c>
      <c r="AG4473">
        <v>-1.11110424586</v>
      </c>
      <c r="AH4473">
        <v>16.008428711129</v>
      </c>
      <c r="AI4473">
        <v>93.910581554153197</v>
      </c>
      <c r="AJ4473">
        <v>99.972830485398205</v>
      </c>
      <c r="AK4473">
        <v>16.291959855179702</v>
      </c>
      <c r="AL4473">
        <v>83.949470191947896</v>
      </c>
      <c r="AM4473">
        <v>95.623558636662295</v>
      </c>
      <c r="AN4473">
        <v>0.99999997322871303</v>
      </c>
    </row>
    <row r="4474" spans="1:40" x14ac:dyDescent="0.25">
      <c r="A4474" t="str">
        <f>"20190312151116890"</f>
        <v>20190312151116890</v>
      </c>
      <c r="B4474" t="str">
        <f>"1552374676885312"</f>
        <v>1552374676885312</v>
      </c>
      <c r="C4474" t="s">
        <v>40</v>
      </c>
      <c r="D4474">
        <v>4.9683289999999998</v>
      </c>
      <c r="E4474">
        <v>0.47321859999999999</v>
      </c>
      <c r="F4474" t="s">
        <v>42</v>
      </c>
      <c r="G4474">
        <v>-355.76760000000002</v>
      </c>
      <c r="H4474" s="1">
        <v>-1.8805240000000001E-6</v>
      </c>
      <c r="I4474">
        <v>139.15110000000001</v>
      </c>
      <c r="J4474">
        <v>-338.84390000000002</v>
      </c>
      <c r="K4474">
        <v>1.1111009999999999</v>
      </c>
      <c r="L4474">
        <v>140.964</v>
      </c>
      <c r="M4474">
        <v>-0.99763299999999999</v>
      </c>
      <c r="N4474">
        <v>0</v>
      </c>
      <c r="O4474">
        <v>6.792405E-2</v>
      </c>
      <c r="P4474">
        <v>-0.99504159999999997</v>
      </c>
      <c r="Q4474">
        <v>9.4454800000000005E-2</v>
      </c>
      <c r="R4474">
        <v>-3.115826E-2</v>
      </c>
      <c r="S4474">
        <v>-3.0245060000000001</v>
      </c>
      <c r="T4474">
        <v>-0.1962101</v>
      </c>
      <c r="U4474">
        <v>-0.31784059999999997</v>
      </c>
      <c r="V4474">
        <v>-9.8970589999999997E-2</v>
      </c>
      <c r="W4474">
        <v>0.1047966</v>
      </c>
      <c r="X4474">
        <v>0.98955669999999996</v>
      </c>
      <c r="Y4474">
        <v>-0.17132929999999999</v>
      </c>
      <c r="Z4474">
        <v>-9.9277440000000005E-3</v>
      </c>
      <c r="AA4474">
        <v>0.98516380000000003</v>
      </c>
      <c r="AB4474">
        <v>29</v>
      </c>
      <c r="AC4474">
        <v>-16.923699999999901</v>
      </c>
      <c r="AD4474">
        <v>-1.111102880524</v>
      </c>
      <c r="AE4474">
        <v>-1.81289999999998</v>
      </c>
      <c r="AF4474">
        <v>-2.9457514788632002</v>
      </c>
      <c r="AG4474">
        <v>-1.111102880524</v>
      </c>
      <c r="AH4474">
        <v>16.6903376540292</v>
      </c>
      <c r="AI4474">
        <v>93.750850650094804</v>
      </c>
      <c r="AJ4474">
        <v>100.00930406683899</v>
      </c>
      <c r="AK4474">
        <v>16.984680520746899</v>
      </c>
      <c r="AL4474">
        <v>83.984551955672302</v>
      </c>
      <c r="AM4474">
        <v>95.7114484577409</v>
      </c>
      <c r="AN4474">
        <v>0.99999998378569799</v>
      </c>
    </row>
    <row r="4475" spans="1:40" x14ac:dyDescent="0.25">
      <c r="A4475" t="str">
        <f>"20190312151116930"</f>
        <v>20190312151116930</v>
      </c>
      <c r="B4475" t="str">
        <f>"1552374676925328"</f>
        <v>1552374676925328</v>
      </c>
      <c r="C4475" t="s">
        <v>40</v>
      </c>
      <c r="D4475">
        <v>5.2469159999999997</v>
      </c>
      <c r="E4475">
        <v>0.4733638</v>
      </c>
      <c r="F4475" t="s">
        <v>42</v>
      </c>
      <c r="G4475">
        <v>-356.21420000000001</v>
      </c>
      <c r="H4475" s="1">
        <v>-1.6970579999999999E-6</v>
      </c>
      <c r="I4475">
        <v>139.1052</v>
      </c>
      <c r="J4475">
        <v>-339.36169999999998</v>
      </c>
      <c r="K4475">
        <v>1.1110899999999999</v>
      </c>
      <c r="L4475">
        <v>140.99610000000001</v>
      </c>
      <c r="M4475">
        <v>-0.99781039999999999</v>
      </c>
      <c r="N4475">
        <v>0</v>
      </c>
      <c r="O4475">
        <v>6.5263520000000005E-2</v>
      </c>
      <c r="P4475">
        <v>-0.99496189999999995</v>
      </c>
      <c r="Q4475">
        <v>9.2838470000000006E-2</v>
      </c>
      <c r="R4475">
        <v>-3.784378E-2</v>
      </c>
      <c r="S4475">
        <v>-3.0231629999999998</v>
      </c>
      <c r="T4475">
        <v>-0.193379</v>
      </c>
      <c r="U4475">
        <v>-0.323501599999999</v>
      </c>
      <c r="V4475">
        <v>-0.1029906</v>
      </c>
      <c r="W4475">
        <v>0.10317320000000001</v>
      </c>
      <c r="X4475">
        <v>0.98931709999999995</v>
      </c>
      <c r="Y4475">
        <v>-0.17059289999999999</v>
      </c>
      <c r="Z4475">
        <v>-9.5951990000000004E-3</v>
      </c>
      <c r="AA4475">
        <v>0.98529489999999997</v>
      </c>
      <c r="AB4475">
        <v>29</v>
      </c>
      <c r="AC4475">
        <v>-16.852499999999999</v>
      </c>
      <c r="AD4475">
        <v>-1.11109169705799</v>
      </c>
      <c r="AE4475">
        <v>-1.89090000000001</v>
      </c>
      <c r="AF4475">
        <v>-2.97401823961787</v>
      </c>
      <c r="AG4475">
        <v>-1.11109169705799</v>
      </c>
      <c r="AH4475">
        <v>16.621799936677402</v>
      </c>
      <c r="AI4475">
        <v>93.764663899889996</v>
      </c>
      <c r="AJ4475">
        <v>100.14417794710199</v>
      </c>
      <c r="AK4475">
        <v>16.922279467724799</v>
      </c>
      <c r="AL4475">
        <v>84.078073310409096</v>
      </c>
      <c r="AM4475">
        <v>95.943238424510994</v>
      </c>
      <c r="AN4475">
        <v>1.0000000486195</v>
      </c>
    </row>
    <row r="4476" spans="1:40" x14ac:dyDescent="0.25">
      <c r="A4476" t="str">
        <f>"20190312151116945"</f>
        <v>20190312151116945</v>
      </c>
      <c r="B4476" t="str">
        <f>"1552374676936064"</f>
        <v>1552374676936064</v>
      </c>
      <c r="C4476" t="s">
        <v>40</v>
      </c>
      <c r="D4476">
        <v>5.2485739999999996</v>
      </c>
      <c r="E4476">
        <v>0.47380369999999999</v>
      </c>
      <c r="F4476" t="s">
        <v>42</v>
      </c>
      <c r="G4476">
        <v>-356.17009999999999</v>
      </c>
      <c r="H4476" s="1">
        <v>-1.7193490000000001E-6</v>
      </c>
      <c r="I4476">
        <v>139.08629999999999</v>
      </c>
      <c r="J4476">
        <v>-339.55720000000002</v>
      </c>
      <c r="K4476">
        <v>1.1110869999999999</v>
      </c>
      <c r="L4476">
        <v>141.0078</v>
      </c>
      <c r="M4476">
        <v>-0.99787570000000003</v>
      </c>
      <c r="N4476">
        <v>0</v>
      </c>
      <c r="O4476">
        <v>6.4258399999999993E-2</v>
      </c>
      <c r="P4476">
        <v>-0.9949403</v>
      </c>
      <c r="Q4476">
        <v>9.2310610000000001E-2</v>
      </c>
      <c r="R4476">
        <v>-3.9659930000000003E-2</v>
      </c>
      <c r="S4476">
        <v>-3.0207820000000001</v>
      </c>
      <c r="T4476">
        <v>-0.19968440000000001</v>
      </c>
      <c r="U4476">
        <v>-0.34321590000000002</v>
      </c>
      <c r="V4476">
        <v>-0.1038029</v>
      </c>
      <c r="W4476">
        <v>0.10264529999999999</v>
      </c>
      <c r="X4476">
        <v>0.98928709999999997</v>
      </c>
      <c r="Y4476">
        <v>-0.17599139999999999</v>
      </c>
      <c r="Z4476">
        <v>-1.002333E-2</v>
      </c>
      <c r="AA4476">
        <v>0.98434069999999996</v>
      </c>
      <c r="AB4476">
        <v>29</v>
      </c>
      <c r="AC4476">
        <v>-16.6128999999999</v>
      </c>
      <c r="AD4476">
        <v>-1.111088719349</v>
      </c>
      <c r="AE4476">
        <v>-1.9215</v>
      </c>
      <c r="AF4476">
        <v>-2.9719896513828798</v>
      </c>
      <c r="AG4476">
        <v>-1.111088719349</v>
      </c>
      <c r="AH4476">
        <v>16.382768441208601</v>
      </c>
      <c r="AI4476">
        <v>93.8177681755393</v>
      </c>
      <c r="AJ4476">
        <v>100.282177789944</v>
      </c>
      <c r="AK4476">
        <v>16.6871909687775</v>
      </c>
      <c r="AL4476">
        <v>84.108481101698104</v>
      </c>
      <c r="AM4476">
        <v>95.989954358328703</v>
      </c>
      <c r="AN4476">
        <v>1.00000003294345</v>
      </c>
    </row>
    <row r="4477" spans="1:40" x14ac:dyDescent="0.25">
      <c r="A4477" t="str">
        <f>"20190312151116957"</f>
        <v>20190312151116957</v>
      </c>
      <c r="B4477" t="str">
        <f>"1552374676945824"</f>
        <v>1552374676945824</v>
      </c>
      <c r="C4477" t="s">
        <v>40</v>
      </c>
      <c r="D4477">
        <v>5.2518580000000004</v>
      </c>
      <c r="E4477">
        <v>0.47422839999999999</v>
      </c>
      <c r="F4477" t="s">
        <v>42</v>
      </c>
      <c r="G4477">
        <v>-356.52890000000002</v>
      </c>
      <c r="H4477" s="1">
        <v>-1.568556E-6</v>
      </c>
      <c r="I4477">
        <v>139.0686</v>
      </c>
      <c r="J4477">
        <v>-339.7183</v>
      </c>
      <c r="K4477">
        <v>1.111083</v>
      </c>
      <c r="L4477">
        <v>141.01740000000001</v>
      </c>
      <c r="M4477">
        <v>-0.9979285</v>
      </c>
      <c r="N4477">
        <v>0</v>
      </c>
      <c r="O4477">
        <v>6.3430600000000004E-2</v>
      </c>
      <c r="P4477">
        <v>-0.99491099999999999</v>
      </c>
      <c r="Q4477">
        <v>9.1873780000000002E-2</v>
      </c>
      <c r="R4477">
        <v>-4.1370400000000002E-2</v>
      </c>
      <c r="S4477">
        <v>-3.0198360000000002</v>
      </c>
      <c r="T4477">
        <v>-0.19770099999999999</v>
      </c>
      <c r="U4477">
        <v>-0.3450317</v>
      </c>
      <c r="V4477">
        <v>-0.1046855</v>
      </c>
      <c r="W4477">
        <v>0.10220750000000001</v>
      </c>
      <c r="X4477">
        <v>0.98923939999999999</v>
      </c>
      <c r="Y4477">
        <v>-0.17580589999999999</v>
      </c>
      <c r="Z4477">
        <v>-9.8667259999999993E-3</v>
      </c>
      <c r="AA4477">
        <v>0.98437540000000001</v>
      </c>
      <c r="AB4477">
        <v>29</v>
      </c>
      <c r="AC4477">
        <v>-16.810600000000001</v>
      </c>
      <c r="AD4477">
        <v>-1.111084568556</v>
      </c>
      <c r="AE4477">
        <v>-1.9488000000000001</v>
      </c>
      <c r="AF4477">
        <v>-2.9983187319172702</v>
      </c>
      <c r="AG4477">
        <v>-1.111084568556</v>
      </c>
      <c r="AH4477">
        <v>16.5816474944377</v>
      </c>
      <c r="AI4477">
        <v>93.772484922102905</v>
      </c>
      <c r="AJ4477">
        <v>100.249559709888</v>
      </c>
      <c r="AK4477">
        <v>16.887138827120499</v>
      </c>
      <c r="AL4477">
        <v>84.133697676020603</v>
      </c>
      <c r="AM4477">
        <v>96.040798990704502</v>
      </c>
      <c r="AN4477">
        <v>1.0000000087394201</v>
      </c>
    </row>
    <row r="4478" spans="1:40" x14ac:dyDescent="0.25">
      <c r="A4478" t="str">
        <f>"20190312151116972"</f>
        <v>20190312151116972</v>
      </c>
      <c r="B4478" t="str">
        <f>"1552374676965344"</f>
        <v>1552374676965344</v>
      </c>
      <c r="C4478" t="s">
        <v>40</v>
      </c>
      <c r="D4478">
        <v>5.2570569999999996</v>
      </c>
      <c r="E4478">
        <v>0.47491100000000003</v>
      </c>
      <c r="F4478" t="s">
        <v>42</v>
      </c>
      <c r="G4478">
        <v>-356.8331</v>
      </c>
      <c r="H4478" s="1">
        <v>-1.441082E-6</v>
      </c>
      <c r="I4478">
        <v>139.0515</v>
      </c>
      <c r="J4478">
        <v>-339.89760000000001</v>
      </c>
      <c r="K4478">
        <v>1.111076</v>
      </c>
      <c r="L4478">
        <v>141.02780000000001</v>
      </c>
      <c r="M4478">
        <v>-0.9979867</v>
      </c>
      <c r="N4478">
        <v>0</v>
      </c>
      <c r="O4478">
        <v>6.2509049999999997E-2</v>
      </c>
      <c r="P4478">
        <v>-0.99487950000000003</v>
      </c>
      <c r="Q4478">
        <v>9.1406669999999995E-2</v>
      </c>
      <c r="R4478">
        <v>-4.3122559999999997E-2</v>
      </c>
      <c r="S4478">
        <v>-3.0189819999999998</v>
      </c>
      <c r="T4478">
        <v>-0.19599130000000001</v>
      </c>
      <c r="U4478">
        <v>-0.34675600000000001</v>
      </c>
      <c r="V4478">
        <v>-0.105517</v>
      </c>
      <c r="W4478">
        <v>0.10173980000000001</v>
      </c>
      <c r="X4478">
        <v>0.9891993</v>
      </c>
      <c r="Y4478">
        <v>-0.17549429999999999</v>
      </c>
      <c r="Z4478">
        <v>-9.7143669999999998E-3</v>
      </c>
      <c r="AA4478">
        <v>0.98443250000000004</v>
      </c>
      <c r="AB4478">
        <v>29</v>
      </c>
      <c r="AC4478">
        <v>-16.935499999999902</v>
      </c>
      <c r="AD4478">
        <v>-1.1110774410819999</v>
      </c>
      <c r="AE4478">
        <v>-1.9762999999999999</v>
      </c>
      <c r="AF4478">
        <v>-3.0183008389496</v>
      </c>
      <c r="AG4478">
        <v>-1.1110774410819999</v>
      </c>
      <c r="AH4478">
        <v>16.707885372404601</v>
      </c>
      <c r="AI4478">
        <v>93.744150257048304</v>
      </c>
      <c r="AJ4478">
        <v>100.24011399446999</v>
      </c>
      <c r="AK4478">
        <v>17.014642713025101</v>
      </c>
      <c r="AL4478">
        <v>84.160635516601701</v>
      </c>
      <c r="AM4478">
        <v>96.088666059761493</v>
      </c>
      <c r="AN4478">
        <v>1.0000000396567601</v>
      </c>
    </row>
    <row r="4479" spans="1:40" x14ac:dyDescent="0.25">
      <c r="A4479" t="str">
        <f>"20190312151116987"</f>
        <v>20190312151116987</v>
      </c>
      <c r="B4479" t="str">
        <f>"1552374676976082"</f>
        <v>1552374676976082</v>
      </c>
      <c r="C4479" t="s">
        <v>40</v>
      </c>
      <c r="D4479">
        <v>5.1262530000000002</v>
      </c>
      <c r="E4479">
        <v>0.47535290000000002</v>
      </c>
      <c r="F4479" t="s">
        <v>42</v>
      </c>
      <c r="G4479">
        <v>-357.39400000000001</v>
      </c>
      <c r="H4479" s="1">
        <v>-1.2062030000000001E-6</v>
      </c>
      <c r="I4479">
        <v>139.01920000000001</v>
      </c>
      <c r="J4479">
        <v>-340.10059999999999</v>
      </c>
      <c r="K4479">
        <v>1.1110629999999999</v>
      </c>
      <c r="L4479">
        <v>141.0394</v>
      </c>
      <c r="M4479">
        <v>-0.99805140000000003</v>
      </c>
      <c r="N4479">
        <v>0</v>
      </c>
      <c r="O4479">
        <v>6.1466199999999901E-2</v>
      </c>
      <c r="P4479">
        <v>-0.99491260000000004</v>
      </c>
      <c r="Q4479">
        <v>8.9381139999999998E-2</v>
      </c>
      <c r="R4479">
        <v>-4.6473050000000002E-2</v>
      </c>
      <c r="S4479">
        <v>-3.0180660000000001</v>
      </c>
      <c r="T4479">
        <v>-0.191658</v>
      </c>
      <c r="U4479">
        <v>-0.346466099999999</v>
      </c>
      <c r="V4479">
        <v>-0.1078229</v>
      </c>
      <c r="W4479">
        <v>9.9708850000000002E-2</v>
      </c>
      <c r="X4479">
        <v>0.98915739999999996</v>
      </c>
      <c r="Y4479">
        <v>-0.17443159999999999</v>
      </c>
      <c r="Z4479">
        <v>-9.4033629999999997E-3</v>
      </c>
      <c r="AA4479">
        <v>0.98462439999999996</v>
      </c>
      <c r="AB4479">
        <v>29</v>
      </c>
      <c r="AC4479">
        <v>-17.293399999999998</v>
      </c>
      <c r="AD4479">
        <v>-1.1110642062029901</v>
      </c>
      <c r="AE4479">
        <v>-2.02019999999998</v>
      </c>
      <c r="AF4479">
        <v>-3.0669114388705001</v>
      </c>
      <c r="AG4479">
        <v>-1.1110642062029901</v>
      </c>
      <c r="AH4479">
        <v>17.067015498567201</v>
      </c>
      <c r="AI4479">
        <v>93.666146155717598</v>
      </c>
      <c r="AJ4479">
        <v>100.18722193913101</v>
      </c>
      <c r="AK4479">
        <v>17.375943930403199</v>
      </c>
      <c r="AL4479">
        <v>84.277594966037697</v>
      </c>
      <c r="AM4479">
        <v>96.220953095333698</v>
      </c>
      <c r="AN4479">
        <v>0.999999997253746</v>
      </c>
    </row>
    <row r="4480" spans="1:40" x14ac:dyDescent="0.25">
      <c r="A4480" t="str">
        <f>"20190312151117020"</f>
        <v>20190312151117020</v>
      </c>
      <c r="B4480" t="str">
        <f>"1552374677016097"</f>
        <v>1552374677016097</v>
      </c>
      <c r="C4480" t="s">
        <v>40</v>
      </c>
      <c r="D4480">
        <v>5.2101220000000001</v>
      </c>
      <c r="E4480">
        <v>0.47536489999999998</v>
      </c>
      <c r="F4480" t="s">
        <v>42</v>
      </c>
      <c r="G4480">
        <v>-356.42180000000002</v>
      </c>
      <c r="H4480" s="1">
        <v>-1.6039800000000001E-6</v>
      </c>
      <c r="I4480">
        <v>139.12799999999999</v>
      </c>
      <c r="J4480">
        <v>-340.53789999999998</v>
      </c>
      <c r="K4480">
        <v>1.111059</v>
      </c>
      <c r="L4480">
        <v>141.06379999999999</v>
      </c>
      <c r="M4480">
        <v>-0.9981873</v>
      </c>
      <c r="N4480">
        <v>0</v>
      </c>
      <c r="O4480">
        <v>5.9218769999999997E-2</v>
      </c>
      <c r="P4480">
        <v>-0.99488520000000003</v>
      </c>
      <c r="Q4480">
        <v>8.759865E-2</v>
      </c>
      <c r="R4480">
        <v>-5.0299469999999999E-2</v>
      </c>
      <c r="S4480">
        <v>-3.0172729999999999</v>
      </c>
      <c r="T4480">
        <v>-0.20540149999999999</v>
      </c>
      <c r="U4480">
        <v>-0.35334779999999999</v>
      </c>
      <c r="V4480">
        <v>-0.1094063</v>
      </c>
      <c r="W4480">
        <v>9.7919969999999995E-2</v>
      </c>
      <c r="X4480">
        <v>0.98916230000000005</v>
      </c>
      <c r="Y4480">
        <v>-0.1743953</v>
      </c>
      <c r="Z4480">
        <v>-9.9239600000000008E-3</v>
      </c>
      <c r="AA4480">
        <v>0.98462570000000005</v>
      </c>
      <c r="AB4480">
        <v>29</v>
      </c>
      <c r="AC4480">
        <v>-15.883900000000001</v>
      </c>
      <c r="AD4480">
        <v>-1.11106060398</v>
      </c>
      <c r="AE4480">
        <v>-1.9358</v>
      </c>
      <c r="AF4480">
        <v>-2.8592962290643098</v>
      </c>
      <c r="AG4480">
        <v>-1.11106060398</v>
      </c>
      <c r="AH4480">
        <v>15.665849970624601</v>
      </c>
      <c r="AI4480">
        <v>93.991051358712795</v>
      </c>
      <c r="AJ4480">
        <v>100.343643270207</v>
      </c>
      <c r="AK4480">
        <v>15.9633607330467</v>
      </c>
      <c r="AL4480">
        <v>84.380594684834904</v>
      </c>
      <c r="AM4480">
        <v>96.311545978871294</v>
      </c>
      <c r="AN4480">
        <v>1.00000005737288</v>
      </c>
    </row>
    <row r="4481" spans="1:40" x14ac:dyDescent="0.25">
      <c r="A4481" t="str">
        <f>"20190312151117042"</f>
        <v>20190312151117042</v>
      </c>
      <c r="B4481" t="str">
        <f>"1552374677035620"</f>
        <v>1552374677035620</v>
      </c>
      <c r="C4481" t="s">
        <v>40</v>
      </c>
      <c r="D4481">
        <v>5.2751479999999997</v>
      </c>
      <c r="E4481">
        <v>0.47499950000000002</v>
      </c>
      <c r="F4481" t="s">
        <v>42</v>
      </c>
      <c r="G4481">
        <v>-356.29539999999997</v>
      </c>
      <c r="H4481" s="1">
        <v>-1.653617E-6</v>
      </c>
      <c r="I4481">
        <v>139.15360000000001</v>
      </c>
      <c r="J4481">
        <v>-340.81979999999999</v>
      </c>
      <c r="K4481">
        <v>1.111048</v>
      </c>
      <c r="L4481">
        <v>141.07900000000001</v>
      </c>
      <c r="M4481">
        <v>-0.9982723</v>
      </c>
      <c r="N4481">
        <v>0</v>
      </c>
      <c r="O4481">
        <v>5.777032E-2</v>
      </c>
      <c r="P4481">
        <v>-0.99484510000000004</v>
      </c>
      <c r="Q4481">
        <v>8.7023580000000003E-2</v>
      </c>
      <c r="R4481">
        <v>-5.2062850000000001E-2</v>
      </c>
      <c r="S4481">
        <v>-3.0156559999999999</v>
      </c>
      <c r="T4481">
        <v>-0.21263380000000001</v>
      </c>
      <c r="U4481">
        <v>-0.36555480000000001</v>
      </c>
      <c r="V4481">
        <v>-0.1097263</v>
      </c>
      <c r="W4481">
        <v>9.7338640000000004E-2</v>
      </c>
      <c r="X4481">
        <v>0.98918419999999896</v>
      </c>
      <c r="Y4481">
        <v>-0.17691579999999901</v>
      </c>
      <c r="Z4481">
        <v>-1.0262429999999999E-2</v>
      </c>
      <c r="AA4481">
        <v>0.98417250000000001</v>
      </c>
      <c r="AB4481">
        <v>29</v>
      </c>
      <c r="AC4481">
        <v>-15.475599999999901</v>
      </c>
      <c r="AD4481">
        <v>-1.111049653617</v>
      </c>
      <c r="AE4481">
        <v>-1.92539999999999</v>
      </c>
      <c r="AF4481">
        <v>-2.80204330319365</v>
      </c>
      <c r="AG4481">
        <v>-1.111049653617</v>
      </c>
      <c r="AH4481">
        <v>15.2610524472209</v>
      </c>
      <c r="AI4481">
        <v>94.095729569100598</v>
      </c>
      <c r="AJ4481">
        <v>100.404053460046</v>
      </c>
      <c r="AK4481">
        <v>15.555886339344401</v>
      </c>
      <c r="AL4481">
        <v>84.414062146622001</v>
      </c>
      <c r="AM4481">
        <v>96.329717847477596</v>
      </c>
      <c r="AN4481">
        <v>1.00000002663918</v>
      </c>
    </row>
    <row r="4482" spans="1:40" x14ac:dyDescent="0.25">
      <c r="A4482" t="str">
        <f>"20190312151117063"</f>
        <v>20190312151117063</v>
      </c>
      <c r="B4482" t="str">
        <f>"1552374677055136"</f>
        <v>1552374677055136</v>
      </c>
      <c r="C4482" t="s">
        <v>40</v>
      </c>
      <c r="D4482">
        <v>5.2508369999999998</v>
      </c>
      <c r="E4482">
        <v>0.4748117</v>
      </c>
      <c r="F4482" t="s">
        <v>42</v>
      </c>
      <c r="G4482">
        <v>-356.68029999999999</v>
      </c>
      <c r="H4482" s="1">
        <v>-1.4961609999999999E-6</v>
      </c>
      <c r="I4482">
        <v>139.1105</v>
      </c>
      <c r="J4482">
        <v>-341.10329999999999</v>
      </c>
      <c r="K4482">
        <v>1.111046</v>
      </c>
      <c r="L4482">
        <v>141.09379999999999</v>
      </c>
      <c r="M4482">
        <v>-0.99835560000000001</v>
      </c>
      <c r="N4482">
        <v>0</v>
      </c>
      <c r="O4482">
        <v>5.6314740000000002E-2</v>
      </c>
      <c r="P4482">
        <v>-0.99473940000000005</v>
      </c>
      <c r="Q4482">
        <v>8.70089E-2</v>
      </c>
      <c r="R4482">
        <v>-5.406797E-2</v>
      </c>
      <c r="S4482">
        <v>-3.0144350000000002</v>
      </c>
      <c r="T4482">
        <v>-0.21116570000000001</v>
      </c>
      <c r="U4482">
        <v>-0.37409969999999998</v>
      </c>
      <c r="V4482">
        <v>-0.1102789</v>
      </c>
      <c r="W4482">
        <v>9.7313960000000005E-2</v>
      </c>
      <c r="X4482">
        <v>0.98912509999999998</v>
      </c>
      <c r="Y4482">
        <v>-0.17828469999999999</v>
      </c>
      <c r="Z4482">
        <v>-1.0140349999999999E-2</v>
      </c>
      <c r="AA4482">
        <v>0.98392670000000004</v>
      </c>
      <c r="AB4482">
        <v>29</v>
      </c>
      <c r="AC4482">
        <v>-15.5769999999999</v>
      </c>
      <c r="AD4482">
        <v>-1.111047496161</v>
      </c>
      <c r="AE4482">
        <v>-1.9832999999999801</v>
      </c>
      <c r="AF4482">
        <v>-2.8431835827991101</v>
      </c>
      <c r="AG4482">
        <v>-1.111047496161</v>
      </c>
      <c r="AH4482">
        <v>15.363667483361599</v>
      </c>
      <c r="AI4482">
        <v>94.067409125848997</v>
      </c>
      <c r="AJ4482">
        <v>100.484481796632</v>
      </c>
      <c r="AK4482">
        <v>15.6639841025049</v>
      </c>
      <c r="AL4482">
        <v>84.415482539239306</v>
      </c>
      <c r="AM4482">
        <v>96.361711663050301</v>
      </c>
      <c r="AN4482">
        <v>0.999999953023049</v>
      </c>
    </row>
    <row r="4483" spans="1:40" x14ac:dyDescent="0.25">
      <c r="A4483" t="str">
        <f>"20190312151117086"</f>
        <v>20190312151117086</v>
      </c>
      <c r="B4483" t="str">
        <f>"1552374677075632"</f>
        <v>1552374677075632</v>
      </c>
      <c r="C4483" t="s">
        <v>40</v>
      </c>
      <c r="D4483">
        <v>5.2039</v>
      </c>
      <c r="E4483">
        <v>0.47470190000000001</v>
      </c>
      <c r="F4483" t="s">
        <v>42</v>
      </c>
      <c r="G4483">
        <v>-356.76069999999999</v>
      </c>
      <c r="H4483" s="1">
        <v>-1.4618389999999999E-6</v>
      </c>
      <c r="I4483">
        <v>139.1096</v>
      </c>
      <c r="J4483">
        <v>-341.3981</v>
      </c>
      <c r="K4483">
        <v>1.111043</v>
      </c>
      <c r="L4483">
        <v>141.1088</v>
      </c>
      <c r="M4483">
        <v>-0.99843959999999998</v>
      </c>
      <c r="N4483">
        <v>0</v>
      </c>
      <c r="O4483">
        <v>5.4806649999999998E-2</v>
      </c>
      <c r="P4483">
        <v>-0.99467139999999998</v>
      </c>
      <c r="Q4483">
        <v>8.6881150000000004E-2</v>
      </c>
      <c r="R4483">
        <v>-5.5504449999999997E-2</v>
      </c>
      <c r="S4483">
        <v>-3.0138240000000001</v>
      </c>
      <c r="T4483">
        <v>-0.2138613</v>
      </c>
      <c r="U4483">
        <v>-0.38192749999999998</v>
      </c>
      <c r="V4483">
        <v>-0.11021300000000001</v>
      </c>
      <c r="W4483">
        <v>9.7173469999999998E-2</v>
      </c>
      <c r="X4483">
        <v>0.98914630000000003</v>
      </c>
      <c r="Y4483">
        <v>-0.17932529999999999</v>
      </c>
      <c r="Z4483">
        <v>-1.020017E-2</v>
      </c>
      <c r="AA4483">
        <v>0.98373690000000003</v>
      </c>
      <c r="AB4483">
        <v>29</v>
      </c>
      <c r="AC4483">
        <v>-15.362599999999899</v>
      </c>
      <c r="AD4483">
        <v>-1.1110444618390001</v>
      </c>
      <c r="AE4483">
        <v>-1.9992000000000001</v>
      </c>
      <c r="AF4483">
        <v>-2.8236926731580398</v>
      </c>
      <c r="AG4483">
        <v>-1.1110444618390001</v>
      </c>
      <c r="AH4483">
        <v>15.1520004163227</v>
      </c>
      <c r="AI4483">
        <v>94.123065048613199</v>
      </c>
      <c r="AJ4483">
        <v>100.556418693545</v>
      </c>
      <c r="AK4483">
        <v>15.4528565878569</v>
      </c>
      <c r="AL4483">
        <v>84.423570593958203</v>
      </c>
      <c r="AM4483">
        <v>96.357806046953002</v>
      </c>
      <c r="AN4483">
        <v>0.99999999572226494</v>
      </c>
    </row>
    <row r="4484" spans="1:40" x14ac:dyDescent="0.25">
      <c r="A4484" t="str">
        <f>"20190312151117108"</f>
        <v>20190312151117108</v>
      </c>
      <c r="B4484" t="str">
        <f>"1552374677105889"</f>
        <v>1552374677105889</v>
      </c>
      <c r="C4484" t="s">
        <v>40</v>
      </c>
      <c r="D4484">
        <v>5.2473869999999998</v>
      </c>
      <c r="E4484">
        <v>0.47453800000000002</v>
      </c>
      <c r="F4484" t="s">
        <v>42</v>
      </c>
      <c r="G4484">
        <v>-356.87970000000001</v>
      </c>
      <c r="H4484" s="1">
        <v>-1.409169E-6</v>
      </c>
      <c r="I4484">
        <v>139.11869999999999</v>
      </c>
      <c r="J4484">
        <v>-341.68290000000002</v>
      </c>
      <c r="K4484">
        <v>1.111035</v>
      </c>
      <c r="L4484">
        <v>141.12289999999999</v>
      </c>
      <c r="M4484">
        <v>-0.99851820000000002</v>
      </c>
      <c r="N4484">
        <v>0</v>
      </c>
      <c r="O4484">
        <v>5.3358589999999997E-2</v>
      </c>
      <c r="P4484">
        <v>-0.99461699999999997</v>
      </c>
      <c r="Q4484">
        <v>8.7021769999999998E-2</v>
      </c>
      <c r="R4484">
        <v>-5.6252070000000001E-2</v>
      </c>
      <c r="S4484">
        <v>-3.0133359999999998</v>
      </c>
      <c r="T4484">
        <v>-0.2162538</v>
      </c>
      <c r="U4484">
        <v>-0.38732909999999998</v>
      </c>
      <c r="V4484">
        <v>-0.1095201</v>
      </c>
      <c r="W4484">
        <v>9.7302559999999996E-2</v>
      </c>
      <c r="X4484">
        <v>0.98921060000000005</v>
      </c>
      <c r="Y4484">
        <v>-0.17964349999999901</v>
      </c>
      <c r="Z4484">
        <v>-1.0222449999999999E-2</v>
      </c>
      <c r="AA4484">
        <v>0.98367859999999996</v>
      </c>
      <c r="AB4484">
        <v>29</v>
      </c>
      <c r="AC4484">
        <v>-15.1967999999999</v>
      </c>
      <c r="AD4484">
        <v>-1.1110364091689999</v>
      </c>
      <c r="AE4484">
        <v>-2.0041999999999902</v>
      </c>
      <c r="AF4484">
        <v>-2.7975731242894102</v>
      </c>
      <c r="AG4484">
        <v>-1.1110364091689999</v>
      </c>
      <c r="AH4484">
        <v>14.9894512490251</v>
      </c>
      <c r="AI4484">
        <v>94.167381388614899</v>
      </c>
      <c r="AJ4484">
        <v>100.571832522972</v>
      </c>
      <c r="AK4484">
        <v>15.288703870346501</v>
      </c>
      <c r="AL4484">
        <v>84.416139233478603</v>
      </c>
      <c r="AM4484">
        <v>96.317751934673097</v>
      </c>
      <c r="AN4484">
        <v>1.0000000258194599</v>
      </c>
    </row>
    <row r="4485" spans="1:40" x14ac:dyDescent="0.25">
      <c r="A4485" t="str">
        <f>"20190312151117131"</f>
        <v>20190312151117131</v>
      </c>
      <c r="B4485" t="str">
        <f>"1552374677125412"</f>
        <v>1552374677125412</v>
      </c>
      <c r="C4485" t="s">
        <v>40</v>
      </c>
      <c r="D4485">
        <v>5.2097930000000003</v>
      </c>
      <c r="E4485">
        <v>0.4744527</v>
      </c>
      <c r="F4485" t="s">
        <v>42</v>
      </c>
      <c r="G4485">
        <v>-357.42160000000001</v>
      </c>
      <c r="H4485" s="1">
        <v>-1.183409E-6</v>
      </c>
      <c r="I4485">
        <v>139.08090000000001</v>
      </c>
      <c r="J4485">
        <v>-341.9812</v>
      </c>
      <c r="K4485">
        <v>1.111024</v>
      </c>
      <c r="L4485">
        <v>141.13720000000001</v>
      </c>
      <c r="M4485">
        <v>-0.99859739999999997</v>
      </c>
      <c r="N4485">
        <v>0</v>
      </c>
      <c r="O4485">
        <v>5.185845E-2</v>
      </c>
      <c r="P4485">
        <v>-0.99454909999999996</v>
      </c>
      <c r="Q4485">
        <v>8.6916510000000002E-2</v>
      </c>
      <c r="R4485">
        <v>-5.7601659999999999E-2</v>
      </c>
      <c r="S4485">
        <v>-3.0127259999999998</v>
      </c>
      <c r="T4485">
        <v>-0.212677</v>
      </c>
      <c r="U4485">
        <v>-0.39086910000000002</v>
      </c>
      <c r="V4485">
        <v>-0.1093737</v>
      </c>
      <c r="W4485">
        <v>9.7185339999999995E-2</v>
      </c>
      <c r="X4485">
        <v>0.98923830000000001</v>
      </c>
      <c r="Y4485">
        <v>-0.1793515</v>
      </c>
      <c r="Z4485">
        <v>-9.9394329999999993E-3</v>
      </c>
      <c r="AA4485">
        <v>0.98373480000000002</v>
      </c>
      <c r="AB4485">
        <v>29</v>
      </c>
      <c r="AC4485">
        <v>-15.4404</v>
      </c>
      <c r="AD4485">
        <v>-1.1110251834089999</v>
      </c>
      <c r="AE4485">
        <v>-2.05629999999999</v>
      </c>
      <c r="AF4485">
        <v>-2.8398462267346201</v>
      </c>
      <c r="AG4485">
        <v>-1.1110251834089999</v>
      </c>
      <c r="AH4485">
        <v>15.2354702472122</v>
      </c>
      <c r="AI4485">
        <v>94.100453663877403</v>
      </c>
      <c r="AJ4485">
        <v>100.55859319050801</v>
      </c>
      <c r="AK4485">
        <v>15.5376528859206</v>
      </c>
      <c r="AL4485">
        <v>84.422887312748898</v>
      </c>
      <c r="AM4485">
        <v>96.309199642982804</v>
      </c>
      <c r="AN4485">
        <v>1.00000000537474</v>
      </c>
    </row>
    <row r="4486" spans="1:40" x14ac:dyDescent="0.25">
      <c r="A4486" t="str">
        <f>"20190312151117153"</f>
        <v>20190312151117153</v>
      </c>
      <c r="B4486" t="str">
        <f>"1552374677145904"</f>
        <v>1552374677145904</v>
      </c>
      <c r="C4486" t="s">
        <v>40</v>
      </c>
      <c r="D4486">
        <v>5.2218049999999998</v>
      </c>
      <c r="E4486">
        <v>0.474408</v>
      </c>
      <c r="F4486" t="s">
        <v>42</v>
      </c>
      <c r="G4486">
        <v>-357.80779999999999</v>
      </c>
      <c r="H4486" s="1">
        <v>-1.021342E-6</v>
      </c>
      <c r="I4486">
        <v>139.06049999999999</v>
      </c>
      <c r="J4486">
        <v>-342.26839999999999</v>
      </c>
      <c r="K4486">
        <v>1.1110100000000001</v>
      </c>
      <c r="L4486">
        <v>141.1506</v>
      </c>
      <c r="M4486">
        <v>-0.99867030000000001</v>
      </c>
      <c r="N4486">
        <v>0</v>
      </c>
      <c r="O4486">
        <v>5.0435859999999999E-2</v>
      </c>
      <c r="P4486">
        <v>-0.99449120000000002</v>
      </c>
      <c r="Q4486">
        <v>8.6568989999999998E-2</v>
      </c>
      <c r="R4486">
        <v>-5.9104289999999997E-2</v>
      </c>
      <c r="S4486">
        <v>-3.0120239999999998</v>
      </c>
      <c r="T4486">
        <v>-0.21144389999999999</v>
      </c>
      <c r="U4486">
        <v>-0.39521790000000001</v>
      </c>
      <c r="V4486">
        <v>-0.10945680000000001</v>
      </c>
      <c r="W4486">
        <v>9.6827510000000006E-2</v>
      </c>
      <c r="X4486">
        <v>0.98926420000000004</v>
      </c>
      <c r="Y4486">
        <v>-0.17938579999999901</v>
      </c>
      <c r="Z4486">
        <v>-9.7851459999999998E-3</v>
      </c>
      <c r="AA4486">
        <v>0.98373010000000005</v>
      </c>
      <c r="AB4486">
        <v>29</v>
      </c>
      <c r="AC4486">
        <v>-15.539400000000001</v>
      </c>
      <c r="AD4486">
        <v>-1.1110110213419999</v>
      </c>
      <c r="AE4486">
        <v>-2.0901000000000001</v>
      </c>
      <c r="AF4486">
        <v>-2.8568831295852402</v>
      </c>
      <c r="AG4486">
        <v>-1.1110110213419999</v>
      </c>
      <c r="AH4486">
        <v>15.3371922808332</v>
      </c>
      <c r="AI4486">
        <v>94.073389710875801</v>
      </c>
      <c r="AJ4486">
        <v>100.55164759737001</v>
      </c>
      <c r="AK4486">
        <v>15.640511301261901</v>
      </c>
      <c r="AL4486">
        <v>84.443486625168902</v>
      </c>
      <c r="AM4486">
        <v>96.313790578459503</v>
      </c>
      <c r="AN4486">
        <v>1.0000000075803399</v>
      </c>
    </row>
    <row r="4487" spans="1:40" x14ac:dyDescent="0.25">
      <c r="A4487" t="str">
        <f>"20190312151117176"</f>
        <v>20190312151117176</v>
      </c>
      <c r="B4487" t="str">
        <f>"1552374677165424"</f>
        <v>1552374677165424</v>
      </c>
      <c r="C4487" t="s">
        <v>40</v>
      </c>
      <c r="D4487">
        <v>5.2560609999999999</v>
      </c>
      <c r="E4487">
        <v>0.47443849999999999</v>
      </c>
      <c r="F4487" t="s">
        <v>42</v>
      </c>
      <c r="G4487">
        <v>-358.0899</v>
      </c>
      <c r="H4487" s="1">
        <v>-9.0231419999999997E-7</v>
      </c>
      <c r="I4487">
        <v>139.04920000000001</v>
      </c>
      <c r="J4487">
        <v>-342.56479999999999</v>
      </c>
      <c r="K4487">
        <v>1.110986</v>
      </c>
      <c r="L4487">
        <v>141.16409999999999</v>
      </c>
      <c r="M4487">
        <v>-0.99874229999999997</v>
      </c>
      <c r="N4487">
        <v>0</v>
      </c>
      <c r="O4487">
        <v>4.8995249999999997E-2</v>
      </c>
      <c r="P4487">
        <v>-0.99441159999999995</v>
      </c>
      <c r="Q4487">
        <v>8.6692770000000002E-2</v>
      </c>
      <c r="R4487">
        <v>-6.0253330000000001E-2</v>
      </c>
      <c r="S4487">
        <v>-3.0112610000000002</v>
      </c>
      <c r="T4487">
        <v>-0.2114549</v>
      </c>
      <c r="U4487">
        <v>-0.39994809999999997</v>
      </c>
      <c r="V4487">
        <v>-0.1091683</v>
      </c>
      <c r="W4487">
        <v>9.6940449999999997E-2</v>
      </c>
      <c r="X4487">
        <v>0.98928499999999997</v>
      </c>
      <c r="Y4487">
        <v>-0.17952079999999901</v>
      </c>
      <c r="Z4487">
        <v>-9.6911800000000006E-3</v>
      </c>
      <c r="AA4487">
        <v>0.98370639999999998</v>
      </c>
      <c r="AB4487">
        <v>29</v>
      </c>
      <c r="AC4487">
        <v>-15.5251</v>
      </c>
      <c r="AD4487">
        <v>-1.1109869023142001</v>
      </c>
      <c r="AE4487">
        <v>-2.1148999999999698</v>
      </c>
      <c r="AF4487">
        <v>-2.8586865557064298</v>
      </c>
      <c r="AG4487">
        <v>-1.1109869023142001</v>
      </c>
      <c r="AH4487">
        <v>15.3257741105864</v>
      </c>
      <c r="AI4487">
        <v>94.076138410839405</v>
      </c>
      <c r="AJ4487">
        <v>100.565847761789</v>
      </c>
      <c r="AK4487">
        <v>15.6296427601405</v>
      </c>
      <c r="AL4487">
        <v>84.436984955742602</v>
      </c>
      <c r="AM4487">
        <v>96.297151579274399</v>
      </c>
      <c r="AN4487">
        <v>0.99999998989804595</v>
      </c>
    </row>
    <row r="4488" spans="1:40" x14ac:dyDescent="0.25">
      <c r="A4488" t="str">
        <f>"20190312151117199"</f>
        <v>20190312151117199</v>
      </c>
      <c r="B4488" t="str">
        <f>"1552374677195682"</f>
        <v>1552374677195682</v>
      </c>
      <c r="C4488" t="s">
        <v>40</v>
      </c>
      <c r="D4488">
        <v>5.2534020000000003</v>
      </c>
      <c r="E4488">
        <v>0.47443079999999999</v>
      </c>
      <c r="F4488" t="s">
        <v>42</v>
      </c>
      <c r="G4488">
        <v>-358.541</v>
      </c>
      <c r="H4488" s="1">
        <v>-7.1348199999999996E-7</v>
      </c>
      <c r="I4488">
        <v>139.02279999999999</v>
      </c>
      <c r="J4488">
        <v>-342.87049999999999</v>
      </c>
      <c r="K4488">
        <v>1.110957</v>
      </c>
      <c r="L4488">
        <v>141.17750000000001</v>
      </c>
      <c r="M4488">
        <v>-0.99881220000000004</v>
      </c>
      <c r="N4488">
        <v>0</v>
      </c>
      <c r="O4488">
        <v>4.7552690000000002E-2</v>
      </c>
      <c r="P4488">
        <v>-0.99425889999999995</v>
      </c>
      <c r="Q4488">
        <v>8.7090180000000003E-2</v>
      </c>
      <c r="R4488">
        <v>-6.2166310000000002E-2</v>
      </c>
      <c r="S4488">
        <v>-3.0106510000000002</v>
      </c>
      <c r="T4488">
        <v>-0.20936170000000001</v>
      </c>
      <c r="U4488">
        <v>-0.40350340000000001</v>
      </c>
      <c r="V4488">
        <v>-0.10963639999999999</v>
      </c>
      <c r="W4488">
        <v>9.7321080000000004E-2</v>
      </c>
      <c r="X4488">
        <v>0.98919590000000002</v>
      </c>
      <c r="Y4488">
        <v>-0.17928229999999901</v>
      </c>
      <c r="Z4488">
        <v>-9.4886020000000005E-3</v>
      </c>
      <c r="AA4488">
        <v>0.98375190000000001</v>
      </c>
      <c r="AB4488">
        <v>29</v>
      </c>
      <c r="AC4488">
        <v>-15.670500000000001</v>
      </c>
      <c r="AD4488">
        <v>-1.1109577134819999</v>
      </c>
      <c r="AE4488">
        <v>-2.15470000000002</v>
      </c>
      <c r="AF4488">
        <v>-2.88325611076487</v>
      </c>
      <c r="AG4488">
        <v>-1.1109577134819999</v>
      </c>
      <c r="AH4488">
        <v>15.473972590029501</v>
      </c>
      <c r="AI4488">
        <v>94.037268107005801</v>
      </c>
      <c r="AJ4488">
        <v>100.554849282224</v>
      </c>
      <c r="AK4488">
        <v>15.7794556483547</v>
      </c>
      <c r="AL4488">
        <v>84.415073082855201</v>
      </c>
      <c r="AM4488">
        <v>96.324499679769602</v>
      </c>
      <c r="AN4488">
        <v>1.00000003069706</v>
      </c>
    </row>
    <row r="4489" spans="1:40" x14ac:dyDescent="0.25">
      <c r="A4489" t="str">
        <f>"20190312151117221"</f>
        <v>20190312151117221</v>
      </c>
      <c r="B4489" t="str">
        <f>"1552374677215200"</f>
        <v>1552374677215200</v>
      </c>
      <c r="C4489" t="s">
        <v>40</v>
      </c>
      <c r="D4489">
        <v>5.2094630000000004</v>
      </c>
      <c r="E4489">
        <v>0.4744428</v>
      </c>
      <c r="F4489" t="s">
        <v>42</v>
      </c>
      <c r="G4489">
        <v>-358.7681</v>
      </c>
      <c r="H4489" s="1">
        <v>-6.1714389999999999E-7</v>
      </c>
      <c r="I4489">
        <v>139.01660000000001</v>
      </c>
      <c r="J4489">
        <v>-343.1549</v>
      </c>
      <c r="K4489">
        <v>1.1109279999999999</v>
      </c>
      <c r="L4489">
        <v>141.18960000000001</v>
      </c>
      <c r="M4489">
        <v>-0.99887320000000002</v>
      </c>
      <c r="N4489">
        <v>0</v>
      </c>
      <c r="O4489">
        <v>4.6258069999999998E-2</v>
      </c>
      <c r="P4489">
        <v>-0.99416950000000004</v>
      </c>
      <c r="Q4489">
        <v>8.6712549999999999E-2</v>
      </c>
      <c r="R4489">
        <v>-6.4093070000000002E-2</v>
      </c>
      <c r="S4489">
        <v>-3.010132</v>
      </c>
      <c r="T4489">
        <v>-0.2103544</v>
      </c>
      <c r="U4489">
        <v>-0.40913389999999999</v>
      </c>
      <c r="V4489">
        <v>-0.1102651</v>
      </c>
      <c r="W4489">
        <v>9.6930500000000003E-2</v>
      </c>
      <c r="X4489">
        <v>0.98916440000000005</v>
      </c>
      <c r="Y4489">
        <v>-0.17983339999999901</v>
      </c>
      <c r="Z4489">
        <v>-9.4630900000000004E-3</v>
      </c>
      <c r="AA4489">
        <v>0.98365159999999996</v>
      </c>
      <c r="AB4489">
        <v>29</v>
      </c>
      <c r="AC4489">
        <v>-15.613200000000001</v>
      </c>
      <c r="AD4489">
        <v>-1.1109286171438999</v>
      </c>
      <c r="AE4489">
        <v>-2.173</v>
      </c>
      <c r="AF4489">
        <v>-2.8786536928772599</v>
      </c>
      <c r="AG4489">
        <v>-1.1109286171438999</v>
      </c>
      <c r="AH4489">
        <v>15.4193786843373</v>
      </c>
      <c r="AI4489">
        <v>94.051146299279097</v>
      </c>
      <c r="AJ4489">
        <v>100.574850798135</v>
      </c>
      <c r="AK4489">
        <v>15.725077058218201</v>
      </c>
      <c r="AL4489">
        <v>84.437558149479202</v>
      </c>
      <c r="AM4489">
        <v>96.360671450149198</v>
      </c>
      <c r="AN4489">
        <v>1.0000000621678</v>
      </c>
    </row>
    <row r="4490" spans="1:40" x14ac:dyDescent="0.25">
      <c r="A4490" t="str">
        <f>"20190312151117242"</f>
        <v>20190312151117242</v>
      </c>
      <c r="B4490" t="str">
        <f>"1552374677235700"</f>
        <v>1552374677235700</v>
      </c>
      <c r="C4490" t="s">
        <v>40</v>
      </c>
      <c r="D4490">
        <v>5.2178110000000002</v>
      </c>
      <c r="E4490">
        <v>0.4745144</v>
      </c>
      <c r="F4490" t="s">
        <v>42</v>
      </c>
      <c r="G4490">
        <v>-359.04829999999998</v>
      </c>
      <c r="H4490" s="1">
        <v>-4.9978140000000004E-7</v>
      </c>
      <c r="I4490">
        <v>139.00059999999999</v>
      </c>
      <c r="J4490">
        <v>-343.44110000000001</v>
      </c>
      <c r="K4490">
        <v>1.1108899999999999</v>
      </c>
      <c r="L4490">
        <v>141.20150000000001</v>
      </c>
      <c r="M4490">
        <v>-0.99893109999999996</v>
      </c>
      <c r="N4490">
        <v>0</v>
      </c>
      <c r="O4490">
        <v>4.4996000000000001E-2</v>
      </c>
      <c r="P4490">
        <v>-0.99401229999999996</v>
      </c>
      <c r="Q4490">
        <v>8.7077630000000003E-2</v>
      </c>
      <c r="R4490">
        <v>-6.6009319999999996E-2</v>
      </c>
      <c r="S4490">
        <v>-3.0091860000000001</v>
      </c>
      <c r="T4490">
        <v>-0.2103382</v>
      </c>
      <c r="U4490">
        <v>-0.41444399999999998</v>
      </c>
      <c r="V4490">
        <v>-0.110915</v>
      </c>
      <c r="W4490">
        <v>9.7283590000000003E-2</v>
      </c>
      <c r="X4490">
        <v>0.98905699999999996</v>
      </c>
      <c r="Y4490">
        <v>-0.18033750000000001</v>
      </c>
      <c r="Z4490">
        <v>-9.3939569999999997E-3</v>
      </c>
      <c r="AA4490">
        <v>0.98355990000000004</v>
      </c>
      <c r="AB4490">
        <v>29</v>
      </c>
      <c r="AC4490">
        <v>-15.607199999999899</v>
      </c>
      <c r="AD4490">
        <v>-1.1108904997814</v>
      </c>
      <c r="AE4490">
        <v>-2.2009000000000101</v>
      </c>
      <c r="AF4490">
        <v>-2.88663207136134</v>
      </c>
      <c r="AG4490">
        <v>-1.1108904997814</v>
      </c>
      <c r="AH4490">
        <v>15.415775116381001</v>
      </c>
      <c r="AI4490">
        <v>94.0515421608781</v>
      </c>
      <c r="AJ4490">
        <v>100.605918370037</v>
      </c>
      <c r="AK4490">
        <v>15.723003684307599</v>
      </c>
      <c r="AL4490">
        <v>84.417231124264603</v>
      </c>
      <c r="AM4490">
        <v>96.398540115803598</v>
      </c>
      <c r="AN4490">
        <v>0.99999999167864395</v>
      </c>
    </row>
    <row r="4491" spans="1:40" x14ac:dyDescent="0.25">
      <c r="A4491" t="str">
        <f>"20190312151117264"</f>
        <v>20190312151117264</v>
      </c>
      <c r="B4491" t="str">
        <f>"1552374677255220"</f>
        <v>1552374677255220</v>
      </c>
      <c r="C4491" t="s">
        <v>40</v>
      </c>
      <c r="D4491">
        <v>5.2389539999999997</v>
      </c>
      <c r="E4491">
        <v>0.47458460000000002</v>
      </c>
      <c r="F4491" t="s">
        <v>42</v>
      </c>
      <c r="G4491">
        <v>-359.2371</v>
      </c>
      <c r="H4491" s="1">
        <v>-4.193487E-7</v>
      </c>
      <c r="I4491">
        <v>138.99760000000001</v>
      </c>
      <c r="J4491">
        <v>-343.73390000000001</v>
      </c>
      <c r="K4491">
        <v>1.110854</v>
      </c>
      <c r="L4491">
        <v>141.2133</v>
      </c>
      <c r="M4491">
        <v>-0.9989865</v>
      </c>
      <c r="N4491">
        <v>0</v>
      </c>
      <c r="O4491">
        <v>4.375362E-2</v>
      </c>
      <c r="P4491">
        <v>-0.99387990000000004</v>
      </c>
      <c r="Q4491">
        <v>8.6875649999999999E-2</v>
      </c>
      <c r="R4491">
        <v>-6.8231449999999999E-2</v>
      </c>
      <c r="S4491">
        <v>-3.0087280000000001</v>
      </c>
      <c r="T4491">
        <v>-0.2115959</v>
      </c>
      <c r="U4491">
        <v>-0.4197845</v>
      </c>
      <c r="V4491">
        <v>-0.1118893</v>
      </c>
      <c r="W4491">
        <v>9.7070959999999998E-2</v>
      </c>
      <c r="X4491">
        <v>0.98896810000000002</v>
      </c>
      <c r="Y4491">
        <v>-0.1808428</v>
      </c>
      <c r="Z4491">
        <v>-9.3810370000000001E-3</v>
      </c>
      <c r="AA4491">
        <v>0.98346730000000004</v>
      </c>
      <c r="AB4491">
        <v>29</v>
      </c>
      <c r="AC4491">
        <v>-15.5031999999999</v>
      </c>
      <c r="AD4491">
        <v>-1.1108544193487</v>
      </c>
      <c r="AE4491">
        <v>-2.2156999999999898</v>
      </c>
      <c r="AF4491">
        <v>-2.8774591828904099</v>
      </c>
      <c r="AG4491">
        <v>-1.1108544193487</v>
      </c>
      <c r="AH4491">
        <v>15.3143485785988</v>
      </c>
      <c r="AI4491">
        <v>94.077680981381704</v>
      </c>
      <c r="AJ4491">
        <v>100.641407263022</v>
      </c>
      <c r="AK4491">
        <v>15.6218770087662</v>
      </c>
      <c r="AL4491">
        <v>84.429471598198703</v>
      </c>
      <c r="AM4491">
        <v>96.454849239788999</v>
      </c>
      <c r="AN4491">
        <v>0.99999994477370902</v>
      </c>
    </row>
    <row r="4492" spans="1:40" x14ac:dyDescent="0.25">
      <c r="A4492" t="str">
        <f>"20190312151117288"</f>
        <v>20190312151117288</v>
      </c>
      <c r="B4492" t="str">
        <f>"1552374677275713"</f>
        <v>1552374677275713</v>
      </c>
      <c r="C4492" t="s">
        <v>40</v>
      </c>
      <c r="D4492">
        <v>4.9673230000000004</v>
      </c>
      <c r="E4492">
        <v>0.47464879999999998</v>
      </c>
      <c r="F4492" t="s">
        <v>42</v>
      </c>
      <c r="G4492">
        <v>-359.35160000000002</v>
      </c>
      <c r="H4492" s="1">
        <v>-3.7056810000000001E-7</v>
      </c>
      <c r="I4492">
        <v>139.00049999999999</v>
      </c>
      <c r="J4492">
        <v>-344.03250000000003</v>
      </c>
      <c r="K4492">
        <v>1.1108150000000001</v>
      </c>
      <c r="L4492">
        <v>141.2251</v>
      </c>
      <c r="M4492">
        <v>-0.9990386</v>
      </c>
      <c r="N4492">
        <v>0</v>
      </c>
      <c r="O4492">
        <v>4.2548570000000001E-2</v>
      </c>
      <c r="P4492">
        <v>-0.99375250000000004</v>
      </c>
      <c r="Q4492">
        <v>8.7020520000000004E-2</v>
      </c>
      <c r="R4492">
        <v>-6.9881310000000002E-2</v>
      </c>
      <c r="S4492">
        <v>-3.0079349999999998</v>
      </c>
      <c r="T4492">
        <v>-0.21394879999999999</v>
      </c>
      <c r="U4492">
        <v>-0.426178</v>
      </c>
      <c r="V4492">
        <v>-0.1123291</v>
      </c>
      <c r="W4492">
        <v>9.7210009999999999E-2</v>
      </c>
      <c r="X4492">
        <v>0.98890469999999997</v>
      </c>
      <c r="Y4492">
        <v>-0.18173039999999999</v>
      </c>
      <c r="Z4492">
        <v>-9.4323280000000002E-3</v>
      </c>
      <c r="AA4492">
        <v>0.98330309999999999</v>
      </c>
      <c r="AB4492">
        <v>29</v>
      </c>
      <c r="AC4492">
        <v>-15.319099999999899</v>
      </c>
      <c r="AD4492">
        <v>-1.1108153705681001</v>
      </c>
      <c r="AE4492">
        <v>-2.2246000000000001</v>
      </c>
      <c r="AF4492">
        <v>-2.8597016545885801</v>
      </c>
      <c r="AG4492">
        <v>-1.1108153705681001</v>
      </c>
      <c r="AH4492">
        <v>15.132643073591</v>
      </c>
      <c r="AI4492">
        <v>94.125521053915193</v>
      </c>
      <c r="AJ4492">
        <v>100.70131262320599</v>
      </c>
      <c r="AK4492">
        <v>15.440488681821201</v>
      </c>
      <c r="AL4492">
        <v>84.421467402622497</v>
      </c>
      <c r="AM4492">
        <v>96.480417649385004</v>
      </c>
      <c r="AN4492">
        <v>1.0000000592165399</v>
      </c>
    </row>
    <row r="4493" spans="1:40" x14ac:dyDescent="0.25">
      <c r="A4493" t="str">
        <f>"20190312151117309"</f>
        <v>20190312151117309</v>
      </c>
      <c r="B4493" t="str">
        <f>"1552374677305968"</f>
        <v>1552374677305968</v>
      </c>
      <c r="C4493" t="s">
        <v>40</v>
      </c>
      <c r="D4493">
        <v>5.1462110000000001</v>
      </c>
      <c r="E4493">
        <v>0.47487479999999999</v>
      </c>
      <c r="F4493" t="s">
        <v>42</v>
      </c>
      <c r="G4493">
        <v>-359.76780000000002</v>
      </c>
      <c r="H4493" s="1">
        <v>-2.369921E-7</v>
      </c>
      <c r="I4493">
        <v>138.97020000000001</v>
      </c>
      <c r="J4493">
        <v>-344.32159999999999</v>
      </c>
      <c r="K4493">
        <v>1.110771</v>
      </c>
      <c r="L4493">
        <v>141.2362</v>
      </c>
      <c r="M4493">
        <v>-0.99908509999999995</v>
      </c>
      <c r="N4493">
        <v>0</v>
      </c>
      <c r="O4493">
        <v>4.1446810000000001E-2</v>
      </c>
      <c r="P4493">
        <v>-0.99357309999999999</v>
      </c>
      <c r="Q4493">
        <v>8.735888E-2</v>
      </c>
      <c r="R4493">
        <v>-7.1980249999999996E-2</v>
      </c>
      <c r="S4493">
        <v>-3.0071110000000001</v>
      </c>
      <c r="T4493">
        <v>-0.21228369999999999</v>
      </c>
      <c r="U4493">
        <v>-0.43092350000000001</v>
      </c>
      <c r="V4493">
        <v>-0.113317</v>
      </c>
      <c r="W4493">
        <v>9.7543640000000001E-2</v>
      </c>
      <c r="X4493">
        <v>0.98875900000000005</v>
      </c>
      <c r="Y4493">
        <v>-0.1822143</v>
      </c>
      <c r="Z4493">
        <v>-9.3002380000000006E-3</v>
      </c>
      <c r="AA4493">
        <v>0.9832149</v>
      </c>
      <c r="AB4493">
        <v>30</v>
      </c>
      <c r="AC4493">
        <v>-15.446199999999999</v>
      </c>
      <c r="AD4493">
        <v>-1.1107712369920999</v>
      </c>
      <c r="AE4493">
        <v>-2.2659999999999898</v>
      </c>
      <c r="AF4493">
        <v>-2.88965527231352</v>
      </c>
      <c r="AG4493">
        <v>-1.1107712369920999</v>
      </c>
      <c r="AH4493">
        <v>15.261740723852601</v>
      </c>
      <c r="AI4493">
        <v>94.0903095643651</v>
      </c>
      <c r="AJ4493">
        <v>100.72145518133399</v>
      </c>
      <c r="AK4493">
        <v>15.5725608123982</v>
      </c>
      <c r="AL4493">
        <v>84.402259820099005</v>
      </c>
      <c r="AM4493">
        <v>96.537874684423599</v>
      </c>
      <c r="AN4493">
        <v>0.99999993213722205</v>
      </c>
    </row>
    <row r="4494" spans="1:40" x14ac:dyDescent="0.25">
      <c r="A4494" t="str">
        <f>"20190312151117332"</f>
        <v>20190312151117332</v>
      </c>
      <c r="B4494" t="str">
        <f>"1552374677325897"</f>
        <v>1552374677325897</v>
      </c>
      <c r="C4494" t="s">
        <v>40</v>
      </c>
      <c r="D4494">
        <v>5.1497169999999999</v>
      </c>
      <c r="E4494">
        <v>0.47490290000000002</v>
      </c>
      <c r="F4494" t="s">
        <v>42</v>
      </c>
      <c r="G4494">
        <v>-359.59429999999998</v>
      </c>
      <c r="H4494" s="1">
        <v>-2.8202929999999999E-7</v>
      </c>
      <c r="I4494">
        <v>139.02279999999999</v>
      </c>
      <c r="J4494">
        <v>-344.62419999999997</v>
      </c>
      <c r="K4494">
        <v>1.1107229999999999</v>
      </c>
      <c r="L4494">
        <v>141.24760000000001</v>
      </c>
      <c r="M4494">
        <v>-0.99912939999999995</v>
      </c>
      <c r="N4494">
        <v>0</v>
      </c>
      <c r="O4494">
        <v>4.0366140000000002E-2</v>
      </c>
      <c r="P4494">
        <v>-0.99338139999999997</v>
      </c>
      <c r="Q4494">
        <v>8.8102650000000005E-2</v>
      </c>
      <c r="R4494">
        <v>-7.3697520000000002E-2</v>
      </c>
      <c r="S4494">
        <v>-3.0071110000000001</v>
      </c>
      <c r="T4494">
        <v>-0.21870519999999999</v>
      </c>
      <c r="U4494">
        <v>-0.43580629999999998</v>
      </c>
      <c r="V4494">
        <v>-0.11394319999999999</v>
      </c>
      <c r="W4494">
        <v>9.8287739999999998E-2</v>
      </c>
      <c r="X4494">
        <v>0.98861339999999998</v>
      </c>
      <c r="Y4494">
        <v>-0.18268309999999999</v>
      </c>
      <c r="Z4494">
        <v>-9.5185530000000008E-3</v>
      </c>
      <c r="AA4494">
        <v>0.98312569999999999</v>
      </c>
      <c r="AB4494">
        <v>30</v>
      </c>
      <c r="AC4494">
        <v>-14.9701</v>
      </c>
      <c r="AD4494">
        <v>-1.11072328202929</v>
      </c>
      <c r="AE4494">
        <v>-2.2248000000000099</v>
      </c>
      <c r="AF4494">
        <v>-2.8121586119524902</v>
      </c>
      <c r="AG4494">
        <v>-1.11072328202929</v>
      </c>
      <c r="AH4494">
        <v>14.788433756591299</v>
      </c>
      <c r="AI4494">
        <v>94.219942270598693</v>
      </c>
      <c r="AJ4494">
        <v>100.76677753464099</v>
      </c>
      <c r="AK4494">
        <v>15.094360378668201</v>
      </c>
      <c r="AL4494">
        <v>84.3594205179742</v>
      </c>
      <c r="AM4494">
        <v>96.574647883332005</v>
      </c>
      <c r="AN4494">
        <v>0.99999999366005299</v>
      </c>
    </row>
    <row r="4495" spans="1:40" x14ac:dyDescent="0.25">
      <c r="A4495" t="str">
        <f>"20190312151117355"</f>
        <v>20190312151117355</v>
      </c>
      <c r="B4495" t="str">
        <f>"1552374677345418"</f>
        <v>1552374677345418</v>
      </c>
      <c r="C4495" t="s">
        <v>40</v>
      </c>
      <c r="D4495">
        <v>5.1356809999999999</v>
      </c>
      <c r="E4495">
        <v>0.47501729999999998</v>
      </c>
      <c r="F4495" t="s">
        <v>42</v>
      </c>
      <c r="G4495">
        <v>-360.15030000000002</v>
      </c>
      <c r="H4495" s="1">
        <v>-4.3225149999999999E-6</v>
      </c>
      <c r="I4495">
        <v>138.96950000000001</v>
      </c>
      <c r="J4495">
        <v>-344.91340000000002</v>
      </c>
      <c r="K4495">
        <v>1.110671</v>
      </c>
      <c r="L4495">
        <v>141.25829999999999</v>
      </c>
      <c r="M4495">
        <v>-0.9991679</v>
      </c>
      <c r="N4495">
        <v>0</v>
      </c>
      <c r="O4495">
        <v>3.940432E-2</v>
      </c>
      <c r="P4495">
        <v>-0.99322460000000001</v>
      </c>
      <c r="Q4495">
        <v>8.840133E-2</v>
      </c>
      <c r="R4495">
        <v>-7.5433210000000001E-2</v>
      </c>
      <c r="S4495">
        <v>-3.0063170000000001</v>
      </c>
      <c r="T4495">
        <v>-0.2150706</v>
      </c>
      <c r="U4495">
        <v>-0.44110110000000002</v>
      </c>
      <c r="V4495">
        <v>-0.11470619999999999</v>
      </c>
      <c r="W4495">
        <v>9.8589049999999998E-2</v>
      </c>
      <c r="X4495">
        <v>0.98849520000000002</v>
      </c>
      <c r="Y4495">
        <v>-0.18348829999999999</v>
      </c>
      <c r="Z4495">
        <v>-9.3222470000000005E-3</v>
      </c>
      <c r="AA4495">
        <v>0.98297769999999995</v>
      </c>
      <c r="AB4495">
        <v>30</v>
      </c>
      <c r="AC4495">
        <v>-15.236899999999901</v>
      </c>
      <c r="AD4495">
        <v>-1.1106753225149999</v>
      </c>
      <c r="AE4495">
        <v>-2.2887999999999802</v>
      </c>
      <c r="AF4495">
        <v>-2.8725287636766899</v>
      </c>
      <c r="AG4495">
        <v>-1.1106753225149999</v>
      </c>
      <c r="AH4495">
        <v>15.0566332267703</v>
      </c>
      <c r="AI4495">
        <v>94.1443872648221</v>
      </c>
      <c r="AJ4495">
        <v>100.801183633962</v>
      </c>
      <c r="AK4495">
        <v>15.368383951986599</v>
      </c>
      <c r="AL4495">
        <v>84.342072714200199</v>
      </c>
      <c r="AM4495">
        <v>96.619068892137506</v>
      </c>
      <c r="AN4495">
        <v>1.00000003676069</v>
      </c>
    </row>
    <row r="4496" spans="1:40" x14ac:dyDescent="0.25">
      <c r="A4496" t="str">
        <f>"20190312151117377"</f>
        <v>20190312151117377</v>
      </c>
      <c r="B4496" t="str">
        <f>"1552374677365914"</f>
        <v>1552374677365914</v>
      </c>
      <c r="C4496" t="s">
        <v>40</v>
      </c>
      <c r="D4496">
        <v>5.2753809999999897</v>
      </c>
      <c r="E4496">
        <v>0.47512979999999999</v>
      </c>
      <c r="F4496" t="s">
        <v>42</v>
      </c>
      <c r="G4496">
        <v>-360.1866</v>
      </c>
      <c r="H4496" s="1">
        <v>-4.3027780000000004E-6</v>
      </c>
      <c r="I4496">
        <v>138.99289999999999</v>
      </c>
      <c r="J4496">
        <v>-345.21350000000001</v>
      </c>
      <c r="K4496">
        <v>1.1106199999999999</v>
      </c>
      <c r="L4496">
        <v>141.26910000000001</v>
      </c>
      <c r="M4496">
        <v>-0.99920419999999999</v>
      </c>
      <c r="N4496">
        <v>0</v>
      </c>
      <c r="O4496">
        <v>3.8479289999999999E-2</v>
      </c>
      <c r="P4496">
        <v>-0.99311050000000001</v>
      </c>
      <c r="Q4496">
        <v>8.8856180000000007E-2</v>
      </c>
      <c r="R4496">
        <v>-7.6398519999999998E-2</v>
      </c>
      <c r="S4496">
        <v>-3.0061040000000001</v>
      </c>
      <c r="T4496">
        <v>-0.2186053</v>
      </c>
      <c r="U4496">
        <v>-0.44586179999999997</v>
      </c>
      <c r="V4496">
        <v>-0.1147372</v>
      </c>
      <c r="W4496">
        <v>9.9050280000000004E-2</v>
      </c>
      <c r="X4496">
        <v>0.98844549999999998</v>
      </c>
      <c r="Y4496">
        <v>-0.18409439999999999</v>
      </c>
      <c r="Z4496">
        <v>-9.4296759999999997E-3</v>
      </c>
      <c r="AA4496">
        <v>0.98286340000000005</v>
      </c>
      <c r="AB4496">
        <v>30</v>
      </c>
      <c r="AC4496">
        <v>-14.973099999999899</v>
      </c>
      <c r="AD4496">
        <v>-1.1106243027779901</v>
      </c>
      <c r="AE4496">
        <v>-2.27620000000001</v>
      </c>
      <c r="AF4496">
        <v>-2.8354521611497598</v>
      </c>
      <c r="AG4496">
        <v>-1.1106243027779901</v>
      </c>
      <c r="AH4496">
        <v>14.794857426568299</v>
      </c>
      <c r="AI4496">
        <v>94.216587470139103</v>
      </c>
      <c r="AJ4496">
        <v>100.849249784655</v>
      </c>
      <c r="AK4496">
        <v>15.1050018726438</v>
      </c>
      <c r="AL4496">
        <v>84.315516243487593</v>
      </c>
      <c r="AM4496">
        <v>96.621171799756198</v>
      </c>
      <c r="AN4496">
        <v>1.00000004475108</v>
      </c>
    </row>
    <row r="4497" spans="1:40" x14ac:dyDescent="0.25">
      <c r="A4497" t="str">
        <f>"20190312151117400"</f>
        <v>20190312151117400</v>
      </c>
      <c r="B4497" t="str">
        <f>"1552374677396170"</f>
        <v>1552374677396170</v>
      </c>
      <c r="C4497" t="s">
        <v>40</v>
      </c>
      <c r="D4497">
        <v>5.3107709999999999</v>
      </c>
      <c r="E4497">
        <v>0.47529490000000002</v>
      </c>
      <c r="F4497" t="s">
        <v>42</v>
      </c>
      <c r="G4497">
        <v>-360.35579999999999</v>
      </c>
      <c r="H4497" s="1">
        <v>-4.2269570000000002E-6</v>
      </c>
      <c r="I4497">
        <v>139.01130000000001</v>
      </c>
      <c r="J4497">
        <v>-345.5104</v>
      </c>
      <c r="K4497">
        <v>1.1105670000000001</v>
      </c>
      <c r="L4497">
        <v>141.27959999999999</v>
      </c>
      <c r="M4497">
        <v>-0.99923620000000002</v>
      </c>
      <c r="N4497">
        <v>0</v>
      </c>
      <c r="O4497">
        <v>3.7639190000000003E-2</v>
      </c>
      <c r="P4497">
        <v>-0.99300239999999995</v>
      </c>
      <c r="Q4497">
        <v>8.9336699999999894E-2</v>
      </c>
      <c r="R4497">
        <v>-7.7239500000000003E-2</v>
      </c>
      <c r="S4497">
        <v>-3.0060419999999999</v>
      </c>
      <c r="T4497">
        <v>-0.22048139999999999</v>
      </c>
      <c r="U4497">
        <v>-0.44819639999999999</v>
      </c>
      <c r="V4497">
        <v>-0.11472980000000001</v>
      </c>
      <c r="W4497">
        <v>9.9538509999999997E-2</v>
      </c>
      <c r="X4497">
        <v>0.98839730000000003</v>
      </c>
      <c r="Y4497">
        <v>-0.18401029999999999</v>
      </c>
      <c r="Z4497">
        <v>-9.4457369999999992E-3</v>
      </c>
      <c r="AA4497">
        <v>0.9828789</v>
      </c>
      <c r="AB4497">
        <v>30</v>
      </c>
      <c r="AC4497">
        <v>-14.8453999999999</v>
      </c>
      <c r="AD4497">
        <v>-1.1105712269570001</v>
      </c>
      <c r="AE4497">
        <v>-2.26829999999998</v>
      </c>
      <c r="AF4497">
        <v>-2.8101243359667101</v>
      </c>
      <c r="AG4497">
        <v>-1.1105712269570001</v>
      </c>
      <c r="AH4497">
        <v>14.669275329652599</v>
      </c>
      <c r="AI4497">
        <v>94.252418131589295</v>
      </c>
      <c r="AJ4497">
        <v>100.844503220009</v>
      </c>
      <c r="AK4497">
        <v>14.977242934895999</v>
      </c>
      <c r="AL4497">
        <v>84.287403725859804</v>
      </c>
      <c r="AM4497">
        <v>96.621068556799003</v>
      </c>
      <c r="AN4497">
        <v>1.00000003231417</v>
      </c>
    </row>
    <row r="4498" spans="1:40" x14ac:dyDescent="0.25">
      <c r="A4498" t="str">
        <f>"20190312151117422"</f>
        <v>20190312151117422</v>
      </c>
      <c r="B4498" t="str">
        <f>"1552374677415689"</f>
        <v>1552374677415689</v>
      </c>
      <c r="C4498" t="s">
        <v>40</v>
      </c>
      <c r="D4498">
        <v>5.3110989999999996</v>
      </c>
      <c r="E4498">
        <v>0.47543200000000002</v>
      </c>
      <c r="F4498" t="s">
        <v>42</v>
      </c>
      <c r="G4498">
        <v>-360.71170000000001</v>
      </c>
      <c r="H4498" s="1">
        <v>-4.0752270000000001E-6</v>
      </c>
      <c r="I4498">
        <v>139.00579999999999</v>
      </c>
      <c r="J4498">
        <v>-345.8091</v>
      </c>
      <c r="K4498">
        <v>1.110522</v>
      </c>
      <c r="L4498">
        <v>141.29</v>
      </c>
      <c r="M4498">
        <v>-0.99926539999999997</v>
      </c>
      <c r="N4498">
        <v>0</v>
      </c>
      <c r="O4498">
        <v>3.6857229999999998E-2</v>
      </c>
      <c r="P4498">
        <v>-0.99294389999999999</v>
      </c>
      <c r="Q4498">
        <v>8.9607140000000002E-2</v>
      </c>
      <c r="R4498">
        <v>-7.7674549999999995E-2</v>
      </c>
      <c r="S4498">
        <v>-3.0059200000000001</v>
      </c>
      <c r="T4498">
        <v>-0.21960650000000001</v>
      </c>
      <c r="U4498">
        <v>-0.44960020000000001</v>
      </c>
      <c r="V4498">
        <v>-0.1143768</v>
      </c>
      <c r="W4498">
        <v>9.9816550000000004E-2</v>
      </c>
      <c r="X4498">
        <v>0.98841009999999996</v>
      </c>
      <c r="Y4498">
        <v>-0.18370349999999999</v>
      </c>
      <c r="Z4498">
        <v>-9.3404939999999995E-3</v>
      </c>
      <c r="AA4498">
        <v>0.98293730000000001</v>
      </c>
      <c r="AB4498">
        <v>30</v>
      </c>
      <c r="AC4498">
        <v>-14.9026</v>
      </c>
      <c r="AD4498">
        <v>-1.1105260752269901</v>
      </c>
      <c r="AE4498">
        <v>-2.28419999999999</v>
      </c>
      <c r="AF4498">
        <v>-2.8166645161395598</v>
      </c>
      <c r="AG4498">
        <v>-1.1105260752269901</v>
      </c>
      <c r="AH4498">
        <v>14.7283689024915</v>
      </c>
      <c r="AI4498">
        <v>94.235499982085898</v>
      </c>
      <c r="AJ4498">
        <v>100.826565017709</v>
      </c>
      <c r="AK4498">
        <v>15.036346553871301</v>
      </c>
      <c r="AL4498">
        <v>84.271393063000104</v>
      </c>
      <c r="AM4498">
        <v>96.600792216000499</v>
      </c>
      <c r="AN4498">
        <v>0.99999996090707499</v>
      </c>
    </row>
    <row r="4499" spans="1:40" x14ac:dyDescent="0.25">
      <c r="A4499" t="str">
        <f>"20190312151117444"</f>
        <v>20190312151117444</v>
      </c>
      <c r="B4499" t="str">
        <f>"1552374677435213"</f>
        <v>1552374677435213</v>
      </c>
      <c r="C4499" t="s">
        <v>40</v>
      </c>
      <c r="D4499">
        <v>5.3120390000000004</v>
      </c>
      <c r="E4499">
        <v>0.47552349999999999</v>
      </c>
      <c r="F4499" t="s">
        <v>42</v>
      </c>
      <c r="G4499">
        <v>-361.1431</v>
      </c>
      <c r="H4499" s="1">
        <v>-3.892155E-6</v>
      </c>
      <c r="I4499">
        <v>138.99459999999999</v>
      </c>
      <c r="J4499">
        <v>-346.10419999999999</v>
      </c>
      <c r="K4499">
        <v>1.110474</v>
      </c>
      <c r="L4499">
        <v>141.30009999999999</v>
      </c>
      <c r="M4499">
        <v>-0.99929210000000002</v>
      </c>
      <c r="N4499">
        <v>0</v>
      </c>
      <c r="O4499">
        <v>3.6129519999999998E-2</v>
      </c>
      <c r="P4499">
        <v>-0.99287190000000003</v>
      </c>
      <c r="Q4499">
        <v>9.0374599999999999E-2</v>
      </c>
      <c r="R4499">
        <v>-7.77027E-2</v>
      </c>
      <c r="S4499">
        <v>-3.005798</v>
      </c>
      <c r="T4499">
        <v>-0.2176883</v>
      </c>
      <c r="U4499">
        <v>-0.4499359</v>
      </c>
      <c r="V4499">
        <v>-0.1136741</v>
      </c>
      <c r="W4499">
        <v>0.10059129999999999</v>
      </c>
      <c r="X4499">
        <v>0.98841270000000003</v>
      </c>
      <c r="Y4499">
        <v>-0.18311430000000001</v>
      </c>
      <c r="Z4499">
        <v>-9.1858340000000004E-3</v>
      </c>
      <c r="AA4499">
        <v>0.9830487</v>
      </c>
      <c r="AB4499">
        <v>30</v>
      </c>
      <c r="AC4499">
        <v>-15.0389</v>
      </c>
      <c r="AD4499">
        <v>-1.110477892155</v>
      </c>
      <c r="AE4499">
        <v>-2.3054999999999901</v>
      </c>
      <c r="AF4499">
        <v>-2.8322845714970599</v>
      </c>
      <c r="AG4499">
        <v>-1.110477892155</v>
      </c>
      <c r="AH4499">
        <v>14.866581789548899</v>
      </c>
      <c r="AI4499">
        <v>94.196642971575699</v>
      </c>
      <c r="AJ4499">
        <v>100.78636084474699</v>
      </c>
      <c r="AK4499">
        <v>15.1746581888441</v>
      </c>
      <c r="AL4499">
        <v>84.226779053893694</v>
      </c>
      <c r="AM4499">
        <v>96.560576251736194</v>
      </c>
      <c r="AN4499">
        <v>1.00000003808389</v>
      </c>
    </row>
    <row r="4500" spans="1:40" x14ac:dyDescent="0.25">
      <c r="A4500" t="str">
        <f>"20190312151117466"</f>
        <v>20190312151117466</v>
      </c>
      <c r="B4500" t="str">
        <f>"1552374677455705"</f>
        <v>1552374677455705</v>
      </c>
      <c r="C4500" t="s">
        <v>40</v>
      </c>
      <c r="D4500">
        <v>5.3726250000000002</v>
      </c>
      <c r="E4500">
        <v>0.47561740000000002</v>
      </c>
      <c r="F4500" t="s">
        <v>42</v>
      </c>
      <c r="G4500">
        <v>-361.67399999999998</v>
      </c>
      <c r="H4500" s="1">
        <v>-3.6683379999999999E-6</v>
      </c>
      <c r="I4500">
        <v>138.97229999999999</v>
      </c>
      <c r="J4500">
        <v>-346.39499999999998</v>
      </c>
      <c r="K4500">
        <v>1.1104510000000001</v>
      </c>
      <c r="L4500">
        <v>141.3098</v>
      </c>
      <c r="M4500">
        <v>-0.99931650000000005</v>
      </c>
      <c r="N4500">
        <v>0</v>
      </c>
      <c r="O4500">
        <v>3.5447810000000003E-2</v>
      </c>
      <c r="P4500">
        <v>-0.99289289999999997</v>
      </c>
      <c r="Q4500">
        <v>9.0225700000000006E-2</v>
      </c>
      <c r="R4500">
        <v>-7.7609990000000004E-2</v>
      </c>
      <c r="S4500">
        <v>-3.00589</v>
      </c>
      <c r="T4500">
        <v>-0.21438789999999999</v>
      </c>
      <c r="U4500">
        <v>-0.44937129999999997</v>
      </c>
      <c r="V4500">
        <v>-0.112899</v>
      </c>
      <c r="W4500">
        <v>0.100449</v>
      </c>
      <c r="X4500">
        <v>0.98851599999999995</v>
      </c>
      <c r="Y4500">
        <v>-0.18227940000000001</v>
      </c>
      <c r="Z4500">
        <v>-8.9688570000000002E-3</v>
      </c>
      <c r="AA4500">
        <v>0.98320589999999997</v>
      </c>
      <c r="AB4500">
        <v>30</v>
      </c>
      <c r="AC4500">
        <v>-15.279</v>
      </c>
      <c r="AD4500">
        <v>-1.1104546683380001</v>
      </c>
      <c r="AE4500">
        <v>-2.3374999999999999</v>
      </c>
      <c r="AF4500">
        <v>-2.8628912502863799</v>
      </c>
      <c r="AG4500">
        <v>-1.1104546683380001</v>
      </c>
      <c r="AH4500">
        <v>15.1085520421413</v>
      </c>
      <c r="AI4500">
        <v>94.130354081981693</v>
      </c>
      <c r="AJ4500">
        <v>100.729658209517</v>
      </c>
      <c r="AK4500">
        <v>15.417444687479501</v>
      </c>
      <c r="AL4500">
        <v>84.234973725500396</v>
      </c>
      <c r="AM4500">
        <v>96.515553158441605</v>
      </c>
      <c r="AN4500">
        <v>1.0000000340289901</v>
      </c>
    </row>
    <row r="4501" spans="1:40" x14ac:dyDescent="0.25">
      <c r="A4501" t="str">
        <f>"20190312151117487"</f>
        <v>20190312151117487</v>
      </c>
      <c r="B4501" t="str">
        <f>"1552374677485962"</f>
        <v>1552374677485962</v>
      </c>
      <c r="C4501" t="s">
        <v>40</v>
      </c>
      <c r="D4501">
        <v>5.3076489999999996</v>
      </c>
      <c r="E4501">
        <v>0.4757749</v>
      </c>
      <c r="F4501" t="s">
        <v>42</v>
      </c>
      <c r="G4501">
        <v>-362.0104</v>
      </c>
      <c r="H4501" s="1">
        <v>-3.522846E-6</v>
      </c>
      <c r="I4501">
        <v>138.97909999999999</v>
      </c>
      <c r="J4501">
        <v>-346.68709999999999</v>
      </c>
      <c r="K4501">
        <v>1.110428</v>
      </c>
      <c r="L4501">
        <v>141.31950000000001</v>
      </c>
      <c r="M4501">
        <v>-0.99933959999999999</v>
      </c>
      <c r="N4501">
        <v>0</v>
      </c>
      <c r="O4501">
        <v>3.4789609999999999E-2</v>
      </c>
      <c r="P4501">
        <v>-0.99293949999999997</v>
      </c>
      <c r="Q4501">
        <v>8.9635599999999996E-2</v>
      </c>
      <c r="R4501">
        <v>-7.7697020000000006E-2</v>
      </c>
      <c r="S4501">
        <v>-3.0058289999999999</v>
      </c>
      <c r="T4501">
        <v>-0.2137539</v>
      </c>
      <c r="U4501">
        <v>-0.44862370000000001</v>
      </c>
      <c r="V4501">
        <v>-0.1123296</v>
      </c>
      <c r="W4501">
        <v>9.9864449999999994E-2</v>
      </c>
      <c r="X4501">
        <v>0.98864010000000002</v>
      </c>
      <c r="Y4501">
        <v>-0.18140239999999999</v>
      </c>
      <c r="Z4501">
        <v>-8.8652339999999996E-3</v>
      </c>
      <c r="AA4501">
        <v>0.98336900000000005</v>
      </c>
      <c r="AB4501">
        <v>30</v>
      </c>
      <c r="AC4501">
        <v>-15.3233</v>
      </c>
      <c r="AD4501">
        <v>-1.110431522846</v>
      </c>
      <c r="AE4501">
        <v>-2.34040000000001</v>
      </c>
      <c r="AF4501">
        <v>-2.8574404437295602</v>
      </c>
      <c r="AG4501">
        <v>-1.110431522846</v>
      </c>
      <c r="AH4501">
        <v>15.1548265231153</v>
      </c>
      <c r="AI4501">
        <v>94.118402893088899</v>
      </c>
      <c r="AJ4501">
        <v>100.677753927753</v>
      </c>
      <c r="AK4501">
        <v>15.461784858227499</v>
      </c>
      <c r="AL4501">
        <v>84.268635310537107</v>
      </c>
      <c r="AM4501">
        <v>96.482165918534406</v>
      </c>
      <c r="AN4501">
        <v>1.0000000473689801</v>
      </c>
    </row>
    <row r="4502" spans="1:40" x14ac:dyDescent="0.25">
      <c r="A4502" t="str">
        <f>"20190312151117522"</f>
        <v>20190312151117522</v>
      </c>
      <c r="B4502" t="str">
        <f>"1552374677515245"</f>
        <v>1552374677515245</v>
      </c>
      <c r="C4502" t="s">
        <v>40</v>
      </c>
      <c r="D4502">
        <v>5.2887309999999896</v>
      </c>
      <c r="E4502">
        <v>0.47597679999999998</v>
      </c>
      <c r="F4502" t="s">
        <v>42</v>
      </c>
      <c r="G4502">
        <v>-362.2758</v>
      </c>
      <c r="H4502" s="1">
        <v>-3.4057330000000001E-6</v>
      </c>
      <c r="I4502">
        <v>138.9974</v>
      </c>
      <c r="J4502">
        <v>-347.13389999999998</v>
      </c>
      <c r="K4502">
        <v>1.110395</v>
      </c>
      <c r="L4502">
        <v>141.3339</v>
      </c>
      <c r="M4502">
        <v>-0.99937310000000001</v>
      </c>
      <c r="N4502">
        <v>0</v>
      </c>
      <c r="O4502">
        <v>3.3816869999999999E-2</v>
      </c>
      <c r="P4502">
        <v>-0.99298750000000002</v>
      </c>
      <c r="Q4502">
        <v>8.9437429999999998E-2</v>
      </c>
      <c r="R4502">
        <v>-7.7311989999999997E-2</v>
      </c>
      <c r="S4502">
        <v>-3.005585</v>
      </c>
      <c r="T4502">
        <v>-0.21409819999999999</v>
      </c>
      <c r="U4502">
        <v>-0.4476929</v>
      </c>
      <c r="V4502">
        <v>-0.1109768</v>
      </c>
      <c r="W4502">
        <v>9.9674219999999994E-2</v>
      </c>
      <c r="X4502">
        <v>0.98881200000000002</v>
      </c>
      <c r="Y4502">
        <v>-0.18016260000000001</v>
      </c>
      <c r="Z4502">
        <v>-8.7676379999999995E-3</v>
      </c>
      <c r="AA4502">
        <v>0.98359779999999997</v>
      </c>
      <c r="AB4502">
        <v>30</v>
      </c>
      <c r="AC4502">
        <v>-15.1419</v>
      </c>
      <c r="AD4502">
        <v>-1.1103984057330001</v>
      </c>
      <c r="AE4502">
        <v>-2.3365</v>
      </c>
      <c r="AF4502">
        <v>-2.8323658813266102</v>
      </c>
      <c r="AG4502">
        <v>-1.1103984057330001</v>
      </c>
      <c r="AH4502">
        <v>14.9755599630574</v>
      </c>
      <c r="AI4502">
        <v>94.166964954359202</v>
      </c>
      <c r="AJ4502">
        <v>100.709990083374</v>
      </c>
      <c r="AK4502">
        <v>15.2814487962459</v>
      </c>
      <c r="AL4502">
        <v>84.279588986952206</v>
      </c>
      <c r="AM4502">
        <v>96.403648764397801</v>
      </c>
      <c r="AN4502">
        <v>0.999999985807424</v>
      </c>
    </row>
    <row r="4503" spans="1:40" x14ac:dyDescent="0.25">
      <c r="A4503" t="str">
        <f>"20190312151117544"</f>
        <v>20190312151117544</v>
      </c>
      <c r="B4503" t="str">
        <f>"1552374677535741"</f>
        <v>1552374677535741</v>
      </c>
      <c r="C4503" t="s">
        <v>40</v>
      </c>
      <c r="D4503">
        <v>5.4274040000000001</v>
      </c>
      <c r="E4503">
        <v>0.47613539999999999</v>
      </c>
      <c r="F4503" t="s">
        <v>42</v>
      </c>
      <c r="G4503">
        <v>-362.5806</v>
      </c>
      <c r="H4503" s="1">
        <v>-3.2664569999999999E-6</v>
      </c>
      <c r="I4503">
        <v>139.0455</v>
      </c>
      <c r="J4503">
        <v>-347.4314</v>
      </c>
      <c r="K4503">
        <v>1.1103860000000001</v>
      </c>
      <c r="L4503">
        <v>141.3433</v>
      </c>
      <c r="M4503">
        <v>-0.99939429999999996</v>
      </c>
      <c r="N4503">
        <v>0</v>
      </c>
      <c r="O4503">
        <v>3.3180649999999999E-2</v>
      </c>
      <c r="P4503">
        <v>-0.99295900000000004</v>
      </c>
      <c r="Q4503">
        <v>8.9612380000000005E-2</v>
      </c>
      <c r="R4503">
        <v>-7.7471760000000001E-2</v>
      </c>
      <c r="S4503">
        <v>-3.0060120000000001</v>
      </c>
      <c r="T4503">
        <v>-0.21609100000000001</v>
      </c>
      <c r="U4503">
        <v>-0.4453125</v>
      </c>
      <c r="V4503">
        <v>-0.1105033</v>
      </c>
      <c r="W4503">
        <v>9.9851659999999995E-2</v>
      </c>
      <c r="X4503">
        <v>0.98884709999999998</v>
      </c>
      <c r="Y4503">
        <v>-0.1787492</v>
      </c>
      <c r="Z4503">
        <v>-8.7523700000000006E-3</v>
      </c>
      <c r="AA4503">
        <v>0.9838557</v>
      </c>
      <c r="AB4503">
        <v>30</v>
      </c>
      <c r="AC4503">
        <v>-15.1492</v>
      </c>
      <c r="AD4503">
        <v>-1.1103892664569901</v>
      </c>
      <c r="AE4503">
        <v>-2.2977999999999899</v>
      </c>
      <c r="AF4503">
        <v>-2.78459895523461</v>
      </c>
      <c r="AG4503">
        <v>-1.1103892664569901</v>
      </c>
      <c r="AH4503">
        <v>14.985910566990899</v>
      </c>
      <c r="AI4503">
        <v>94.166557107799306</v>
      </c>
      <c r="AJ4503">
        <v>100.52633270080599</v>
      </c>
      <c r="AK4503">
        <v>15.282816206001</v>
      </c>
      <c r="AL4503">
        <v>84.269371303811198</v>
      </c>
      <c r="AM4503">
        <v>96.376327634589799</v>
      </c>
      <c r="AN4503">
        <v>0.99999996024702698</v>
      </c>
    </row>
    <row r="4504" spans="1:40" x14ac:dyDescent="0.25">
      <c r="A4504" t="str">
        <f>"20190312151117559"</f>
        <v>20190312151117559</v>
      </c>
      <c r="B4504" t="str">
        <f>"1552374677555820"</f>
        <v>1552374677555820</v>
      </c>
      <c r="C4504" t="s">
        <v>40</v>
      </c>
      <c r="D4504">
        <v>5.3783370000000001</v>
      </c>
      <c r="E4504">
        <v>0.47660520000000001</v>
      </c>
      <c r="F4504" t="s">
        <v>42</v>
      </c>
      <c r="G4504">
        <v>-362.99369999999999</v>
      </c>
      <c r="H4504" s="1">
        <v>-3.090221E-6</v>
      </c>
      <c r="I4504">
        <v>139.03989999999999</v>
      </c>
      <c r="J4504">
        <v>-347.63799999999998</v>
      </c>
      <c r="K4504">
        <v>1.1103809999999901</v>
      </c>
      <c r="L4504">
        <v>141.34970000000001</v>
      </c>
      <c r="M4504">
        <v>-0.99940890000000004</v>
      </c>
      <c r="N4504">
        <v>0</v>
      </c>
      <c r="O4504">
        <v>3.2740449999999997E-2</v>
      </c>
      <c r="P4504">
        <v>-0.99293200000000004</v>
      </c>
      <c r="Q4504">
        <v>8.9912480000000003E-2</v>
      </c>
      <c r="R4504">
        <v>-7.7471819999999997E-2</v>
      </c>
      <c r="S4504">
        <v>-3.00589</v>
      </c>
      <c r="T4504">
        <v>-0.21447479999999999</v>
      </c>
      <c r="U4504">
        <v>-0.44488529999999998</v>
      </c>
      <c r="V4504">
        <v>-0.1100652</v>
      </c>
      <c r="W4504">
        <v>0.1001529</v>
      </c>
      <c r="X4504">
        <v>0.98886560000000001</v>
      </c>
      <c r="Y4504">
        <v>-0.1781951</v>
      </c>
      <c r="Z4504">
        <v>-8.6366459999999996E-3</v>
      </c>
      <c r="AA4504">
        <v>0.98395730000000003</v>
      </c>
      <c r="AB4504">
        <v>30</v>
      </c>
      <c r="AC4504">
        <v>-15.355699999999899</v>
      </c>
      <c r="AD4504">
        <v>-1.11038409022099</v>
      </c>
      <c r="AE4504">
        <v>-2.3098000000000201</v>
      </c>
      <c r="AF4504">
        <v>-2.7970399669025299</v>
      </c>
      <c r="AG4504">
        <v>-1.11038409022099</v>
      </c>
      <c r="AH4504">
        <v>15.194148382674101</v>
      </c>
      <c r="AI4504">
        <v>94.110897479691701</v>
      </c>
      <c r="AJ4504">
        <v>100.430610885085</v>
      </c>
      <c r="AK4504">
        <v>15.489303744164401</v>
      </c>
      <c r="AL4504">
        <v>84.252025160876698</v>
      </c>
      <c r="AM4504">
        <v>96.351137259231805</v>
      </c>
      <c r="AN4504">
        <v>1.0000000632463999</v>
      </c>
    </row>
    <row r="4505" spans="1:40" x14ac:dyDescent="0.25">
      <c r="A4505" t="str">
        <f>"20190312151117578"</f>
        <v>20190312151117578</v>
      </c>
      <c r="B4505" t="str">
        <f>"1552374677565580"</f>
        <v>1552374677565580</v>
      </c>
      <c r="C4505" t="s">
        <v>40</v>
      </c>
      <c r="D4505">
        <v>5.2901389999999999</v>
      </c>
      <c r="E4505">
        <v>0.4768308</v>
      </c>
      <c r="F4505" t="s">
        <v>42</v>
      </c>
      <c r="G4505">
        <v>-363.10789999999997</v>
      </c>
      <c r="H4505" s="1">
        <v>-3.034417E-6</v>
      </c>
      <c r="I4505">
        <v>139.07830000000001</v>
      </c>
      <c r="J4505">
        <v>-347.88199999999898</v>
      </c>
      <c r="K4505">
        <v>1.1103829999999999</v>
      </c>
      <c r="L4505">
        <v>141.35720000000001</v>
      </c>
      <c r="M4505">
        <v>-0.99942580000000003</v>
      </c>
      <c r="N4505">
        <v>0</v>
      </c>
      <c r="O4505">
        <v>3.2221310000000003E-2</v>
      </c>
      <c r="P4505">
        <v>-0.9928593</v>
      </c>
      <c r="Q4505">
        <v>9.0189099999999994E-2</v>
      </c>
      <c r="R4505">
        <v>-7.807936E-2</v>
      </c>
      <c r="S4505">
        <v>-3.0064389999999999</v>
      </c>
      <c r="T4505">
        <v>-0.21579429999999999</v>
      </c>
      <c r="U4505">
        <v>-0.44142150000000002</v>
      </c>
      <c r="V4505">
        <v>-0.1101555</v>
      </c>
      <c r="W4505">
        <v>0.10043000000000001</v>
      </c>
      <c r="X4505">
        <v>0.98882740000000002</v>
      </c>
      <c r="Y4505">
        <v>-0.17654729999999999</v>
      </c>
      <c r="Z4505">
        <v>-8.5929990000000005E-3</v>
      </c>
      <c r="AA4505">
        <v>0.98425469999999904</v>
      </c>
      <c r="AB4505">
        <v>30</v>
      </c>
      <c r="AC4505">
        <v>-15.225899999999999</v>
      </c>
      <c r="AD4505">
        <v>-1.11038603441699</v>
      </c>
      <c r="AE4505">
        <v>-2.2788999999999899</v>
      </c>
      <c r="AF4505">
        <v>-2.75401590289826</v>
      </c>
      <c r="AG4505">
        <v>-1.11038603441699</v>
      </c>
      <c r="AH4505">
        <v>15.0661875281425</v>
      </c>
      <c r="AI4505">
        <v>94.146645844690099</v>
      </c>
      <c r="AJ4505">
        <v>100.358984863239</v>
      </c>
      <c r="AK4505">
        <v>15.3560270699163</v>
      </c>
      <c r="AL4505">
        <v>84.236067814640194</v>
      </c>
      <c r="AM4505">
        <v>96.356548791298394</v>
      </c>
      <c r="AN4505">
        <v>1.0000000230355</v>
      </c>
    </row>
    <row r="4506" spans="1:40" x14ac:dyDescent="0.25">
      <c r="A4506" t="str">
        <f>"20190312151117601"</f>
        <v>20190312151117601</v>
      </c>
      <c r="B4506" t="str">
        <f>"1552374677595836"</f>
        <v>1552374677595836</v>
      </c>
      <c r="C4506" t="s">
        <v>40</v>
      </c>
      <c r="D4506">
        <v>5.3407879999999999</v>
      </c>
      <c r="E4506">
        <v>0.47746499999999997</v>
      </c>
      <c r="F4506" t="s">
        <v>42</v>
      </c>
      <c r="G4506">
        <v>-363.40640000000002</v>
      </c>
      <c r="H4506" s="1">
        <v>-2.906813E-6</v>
      </c>
      <c r="I4506">
        <v>139.07579999999999</v>
      </c>
      <c r="J4506">
        <v>-348.18950000000001</v>
      </c>
      <c r="K4506">
        <v>1.1103809999999901</v>
      </c>
      <c r="L4506">
        <v>141.3664</v>
      </c>
      <c r="M4506">
        <v>-0.99944659999999996</v>
      </c>
      <c r="N4506">
        <v>0</v>
      </c>
      <c r="O4506">
        <v>3.1567310000000001E-2</v>
      </c>
      <c r="P4506">
        <v>-0.99279759999999995</v>
      </c>
      <c r="Q4506">
        <v>8.995148E-2</v>
      </c>
      <c r="R4506">
        <v>-7.9131259999999995E-2</v>
      </c>
      <c r="S4506">
        <v>-3.006348</v>
      </c>
      <c r="T4506">
        <v>-0.21502969999999999</v>
      </c>
      <c r="U4506">
        <v>-0.44178770000000001</v>
      </c>
      <c r="V4506">
        <v>-0.1105561</v>
      </c>
      <c r="W4506">
        <v>0.1001923</v>
      </c>
      <c r="X4506">
        <v>0.98880679999999999</v>
      </c>
      <c r="Y4506">
        <v>-0.17603160000000001</v>
      </c>
      <c r="Z4506">
        <v>-8.4979830000000006E-3</v>
      </c>
      <c r="AA4506">
        <v>0.9843478</v>
      </c>
      <c r="AB4506">
        <v>30</v>
      </c>
      <c r="AC4506">
        <v>-15.216900000000001</v>
      </c>
      <c r="AD4506">
        <v>-1.1103839068129999</v>
      </c>
      <c r="AE4506">
        <v>-2.2906000000000102</v>
      </c>
      <c r="AF4506">
        <v>-2.7554942790494201</v>
      </c>
      <c r="AG4506">
        <v>-1.1103839068129999</v>
      </c>
      <c r="AH4506">
        <v>15.058597757777701</v>
      </c>
      <c r="AI4506">
        <v>94.148581369518993</v>
      </c>
      <c r="AJ4506">
        <v>100.369535693665</v>
      </c>
      <c r="AK4506">
        <v>15.3488458058882</v>
      </c>
      <c r="AL4506">
        <v>84.249756033891998</v>
      </c>
      <c r="AM4506">
        <v>96.379607075117505</v>
      </c>
      <c r="AN4506">
        <v>1.0000000179763699</v>
      </c>
    </row>
    <row r="4507" spans="1:40" x14ac:dyDescent="0.25">
      <c r="A4507" t="str">
        <f>"20190312151117623"</f>
        <v>20190312151117623</v>
      </c>
      <c r="B4507" t="str">
        <f>"1552374677615356"</f>
        <v>1552374677615356</v>
      </c>
      <c r="C4507" t="s">
        <v>40</v>
      </c>
      <c r="D4507">
        <v>5.3414609999999998</v>
      </c>
      <c r="E4507">
        <v>0.47779359999999998</v>
      </c>
      <c r="F4507" t="s">
        <v>42</v>
      </c>
      <c r="G4507">
        <v>-363.58879999999999</v>
      </c>
      <c r="H4507" s="1">
        <v>-2.8223250000000001E-6</v>
      </c>
      <c r="I4507">
        <v>139.11089999999999</v>
      </c>
      <c r="J4507">
        <v>-348.48509999999999</v>
      </c>
      <c r="K4507">
        <v>1.1103799999999999</v>
      </c>
      <c r="L4507">
        <v>141.375</v>
      </c>
      <c r="M4507">
        <v>-0.99946639999999998</v>
      </c>
      <c r="N4507">
        <v>0</v>
      </c>
      <c r="O4507">
        <v>3.0937610000000001E-2</v>
      </c>
      <c r="P4507">
        <v>-0.99265349999999997</v>
      </c>
      <c r="Q4507">
        <v>9.0625129999999998E-2</v>
      </c>
      <c r="R4507">
        <v>-8.0164340000000001E-2</v>
      </c>
      <c r="S4507">
        <v>-3.0063170000000001</v>
      </c>
      <c r="T4507">
        <v>-0.2167752</v>
      </c>
      <c r="U4507">
        <v>-0.44030760000000002</v>
      </c>
      <c r="V4507">
        <v>-0.110961</v>
      </c>
      <c r="W4507">
        <v>0.100865</v>
      </c>
      <c r="X4507">
        <v>0.98869300000000004</v>
      </c>
      <c r="Y4507">
        <v>-0.17493429999999999</v>
      </c>
      <c r="Z4507">
        <v>-8.4827269999999903E-3</v>
      </c>
      <c r="AA4507">
        <v>0.98454359999999996</v>
      </c>
      <c r="AB4507">
        <v>30</v>
      </c>
      <c r="AC4507">
        <v>-15.1037</v>
      </c>
      <c r="AD4507">
        <v>-1.1103828223250001</v>
      </c>
      <c r="AE4507">
        <v>-2.2641000000000102</v>
      </c>
      <c r="AF4507">
        <v>-2.7159575565812499</v>
      </c>
      <c r="AG4507">
        <v>-1.1103828223250001</v>
      </c>
      <c r="AH4507">
        <v>14.947407543596499</v>
      </c>
      <c r="AI4507">
        <v>94.180272335458397</v>
      </c>
      <c r="AJ4507">
        <v>100.29834218206101</v>
      </c>
      <c r="AK4507">
        <v>15.2326743461426</v>
      </c>
      <c r="AL4507">
        <v>84.211016638242498</v>
      </c>
      <c r="AM4507">
        <v>96.403508874540094</v>
      </c>
      <c r="AN4507">
        <v>0.99999996999749896</v>
      </c>
    </row>
    <row r="4508" spans="1:40" x14ac:dyDescent="0.25">
      <c r="A4508" t="str">
        <f>"20190312151117645"</f>
        <v>20190312151117645</v>
      </c>
      <c r="B4508" t="str">
        <f>"1552374677635851"</f>
        <v>1552374677635851</v>
      </c>
      <c r="C4508" t="s">
        <v>40</v>
      </c>
      <c r="D4508">
        <v>5.3235539999999997</v>
      </c>
      <c r="E4508">
        <v>0.47807820000000001</v>
      </c>
      <c r="F4508" t="s">
        <v>42</v>
      </c>
      <c r="G4508">
        <v>-363.96170000000001</v>
      </c>
      <c r="H4508" s="1">
        <v>-2.6636109999999999E-6</v>
      </c>
      <c r="I4508">
        <v>139.10380000000001</v>
      </c>
      <c r="J4508">
        <v>-348.77929999999998</v>
      </c>
      <c r="K4508">
        <v>1.1103829999999999</v>
      </c>
      <c r="L4508">
        <v>141.3835</v>
      </c>
      <c r="M4508">
        <v>-0.99948550000000003</v>
      </c>
      <c r="N4508">
        <v>0</v>
      </c>
      <c r="O4508">
        <v>3.030975E-2</v>
      </c>
      <c r="P4508">
        <v>-0.99254869999999995</v>
      </c>
      <c r="Q4508">
        <v>9.1409000000000004E-2</v>
      </c>
      <c r="R4508">
        <v>-8.0570749999999997E-2</v>
      </c>
      <c r="S4508">
        <v>-3.0062869999999999</v>
      </c>
      <c r="T4508">
        <v>-0.2156892</v>
      </c>
      <c r="U4508">
        <v>-0.4411774</v>
      </c>
      <c r="V4508">
        <v>-0.1107433</v>
      </c>
      <c r="W4508">
        <v>0.10164869999999999</v>
      </c>
      <c r="X4508">
        <v>0.98863710000000005</v>
      </c>
      <c r="Y4508">
        <v>-0.174603799999999</v>
      </c>
      <c r="Z4508">
        <v>-8.3836840000000006E-3</v>
      </c>
      <c r="AA4508">
        <v>0.98460309999999995</v>
      </c>
      <c r="AB4508">
        <v>30</v>
      </c>
      <c r="AC4508">
        <v>-15.182399999999999</v>
      </c>
      <c r="AD4508">
        <v>-1.1103856636110001</v>
      </c>
      <c r="AE4508">
        <v>-2.2796999999999898</v>
      </c>
      <c r="AF4508">
        <v>-2.7246002025119398</v>
      </c>
      <c r="AG4508">
        <v>-1.1103856636110001</v>
      </c>
      <c r="AH4508">
        <v>15.027712986821401</v>
      </c>
      <c r="AI4508">
        <v>94.158311082543605</v>
      </c>
      <c r="AJ4508">
        <v>100.276384230587</v>
      </c>
      <c r="AK4508">
        <v>15.3130193038395</v>
      </c>
      <c r="AL4508">
        <v>84.165881698333706</v>
      </c>
      <c r="AM4508">
        <v>96.391407934947907</v>
      </c>
      <c r="AN4508">
        <v>0.99999992610149202</v>
      </c>
    </row>
    <row r="4509" spans="1:40" x14ac:dyDescent="0.25">
      <c r="A4509" t="str">
        <f>"20190312151117667"</f>
        <v>20190312151117667</v>
      </c>
      <c r="B4509" t="str">
        <f>"1552374677655948"</f>
        <v>1552374677655948</v>
      </c>
      <c r="C4509" t="s">
        <v>40</v>
      </c>
      <c r="D4509">
        <v>5.2728650000000004</v>
      </c>
      <c r="E4509">
        <v>0.47839029999999999</v>
      </c>
      <c r="F4509" t="s">
        <v>42</v>
      </c>
      <c r="G4509">
        <v>-364.60829999999999</v>
      </c>
      <c r="H4509" s="1">
        <v>-2.3931099999999999E-6</v>
      </c>
      <c r="I4509">
        <v>139.06489999999999</v>
      </c>
      <c r="J4509">
        <v>-349.08030000000002</v>
      </c>
      <c r="K4509">
        <v>1.1103730000000001</v>
      </c>
      <c r="L4509">
        <v>141.392</v>
      </c>
      <c r="M4509">
        <v>-0.99950490000000003</v>
      </c>
      <c r="N4509">
        <v>0</v>
      </c>
      <c r="O4509">
        <v>2.9665839999999999E-2</v>
      </c>
      <c r="P4509">
        <v>-0.99249229999999999</v>
      </c>
      <c r="Q4509">
        <v>9.1685260000000005E-2</v>
      </c>
      <c r="R4509">
        <v>-8.0950679999999997E-2</v>
      </c>
      <c r="S4509">
        <v>-3.006195</v>
      </c>
      <c r="T4509">
        <v>-0.21088109999999999</v>
      </c>
      <c r="U4509">
        <v>-0.44032290000000002</v>
      </c>
      <c r="V4509">
        <v>-0.11048470000000001</v>
      </c>
      <c r="W4509">
        <v>0.10192619999999999</v>
      </c>
      <c r="X4509">
        <v>0.98863760000000001</v>
      </c>
      <c r="Y4509">
        <v>-0.17372609999999999</v>
      </c>
      <c r="Z4509">
        <v>-8.1221699999999997E-3</v>
      </c>
      <c r="AA4509">
        <v>0.98476050000000004</v>
      </c>
      <c r="AB4509">
        <v>30</v>
      </c>
      <c r="AC4509">
        <v>-15.527999999999899</v>
      </c>
      <c r="AD4509">
        <v>-1.11037539311</v>
      </c>
      <c r="AE4509">
        <v>-2.3271000000000002</v>
      </c>
      <c r="AF4509">
        <v>-2.77288476488153</v>
      </c>
      <c r="AG4509">
        <v>-1.11037539311</v>
      </c>
      <c r="AH4509">
        <v>15.3752332283737</v>
      </c>
      <c r="AI4509">
        <v>94.065282898016605</v>
      </c>
      <c r="AJ4509">
        <v>100.22325759172401</v>
      </c>
      <c r="AK4509">
        <v>15.6626824094669</v>
      </c>
      <c r="AL4509">
        <v>84.149899903192903</v>
      </c>
      <c r="AM4509">
        <v>96.376603044917701</v>
      </c>
      <c r="AN4509">
        <v>1.0000000616571401</v>
      </c>
    </row>
    <row r="4510" spans="1:40" x14ac:dyDescent="0.25">
      <c r="A4510" t="str">
        <f>"20190312151117690"</f>
        <v>20190312151117690</v>
      </c>
      <c r="B4510" t="str">
        <f>"1552374677685229"</f>
        <v>1552374677685229</v>
      </c>
      <c r="C4510" t="s">
        <v>40</v>
      </c>
      <c r="D4510">
        <v>5.3806570000000002</v>
      </c>
      <c r="E4510">
        <v>0.47880250000000002</v>
      </c>
      <c r="F4510" t="s">
        <v>42</v>
      </c>
      <c r="G4510">
        <v>-365.12979999999999</v>
      </c>
      <c r="H4510" s="1">
        <v>-2.1719130000000001E-6</v>
      </c>
      <c r="I4510">
        <v>139.05090000000001</v>
      </c>
      <c r="J4510">
        <v>-349.37819999999999</v>
      </c>
      <c r="K4510">
        <v>1.110371</v>
      </c>
      <c r="L4510">
        <v>141.40010000000001</v>
      </c>
      <c r="M4510">
        <v>-0.99952370000000001</v>
      </c>
      <c r="N4510">
        <v>0</v>
      </c>
      <c r="O4510">
        <v>2.902801E-2</v>
      </c>
      <c r="P4510">
        <v>-0.9924577</v>
      </c>
      <c r="Q4510">
        <v>9.1175030000000004E-2</v>
      </c>
      <c r="R4510">
        <v>-8.1945110000000002E-2</v>
      </c>
      <c r="S4510">
        <v>-3.0061339999999999</v>
      </c>
      <c r="T4510">
        <v>-0.20797840000000001</v>
      </c>
      <c r="U4510">
        <v>-0.43847659999999999</v>
      </c>
      <c r="V4510">
        <v>-0.110845899999999</v>
      </c>
      <c r="W4510">
        <v>0.1014163</v>
      </c>
      <c r="X4510">
        <v>0.98864949999999996</v>
      </c>
      <c r="Y4510">
        <v>-0.17252590000000001</v>
      </c>
      <c r="Z4510">
        <v>-7.9260130000000008E-3</v>
      </c>
      <c r="AA4510">
        <v>0.98497310000000005</v>
      </c>
      <c r="AB4510">
        <v>30</v>
      </c>
      <c r="AC4510">
        <v>-15.7515999999999</v>
      </c>
      <c r="AD4510">
        <v>-1.1103731719129999</v>
      </c>
      <c r="AE4510">
        <v>-2.34919999999999</v>
      </c>
      <c r="AF4510">
        <v>-2.79190092239388</v>
      </c>
      <c r="AG4510">
        <v>-1.1103731719129999</v>
      </c>
      <c r="AH4510">
        <v>15.6009275239771</v>
      </c>
      <c r="AI4510">
        <v>94.007622821981101</v>
      </c>
      <c r="AJ4510">
        <v>100.146099569171</v>
      </c>
      <c r="AK4510">
        <v>15.8876234519124</v>
      </c>
      <c r="AL4510">
        <v>84.179266586151499</v>
      </c>
      <c r="AM4510">
        <v>96.397200722791993</v>
      </c>
      <c r="AN4510">
        <v>0.99999995665137398</v>
      </c>
    </row>
    <row r="4511" spans="1:40" x14ac:dyDescent="0.25">
      <c r="A4511" t="str">
        <f>"20190312151117713"</f>
        <v>20190312151117713</v>
      </c>
      <c r="B4511" t="str">
        <f>"1552374677705724"</f>
        <v>1552374677705724</v>
      </c>
      <c r="C4511" t="s">
        <v>40</v>
      </c>
      <c r="D4511">
        <v>5.4996269999999896</v>
      </c>
      <c r="E4511">
        <v>0.47906860000000001</v>
      </c>
      <c r="F4511" t="s">
        <v>42</v>
      </c>
      <c r="G4511">
        <v>-365.52429999999998</v>
      </c>
      <c r="H4511" s="1">
        <v>-2.0033500000000001E-6</v>
      </c>
      <c r="I4511">
        <v>139.0471</v>
      </c>
      <c r="J4511">
        <v>-349.68830000000003</v>
      </c>
      <c r="K4511">
        <v>1.1103780000000001</v>
      </c>
      <c r="L4511">
        <v>141.4084</v>
      </c>
      <c r="M4511">
        <v>-0.99954270000000001</v>
      </c>
      <c r="N4511">
        <v>0</v>
      </c>
      <c r="O4511">
        <v>2.8367320000000001E-2</v>
      </c>
      <c r="P4511">
        <v>-0.99246679999999998</v>
      </c>
      <c r="Q4511">
        <v>9.0911889999999995E-2</v>
      </c>
      <c r="R4511">
        <v>-8.2128599999999996E-2</v>
      </c>
      <c r="S4511">
        <v>-3.005585</v>
      </c>
      <c r="T4511">
        <v>-0.20669660000000001</v>
      </c>
      <c r="U4511">
        <v>-0.43800349999999999</v>
      </c>
      <c r="V4511">
        <v>-0.1103741</v>
      </c>
      <c r="W4511">
        <v>0.10115680000000001</v>
      </c>
      <c r="X4511">
        <v>0.98872890000000002</v>
      </c>
      <c r="Y4511">
        <v>-0.17175770000000001</v>
      </c>
      <c r="Z4511">
        <v>-7.8073619999999896E-3</v>
      </c>
      <c r="AA4511">
        <v>0.98510830000000005</v>
      </c>
      <c r="AB4511">
        <v>30</v>
      </c>
      <c r="AC4511">
        <v>-15.835999999999901</v>
      </c>
      <c r="AD4511">
        <v>-1.11038000335</v>
      </c>
      <c r="AE4511">
        <v>-2.3613</v>
      </c>
      <c r="AF4511">
        <v>-2.7961509929636801</v>
      </c>
      <c r="AG4511">
        <v>-1.11038000335</v>
      </c>
      <c r="AH4511">
        <v>15.6871910178604</v>
      </c>
      <c r="AI4511">
        <v>93.986171069846407</v>
      </c>
      <c r="AJ4511">
        <v>100.10650182968099</v>
      </c>
      <c r="AK4511">
        <v>15.9730825502823</v>
      </c>
      <c r="AL4511">
        <v>84.194211887927196</v>
      </c>
      <c r="AM4511">
        <v>96.369688886859606</v>
      </c>
      <c r="AN4511">
        <v>0.99999998891612996</v>
      </c>
    </row>
    <row r="4512" spans="1:40" x14ac:dyDescent="0.25">
      <c r="A4512" t="str">
        <f>"20190312151117735"</f>
        <v>20190312151117735</v>
      </c>
      <c r="B4512" t="str">
        <f>"1552374677725244"</f>
        <v>1552374677725244</v>
      </c>
      <c r="C4512" t="s">
        <v>40</v>
      </c>
      <c r="D4512">
        <v>5.5202410000000004</v>
      </c>
      <c r="E4512">
        <v>0.47928270000000001</v>
      </c>
      <c r="F4512" t="s">
        <v>42</v>
      </c>
      <c r="G4512">
        <v>-365.91399999999999</v>
      </c>
      <c r="H4512" s="1">
        <v>-1.8356339999999999E-6</v>
      </c>
      <c r="I4512">
        <v>139.05000000000001</v>
      </c>
      <c r="J4512">
        <v>-349.98110000000003</v>
      </c>
      <c r="K4512">
        <v>1.1103769999999999</v>
      </c>
      <c r="L4512">
        <v>141.4161</v>
      </c>
      <c r="M4512">
        <v>-0.9995598</v>
      </c>
      <c r="N4512">
        <v>0</v>
      </c>
      <c r="O4512">
        <v>2.775058E-2</v>
      </c>
      <c r="P4512">
        <v>-0.99242509999999995</v>
      </c>
      <c r="Q4512">
        <v>9.0940119999999999E-2</v>
      </c>
      <c r="R4512">
        <v>-8.2595619999999995E-2</v>
      </c>
      <c r="S4512">
        <v>-3.0054630000000002</v>
      </c>
      <c r="T4512">
        <v>-0.20567479999999999</v>
      </c>
      <c r="U4512">
        <v>-0.43684390000000001</v>
      </c>
      <c r="V4512">
        <v>-0.11022899999999999</v>
      </c>
      <c r="W4512">
        <v>0.1011881</v>
      </c>
      <c r="X4512">
        <v>0.98874189999999995</v>
      </c>
      <c r="Y4512">
        <v>-0.17079140000000001</v>
      </c>
      <c r="Z4512">
        <v>-7.6945549999999996E-3</v>
      </c>
      <c r="AA4512">
        <v>0.98527719999999996</v>
      </c>
      <c r="AB4512">
        <v>30</v>
      </c>
      <c r="AC4512">
        <v>-15.932899999999901</v>
      </c>
      <c r="AD4512">
        <v>-1.1103788356340001</v>
      </c>
      <c r="AE4512">
        <v>-2.3660999999999799</v>
      </c>
      <c r="AF4512">
        <v>-2.7940826626696702</v>
      </c>
      <c r="AG4512">
        <v>-1.1103788356340001</v>
      </c>
      <c r="AH4512">
        <v>15.786083034846399</v>
      </c>
      <c r="AI4512">
        <v>93.962123644199906</v>
      </c>
      <c r="AJ4512">
        <v>100.03720393301199</v>
      </c>
      <c r="AK4512">
        <v>16.069855527275902</v>
      </c>
      <c r="AL4512">
        <v>84.192409371001204</v>
      </c>
      <c r="AM4512">
        <v>96.361300902900396</v>
      </c>
      <c r="AN4512">
        <v>1.00000000441911</v>
      </c>
    </row>
    <row r="4513" spans="1:40" x14ac:dyDescent="0.25">
      <c r="A4513" t="str">
        <f>"20190312151117757"</f>
        <v>20190312151117757</v>
      </c>
      <c r="B4513" t="str">
        <f>"1552374677745740"</f>
        <v>1552374677745740</v>
      </c>
      <c r="C4513" t="s">
        <v>40</v>
      </c>
      <c r="D4513">
        <v>5.3772970000000004</v>
      </c>
      <c r="E4513">
        <v>0.47957100000000003</v>
      </c>
      <c r="F4513" t="s">
        <v>42</v>
      </c>
      <c r="G4513">
        <v>-366.11770000000001</v>
      </c>
      <c r="H4513" s="1">
        <v>-1.744532E-6</v>
      </c>
      <c r="I4513">
        <v>139.071</v>
      </c>
      <c r="J4513">
        <v>-350.2808</v>
      </c>
      <c r="K4513">
        <v>1.1103670000000001</v>
      </c>
      <c r="L4513">
        <v>141.4238</v>
      </c>
      <c r="M4513">
        <v>-0.99957680000000004</v>
      </c>
      <c r="N4513">
        <v>0</v>
      </c>
      <c r="O4513">
        <v>2.7130850000000001E-2</v>
      </c>
      <c r="P4513">
        <v>-0.99237699999999995</v>
      </c>
      <c r="Q4513">
        <v>9.0932260000000001E-2</v>
      </c>
      <c r="R4513">
        <v>-8.3183289999999993E-2</v>
      </c>
      <c r="S4513">
        <v>-3.005493</v>
      </c>
      <c r="T4513">
        <v>-0.2068132</v>
      </c>
      <c r="U4513">
        <v>-0.43676759999999898</v>
      </c>
      <c r="V4513">
        <v>-0.1101993</v>
      </c>
      <c r="W4513">
        <v>0.1011838</v>
      </c>
      <c r="X4513">
        <v>0.9887456</v>
      </c>
      <c r="Y4513">
        <v>-0.17015250000000001</v>
      </c>
      <c r="Z4513">
        <v>-7.672735E-3</v>
      </c>
      <c r="AA4513">
        <v>0.98538789999999998</v>
      </c>
      <c r="AB4513">
        <v>30</v>
      </c>
      <c r="AC4513">
        <v>-15.8369</v>
      </c>
      <c r="AD4513">
        <v>-1.1103687445320001</v>
      </c>
      <c r="AE4513">
        <v>-2.3527999999999998</v>
      </c>
      <c r="AF4513">
        <v>-2.7683114479710502</v>
      </c>
      <c r="AG4513">
        <v>-1.1103687445320001</v>
      </c>
      <c r="AH4513">
        <v>15.691760894718399</v>
      </c>
      <c r="AI4513">
        <v>93.986220875216503</v>
      </c>
      <c r="AJ4513">
        <v>100.005066098584</v>
      </c>
      <c r="AK4513">
        <v>15.9727213397973</v>
      </c>
      <c r="AL4513">
        <v>84.192656721876702</v>
      </c>
      <c r="AM4513">
        <v>96.359577361337898</v>
      </c>
      <c r="AN4513">
        <v>0.99999995431114397</v>
      </c>
    </row>
    <row r="4514" spans="1:40" x14ac:dyDescent="0.25">
      <c r="A4514" t="str">
        <f>"20190312151117779"</f>
        <v>20190312151117779</v>
      </c>
      <c r="B4514" t="str">
        <f>"1552374677775582"</f>
        <v>1552374677775582</v>
      </c>
      <c r="C4514" t="s">
        <v>40</v>
      </c>
      <c r="D4514">
        <v>5.3498720000000004</v>
      </c>
      <c r="E4514">
        <v>0.47996460000000002</v>
      </c>
      <c r="F4514" t="s">
        <v>42</v>
      </c>
      <c r="G4514">
        <v>-366.47410000000002</v>
      </c>
      <c r="H4514" s="1">
        <v>-1.5911479999999999E-6</v>
      </c>
      <c r="I4514">
        <v>139.0736</v>
      </c>
      <c r="J4514">
        <v>-350.58300000000003</v>
      </c>
      <c r="K4514">
        <v>1.1103510000000001</v>
      </c>
      <c r="L4514">
        <v>141.4314</v>
      </c>
      <c r="M4514">
        <v>-0.99959299999999995</v>
      </c>
      <c r="N4514">
        <v>0</v>
      </c>
      <c r="O4514">
        <v>2.6523169999999999E-2</v>
      </c>
      <c r="P4514">
        <v>-0.99236610000000003</v>
      </c>
      <c r="Q4514">
        <v>9.0836230000000004E-2</v>
      </c>
      <c r="R4514">
        <v>-8.3417329999999998E-2</v>
      </c>
      <c r="S4514">
        <v>-3.0053709999999998</v>
      </c>
      <c r="T4514">
        <v>-0.20607719999999999</v>
      </c>
      <c r="U4514">
        <v>-0.43615720000000002</v>
      </c>
      <c r="V4514">
        <v>-0.10982840000000001</v>
      </c>
      <c r="W4514">
        <v>0.10109369999999999</v>
      </c>
      <c r="X4514">
        <v>0.98879609999999996</v>
      </c>
      <c r="Y4514">
        <v>-0.16936950000000001</v>
      </c>
      <c r="Z4514">
        <v>-7.5778009999999899E-3</v>
      </c>
      <c r="AA4514">
        <v>0.9855235</v>
      </c>
      <c r="AB4514">
        <v>30</v>
      </c>
      <c r="AC4514">
        <v>-15.8910999999999</v>
      </c>
      <c r="AD4514">
        <v>-1.1103525911479999</v>
      </c>
      <c r="AE4514">
        <v>-2.3577999999999899</v>
      </c>
      <c r="AF4514">
        <v>-2.76526630919762</v>
      </c>
      <c r="AG4514">
        <v>-1.1103525911479999</v>
      </c>
      <c r="AH4514">
        <v>15.747741843803</v>
      </c>
      <c r="AI4514">
        <v>93.972592923899498</v>
      </c>
      <c r="AJ4514">
        <v>99.959466895114602</v>
      </c>
      <c r="AK4514">
        <v>16.027194196630902</v>
      </c>
      <c r="AL4514">
        <v>84.197845773367504</v>
      </c>
      <c r="AM4514">
        <v>96.338026219500307</v>
      </c>
      <c r="AN4514">
        <v>0.99999997050072897</v>
      </c>
    </row>
    <row r="4515" spans="1:40" x14ac:dyDescent="0.25">
      <c r="A4515" t="str">
        <f>"20190312151117801"</f>
        <v>20190312151117801</v>
      </c>
      <c r="B4515" t="str">
        <f>"1552374677796077"</f>
        <v>1552374677796077</v>
      </c>
      <c r="C4515" t="s">
        <v>40</v>
      </c>
      <c r="D4515">
        <v>5.3486409999999998</v>
      </c>
      <c r="E4515">
        <v>0.48026659999999999</v>
      </c>
      <c r="F4515" t="s">
        <v>42</v>
      </c>
      <c r="G4515">
        <v>-366.76429999999999</v>
      </c>
      <c r="H4515" s="1">
        <v>-1.4626819999999999E-6</v>
      </c>
      <c r="I4515">
        <v>139.09610000000001</v>
      </c>
      <c r="J4515">
        <v>-350.88549999999998</v>
      </c>
      <c r="K4515">
        <v>1.110336</v>
      </c>
      <c r="L4515">
        <v>141.43870000000001</v>
      </c>
      <c r="M4515">
        <v>-0.99960859999999996</v>
      </c>
      <c r="N4515">
        <v>0</v>
      </c>
      <c r="O4515">
        <v>2.593633E-2</v>
      </c>
      <c r="P4515">
        <v>-0.99231020000000003</v>
      </c>
      <c r="Q4515">
        <v>9.1179319999999994E-2</v>
      </c>
      <c r="R4515">
        <v>-8.370988E-2</v>
      </c>
      <c r="S4515">
        <v>-3.005493</v>
      </c>
      <c r="T4515">
        <v>-0.20623639999999999</v>
      </c>
      <c r="U4515">
        <v>-0.43373109999999998</v>
      </c>
      <c r="V4515">
        <v>-0.1095349</v>
      </c>
      <c r="W4515">
        <v>0.1014428</v>
      </c>
      <c r="X4515">
        <v>0.98879289999999997</v>
      </c>
      <c r="Y4515">
        <v>-0.16800970000000001</v>
      </c>
      <c r="Z4515">
        <v>-7.4973569999999996E-3</v>
      </c>
      <c r="AA4515">
        <v>0.98575679999999999</v>
      </c>
      <c r="AB4515">
        <v>30</v>
      </c>
      <c r="AC4515">
        <v>-15.8788</v>
      </c>
      <c r="AD4515">
        <v>-1.110337462682</v>
      </c>
      <c r="AE4515">
        <v>-2.3426</v>
      </c>
      <c r="AF4515">
        <v>-2.7405574712200602</v>
      </c>
      <c r="AG4515">
        <v>-1.110337462682</v>
      </c>
      <c r="AH4515">
        <v>15.737385341025799</v>
      </c>
      <c r="AI4515">
        <v>93.976122909132698</v>
      </c>
      <c r="AJ4515">
        <v>99.878602161408395</v>
      </c>
      <c r="AK4515">
        <v>16.012769963564399</v>
      </c>
      <c r="AL4515">
        <v>84.177740440462301</v>
      </c>
      <c r="AM4515">
        <v>96.321246369639198</v>
      </c>
      <c r="AN4515">
        <v>0.99999996754012899</v>
      </c>
    </row>
    <row r="4516" spans="1:40" x14ac:dyDescent="0.25">
      <c r="A4516" t="str">
        <f>"20190312151117824"</f>
        <v>20190312151117824</v>
      </c>
      <c r="B4516" t="str">
        <f>"1552374677815598"</f>
        <v>1552374677815598</v>
      </c>
      <c r="C4516" t="s">
        <v>40</v>
      </c>
      <c r="D4516">
        <v>5.3565259999999997</v>
      </c>
      <c r="E4516">
        <v>0.48051450000000001</v>
      </c>
      <c r="F4516" t="s">
        <v>42</v>
      </c>
      <c r="G4516">
        <v>-367.10899999999998</v>
      </c>
      <c r="H4516" s="1">
        <v>-1.313063E-6</v>
      </c>
      <c r="I4516">
        <v>139.10589999999999</v>
      </c>
      <c r="J4516">
        <v>-351.19099999999997</v>
      </c>
      <c r="K4516">
        <v>1.1103229999999999</v>
      </c>
      <c r="L4516">
        <v>141.446</v>
      </c>
      <c r="M4516">
        <v>-0.99962320000000005</v>
      </c>
      <c r="N4516">
        <v>0</v>
      </c>
      <c r="O4516">
        <v>2.536337E-2</v>
      </c>
      <c r="P4516">
        <v>-0.99223939999999999</v>
      </c>
      <c r="Q4516">
        <v>9.1458719999999993E-2</v>
      </c>
      <c r="R4516">
        <v>-8.4240229999999999E-2</v>
      </c>
      <c r="S4516">
        <v>-3.0057070000000001</v>
      </c>
      <c r="T4516">
        <v>-0.20571159999999999</v>
      </c>
      <c r="U4516">
        <v>-0.43218990000000002</v>
      </c>
      <c r="V4516">
        <v>-0.10949299999999999</v>
      </c>
      <c r="W4516">
        <v>0.1017303</v>
      </c>
      <c r="X4516">
        <v>0.98876799999999998</v>
      </c>
      <c r="Y4516">
        <v>-0.1669456</v>
      </c>
      <c r="Z4516">
        <v>-7.4028869999999899E-3</v>
      </c>
      <c r="AA4516">
        <v>0.98593830000000005</v>
      </c>
      <c r="AB4516">
        <v>30</v>
      </c>
      <c r="AC4516">
        <v>-15.917999999999999</v>
      </c>
      <c r="AD4516">
        <v>-1.1103243130630001</v>
      </c>
      <c r="AE4516">
        <v>-2.3401000000000001</v>
      </c>
      <c r="AF4516">
        <v>-2.7301013037587198</v>
      </c>
      <c r="AG4516">
        <v>-1.1103243130630001</v>
      </c>
      <c r="AH4516">
        <v>15.778377658148401</v>
      </c>
      <c r="AI4516">
        <v>93.966521990476096</v>
      </c>
      <c r="AJ4516">
        <v>99.816579671193196</v>
      </c>
      <c r="AK4516">
        <v>16.051276420650201</v>
      </c>
      <c r="AL4516">
        <v>84.161182224444801</v>
      </c>
      <c r="AM4516">
        <v>96.319005727645802</v>
      </c>
      <c r="AN4516">
        <v>0.99999996440554395</v>
      </c>
    </row>
    <row r="4517" spans="1:40" x14ac:dyDescent="0.25">
      <c r="A4517" t="str">
        <f>"20190312151117845"</f>
        <v>20190312151117845</v>
      </c>
      <c r="B4517" t="str">
        <f>"1552374677836094"</f>
        <v>1552374677836094</v>
      </c>
      <c r="C4517" t="s">
        <v>40</v>
      </c>
      <c r="D4517">
        <v>5.376906</v>
      </c>
      <c r="E4517">
        <v>0.48072150000000002</v>
      </c>
      <c r="F4517" t="s">
        <v>42</v>
      </c>
      <c r="G4517">
        <v>-367.44349999999997</v>
      </c>
      <c r="H4517" s="1">
        <v>-1.168619E-6</v>
      </c>
      <c r="I4517">
        <v>139.1112</v>
      </c>
      <c r="J4517">
        <v>-351.48340000000002</v>
      </c>
      <c r="K4517">
        <v>1.1103080000000001</v>
      </c>
      <c r="L4517">
        <v>141.4529</v>
      </c>
      <c r="M4517">
        <v>-0.99963639999999998</v>
      </c>
      <c r="N4517">
        <v>0</v>
      </c>
      <c r="O4517">
        <v>2.4834720000000001E-2</v>
      </c>
      <c r="P4517">
        <v>-0.99224279999999998</v>
      </c>
      <c r="Q4517">
        <v>9.1393829999999995E-2</v>
      </c>
      <c r="R4517">
        <v>-8.4270999999999999E-2</v>
      </c>
      <c r="S4517">
        <v>-3.0057070000000001</v>
      </c>
      <c r="T4517">
        <v>-0.20534169999999999</v>
      </c>
      <c r="U4517">
        <v>-0.431778</v>
      </c>
      <c r="V4517">
        <v>-0.1089967</v>
      </c>
      <c r="W4517">
        <v>0.10167859999999999</v>
      </c>
      <c r="X4517">
        <v>0.98882820000000005</v>
      </c>
      <c r="Y4517">
        <v>-0.166296</v>
      </c>
      <c r="Z4517">
        <v>-7.3317119999999998E-3</v>
      </c>
      <c r="AA4517">
        <v>0.98604860000000005</v>
      </c>
      <c r="AB4517">
        <v>30</v>
      </c>
      <c r="AC4517">
        <v>-15.960099999999899</v>
      </c>
      <c r="AD4517">
        <v>-1.1103091686190001</v>
      </c>
      <c r="AE4517">
        <v>-2.3416999999999999</v>
      </c>
      <c r="AF4517">
        <v>-2.7244565186179401</v>
      </c>
      <c r="AG4517">
        <v>-1.1103091686190001</v>
      </c>
      <c r="AH4517">
        <v>15.8220582202953</v>
      </c>
      <c r="AI4517">
        <v>93.956104027228093</v>
      </c>
      <c r="AJ4517">
        <v>99.770152380839306</v>
      </c>
      <c r="AK4517">
        <v>16.0932587159399</v>
      </c>
      <c r="AL4517">
        <v>84.164160145135</v>
      </c>
      <c r="AM4517">
        <v>96.290213740075501</v>
      </c>
      <c r="AN4517">
        <v>1.0000000137120399</v>
      </c>
    </row>
    <row r="4518" spans="1:40" x14ac:dyDescent="0.25">
      <c r="A4518" t="str">
        <f>"20190312151117867"</f>
        <v>20190312151117867</v>
      </c>
      <c r="B4518" t="str">
        <f>"1552374677865962"</f>
        <v>1552374677865962</v>
      </c>
      <c r="C4518" t="s">
        <v>40</v>
      </c>
      <c r="D4518">
        <v>5.3737389999999996</v>
      </c>
      <c r="E4518">
        <v>0.4810374</v>
      </c>
      <c r="F4518" t="s">
        <v>42</v>
      </c>
      <c r="G4518">
        <v>-367.85579999999999</v>
      </c>
      <c r="H4518" s="1">
        <v>-9.9190720000000005E-7</v>
      </c>
      <c r="I4518">
        <v>139.1103</v>
      </c>
      <c r="J4518">
        <v>-351.77960000000002</v>
      </c>
      <c r="K4518">
        <v>1.1102989999999999</v>
      </c>
      <c r="L4518">
        <v>141.4597</v>
      </c>
      <c r="M4518">
        <v>-0.99964869999999995</v>
      </c>
      <c r="N4518">
        <v>0</v>
      </c>
      <c r="O4518">
        <v>2.432173E-2</v>
      </c>
      <c r="P4518">
        <v>-0.99224420000000002</v>
      </c>
      <c r="Q4518">
        <v>9.1227589999999997E-2</v>
      </c>
      <c r="R4518">
        <v>-8.4432960000000001E-2</v>
      </c>
      <c r="S4518">
        <v>-3.0057070000000001</v>
      </c>
      <c r="T4518">
        <v>-0.20383509999999999</v>
      </c>
      <c r="U4518">
        <v>-0.43005369999999998</v>
      </c>
      <c r="V4518">
        <v>-0.1086471</v>
      </c>
      <c r="W4518">
        <v>0.1015282</v>
      </c>
      <c r="X4518">
        <v>0.98888209999999999</v>
      </c>
      <c r="Y4518">
        <v>-0.16524559999999999</v>
      </c>
      <c r="Z4518">
        <v>-7.2083379999999999E-3</v>
      </c>
      <c r="AA4518">
        <v>0.98622609999999999</v>
      </c>
      <c r="AB4518">
        <v>30</v>
      </c>
      <c r="AC4518">
        <v>-16.076199999999901</v>
      </c>
      <c r="AD4518">
        <v>-1.1102999919072001</v>
      </c>
      <c r="AE4518">
        <v>-2.3494000000000002</v>
      </c>
      <c r="AF4518">
        <v>-2.7269919969238199</v>
      </c>
      <c r="AG4518">
        <v>-1.1102999919072001</v>
      </c>
      <c r="AH4518">
        <v>15.9398567809661</v>
      </c>
      <c r="AI4518">
        <v>93.927653925350597</v>
      </c>
      <c r="AJ4518">
        <v>99.708180456704298</v>
      </c>
      <c r="AK4518">
        <v>16.209512195653101</v>
      </c>
      <c r="AL4518">
        <v>84.172822104825997</v>
      </c>
      <c r="AM4518">
        <v>96.269860189905202</v>
      </c>
      <c r="AN4518">
        <v>0.99999998771702903</v>
      </c>
    </row>
    <row r="4519" spans="1:40" x14ac:dyDescent="0.25">
      <c r="A4519" t="str">
        <f>"20190312151117884"</f>
        <v>20190312151117884</v>
      </c>
      <c r="B4519" t="str">
        <f>"1552374677875723"</f>
        <v>1552374677875723</v>
      </c>
      <c r="C4519" t="s">
        <v>40</v>
      </c>
      <c r="D4519">
        <v>5.3081670000000001</v>
      </c>
      <c r="E4519">
        <v>0.48116229999999899</v>
      </c>
      <c r="F4519" t="s">
        <v>42</v>
      </c>
      <c r="G4519">
        <v>-368.16469999999998</v>
      </c>
      <c r="H4519" s="1">
        <v>-8.5656090000000002E-7</v>
      </c>
      <c r="I4519">
        <v>139.12620000000001</v>
      </c>
      <c r="J4519">
        <v>-351.9982</v>
      </c>
      <c r="K4519">
        <v>1.1102879999999999</v>
      </c>
      <c r="L4519">
        <v>141.46459999999999</v>
      </c>
      <c r="M4519">
        <v>-0.99965760000000004</v>
      </c>
      <c r="N4519">
        <v>0</v>
      </c>
      <c r="O4519">
        <v>2.3955629999999999E-2</v>
      </c>
      <c r="P4519">
        <v>-0.99222589999999999</v>
      </c>
      <c r="Q4519">
        <v>9.1591450000000005E-2</v>
      </c>
      <c r="R4519">
        <v>-8.4256949999999997E-2</v>
      </c>
      <c r="S4519">
        <v>-3.0057680000000002</v>
      </c>
      <c r="T4519">
        <v>-0.20367930000000001</v>
      </c>
      <c r="U4519">
        <v>-0.42805480000000001</v>
      </c>
      <c r="V4519">
        <v>-0.1081058</v>
      </c>
      <c r="W4519">
        <v>0.10190440000000001</v>
      </c>
      <c r="X4519">
        <v>0.98890270000000002</v>
      </c>
      <c r="Y4519">
        <v>-0.16424240000000001</v>
      </c>
      <c r="Z4519">
        <v>-7.1445739999999999E-3</v>
      </c>
      <c r="AA4519">
        <v>0.98639410000000005</v>
      </c>
      <c r="AB4519">
        <v>30</v>
      </c>
      <c r="AC4519">
        <v>-16.1664999999999</v>
      </c>
      <c r="AD4519">
        <v>-1.1102888565608999</v>
      </c>
      <c r="AE4519">
        <v>-2.3383999999999698</v>
      </c>
      <c r="AF4519">
        <v>-2.71249711800525</v>
      </c>
      <c r="AG4519">
        <v>-1.1102888565608999</v>
      </c>
      <c r="AH4519">
        <v>16.031771420032399</v>
      </c>
      <c r="AI4519">
        <v>93.906380015897597</v>
      </c>
      <c r="AJ4519">
        <v>99.603217171189897</v>
      </c>
      <c r="AK4519">
        <v>16.297486825408299</v>
      </c>
      <c r="AL4519">
        <v>84.151154894540497</v>
      </c>
      <c r="AM4519">
        <v>96.238740587814704</v>
      </c>
      <c r="AN4519">
        <v>0.99999996040014405</v>
      </c>
    </row>
    <row r="4520" spans="1:40" x14ac:dyDescent="0.25">
      <c r="A4520" t="str">
        <f>"20190312151117902"</f>
        <v>20190312151117902</v>
      </c>
      <c r="B4520" t="str">
        <f>"1552374677895242"</f>
        <v>1552374677895242</v>
      </c>
      <c r="C4520" t="s">
        <v>40</v>
      </c>
      <c r="D4520">
        <v>5.3499990000000004</v>
      </c>
      <c r="E4520">
        <v>0.4813752</v>
      </c>
      <c r="F4520" t="s">
        <v>42</v>
      </c>
      <c r="G4520">
        <v>-368.44479999999999</v>
      </c>
      <c r="H4520" s="1">
        <v>-7.3562500000000005E-7</v>
      </c>
      <c r="I4520">
        <v>139.13059999999999</v>
      </c>
      <c r="J4520">
        <v>-352.23579999999998</v>
      </c>
      <c r="K4520">
        <v>1.1102810000000001</v>
      </c>
      <c r="L4520">
        <v>141.47</v>
      </c>
      <c r="M4520">
        <v>-0.99966670000000002</v>
      </c>
      <c r="N4520">
        <v>0</v>
      </c>
      <c r="O4520">
        <v>2.356712E-2</v>
      </c>
      <c r="P4520">
        <v>-0.99226630000000005</v>
      </c>
      <c r="Q4520">
        <v>9.1284779999999996E-2</v>
      </c>
      <c r="R4520">
        <v>-8.4111519999999995E-2</v>
      </c>
      <c r="S4520">
        <v>-3.0060120000000001</v>
      </c>
      <c r="T4520">
        <v>-0.2029319</v>
      </c>
      <c r="U4520">
        <v>-0.42659000000000002</v>
      </c>
      <c r="V4520">
        <v>-0.1075738</v>
      </c>
      <c r="W4520">
        <v>0.1016108</v>
      </c>
      <c r="X4520">
        <v>0.98899099999999995</v>
      </c>
      <c r="Y4520">
        <v>-0.16338269999999999</v>
      </c>
      <c r="Z4520">
        <v>-7.0631560000000001E-3</v>
      </c>
      <c r="AA4520">
        <v>0.98653749999999996</v>
      </c>
      <c r="AB4520">
        <v>30</v>
      </c>
      <c r="AC4520">
        <v>-16.209</v>
      </c>
      <c r="AD4520">
        <v>-1.1102817356250001</v>
      </c>
      <c r="AE4520">
        <v>-2.3394000000000101</v>
      </c>
      <c r="AF4520">
        <v>-2.7083228065424998</v>
      </c>
      <c r="AG4520">
        <v>-1.1102817356250001</v>
      </c>
      <c r="AH4520">
        <v>16.075475231413598</v>
      </c>
      <c r="AI4520">
        <v>93.896226558341496</v>
      </c>
      <c r="AJ4520">
        <v>99.563126818133995</v>
      </c>
      <c r="AK4520">
        <v>16.3397870816205</v>
      </c>
      <c r="AL4520">
        <v>84.168065163021197</v>
      </c>
      <c r="AM4520">
        <v>96.207729452687801</v>
      </c>
      <c r="AN4520">
        <v>1.0000000376020299</v>
      </c>
    </row>
    <row r="4521" spans="1:40" x14ac:dyDescent="0.25">
      <c r="A4521" t="str">
        <f>"20190312151117924"</f>
        <v>20190312151117924</v>
      </c>
      <c r="B4521" t="str">
        <f>"1552374677915741"</f>
        <v>1552374677915741</v>
      </c>
      <c r="C4521" t="s">
        <v>40</v>
      </c>
      <c r="D4521">
        <v>5.3297049999999997</v>
      </c>
      <c r="E4521">
        <v>0.48164230000000002</v>
      </c>
      <c r="F4521" t="s">
        <v>42</v>
      </c>
      <c r="G4521">
        <v>-368.4948</v>
      </c>
      <c r="H4521" s="1">
        <v>-7.0660879999999999E-7</v>
      </c>
      <c r="I4521">
        <v>139.17330000000001</v>
      </c>
      <c r="J4521">
        <v>-352.541</v>
      </c>
      <c r="K4521">
        <v>1.1102719999999999</v>
      </c>
      <c r="L4521">
        <v>141.47659999999999</v>
      </c>
      <c r="M4521">
        <v>-0.99967810000000001</v>
      </c>
      <c r="N4521">
        <v>0</v>
      </c>
      <c r="O4521">
        <v>2.3079590000000001E-2</v>
      </c>
      <c r="P4521">
        <v>-0.99231760000000002</v>
      </c>
      <c r="Q4521">
        <v>9.1008110000000003E-2</v>
      </c>
      <c r="R4521">
        <v>-8.3806770000000003E-2</v>
      </c>
      <c r="S4521">
        <v>-3.0062869999999999</v>
      </c>
      <c r="T4521">
        <v>-0.20529130000000001</v>
      </c>
      <c r="U4521">
        <v>-0.42463679999999898</v>
      </c>
      <c r="V4521">
        <v>-0.1067844</v>
      </c>
      <c r="W4521">
        <v>0.10134990000000001</v>
      </c>
      <c r="X4521">
        <v>0.98910330000000002</v>
      </c>
      <c r="Y4521">
        <v>-0.1622546</v>
      </c>
      <c r="Z4521">
        <v>-7.073368E-3</v>
      </c>
      <c r="AA4521">
        <v>0.98672360000000003</v>
      </c>
      <c r="AB4521">
        <v>30</v>
      </c>
      <c r="AC4521">
        <v>-15.953799999999999</v>
      </c>
      <c r="AD4521">
        <v>-1.1102727066087901</v>
      </c>
      <c r="AE4521">
        <v>-2.3032999999999801</v>
      </c>
      <c r="AF4521">
        <v>-2.6583022349038101</v>
      </c>
      <c r="AG4521">
        <v>-1.1102727066087901</v>
      </c>
      <c r="AH4521">
        <v>15.821326689720101</v>
      </c>
      <c r="AI4521">
        <v>93.958878675901005</v>
      </c>
      <c r="AJ4521">
        <v>99.537760515933002</v>
      </c>
      <c r="AK4521">
        <v>16.081469288531601</v>
      </c>
      <c r="AL4521">
        <v>84.183091124370407</v>
      </c>
      <c r="AM4521">
        <v>96.161833276104502</v>
      </c>
      <c r="AN4521">
        <v>1.0000000241921201</v>
      </c>
    </row>
    <row r="4522" spans="1:40" x14ac:dyDescent="0.25">
      <c r="A4522" t="str">
        <f>"20190312151117940"</f>
        <v>20190312151117940</v>
      </c>
      <c r="B4522" t="str">
        <f>"1552374677935258"</f>
        <v>1552374677935258</v>
      </c>
      <c r="C4522" t="s">
        <v>40</v>
      </c>
      <c r="D4522">
        <v>5.3851870000000002</v>
      </c>
      <c r="E4522">
        <v>0.51116439999999996</v>
      </c>
      <c r="F4522" t="s">
        <v>42</v>
      </c>
      <c r="G4522">
        <v>-368.63029999999998</v>
      </c>
      <c r="H4522" s="1">
        <v>-6.4017469999999899E-7</v>
      </c>
      <c r="I4522">
        <v>139.22020000000001</v>
      </c>
      <c r="J4522">
        <v>-352.75560000000002</v>
      </c>
      <c r="K4522">
        <v>1.1102650000000001</v>
      </c>
      <c r="L4522">
        <v>141.4813</v>
      </c>
      <c r="M4522">
        <v>-0.99968559999999995</v>
      </c>
      <c r="N4522">
        <v>0</v>
      </c>
      <c r="O4522">
        <v>2.2741310000000001E-2</v>
      </c>
      <c r="P4522">
        <v>-0.99228499999999997</v>
      </c>
      <c r="Q4522">
        <v>9.1136410000000001E-2</v>
      </c>
      <c r="R4522">
        <v>-8.4051269999999997E-2</v>
      </c>
      <c r="S4522">
        <v>-3.006653</v>
      </c>
      <c r="T4522">
        <v>-0.2074809</v>
      </c>
      <c r="U4522">
        <v>-0.42166140000000002</v>
      </c>
      <c r="V4522">
        <v>-0.10669190000000001</v>
      </c>
      <c r="W4522">
        <v>0.10148740000000001</v>
      </c>
      <c r="X4522">
        <v>0.98909910000000001</v>
      </c>
      <c r="Y4522">
        <v>-0.16094120000000001</v>
      </c>
      <c r="Z4522">
        <v>-7.0800000000000004E-3</v>
      </c>
      <c r="AA4522">
        <v>0.9869386</v>
      </c>
      <c r="AB4522">
        <v>30</v>
      </c>
      <c r="AC4522">
        <v>-15.874699999999899</v>
      </c>
      <c r="AD4522">
        <v>-1.1102656401747</v>
      </c>
      <c r="AE4522">
        <v>-2.2610999999999901</v>
      </c>
      <c r="AF4522">
        <v>-2.6090384157164701</v>
      </c>
      <c r="AG4522">
        <v>-1.1102656401747</v>
      </c>
      <c r="AH4522">
        <v>15.7436917225135</v>
      </c>
      <c r="AI4522">
        <v>93.979794232548798</v>
      </c>
      <c r="AJ4522">
        <v>99.409518184282504</v>
      </c>
      <c r="AK4522">
        <v>15.996987225724</v>
      </c>
      <c r="AL4522">
        <v>84.175171641345003</v>
      </c>
      <c r="AM4522">
        <v>96.156562651823805</v>
      </c>
      <c r="AN4522">
        <v>0.999999941752588</v>
      </c>
    </row>
    <row r="4523" spans="1:40" x14ac:dyDescent="0.25">
      <c r="A4523" t="str">
        <f>"20190312151117956"</f>
        <v>20190312151117956</v>
      </c>
      <c r="B4523" t="str">
        <f>"1552374677945994"</f>
        <v>1552374677945994</v>
      </c>
      <c r="C4523" t="s">
        <v>40</v>
      </c>
      <c r="D4523">
        <v>5.3636460000000001</v>
      </c>
      <c r="E4523">
        <v>0.51209179999999999</v>
      </c>
      <c r="F4523" t="s">
        <v>42</v>
      </c>
      <c r="G4523">
        <v>-377.0487</v>
      </c>
      <c r="H4523" s="1">
        <v>-1.350521E-6</v>
      </c>
      <c r="I4523">
        <v>140</v>
      </c>
      <c r="J4523">
        <v>-352.99169999999998</v>
      </c>
      <c r="K4523">
        <v>1.110263</v>
      </c>
      <c r="L4523">
        <v>141.4863</v>
      </c>
      <c r="M4523">
        <v>-0.99969379999999997</v>
      </c>
      <c r="N4523">
        <v>0</v>
      </c>
      <c r="O4523">
        <v>2.2372119999999999E-2</v>
      </c>
      <c r="P4523">
        <v>-0.99227889999999996</v>
      </c>
      <c r="Q4523">
        <v>9.1092709999999993E-2</v>
      </c>
      <c r="R4523">
        <v>-8.4169789999999994E-2</v>
      </c>
      <c r="S4523">
        <v>-3.0203859999999998</v>
      </c>
      <c r="T4523">
        <v>-0.13804050000000001</v>
      </c>
      <c r="U4523">
        <v>-0.1841583</v>
      </c>
      <c r="V4523">
        <v>-0.1064436</v>
      </c>
      <c r="W4523">
        <v>0.10145709999999999</v>
      </c>
      <c r="X4523">
        <v>0.98912900000000004</v>
      </c>
      <c r="Y4523">
        <v>-8.3065760000000002E-2</v>
      </c>
      <c r="Z4523">
        <v>-2.916587E-3</v>
      </c>
      <c r="AA4523">
        <v>0.99653979999999998</v>
      </c>
      <c r="AB4523">
        <v>30</v>
      </c>
      <c r="AC4523">
        <v>-24.056999999999999</v>
      </c>
      <c r="AD4523">
        <v>-1.1102643505209999</v>
      </c>
      <c r="AE4523">
        <v>-1.4863</v>
      </c>
      <c r="AF4523">
        <v>-2.0198782495652701</v>
      </c>
      <c r="AG4523">
        <v>-1.1102643505209999</v>
      </c>
      <c r="AH4523">
        <v>23.9668704525888</v>
      </c>
      <c r="AI4523">
        <v>92.642972315317706</v>
      </c>
      <c r="AJ4523">
        <v>94.817385670579796</v>
      </c>
      <c r="AK4523">
        <v>24.077447422064498</v>
      </c>
      <c r="AL4523">
        <v>84.176916939606997</v>
      </c>
      <c r="AM4523">
        <v>96.142160114630599</v>
      </c>
      <c r="AN4523">
        <v>0.99999998088118403</v>
      </c>
    </row>
    <row r="4524" spans="1:40" x14ac:dyDescent="0.25">
      <c r="A4524" t="str">
        <f>"20190312151117980"</f>
        <v>20190312151117980</v>
      </c>
      <c r="B4524" t="str">
        <f>"1552374677975274"</f>
        <v>1552374677975274</v>
      </c>
      <c r="C4524" t="s">
        <v>40</v>
      </c>
      <c r="D4524">
        <v>4.9641929999999999</v>
      </c>
      <c r="E4524">
        <v>0.51463939999999997</v>
      </c>
      <c r="F4524" t="s">
        <v>42</v>
      </c>
      <c r="G4524">
        <v>-381.44779999999997</v>
      </c>
      <c r="H4524" s="1">
        <v>-3.708087E-6</v>
      </c>
      <c r="I4524">
        <v>139.83009999999999</v>
      </c>
      <c r="J4524">
        <v>-353.29629999999997</v>
      </c>
      <c r="K4524">
        <v>1.1102639999999999</v>
      </c>
      <c r="L4524">
        <v>141.49260000000001</v>
      </c>
      <c r="M4524">
        <v>-0.99970409999999998</v>
      </c>
      <c r="N4524">
        <v>0</v>
      </c>
      <c r="O4524">
        <v>2.1898259999999999E-2</v>
      </c>
      <c r="P4524">
        <v>-0.9922609</v>
      </c>
      <c r="Q4524">
        <v>9.0979879999999999E-2</v>
      </c>
      <c r="R4524">
        <v>-8.4504650000000001E-2</v>
      </c>
      <c r="S4524">
        <v>-3.0192260000000002</v>
      </c>
      <c r="T4524">
        <v>-0.11780069999999999</v>
      </c>
      <c r="U4524">
        <v>-0.175705</v>
      </c>
      <c r="V4524">
        <v>-0.1063079</v>
      </c>
      <c r="W4524">
        <v>0.1013641</v>
      </c>
      <c r="X4524">
        <v>0.98915310000000001</v>
      </c>
      <c r="Y4524">
        <v>-7.9868439999999999E-2</v>
      </c>
      <c r="Z4524">
        <v>-2.4096880000000001E-3</v>
      </c>
      <c r="AA4524">
        <v>0.99680250000000004</v>
      </c>
      <c r="AB4524">
        <v>30</v>
      </c>
      <c r="AC4524">
        <v>-28.151499999999999</v>
      </c>
      <c r="AD4524">
        <v>-1.11026770808699</v>
      </c>
      <c r="AE4524">
        <v>-1.6625000000000201</v>
      </c>
      <c r="AF4524">
        <v>-2.2750783000237398</v>
      </c>
      <c r="AG4524">
        <v>-1.11026770808699</v>
      </c>
      <c r="AH4524">
        <v>28.064839368519799</v>
      </c>
      <c r="AI4524">
        <v>92.258086221559196</v>
      </c>
      <c r="AJ4524">
        <v>94.634552317749197</v>
      </c>
      <c r="AK4524">
        <v>28.178784296624301</v>
      </c>
      <c r="AL4524">
        <v>84.182272895946397</v>
      </c>
      <c r="AM4524">
        <v>96.134241179683102</v>
      </c>
      <c r="AN4524">
        <v>0.99999995280541298</v>
      </c>
    </row>
    <row r="4525" spans="1:40" x14ac:dyDescent="0.25">
      <c r="A4525" t="str">
        <f>"20190312151118003"</f>
        <v>20190312151118003</v>
      </c>
      <c r="B4525" t="str">
        <f>"1552374677995769"</f>
        <v>1552374677995769</v>
      </c>
      <c r="C4525" t="s">
        <v>40</v>
      </c>
      <c r="D4525">
        <v>5.4305050000000001</v>
      </c>
      <c r="E4525">
        <v>0.51538949999999994</v>
      </c>
      <c r="F4525" t="s">
        <v>42</v>
      </c>
      <c r="G4525">
        <v>-376.87430000000001</v>
      </c>
      <c r="H4525" s="1">
        <v>-1.495066E-6</v>
      </c>
      <c r="I4525">
        <v>140.262</v>
      </c>
      <c r="J4525">
        <v>-353.61439999999999</v>
      </c>
      <c r="K4525">
        <v>1.110269</v>
      </c>
      <c r="L4525">
        <v>141.499</v>
      </c>
      <c r="M4525">
        <v>-0.99971469999999996</v>
      </c>
      <c r="N4525">
        <v>0</v>
      </c>
      <c r="O4525">
        <v>2.140411E-2</v>
      </c>
      <c r="P4525">
        <v>-0.99221170000000003</v>
      </c>
      <c r="Q4525">
        <v>9.11246E-2</v>
      </c>
      <c r="R4525">
        <v>-8.4924440000000004E-2</v>
      </c>
      <c r="S4525">
        <v>-3.0229490000000001</v>
      </c>
      <c r="T4525">
        <v>-0.1423479</v>
      </c>
      <c r="U4525">
        <v>-0.1577606</v>
      </c>
      <c r="V4525">
        <v>-0.1062372</v>
      </c>
      <c r="W4525">
        <v>0.1015282</v>
      </c>
      <c r="X4525">
        <v>0.98914389999999996</v>
      </c>
      <c r="Y4525">
        <v>-7.3376280000000002E-2</v>
      </c>
      <c r="Z4525">
        <v>-2.732281E-3</v>
      </c>
      <c r="AA4525">
        <v>0.99730059999999998</v>
      </c>
      <c r="AB4525">
        <v>30</v>
      </c>
      <c r="AC4525">
        <v>-23.259899999999998</v>
      </c>
      <c r="AD4525">
        <v>-1.1102704950659901</v>
      </c>
      <c r="AE4525">
        <v>-1.2369999999999901</v>
      </c>
      <c r="AF4525">
        <v>-1.73066986904831</v>
      </c>
      <c r="AG4525">
        <v>-1.1102704950659901</v>
      </c>
      <c r="AH4525">
        <v>23.175436878539401</v>
      </c>
      <c r="AI4525">
        <v>92.735179498349893</v>
      </c>
      <c r="AJ4525">
        <v>94.270744381957201</v>
      </c>
      <c r="AK4525">
        <v>23.266473589244399</v>
      </c>
      <c r="AL4525">
        <v>84.172822097611004</v>
      </c>
      <c r="AM4525">
        <v>96.130249261579905</v>
      </c>
      <c r="AN4525">
        <v>0.99999998648314403</v>
      </c>
    </row>
    <row r="4526" spans="1:40" x14ac:dyDescent="0.25">
      <c r="A4526" t="str">
        <f>"20190312151118036"</f>
        <v>20190312151118036</v>
      </c>
      <c r="B4526" t="str">
        <f>"1552374678026026"</f>
        <v>1552374678026026</v>
      </c>
      <c r="C4526" t="s">
        <v>40</v>
      </c>
      <c r="D4526">
        <v>5.3331189999999999</v>
      </c>
      <c r="E4526">
        <v>0.51612720000000001</v>
      </c>
      <c r="F4526" t="s">
        <v>42</v>
      </c>
      <c r="G4526">
        <v>-376.91930000000002</v>
      </c>
      <c r="H4526" s="1">
        <v>-1.4908139999999999E-6</v>
      </c>
      <c r="I4526">
        <v>140.31870000000001</v>
      </c>
      <c r="J4526">
        <v>-354.0693</v>
      </c>
      <c r="K4526">
        <v>1.110276</v>
      </c>
      <c r="L4526">
        <v>141.50790000000001</v>
      </c>
      <c r="M4526">
        <v>-0.99972939999999999</v>
      </c>
      <c r="N4526">
        <v>0</v>
      </c>
      <c r="O4526">
        <v>2.0696119999999998E-2</v>
      </c>
      <c r="P4526">
        <v>-0.99215889999999995</v>
      </c>
      <c r="Q4526">
        <v>9.1221999999999998E-2</v>
      </c>
      <c r="R4526">
        <v>-8.5437479999999996E-2</v>
      </c>
      <c r="S4526">
        <v>-3.023682</v>
      </c>
      <c r="T4526">
        <v>-0.1440516</v>
      </c>
      <c r="U4526">
        <v>-0.15312190000000001</v>
      </c>
      <c r="V4526">
        <v>-0.10604719999999999</v>
      </c>
      <c r="W4526">
        <v>0.10165059999999999</v>
      </c>
      <c r="X4526">
        <v>0.98915169999999997</v>
      </c>
      <c r="Y4526">
        <v>-7.1132150000000005E-2</v>
      </c>
      <c r="Z4526">
        <v>-2.6772940000000002E-3</v>
      </c>
      <c r="AA4526">
        <v>0.99746330000000005</v>
      </c>
      <c r="AB4526">
        <v>30</v>
      </c>
      <c r="AC4526">
        <v>-22.85</v>
      </c>
      <c r="AD4526">
        <v>-1.1102774908140001</v>
      </c>
      <c r="AE4526">
        <v>-1.18919999999999</v>
      </c>
      <c r="AF4526">
        <v>-1.65797441908927</v>
      </c>
      <c r="AG4526">
        <v>-1.1102774908140001</v>
      </c>
      <c r="AH4526">
        <v>22.766885286121699</v>
      </c>
      <c r="AI4526">
        <v>92.784581090368107</v>
      </c>
      <c r="AJ4526">
        <v>94.165152068833095</v>
      </c>
      <c r="AK4526">
        <v>22.854160691488701</v>
      </c>
      <c r="AL4526">
        <v>84.165772522790803</v>
      </c>
      <c r="AM4526">
        <v>96.119320982097605</v>
      </c>
      <c r="AN4526">
        <v>0.99999996936054403</v>
      </c>
    </row>
    <row r="4527" spans="1:40" x14ac:dyDescent="0.25">
      <c r="A4527" t="str">
        <f>"20190312151118058"</f>
        <v>20190312151118058</v>
      </c>
      <c r="B4527" t="str">
        <f>"1552374678045546"</f>
        <v>1552374678045546</v>
      </c>
      <c r="C4527" t="s">
        <v>40</v>
      </c>
      <c r="D4527">
        <v>5.32843</v>
      </c>
      <c r="E4527">
        <v>0.51683710000000005</v>
      </c>
      <c r="F4527" t="s">
        <v>42</v>
      </c>
      <c r="G4527">
        <v>-378.0213</v>
      </c>
      <c r="H4527" s="1">
        <v>-1.0223539999999999E-6</v>
      </c>
      <c r="I4527">
        <v>140.3347</v>
      </c>
      <c r="J4527">
        <v>-354.35759999999999</v>
      </c>
      <c r="K4527">
        <v>1.110277</v>
      </c>
      <c r="L4527">
        <v>141.51339999999999</v>
      </c>
      <c r="M4527">
        <v>-0.99973849999999997</v>
      </c>
      <c r="N4527">
        <v>0</v>
      </c>
      <c r="O4527">
        <v>2.024538E-2</v>
      </c>
      <c r="P4527">
        <v>-0.99215010000000003</v>
      </c>
      <c r="Q4527">
        <v>9.1367169999999998E-2</v>
      </c>
      <c r="R4527">
        <v>-8.5386210000000004E-2</v>
      </c>
      <c r="S4527">
        <v>-3.0238339999999999</v>
      </c>
      <c r="T4527">
        <v>-0.14016770000000001</v>
      </c>
      <c r="U4527">
        <v>-0.14810179999999901</v>
      </c>
      <c r="V4527">
        <v>-0.1055497</v>
      </c>
      <c r="W4527">
        <v>0.1018119</v>
      </c>
      <c r="X4527">
        <v>0.98918839999999997</v>
      </c>
      <c r="Y4527">
        <v>-6.9036100000000003E-2</v>
      </c>
      <c r="Z4527">
        <v>-2.535762E-3</v>
      </c>
      <c r="AA4527">
        <v>0.99761089999999997</v>
      </c>
      <c r="AB4527">
        <v>30</v>
      </c>
      <c r="AC4527">
        <v>-23.663699999999999</v>
      </c>
      <c r="AD4527">
        <v>-1.1102780223540001</v>
      </c>
      <c r="AE4527">
        <v>-1.1786999999999901</v>
      </c>
      <c r="AF4527">
        <v>-1.65393411749857</v>
      </c>
      <c r="AG4527">
        <v>-1.1102780223540001</v>
      </c>
      <c r="AH4527">
        <v>23.5831973230272</v>
      </c>
      <c r="AI4527">
        <v>92.688854394255401</v>
      </c>
      <c r="AJ4527">
        <v>94.011692563781295</v>
      </c>
      <c r="AK4527">
        <v>23.667180045978998</v>
      </c>
      <c r="AL4527">
        <v>84.156482967828595</v>
      </c>
      <c r="AM4527">
        <v>96.090605381721602</v>
      </c>
      <c r="AN4527">
        <v>1.00000004642312</v>
      </c>
    </row>
    <row r="4528" spans="1:40" x14ac:dyDescent="0.25">
      <c r="A4528" t="str">
        <f>"20190312151118081"</f>
        <v>20190312151118081</v>
      </c>
      <c r="B4528" t="str">
        <f>"1552374678075801"</f>
        <v>1552374678075801</v>
      </c>
      <c r="C4528" t="s">
        <v>40</v>
      </c>
      <c r="D4528">
        <v>5.4064189999999996</v>
      </c>
      <c r="E4528">
        <v>0.51773970000000002</v>
      </c>
      <c r="F4528" t="s">
        <v>42</v>
      </c>
      <c r="G4528">
        <v>-375.78039999999999</v>
      </c>
      <c r="H4528" s="1">
        <v>-2.0272709999999999E-6</v>
      </c>
      <c r="I4528">
        <v>140.49850000000001</v>
      </c>
      <c r="J4528">
        <v>-354.6737</v>
      </c>
      <c r="K4528">
        <v>1.1102730000000001</v>
      </c>
      <c r="L4528">
        <v>141.51929999999999</v>
      </c>
      <c r="M4528">
        <v>-0.99974819999999998</v>
      </c>
      <c r="N4528">
        <v>0</v>
      </c>
      <c r="O4528">
        <v>1.9750110000000001E-2</v>
      </c>
      <c r="P4528">
        <v>-0.99214259999999999</v>
      </c>
      <c r="Q4528">
        <v>9.1437210000000005E-2</v>
      </c>
      <c r="R4528">
        <v>-8.5397349999999997E-2</v>
      </c>
      <c r="S4528">
        <v>-3.0258479999999999</v>
      </c>
      <c r="T4528">
        <v>-0.15682079999999901</v>
      </c>
      <c r="U4528">
        <v>-0.1433411</v>
      </c>
      <c r="V4528">
        <v>-0.1050705</v>
      </c>
      <c r="W4528">
        <v>0.1018978</v>
      </c>
      <c r="X4528">
        <v>0.98923050000000001</v>
      </c>
      <c r="Y4528">
        <v>-6.6922919999999997E-2</v>
      </c>
      <c r="Z4528">
        <v>-2.7545360000000001E-3</v>
      </c>
      <c r="AA4528">
        <v>0.99775429999999998</v>
      </c>
      <c r="AB4528">
        <v>30</v>
      </c>
      <c r="AC4528">
        <v>-21.106699999999901</v>
      </c>
      <c r="AD4528">
        <v>-1.110275027271</v>
      </c>
      <c r="AE4528">
        <v>-1.0207999999999799</v>
      </c>
      <c r="AF4528">
        <v>-1.43352675189621</v>
      </c>
      <c r="AG4528">
        <v>-1.110275027271</v>
      </c>
      <c r="AH4528">
        <v>21.0243803470713</v>
      </c>
      <c r="AI4528">
        <v>93.015931277137497</v>
      </c>
      <c r="AJ4528">
        <v>93.900619264197601</v>
      </c>
      <c r="AK4528">
        <v>21.102423523446301</v>
      </c>
      <c r="AL4528">
        <v>84.151535122133794</v>
      </c>
      <c r="AM4528">
        <v>96.062904102081802</v>
      </c>
      <c r="AN4528">
        <v>0.99999997687266895</v>
      </c>
    </row>
    <row r="4529" spans="1:40" x14ac:dyDescent="0.25">
      <c r="A4529" t="str">
        <f>"20190312151118103"</f>
        <v>20190312151118103</v>
      </c>
      <c r="B4529" t="str">
        <f>"1552374678095322"</f>
        <v>1552374678095322</v>
      </c>
      <c r="C4529" t="s">
        <v>40</v>
      </c>
      <c r="D4529">
        <v>5.3346119999999999</v>
      </c>
      <c r="E4529">
        <v>0.51827849999999998</v>
      </c>
      <c r="F4529" t="s">
        <v>42</v>
      </c>
      <c r="G4529">
        <v>-375.10730000000001</v>
      </c>
      <c r="H4529" s="1">
        <v>-2.3421310000000002E-6</v>
      </c>
      <c r="I4529">
        <v>140.5966</v>
      </c>
      <c r="J4529">
        <v>-354.9753</v>
      </c>
      <c r="K4529">
        <v>1.110276</v>
      </c>
      <c r="L4529">
        <v>141.5247</v>
      </c>
      <c r="M4529">
        <v>-0.99975720000000001</v>
      </c>
      <c r="N4529">
        <v>0</v>
      </c>
      <c r="O4529">
        <v>1.927678E-2</v>
      </c>
      <c r="P4529">
        <v>-0.99214259999999999</v>
      </c>
      <c r="Q4529">
        <v>9.1409320000000002E-2</v>
      </c>
      <c r="R4529">
        <v>-8.5425319999999999E-2</v>
      </c>
      <c r="S4529">
        <v>-3.027161</v>
      </c>
      <c r="T4529">
        <v>-0.1644832</v>
      </c>
      <c r="U4529">
        <v>-0.13667299999999999</v>
      </c>
      <c r="V4529">
        <v>-0.1046296</v>
      </c>
      <c r="W4529">
        <v>0.1018831</v>
      </c>
      <c r="X4529">
        <v>0.98927880000000001</v>
      </c>
      <c r="Y4529">
        <v>-6.4229880000000003E-2</v>
      </c>
      <c r="Z4529">
        <v>-2.7890599999999999E-3</v>
      </c>
      <c r="AA4529">
        <v>0.99793120000000002</v>
      </c>
      <c r="AB4529">
        <v>31</v>
      </c>
      <c r="AC4529">
        <v>-20.132000000000001</v>
      </c>
      <c r="AD4529">
        <v>-1.1102783421310001</v>
      </c>
      <c r="AE4529">
        <v>-0.92810000000000004</v>
      </c>
      <c r="AF4529">
        <v>-1.31204762438877</v>
      </c>
      <c r="AG4529">
        <v>-1.1102783421310001</v>
      </c>
      <c r="AH4529">
        <v>20.049515393953001</v>
      </c>
      <c r="AI4529">
        <v>93.162869170150998</v>
      </c>
      <c r="AJ4529">
        <v>93.744118212535696</v>
      </c>
      <c r="AK4529">
        <v>20.123052812583499</v>
      </c>
      <c r="AL4529">
        <v>84.152382098119801</v>
      </c>
      <c r="AM4529">
        <v>96.037358471456201</v>
      </c>
      <c r="AN4529">
        <v>1.0000000316955999</v>
      </c>
    </row>
    <row r="4530" spans="1:40" x14ac:dyDescent="0.25">
      <c r="A4530" t="str">
        <f>"20190312151118125"</f>
        <v>20190312151118125</v>
      </c>
      <c r="B4530" t="str">
        <f>"1552374678115818"</f>
        <v>1552374678115818</v>
      </c>
      <c r="C4530" t="s">
        <v>40</v>
      </c>
      <c r="D4530">
        <v>5.27311</v>
      </c>
      <c r="E4530">
        <v>0.5185862</v>
      </c>
      <c r="F4530" t="s">
        <v>42</v>
      </c>
      <c r="G4530">
        <v>-374.18360000000001</v>
      </c>
      <c r="H4530" s="1">
        <v>-2.7606540000000001E-6</v>
      </c>
      <c r="I4530">
        <v>140.68029999999999</v>
      </c>
      <c r="J4530">
        <v>-355.28160000000003</v>
      </c>
      <c r="K4530">
        <v>1.1102749999999999</v>
      </c>
      <c r="L4530">
        <v>141.5301</v>
      </c>
      <c r="M4530">
        <v>-0.99976620000000005</v>
      </c>
      <c r="N4530">
        <v>0</v>
      </c>
      <c r="O4530">
        <v>1.8796009999999998E-2</v>
      </c>
      <c r="P4530">
        <v>-0.99213430000000002</v>
      </c>
      <c r="Q4530">
        <v>9.1399690000000006E-2</v>
      </c>
      <c r="R4530">
        <v>-8.553094E-2</v>
      </c>
      <c r="S4530">
        <v>-3.0284119999999999</v>
      </c>
      <c r="T4530">
        <v>-0.17504819999999999</v>
      </c>
      <c r="U4530">
        <v>-0.13311770000000001</v>
      </c>
      <c r="V4530">
        <v>-0.1042588</v>
      </c>
      <c r="W4530">
        <v>0.1018864</v>
      </c>
      <c r="X4530">
        <v>0.98931760000000002</v>
      </c>
      <c r="Y4530">
        <v>-6.2549519999999997E-2</v>
      </c>
      <c r="Z4530">
        <v>-2.8905100000000002E-3</v>
      </c>
      <c r="AA4530">
        <v>0.99803770000000003</v>
      </c>
      <c r="AB4530">
        <v>31</v>
      </c>
      <c r="AC4530">
        <v>-18.901999999999902</v>
      </c>
      <c r="AD4530">
        <v>-1.110277760654</v>
      </c>
      <c r="AE4530">
        <v>-0.84980000000001599</v>
      </c>
      <c r="AF4530">
        <v>-1.2008175989624501</v>
      </c>
      <c r="AG4530">
        <v>-1.110277760654</v>
      </c>
      <c r="AH4530">
        <v>18.817891572501502</v>
      </c>
      <c r="AI4530">
        <v>93.369765844657806</v>
      </c>
      <c r="AJ4530">
        <v>93.651239020686404</v>
      </c>
      <c r="AK4530">
        <v>18.8888253432076</v>
      </c>
      <c r="AL4530">
        <v>84.152191992389106</v>
      </c>
      <c r="AM4530">
        <v>96.015885471871101</v>
      </c>
      <c r="AN4530">
        <v>1.0000000247760701</v>
      </c>
    </row>
    <row r="4531" spans="1:40" x14ac:dyDescent="0.25">
      <c r="A4531" t="str">
        <f>"20190312151118147"</f>
        <v>20190312151118147</v>
      </c>
      <c r="B4531" t="str">
        <f>"1552374678135338"</f>
        <v>1552374678135338</v>
      </c>
      <c r="C4531" t="s">
        <v>40</v>
      </c>
      <c r="D4531">
        <v>5.9466640000000002</v>
      </c>
      <c r="E4531">
        <v>0.51865459999999997</v>
      </c>
      <c r="F4531" t="s">
        <v>42</v>
      </c>
      <c r="G4531">
        <v>-373.79270000000002</v>
      </c>
      <c r="H4531" s="1">
        <v>-2.9410139999999998E-6</v>
      </c>
      <c r="I4531">
        <v>140.72790000000001</v>
      </c>
      <c r="J4531">
        <v>-355.58010000000002</v>
      </c>
      <c r="K4531">
        <v>1.110271</v>
      </c>
      <c r="L4531">
        <v>141.53530000000001</v>
      </c>
      <c r="M4531">
        <v>-0.99977479999999996</v>
      </c>
      <c r="N4531">
        <v>0</v>
      </c>
      <c r="O4531">
        <v>1.8327820000000002E-2</v>
      </c>
      <c r="P4531">
        <v>-0.99216380000000004</v>
      </c>
      <c r="Q4531">
        <v>9.1356010000000001E-2</v>
      </c>
      <c r="R4531">
        <v>-8.5236649999999997E-2</v>
      </c>
      <c r="S4531">
        <v>-3.029236</v>
      </c>
      <c r="T4531">
        <v>-0.18169109999999999</v>
      </c>
      <c r="U4531">
        <v>-0.13127139999999901</v>
      </c>
      <c r="V4531">
        <v>-0.103501</v>
      </c>
      <c r="W4531">
        <v>0.1018546</v>
      </c>
      <c r="X4531">
        <v>0.98940039999999996</v>
      </c>
      <c r="Y4531">
        <v>-6.145544E-2</v>
      </c>
      <c r="Z4531">
        <v>-2.9384200000000002E-3</v>
      </c>
      <c r="AA4531">
        <v>0.99810549999999998</v>
      </c>
      <c r="AB4531">
        <v>31</v>
      </c>
      <c r="AC4531">
        <v>-18.212599999999998</v>
      </c>
      <c r="AD4531">
        <v>-1.1102739410139999</v>
      </c>
      <c r="AE4531">
        <v>-0.80740000000000101</v>
      </c>
      <c r="AF4531">
        <v>-1.1368640273428301</v>
      </c>
      <c r="AG4531">
        <v>-1.1102739410139999</v>
      </c>
      <c r="AH4531">
        <v>18.127505793561799</v>
      </c>
      <c r="AI4531">
        <v>93.498019856010501</v>
      </c>
      <c r="AJ4531">
        <v>93.588597004799695</v>
      </c>
      <c r="AK4531">
        <v>18.197022677800302</v>
      </c>
      <c r="AL4531">
        <v>84.154023287355201</v>
      </c>
      <c r="AM4531">
        <v>95.971980299192595</v>
      </c>
      <c r="AN4531">
        <v>0.99999998403115897</v>
      </c>
    </row>
    <row r="4532" spans="1:40" x14ac:dyDescent="0.25">
      <c r="A4532" t="str">
        <f>"20190312151118169"</f>
        <v>20190312151118169</v>
      </c>
      <c r="B4532" t="str">
        <f>"1552374678165594"</f>
        <v>1552374678165594</v>
      </c>
      <c r="C4532" t="s">
        <v>40</v>
      </c>
      <c r="D4532">
        <v>5.3726629999999904</v>
      </c>
      <c r="E4532">
        <v>0.51865360000000005</v>
      </c>
      <c r="F4532" t="s">
        <v>42</v>
      </c>
      <c r="G4532">
        <v>-374.1105</v>
      </c>
      <c r="H4532" s="1">
        <v>-2.8080960000000002E-6</v>
      </c>
      <c r="I4532">
        <v>140.74080000000001</v>
      </c>
      <c r="J4532">
        <v>-355.88319999999999</v>
      </c>
      <c r="K4532">
        <v>1.110276</v>
      </c>
      <c r="L4532">
        <v>141.5403</v>
      </c>
      <c r="M4532">
        <v>-0.99978330000000004</v>
      </c>
      <c r="N4532">
        <v>0</v>
      </c>
      <c r="O4532">
        <v>1.7852360000000001E-2</v>
      </c>
      <c r="P4532">
        <v>-0.99221300000000001</v>
      </c>
      <c r="Q4532">
        <v>9.1081919999999997E-2</v>
      </c>
      <c r="R4532">
        <v>-8.4955530000000001E-2</v>
      </c>
      <c r="S4532">
        <v>-3.0292659999999998</v>
      </c>
      <c r="T4532">
        <v>-0.18150259999999999</v>
      </c>
      <c r="U4532">
        <v>-0.1298676</v>
      </c>
      <c r="V4532">
        <v>-0.1027503</v>
      </c>
      <c r="W4532">
        <v>0.1015918</v>
      </c>
      <c r="X4532">
        <v>0.98950559999999999</v>
      </c>
      <c r="Y4532">
        <v>-6.0521470000000001E-2</v>
      </c>
      <c r="Z4532">
        <v>-2.8789800000000002E-3</v>
      </c>
      <c r="AA4532">
        <v>0.99816269999999996</v>
      </c>
      <c r="AB4532">
        <v>31</v>
      </c>
      <c r="AC4532">
        <v>-18.2273</v>
      </c>
      <c r="AD4532">
        <v>-1.110278808096</v>
      </c>
      <c r="AE4532">
        <v>-0.79949999999999399</v>
      </c>
      <c r="AF4532">
        <v>-1.1206415169274</v>
      </c>
      <c r="AG4532">
        <v>-1.110278808096</v>
      </c>
      <c r="AH4532">
        <v>18.142933004551001</v>
      </c>
      <c r="AI4532">
        <v>93.495272909149804</v>
      </c>
      <c r="AJ4532">
        <v>93.534520022919907</v>
      </c>
      <c r="AK4532">
        <v>18.211385846464101</v>
      </c>
      <c r="AL4532">
        <v>84.169158787840004</v>
      </c>
      <c r="AM4532">
        <v>95.928348923619794</v>
      </c>
      <c r="AN4532">
        <v>0.999999925204342</v>
      </c>
    </row>
    <row r="4533" spans="1:40" x14ac:dyDescent="0.25">
      <c r="A4533" t="str">
        <f>"20190312151118192"</f>
        <v>20190312151118192</v>
      </c>
      <c r="B4533" t="str">
        <f>"1552374678186090"</f>
        <v>1552374678186090</v>
      </c>
      <c r="C4533" t="s">
        <v>40</v>
      </c>
      <c r="D4533">
        <v>5.3028570000000004</v>
      </c>
      <c r="E4533">
        <v>0.51886840000000001</v>
      </c>
      <c r="F4533" t="s">
        <v>42</v>
      </c>
      <c r="G4533">
        <v>-374.79660000000001</v>
      </c>
      <c r="H4533" s="1">
        <v>-2.5128049999999998E-6</v>
      </c>
      <c r="I4533">
        <v>140.7371</v>
      </c>
      <c r="J4533">
        <v>-356.19670000000002</v>
      </c>
      <c r="K4533">
        <v>1.110279</v>
      </c>
      <c r="L4533">
        <v>141.5454</v>
      </c>
      <c r="M4533">
        <v>-0.99979189999999996</v>
      </c>
      <c r="N4533">
        <v>0</v>
      </c>
      <c r="O4533">
        <v>1.736087E-2</v>
      </c>
      <c r="P4533">
        <v>-0.99223079999999997</v>
      </c>
      <c r="Q4533">
        <v>9.1129769999999999E-2</v>
      </c>
      <c r="R4533">
        <v>-8.4697949999999994E-2</v>
      </c>
      <c r="S4533">
        <v>-3.0288089999999999</v>
      </c>
      <c r="T4533">
        <v>-0.17780179999999901</v>
      </c>
      <c r="U4533">
        <v>-0.12861629999999999</v>
      </c>
      <c r="V4533">
        <v>-0.102006</v>
      </c>
      <c r="W4533">
        <v>0.10165009999999999</v>
      </c>
      <c r="X4533">
        <v>0.98957669999999998</v>
      </c>
      <c r="Y4533">
        <v>-5.963359E-2</v>
      </c>
      <c r="Z4533">
        <v>-2.7659849999999999E-3</v>
      </c>
      <c r="AA4533">
        <v>0.99821649999999995</v>
      </c>
      <c r="AB4533">
        <v>31</v>
      </c>
      <c r="AC4533">
        <v>-18.599899999999899</v>
      </c>
      <c r="AD4533">
        <v>-1.1102815128049901</v>
      </c>
      <c r="AE4533">
        <v>-0.80830000000000202</v>
      </c>
      <c r="AF4533">
        <v>-1.1270985899127399</v>
      </c>
      <c r="AG4533">
        <v>-1.1102815128049901</v>
      </c>
      <c r="AH4533">
        <v>18.517206002610699</v>
      </c>
      <c r="AI4533">
        <v>93.424991848349194</v>
      </c>
      <c r="AJ4533">
        <v>93.483161449546799</v>
      </c>
      <c r="AK4533">
        <v>18.5846709524861</v>
      </c>
      <c r="AL4533">
        <v>84.165801534491706</v>
      </c>
      <c r="AM4533">
        <v>95.885287944370603</v>
      </c>
      <c r="AN4533">
        <v>1.00000000602445</v>
      </c>
    </row>
    <row r="4534" spans="1:40" x14ac:dyDescent="0.25">
      <c r="A4534" t="str">
        <f>"20190312151118227"</f>
        <v>20190312151118227</v>
      </c>
      <c r="B4534" t="str">
        <f>"1552374678215370"</f>
        <v>1552374678215370</v>
      </c>
      <c r="C4534" t="s">
        <v>40</v>
      </c>
      <c r="D4534">
        <v>5.2509639999999997</v>
      </c>
      <c r="E4534">
        <v>0.54718809999999996</v>
      </c>
      <c r="F4534" t="s">
        <v>42</v>
      </c>
      <c r="G4534">
        <v>-375.6875</v>
      </c>
      <c r="H4534" s="1">
        <v>-2.130303E-6</v>
      </c>
      <c r="I4534">
        <v>140.73609999999999</v>
      </c>
      <c r="J4534">
        <v>-356.66919999999999</v>
      </c>
      <c r="K4534">
        <v>1.1102829999999999</v>
      </c>
      <c r="L4534">
        <v>141.55279999999999</v>
      </c>
      <c r="M4534">
        <v>-0.99980420000000003</v>
      </c>
      <c r="N4534">
        <v>0</v>
      </c>
      <c r="O4534">
        <v>1.6620639999999999E-2</v>
      </c>
      <c r="P4534">
        <v>-0.99222520000000003</v>
      </c>
      <c r="Q4534">
        <v>9.1539300000000004E-2</v>
      </c>
      <c r="R4534">
        <v>-8.4318879999999999E-2</v>
      </c>
      <c r="S4534">
        <v>-3.0286249999999999</v>
      </c>
      <c r="T4534">
        <v>-0.1725237</v>
      </c>
      <c r="U4534">
        <v>-0.12574769999999999</v>
      </c>
      <c r="V4534">
        <v>-0.1008945</v>
      </c>
      <c r="W4534">
        <v>0.1020813</v>
      </c>
      <c r="X4534">
        <v>0.98964629999999998</v>
      </c>
      <c r="Y4534">
        <v>-5.796482E-2</v>
      </c>
      <c r="Z4534">
        <v>-2.5946329999999998E-3</v>
      </c>
      <c r="AA4534">
        <v>0.99831530000000002</v>
      </c>
      <c r="AB4534">
        <v>31</v>
      </c>
      <c r="AC4534">
        <v>-19.0183</v>
      </c>
      <c r="AD4534">
        <v>-1.1102851303029999</v>
      </c>
      <c r="AE4534">
        <v>-0.81669999999999698</v>
      </c>
      <c r="AF4534">
        <v>-1.1288614102518</v>
      </c>
      <c r="AG4534">
        <v>-1.1102851303029999</v>
      </c>
      <c r="AH4534">
        <v>18.9376731345147</v>
      </c>
      <c r="AI4534">
        <v>93.349386169338999</v>
      </c>
      <c r="AJ4534">
        <v>93.411324592888505</v>
      </c>
      <c r="AK4534">
        <v>19.003750285242301</v>
      </c>
      <c r="AL4534">
        <v>84.140966638178199</v>
      </c>
      <c r="AM4534">
        <v>95.821195632872502</v>
      </c>
      <c r="AN4534">
        <v>1.0000000455218101</v>
      </c>
    </row>
    <row r="4535" spans="1:40" x14ac:dyDescent="0.25">
      <c r="A4535" t="str">
        <f>"20190312151118248"</f>
        <v>20190312151118248</v>
      </c>
      <c r="B4535" t="str">
        <f>"1552374678245626"</f>
        <v>1552374678245626</v>
      </c>
      <c r="C4535" t="s">
        <v>40</v>
      </c>
      <c r="D4535">
        <v>5.2572700000000001</v>
      </c>
      <c r="E4535">
        <v>0.54789149999999998</v>
      </c>
      <c r="F4535" t="s">
        <v>41</v>
      </c>
      <c r="G4535">
        <v>-357.54469999999998</v>
      </c>
      <c r="H4535">
        <v>1.0333920000000001</v>
      </c>
      <c r="I4535">
        <v>141.5806</v>
      </c>
      <c r="J4535">
        <v>-356.96300000000002</v>
      </c>
      <c r="K4535">
        <v>1.1102959999999999</v>
      </c>
      <c r="L4535">
        <v>141.55709999999999</v>
      </c>
      <c r="M4535">
        <v>-0.99981160000000002</v>
      </c>
      <c r="N4535">
        <v>0</v>
      </c>
      <c r="O4535">
        <v>1.6160290000000001E-2</v>
      </c>
      <c r="P4535">
        <v>-0.99215569999999997</v>
      </c>
      <c r="Q4535">
        <v>9.1977390000000006E-2</v>
      </c>
      <c r="R4535">
        <v>-8.4660460000000007E-2</v>
      </c>
      <c r="S4535">
        <v>-3.0565190000000002</v>
      </c>
      <c r="T4535">
        <v>-0.26851979999999998</v>
      </c>
      <c r="U4535">
        <v>9.6252439999999995E-2</v>
      </c>
      <c r="V4535">
        <v>-0.10077940000000001</v>
      </c>
      <c r="W4535">
        <v>0.10253429999999999</v>
      </c>
      <c r="X4535">
        <v>0.98961109999999997</v>
      </c>
      <c r="Y4535">
        <v>1.532118E-2</v>
      </c>
      <c r="Z4535">
        <v>-7.4503809999999998E-4</v>
      </c>
      <c r="AA4535">
        <v>0.9998823</v>
      </c>
      <c r="AB4535">
        <v>31</v>
      </c>
      <c r="AC4535">
        <v>-0.58169999999995503</v>
      </c>
      <c r="AD4535">
        <v>-7.6903999999999806E-2</v>
      </c>
      <c r="AE4535">
        <v>2.3500000000012702E-2</v>
      </c>
      <c r="AF4535">
        <v>1.38541932530765E-2</v>
      </c>
      <c r="AG4535">
        <v>-7.6903999999999806E-2</v>
      </c>
      <c r="AH4535">
        <v>0.57202212215709003</v>
      </c>
      <c r="AI4535">
        <v>97.654848325603396</v>
      </c>
      <c r="AJ4535">
        <v>88.612585744656997</v>
      </c>
      <c r="AK4535">
        <v>0.57733480072120602</v>
      </c>
      <c r="AL4535">
        <v>84.114874175408602</v>
      </c>
      <c r="AM4535">
        <v>95.814805771506997</v>
      </c>
      <c r="AN4535">
        <v>0.99999994969202799</v>
      </c>
    </row>
    <row r="4536" spans="1:40" x14ac:dyDescent="0.25">
      <c r="A4536" t="str">
        <f>"20190312151118271"</f>
        <v>20190312151118271</v>
      </c>
      <c r="B4536" t="str">
        <f>"1552374678266122"</f>
        <v>1552374678266122</v>
      </c>
      <c r="C4536" t="s">
        <v>40</v>
      </c>
      <c r="D4536">
        <v>5.3918889999999999</v>
      </c>
      <c r="E4536">
        <v>0.54787649999999999</v>
      </c>
      <c r="F4536" t="s">
        <v>41</v>
      </c>
      <c r="G4536">
        <v>-357.8211</v>
      </c>
      <c r="H4536">
        <v>1.037677</v>
      </c>
      <c r="I4536">
        <v>141.5855</v>
      </c>
      <c r="J4536">
        <v>-357.26510000000002</v>
      </c>
      <c r="K4536">
        <v>1.110306</v>
      </c>
      <c r="L4536">
        <v>141.5615</v>
      </c>
      <c r="M4536">
        <v>-0.99981889999999995</v>
      </c>
      <c r="N4536">
        <v>0</v>
      </c>
      <c r="O4536">
        <v>1.5687220000000002E-2</v>
      </c>
      <c r="P4536">
        <v>-0.99210790000000004</v>
      </c>
      <c r="Q4536">
        <v>9.2673870000000005E-2</v>
      </c>
      <c r="R4536">
        <v>-8.4461700000000001E-2</v>
      </c>
      <c r="S4536">
        <v>-3.056305</v>
      </c>
      <c r="T4536">
        <v>-0.25862489999999999</v>
      </c>
      <c r="U4536">
        <v>0.10125729999999999</v>
      </c>
      <c r="V4536">
        <v>-0.1001117</v>
      </c>
      <c r="W4536">
        <v>0.1032496</v>
      </c>
      <c r="X4536">
        <v>0.9896045</v>
      </c>
      <c r="Y4536">
        <v>1.7422670000000001E-2</v>
      </c>
      <c r="Z4536">
        <v>-5.8903630000000002E-4</v>
      </c>
      <c r="AA4536">
        <v>0.99984810000000002</v>
      </c>
      <c r="AB4536">
        <v>31</v>
      </c>
      <c r="AC4536">
        <v>-0.55599999999998295</v>
      </c>
      <c r="AD4536">
        <v>-7.2628999999999999E-2</v>
      </c>
      <c r="AE4536">
        <v>2.4000000000000899E-2</v>
      </c>
      <c r="AF4536">
        <v>1.50186502626517E-2</v>
      </c>
      <c r="AG4536">
        <v>-7.2628999999999999E-2</v>
      </c>
      <c r="AH4536">
        <v>0.54699180209730602</v>
      </c>
      <c r="AI4536">
        <v>97.560616032510495</v>
      </c>
      <c r="AJ4536">
        <v>88.427235782559507</v>
      </c>
      <c r="AK4536">
        <v>0.55199688681945402</v>
      </c>
      <c r="AL4536">
        <v>84.073671819685103</v>
      </c>
      <c r="AM4536">
        <v>95.776580235321603</v>
      </c>
      <c r="AN4536">
        <v>0.999999949398648</v>
      </c>
    </row>
    <row r="4537" spans="1:40" x14ac:dyDescent="0.25">
      <c r="A4537" t="str">
        <f>"20190312151118292"</f>
        <v>20190312151118292</v>
      </c>
      <c r="B4537" t="str">
        <f>"1552374678285645"</f>
        <v>1552374678285645</v>
      </c>
      <c r="C4537" t="s">
        <v>40</v>
      </c>
      <c r="D4537">
        <v>5.1815429999999996</v>
      </c>
      <c r="E4537">
        <v>0.54746709999999998</v>
      </c>
      <c r="F4537" t="s">
        <v>41</v>
      </c>
      <c r="G4537">
        <v>-358.09730000000002</v>
      </c>
      <c r="H4537">
        <v>1.0396970000000001</v>
      </c>
      <c r="I4537">
        <v>141.58949999999999</v>
      </c>
      <c r="J4537">
        <v>-357.57319999999999</v>
      </c>
      <c r="K4537">
        <v>1.110312</v>
      </c>
      <c r="L4537">
        <v>141.5659</v>
      </c>
      <c r="M4537">
        <v>-0.9998262</v>
      </c>
      <c r="N4537">
        <v>0</v>
      </c>
      <c r="O4537">
        <v>1.5204469999999999E-2</v>
      </c>
      <c r="P4537">
        <v>-0.9920291</v>
      </c>
      <c r="Q4537">
        <v>9.3189250000000001E-2</v>
      </c>
      <c r="R4537">
        <v>-8.4819480000000003E-2</v>
      </c>
      <c r="S4537">
        <v>-3.0567630000000001</v>
      </c>
      <c r="T4537">
        <v>-0.25952360000000002</v>
      </c>
      <c r="U4537">
        <v>0.10174560000000001</v>
      </c>
      <c r="V4537">
        <v>-9.9990469999999998E-2</v>
      </c>
      <c r="W4537">
        <v>0.1037869</v>
      </c>
      <c r="X4537">
        <v>0.98956060000000001</v>
      </c>
      <c r="Y4537">
        <v>1.8055959999999999E-2</v>
      </c>
      <c r="Z4537">
        <v>-5.232635E-4</v>
      </c>
      <c r="AA4537">
        <v>0.99983690000000003</v>
      </c>
      <c r="AB4537">
        <v>31</v>
      </c>
      <c r="AC4537">
        <v>-0.52410000000003198</v>
      </c>
      <c r="AD4537">
        <v>-7.0615000000000303E-2</v>
      </c>
      <c r="AE4537">
        <v>2.35999999999876E-2</v>
      </c>
      <c r="AF4537">
        <v>1.53500485485728E-2</v>
      </c>
      <c r="AG4537">
        <v>-7.0615000000000303E-2</v>
      </c>
      <c r="AH4537">
        <v>0.51506679930755295</v>
      </c>
      <c r="AI4537">
        <v>97.803088650463195</v>
      </c>
      <c r="AJ4537">
        <v>88.292973339652903</v>
      </c>
      <c r="AK4537">
        <v>0.520111439947604</v>
      </c>
      <c r="AL4537">
        <v>84.042720801076001</v>
      </c>
      <c r="AM4537">
        <v>95.769886553662005</v>
      </c>
      <c r="AN4537">
        <v>0.99999999788739502</v>
      </c>
    </row>
    <row r="4538" spans="1:40" x14ac:dyDescent="0.25">
      <c r="A4538" t="str">
        <f>"20190312151118314"</f>
        <v>20190312151118314</v>
      </c>
      <c r="B4538" t="str">
        <f>"1552374678306138"</f>
        <v>1552374678306138</v>
      </c>
      <c r="C4538" t="s">
        <v>40</v>
      </c>
      <c r="D4538">
        <v>5.2236269999999996</v>
      </c>
      <c r="E4538">
        <v>0.54703519999999894</v>
      </c>
      <c r="F4538" t="s">
        <v>41</v>
      </c>
      <c r="G4538">
        <v>-358.37430000000001</v>
      </c>
      <c r="H4538">
        <v>1.0421129999999901</v>
      </c>
      <c r="I4538">
        <v>141.59139999999999</v>
      </c>
      <c r="J4538">
        <v>-357.88189999999997</v>
      </c>
      <c r="K4538">
        <v>1.1103179999999999</v>
      </c>
      <c r="L4538">
        <v>141.5701</v>
      </c>
      <c r="M4538">
        <v>-0.99983319999999998</v>
      </c>
      <c r="N4538">
        <v>0</v>
      </c>
      <c r="O4538">
        <v>1.472147E-2</v>
      </c>
      <c r="P4538">
        <v>-0.99190880000000003</v>
      </c>
      <c r="Q4538">
        <v>9.4122189999999994E-2</v>
      </c>
      <c r="R4538">
        <v>-8.5196850000000005E-2</v>
      </c>
      <c r="S4538">
        <v>-3.056915</v>
      </c>
      <c r="T4538">
        <v>-0.26020409999999999</v>
      </c>
      <c r="U4538">
        <v>9.7503660000000006E-2</v>
      </c>
      <c r="V4538">
        <v>-9.988843E-2</v>
      </c>
      <c r="W4538">
        <v>0.1047425</v>
      </c>
      <c r="X4538">
        <v>0.98947019999999997</v>
      </c>
      <c r="Y4538">
        <v>1.7152799999999999E-2</v>
      </c>
      <c r="Z4538">
        <v>-5.2195720000000004E-4</v>
      </c>
      <c r="AA4538">
        <v>0.99985270000000004</v>
      </c>
      <c r="AB4538">
        <v>31</v>
      </c>
      <c r="AC4538">
        <v>-0.49240000000003098</v>
      </c>
      <c r="AD4538">
        <v>-6.8205000000000293E-2</v>
      </c>
      <c r="AE4538">
        <v>2.1299999999996499E-2</v>
      </c>
      <c r="AF4538">
        <v>1.37844346941066E-2</v>
      </c>
      <c r="AG4538">
        <v>-6.8205000000000293E-2</v>
      </c>
      <c r="AH4538">
        <v>0.48340272362707698</v>
      </c>
      <c r="AI4538">
        <v>98.027831154624295</v>
      </c>
      <c r="AJ4538">
        <v>88.366629045390098</v>
      </c>
      <c r="AK4538">
        <v>0.48838522282611302</v>
      </c>
      <c r="AL4538">
        <v>83.987668807518006</v>
      </c>
      <c r="AM4538">
        <v>95.764561135705705</v>
      </c>
      <c r="AN4538">
        <v>0.99999998322107697</v>
      </c>
    </row>
    <row r="4539" spans="1:40" x14ac:dyDescent="0.25">
      <c r="A4539" t="str">
        <f>"20190312151118337"</f>
        <v>20190312151118337</v>
      </c>
      <c r="B4539" t="str">
        <f>"1552374678325658"</f>
        <v>1552374678325658</v>
      </c>
      <c r="C4539" t="s">
        <v>40</v>
      </c>
      <c r="D4539">
        <v>5.2843790000000004</v>
      </c>
      <c r="E4539">
        <v>0.54693029999999998</v>
      </c>
      <c r="F4539" t="s">
        <v>41</v>
      </c>
      <c r="G4539">
        <v>-358.64940000000001</v>
      </c>
      <c r="H4539">
        <v>1.0422819999999999</v>
      </c>
      <c r="I4539">
        <v>141.59370000000001</v>
      </c>
      <c r="J4539">
        <v>-358.18419999999998</v>
      </c>
      <c r="K4539">
        <v>1.1103240000000001</v>
      </c>
      <c r="L4539">
        <v>141.57399999999899</v>
      </c>
      <c r="M4539">
        <v>-0.9998397</v>
      </c>
      <c r="N4539">
        <v>0</v>
      </c>
      <c r="O4539">
        <v>1.424836E-2</v>
      </c>
      <c r="P4539">
        <v>-0.99190829999999997</v>
      </c>
      <c r="Q4539">
        <v>9.3941730000000001E-2</v>
      </c>
      <c r="R4539">
        <v>-8.5401370000000004E-2</v>
      </c>
      <c r="S4539">
        <v>-3.0581969999999998</v>
      </c>
      <c r="T4539">
        <v>-0.2712735</v>
      </c>
      <c r="U4539">
        <v>9.2605590000000002E-2</v>
      </c>
      <c r="V4539">
        <v>-9.9624400000000002E-2</v>
      </c>
      <c r="W4539">
        <v>0.104588899999999</v>
      </c>
      <c r="X4539">
        <v>0.98951310000000003</v>
      </c>
      <c r="Y4539">
        <v>1.6014569999999999E-2</v>
      </c>
      <c r="Z4539">
        <v>-5.5237020000000001E-4</v>
      </c>
      <c r="AA4539">
        <v>0.99987159999999997</v>
      </c>
      <c r="AB4539">
        <v>31</v>
      </c>
      <c r="AC4539">
        <v>-0.46520000000003803</v>
      </c>
      <c r="AD4539">
        <v>-6.8042000000000102E-2</v>
      </c>
      <c r="AE4539">
        <v>1.9700000000028601E-2</v>
      </c>
      <c r="AF4539">
        <v>1.27960161857903E-2</v>
      </c>
      <c r="AG4539">
        <v>-6.8042000000000102E-2</v>
      </c>
      <c r="AH4539">
        <v>0.45570202947896699</v>
      </c>
      <c r="AI4539">
        <v>98.488939315341199</v>
      </c>
      <c r="AJ4539">
        <v>88.391569328922202</v>
      </c>
      <c r="AK4539">
        <v>0.46093143900744699</v>
      </c>
      <c r="AL4539">
        <v>83.996518248170503</v>
      </c>
      <c r="AM4539">
        <v>95.749178584425493</v>
      </c>
      <c r="AN4539">
        <v>1.00000001707508</v>
      </c>
    </row>
    <row r="4540" spans="1:40" x14ac:dyDescent="0.25">
      <c r="A4540" t="str">
        <f>"20190312151118359"</f>
        <v>20190312151118359</v>
      </c>
      <c r="B4540" t="str">
        <f>"1552374678355914"</f>
        <v>1552374678355914</v>
      </c>
      <c r="C4540" t="s">
        <v>40</v>
      </c>
      <c r="D4540">
        <v>5.2389849999999996</v>
      </c>
      <c r="E4540">
        <v>0.54677529999999996</v>
      </c>
      <c r="F4540" t="s">
        <v>41</v>
      </c>
      <c r="G4540">
        <v>-358.92559999999997</v>
      </c>
      <c r="H4540">
        <v>1.0433969999999999</v>
      </c>
      <c r="I4540">
        <v>141.59610000000001</v>
      </c>
      <c r="J4540">
        <v>-358.48860000000002</v>
      </c>
      <c r="K4540">
        <v>1.1103289999999999</v>
      </c>
      <c r="L4540">
        <v>141.5779</v>
      </c>
      <c r="M4540">
        <v>-0.99984600000000001</v>
      </c>
      <c r="N4540">
        <v>0</v>
      </c>
      <c r="O4540">
        <v>1.377195E-2</v>
      </c>
      <c r="P4540">
        <v>-0.99187510000000001</v>
      </c>
      <c r="Q4540">
        <v>9.4168879999999996E-2</v>
      </c>
      <c r="R4540">
        <v>-8.5535280000000005E-2</v>
      </c>
      <c r="S4540">
        <v>-3.058411</v>
      </c>
      <c r="T4540">
        <v>-0.27613330000000003</v>
      </c>
      <c r="U4540">
        <v>9.1094969999999997E-2</v>
      </c>
      <c r="V4540">
        <v>-9.9285750000000006E-2</v>
      </c>
      <c r="W4540">
        <v>0.10484499999999999</v>
      </c>
      <c r="X4540">
        <v>0.98951999999999996</v>
      </c>
      <c r="Y4540">
        <v>1.5993360000000002E-2</v>
      </c>
      <c r="Z4540">
        <v>-5.2023640000000001E-4</v>
      </c>
      <c r="AA4540">
        <v>0.99987199999999998</v>
      </c>
      <c r="AB4540">
        <v>31</v>
      </c>
      <c r="AC4540">
        <v>-0.43699999999995498</v>
      </c>
      <c r="AD4540">
        <v>-6.69320000000002E-2</v>
      </c>
      <c r="AE4540">
        <v>1.8200000000007301E-2</v>
      </c>
      <c r="AF4540">
        <v>1.1900879292477601E-2</v>
      </c>
      <c r="AG4540">
        <v>-6.69320000000002E-2</v>
      </c>
      <c r="AH4540">
        <v>0.42720487873442498</v>
      </c>
      <c r="AI4540">
        <v>98.900987739325998</v>
      </c>
      <c r="AJ4540">
        <v>88.404292916219205</v>
      </c>
      <c r="AK4540">
        <v>0.43258008734386799</v>
      </c>
      <c r="AL4540">
        <v>83.981763469488598</v>
      </c>
      <c r="AM4540">
        <v>95.729726153624696</v>
      </c>
      <c r="AN4540">
        <v>0.99999998228903098</v>
      </c>
    </row>
    <row r="4541" spans="1:40" x14ac:dyDescent="0.25">
      <c r="A4541" t="str">
        <f>"20190312151118382"</f>
        <v>20190312151118382</v>
      </c>
      <c r="B4541" t="str">
        <f>"1552374678375435"</f>
        <v>1552374678375435</v>
      </c>
      <c r="C4541" t="s">
        <v>40</v>
      </c>
      <c r="D4541">
        <v>5.3904800000000002</v>
      </c>
      <c r="E4541">
        <v>0.54671190000000003</v>
      </c>
      <c r="F4541" t="s">
        <v>41</v>
      </c>
      <c r="G4541">
        <v>-359.46210000000002</v>
      </c>
      <c r="H4541">
        <v>1.020551</v>
      </c>
      <c r="I4541">
        <v>141.60640000000001</v>
      </c>
      <c r="J4541">
        <v>-358.80399999999997</v>
      </c>
      <c r="K4541">
        <v>1.1103339999999999</v>
      </c>
      <c r="L4541">
        <v>141.58170000000001</v>
      </c>
      <c r="M4541">
        <v>-0.99985239999999997</v>
      </c>
      <c r="N4541">
        <v>0</v>
      </c>
      <c r="O4541">
        <v>1.327849E-2</v>
      </c>
      <c r="P4541">
        <v>-0.99182780000000004</v>
      </c>
      <c r="Q4541">
        <v>9.4632069999999999E-2</v>
      </c>
      <c r="R4541">
        <v>-8.5571380000000002E-2</v>
      </c>
      <c r="S4541">
        <v>-3.0590519999999999</v>
      </c>
      <c r="T4541">
        <v>-0.28218510000000002</v>
      </c>
      <c r="U4541">
        <v>8.9202879999999998E-2</v>
      </c>
      <c r="V4541">
        <v>-9.8833279999999996E-2</v>
      </c>
      <c r="W4541">
        <v>0.10533720000000001</v>
      </c>
      <c r="X4541">
        <v>0.98951299999999998</v>
      </c>
      <c r="Y4541">
        <v>1.586075E-2</v>
      </c>
      <c r="Z4541">
        <v>-4.9217960000000002E-4</v>
      </c>
      <c r="AA4541">
        <v>0.99987409999999999</v>
      </c>
      <c r="AB4541">
        <v>31</v>
      </c>
      <c r="AC4541">
        <v>-0.65809999999999003</v>
      </c>
      <c r="AD4541">
        <v>-8.9782999999999905E-2</v>
      </c>
      <c r="AE4541">
        <v>2.4699999999995701E-2</v>
      </c>
      <c r="AF4541">
        <v>1.5667527006072601E-2</v>
      </c>
      <c r="AG4541">
        <v>-8.9782999999999905E-2</v>
      </c>
      <c r="AH4541">
        <v>0.64635658949842201</v>
      </c>
      <c r="AI4541">
        <v>97.905848316821803</v>
      </c>
      <c r="AJ4541">
        <v>88.611436112197595</v>
      </c>
      <c r="AK4541">
        <v>0.65275056436553003</v>
      </c>
      <c r="AL4541">
        <v>83.953405321371307</v>
      </c>
      <c r="AM4541">
        <v>95.703827005108195</v>
      </c>
      <c r="AN4541">
        <v>0.999999960054198</v>
      </c>
    </row>
    <row r="4542" spans="1:40" x14ac:dyDescent="0.25">
      <c r="A4542" t="str">
        <f>"20190312151118404"</f>
        <v>20190312151118404</v>
      </c>
      <c r="B4542" t="str">
        <f>"1552374678395930"</f>
        <v>1552374678395930</v>
      </c>
      <c r="C4542" t="s">
        <v>40</v>
      </c>
      <c r="D4542">
        <v>5.4637640000000003</v>
      </c>
      <c r="E4542">
        <v>0.546655</v>
      </c>
      <c r="F4542" t="s">
        <v>41</v>
      </c>
      <c r="G4542">
        <v>-359.7396</v>
      </c>
      <c r="H4542">
        <v>1.025048</v>
      </c>
      <c r="I4542">
        <v>141.60910000000001</v>
      </c>
      <c r="J4542">
        <v>-359.11200000000002</v>
      </c>
      <c r="K4542">
        <v>1.1103339999999999</v>
      </c>
      <c r="L4542">
        <v>141.58519999999999</v>
      </c>
      <c r="M4542">
        <v>-0.99985840000000004</v>
      </c>
      <c r="N4542">
        <v>0</v>
      </c>
      <c r="O4542">
        <v>1.279632E-2</v>
      </c>
      <c r="P4542">
        <v>-0.99183699999999997</v>
      </c>
      <c r="Q4542">
        <v>9.4653260000000003E-2</v>
      </c>
      <c r="R4542">
        <v>-8.5441420000000004E-2</v>
      </c>
      <c r="S4542">
        <v>-3.0590519999999999</v>
      </c>
      <c r="T4542">
        <v>-0.2789317</v>
      </c>
      <c r="U4542">
        <v>8.8653560000000006E-2</v>
      </c>
      <c r="V4542">
        <v>-9.8225969999999996E-2</v>
      </c>
      <c r="W4542">
        <v>0.10538549999999999</v>
      </c>
      <c r="X4542">
        <v>0.98956840000000001</v>
      </c>
      <c r="Y4542">
        <v>1.6160549999999999E-2</v>
      </c>
      <c r="Z4542">
        <v>-4.2903309999999998E-4</v>
      </c>
      <c r="AA4542">
        <v>0.99986929999999996</v>
      </c>
      <c r="AB4542">
        <v>31</v>
      </c>
      <c r="AC4542">
        <v>-0.62760000000002902</v>
      </c>
      <c r="AD4542">
        <v>-8.5285999999999904E-2</v>
      </c>
      <c r="AE4542">
        <v>2.3900000000026001E-2</v>
      </c>
      <c r="AF4542">
        <v>1.5579310804847301E-2</v>
      </c>
      <c r="AG4542">
        <v>-8.5285999999999904E-2</v>
      </c>
      <c r="AH4542">
        <v>0.61648646536234997</v>
      </c>
      <c r="AI4542">
        <v>97.873939358018603</v>
      </c>
      <c r="AJ4542">
        <v>88.552378908712697</v>
      </c>
      <c r="AK4542">
        <v>0.62255279189488699</v>
      </c>
      <c r="AL4542">
        <v>83.950622879662305</v>
      </c>
      <c r="AM4542">
        <v>95.668691860588893</v>
      </c>
      <c r="AN4542">
        <v>1.0000000315356199</v>
      </c>
    </row>
    <row r="4543" spans="1:40" x14ac:dyDescent="0.25">
      <c r="A4543" t="str">
        <f>"20190312151118428"</f>
        <v>20190312151118428</v>
      </c>
      <c r="B4543" t="str">
        <f>"1552374678415450"</f>
        <v>1552374678415450</v>
      </c>
      <c r="C4543" t="s">
        <v>40</v>
      </c>
      <c r="D4543">
        <v>5.3489100000000001</v>
      </c>
      <c r="E4543">
        <v>0.57803509999999902</v>
      </c>
      <c r="F4543" t="s">
        <v>41</v>
      </c>
      <c r="G4543">
        <v>-360.01710000000003</v>
      </c>
      <c r="H4543">
        <v>1.028921</v>
      </c>
      <c r="I4543">
        <v>141.61160000000001</v>
      </c>
      <c r="J4543">
        <v>-359.4298</v>
      </c>
      <c r="K4543">
        <v>1.110339</v>
      </c>
      <c r="L4543">
        <v>141.58879999999999</v>
      </c>
      <c r="M4543">
        <v>-0.99986430000000004</v>
      </c>
      <c r="N4543">
        <v>0</v>
      </c>
      <c r="O4543">
        <v>1.2298959999999999E-2</v>
      </c>
      <c r="P4543">
        <v>-0.99184329999999998</v>
      </c>
      <c r="Q4543">
        <v>9.4519420000000007E-2</v>
      </c>
      <c r="R4543">
        <v>-8.5515889999999997E-2</v>
      </c>
      <c r="S4543">
        <v>-3.0585939999999998</v>
      </c>
      <c r="T4543">
        <v>-0.27511370000000002</v>
      </c>
      <c r="U4543">
        <v>8.9065549999999993E-2</v>
      </c>
      <c r="V4543">
        <v>-9.780759E-2</v>
      </c>
      <c r="W4543">
        <v>0.10527739999999999</v>
      </c>
      <c r="X4543">
        <v>0.98962130000000004</v>
      </c>
      <c r="Y4543">
        <v>1.6792620000000001E-2</v>
      </c>
      <c r="Z4543">
        <v>-3.502499E-4</v>
      </c>
      <c r="AA4543">
        <v>0.99985889999999999</v>
      </c>
      <c r="AB4543">
        <v>31</v>
      </c>
      <c r="AC4543">
        <v>-0.58730000000002702</v>
      </c>
      <c r="AD4543">
        <v>-8.1417999999999893E-2</v>
      </c>
      <c r="AE4543">
        <v>2.28000000000179E-2</v>
      </c>
      <c r="AF4543">
        <v>1.52814173633124E-2</v>
      </c>
      <c r="AG4543">
        <v>-8.1417999999999893E-2</v>
      </c>
      <c r="AH4543">
        <v>0.57647368516757902</v>
      </c>
      <c r="AI4543">
        <v>98.036187103761705</v>
      </c>
      <c r="AJ4543">
        <v>88.4815339466181</v>
      </c>
      <c r="AK4543">
        <v>0.582395331481392</v>
      </c>
      <c r="AL4543">
        <v>83.956850927228899</v>
      </c>
      <c r="AM4543">
        <v>95.644403320042002</v>
      </c>
      <c r="AN4543">
        <v>0.99999998651302902</v>
      </c>
    </row>
    <row r="4544" spans="1:40" x14ac:dyDescent="0.25">
      <c r="A4544" t="str">
        <f>"20190312151118449"</f>
        <v>20190312151118449</v>
      </c>
      <c r="B4544" t="str">
        <f>"1552374678445706"</f>
        <v>1552374678445706</v>
      </c>
      <c r="C4544" t="s">
        <v>40</v>
      </c>
      <c r="D4544">
        <v>5.3484699999999998</v>
      </c>
      <c r="E4544">
        <v>0.58021369999999906</v>
      </c>
      <c r="F4544" t="s">
        <v>41</v>
      </c>
      <c r="G4544">
        <v>-360.30360000000002</v>
      </c>
      <c r="H4544">
        <v>1.049776</v>
      </c>
      <c r="I4544">
        <v>141.68639999999999</v>
      </c>
      <c r="J4544">
        <v>-359.72590000000002</v>
      </c>
      <c r="K4544">
        <v>1.110341</v>
      </c>
      <c r="L4544">
        <v>141.59190000000001</v>
      </c>
      <c r="M4544">
        <v>-0.99986969999999997</v>
      </c>
      <c r="N4544">
        <v>0</v>
      </c>
      <c r="O4544">
        <v>1.183554E-2</v>
      </c>
      <c r="P4544">
        <v>-0.99187829999999999</v>
      </c>
      <c r="Q4544">
        <v>9.4593499999999997E-2</v>
      </c>
      <c r="R4544">
        <v>-8.5028599999999996E-2</v>
      </c>
      <c r="S4544">
        <v>-3.0744319999999998</v>
      </c>
      <c r="T4544">
        <v>-0.2132646</v>
      </c>
      <c r="U4544">
        <v>0.34147640000000001</v>
      </c>
      <c r="V4544">
        <v>-9.6861829999999996E-2</v>
      </c>
      <c r="W4544">
        <v>0.1053746</v>
      </c>
      <c r="X4544">
        <v>0.98970400000000003</v>
      </c>
      <c r="Y4544">
        <v>9.8413840000000002E-2</v>
      </c>
      <c r="Z4544">
        <v>2.5814259999999999E-3</v>
      </c>
      <c r="AA4544">
        <v>0.99514219999999998</v>
      </c>
      <c r="AB4544">
        <v>31</v>
      </c>
      <c r="AC4544">
        <v>-0.577699999999992</v>
      </c>
      <c r="AD4544">
        <v>-6.0564999999999897E-2</v>
      </c>
      <c r="AE4544">
        <v>9.4499999999982195E-2</v>
      </c>
      <c r="AF4544">
        <v>8.6727196711872401E-2</v>
      </c>
      <c r="AG4544">
        <v>-6.0564999999999897E-2</v>
      </c>
      <c r="AH4544">
        <v>0.57264808833289604</v>
      </c>
      <c r="AI4544">
        <v>95.969755720460498</v>
      </c>
      <c r="AJ4544">
        <v>81.3880358319024</v>
      </c>
      <c r="AK4544">
        <v>0.58233629368760798</v>
      </c>
      <c r="AL4544">
        <v>83.951250794139199</v>
      </c>
      <c r="AM4544">
        <v>95.589707436800794</v>
      </c>
      <c r="AN4544">
        <v>1.0000000140260501</v>
      </c>
    </row>
    <row r="4545" spans="1:40" x14ac:dyDescent="0.25">
      <c r="A4545" t="str">
        <f>"20190312151118472"</f>
        <v>20190312151118472</v>
      </c>
      <c r="B4545" t="str">
        <f>"1552374678466206"</f>
        <v>1552374678466206</v>
      </c>
      <c r="C4545" t="s">
        <v>40</v>
      </c>
      <c r="D4545">
        <v>5.3834540000000004</v>
      </c>
      <c r="E4545">
        <v>0.58090830000000004</v>
      </c>
      <c r="F4545" t="s">
        <v>41</v>
      </c>
      <c r="G4545">
        <v>-360.58429999999998</v>
      </c>
      <c r="H4545">
        <v>1.0539799999999999</v>
      </c>
      <c r="I4545">
        <v>141.6927</v>
      </c>
      <c r="J4545">
        <v>-360.03519999999997</v>
      </c>
      <c r="K4545">
        <v>1.110344</v>
      </c>
      <c r="L4545">
        <v>141.5951</v>
      </c>
      <c r="M4545">
        <v>-0.99987519999999996</v>
      </c>
      <c r="N4545">
        <v>0</v>
      </c>
      <c r="O4545">
        <v>1.135137E-2</v>
      </c>
      <c r="P4545">
        <v>-0.99184439999999996</v>
      </c>
      <c r="Q4545">
        <v>9.4806249999999995E-2</v>
      </c>
      <c r="R4545">
        <v>-8.5186070000000003E-2</v>
      </c>
      <c r="S4545">
        <v>-3.0747680000000002</v>
      </c>
      <c r="T4545">
        <v>-0.2018963</v>
      </c>
      <c r="U4545">
        <v>0.36105350000000003</v>
      </c>
      <c r="V4545">
        <v>-9.6538979999999996E-2</v>
      </c>
      <c r="W4545">
        <v>0.1056079</v>
      </c>
      <c r="X4545">
        <v>0.98971070000000005</v>
      </c>
      <c r="Y4545">
        <v>0.1051421</v>
      </c>
      <c r="Z4545">
        <v>2.6945300000000001E-3</v>
      </c>
      <c r="AA4545">
        <v>0.99445349999999999</v>
      </c>
      <c r="AB4545">
        <v>31</v>
      </c>
      <c r="AC4545">
        <v>-0.54910000000000903</v>
      </c>
      <c r="AD4545">
        <v>-5.6363999999999997E-2</v>
      </c>
      <c r="AE4545">
        <v>9.7599999999999895E-2</v>
      </c>
      <c r="AF4545">
        <v>9.0436585991351598E-2</v>
      </c>
      <c r="AG4545">
        <v>-5.6363999999999997E-2</v>
      </c>
      <c r="AH4545">
        <v>0.54460997942718803</v>
      </c>
      <c r="AI4545">
        <v>95.829480518581605</v>
      </c>
      <c r="AJ4545">
        <v>80.571639038931295</v>
      </c>
      <c r="AK4545">
        <v>0.55493756970802899</v>
      </c>
      <c r="AL4545">
        <v>83.937808821512306</v>
      </c>
      <c r="AM4545">
        <v>95.571156321772193</v>
      </c>
      <c r="AN4545">
        <v>1.00000003644816</v>
      </c>
    </row>
    <row r="4546" spans="1:40" x14ac:dyDescent="0.25">
      <c r="A4546" t="str">
        <f>"20190312151118493"</f>
        <v>20190312151118493</v>
      </c>
      <c r="B4546" t="str">
        <f>"1552374678485727"</f>
        <v>1552374678485727</v>
      </c>
      <c r="C4546" t="s">
        <v>40</v>
      </c>
      <c r="D4546">
        <v>5.3989129999999896</v>
      </c>
      <c r="E4546">
        <v>0.58128599999999997</v>
      </c>
      <c r="F4546" t="s">
        <v>42</v>
      </c>
      <c r="G4546">
        <v>-376.97730000000001</v>
      </c>
      <c r="H4546" s="1">
        <v>-2.3419910000000002E-6</v>
      </c>
      <c r="I4546">
        <v>143.61109999999999</v>
      </c>
      <c r="J4546">
        <v>-360.33530000000002</v>
      </c>
      <c r="K4546">
        <v>1.110347</v>
      </c>
      <c r="L4546">
        <v>141.59799999999899</v>
      </c>
      <c r="M4546">
        <v>-0.9998802</v>
      </c>
      <c r="N4546">
        <v>0</v>
      </c>
      <c r="O4546">
        <v>1.088189E-2</v>
      </c>
      <c r="P4546">
        <v>-0.99180199999999996</v>
      </c>
      <c r="Q4546">
        <v>9.5227320000000004E-2</v>
      </c>
      <c r="R4546">
        <v>-8.5210640000000004E-2</v>
      </c>
      <c r="S4546">
        <v>-3.0754090000000001</v>
      </c>
      <c r="T4546">
        <v>-0.20155600000000001</v>
      </c>
      <c r="U4546">
        <v>0.36596679999999998</v>
      </c>
      <c r="V4546">
        <v>-9.6098879999999998E-2</v>
      </c>
      <c r="W4546">
        <v>0.106047</v>
      </c>
      <c r="X4546">
        <v>0.98970650000000004</v>
      </c>
      <c r="Y4546">
        <v>0.1071472</v>
      </c>
      <c r="Z4546">
        <v>2.785217E-3</v>
      </c>
      <c r="AA4546">
        <v>0.99423930000000005</v>
      </c>
      <c r="AB4546">
        <v>31</v>
      </c>
      <c r="AC4546">
        <v>-16.6419999999999</v>
      </c>
      <c r="AD4546">
        <v>-1.110349341991</v>
      </c>
      <c r="AE4546">
        <v>2.0131000000000001</v>
      </c>
      <c r="AF4546">
        <v>1.82387149418088</v>
      </c>
      <c r="AG4546">
        <v>-1.110349341991</v>
      </c>
      <c r="AH4546">
        <v>16.590135916235901</v>
      </c>
      <c r="AI4546">
        <v>93.806134172602199</v>
      </c>
      <c r="AJ4546">
        <v>83.726262138578704</v>
      </c>
      <c r="AK4546">
        <v>16.7269839662662</v>
      </c>
      <c r="AL4546">
        <v>83.912507693818696</v>
      </c>
      <c r="AM4546">
        <v>95.545940731348196</v>
      </c>
      <c r="AN4546">
        <v>0.99999995854425106</v>
      </c>
    </row>
    <row r="4547" spans="1:40" x14ac:dyDescent="0.25">
      <c r="A4547" t="str">
        <f>"20190312151118516"</f>
        <v>20190312151118516</v>
      </c>
      <c r="B4547" t="str">
        <f>"1552374678506218"</f>
        <v>1552374678506218</v>
      </c>
      <c r="C4547" t="s">
        <v>40</v>
      </c>
      <c r="D4547">
        <v>5.3420500000000004</v>
      </c>
      <c r="E4547">
        <v>0.58163290000000001</v>
      </c>
      <c r="F4547" t="s">
        <v>42</v>
      </c>
      <c r="G4547">
        <v>-377.12490000000003</v>
      </c>
      <c r="H4547" s="1">
        <v>-2.2787910000000001E-6</v>
      </c>
      <c r="I4547">
        <v>143.61160000000001</v>
      </c>
      <c r="J4547">
        <v>-360.65660000000003</v>
      </c>
      <c r="K4547">
        <v>1.1103590000000001</v>
      </c>
      <c r="L4547">
        <v>141.6009</v>
      </c>
      <c r="M4547">
        <v>-0.99988540000000004</v>
      </c>
      <c r="N4547">
        <v>0</v>
      </c>
      <c r="O4547">
        <v>1.0379269999999999E-2</v>
      </c>
      <c r="P4547">
        <v>-0.99174240000000002</v>
      </c>
      <c r="Q4547">
        <v>9.541608E-2</v>
      </c>
      <c r="R4547">
        <v>-8.5691820000000002E-2</v>
      </c>
      <c r="S4547">
        <v>-3.0760190000000001</v>
      </c>
      <c r="T4547">
        <v>-0.20342759999999999</v>
      </c>
      <c r="U4547">
        <v>0.368927</v>
      </c>
      <c r="V4547">
        <v>-9.6081180000000002E-2</v>
      </c>
      <c r="W4547">
        <v>0.10625279999999999</v>
      </c>
      <c r="X4547">
        <v>0.98968619999999996</v>
      </c>
      <c r="Y4547">
        <v>0.1085593</v>
      </c>
      <c r="Z4547">
        <v>2.8898639999999998E-3</v>
      </c>
      <c r="AA4547">
        <v>0.99408580000000002</v>
      </c>
      <c r="AB4547">
        <v>31</v>
      </c>
      <c r="AC4547">
        <v>-16.468299999999999</v>
      </c>
      <c r="AD4547">
        <v>-1.110361278791</v>
      </c>
      <c r="AE4547">
        <v>2.0107000000000101</v>
      </c>
      <c r="AF4547">
        <v>1.8314488584481901</v>
      </c>
      <c r="AG4547">
        <v>-1.110361278791</v>
      </c>
      <c r="AH4547">
        <v>16.4147579675844</v>
      </c>
      <c r="AI4547">
        <v>93.846032796053706</v>
      </c>
      <c r="AJ4547">
        <v>83.6336505608773</v>
      </c>
      <c r="AK4547">
        <v>16.553893385694099</v>
      </c>
      <c r="AL4547">
        <v>83.900649553903904</v>
      </c>
      <c r="AM4547">
        <v>95.545038643492802</v>
      </c>
      <c r="AN4547">
        <v>1.0000000125642301</v>
      </c>
    </row>
    <row r="4548" spans="1:40" x14ac:dyDescent="0.25">
      <c r="A4548" t="str">
        <f>"20190312151118538"</f>
        <v>20190312151118538</v>
      </c>
      <c r="B4548" t="str">
        <f>"1552374678535498"</f>
        <v>1552374678535498</v>
      </c>
      <c r="C4548" t="s">
        <v>40</v>
      </c>
      <c r="D4548">
        <v>5.3153779999999999</v>
      </c>
      <c r="E4548">
        <v>0.58231309999999903</v>
      </c>
      <c r="F4548" t="s">
        <v>42</v>
      </c>
      <c r="G4548">
        <v>-377.27100000000002</v>
      </c>
      <c r="H4548" s="1">
        <v>-2.212309E-6</v>
      </c>
      <c r="I4548">
        <v>143.59719999999999</v>
      </c>
      <c r="J4548">
        <v>-360.95339999999999</v>
      </c>
      <c r="K4548">
        <v>1.1103620000000001</v>
      </c>
      <c r="L4548">
        <v>141.6035</v>
      </c>
      <c r="M4548">
        <v>-0.9998899</v>
      </c>
      <c r="N4548">
        <v>0</v>
      </c>
      <c r="O4548">
        <v>9.9148780000000002E-3</v>
      </c>
      <c r="P4548">
        <v>-0.99161520000000003</v>
      </c>
      <c r="Q4548">
        <v>9.6366809999999997E-2</v>
      </c>
      <c r="R4548">
        <v>-8.60982E-2</v>
      </c>
      <c r="S4548">
        <v>-3.07666</v>
      </c>
      <c r="T4548">
        <v>-0.205618</v>
      </c>
      <c r="U4548">
        <v>0.36968990000000002</v>
      </c>
      <c r="V4548">
        <v>-9.6027779999999993E-2</v>
      </c>
      <c r="W4548">
        <v>0.1072166</v>
      </c>
      <c r="X4548">
        <v>0.98958740000000001</v>
      </c>
      <c r="Y4548">
        <v>0.1092325</v>
      </c>
      <c r="Z4548">
        <v>2.9735400000000002E-3</v>
      </c>
      <c r="AA4548">
        <v>0.9940118</v>
      </c>
      <c r="AB4548">
        <v>31</v>
      </c>
      <c r="AC4548">
        <v>-16.317599999999899</v>
      </c>
      <c r="AD4548">
        <v>-1.1103642123090001</v>
      </c>
      <c r="AE4548">
        <v>1.99369999999998</v>
      </c>
      <c r="AF4548">
        <v>1.8234858428057701</v>
      </c>
      <c r="AG4548">
        <v>-1.1103642123090001</v>
      </c>
      <c r="AH4548">
        <v>16.262372645536601</v>
      </c>
      <c r="AI4548">
        <v>93.881734671908205</v>
      </c>
      <c r="AJ4548">
        <v>83.602197334941195</v>
      </c>
      <c r="AK4548">
        <v>16.401913710454298</v>
      </c>
      <c r="AL4548">
        <v>83.845110402582904</v>
      </c>
      <c r="AM4548">
        <v>95.542525876663703</v>
      </c>
      <c r="AN4548">
        <v>0.99999997804302299</v>
      </c>
    </row>
    <row r="4549" spans="1:40" x14ac:dyDescent="0.25">
      <c r="A4549" t="str">
        <f>"20190312151118560"</f>
        <v>20190312151118560</v>
      </c>
      <c r="B4549" t="str">
        <f>"1552374678555994"</f>
        <v>1552374678555994</v>
      </c>
      <c r="C4549" t="s">
        <v>40</v>
      </c>
      <c r="D4549">
        <v>5.376957</v>
      </c>
      <c r="E4549">
        <v>0.58263469999999995</v>
      </c>
      <c r="F4549" t="s">
        <v>41</v>
      </c>
      <c r="G4549">
        <v>-361.95819999999998</v>
      </c>
      <c r="H4549">
        <v>1.0446040000000001</v>
      </c>
      <c r="I4549">
        <v>141.7261</v>
      </c>
      <c r="J4549">
        <v>-361.27050000000003</v>
      </c>
      <c r="K4549">
        <v>1.110355</v>
      </c>
      <c r="L4549">
        <v>141.6062</v>
      </c>
      <c r="M4549">
        <v>-0.99989439999999996</v>
      </c>
      <c r="N4549">
        <v>0</v>
      </c>
      <c r="O4549">
        <v>9.4192519999999995E-3</v>
      </c>
      <c r="P4549">
        <v>-0.99146820000000002</v>
      </c>
      <c r="Q4549">
        <v>9.6830570000000005E-2</v>
      </c>
      <c r="R4549">
        <v>-8.7262000000000006E-2</v>
      </c>
      <c r="S4549">
        <v>-3.0773929999999998</v>
      </c>
      <c r="T4549">
        <v>-0.20150660000000001</v>
      </c>
      <c r="U4549">
        <v>0.374054</v>
      </c>
      <c r="V4549">
        <v>-9.6698950000000006E-2</v>
      </c>
      <c r="W4549">
        <v>0.1076912</v>
      </c>
      <c r="X4549">
        <v>0.98947050000000003</v>
      </c>
      <c r="Y4549">
        <v>0.1110901</v>
      </c>
      <c r="Z4549">
        <v>3.0060989999999999E-3</v>
      </c>
      <c r="AA4549">
        <v>0.99380579999999996</v>
      </c>
      <c r="AB4549">
        <v>31</v>
      </c>
      <c r="AC4549">
        <v>-0.68769999999994902</v>
      </c>
      <c r="AD4549">
        <v>-6.5750999999999796E-2</v>
      </c>
      <c r="AE4549">
        <v>0.11990000000000101</v>
      </c>
      <c r="AF4549">
        <v>0.112419325093566</v>
      </c>
      <c r="AG4549">
        <v>-6.5750999999999796E-2</v>
      </c>
      <c r="AH4549">
        <v>0.68274191474590695</v>
      </c>
      <c r="AI4549">
        <v>95.428218670475701</v>
      </c>
      <c r="AJ4549">
        <v>80.649658522903493</v>
      </c>
      <c r="AK4549">
        <v>0.69505238709495898</v>
      </c>
      <c r="AL4549">
        <v>83.817759451567099</v>
      </c>
      <c r="AM4549">
        <v>95.581675895037193</v>
      </c>
      <c r="AN4549">
        <v>0.99999997592939605</v>
      </c>
    </row>
    <row r="4550" spans="1:40" x14ac:dyDescent="0.25">
      <c r="A4550" t="str">
        <f>"20190312151118583"</f>
        <v>20190312151118583</v>
      </c>
      <c r="B4550" t="str">
        <f>"1552374678575518"</f>
        <v>1552374678575518</v>
      </c>
      <c r="C4550" t="s">
        <v>40</v>
      </c>
      <c r="D4550">
        <v>5.3233040000000003</v>
      </c>
      <c r="E4550">
        <v>0.58283719999999895</v>
      </c>
      <c r="F4550" t="s">
        <v>41</v>
      </c>
      <c r="G4550">
        <v>-362.2371</v>
      </c>
      <c r="H4550">
        <v>1.0476209999999999</v>
      </c>
      <c r="I4550">
        <v>141.7235</v>
      </c>
      <c r="J4550">
        <v>-361.57459999999998</v>
      </c>
      <c r="K4550">
        <v>1.11036</v>
      </c>
      <c r="L4550">
        <v>141.60849999999999</v>
      </c>
      <c r="M4550">
        <v>-0.99989870000000003</v>
      </c>
      <c r="N4550">
        <v>0</v>
      </c>
      <c r="O4550">
        <v>8.9436009999999903E-3</v>
      </c>
      <c r="P4550">
        <v>-0.99136250000000004</v>
      </c>
      <c r="Q4550">
        <v>9.6970319999999999E-2</v>
      </c>
      <c r="R4550">
        <v>-8.8303190000000004E-2</v>
      </c>
      <c r="S4550">
        <v>-3.0781860000000001</v>
      </c>
      <c r="T4550">
        <v>-0.1998123</v>
      </c>
      <c r="U4550">
        <v>0.3734131</v>
      </c>
      <c r="V4550">
        <v>-9.7268690000000005E-2</v>
      </c>
      <c r="W4550">
        <v>0.10784199999999999</v>
      </c>
      <c r="X4550">
        <v>0.98939820000000001</v>
      </c>
      <c r="Y4550">
        <v>0.111330399999999</v>
      </c>
      <c r="Z4550">
        <v>3.01864E-3</v>
      </c>
      <c r="AA4550">
        <v>0.99377890000000002</v>
      </c>
      <c r="AB4550">
        <v>31</v>
      </c>
      <c r="AC4550">
        <v>-0.66250000000002196</v>
      </c>
      <c r="AD4550">
        <v>-6.27390000000001E-2</v>
      </c>
      <c r="AE4550">
        <v>0.115000000000009</v>
      </c>
      <c r="AF4550">
        <v>0.108128551303126</v>
      </c>
      <c r="AG4550">
        <v>-6.27390000000001E-2</v>
      </c>
      <c r="AH4550">
        <v>0.65777558862736196</v>
      </c>
      <c r="AI4550">
        <v>95.376690699483902</v>
      </c>
      <c r="AJ4550">
        <v>80.664911865047301</v>
      </c>
      <c r="AK4550">
        <v>0.66954961781931099</v>
      </c>
      <c r="AL4550">
        <v>83.809068452062107</v>
      </c>
      <c r="AM4550">
        <v>95.614760683985196</v>
      </c>
      <c r="AN4550">
        <v>0.99999994659077596</v>
      </c>
    </row>
    <row r="4551" spans="1:40" x14ac:dyDescent="0.25">
      <c r="A4551" t="str">
        <f>"20190312151118599"</f>
        <v>20190312151118599</v>
      </c>
      <c r="B4551" t="str">
        <f>"1552374678596010"</f>
        <v>1552374678596010</v>
      </c>
      <c r="C4551" t="s">
        <v>40</v>
      </c>
      <c r="D4551">
        <v>5.3339220000000003</v>
      </c>
      <c r="E4551">
        <v>0.58322019999999997</v>
      </c>
      <c r="F4551" t="s">
        <v>41</v>
      </c>
      <c r="G4551">
        <v>-362.51519999999999</v>
      </c>
      <c r="H4551">
        <v>1.049358</v>
      </c>
      <c r="I4551">
        <v>141.7226</v>
      </c>
      <c r="J4551">
        <v>-361.80090000000001</v>
      </c>
      <c r="K4551">
        <v>1.110368</v>
      </c>
      <c r="L4551">
        <v>141.61019999999999</v>
      </c>
      <c r="M4551">
        <v>-0.9999017</v>
      </c>
      <c r="N4551">
        <v>0</v>
      </c>
      <c r="O4551">
        <v>8.5899010000000005E-3</v>
      </c>
      <c r="P4551">
        <v>-0.99133749999999998</v>
      </c>
      <c r="Q4551">
        <v>9.7019300000000003E-2</v>
      </c>
      <c r="R4551">
        <v>-8.8529040000000003E-2</v>
      </c>
      <c r="S4551">
        <v>-3.0787960000000001</v>
      </c>
      <c r="T4551">
        <v>-0.19984879999999999</v>
      </c>
      <c r="U4551">
        <v>0.37184139999999999</v>
      </c>
      <c r="V4551">
        <v>-9.7143499999999994E-2</v>
      </c>
      <c r="W4551">
        <v>0.1079026</v>
      </c>
      <c r="X4551">
        <v>0.98940399999999995</v>
      </c>
      <c r="Y4551">
        <v>0.11115800000000001</v>
      </c>
      <c r="Z4551">
        <v>3.0359670000000001E-3</v>
      </c>
      <c r="AA4551">
        <v>0.99379810000000002</v>
      </c>
      <c r="AB4551">
        <v>31</v>
      </c>
      <c r="AC4551">
        <v>-0.71429999999997995</v>
      </c>
      <c r="AD4551">
        <v>-6.1010000000000002E-2</v>
      </c>
      <c r="AE4551">
        <v>0.11240000000000799</v>
      </c>
      <c r="AF4551">
        <v>0.10550859543084</v>
      </c>
      <c r="AG4551">
        <v>-6.1010000000000002E-2</v>
      </c>
      <c r="AH4551">
        <v>0.71018342241196397</v>
      </c>
      <c r="AI4551">
        <v>94.857025794320293</v>
      </c>
      <c r="AJ4551">
        <v>81.549646067528499</v>
      </c>
      <c r="AK4551">
        <v>0.72056559540305498</v>
      </c>
      <c r="AL4551">
        <v>83.805576609428201</v>
      </c>
      <c r="AM4551">
        <v>95.607547612209103</v>
      </c>
      <c r="AN4551">
        <v>1.0000000529474999</v>
      </c>
    </row>
    <row r="4552" spans="1:40" x14ac:dyDescent="0.25">
      <c r="A4552" t="str">
        <f>"20190312151118616"</f>
        <v>20190312151118616</v>
      </c>
      <c r="B4552" t="str">
        <f>"1552374678605770"</f>
        <v>1552374678605770</v>
      </c>
      <c r="C4552" t="s">
        <v>40</v>
      </c>
      <c r="D4552">
        <v>5.3565239999999896</v>
      </c>
      <c r="E4552">
        <v>0.58360649999999903</v>
      </c>
      <c r="F4552" t="s">
        <v>41</v>
      </c>
      <c r="G4552">
        <v>-362.78919999999999</v>
      </c>
      <c r="H4552">
        <v>1.045283</v>
      </c>
      <c r="I4552">
        <v>141.7304</v>
      </c>
      <c r="J4552">
        <v>-362.04340000000002</v>
      </c>
      <c r="K4552">
        <v>1.110371</v>
      </c>
      <c r="L4552">
        <v>141.61189999999999</v>
      </c>
      <c r="M4552">
        <v>-0.99990489999999999</v>
      </c>
      <c r="N4552">
        <v>0</v>
      </c>
      <c r="O4552">
        <v>8.2104359999999998E-3</v>
      </c>
      <c r="P4552">
        <v>-0.9912649</v>
      </c>
      <c r="Q4552">
        <v>9.7110989999999994E-2</v>
      </c>
      <c r="R4552">
        <v>-8.9238910000000005E-2</v>
      </c>
      <c r="S4552">
        <v>-3.079437</v>
      </c>
      <c r="T4552">
        <v>-0.20284260000000001</v>
      </c>
      <c r="U4552">
        <v>0.37380980000000003</v>
      </c>
      <c r="V4552">
        <v>-9.7477350000000004E-2</v>
      </c>
      <c r="W4552">
        <v>0.1080074</v>
      </c>
      <c r="X4552">
        <v>0.98935969999999995</v>
      </c>
      <c r="Y4552">
        <v>0.1121274</v>
      </c>
      <c r="Z4552">
        <v>3.1372449999999999E-3</v>
      </c>
      <c r="AA4552">
        <v>0.99368889999999999</v>
      </c>
      <c r="AB4552">
        <v>31</v>
      </c>
      <c r="AC4552">
        <v>-0.74579999999997404</v>
      </c>
      <c r="AD4552">
        <v>-6.5087999999999993E-2</v>
      </c>
      <c r="AE4552">
        <v>0.118500000000011</v>
      </c>
      <c r="AF4552">
        <v>0.111543631113711</v>
      </c>
      <c r="AG4552">
        <v>-6.5087999999999993E-2</v>
      </c>
      <c r="AH4552">
        <v>0.74124119129093302</v>
      </c>
      <c r="AI4552">
        <v>94.962649940294995</v>
      </c>
      <c r="AJ4552">
        <v>81.442214271046197</v>
      </c>
      <c r="AK4552">
        <v>0.75240742490517298</v>
      </c>
      <c r="AL4552">
        <v>83.799536534019694</v>
      </c>
      <c r="AM4552">
        <v>95.6269457662452</v>
      </c>
      <c r="AN4552">
        <v>1.0000000241009299</v>
      </c>
    </row>
    <row r="4553" spans="1:40" x14ac:dyDescent="0.25">
      <c r="A4553" t="str">
        <f>"20190312151118639"</f>
        <v>20190312151118639</v>
      </c>
      <c r="B4553" t="str">
        <f>"1552374678636026"</f>
        <v>1552374678636026</v>
      </c>
      <c r="C4553" t="s">
        <v>40</v>
      </c>
      <c r="D4553">
        <v>5.4474650000000002</v>
      </c>
      <c r="E4553">
        <v>0.58441759999999998</v>
      </c>
      <c r="F4553" t="s">
        <v>42</v>
      </c>
      <c r="G4553">
        <v>-378.74299999999999</v>
      </c>
      <c r="H4553" s="1">
        <v>-1.5926969999999999E-6</v>
      </c>
      <c r="I4553">
        <v>143.64179999999999</v>
      </c>
      <c r="J4553">
        <v>-362.35129999999998</v>
      </c>
      <c r="K4553">
        <v>1.1103730000000001</v>
      </c>
      <c r="L4553">
        <v>141.6139</v>
      </c>
      <c r="M4553">
        <v>-0.99990829999999997</v>
      </c>
      <c r="N4553">
        <v>0</v>
      </c>
      <c r="O4553">
        <v>7.7290839999999998E-3</v>
      </c>
      <c r="P4553">
        <v>-0.9912242</v>
      </c>
      <c r="Q4553">
        <v>9.6848260000000005E-2</v>
      </c>
      <c r="R4553">
        <v>-8.9973460000000005E-2</v>
      </c>
      <c r="S4553">
        <v>-3.0802</v>
      </c>
      <c r="T4553">
        <v>-0.20480609999999999</v>
      </c>
      <c r="U4553">
        <v>0.37443539999999997</v>
      </c>
      <c r="V4553">
        <v>-9.7734710000000002E-2</v>
      </c>
      <c r="W4553">
        <v>0.10776230000000001</v>
      </c>
      <c r="X4553">
        <v>0.98936100000000005</v>
      </c>
      <c r="Y4553">
        <v>0.11276849999999999</v>
      </c>
      <c r="Z4553">
        <v>3.2197910000000001E-3</v>
      </c>
      <c r="AA4553">
        <v>0.99361600000000005</v>
      </c>
      <c r="AB4553">
        <v>31</v>
      </c>
      <c r="AC4553">
        <v>-16.3917</v>
      </c>
      <c r="AD4553">
        <v>-1.1103745926969999</v>
      </c>
      <c r="AE4553">
        <v>2.0278999999999798</v>
      </c>
      <c r="AF4553">
        <v>1.8925851433640799</v>
      </c>
      <c r="AG4553">
        <v>-1.1103745926969999</v>
      </c>
      <c r="AH4553">
        <v>16.333067133549498</v>
      </c>
      <c r="AI4553">
        <v>93.863396596489295</v>
      </c>
      <c r="AJ4553">
        <v>83.390360274185198</v>
      </c>
      <c r="AK4553">
        <v>16.479802554946598</v>
      </c>
      <c r="AL4553">
        <v>83.813661948227505</v>
      </c>
      <c r="AM4553">
        <v>95.641698964219998</v>
      </c>
      <c r="AN4553">
        <v>0.99999998758053699</v>
      </c>
    </row>
    <row r="4554" spans="1:40" x14ac:dyDescent="0.25">
      <c r="A4554" t="str">
        <f>"20190312151118662"</f>
        <v>20190312151118662</v>
      </c>
      <c r="B4554" t="str">
        <f>"1552374678655547"</f>
        <v>1552374678655547</v>
      </c>
      <c r="C4554" t="s">
        <v>40</v>
      </c>
      <c r="D4554">
        <v>5.3311060000000001</v>
      </c>
      <c r="E4554">
        <v>0.58474340000000002</v>
      </c>
      <c r="F4554" t="s">
        <v>41</v>
      </c>
      <c r="G4554">
        <v>-363.34190000000001</v>
      </c>
      <c r="H4554">
        <v>1.0430170000000001</v>
      </c>
      <c r="I4554">
        <v>141.73560000000001</v>
      </c>
      <c r="J4554">
        <v>-362.66829999999999</v>
      </c>
      <c r="K4554">
        <v>1.110376</v>
      </c>
      <c r="L4554">
        <v>141.61580000000001</v>
      </c>
      <c r="M4554">
        <v>-0.99991180000000002</v>
      </c>
      <c r="N4554">
        <v>0</v>
      </c>
      <c r="O4554">
        <v>7.234206E-3</v>
      </c>
      <c r="P4554">
        <v>-0.99119630000000003</v>
      </c>
      <c r="Q4554">
        <v>9.6374559999999998E-2</v>
      </c>
      <c r="R4554">
        <v>-9.0785149999999995E-2</v>
      </c>
      <c r="S4554">
        <v>-3.0814210000000002</v>
      </c>
      <c r="T4554">
        <v>-0.20954970000000001</v>
      </c>
      <c r="U4554">
        <v>0.37890629999999997</v>
      </c>
      <c r="V4554">
        <v>-9.8055669999999998E-2</v>
      </c>
      <c r="W4554">
        <v>0.10730530000000001</v>
      </c>
      <c r="X4554">
        <v>0.98937889999999995</v>
      </c>
      <c r="Y4554">
        <v>0.1146175</v>
      </c>
      <c r="Z4554">
        <v>3.3886630000000001E-3</v>
      </c>
      <c r="AA4554">
        <v>0.99340390000000001</v>
      </c>
      <c r="AB4554">
        <v>31</v>
      </c>
      <c r="AC4554">
        <v>-0.67360000000002096</v>
      </c>
      <c r="AD4554">
        <v>-6.7358999999999905E-2</v>
      </c>
      <c r="AE4554">
        <v>0.11979999999999701</v>
      </c>
      <c r="AF4554">
        <v>0.113820329151666</v>
      </c>
      <c r="AG4554">
        <v>-6.7358999999999905E-2</v>
      </c>
      <c r="AH4554">
        <v>0.66797433916412696</v>
      </c>
      <c r="AI4554">
        <v>95.677000979546307</v>
      </c>
      <c r="AJ4554">
        <v>80.329889821861897</v>
      </c>
      <c r="AK4554">
        <v>0.68094200927167503</v>
      </c>
      <c r="AL4554">
        <v>83.839998757286295</v>
      </c>
      <c r="AM4554">
        <v>95.660004411257205</v>
      </c>
      <c r="AN4554">
        <v>0.99999997479622404</v>
      </c>
    </row>
    <row r="4555" spans="1:40" x14ac:dyDescent="0.25">
      <c r="A4555" t="str">
        <f>"20190312151118683"</f>
        <v>20190312151118683</v>
      </c>
      <c r="B4555" t="str">
        <f>"1552374678676042"</f>
        <v>1552374678676042</v>
      </c>
      <c r="C4555" t="s">
        <v>40</v>
      </c>
      <c r="D4555">
        <v>5.3535830000000004</v>
      </c>
      <c r="E4555">
        <v>0.58513019999999905</v>
      </c>
      <c r="F4555" t="s">
        <v>41</v>
      </c>
      <c r="G4555">
        <v>-363.62079999999997</v>
      </c>
      <c r="H4555">
        <v>1.0452319999999999</v>
      </c>
      <c r="I4555">
        <v>141.73349999999999</v>
      </c>
      <c r="J4555">
        <v>-362.97039999999998</v>
      </c>
      <c r="K4555">
        <v>1.110374</v>
      </c>
      <c r="L4555">
        <v>141.61750000000001</v>
      </c>
      <c r="M4555">
        <v>-0.99991490000000005</v>
      </c>
      <c r="N4555">
        <v>0</v>
      </c>
      <c r="O4555">
        <v>6.7620550000000003E-3</v>
      </c>
      <c r="P4555">
        <v>-0.99121139999999996</v>
      </c>
      <c r="Q4555">
        <v>9.5695349999999998E-2</v>
      </c>
      <c r="R4555">
        <v>-9.1337109999999999E-2</v>
      </c>
      <c r="S4555">
        <v>-3.0818789999999998</v>
      </c>
      <c r="T4555">
        <v>-0.21096609999999999</v>
      </c>
      <c r="U4555">
        <v>0.37934879999999999</v>
      </c>
      <c r="V4555">
        <v>-9.8139130000000005E-2</v>
      </c>
      <c r="W4555">
        <v>0.106642</v>
      </c>
      <c r="X4555">
        <v>0.9894423</v>
      </c>
      <c r="Y4555">
        <v>0.1152035</v>
      </c>
      <c r="Z4555">
        <v>3.4631000000000002E-3</v>
      </c>
      <c r="AA4555">
        <v>0.99333579999999999</v>
      </c>
      <c r="AB4555">
        <v>31</v>
      </c>
      <c r="AC4555">
        <v>-0.65039999999998999</v>
      </c>
      <c r="AD4555">
        <v>-6.5142000000000005E-2</v>
      </c>
      <c r="AE4555">
        <v>0.115999999999985</v>
      </c>
      <c r="AF4555">
        <v>0.110524499158488</v>
      </c>
      <c r="AG4555">
        <v>-6.5142000000000005E-2</v>
      </c>
      <c r="AH4555">
        <v>0.64489977261450204</v>
      </c>
      <c r="AI4555">
        <v>95.685603073814207</v>
      </c>
      <c r="AJ4555">
        <v>80.274988924174707</v>
      </c>
      <c r="AK4555">
        <v>0.65753696610644696</v>
      </c>
      <c r="AL4555">
        <v>83.878222137739797</v>
      </c>
      <c r="AM4555">
        <v>95.664429979838602</v>
      </c>
      <c r="AN4555">
        <v>0.999999935015221</v>
      </c>
    </row>
    <row r="4556" spans="1:40" x14ac:dyDescent="0.25">
      <c r="A4556" t="str">
        <f>"20190312151118707"</f>
        <v>20190312151118707</v>
      </c>
      <c r="B4556" t="str">
        <f>"1552374678695562"</f>
        <v>1552374678695562</v>
      </c>
      <c r="C4556" t="s">
        <v>40</v>
      </c>
      <c r="D4556">
        <v>5.3575089999999896</v>
      </c>
      <c r="E4556">
        <v>0.58546140000000002</v>
      </c>
      <c r="F4556" t="s">
        <v>41</v>
      </c>
      <c r="G4556">
        <v>-363.89859999999999</v>
      </c>
      <c r="H4556">
        <v>1.0458670000000001</v>
      </c>
      <c r="I4556">
        <v>141.73230000000001</v>
      </c>
      <c r="J4556">
        <v>-363.28800000000001</v>
      </c>
      <c r="K4556">
        <v>1.110374</v>
      </c>
      <c r="L4556">
        <v>141.6191</v>
      </c>
      <c r="M4556">
        <v>-0.99991819999999998</v>
      </c>
      <c r="N4556">
        <v>0</v>
      </c>
      <c r="O4556">
        <v>6.2655920000000004E-3</v>
      </c>
      <c r="P4556">
        <v>-0.99119420000000003</v>
      </c>
      <c r="Q4556">
        <v>9.4962569999999996E-2</v>
      </c>
      <c r="R4556">
        <v>-9.2284290000000005E-2</v>
      </c>
      <c r="S4556">
        <v>-3.0823670000000001</v>
      </c>
      <c r="T4556">
        <v>-0.21420049999999999</v>
      </c>
      <c r="U4556">
        <v>0.38092039999999999</v>
      </c>
      <c r="V4556">
        <v>-9.8593539999999993E-2</v>
      </c>
      <c r="W4556">
        <v>0.1059232</v>
      </c>
      <c r="X4556">
        <v>0.98947439999999998</v>
      </c>
      <c r="Y4556">
        <v>0.1161654</v>
      </c>
      <c r="Z4556">
        <v>3.5829870000000002E-3</v>
      </c>
      <c r="AA4556">
        <v>0.99322339999999998</v>
      </c>
      <c r="AB4556">
        <v>31</v>
      </c>
      <c r="AC4556">
        <v>-0.61059999999997605</v>
      </c>
      <c r="AD4556">
        <v>-6.4506999999999801E-2</v>
      </c>
      <c r="AE4556">
        <v>0.113200000000006</v>
      </c>
      <c r="AF4556">
        <v>0.108204238289914</v>
      </c>
      <c r="AG4556">
        <v>-6.4506999999999801E-2</v>
      </c>
      <c r="AH4556">
        <v>0.60477179335339704</v>
      </c>
      <c r="AI4556">
        <v>95.993870418022993</v>
      </c>
      <c r="AJ4556">
        <v>79.8561155574818</v>
      </c>
      <c r="AK4556">
        <v>0.61775256557037905</v>
      </c>
      <c r="AL4556">
        <v>83.919641337915806</v>
      </c>
      <c r="AM4556">
        <v>95.6903026435171</v>
      </c>
      <c r="AN4556">
        <v>0.99999999934166495</v>
      </c>
    </row>
    <row r="4557" spans="1:40" x14ac:dyDescent="0.25">
      <c r="A4557" t="str">
        <f>"20190312151118728"</f>
        <v>20190312151118728</v>
      </c>
      <c r="B4557" t="str">
        <f>"1552374678725819"</f>
        <v>1552374678725819</v>
      </c>
      <c r="C4557" t="s">
        <v>40</v>
      </c>
      <c r="D4557">
        <v>5.3579650000000001</v>
      </c>
      <c r="E4557">
        <v>0.58992319999999998</v>
      </c>
      <c r="F4557" t="s">
        <v>41</v>
      </c>
      <c r="G4557">
        <v>-364.17739999999998</v>
      </c>
      <c r="H4557">
        <v>1.0477289999999999</v>
      </c>
      <c r="I4557">
        <v>141.72919999999999</v>
      </c>
      <c r="J4557">
        <v>-363.59930000000003</v>
      </c>
      <c r="K4557">
        <v>1.1103749999999999</v>
      </c>
      <c r="L4557">
        <v>141.62049999999999</v>
      </c>
      <c r="M4557">
        <v>-0.9999209</v>
      </c>
      <c r="N4557">
        <v>0</v>
      </c>
      <c r="O4557">
        <v>5.7787960000000001E-3</v>
      </c>
      <c r="P4557">
        <v>-0.99114690000000005</v>
      </c>
      <c r="Q4557">
        <v>9.4341289999999994E-2</v>
      </c>
      <c r="R4557">
        <v>-9.3423900000000004E-2</v>
      </c>
      <c r="S4557">
        <v>-3.082916</v>
      </c>
      <c r="T4557">
        <v>-0.21727929999999901</v>
      </c>
      <c r="U4557">
        <v>0.38101200000000002</v>
      </c>
      <c r="V4557">
        <v>-9.9250610000000003E-2</v>
      </c>
      <c r="W4557">
        <v>0.1053139</v>
      </c>
      <c r="X4557">
        <v>0.98947379999999996</v>
      </c>
      <c r="Y4557">
        <v>0.1166466</v>
      </c>
      <c r="Z4557">
        <v>3.6847189999999999E-3</v>
      </c>
      <c r="AA4557">
        <v>0.99316660000000001</v>
      </c>
      <c r="AB4557">
        <v>31</v>
      </c>
      <c r="AC4557">
        <v>-0.57809999999994899</v>
      </c>
      <c r="AD4557">
        <v>-6.2645999999999702E-2</v>
      </c>
      <c r="AE4557">
        <v>0.10869999999999801</v>
      </c>
      <c r="AF4557">
        <v>0.10417568890569701</v>
      </c>
      <c r="AG4557">
        <v>-6.2645999999999702E-2</v>
      </c>
      <c r="AH4557">
        <v>0.57222830087412502</v>
      </c>
      <c r="AI4557">
        <v>96.147455402570799</v>
      </c>
      <c r="AJ4557">
        <v>79.682148919209794</v>
      </c>
      <c r="AK4557">
        <v>0.58499771264190803</v>
      </c>
      <c r="AL4557">
        <v>83.954748331973207</v>
      </c>
      <c r="AM4557">
        <v>95.727977386538299</v>
      </c>
      <c r="AN4557">
        <v>1.0000000510025</v>
      </c>
    </row>
    <row r="4558" spans="1:40" x14ac:dyDescent="0.25">
      <c r="A4558" t="str">
        <f>"20190312151118751"</f>
        <v>20190312151118751</v>
      </c>
      <c r="B4558" t="str">
        <f>"1552374678745338"</f>
        <v>1552374678745338</v>
      </c>
      <c r="C4558" t="s">
        <v>40</v>
      </c>
      <c r="D4558">
        <v>5.342371</v>
      </c>
      <c r="E4558">
        <v>0.59084609999999904</v>
      </c>
      <c r="F4558" t="s">
        <v>79</v>
      </c>
      <c r="G4558">
        <v>-404.93239999999997</v>
      </c>
      <c r="H4558" s="1">
        <v>-1.069113E-5</v>
      </c>
      <c r="I4558">
        <v>147.25069999999999</v>
      </c>
      <c r="J4558">
        <v>-363.90269999999998</v>
      </c>
      <c r="K4558">
        <v>1.110376</v>
      </c>
      <c r="L4558">
        <v>141.62180000000001</v>
      </c>
      <c r="M4558">
        <v>-0.99992349999999997</v>
      </c>
      <c r="N4558">
        <v>0</v>
      </c>
      <c r="O4558">
        <v>5.3042860000000001E-3</v>
      </c>
      <c r="P4558">
        <v>-0.99105129999999997</v>
      </c>
      <c r="Q4558">
        <v>9.4341369999999994E-2</v>
      </c>
      <c r="R4558">
        <v>-9.4431619999999994E-2</v>
      </c>
      <c r="S4558">
        <v>-3.0741269999999998</v>
      </c>
      <c r="T4558">
        <v>-8.2584379999999999E-2</v>
      </c>
      <c r="U4558">
        <v>0.41874689999999998</v>
      </c>
      <c r="V4558">
        <v>-9.9787440000000005E-2</v>
      </c>
      <c r="W4558">
        <v>0.1053239</v>
      </c>
      <c r="X4558">
        <v>0.98941869999999998</v>
      </c>
      <c r="Y4558">
        <v>0.12966810000000001</v>
      </c>
      <c r="Z4558">
        <v>1.5915979999999901E-3</v>
      </c>
      <c r="AA4558">
        <v>0.9915562</v>
      </c>
      <c r="AB4558">
        <v>31</v>
      </c>
      <c r="AC4558">
        <v>-41.029699999999899</v>
      </c>
      <c r="AD4558">
        <v>-1.11038669113</v>
      </c>
      <c r="AE4558">
        <v>5.6288999999999803</v>
      </c>
      <c r="AF4558">
        <v>5.4072867855836204</v>
      </c>
      <c r="AG4558">
        <v>-1.11038669113</v>
      </c>
      <c r="AH4558">
        <v>41.029486789334598</v>
      </c>
      <c r="AI4558">
        <v>91.536941827889507</v>
      </c>
      <c r="AJ4558">
        <v>82.492241336710606</v>
      </c>
      <c r="AK4558">
        <v>41.399160561315398</v>
      </c>
      <c r="AL4558">
        <v>83.954171924105793</v>
      </c>
      <c r="AM4558">
        <v>95.759069928203203</v>
      </c>
      <c r="AN4558">
        <v>1.00000001050132</v>
      </c>
    </row>
    <row r="4559" spans="1:40" x14ac:dyDescent="0.25">
      <c r="A4559" t="str">
        <f>"20190312151118772"</f>
        <v>20190312151118772</v>
      </c>
      <c r="B4559" t="str">
        <f>"1552374678765837"</f>
        <v>1552374678765837</v>
      </c>
      <c r="C4559" t="s">
        <v>40</v>
      </c>
      <c r="D4559">
        <v>5.3755579999999998</v>
      </c>
      <c r="E4559">
        <v>0.59100830000000004</v>
      </c>
      <c r="F4559" t="s">
        <v>41</v>
      </c>
      <c r="G4559">
        <v>-364.7296</v>
      </c>
      <c r="H4559">
        <v>1.043582</v>
      </c>
      <c r="I4559">
        <v>141.73349999999999</v>
      </c>
      <c r="J4559">
        <v>-364.20979999999997</v>
      </c>
      <c r="K4559">
        <v>1.1103769999999999</v>
      </c>
      <c r="L4559">
        <v>141.62289999999999</v>
      </c>
      <c r="M4559">
        <v>-0.99992570000000003</v>
      </c>
      <c r="N4559">
        <v>0</v>
      </c>
      <c r="O4559">
        <v>4.8245359999999999E-3</v>
      </c>
      <c r="P4559">
        <v>-0.99094059999999995</v>
      </c>
      <c r="Q4559">
        <v>9.4347130000000001E-2</v>
      </c>
      <c r="R4559">
        <v>-9.5580760000000001E-2</v>
      </c>
      <c r="S4559">
        <v>-3.0905149999999999</v>
      </c>
      <c r="T4559">
        <v>-0.24988630000000001</v>
      </c>
      <c r="U4559">
        <v>0.41609190000000001</v>
      </c>
      <c r="V4559">
        <v>-0.10046049999999999</v>
      </c>
      <c r="W4559">
        <v>0.1053391</v>
      </c>
      <c r="X4559">
        <v>0.98934889999999998</v>
      </c>
      <c r="Y4559">
        <v>0.12825239999999999</v>
      </c>
      <c r="Z4559">
        <v>4.765689E-3</v>
      </c>
      <c r="AA4559">
        <v>0.99173009999999995</v>
      </c>
      <c r="AB4559">
        <v>31</v>
      </c>
      <c r="AC4559">
        <v>-0.51980000000003201</v>
      </c>
      <c r="AD4559">
        <v>-6.6794999999999896E-2</v>
      </c>
      <c r="AE4559">
        <v>0.110600000000005</v>
      </c>
      <c r="AF4559">
        <v>0.106409763789301</v>
      </c>
      <c r="AG4559">
        <v>-6.6794999999999896E-2</v>
      </c>
      <c r="AH4559">
        <v>0.51223558495902299</v>
      </c>
      <c r="AI4559">
        <v>97.275776458430997</v>
      </c>
      <c r="AJ4559">
        <v>78.264516824736006</v>
      </c>
      <c r="AK4559">
        <v>0.52741814943458998</v>
      </c>
      <c r="AL4559">
        <v>83.953295740704107</v>
      </c>
      <c r="AM4559">
        <v>95.798057003796899</v>
      </c>
      <c r="AN4559">
        <v>0.99999994199013298</v>
      </c>
    </row>
    <row r="4560" spans="1:40" x14ac:dyDescent="0.25">
      <c r="A4560" t="str">
        <f>"20190312151118795"</f>
        <v>20190312151118795</v>
      </c>
      <c r="B4560" t="str">
        <f>"1552374678785355"</f>
        <v>1552374678785355</v>
      </c>
      <c r="C4560" t="s">
        <v>40</v>
      </c>
      <c r="D4560">
        <v>5.23088</v>
      </c>
      <c r="E4560">
        <v>0.58348509999999998</v>
      </c>
      <c r="F4560" t="s">
        <v>41</v>
      </c>
      <c r="G4560">
        <v>-365.00869999999998</v>
      </c>
      <c r="H4560">
        <v>1.0454159999999999</v>
      </c>
      <c r="I4560">
        <v>141.72989999999999</v>
      </c>
      <c r="J4560">
        <v>-364.51799999999997</v>
      </c>
      <c r="K4560">
        <v>1.110376</v>
      </c>
      <c r="L4560">
        <v>141.62389999999999</v>
      </c>
      <c r="M4560">
        <v>-0.99992780000000003</v>
      </c>
      <c r="N4560">
        <v>0</v>
      </c>
      <c r="O4560">
        <v>4.3428829999999996E-3</v>
      </c>
      <c r="P4560">
        <v>-0.99080000000000001</v>
      </c>
      <c r="Q4560">
        <v>9.4507250000000001E-2</v>
      </c>
      <c r="R4560">
        <v>-9.687163E-2</v>
      </c>
      <c r="S4560">
        <v>-3.091278</v>
      </c>
      <c r="T4560">
        <v>-0.25138959999999999</v>
      </c>
      <c r="U4560">
        <v>0.41383359999999902</v>
      </c>
      <c r="V4560">
        <v>-0.1012738</v>
      </c>
      <c r="W4560">
        <v>0.1055065</v>
      </c>
      <c r="X4560">
        <v>0.98924820000000002</v>
      </c>
      <c r="Y4560">
        <v>0.12798080000000001</v>
      </c>
      <c r="Z4560">
        <v>4.821278E-3</v>
      </c>
      <c r="AA4560">
        <v>0.99176500000000001</v>
      </c>
      <c r="AB4560">
        <v>31</v>
      </c>
      <c r="AC4560">
        <v>-0.49069999999994701</v>
      </c>
      <c r="AD4560">
        <v>-6.4960000000000101E-2</v>
      </c>
      <c r="AE4560">
        <v>0.105999999999994</v>
      </c>
      <c r="AF4560">
        <v>0.102157317202291</v>
      </c>
      <c r="AG4560">
        <v>-6.4960000000000101E-2</v>
      </c>
      <c r="AH4560">
        <v>0.48306738681481198</v>
      </c>
      <c r="AI4560">
        <v>97.495029605288195</v>
      </c>
      <c r="AJ4560">
        <v>78.059230355917194</v>
      </c>
      <c r="AK4560">
        <v>0.49800604339913501</v>
      </c>
      <c r="AL4560">
        <v>83.943651048228702</v>
      </c>
      <c r="AM4560">
        <v>95.845263620758203</v>
      </c>
      <c r="AN4560">
        <v>1.0000000026559599</v>
      </c>
    </row>
    <row r="4561" spans="1:40" x14ac:dyDescent="0.25">
      <c r="A4561" t="str">
        <f>"20190312151118817"</f>
        <v>20190312151118817</v>
      </c>
      <c r="B4561" t="str">
        <f>"1552374678805851"</f>
        <v>1552374678805851</v>
      </c>
      <c r="C4561" t="s">
        <v>40</v>
      </c>
      <c r="D4561">
        <v>5.2325189999999999</v>
      </c>
      <c r="E4561">
        <v>0.50115779999999999</v>
      </c>
      <c r="F4561" t="s">
        <v>41</v>
      </c>
      <c r="G4561">
        <v>-365.29790000000003</v>
      </c>
      <c r="H4561">
        <v>1.0542929999999999</v>
      </c>
      <c r="I4561">
        <v>141.71299999999999</v>
      </c>
      <c r="J4561">
        <v>-364.83109999999999</v>
      </c>
      <c r="K4561">
        <v>1.110379</v>
      </c>
      <c r="L4561">
        <v>141.62469999999999</v>
      </c>
      <c r="M4561">
        <v>-0.99992970000000003</v>
      </c>
      <c r="N4561">
        <v>0</v>
      </c>
      <c r="O4561">
        <v>3.8537829999999999E-3</v>
      </c>
      <c r="P4561">
        <v>-0.9906471</v>
      </c>
      <c r="Q4561">
        <v>9.4677319999999995E-2</v>
      </c>
      <c r="R4561">
        <v>-9.8258070000000003E-2</v>
      </c>
      <c r="S4561">
        <v>-3.083405</v>
      </c>
      <c r="T4561">
        <v>-0.221855</v>
      </c>
      <c r="U4561">
        <v>0.35130309999999998</v>
      </c>
      <c r="V4561">
        <v>-0.10217610000000001</v>
      </c>
      <c r="W4561">
        <v>0.10568279999999999</v>
      </c>
      <c r="X4561">
        <v>0.98913660000000003</v>
      </c>
      <c r="Y4561">
        <v>0.10910250000000001</v>
      </c>
      <c r="Z4561">
        <v>3.6313370000000001E-3</v>
      </c>
      <c r="AA4561">
        <v>0.99402389999999996</v>
      </c>
      <c r="AB4561">
        <v>31</v>
      </c>
      <c r="AC4561">
        <v>-0.46680000000003402</v>
      </c>
      <c r="AD4561">
        <v>-5.6085999999999997E-2</v>
      </c>
      <c r="AE4561">
        <v>8.8300000000003806E-2</v>
      </c>
      <c r="AF4561">
        <v>8.5311275260012698E-2</v>
      </c>
      <c r="AG4561">
        <v>-5.6085999999999997E-2</v>
      </c>
      <c r="AH4561">
        <v>0.46071570467921202</v>
      </c>
      <c r="AI4561">
        <v>96.825928970211805</v>
      </c>
      <c r="AJ4561">
        <v>79.509298270879896</v>
      </c>
      <c r="AK4561">
        <v>0.471892586952319</v>
      </c>
      <c r="AL4561">
        <v>83.933493065455195</v>
      </c>
      <c r="AM4561">
        <v>95.897637307639499</v>
      </c>
      <c r="AN4561">
        <v>1.0000000115433001</v>
      </c>
    </row>
    <row r="4562" spans="1:40" x14ac:dyDescent="0.25">
      <c r="A4562" t="str">
        <f>"20190312151118840"</f>
        <v>20190312151118840</v>
      </c>
      <c r="B4562" t="str">
        <f>"1552374678836106"</f>
        <v>1552374678836106</v>
      </c>
      <c r="C4562" t="s">
        <v>40</v>
      </c>
      <c r="D4562">
        <v>5.0859730000000001</v>
      </c>
      <c r="E4562">
        <v>0.4779255</v>
      </c>
      <c r="F4562" t="s">
        <v>42</v>
      </c>
      <c r="G4562">
        <v>-394.39510000000001</v>
      </c>
      <c r="H4562" s="1">
        <v>-2.5573570000000002E-6</v>
      </c>
      <c r="I4562">
        <v>138.65469999999999</v>
      </c>
      <c r="J4562">
        <v>-365.142</v>
      </c>
      <c r="K4562">
        <v>1.110382</v>
      </c>
      <c r="L4562">
        <v>141.62540000000001</v>
      </c>
      <c r="M4562">
        <v>-0.99993149999999997</v>
      </c>
      <c r="N4562">
        <v>0</v>
      </c>
      <c r="O4562">
        <v>3.3682669999999999E-3</v>
      </c>
      <c r="P4562">
        <v>-0.99041749999999995</v>
      </c>
      <c r="Q4562">
        <v>9.5236059999999997E-2</v>
      </c>
      <c r="R4562">
        <v>-0.10001649999999999</v>
      </c>
      <c r="S4562">
        <v>-3.0091549999999998</v>
      </c>
      <c r="T4562">
        <v>-0.11301989999999899</v>
      </c>
      <c r="U4562">
        <v>-0.3022919</v>
      </c>
      <c r="V4562">
        <v>-0.1034532</v>
      </c>
      <c r="W4562">
        <v>0.106245699999999</v>
      </c>
      <c r="X4562">
        <v>0.98894349999999998</v>
      </c>
      <c r="Y4562">
        <v>-0.1032309</v>
      </c>
      <c r="Z4562">
        <v>-2.0592259999999999E-3</v>
      </c>
      <c r="AA4562">
        <v>0.99465530000000002</v>
      </c>
      <c r="AB4562">
        <v>31</v>
      </c>
      <c r="AC4562">
        <v>-29.2531</v>
      </c>
      <c r="AD4562">
        <v>-1.1103845573569999</v>
      </c>
      <c r="AE4562">
        <v>-2.9707000000000199</v>
      </c>
      <c r="AF4562">
        <v>-3.06485083258461</v>
      </c>
      <c r="AG4562">
        <v>-1.1103845573569999</v>
      </c>
      <c r="AH4562">
        <v>29.201283612955599</v>
      </c>
      <c r="AI4562">
        <v>92.165749535094506</v>
      </c>
      <c r="AJ4562">
        <v>95.991601179989004</v>
      </c>
      <c r="AK4562">
        <v>29.3826688565807</v>
      </c>
      <c r="AL4562">
        <v>83.901058468986506</v>
      </c>
      <c r="AM4562">
        <v>95.971980083010607</v>
      </c>
      <c r="AN4562">
        <v>0.99999997977548905</v>
      </c>
    </row>
    <row r="4563" spans="1:40" x14ac:dyDescent="0.25">
      <c r="A4563" t="str">
        <f>"20190312151118863"</f>
        <v>20190312151118863</v>
      </c>
      <c r="B4563" t="str">
        <f>"1552374678855627"</f>
        <v>1552374678855627</v>
      </c>
      <c r="C4563" t="s">
        <v>40</v>
      </c>
      <c r="D4563">
        <v>5.1357419999999996</v>
      </c>
      <c r="E4563">
        <v>0.4705781</v>
      </c>
      <c r="F4563" t="s">
        <v>42</v>
      </c>
      <c r="G4563">
        <v>-379.0686</v>
      </c>
      <c r="H4563" s="1">
        <v>-4.3483710000000001E-7</v>
      </c>
      <c r="I4563">
        <v>139.3177</v>
      </c>
      <c r="J4563">
        <v>-365.45819999999998</v>
      </c>
      <c r="K4563">
        <v>1.1103889999999901</v>
      </c>
      <c r="L4563">
        <v>141.6259</v>
      </c>
      <c r="M4563">
        <v>-0.99993290000000001</v>
      </c>
      <c r="N4563">
        <v>0</v>
      </c>
      <c r="O4563">
        <v>2.8747080000000001E-3</v>
      </c>
      <c r="P4563">
        <v>-0.99020549999999996</v>
      </c>
      <c r="Q4563">
        <v>9.5727939999999997E-2</v>
      </c>
      <c r="R4563">
        <v>-0.1016339</v>
      </c>
      <c r="S4563">
        <v>-3.0018009999999999</v>
      </c>
      <c r="T4563">
        <v>-0.23933740000000001</v>
      </c>
      <c r="U4563">
        <v>-0.49739070000000002</v>
      </c>
      <c r="V4563">
        <v>-0.1045821</v>
      </c>
      <c r="W4563">
        <v>0.10674069999999999</v>
      </c>
      <c r="X4563">
        <v>0.98877139999999997</v>
      </c>
      <c r="Y4563">
        <v>-0.16578309999999999</v>
      </c>
      <c r="Z4563">
        <v>-6.7814349999999997E-3</v>
      </c>
      <c r="AA4563">
        <v>0.98613890000000004</v>
      </c>
      <c r="AB4563">
        <v>31</v>
      </c>
      <c r="AC4563">
        <v>-13.6104</v>
      </c>
      <c r="AD4563">
        <v>-1.1103894348371</v>
      </c>
      <c r="AE4563">
        <v>-2.3081999999999998</v>
      </c>
      <c r="AF4563">
        <v>-2.3322296703400101</v>
      </c>
      <c r="AG4563">
        <v>-1.1103894348371</v>
      </c>
      <c r="AH4563">
        <v>13.5162597371435</v>
      </c>
      <c r="AI4563">
        <v>94.628331862148599</v>
      </c>
      <c r="AJ4563">
        <v>99.789981748692</v>
      </c>
      <c r="AK4563">
        <v>13.7608697840703</v>
      </c>
      <c r="AL4563">
        <v>83.872534593044904</v>
      </c>
      <c r="AM4563">
        <v>96.037711725111507</v>
      </c>
      <c r="AN4563">
        <v>0.99999993706742796</v>
      </c>
    </row>
    <row r="4564" spans="1:40" x14ac:dyDescent="0.25">
      <c r="A4564" t="str">
        <f>"20190312151118884"</f>
        <v>20190312151118884</v>
      </c>
      <c r="B4564" t="str">
        <f>"1552374678876122"</f>
        <v>1552374678876122</v>
      </c>
      <c r="C4564" t="s">
        <v>40</v>
      </c>
      <c r="D4564">
        <v>5.0470249999999997</v>
      </c>
      <c r="E4564">
        <v>0.4664953</v>
      </c>
      <c r="F4564" t="s">
        <v>42</v>
      </c>
      <c r="G4564">
        <v>-376.52600000000001</v>
      </c>
      <c r="H4564" s="1">
        <v>-1.4847759999999999E-6</v>
      </c>
      <c r="I4564">
        <v>139.5478</v>
      </c>
      <c r="J4564">
        <v>-365.76580000000001</v>
      </c>
      <c r="K4564">
        <v>1.1103909999999999</v>
      </c>
      <c r="L4564">
        <v>141.62629999999999</v>
      </c>
      <c r="M4564">
        <v>-0.99993399999999999</v>
      </c>
      <c r="N4564">
        <v>0</v>
      </c>
      <c r="O4564">
        <v>2.394682E-3</v>
      </c>
      <c r="P4564">
        <v>-0.99005319999999997</v>
      </c>
      <c r="Q4564">
        <v>9.6054539999999994E-2</v>
      </c>
      <c r="R4564">
        <v>-0.1028018</v>
      </c>
      <c r="S4564">
        <v>-3.0009459999999999</v>
      </c>
      <c r="T4564">
        <v>-0.30107260000000002</v>
      </c>
      <c r="U4564">
        <v>-0.563446</v>
      </c>
      <c r="V4564">
        <v>-0.1052752</v>
      </c>
      <c r="W4564">
        <v>0.107072</v>
      </c>
      <c r="X4564">
        <v>0.98866209999999999</v>
      </c>
      <c r="Y4564">
        <v>-0.18597130000000001</v>
      </c>
      <c r="Z4564">
        <v>-9.4631230000000004E-3</v>
      </c>
      <c r="AA4564">
        <v>0.98250959999999998</v>
      </c>
      <c r="AB4564">
        <v>31</v>
      </c>
      <c r="AC4564">
        <v>-10.7601999999999</v>
      </c>
      <c r="AD4564">
        <v>-1.1103924847759901</v>
      </c>
      <c r="AE4564">
        <v>-2.0784999999999898</v>
      </c>
      <c r="AF4564">
        <v>-2.0828800141108599</v>
      </c>
      <c r="AG4564">
        <v>-1.1103924847759901</v>
      </c>
      <c r="AH4564">
        <v>10.6459003459043</v>
      </c>
      <c r="AI4564">
        <v>95.8445310385124</v>
      </c>
      <c r="AJ4564">
        <v>101.070132435255</v>
      </c>
      <c r="AK4564">
        <v>10.9044282196892</v>
      </c>
      <c r="AL4564">
        <v>83.853443565839797</v>
      </c>
      <c r="AM4564">
        <v>96.078093995042494</v>
      </c>
      <c r="AN4564">
        <v>1.0000000144477199</v>
      </c>
    </row>
    <row r="4565" spans="1:40" x14ac:dyDescent="0.25">
      <c r="A4565" t="str">
        <f>"20190312151118907"</f>
        <v>20190312151118907</v>
      </c>
      <c r="B4565" t="str">
        <f>"1552374678895643"</f>
        <v>1552374678895643</v>
      </c>
      <c r="C4565" t="s">
        <v>40</v>
      </c>
      <c r="D4565">
        <v>5.0439980000000002</v>
      </c>
      <c r="E4565">
        <v>0.46386769999999999</v>
      </c>
      <c r="F4565" t="s">
        <v>42</v>
      </c>
      <c r="G4565">
        <v>-375.87240000000003</v>
      </c>
      <c r="H4565" s="1">
        <v>-1.7559579999999999E-6</v>
      </c>
      <c r="I4565">
        <v>139.59979999999999</v>
      </c>
      <c r="J4565">
        <v>-366.0736</v>
      </c>
      <c r="K4565">
        <v>1.1103889999999901</v>
      </c>
      <c r="L4565">
        <v>141.62649999999999</v>
      </c>
      <c r="M4565">
        <v>-0.99993500000000002</v>
      </c>
      <c r="N4565">
        <v>0</v>
      </c>
      <c r="O4565">
        <v>1.914067E-3</v>
      </c>
      <c r="P4565">
        <v>-0.98992840000000004</v>
      </c>
      <c r="Q4565">
        <v>9.5858959999999993E-2</v>
      </c>
      <c r="R4565">
        <v>-0.104176</v>
      </c>
      <c r="S4565">
        <v>-2.9996640000000001</v>
      </c>
      <c r="T4565">
        <v>-0.32956920000000001</v>
      </c>
      <c r="U4565">
        <v>-0.60144039999999999</v>
      </c>
      <c r="V4565">
        <v>-0.10617310000000001</v>
      </c>
      <c r="W4565">
        <v>0.10687960000000001</v>
      </c>
      <c r="X4565">
        <v>0.98858690000000005</v>
      </c>
      <c r="Y4565">
        <v>-0.19731370000000001</v>
      </c>
      <c r="Z4565">
        <v>-1.0908879999999999E-2</v>
      </c>
      <c r="AA4565">
        <v>0.98027969999999998</v>
      </c>
      <c r="AB4565">
        <v>31</v>
      </c>
      <c r="AC4565">
        <v>-9.7988000000000195</v>
      </c>
      <c r="AD4565">
        <v>-1.11039075595799</v>
      </c>
      <c r="AE4565">
        <v>-2.0266999999999999</v>
      </c>
      <c r="AF4565">
        <v>-2.0205708988037401</v>
      </c>
      <c r="AG4565">
        <v>-1.11039075595799</v>
      </c>
      <c r="AH4565">
        <v>9.6757514209605802</v>
      </c>
      <c r="AI4565">
        <v>96.409554562347694</v>
      </c>
      <c r="AJ4565">
        <v>101.795467077298</v>
      </c>
      <c r="AK4565">
        <v>9.9466496846038694</v>
      </c>
      <c r="AL4565">
        <v>83.864530915468606</v>
      </c>
      <c r="AM4565">
        <v>96.130004237856497</v>
      </c>
      <c r="AN4565">
        <v>1.00000001745568</v>
      </c>
    </row>
    <row r="4566" spans="1:40" x14ac:dyDescent="0.25">
      <c r="A4566" t="str">
        <f>"20190312151118929"</f>
        <v>20190312151118929</v>
      </c>
      <c r="B4566" t="str">
        <f>"1552374678925899"</f>
        <v>1552374678925899</v>
      </c>
      <c r="C4566" t="s">
        <v>40</v>
      </c>
      <c r="D4566">
        <v>5.0568900000000001</v>
      </c>
      <c r="E4566">
        <v>0.46167770000000002</v>
      </c>
      <c r="F4566" t="s">
        <v>42</v>
      </c>
      <c r="G4566">
        <v>-375.56529999999998</v>
      </c>
      <c r="H4566" s="1">
        <v>-1.8910490000000001E-6</v>
      </c>
      <c r="I4566">
        <v>139.6397</v>
      </c>
      <c r="J4566">
        <v>-366.3811</v>
      </c>
      <c r="K4566">
        <v>1.1103909999999999</v>
      </c>
      <c r="L4566">
        <v>141.6266</v>
      </c>
      <c r="M4566">
        <v>-0.99993569999999998</v>
      </c>
      <c r="N4566">
        <v>0</v>
      </c>
      <c r="O4566">
        <v>1.4332780000000001E-3</v>
      </c>
      <c r="P4566">
        <v>-0.98976730000000002</v>
      </c>
      <c r="Q4566">
        <v>9.5720299999999994E-2</v>
      </c>
      <c r="R4566">
        <v>-0.10582370000000001</v>
      </c>
      <c r="S4566">
        <v>-2.9984739999999999</v>
      </c>
      <c r="T4566">
        <v>-0.35078120000000002</v>
      </c>
      <c r="U4566">
        <v>-0.62760930000000004</v>
      </c>
      <c r="V4566">
        <v>-0.1073446</v>
      </c>
      <c r="W4566">
        <v>0.10674350000000001</v>
      </c>
      <c r="X4566">
        <v>0.98847510000000005</v>
      </c>
      <c r="Y4566">
        <v>-0.2049242</v>
      </c>
      <c r="Z4566">
        <v>-1.198452E-2</v>
      </c>
      <c r="AA4566">
        <v>0.97870449999999998</v>
      </c>
      <c r="AB4566">
        <v>31</v>
      </c>
      <c r="AC4566">
        <v>-9.1841999999999704</v>
      </c>
      <c r="AD4566">
        <v>-1.110392891049</v>
      </c>
      <c r="AE4566">
        <v>-1.9868999999999899</v>
      </c>
      <c r="AF4566">
        <v>-1.9725183069352401</v>
      </c>
      <c r="AG4566">
        <v>-1.110392891049</v>
      </c>
      <c r="AH4566">
        <v>9.0549011086085294</v>
      </c>
      <c r="AI4566">
        <v>96.832545962201706</v>
      </c>
      <c r="AJ4566">
        <v>102.28931152378</v>
      </c>
      <c r="AK4566">
        <v>9.3335435355692695</v>
      </c>
      <c r="AL4566">
        <v>83.8723738185343</v>
      </c>
      <c r="AM4566">
        <v>96.197813916517802</v>
      </c>
      <c r="AN4566">
        <v>1.0000000306307</v>
      </c>
    </row>
    <row r="4567" spans="1:40" x14ac:dyDescent="0.25">
      <c r="A4567" t="str">
        <f>"20190312151118952"</f>
        <v>20190312151118952</v>
      </c>
      <c r="B4567" t="str">
        <f>"1552374678945419"</f>
        <v>1552374678945419</v>
      </c>
      <c r="C4567" t="s">
        <v>40</v>
      </c>
      <c r="D4567">
        <v>5.0173690000000004</v>
      </c>
      <c r="E4567">
        <v>0.46078180000000002</v>
      </c>
      <c r="F4567" t="s">
        <v>42</v>
      </c>
      <c r="G4567">
        <v>-375.08429999999998</v>
      </c>
      <c r="H4567" s="1">
        <v>-2.1229349999999999E-6</v>
      </c>
      <c r="I4567">
        <v>139.73570000000001</v>
      </c>
      <c r="J4567">
        <v>-366.69889999999998</v>
      </c>
      <c r="K4567">
        <v>1.110393</v>
      </c>
      <c r="L4567">
        <v>141.62649999999999</v>
      </c>
      <c r="M4567">
        <v>-0.9999363</v>
      </c>
      <c r="N4567">
        <v>0</v>
      </c>
      <c r="O4567">
        <v>9.3573349999999996E-4</v>
      </c>
      <c r="P4567">
        <v>-0.98967830000000001</v>
      </c>
      <c r="Q4567">
        <v>9.5847719999999997E-2</v>
      </c>
      <c r="R4567">
        <v>-0.10653899999999999</v>
      </c>
      <c r="S4567">
        <v>-2.9983520000000001</v>
      </c>
      <c r="T4567">
        <v>-0.38254700000000003</v>
      </c>
      <c r="U4567">
        <v>-0.65139769999999997</v>
      </c>
      <c r="V4567">
        <v>-0.10756739999999999</v>
      </c>
      <c r="W4567">
        <v>0.10687439999999999</v>
      </c>
      <c r="X4567">
        <v>0.98843669999999995</v>
      </c>
      <c r="Y4567">
        <v>-0.2115686</v>
      </c>
      <c r="Z4567">
        <v>-1.340649E-2</v>
      </c>
      <c r="AA4567">
        <v>0.97727120000000001</v>
      </c>
      <c r="AB4567">
        <v>31</v>
      </c>
      <c r="AC4567">
        <v>-8.3854000000000006</v>
      </c>
      <c r="AD4567">
        <v>-1.110395122935</v>
      </c>
      <c r="AE4567">
        <v>-1.8907999999999801</v>
      </c>
      <c r="AF4567">
        <v>-1.8674841194865801</v>
      </c>
      <c r="AG4567">
        <v>-1.110395122935</v>
      </c>
      <c r="AH4567">
        <v>8.24602836512239</v>
      </c>
      <c r="AI4567">
        <v>97.481967755197203</v>
      </c>
      <c r="AJ4567">
        <v>102.76056473908901</v>
      </c>
      <c r="AK4567">
        <v>8.5274531991665299</v>
      </c>
      <c r="AL4567">
        <v>83.864830440263106</v>
      </c>
      <c r="AM4567">
        <v>96.210816808945793</v>
      </c>
      <c r="AN4567">
        <v>0.99999999641250403</v>
      </c>
    </row>
    <row r="4568" spans="1:40" x14ac:dyDescent="0.25">
      <c r="A4568" t="str">
        <f>"20190312151118974"</f>
        <v>20190312151118974</v>
      </c>
      <c r="B4568" t="str">
        <f>"1552374678965914"</f>
        <v>1552374678965914</v>
      </c>
      <c r="C4568" t="s">
        <v>40</v>
      </c>
      <c r="D4568">
        <v>5.037344</v>
      </c>
      <c r="E4568">
        <v>0.45998470000000002</v>
      </c>
      <c r="F4568" t="s">
        <v>42</v>
      </c>
      <c r="G4568">
        <v>-375.13060000000002</v>
      </c>
      <c r="H4568" s="1">
        <v>-2.1111559999999998E-6</v>
      </c>
      <c r="I4568">
        <v>139.76609999999999</v>
      </c>
      <c r="J4568">
        <v>-367.01170000000002</v>
      </c>
      <c r="K4568">
        <v>1.1103970000000001</v>
      </c>
      <c r="L4568">
        <v>141.62629999999999</v>
      </c>
      <c r="M4568">
        <v>-0.99993659999999995</v>
      </c>
      <c r="N4568">
        <v>0</v>
      </c>
      <c r="O4568">
        <v>4.4396300000000002E-4</v>
      </c>
      <c r="P4568">
        <v>-0.98954830000000005</v>
      </c>
      <c r="Q4568">
        <v>9.6107929999999994E-2</v>
      </c>
      <c r="R4568">
        <v>-0.1075084</v>
      </c>
      <c r="S4568">
        <v>-2.9983219999999999</v>
      </c>
      <c r="T4568">
        <v>-0.39486110000000002</v>
      </c>
      <c r="U4568">
        <v>-0.66154480000000004</v>
      </c>
      <c r="V4568">
        <v>-0.1080507</v>
      </c>
      <c r="W4568">
        <v>0.107136999999999</v>
      </c>
      <c r="X4568">
        <v>0.9883556</v>
      </c>
      <c r="Y4568">
        <v>-0.2141228</v>
      </c>
      <c r="Z4568">
        <v>-1.3931539999999999E-2</v>
      </c>
      <c r="AA4568">
        <v>0.9767074</v>
      </c>
      <c r="AB4568">
        <v>31</v>
      </c>
      <c r="AC4568">
        <v>-8.1188999999999893</v>
      </c>
      <c r="AD4568">
        <v>-1.1103991111560001</v>
      </c>
      <c r="AE4568">
        <v>-1.8601999999999901</v>
      </c>
      <c r="AF4568">
        <v>-1.8312588688381599</v>
      </c>
      <c r="AG4568">
        <v>-1.1103991111560001</v>
      </c>
      <c r="AH4568">
        <v>7.9763158733686899</v>
      </c>
      <c r="AI4568">
        <v>97.726822467792005</v>
      </c>
      <c r="AJ4568">
        <v>102.93029119655399</v>
      </c>
      <c r="AK4568">
        <v>8.2588201422786707</v>
      </c>
      <c r="AL4568">
        <v>83.849697959436895</v>
      </c>
      <c r="AM4568">
        <v>96.239010313766599</v>
      </c>
      <c r="AN4568">
        <v>1.00000004129542</v>
      </c>
    </row>
    <row r="4569" spans="1:40" x14ac:dyDescent="0.25">
      <c r="A4569" t="str">
        <f>"20190312151118997"</f>
        <v>20190312151118997</v>
      </c>
      <c r="B4569" t="str">
        <f>"1552374678985435"</f>
        <v>1552374678985435</v>
      </c>
      <c r="C4569" t="s">
        <v>40</v>
      </c>
      <c r="D4569">
        <v>5.0435660000000002</v>
      </c>
      <c r="E4569">
        <v>0.45923130000000001</v>
      </c>
      <c r="F4569" t="s">
        <v>42</v>
      </c>
      <c r="G4569">
        <v>-375.31790000000001</v>
      </c>
      <c r="H4569" s="1">
        <v>-2.0307060000000001E-6</v>
      </c>
      <c r="I4569">
        <v>139.76570000000001</v>
      </c>
      <c r="J4569">
        <v>-367.3263</v>
      </c>
      <c r="K4569">
        <v>1.1104039999999999</v>
      </c>
      <c r="L4569">
        <v>141.6259</v>
      </c>
      <c r="M4569">
        <v>-0.99993670000000001</v>
      </c>
      <c r="N4569">
        <v>0</v>
      </c>
      <c r="O4569" s="1">
        <v>-5.4204269999999997E-5</v>
      </c>
      <c r="P4569">
        <v>-0.98947039999999997</v>
      </c>
      <c r="Q4569">
        <v>9.575989E-2</v>
      </c>
      <c r="R4569">
        <v>-0.1085295</v>
      </c>
      <c r="S4569">
        <v>-2.997681</v>
      </c>
      <c r="T4569">
        <v>-0.40074399999999999</v>
      </c>
      <c r="U4569">
        <v>-0.67146300000000003</v>
      </c>
      <c r="V4569">
        <v>-0.1085793</v>
      </c>
      <c r="W4569">
        <v>0.10679139999999999</v>
      </c>
      <c r="X4569">
        <v>0.98833499999999996</v>
      </c>
      <c r="Y4569">
        <v>-0.21668950000000001</v>
      </c>
      <c r="Z4569">
        <v>-1.4238560000000001E-2</v>
      </c>
      <c r="AA4569">
        <v>0.97613669999999997</v>
      </c>
      <c r="AB4569">
        <v>31</v>
      </c>
      <c r="AC4569">
        <v>-7.9916</v>
      </c>
      <c r="AD4569">
        <v>-1.110406030706</v>
      </c>
      <c r="AE4569">
        <v>-1.8601999999999901</v>
      </c>
      <c r="AF4569">
        <v>-1.8263197628752601</v>
      </c>
      <c r="AG4569">
        <v>-1.110406030706</v>
      </c>
      <c r="AH4569">
        <v>7.8479738573025797</v>
      </c>
      <c r="AI4569">
        <v>97.846352587667397</v>
      </c>
      <c r="AJ4569">
        <v>103.10027036419</v>
      </c>
      <c r="AK4569">
        <v>8.1338268419116098</v>
      </c>
      <c r="AL4569">
        <v>83.869613199319403</v>
      </c>
      <c r="AM4569">
        <v>96.269419651188599</v>
      </c>
      <c r="AN4569">
        <v>0.99999996986372397</v>
      </c>
    </row>
    <row r="4570" spans="1:40" x14ac:dyDescent="0.25">
      <c r="A4570" t="str">
        <f>"20190312151119019"</f>
        <v>20190312151119019</v>
      </c>
      <c r="B4570" t="str">
        <f>"1552374679015691"</f>
        <v>1552374679015691</v>
      </c>
      <c r="C4570" t="s">
        <v>40</v>
      </c>
      <c r="D4570">
        <v>4.9100710000000003</v>
      </c>
      <c r="E4570">
        <v>0.45924880000000001</v>
      </c>
      <c r="F4570" t="s">
        <v>42</v>
      </c>
      <c r="G4570">
        <v>-375.37029999999999</v>
      </c>
      <c r="H4570" s="1">
        <v>-2.0167629999999999E-6</v>
      </c>
      <c r="I4570">
        <v>139.7979</v>
      </c>
      <c r="J4570">
        <v>-367.6302</v>
      </c>
      <c r="K4570">
        <v>1.1104130000000001</v>
      </c>
      <c r="L4570">
        <v>141.62540000000001</v>
      </c>
      <c r="M4570">
        <v>-0.99993639999999995</v>
      </c>
      <c r="N4570">
        <v>0</v>
      </c>
      <c r="O4570">
        <v>-5.4580949999999905E-4</v>
      </c>
      <c r="P4570">
        <v>-0.98940620000000001</v>
      </c>
      <c r="Q4570">
        <v>9.5669840000000006E-2</v>
      </c>
      <c r="R4570">
        <v>-0.10918949999999999</v>
      </c>
      <c r="S4570">
        <v>-2.997223</v>
      </c>
      <c r="T4570">
        <v>-0.4137439</v>
      </c>
      <c r="U4570">
        <v>-0.68110660000000001</v>
      </c>
      <c r="V4570">
        <v>-0.1087552</v>
      </c>
      <c r="W4570">
        <v>0.1067027</v>
      </c>
      <c r="X4570">
        <v>0.98832520000000001</v>
      </c>
      <c r="Y4570">
        <v>-0.2190928</v>
      </c>
      <c r="Z4570">
        <v>-1.4789770000000001E-2</v>
      </c>
      <c r="AA4570">
        <v>0.97559189999999996</v>
      </c>
      <c r="AB4570">
        <v>31</v>
      </c>
      <c r="AC4570">
        <v>-7.7400999999999804</v>
      </c>
      <c r="AD4570">
        <v>-1.11041501676299</v>
      </c>
      <c r="AE4570">
        <v>-1.8275000000000099</v>
      </c>
      <c r="AF4570">
        <v>-1.7884102311054599</v>
      </c>
      <c r="AG4570">
        <v>-1.11041501676299</v>
      </c>
      <c r="AH4570">
        <v>7.5930713572757602</v>
      </c>
      <c r="AI4570">
        <v>98.101372989107205</v>
      </c>
      <c r="AJ4570">
        <v>103.25342636697999</v>
      </c>
      <c r="AK4570">
        <v>7.8794774763849098</v>
      </c>
      <c r="AL4570">
        <v>83.874724297194803</v>
      </c>
      <c r="AM4570">
        <v>96.279556896555505</v>
      </c>
      <c r="AN4570">
        <v>0.99999993033468204</v>
      </c>
    </row>
    <row r="4571" spans="1:40" x14ac:dyDescent="0.25">
      <c r="A4571" t="str">
        <f>"20190312151119042"</f>
        <v>20190312151119042</v>
      </c>
      <c r="B4571" t="str">
        <f>"1552374679036187"</f>
        <v>1552374679036187</v>
      </c>
      <c r="C4571" t="s">
        <v>40</v>
      </c>
      <c r="D4571">
        <v>5.0180239999999996</v>
      </c>
      <c r="E4571">
        <v>0.45861210000000002</v>
      </c>
      <c r="F4571" t="s">
        <v>42</v>
      </c>
      <c r="G4571">
        <v>-375.45229999999998</v>
      </c>
      <c r="H4571" s="1">
        <v>-1.9931570000000001E-6</v>
      </c>
      <c r="I4571">
        <v>139.84129999999999</v>
      </c>
      <c r="J4571">
        <v>-367.95569999999998</v>
      </c>
      <c r="K4571">
        <v>1.1104320000000001</v>
      </c>
      <c r="L4571">
        <v>141.62469999999999</v>
      </c>
      <c r="M4571">
        <v>-0.99993609999999999</v>
      </c>
      <c r="N4571">
        <v>0</v>
      </c>
      <c r="O4571">
        <v>-1.0965459999999999E-3</v>
      </c>
      <c r="P4571">
        <v>-0.98932980000000004</v>
      </c>
      <c r="Q4571">
        <v>9.5893759999999995E-2</v>
      </c>
      <c r="R4571">
        <v>-0.1096872</v>
      </c>
      <c r="S4571">
        <v>-2.997833</v>
      </c>
      <c r="T4571">
        <v>-0.42557220000000001</v>
      </c>
      <c r="U4571">
        <v>-0.68374630000000003</v>
      </c>
      <c r="V4571">
        <v>-0.10871210000000001</v>
      </c>
      <c r="W4571">
        <v>0.1069256</v>
      </c>
      <c r="X4571">
        <v>0.98830589999999996</v>
      </c>
      <c r="Y4571">
        <v>-0.2192211</v>
      </c>
      <c r="Z4571">
        <v>-1.513629E-2</v>
      </c>
      <c r="AA4571">
        <v>0.97555780000000003</v>
      </c>
      <c r="AB4571">
        <v>31</v>
      </c>
      <c r="AC4571">
        <v>-7.4965999999999999</v>
      </c>
      <c r="AD4571">
        <v>-1.11043399315699</v>
      </c>
      <c r="AE4571">
        <v>-1.7834000000000001</v>
      </c>
      <c r="AF4571">
        <v>-1.7390649575853301</v>
      </c>
      <c r="AG4571">
        <v>-1.11043399315699</v>
      </c>
      <c r="AH4571">
        <v>7.3460054824404999</v>
      </c>
      <c r="AI4571">
        <v>98.367964060452394</v>
      </c>
      <c r="AJ4571">
        <v>103.318782059085</v>
      </c>
      <c r="AK4571">
        <v>7.6302822443147997</v>
      </c>
      <c r="AL4571">
        <v>83.861879877987107</v>
      </c>
      <c r="AM4571">
        <v>96.277209761879703</v>
      </c>
      <c r="AN4571">
        <v>0.99999997829828902</v>
      </c>
    </row>
    <row r="4572" spans="1:40" x14ac:dyDescent="0.25">
      <c r="A4572" t="str">
        <f>"20190312151119064"</f>
        <v>20190312151119064</v>
      </c>
      <c r="B4572" t="str">
        <f>"1552374679055707"</f>
        <v>1552374679055707</v>
      </c>
      <c r="C4572" t="s">
        <v>40</v>
      </c>
      <c r="D4572">
        <v>4.9961659999999997</v>
      </c>
      <c r="E4572">
        <v>0.45824700000000002</v>
      </c>
      <c r="F4572" t="s">
        <v>42</v>
      </c>
      <c r="G4572">
        <v>-375.649</v>
      </c>
      <c r="H4572" s="1">
        <v>-1.9113600000000002E-6</v>
      </c>
      <c r="I4572">
        <v>139.851</v>
      </c>
      <c r="J4572">
        <v>-368.26769999999999</v>
      </c>
      <c r="K4572">
        <v>1.1104560000000001</v>
      </c>
      <c r="L4572">
        <v>141.62370000000001</v>
      </c>
      <c r="M4572">
        <v>-0.99993509999999997</v>
      </c>
      <c r="N4572">
        <v>0</v>
      </c>
      <c r="O4572">
        <v>-1.6470979999999901E-3</v>
      </c>
      <c r="P4572">
        <v>-0.98926369999999997</v>
      </c>
      <c r="Q4572">
        <v>9.5728549999999996E-2</v>
      </c>
      <c r="R4572">
        <v>-0.1104234</v>
      </c>
      <c r="S4572">
        <v>-2.9977109999999998</v>
      </c>
      <c r="T4572">
        <v>-0.43268469999999998</v>
      </c>
      <c r="U4572">
        <v>-0.69108579999999997</v>
      </c>
      <c r="V4572">
        <v>-0.108908199999999</v>
      </c>
      <c r="W4572">
        <v>0.106758199999999</v>
      </c>
      <c r="X4572">
        <v>0.98830240000000003</v>
      </c>
      <c r="Y4572">
        <v>-0.22088240000000001</v>
      </c>
      <c r="Z4572">
        <v>-1.5422989999999999E-2</v>
      </c>
      <c r="AA4572">
        <v>0.97517849999999995</v>
      </c>
      <c r="AB4572">
        <v>31</v>
      </c>
      <c r="AC4572">
        <v>-7.3813000000000004</v>
      </c>
      <c r="AD4572">
        <v>-1.1104579113599999</v>
      </c>
      <c r="AE4572">
        <v>-1.7727000000000099</v>
      </c>
      <c r="AF4572">
        <v>-1.72365529170482</v>
      </c>
      <c r="AG4572">
        <v>-1.1104579113599999</v>
      </c>
      <c r="AH4572">
        <v>7.2295086348924897</v>
      </c>
      <c r="AI4572">
        <v>98.497861166135493</v>
      </c>
      <c r="AJ4572">
        <v>103.410074521982</v>
      </c>
      <c r="AK4572">
        <v>7.5146456629377498</v>
      </c>
      <c r="AL4572">
        <v>83.871526366832995</v>
      </c>
      <c r="AM4572">
        <v>96.288464347387304</v>
      </c>
      <c r="AN4572">
        <v>0.999999971570119</v>
      </c>
    </row>
    <row r="4573" spans="1:40" x14ac:dyDescent="0.25">
      <c r="A4573" t="str">
        <f>"20190312151119097"</f>
        <v>20190312151119097</v>
      </c>
      <c r="B4573" t="str">
        <f>"1552374679085963"</f>
        <v>1552374679085963</v>
      </c>
      <c r="C4573" t="s">
        <v>40</v>
      </c>
      <c r="D4573">
        <v>5.1797180000000003</v>
      </c>
      <c r="E4573">
        <v>0.45805259999999998</v>
      </c>
      <c r="F4573" t="s">
        <v>42</v>
      </c>
      <c r="G4573">
        <v>-375.84469999999999</v>
      </c>
      <c r="H4573" s="1">
        <v>-1.8303000000000001E-6</v>
      </c>
      <c r="I4573">
        <v>139.86189999999999</v>
      </c>
      <c r="J4573">
        <v>-368.73419999999999</v>
      </c>
      <c r="K4573">
        <v>1.1104969999999901</v>
      </c>
      <c r="L4573">
        <v>141.62200000000001</v>
      </c>
      <c r="M4573">
        <v>-0.99993339999999997</v>
      </c>
      <c r="N4573">
        <v>0</v>
      </c>
      <c r="O4573">
        <v>-2.5388149999999998E-3</v>
      </c>
      <c r="P4573">
        <v>-0.98897990000000002</v>
      </c>
      <c r="Q4573">
        <v>9.6346200000000007E-2</v>
      </c>
      <c r="R4573">
        <v>-0.11241279999999999</v>
      </c>
      <c r="S4573">
        <v>-2.9972530000000002</v>
      </c>
      <c r="T4573">
        <v>-0.43926670000000001</v>
      </c>
      <c r="U4573">
        <v>-0.69688419999999995</v>
      </c>
      <c r="V4573">
        <v>-0.11002720000000001</v>
      </c>
      <c r="W4573">
        <v>0.107366</v>
      </c>
      <c r="X4573">
        <v>0.98811260000000001</v>
      </c>
      <c r="Y4573">
        <v>-0.221771</v>
      </c>
      <c r="Z4573">
        <v>-1.5589860000000001E-2</v>
      </c>
      <c r="AA4573">
        <v>0.97497420000000001</v>
      </c>
      <c r="AB4573">
        <v>31</v>
      </c>
      <c r="AC4573">
        <v>-7.1105</v>
      </c>
      <c r="AD4573">
        <v>-1.1104988303000001</v>
      </c>
      <c r="AE4573">
        <v>-1.76010000000002</v>
      </c>
      <c r="AF4573">
        <v>-1.7029029583200599</v>
      </c>
      <c r="AG4573">
        <v>-1.1104988303000001</v>
      </c>
      <c r="AH4573">
        <v>6.95509629475157</v>
      </c>
      <c r="AI4573">
        <v>98.815547099975305</v>
      </c>
      <c r="AJ4573">
        <v>103.757785685597</v>
      </c>
      <c r="AK4573">
        <v>7.2461334935826196</v>
      </c>
      <c r="AL4573">
        <v>83.836500704980395</v>
      </c>
      <c r="AM4573">
        <v>96.353761168088596</v>
      </c>
      <c r="AN4573">
        <v>0.99999997648729899</v>
      </c>
    </row>
    <row r="4574" spans="1:40" x14ac:dyDescent="0.25">
      <c r="A4574" t="str">
        <f>"20190312151119119"</f>
        <v>20190312151119119</v>
      </c>
      <c r="B4574" t="str">
        <f>"1552374679116219"</f>
        <v>1552374679116219</v>
      </c>
      <c r="C4574" t="s">
        <v>40</v>
      </c>
      <c r="D4574">
        <v>5.2144500000000003</v>
      </c>
      <c r="E4574">
        <v>0.45810459999999897</v>
      </c>
      <c r="F4574" t="s">
        <v>42</v>
      </c>
      <c r="G4574">
        <v>-376.22070000000002</v>
      </c>
      <c r="H4574" s="1">
        <v>-1.668862E-6</v>
      </c>
      <c r="I4574">
        <v>139.8614</v>
      </c>
      <c r="J4574">
        <v>-369.03519999999997</v>
      </c>
      <c r="K4574">
        <v>1.1105419999999999</v>
      </c>
      <c r="L4574">
        <v>141.6206</v>
      </c>
      <c r="M4574">
        <v>-0.99993129999999997</v>
      </c>
      <c r="N4574">
        <v>0</v>
      </c>
      <c r="O4574">
        <v>-3.1905850000000001E-3</v>
      </c>
      <c r="P4574">
        <v>-0.98882969999999903</v>
      </c>
      <c r="Q4574">
        <v>9.6623849999999997E-2</v>
      </c>
      <c r="R4574">
        <v>-0.1134889</v>
      </c>
      <c r="S4574">
        <v>-2.9966430000000002</v>
      </c>
      <c r="T4574">
        <v>-0.44450430000000002</v>
      </c>
      <c r="U4574">
        <v>-0.70469669999999995</v>
      </c>
      <c r="V4574">
        <v>-0.1104702</v>
      </c>
      <c r="W4574">
        <v>0.1076334</v>
      </c>
      <c r="X4574">
        <v>0.98803410000000003</v>
      </c>
      <c r="Y4574">
        <v>-0.22352559999999999</v>
      </c>
      <c r="Z4574">
        <v>-1.5805199999999998E-2</v>
      </c>
      <c r="AA4574">
        <v>0.97456989999999999</v>
      </c>
      <c r="AB4574">
        <v>31</v>
      </c>
      <c r="AC4574">
        <v>-7.1855000000000402</v>
      </c>
      <c r="AD4574">
        <v>-1.1105436688619901</v>
      </c>
      <c r="AE4574">
        <v>-1.7591999999999901</v>
      </c>
      <c r="AF4574">
        <v>-1.69799763403003</v>
      </c>
      <c r="AG4574">
        <v>-1.1105436688619901</v>
      </c>
      <c r="AH4574">
        <v>7.0325904905209198</v>
      </c>
      <c r="AI4574">
        <v>98.726949375392195</v>
      </c>
      <c r="AJ4574">
        <v>103.574097269966</v>
      </c>
      <c r="AK4574">
        <v>7.3194147452502198</v>
      </c>
      <c r="AL4574">
        <v>83.821090648312307</v>
      </c>
      <c r="AM4574">
        <v>96.379635352326702</v>
      </c>
      <c r="AN4574">
        <v>0.99999999832320496</v>
      </c>
    </row>
    <row r="4575" spans="1:40" x14ac:dyDescent="0.25">
      <c r="A4575" t="str">
        <f>"20190312151119141"</f>
        <v>20190312151119141</v>
      </c>
      <c r="B4575" t="str">
        <f>"1552374679135742"</f>
        <v>1552374679135742</v>
      </c>
      <c r="C4575" t="s">
        <v>40</v>
      </c>
      <c r="D4575">
        <v>4.9706260000000002</v>
      </c>
      <c r="E4575">
        <v>0.45781189999999999</v>
      </c>
      <c r="F4575" t="s">
        <v>42</v>
      </c>
      <c r="G4575">
        <v>-376.4248</v>
      </c>
      <c r="H4575" s="1">
        <v>-1.5851310000000001E-6</v>
      </c>
      <c r="I4575">
        <v>139.8758</v>
      </c>
      <c r="J4575">
        <v>-369.35509999999999</v>
      </c>
      <c r="K4575">
        <v>1.1106039999999999</v>
      </c>
      <c r="L4575">
        <v>141.61869999999999</v>
      </c>
      <c r="M4575">
        <v>-0.9999285</v>
      </c>
      <c r="N4575">
        <v>0</v>
      </c>
      <c r="O4575">
        <v>-3.9758429999999997E-3</v>
      </c>
      <c r="P4575">
        <v>-0.9885697</v>
      </c>
      <c r="Q4575">
        <v>9.6924679999999999E-2</v>
      </c>
      <c r="R4575">
        <v>-0.1154806</v>
      </c>
      <c r="S4575">
        <v>-2.9967039999999998</v>
      </c>
      <c r="T4575">
        <v>-0.45035950000000002</v>
      </c>
      <c r="U4575">
        <v>-0.70751949999999997</v>
      </c>
      <c r="V4575">
        <v>-0.11170330000000001</v>
      </c>
      <c r="W4575">
        <v>0.1079164</v>
      </c>
      <c r="X4575">
        <v>0.98786459999999998</v>
      </c>
      <c r="Y4575">
        <v>-0.2235743</v>
      </c>
      <c r="Z4575">
        <v>-1.5897020000000001E-2</v>
      </c>
      <c r="AA4575">
        <v>0.97455720000000001</v>
      </c>
      <c r="AB4575">
        <v>31</v>
      </c>
      <c r="AC4575">
        <v>-7.0697000000000099</v>
      </c>
      <c r="AD4575">
        <v>-1.1106055851309999</v>
      </c>
      <c r="AE4575">
        <v>-1.7428999999999899</v>
      </c>
      <c r="AF4575">
        <v>-1.67579002729632</v>
      </c>
      <c r="AG4575">
        <v>-1.1106055851309999</v>
      </c>
      <c r="AH4575">
        <v>6.9156842269171896</v>
      </c>
      <c r="AI4575">
        <v>98.870896648938</v>
      </c>
      <c r="AJ4575">
        <v>103.62120824685699</v>
      </c>
      <c r="AK4575">
        <v>7.2019723206730797</v>
      </c>
      <c r="AL4575">
        <v>83.804781092826502</v>
      </c>
      <c r="AM4575">
        <v>96.451347198732194</v>
      </c>
      <c r="AN4575">
        <v>1.0000000222765</v>
      </c>
    </row>
    <row r="4576" spans="1:40" x14ac:dyDescent="0.25">
      <c r="A4576" t="str">
        <f>"20190312151119164"</f>
        <v>20190312151119164</v>
      </c>
      <c r="B4576" t="str">
        <f>"1552374679155259"</f>
        <v>1552374679155259</v>
      </c>
      <c r="C4576" t="s">
        <v>40</v>
      </c>
      <c r="D4576">
        <v>4.910469</v>
      </c>
      <c r="E4576">
        <v>0.4575689</v>
      </c>
      <c r="F4576" t="s">
        <v>42</v>
      </c>
      <c r="G4576">
        <v>-376.70400000000001</v>
      </c>
      <c r="H4576" s="1">
        <v>-1.4616079999999999E-6</v>
      </c>
      <c r="I4576">
        <v>139.86170000000001</v>
      </c>
      <c r="J4576">
        <v>-369.66050000000001</v>
      </c>
      <c r="K4576">
        <v>1.110668</v>
      </c>
      <c r="L4576">
        <v>141.61670000000001</v>
      </c>
      <c r="M4576">
        <v>-0.99992490000000001</v>
      </c>
      <c r="N4576">
        <v>0</v>
      </c>
      <c r="O4576">
        <v>-4.8020470000000003E-3</v>
      </c>
      <c r="P4576">
        <v>-0.98831049999999998</v>
      </c>
      <c r="Q4576">
        <v>9.7097989999999995E-2</v>
      </c>
      <c r="R4576">
        <v>-0.1175356</v>
      </c>
      <c r="S4576">
        <v>-2.9953919999999998</v>
      </c>
      <c r="T4576">
        <v>-0.45268330000000001</v>
      </c>
      <c r="U4576">
        <v>-0.71614069999999996</v>
      </c>
      <c r="V4576">
        <v>-0.11296</v>
      </c>
      <c r="W4576">
        <v>0.108070899999999</v>
      </c>
      <c r="X4576">
        <v>0.98770480000000005</v>
      </c>
      <c r="Y4576">
        <v>-0.22548380000000001</v>
      </c>
      <c r="Z4576">
        <v>-1.599882E-2</v>
      </c>
      <c r="AA4576">
        <v>0.97411559999999997</v>
      </c>
      <c r="AB4576">
        <v>31</v>
      </c>
      <c r="AC4576">
        <v>-7.0434999999999901</v>
      </c>
      <c r="AD4576">
        <v>-1.110669461608</v>
      </c>
      <c r="AE4576">
        <v>-1.7549999999999899</v>
      </c>
      <c r="AF4576">
        <v>-1.68178095658374</v>
      </c>
      <c r="AG4576">
        <v>-1.110669461608</v>
      </c>
      <c r="AH4576">
        <v>6.8905275885610999</v>
      </c>
      <c r="AI4576">
        <v>98.899741546229194</v>
      </c>
      <c r="AJ4576">
        <v>103.716099736063</v>
      </c>
      <c r="AK4576">
        <v>7.1792300623115599</v>
      </c>
      <c r="AL4576">
        <v>83.795876845395895</v>
      </c>
      <c r="AM4576">
        <v>96.524351187487497</v>
      </c>
      <c r="AN4576">
        <v>1.00000002648492</v>
      </c>
    </row>
    <row r="4577" spans="1:40" x14ac:dyDescent="0.25">
      <c r="A4577" t="str">
        <f>"20190312151119186"</f>
        <v>20190312151119186</v>
      </c>
      <c r="B4577" t="str">
        <f>"1552374679175798"</f>
        <v>1552374679175798</v>
      </c>
      <c r="C4577" t="s">
        <v>40</v>
      </c>
      <c r="D4577">
        <v>4.8995540000000002</v>
      </c>
      <c r="E4577">
        <v>0.45744430000000003</v>
      </c>
      <c r="F4577" t="s">
        <v>42</v>
      </c>
      <c r="G4577">
        <v>-376.94</v>
      </c>
      <c r="H4577" s="1">
        <v>-1.3583969999999999E-6</v>
      </c>
      <c r="I4577">
        <v>139.8544</v>
      </c>
      <c r="J4577">
        <v>-369.98099999999999</v>
      </c>
      <c r="K4577">
        <v>1.1107450000000001</v>
      </c>
      <c r="L4577">
        <v>141.61420000000001</v>
      </c>
      <c r="M4577">
        <v>-0.99991969999999997</v>
      </c>
      <c r="N4577">
        <v>0</v>
      </c>
      <c r="O4577">
        <v>-5.7645209999999999E-3</v>
      </c>
      <c r="P4577">
        <v>-0.9880314</v>
      </c>
      <c r="Q4577">
        <v>9.7160960000000005E-2</v>
      </c>
      <c r="R4577">
        <v>-0.1198072</v>
      </c>
      <c r="S4577">
        <v>-2.9941409999999999</v>
      </c>
      <c r="T4577">
        <v>-0.4568295</v>
      </c>
      <c r="U4577">
        <v>-0.72480769999999906</v>
      </c>
      <c r="V4577">
        <v>-0.11430120000000001</v>
      </c>
      <c r="W4577">
        <v>0.1081126</v>
      </c>
      <c r="X4577">
        <v>0.98754589999999998</v>
      </c>
      <c r="Y4577">
        <v>-0.2272516</v>
      </c>
      <c r="Z4577">
        <v>-1.613324E-2</v>
      </c>
      <c r="AA4577">
        <v>0.97370239999999997</v>
      </c>
      <c r="AB4577">
        <v>31</v>
      </c>
      <c r="AC4577">
        <v>-6.9589999999999996</v>
      </c>
      <c r="AD4577">
        <v>-1.1107463583970001</v>
      </c>
      <c r="AE4577">
        <v>-1.75980000000001</v>
      </c>
      <c r="AF4577">
        <v>-1.67943869311539</v>
      </c>
      <c r="AG4577">
        <v>-1.1107463583970001</v>
      </c>
      <c r="AH4577">
        <v>6.8060581542902101</v>
      </c>
      <c r="AI4577">
        <v>99.003502801087805</v>
      </c>
      <c r="AJ4577">
        <v>103.86120012134</v>
      </c>
      <c r="AK4577">
        <v>7.0976544996361701</v>
      </c>
      <c r="AL4577">
        <v>83.793473375209999</v>
      </c>
      <c r="AM4577">
        <v>96.602189351872596</v>
      </c>
      <c r="AN4577">
        <v>1.0000000016035</v>
      </c>
    </row>
    <row r="4578" spans="1:40" x14ac:dyDescent="0.25">
      <c r="A4578" t="str">
        <f>"20190312151119208"</f>
        <v>20190312151119208</v>
      </c>
      <c r="B4578" t="str">
        <f>"1552374679206055"</f>
        <v>1552374679206055</v>
      </c>
      <c r="C4578" t="s">
        <v>40</v>
      </c>
      <c r="D4578">
        <v>4.920909</v>
      </c>
      <c r="E4578">
        <v>0.45728020000000003</v>
      </c>
      <c r="F4578" t="s">
        <v>42</v>
      </c>
      <c r="G4578">
        <v>-377.32420000000002</v>
      </c>
      <c r="H4578" s="1">
        <v>-1.1833799999999901E-6</v>
      </c>
      <c r="I4578">
        <v>139.8159</v>
      </c>
      <c r="J4578">
        <v>-370.29390000000001</v>
      </c>
      <c r="K4578">
        <v>1.1108290000000001</v>
      </c>
      <c r="L4578">
        <v>141.6113</v>
      </c>
      <c r="M4578">
        <v>-0.99991300000000005</v>
      </c>
      <c r="N4578">
        <v>0</v>
      </c>
      <c r="O4578">
        <v>-6.8144729999999997E-3</v>
      </c>
      <c r="P4578">
        <v>-0.98768040000000001</v>
      </c>
      <c r="Q4578">
        <v>9.7578670000000006E-2</v>
      </c>
      <c r="R4578">
        <v>-0.12233529999999999</v>
      </c>
      <c r="S4578">
        <v>-2.992035</v>
      </c>
      <c r="T4578">
        <v>-0.45258409999999899</v>
      </c>
      <c r="U4578">
        <v>-0.73266600000000004</v>
      </c>
      <c r="V4578">
        <v>-0.1158156</v>
      </c>
      <c r="W4578">
        <v>0.10850659999999999</v>
      </c>
      <c r="X4578">
        <v>0.98732620000000004</v>
      </c>
      <c r="Y4578">
        <v>-0.22883780000000001</v>
      </c>
      <c r="Z4578">
        <v>-1.5952899999999999E-2</v>
      </c>
      <c r="AA4578">
        <v>0.97333380000000003</v>
      </c>
      <c r="AB4578">
        <v>31</v>
      </c>
      <c r="AC4578">
        <v>-7.0303000000000102</v>
      </c>
      <c r="AD4578">
        <v>-1.1108301833800001</v>
      </c>
      <c r="AE4578">
        <v>-1.7954000000000001</v>
      </c>
      <c r="AF4578">
        <v>-1.7074298154274601</v>
      </c>
      <c r="AG4578">
        <v>-1.1108301833800001</v>
      </c>
      <c r="AH4578">
        <v>6.8810974718531099</v>
      </c>
      <c r="AI4578">
        <v>98.904748907047207</v>
      </c>
      <c r="AJ4578">
        <v>103.93553979642</v>
      </c>
      <c r="AK4578">
        <v>7.1762638390782403</v>
      </c>
      <c r="AL4578">
        <v>83.770765117813696</v>
      </c>
      <c r="AM4578">
        <v>96.690350519490806</v>
      </c>
      <c r="AN4578">
        <v>0.99999998032667903</v>
      </c>
    </row>
    <row r="4579" spans="1:40" x14ac:dyDescent="0.25">
      <c r="A4579" t="str">
        <f>"20190312151119232"</f>
        <v>20190312151119232</v>
      </c>
      <c r="B4579" t="str">
        <f>"1552374679225574"</f>
        <v>1552374679225574</v>
      </c>
      <c r="C4579" t="s">
        <v>40</v>
      </c>
      <c r="D4579">
        <v>4.9078739999999996</v>
      </c>
      <c r="E4579">
        <v>0.45718609999999998</v>
      </c>
      <c r="F4579" t="s">
        <v>42</v>
      </c>
      <c r="G4579">
        <v>-377.75220000000002</v>
      </c>
      <c r="H4579" s="1">
        <v>-9.8484950000000007E-7</v>
      </c>
      <c r="I4579">
        <v>139.75989999999999</v>
      </c>
      <c r="J4579">
        <v>-370.61360000000002</v>
      </c>
      <c r="K4579">
        <v>1.1109290000000001</v>
      </c>
      <c r="L4579">
        <v>141.6079</v>
      </c>
      <c r="M4579">
        <v>-0.99990409999999996</v>
      </c>
      <c r="N4579">
        <v>0</v>
      </c>
      <c r="O4579">
        <v>-8.0104189999999995E-3</v>
      </c>
      <c r="P4579">
        <v>-0.98730340000000005</v>
      </c>
      <c r="Q4579">
        <v>9.8568859999999994E-2</v>
      </c>
      <c r="R4579">
        <v>-0.12456449999999999</v>
      </c>
      <c r="S4579">
        <v>-2.9895019999999999</v>
      </c>
      <c r="T4579">
        <v>-0.44525520000000002</v>
      </c>
      <c r="U4579">
        <v>-0.74205019999999999</v>
      </c>
      <c r="V4579">
        <v>-0.1168912</v>
      </c>
      <c r="W4579">
        <v>0.1094692</v>
      </c>
      <c r="X4579">
        <v>0.9870932</v>
      </c>
      <c r="Y4579">
        <v>-0.23081080000000001</v>
      </c>
      <c r="Z4579">
        <v>-1.567385E-2</v>
      </c>
      <c r="AA4579">
        <v>0.97287239999999997</v>
      </c>
      <c r="AB4579">
        <v>31</v>
      </c>
      <c r="AC4579">
        <v>-7.1385999999999896</v>
      </c>
      <c r="AD4579">
        <v>-1.1109299848495</v>
      </c>
      <c r="AE4579">
        <v>-1.8480000000000101</v>
      </c>
      <c r="AF4579">
        <v>-1.7510104643206901</v>
      </c>
      <c r="AG4579">
        <v>-1.1109299848495</v>
      </c>
      <c r="AH4579">
        <v>6.9944198868480703</v>
      </c>
      <c r="AI4579">
        <v>98.759033673361202</v>
      </c>
      <c r="AJ4579">
        <v>104.05478778579</v>
      </c>
      <c r="AK4579">
        <v>7.2953486983785796</v>
      </c>
      <c r="AL4579">
        <v>83.715281949117895</v>
      </c>
      <c r="AM4579">
        <v>96.753492992591504</v>
      </c>
      <c r="AN4579">
        <v>1.00000002193615</v>
      </c>
    </row>
    <row r="4580" spans="1:40" x14ac:dyDescent="0.25">
      <c r="A4580" t="str">
        <f>"20190312151119254"</f>
        <v>20190312151119254</v>
      </c>
      <c r="B4580" t="str">
        <f>"1552374679246070"</f>
        <v>1552374679246070</v>
      </c>
      <c r="C4580" t="s">
        <v>40</v>
      </c>
      <c r="D4580">
        <v>5.0587689999999998</v>
      </c>
      <c r="E4580">
        <v>0.45714690000000002</v>
      </c>
      <c r="F4580" t="s">
        <v>42</v>
      </c>
      <c r="G4580">
        <v>-378.16910000000001</v>
      </c>
      <c r="H4580" s="1">
        <v>-7.9293700000000003E-7</v>
      </c>
      <c r="I4580">
        <v>139.71090000000001</v>
      </c>
      <c r="J4580">
        <v>-370.92520000000002</v>
      </c>
      <c r="K4580">
        <v>1.1110329999999999</v>
      </c>
      <c r="L4580">
        <v>141.60409999999999</v>
      </c>
      <c r="M4580">
        <v>-0.99989300000000003</v>
      </c>
      <c r="N4580">
        <v>0</v>
      </c>
      <c r="O4580">
        <v>-9.3040299999999996E-3</v>
      </c>
      <c r="P4580">
        <v>-0.98703580000000002</v>
      </c>
      <c r="Q4580">
        <v>9.8974439999999997E-2</v>
      </c>
      <c r="R4580">
        <v>-0.12635150000000001</v>
      </c>
      <c r="S4580">
        <v>-2.9877929999999999</v>
      </c>
      <c r="T4580">
        <v>-0.43931019999999998</v>
      </c>
      <c r="U4580">
        <v>-0.75013730000000001</v>
      </c>
      <c r="V4580">
        <v>-0.1174294</v>
      </c>
      <c r="W4580">
        <v>0.1098484</v>
      </c>
      <c r="X4580">
        <v>0.98698719999999995</v>
      </c>
      <c r="Y4580">
        <v>-0.2322207</v>
      </c>
      <c r="Z4580">
        <v>-1.5385589999999999E-2</v>
      </c>
      <c r="AA4580">
        <v>0.9725414</v>
      </c>
      <c r="AB4580">
        <v>31</v>
      </c>
      <c r="AC4580">
        <v>-7.2438999999999902</v>
      </c>
      <c r="AD4580">
        <v>-1.111033792937</v>
      </c>
      <c r="AE4580">
        <v>-1.89319999999997</v>
      </c>
      <c r="AF4580">
        <v>-1.78638043098937</v>
      </c>
      <c r="AG4580">
        <v>-1.111033792937</v>
      </c>
      <c r="AH4580">
        <v>7.1047561553418204</v>
      </c>
      <c r="AI4580">
        <v>98.623675266265806</v>
      </c>
      <c r="AJ4580">
        <v>104.113570476419</v>
      </c>
      <c r="AK4580">
        <v>7.4096633634826699</v>
      </c>
      <c r="AL4580">
        <v>83.693423644467003</v>
      </c>
      <c r="AM4580">
        <v>96.785020623303595</v>
      </c>
      <c r="AN4580">
        <v>1.0000000339653701</v>
      </c>
    </row>
    <row r="4581" spans="1:40" x14ac:dyDescent="0.25">
      <c r="A4581" t="str">
        <f>"20190312151119276"</f>
        <v>20190312151119276</v>
      </c>
      <c r="B4581" t="str">
        <f>"1552374679265590"</f>
        <v>1552374679265590</v>
      </c>
      <c r="C4581" t="s">
        <v>40</v>
      </c>
      <c r="D4581">
        <v>4.9899820000000004</v>
      </c>
      <c r="E4581">
        <v>0.45706150000000001</v>
      </c>
      <c r="F4581" t="s">
        <v>42</v>
      </c>
      <c r="G4581">
        <v>-378.52420000000001</v>
      </c>
      <c r="H4581" s="1">
        <v>-6.3224249999999997E-7</v>
      </c>
      <c r="I4581">
        <v>139.67939999999999</v>
      </c>
      <c r="J4581">
        <v>-371.24349999999998</v>
      </c>
      <c r="K4581">
        <v>1.1111439999999999</v>
      </c>
      <c r="L4581">
        <v>141.59970000000001</v>
      </c>
      <c r="M4581">
        <v>-0.9998783</v>
      </c>
      <c r="N4581">
        <v>0</v>
      </c>
      <c r="O4581">
        <v>-1.07571E-2</v>
      </c>
      <c r="P4581">
        <v>-0.98675820000000003</v>
      </c>
      <c r="Q4581">
        <v>9.9712079999999995E-2</v>
      </c>
      <c r="R4581">
        <v>-0.1279285</v>
      </c>
      <c r="S4581">
        <v>-2.9863590000000002</v>
      </c>
      <c r="T4581">
        <v>-0.43663220000000003</v>
      </c>
      <c r="U4581">
        <v>-0.75639339999999999</v>
      </c>
      <c r="V4581">
        <v>-0.1176041</v>
      </c>
      <c r="W4581">
        <v>0.1105579</v>
      </c>
      <c r="X4581">
        <v>0.98688719999999996</v>
      </c>
      <c r="Y4581">
        <v>-0.23286860000000001</v>
      </c>
      <c r="Z4581">
        <v>-1.5134430000000001E-2</v>
      </c>
      <c r="AA4581">
        <v>0.97239039999999999</v>
      </c>
      <c r="AB4581">
        <v>31</v>
      </c>
      <c r="AC4581">
        <v>-7.2807000000000199</v>
      </c>
      <c r="AD4581">
        <v>-1.1111446322425</v>
      </c>
      <c r="AE4581">
        <v>-1.9203000000000201</v>
      </c>
      <c r="AF4581">
        <v>-1.8026101586838701</v>
      </c>
      <c r="AG4581">
        <v>-1.1111446322425</v>
      </c>
      <c r="AH4581">
        <v>7.1453365967495097</v>
      </c>
      <c r="AI4581">
        <v>98.574584421684705</v>
      </c>
      <c r="AJ4581">
        <v>104.15901157719399</v>
      </c>
      <c r="AK4581">
        <v>7.4525083601965498</v>
      </c>
      <c r="AL4581">
        <v>83.652523331114296</v>
      </c>
      <c r="AM4581">
        <v>96.795702493229498</v>
      </c>
      <c r="AN4581">
        <v>1.0000000595565199</v>
      </c>
    </row>
    <row r="4582" spans="1:40" x14ac:dyDescent="0.25">
      <c r="A4582" t="str">
        <f>"20190312151119297"</f>
        <v>20190312151119297</v>
      </c>
      <c r="B4582" t="str">
        <f>"1552374679286086"</f>
        <v>1552374679286086</v>
      </c>
      <c r="C4582" t="s">
        <v>40</v>
      </c>
      <c r="D4582">
        <v>4.7963100000000001</v>
      </c>
      <c r="E4582">
        <v>0.45694630000000003</v>
      </c>
      <c r="F4582" t="s">
        <v>42</v>
      </c>
      <c r="G4582">
        <v>-378.92680000000001</v>
      </c>
      <c r="H4582" s="1">
        <v>-4.4840470000000002E-7</v>
      </c>
      <c r="I4582">
        <v>139.63749999999999</v>
      </c>
      <c r="J4582">
        <v>-371.54160000000002</v>
      </c>
      <c r="K4582">
        <v>1.1112550000000001</v>
      </c>
      <c r="L4582">
        <v>141.5951</v>
      </c>
      <c r="M4582">
        <v>-0.99986090000000005</v>
      </c>
      <c r="N4582">
        <v>0</v>
      </c>
      <c r="O4582">
        <v>-1.2245229999999999E-2</v>
      </c>
      <c r="P4582">
        <v>-0.98655420000000005</v>
      </c>
      <c r="Q4582">
        <v>9.9859610000000001E-2</v>
      </c>
      <c r="R4582">
        <v>-0.12937760000000001</v>
      </c>
      <c r="S4582">
        <v>-2.9850460000000001</v>
      </c>
      <c r="T4582">
        <v>-0.4316971</v>
      </c>
      <c r="U4582">
        <v>-0.76231380000000004</v>
      </c>
      <c r="V4582">
        <v>-0.1176137</v>
      </c>
      <c r="W4582">
        <v>0.1106835</v>
      </c>
      <c r="X4582">
        <v>0.98687190000000002</v>
      </c>
      <c r="Y4582">
        <v>-0.23339380000000001</v>
      </c>
      <c r="Z4582">
        <v>-1.4794399999999999E-2</v>
      </c>
      <c r="AA4582">
        <v>0.97226970000000001</v>
      </c>
      <c r="AB4582">
        <v>31</v>
      </c>
      <c r="AC4582">
        <v>-7.3851999999999904</v>
      </c>
      <c r="AD4582">
        <v>-1.1112554484046999</v>
      </c>
      <c r="AE4582">
        <v>-1.95760000000001</v>
      </c>
      <c r="AF4582">
        <v>-1.82833550335769</v>
      </c>
      <c r="AG4582">
        <v>-1.1112554484046999</v>
      </c>
      <c r="AH4582">
        <v>7.2551366173656202</v>
      </c>
      <c r="AI4582">
        <v>98.448069343963496</v>
      </c>
      <c r="AJ4582">
        <v>104.144348506707</v>
      </c>
      <c r="AK4582">
        <v>7.5640403701386196</v>
      </c>
      <c r="AL4582">
        <v>83.645282056169904</v>
      </c>
      <c r="AM4582">
        <v>96.796356416898206</v>
      </c>
      <c r="AN4582">
        <v>0.99999998330477402</v>
      </c>
    </row>
    <row r="4583" spans="1:40" x14ac:dyDescent="0.25">
      <c r="A4583" t="str">
        <f>"20190312151119320"</f>
        <v>20190312151119320</v>
      </c>
      <c r="B4583" t="str">
        <f>"1552374679315366"</f>
        <v>1552374679315366</v>
      </c>
      <c r="C4583" t="s">
        <v>40</v>
      </c>
      <c r="D4583">
        <v>4.8963169999999998</v>
      </c>
      <c r="E4583">
        <v>0.45661879999999999</v>
      </c>
      <c r="F4583" t="s">
        <v>42</v>
      </c>
      <c r="G4583">
        <v>-379.2724</v>
      </c>
      <c r="H4583" s="1">
        <v>-2.961137E-7</v>
      </c>
      <c r="I4583">
        <v>139.60679999999999</v>
      </c>
      <c r="J4583">
        <v>-371.85340000000002</v>
      </c>
      <c r="K4583">
        <v>1.111367</v>
      </c>
      <c r="L4583">
        <v>141.58949999999999</v>
      </c>
      <c r="M4583">
        <v>-0.99983869999999997</v>
      </c>
      <c r="N4583">
        <v>0</v>
      </c>
      <c r="O4583">
        <v>-1.394189E-2</v>
      </c>
      <c r="P4583">
        <v>-0.98625759999999996</v>
      </c>
      <c r="Q4583">
        <v>9.9817279999999994E-2</v>
      </c>
      <c r="R4583">
        <v>-0.13165350000000001</v>
      </c>
      <c r="S4583">
        <v>-2.9837039999999999</v>
      </c>
      <c r="T4583">
        <v>-0.42888739999999997</v>
      </c>
      <c r="U4583">
        <v>-0.76734919999999995</v>
      </c>
      <c r="V4583">
        <v>-0.1182465</v>
      </c>
      <c r="W4583">
        <v>0.11062</v>
      </c>
      <c r="X4583">
        <v>0.9868034</v>
      </c>
      <c r="Y4583">
        <v>-0.23343259999999999</v>
      </c>
      <c r="Z4583">
        <v>-1.446653E-2</v>
      </c>
      <c r="AA4583">
        <v>0.97226539999999995</v>
      </c>
      <c r="AB4583">
        <v>31</v>
      </c>
      <c r="AC4583">
        <v>-7.4189999999999801</v>
      </c>
      <c r="AD4583">
        <v>-1.1113672961137</v>
      </c>
      <c r="AE4583">
        <v>-1.9826999999999899</v>
      </c>
      <c r="AF4583">
        <v>-1.8405175264367599</v>
      </c>
      <c r="AG4583">
        <v>-1.1113672961137</v>
      </c>
      <c r="AH4583">
        <v>7.2931732550283099</v>
      </c>
      <c r="AI4583">
        <v>98.4047748780078</v>
      </c>
      <c r="AJ4583">
        <v>104.163527686634</v>
      </c>
      <c r="AK4583">
        <v>7.6034872367784097</v>
      </c>
      <c r="AL4583">
        <v>83.648942827030794</v>
      </c>
      <c r="AM4583">
        <v>96.833048058501006</v>
      </c>
      <c r="AN4583">
        <v>0.99999998470690399</v>
      </c>
    </row>
    <row r="4584" spans="1:40" x14ac:dyDescent="0.25">
      <c r="A4584" t="str">
        <f>"20190312151119342"</f>
        <v>20190312151119342</v>
      </c>
      <c r="B4584" t="str">
        <f>"1552374679335862"</f>
        <v>1552374679335862</v>
      </c>
      <c r="C4584" t="s">
        <v>40</v>
      </c>
      <c r="D4584">
        <v>4.9171750000000003</v>
      </c>
      <c r="E4584">
        <v>0.45642769999999999</v>
      </c>
      <c r="F4584" t="s">
        <v>42</v>
      </c>
      <c r="G4584">
        <v>-379.45359999999999</v>
      </c>
      <c r="H4584" s="1">
        <v>-2.1811769999999999E-7</v>
      </c>
      <c r="I4584">
        <v>139.60820000000001</v>
      </c>
      <c r="J4584">
        <v>-372.17270000000002</v>
      </c>
      <c r="K4584">
        <v>1.11147</v>
      </c>
      <c r="L4584">
        <v>141.58320000000001</v>
      </c>
      <c r="M4584">
        <v>-0.9998108</v>
      </c>
      <c r="N4584">
        <v>0</v>
      </c>
      <c r="O4584">
        <v>-1.580842E-2</v>
      </c>
      <c r="P4584">
        <v>-0.98595790000000005</v>
      </c>
      <c r="Q4584">
        <v>9.9943580000000004E-2</v>
      </c>
      <c r="R4584">
        <v>-0.1337846</v>
      </c>
      <c r="S4584">
        <v>-2.9821469999999999</v>
      </c>
      <c r="T4584">
        <v>-0.43607449999999998</v>
      </c>
      <c r="U4584">
        <v>-0.77738949999999996</v>
      </c>
      <c r="V4584">
        <v>-0.1185664</v>
      </c>
      <c r="W4584">
        <v>0.11072799999999999</v>
      </c>
      <c r="X4584">
        <v>0.98675290000000004</v>
      </c>
      <c r="Y4584">
        <v>-0.2347428</v>
      </c>
      <c r="Z4584">
        <v>-1.45348E-2</v>
      </c>
      <c r="AA4584">
        <v>0.9719489</v>
      </c>
      <c r="AB4584">
        <v>31</v>
      </c>
      <c r="AC4584">
        <v>-7.2808999999999697</v>
      </c>
      <c r="AD4584">
        <v>-1.1114702181176901</v>
      </c>
      <c r="AE4584">
        <v>-1.9749999999999901</v>
      </c>
      <c r="AF4584">
        <v>-1.8201373478446501</v>
      </c>
      <c r="AG4584">
        <v>-1.1114702181176901</v>
      </c>
      <c r="AH4584">
        <v>7.1558841270248799</v>
      </c>
      <c r="AI4584">
        <v>98.560433247739397</v>
      </c>
      <c r="AJ4584">
        <v>104.27086539984801</v>
      </c>
      <c r="AK4584">
        <v>7.4669233054979403</v>
      </c>
      <c r="AL4584">
        <v>83.642716625586004</v>
      </c>
      <c r="AM4584">
        <v>96.851705772077494</v>
      </c>
      <c r="AN4584">
        <v>0.99999998342568397</v>
      </c>
    </row>
    <row r="4585" spans="1:40" x14ac:dyDescent="0.25">
      <c r="A4585" t="str">
        <f>"20190312151119365"</f>
        <v>20190312151119365</v>
      </c>
      <c r="B4585" t="str">
        <f>"1552374679355387"</f>
        <v>1552374679355387</v>
      </c>
      <c r="C4585" t="s">
        <v>40</v>
      </c>
      <c r="D4585">
        <v>4.8500560000000004</v>
      </c>
      <c r="E4585">
        <v>0.4562059</v>
      </c>
      <c r="F4585" t="s">
        <v>42</v>
      </c>
      <c r="G4585">
        <v>-379.7183</v>
      </c>
      <c r="H4585" s="1">
        <v>-1.0724869999999999E-7</v>
      </c>
      <c r="I4585">
        <v>139.59309999999999</v>
      </c>
      <c r="J4585">
        <v>-372.49099999999999</v>
      </c>
      <c r="K4585">
        <v>1.111567</v>
      </c>
      <c r="L4585">
        <v>141.5762</v>
      </c>
      <c r="M4585">
        <v>-0.99977760000000004</v>
      </c>
      <c r="N4585">
        <v>0</v>
      </c>
      <c r="O4585">
        <v>-1.7772590000000001E-2</v>
      </c>
      <c r="P4585">
        <v>-0.98565020000000003</v>
      </c>
      <c r="Q4585">
        <v>0.100162</v>
      </c>
      <c r="R4585">
        <v>-0.13587260000000001</v>
      </c>
      <c r="S4585">
        <v>-2.9805600000000001</v>
      </c>
      <c r="T4585">
        <v>-0.43903730000000002</v>
      </c>
      <c r="U4585">
        <v>-0.78604130000000005</v>
      </c>
      <c r="V4585">
        <v>-0.1187449</v>
      </c>
      <c r="W4585">
        <v>0.1109318</v>
      </c>
      <c r="X4585">
        <v>0.98670860000000005</v>
      </c>
      <c r="Y4585">
        <v>-0.23558190000000001</v>
      </c>
      <c r="Z4585">
        <v>-1.441257E-2</v>
      </c>
      <c r="AA4585">
        <v>0.97174760000000004</v>
      </c>
      <c r="AB4585">
        <v>31</v>
      </c>
      <c r="AC4585">
        <v>-7.2273000000000103</v>
      </c>
      <c r="AD4585">
        <v>-1.1115671072486999</v>
      </c>
      <c r="AE4585">
        <v>-1.9831000000000001</v>
      </c>
      <c r="AF4585">
        <v>-1.8144161370326899</v>
      </c>
      <c r="AG4585">
        <v>-1.1115671072486999</v>
      </c>
      <c r="AH4585">
        <v>7.1051036123673397</v>
      </c>
      <c r="AI4585">
        <v>98.619381509352493</v>
      </c>
      <c r="AJ4585">
        <v>104.325347900937</v>
      </c>
      <c r="AK4585">
        <v>7.4168851072884499</v>
      </c>
      <c r="AL4585">
        <v>83.630967714593993</v>
      </c>
      <c r="AM4585">
        <v>96.8622277768267</v>
      </c>
      <c r="AN4585">
        <v>1.0000000384206</v>
      </c>
    </row>
    <row r="4586" spans="1:40" x14ac:dyDescent="0.25">
      <c r="A4586" t="str">
        <f>"20190312151119386"</f>
        <v>20190312151119386</v>
      </c>
      <c r="B4586" t="str">
        <f>"1552374679375878"</f>
        <v>1552374679375878</v>
      </c>
      <c r="C4586" t="s">
        <v>40</v>
      </c>
      <c r="D4586">
        <v>5.5101500000000003</v>
      </c>
      <c r="E4586">
        <v>0.45605990000000002</v>
      </c>
      <c r="F4586" t="s">
        <v>42</v>
      </c>
      <c r="G4586">
        <v>-380.00510000000003</v>
      </c>
      <c r="H4586" s="1">
        <v>-4.2780369999999999E-6</v>
      </c>
      <c r="I4586">
        <v>139.57149999999999</v>
      </c>
      <c r="J4586">
        <v>-372.7955</v>
      </c>
      <c r="K4586">
        <v>1.111645</v>
      </c>
      <c r="L4586">
        <v>141.56880000000001</v>
      </c>
      <c r="M4586">
        <v>-0.99974070000000004</v>
      </c>
      <c r="N4586">
        <v>0</v>
      </c>
      <c r="O4586">
        <v>-1.9740069999999998E-2</v>
      </c>
      <c r="P4586">
        <v>-0.98526309999999995</v>
      </c>
      <c r="Q4586">
        <v>0.1003793</v>
      </c>
      <c r="R4586">
        <v>-0.138494799999999</v>
      </c>
      <c r="S4586">
        <v>-2.9789430000000001</v>
      </c>
      <c r="T4586">
        <v>-0.4406872</v>
      </c>
      <c r="U4586">
        <v>-0.79472349999999903</v>
      </c>
      <c r="V4586">
        <v>-0.1194516</v>
      </c>
      <c r="W4586">
        <v>0.1111342</v>
      </c>
      <c r="X4586">
        <v>0.98660049999999999</v>
      </c>
      <c r="Y4586">
        <v>-0.23644119999999999</v>
      </c>
      <c r="Z4586">
        <v>-1.4246399999999999E-2</v>
      </c>
      <c r="AA4586">
        <v>0.97154130000000005</v>
      </c>
      <c r="AB4586">
        <v>31</v>
      </c>
      <c r="AC4586">
        <v>-7.2096000000000204</v>
      </c>
      <c r="AD4586">
        <v>-1.111649278037</v>
      </c>
      <c r="AE4586">
        <v>-1.9973000000000201</v>
      </c>
      <c r="AF4586">
        <v>-1.8145189817781999</v>
      </c>
      <c r="AG4586">
        <v>-1.111649278037</v>
      </c>
      <c r="AH4586">
        <v>7.0910538054606604</v>
      </c>
      <c r="AI4586">
        <v>98.635768698423007</v>
      </c>
      <c r="AJ4586">
        <v>104.35333976782999</v>
      </c>
      <c r="AK4586">
        <v>7.40346454874551</v>
      </c>
      <c r="AL4586">
        <v>83.619298785277905</v>
      </c>
      <c r="AM4586">
        <v>96.903423870683497</v>
      </c>
      <c r="AN4586">
        <v>1.0000000208762201</v>
      </c>
    </row>
    <row r="4587" spans="1:40" x14ac:dyDescent="0.25">
      <c r="A4587" t="str">
        <f>"20190312151119409"</f>
        <v>20190312151119409</v>
      </c>
      <c r="B4587" t="str">
        <f>"1552374679406134"</f>
        <v>1552374679406134</v>
      </c>
      <c r="C4587" t="s">
        <v>40</v>
      </c>
      <c r="D4587">
        <v>4.9446899999999996</v>
      </c>
      <c r="E4587">
        <v>0.45597880000000002</v>
      </c>
      <c r="F4587" t="s">
        <v>42</v>
      </c>
      <c r="G4587">
        <v>-380.31920000000002</v>
      </c>
      <c r="H4587" s="1">
        <v>-4.1495400000000001E-6</v>
      </c>
      <c r="I4587">
        <v>139.5361</v>
      </c>
      <c r="J4587">
        <v>-373.10640000000001</v>
      </c>
      <c r="K4587">
        <v>1.1117079999999999</v>
      </c>
      <c r="L4587">
        <v>141.56049999999999</v>
      </c>
      <c r="M4587">
        <v>-0.9996969</v>
      </c>
      <c r="N4587">
        <v>0</v>
      </c>
      <c r="O4587">
        <v>-2.1833350000000001E-2</v>
      </c>
      <c r="P4587">
        <v>-0.98501329999999998</v>
      </c>
      <c r="Q4587">
        <v>9.98584E-2</v>
      </c>
      <c r="R4587">
        <v>-0.1406308</v>
      </c>
      <c r="S4587">
        <v>-2.9766849999999998</v>
      </c>
      <c r="T4587">
        <v>-0.43981490000000001</v>
      </c>
      <c r="U4587">
        <v>-0.80416869999999996</v>
      </c>
      <c r="V4587">
        <v>-0.1195416</v>
      </c>
      <c r="W4587">
        <v>0.1106039</v>
      </c>
      <c r="X4587">
        <v>0.9866492</v>
      </c>
      <c r="Y4587">
        <v>-0.23748520000000001</v>
      </c>
      <c r="Z4587">
        <v>-1.3996710000000001E-2</v>
      </c>
      <c r="AA4587">
        <v>0.97129030000000005</v>
      </c>
      <c r="AB4587">
        <v>31</v>
      </c>
      <c r="AC4587">
        <v>-7.2128000000000103</v>
      </c>
      <c r="AD4587">
        <v>-1.11171214954</v>
      </c>
      <c r="AE4587">
        <v>-2.02439999999998</v>
      </c>
      <c r="AF4587">
        <v>-1.8262117244112299</v>
      </c>
      <c r="AG4587">
        <v>-1.11171214954</v>
      </c>
      <c r="AH4587">
        <v>7.0989533244826397</v>
      </c>
      <c r="AI4587">
        <v>98.623998058722805</v>
      </c>
      <c r="AJ4587">
        <v>104.42657635459101</v>
      </c>
      <c r="AK4587">
        <v>7.4139120219351904</v>
      </c>
      <c r="AL4587">
        <v>83.649871275564095</v>
      </c>
      <c r="AM4587">
        <v>96.908237254334395</v>
      </c>
      <c r="AN4587">
        <v>1.0000000303432</v>
      </c>
    </row>
    <row r="4588" spans="1:40" x14ac:dyDescent="0.25">
      <c r="A4588" t="str">
        <f>"20190312151119433"</f>
        <v>20190312151119433</v>
      </c>
      <c r="B4588" t="str">
        <f>"1552374679425654"</f>
        <v>1552374679425654</v>
      </c>
      <c r="C4588" t="s">
        <v>40</v>
      </c>
      <c r="D4588">
        <v>5.1784660000000002</v>
      </c>
      <c r="E4588">
        <v>0.45602920000000002</v>
      </c>
      <c r="F4588" t="s">
        <v>42</v>
      </c>
      <c r="G4588">
        <v>-380.64179999999999</v>
      </c>
      <c r="H4588" s="1">
        <v>-4.0167419999999999E-6</v>
      </c>
      <c r="I4588">
        <v>139.50460000000001</v>
      </c>
      <c r="J4588">
        <v>-373.4384</v>
      </c>
      <c r="K4588">
        <v>1.11178</v>
      </c>
      <c r="L4588">
        <v>141.55090000000001</v>
      </c>
      <c r="M4588">
        <v>-0.99964359999999997</v>
      </c>
      <c r="N4588">
        <v>0</v>
      </c>
      <c r="O4588">
        <v>-2.4151019999999999E-2</v>
      </c>
      <c r="P4588">
        <v>-0.98469010000000001</v>
      </c>
      <c r="Q4588">
        <v>9.9379389999999998E-2</v>
      </c>
      <c r="R4588">
        <v>-0.14321210000000001</v>
      </c>
      <c r="S4588">
        <v>-2.974243</v>
      </c>
      <c r="T4588">
        <v>-0.4388032</v>
      </c>
      <c r="U4588">
        <v>-0.81143189999999998</v>
      </c>
      <c r="V4588">
        <v>-0.119857199999999</v>
      </c>
      <c r="W4588">
        <v>0.1101143</v>
      </c>
      <c r="X4588">
        <v>0.98666569999999998</v>
      </c>
      <c r="Y4588">
        <v>-0.2376741</v>
      </c>
      <c r="Z4588">
        <v>-1.365157E-2</v>
      </c>
      <c r="AA4588">
        <v>0.97124900000000003</v>
      </c>
      <c r="AB4588">
        <v>32</v>
      </c>
      <c r="AC4588">
        <v>-7.2033999999999798</v>
      </c>
      <c r="AD4588">
        <v>-1.1117840167419999</v>
      </c>
      <c r="AE4588">
        <v>-2.0463</v>
      </c>
      <c r="AF4588">
        <v>-1.83135466189254</v>
      </c>
      <c r="AG4588">
        <v>-1.1117840167419999</v>
      </c>
      <c r="AH4588">
        <v>7.0943447942063402</v>
      </c>
      <c r="AI4588">
        <v>98.628233289435201</v>
      </c>
      <c r="AJ4588">
        <v>104.474504085335</v>
      </c>
      <c r="AK4588">
        <v>7.41077942301626</v>
      </c>
      <c r="AL4588">
        <v>83.6780958493231</v>
      </c>
      <c r="AM4588">
        <v>96.926183948576195</v>
      </c>
      <c r="AN4588">
        <v>1.0000000555063999</v>
      </c>
    </row>
    <row r="4589" spans="1:40" x14ac:dyDescent="0.25">
      <c r="A4589" t="str">
        <f>"20190312151119454"</f>
        <v>20190312151119454</v>
      </c>
      <c r="B4589" t="str">
        <f>"1552374679446150"</f>
        <v>1552374679446150</v>
      </c>
      <c r="C4589" t="s">
        <v>40</v>
      </c>
      <c r="D4589">
        <v>4.8817490000000001</v>
      </c>
      <c r="E4589">
        <v>0.45595629999999998</v>
      </c>
      <c r="F4589" t="s">
        <v>42</v>
      </c>
      <c r="G4589">
        <v>-380.93009999999998</v>
      </c>
      <c r="H4589" s="1">
        <v>-3.8964139999999996E-6</v>
      </c>
      <c r="I4589">
        <v>139.48560000000001</v>
      </c>
      <c r="J4589">
        <v>-373.7473</v>
      </c>
      <c r="K4589">
        <v>1.1118440000000001</v>
      </c>
      <c r="L4589">
        <v>141.5412</v>
      </c>
      <c r="M4589">
        <v>-0.99958709999999995</v>
      </c>
      <c r="N4589">
        <v>0</v>
      </c>
      <c r="O4589">
        <v>-2.6378329999999998E-2</v>
      </c>
      <c r="P4589">
        <v>-0.9842204</v>
      </c>
      <c r="Q4589">
        <v>9.9602289999999996E-2</v>
      </c>
      <c r="R4589">
        <v>-0.1462513</v>
      </c>
      <c r="S4589">
        <v>-2.9720149999999999</v>
      </c>
      <c r="T4589">
        <v>-0.44105480000000002</v>
      </c>
      <c r="U4589">
        <v>-0.81930539999999996</v>
      </c>
      <c r="V4589">
        <v>-0.1207252</v>
      </c>
      <c r="W4589">
        <v>0.1103228</v>
      </c>
      <c r="X4589">
        <v>0.98653650000000004</v>
      </c>
      <c r="Y4589">
        <v>-0.2380844</v>
      </c>
      <c r="Z4589">
        <v>-1.343362E-2</v>
      </c>
      <c r="AA4589">
        <v>0.9711516</v>
      </c>
      <c r="AB4589">
        <v>32</v>
      </c>
      <c r="AC4589">
        <v>-7.1827999999999799</v>
      </c>
      <c r="AD4589">
        <v>-1.1118478964139999</v>
      </c>
      <c r="AE4589">
        <v>-2.0555999999999899</v>
      </c>
      <c r="AF4589">
        <v>-1.82498406337346</v>
      </c>
      <c r="AG4589">
        <v>-1.1118478964139999</v>
      </c>
      <c r="AH4589">
        <v>7.0777753410185502</v>
      </c>
      <c r="AI4589">
        <v>98.649226189082597</v>
      </c>
      <c r="AJ4589">
        <v>104.458615912781</v>
      </c>
      <c r="AK4589">
        <v>7.3933535255834801</v>
      </c>
      <c r="AL4589">
        <v>83.666075969881106</v>
      </c>
      <c r="AM4589">
        <v>96.976755141251601</v>
      </c>
      <c r="AN4589">
        <v>0.99999997997356405</v>
      </c>
    </row>
    <row r="4590" spans="1:40" x14ac:dyDescent="0.25">
      <c r="A4590" t="str">
        <f>"20190312151119477"</f>
        <v>20190312151119477</v>
      </c>
      <c r="B4590" t="str">
        <f>"1552374679465670"</f>
        <v>1552374679465670</v>
      </c>
      <c r="C4590" t="s">
        <v>40</v>
      </c>
      <c r="D4590">
        <v>4.921538</v>
      </c>
      <c r="E4590">
        <v>0.4558682</v>
      </c>
      <c r="F4590" t="s">
        <v>42</v>
      </c>
      <c r="G4590">
        <v>-381.2715</v>
      </c>
      <c r="H4590" s="1">
        <v>-3.7578120000000002E-6</v>
      </c>
      <c r="I4590">
        <v>139.44139999999999</v>
      </c>
      <c r="J4590">
        <v>-374.06130000000002</v>
      </c>
      <c r="K4590">
        <v>1.1119059999999901</v>
      </c>
      <c r="L4590">
        <v>141.53059999999999</v>
      </c>
      <c r="M4590">
        <v>-0.99952289999999999</v>
      </c>
      <c r="N4590">
        <v>0</v>
      </c>
      <c r="O4590">
        <v>-2.8707549999999998E-2</v>
      </c>
      <c r="P4590">
        <v>-0.98378840000000001</v>
      </c>
      <c r="Q4590">
        <v>9.9320169999999999E-2</v>
      </c>
      <c r="R4590">
        <v>-0.149319799999999</v>
      </c>
      <c r="S4590">
        <v>-2.9693909999999999</v>
      </c>
      <c r="T4590">
        <v>-0.43879079999999898</v>
      </c>
      <c r="U4590">
        <v>-0.82867429999999997</v>
      </c>
      <c r="V4590">
        <v>-0.1215195</v>
      </c>
      <c r="W4590">
        <v>0.1100257</v>
      </c>
      <c r="X4590">
        <v>0.98647220000000002</v>
      </c>
      <c r="Y4590">
        <v>-0.2389231</v>
      </c>
      <c r="Z4590">
        <v>-1.3096409999999999E-2</v>
      </c>
      <c r="AA4590">
        <v>0.97095019999999999</v>
      </c>
      <c r="AB4590">
        <v>32</v>
      </c>
      <c r="AC4590">
        <v>-7.21019999999998</v>
      </c>
      <c r="AD4590">
        <v>-1.1119097578120001</v>
      </c>
      <c r="AE4590">
        <v>-2.0891999999999999</v>
      </c>
      <c r="AF4590">
        <v>-1.84094826311396</v>
      </c>
      <c r="AG4590">
        <v>-1.1119097578120001</v>
      </c>
      <c r="AH4590">
        <v>7.11118990711614</v>
      </c>
      <c r="AI4590">
        <v>98.607544556818695</v>
      </c>
      <c r="AJ4590">
        <v>104.51411767083</v>
      </c>
      <c r="AK4590">
        <v>7.42929712099673</v>
      </c>
      <c r="AL4590">
        <v>83.683203079117703</v>
      </c>
      <c r="AM4590">
        <v>97.022654367842506</v>
      </c>
      <c r="AN4590">
        <v>1.00000002245678</v>
      </c>
    </row>
    <row r="4591" spans="1:40" x14ac:dyDescent="0.25">
      <c r="A4591" t="str">
        <f>"20190312151119499"</f>
        <v>20190312151119499</v>
      </c>
      <c r="B4591" t="str">
        <f>"1552374679495929"</f>
        <v>1552374679495929</v>
      </c>
      <c r="C4591" t="s">
        <v>40</v>
      </c>
      <c r="D4591">
        <v>4.9226159999999997</v>
      </c>
      <c r="E4591">
        <v>0.45578190000000002</v>
      </c>
      <c r="F4591" t="s">
        <v>42</v>
      </c>
      <c r="G4591">
        <v>-381.58440000000002</v>
      </c>
      <c r="H4591" s="1">
        <v>-3.630122E-6</v>
      </c>
      <c r="I4591">
        <v>139.40440000000001</v>
      </c>
      <c r="J4591">
        <v>-374.36989999999997</v>
      </c>
      <c r="K4591">
        <v>1.111974</v>
      </c>
      <c r="L4591">
        <v>141.51939999999999</v>
      </c>
      <c r="M4591">
        <v>-0.99945240000000002</v>
      </c>
      <c r="N4591">
        <v>0</v>
      </c>
      <c r="O4591">
        <v>-3.106186E-2</v>
      </c>
      <c r="P4591">
        <v>-0.98335930000000005</v>
      </c>
      <c r="Q4591">
        <v>9.9198750000000002E-2</v>
      </c>
      <c r="R4591">
        <v>-0.152198</v>
      </c>
      <c r="S4591">
        <v>-2.966431</v>
      </c>
      <c r="T4591">
        <v>-0.43843949999999998</v>
      </c>
      <c r="U4591">
        <v>-0.83836359999999999</v>
      </c>
      <c r="V4591">
        <v>-0.1220989</v>
      </c>
      <c r="W4591">
        <v>0.109892</v>
      </c>
      <c r="X4591">
        <v>0.9864155</v>
      </c>
      <c r="Y4591">
        <v>-0.23984349999999999</v>
      </c>
      <c r="Z4591">
        <v>-1.282056E-2</v>
      </c>
      <c r="AA4591">
        <v>0.97072689999999995</v>
      </c>
      <c r="AB4591">
        <v>32</v>
      </c>
      <c r="AC4591">
        <v>-7.2145000000000401</v>
      </c>
      <c r="AD4591">
        <v>-1.1119776301219999</v>
      </c>
      <c r="AE4591">
        <v>-2.1149999999999798</v>
      </c>
      <c r="AF4591">
        <v>-1.84941077740076</v>
      </c>
      <c r="AG4591">
        <v>-1.1119776301219999</v>
      </c>
      <c r="AH4591">
        <v>7.12093899368642</v>
      </c>
      <c r="AI4591">
        <v>98.594737565242696</v>
      </c>
      <c r="AJ4591">
        <v>104.558890457291</v>
      </c>
      <c r="AK4591">
        <v>7.44073831183852</v>
      </c>
      <c r="AL4591">
        <v>83.690909901298497</v>
      </c>
      <c r="AM4591">
        <v>97.056202870253401</v>
      </c>
      <c r="AN4591">
        <v>0.99999996584272899</v>
      </c>
    </row>
    <row r="4592" spans="1:40" x14ac:dyDescent="0.25">
      <c r="A4592" t="str">
        <f>"20190312151119521"</f>
        <v>20190312151119521</v>
      </c>
      <c r="B4592" t="str">
        <f>"1552374679515450"</f>
        <v>1552374679515450</v>
      </c>
      <c r="C4592" t="s">
        <v>40</v>
      </c>
      <c r="D4592">
        <v>4.8609640000000001</v>
      </c>
      <c r="E4592">
        <v>0.45573819999999998</v>
      </c>
      <c r="F4592" t="s">
        <v>42</v>
      </c>
      <c r="G4592">
        <v>-381.91559999999998</v>
      </c>
      <c r="H4592" s="1">
        <v>-3.4961049999999998E-6</v>
      </c>
      <c r="I4592">
        <v>139.35910000000001</v>
      </c>
      <c r="J4592">
        <v>-374.68430000000001</v>
      </c>
      <c r="K4592">
        <v>1.112034</v>
      </c>
      <c r="L4592">
        <v>141.50710000000001</v>
      </c>
      <c r="M4592">
        <v>-0.99937290000000001</v>
      </c>
      <c r="N4592">
        <v>0</v>
      </c>
      <c r="O4592">
        <v>-3.3518840000000001E-2</v>
      </c>
      <c r="P4592">
        <v>-0.98299570000000003</v>
      </c>
      <c r="Q4592">
        <v>9.8994180000000001E-2</v>
      </c>
      <c r="R4592">
        <v>-0.15465999999999999</v>
      </c>
      <c r="S4592">
        <v>-2.9635009999999999</v>
      </c>
      <c r="T4592">
        <v>-0.43672440000000001</v>
      </c>
      <c r="U4592">
        <v>-0.84841919999999904</v>
      </c>
      <c r="V4592">
        <v>-0.1221583</v>
      </c>
      <c r="W4592">
        <v>0.1096787</v>
      </c>
      <c r="X4592">
        <v>0.98643190000000003</v>
      </c>
      <c r="Y4592">
        <v>-0.24078640000000001</v>
      </c>
      <c r="Z4592">
        <v>-1.249279E-2</v>
      </c>
      <c r="AA4592">
        <v>0.97049770000000002</v>
      </c>
      <c r="AB4592">
        <v>32</v>
      </c>
      <c r="AC4592">
        <v>-7.2312999999999699</v>
      </c>
      <c r="AD4592">
        <v>-1.1120374961049999</v>
      </c>
      <c r="AE4592">
        <v>-2.1479999999999899</v>
      </c>
      <c r="AF4592">
        <v>-1.86388774271812</v>
      </c>
      <c r="AG4592">
        <v>-1.1120374961049999</v>
      </c>
      <c r="AH4592">
        <v>7.1439917045814996</v>
      </c>
      <c r="AI4592">
        <v>98.565425028429203</v>
      </c>
      <c r="AJ4592">
        <v>104.622659137916</v>
      </c>
      <c r="AK4592">
        <v>7.4664129530402796</v>
      </c>
      <c r="AL4592">
        <v>83.703205506092999</v>
      </c>
      <c r="AM4592">
        <v>97.059484833295301</v>
      </c>
      <c r="AN4592">
        <v>0.99999998041509397</v>
      </c>
    </row>
    <row r="4593" spans="1:40" x14ac:dyDescent="0.25">
      <c r="A4593" t="str">
        <f>"20190312151119543"</f>
        <v>20190312151119543</v>
      </c>
      <c r="B4593" t="str">
        <f>"1552374679535942"</f>
        <v>1552374679535942</v>
      </c>
      <c r="C4593" t="s">
        <v>40</v>
      </c>
      <c r="D4593">
        <v>4.9629000000000003</v>
      </c>
      <c r="E4593">
        <v>0.45567960000000002</v>
      </c>
      <c r="F4593" t="s">
        <v>42</v>
      </c>
      <c r="G4593">
        <v>-382.2516</v>
      </c>
      <c r="H4593" s="1">
        <v>-3.359476E-6</v>
      </c>
      <c r="I4593">
        <v>139.3167</v>
      </c>
      <c r="J4593">
        <v>-374.99520000000001</v>
      </c>
      <c r="K4593">
        <v>1.112085</v>
      </c>
      <c r="L4593">
        <v>141.4941</v>
      </c>
      <c r="M4593">
        <v>-0.99928669999999997</v>
      </c>
      <c r="N4593">
        <v>0</v>
      </c>
      <c r="O4593">
        <v>-3.5994110000000003E-2</v>
      </c>
      <c r="P4593">
        <v>-0.98251440000000001</v>
      </c>
      <c r="Q4593">
        <v>9.9009260000000002E-2</v>
      </c>
      <c r="R4593">
        <v>-0.15768019999999999</v>
      </c>
      <c r="S4593">
        <v>-2.9608759999999998</v>
      </c>
      <c r="T4593">
        <v>-0.4351122</v>
      </c>
      <c r="U4593">
        <v>-0.85699459999999905</v>
      </c>
      <c r="V4593">
        <v>-0.1227598</v>
      </c>
      <c r="W4593">
        <v>0.109683</v>
      </c>
      <c r="X4593">
        <v>0.98635680000000003</v>
      </c>
      <c r="Y4593">
        <v>-0.24124080000000001</v>
      </c>
      <c r="Z4593">
        <v>-1.213179E-2</v>
      </c>
      <c r="AA4593">
        <v>0.97038950000000002</v>
      </c>
      <c r="AB4593">
        <v>32</v>
      </c>
      <c r="AC4593">
        <v>-7.2563999999999798</v>
      </c>
      <c r="AD4593">
        <v>-1.112088359476</v>
      </c>
      <c r="AE4593">
        <v>-2.1774</v>
      </c>
      <c r="AF4593">
        <v>-1.8743958964237299</v>
      </c>
      <c r="AG4593">
        <v>-1.112088359476</v>
      </c>
      <c r="AH4593">
        <v>7.1754637223072404</v>
      </c>
      <c r="AI4593">
        <v>98.528137096032694</v>
      </c>
      <c r="AJ4593">
        <v>104.63983041705799</v>
      </c>
      <c r="AK4593">
        <v>7.4991586278701599</v>
      </c>
      <c r="AL4593">
        <v>83.702957970942606</v>
      </c>
      <c r="AM4593">
        <v>97.094426625755602</v>
      </c>
      <c r="AN4593">
        <v>1.00000003294563</v>
      </c>
    </row>
    <row r="4594" spans="1:40" x14ac:dyDescent="0.25">
      <c r="A4594" t="str">
        <f>"20190312151119565"</f>
        <v>20190312151119565</v>
      </c>
      <c r="B4594" t="str">
        <f>"1552374679555462"</f>
        <v>1552374679555462</v>
      </c>
      <c r="C4594" t="s">
        <v>40</v>
      </c>
      <c r="D4594">
        <v>5.025334</v>
      </c>
      <c r="E4594">
        <v>0.4557776</v>
      </c>
      <c r="F4594" t="s">
        <v>42</v>
      </c>
      <c r="G4594">
        <v>-382.58049999999997</v>
      </c>
      <c r="H4594" s="1">
        <v>-3.2260359999999998E-6</v>
      </c>
      <c r="I4594">
        <v>139.27340000000001</v>
      </c>
      <c r="J4594">
        <v>-375.3141</v>
      </c>
      <c r="K4594">
        <v>1.11212</v>
      </c>
      <c r="L4594">
        <v>141.47999999999999</v>
      </c>
      <c r="M4594">
        <v>-0.99919040000000003</v>
      </c>
      <c r="N4594">
        <v>0</v>
      </c>
      <c r="O4594">
        <v>-3.8574509999999999E-2</v>
      </c>
      <c r="P4594">
        <v>-0.98206899999999997</v>
      </c>
      <c r="Q4594">
        <v>9.8226229999999998E-2</v>
      </c>
      <c r="R4594">
        <v>-0.16091140000000001</v>
      </c>
      <c r="S4594">
        <v>-2.9580690000000001</v>
      </c>
      <c r="T4594">
        <v>-0.43368879999999999</v>
      </c>
      <c r="U4594">
        <v>-0.86598209999999998</v>
      </c>
      <c r="V4594">
        <v>-0.123462</v>
      </c>
      <c r="W4594">
        <v>0.108891</v>
      </c>
      <c r="X4594">
        <v>0.98635689999999998</v>
      </c>
      <c r="Y4594">
        <v>-0.24173230000000001</v>
      </c>
      <c r="Z4594">
        <v>-1.17661E-2</v>
      </c>
      <c r="AA4594">
        <v>0.97027160000000001</v>
      </c>
      <c r="AB4594">
        <v>32</v>
      </c>
      <c r="AC4594">
        <v>-7.2663999999999698</v>
      </c>
      <c r="AD4594">
        <v>-1.1121232260359999</v>
      </c>
      <c r="AE4594">
        <v>-2.2065999999999799</v>
      </c>
      <c r="AF4594">
        <v>-1.88423100202182</v>
      </c>
      <c r="AG4594">
        <v>-1.1121232260359999</v>
      </c>
      <c r="AH4594">
        <v>7.1918739202772901</v>
      </c>
      <c r="AI4594">
        <v>98.507642199326895</v>
      </c>
      <c r="AJ4594">
        <v>104.681201545527</v>
      </c>
      <c r="AK4594">
        <v>7.5173263215077704</v>
      </c>
      <c r="AL4594">
        <v>83.748609619472305</v>
      </c>
      <c r="AM4594">
        <v>97.134589812955795</v>
      </c>
      <c r="AN4594">
        <v>1.0000000247512999</v>
      </c>
    </row>
    <row r="4595" spans="1:40" x14ac:dyDescent="0.25">
      <c r="A4595" t="str">
        <f>"20190312151119588"</f>
        <v>20190312151119588</v>
      </c>
      <c r="B4595" t="str">
        <f>"1552374679575593"</f>
        <v>1552374679575593</v>
      </c>
      <c r="C4595" t="s">
        <v>40</v>
      </c>
      <c r="D4595">
        <v>4.9505140000000001</v>
      </c>
      <c r="E4595">
        <v>0.4880601</v>
      </c>
      <c r="F4595" t="s">
        <v>42</v>
      </c>
      <c r="G4595">
        <v>-382.84530000000001</v>
      </c>
      <c r="H4595" s="1">
        <v>-3.1164930000000002E-6</v>
      </c>
      <c r="I4595">
        <v>139.25049999999999</v>
      </c>
      <c r="J4595">
        <v>-375.61759999999998</v>
      </c>
      <c r="K4595">
        <v>1.1121509999999999</v>
      </c>
      <c r="L4595">
        <v>141.4657</v>
      </c>
      <c r="M4595">
        <v>-0.9990909</v>
      </c>
      <c r="N4595">
        <v>0</v>
      </c>
      <c r="O4595">
        <v>-4.106667E-2</v>
      </c>
      <c r="P4595">
        <v>-0.98163180000000005</v>
      </c>
      <c r="Q4595">
        <v>9.7552730000000004E-2</v>
      </c>
      <c r="R4595">
        <v>-0.16395850000000001</v>
      </c>
      <c r="S4595">
        <v>-2.9551090000000002</v>
      </c>
      <c r="T4595">
        <v>-0.43637540000000002</v>
      </c>
      <c r="U4595">
        <v>-0.87475590000000003</v>
      </c>
      <c r="V4595">
        <v>-0.1240671</v>
      </c>
      <c r="W4595">
        <v>0.10820929999999999</v>
      </c>
      <c r="X4595">
        <v>0.98635600000000001</v>
      </c>
      <c r="Y4595">
        <v>-0.24221989999999999</v>
      </c>
      <c r="Z4595">
        <v>-1.1522630000000001E-2</v>
      </c>
      <c r="AA4595">
        <v>0.97015300000000004</v>
      </c>
      <c r="AB4595">
        <v>32</v>
      </c>
      <c r="AC4595">
        <v>-7.22770000000002</v>
      </c>
      <c r="AD4595">
        <v>-1.112154116493</v>
      </c>
      <c r="AE4595">
        <v>-2.21520000000001</v>
      </c>
      <c r="AF4595">
        <v>-1.8758921451699799</v>
      </c>
      <c r="AG4595">
        <v>-1.112154116493</v>
      </c>
      <c r="AH4595">
        <v>7.1576581704119402</v>
      </c>
      <c r="AI4595">
        <v>98.547765386109205</v>
      </c>
      <c r="AJ4595">
        <v>104.685886696274</v>
      </c>
      <c r="AK4595">
        <v>7.4825081759799996</v>
      </c>
      <c r="AL4595">
        <v>83.787900344228206</v>
      </c>
      <c r="AM4595">
        <v>97.169200682658996</v>
      </c>
      <c r="AN4595">
        <v>1.0000000283224399</v>
      </c>
    </row>
    <row r="4596" spans="1:40" x14ac:dyDescent="0.25">
      <c r="A4596" t="str">
        <f>"20190312151119610"</f>
        <v>20190312151119610</v>
      </c>
      <c r="B4596" t="str">
        <f>"1552374679605835"</f>
        <v>1552374679605835</v>
      </c>
      <c r="C4596" t="s">
        <v>40</v>
      </c>
      <c r="D4596">
        <v>4.9192619999999998</v>
      </c>
      <c r="E4596">
        <v>0.48930610000000002</v>
      </c>
      <c r="F4596" t="s">
        <v>42</v>
      </c>
      <c r="G4596">
        <v>-384.3152</v>
      </c>
      <c r="H4596" s="1">
        <v>-2.4285539999999999E-6</v>
      </c>
      <c r="I4596">
        <v>139.64429999999999</v>
      </c>
      <c r="J4596">
        <v>-375.93700000000001</v>
      </c>
      <c r="K4596">
        <v>1.112182</v>
      </c>
      <c r="L4596">
        <v>141.44990000000001</v>
      </c>
      <c r="M4596">
        <v>-0.99897829999999999</v>
      </c>
      <c r="N4596">
        <v>0</v>
      </c>
      <c r="O4596">
        <v>-4.3720210000000002E-2</v>
      </c>
      <c r="P4596">
        <v>-0.98109690000000005</v>
      </c>
      <c r="Q4596">
        <v>9.7102049999999995E-2</v>
      </c>
      <c r="R4596">
        <v>-0.16739200000000001</v>
      </c>
      <c r="S4596">
        <v>-2.989563</v>
      </c>
      <c r="T4596">
        <v>-0.38227509999999998</v>
      </c>
      <c r="U4596">
        <v>-0.62602230000000003</v>
      </c>
      <c r="V4596">
        <v>-0.1249035</v>
      </c>
      <c r="W4596">
        <v>0.107749499999999</v>
      </c>
      <c r="X4596">
        <v>0.98630079999999998</v>
      </c>
      <c r="Y4596">
        <v>-0.1610529</v>
      </c>
      <c r="Z4596">
        <v>-4.6447959999999996E-3</v>
      </c>
      <c r="AA4596">
        <v>0.9869348</v>
      </c>
      <c r="AB4596">
        <v>32</v>
      </c>
      <c r="AC4596">
        <v>-8.3782000000000494</v>
      </c>
      <c r="AD4596">
        <v>-1.1121844285539999</v>
      </c>
      <c r="AE4596">
        <v>-1.8056000000000201</v>
      </c>
      <c r="AF4596">
        <v>-1.41374552387846</v>
      </c>
      <c r="AG4596">
        <v>-1.1121844285539999</v>
      </c>
      <c r="AH4596">
        <v>8.3092092071692996</v>
      </c>
      <c r="AI4596">
        <v>97.516941844861506</v>
      </c>
      <c r="AJ4596">
        <v>99.655952946654807</v>
      </c>
      <c r="AK4596">
        <v>8.5016814959107592</v>
      </c>
      <c r="AL4596">
        <v>83.814400039238194</v>
      </c>
      <c r="AM4596">
        <v>97.2174236753754</v>
      </c>
      <c r="AN4596">
        <v>1.0000000535715601</v>
      </c>
    </row>
    <row r="4597" spans="1:40" x14ac:dyDescent="0.25">
      <c r="A4597" t="str">
        <f>"20190312151119633"</f>
        <v>20190312151119633</v>
      </c>
      <c r="B4597" t="str">
        <f>"1552374679625359"</f>
        <v>1552374679625359</v>
      </c>
      <c r="C4597" t="s">
        <v>40</v>
      </c>
      <c r="D4597">
        <v>4.8890310000000001</v>
      </c>
      <c r="E4597">
        <v>0.4895738</v>
      </c>
      <c r="F4597" t="s">
        <v>42</v>
      </c>
      <c r="G4597">
        <v>-384.77289999999999</v>
      </c>
      <c r="H4597" s="1">
        <v>-2.2276999999999999E-6</v>
      </c>
      <c r="I4597">
        <v>139.5992</v>
      </c>
      <c r="J4597">
        <v>-376.25420000000003</v>
      </c>
      <c r="K4597">
        <v>1.112201</v>
      </c>
      <c r="L4597">
        <v>141.4333</v>
      </c>
      <c r="M4597">
        <v>-0.99885829999999998</v>
      </c>
      <c r="N4597">
        <v>0</v>
      </c>
      <c r="O4597">
        <v>-4.637699E-2</v>
      </c>
      <c r="P4597">
        <v>-0.98056200000000004</v>
      </c>
      <c r="Q4597">
        <v>9.6450040000000001E-2</v>
      </c>
      <c r="R4597">
        <v>-0.17086680000000001</v>
      </c>
      <c r="S4597">
        <v>-2.9882810000000002</v>
      </c>
      <c r="T4597">
        <v>-0.37614009999999998</v>
      </c>
      <c r="U4597">
        <v>-0.62585449999999998</v>
      </c>
      <c r="V4597">
        <v>-0.12577639999999901</v>
      </c>
      <c r="W4597">
        <v>0.10708910000000001</v>
      </c>
      <c r="X4597">
        <v>0.98626170000000002</v>
      </c>
      <c r="Y4597">
        <v>-0.158527</v>
      </c>
      <c r="Z4597">
        <v>-4.0875180000000001E-3</v>
      </c>
      <c r="AA4597">
        <v>0.98734619999999995</v>
      </c>
      <c r="AB4597">
        <v>32</v>
      </c>
      <c r="AC4597">
        <v>-8.51869999999996</v>
      </c>
      <c r="AD4597">
        <v>-1.1122032277</v>
      </c>
      <c r="AE4597">
        <v>-1.8341000000000001</v>
      </c>
      <c r="AF4597">
        <v>-1.4139935767518199</v>
      </c>
      <c r="AG4597">
        <v>-1.1122032277</v>
      </c>
      <c r="AH4597">
        <v>8.45682982442775</v>
      </c>
      <c r="AI4597">
        <v>97.390837358351604</v>
      </c>
      <c r="AJ4597">
        <v>99.492128150266794</v>
      </c>
      <c r="AK4597">
        <v>8.6460594801407904</v>
      </c>
      <c r="AL4597">
        <v>83.852457803156199</v>
      </c>
      <c r="AM4597">
        <v>97.267610951046194</v>
      </c>
      <c r="AN4597">
        <v>0.99999995951132903</v>
      </c>
    </row>
    <row r="4598" spans="1:40" x14ac:dyDescent="0.25">
      <c r="A4598" t="str">
        <f>"20190312151119656"</f>
        <v>20190312151119656</v>
      </c>
      <c r="B4598" t="str">
        <f>"1552374679645851"</f>
        <v>1552374679645851</v>
      </c>
      <c r="C4598" t="s">
        <v>40</v>
      </c>
      <c r="D4598">
        <v>4.8793259999999998</v>
      </c>
      <c r="E4598">
        <v>0.4899173</v>
      </c>
      <c r="F4598" t="s">
        <v>42</v>
      </c>
      <c r="G4598">
        <v>-385.10289999999998</v>
      </c>
      <c r="H4598" s="1">
        <v>-2.0942659999999999E-6</v>
      </c>
      <c r="I4598">
        <v>139.55350000000001</v>
      </c>
      <c r="J4598">
        <v>-376.57589999999999</v>
      </c>
      <c r="K4598">
        <v>1.112223</v>
      </c>
      <c r="L4598">
        <v>141.41560000000001</v>
      </c>
      <c r="M4598">
        <v>-0.99872879999999997</v>
      </c>
      <c r="N4598">
        <v>0</v>
      </c>
      <c r="O4598">
        <v>-4.9088619999999999E-2</v>
      </c>
      <c r="P4598">
        <v>-0.98013589999999995</v>
      </c>
      <c r="Q4598">
        <v>9.5840640000000005E-2</v>
      </c>
      <c r="R4598">
        <v>-0.17363339999999999</v>
      </c>
      <c r="S4598">
        <v>-2.98584</v>
      </c>
      <c r="T4598">
        <v>-0.3752936</v>
      </c>
      <c r="U4598">
        <v>-0.63427730000000004</v>
      </c>
      <c r="V4598">
        <v>-0.12588250000000001</v>
      </c>
      <c r="W4598">
        <v>0.1064775</v>
      </c>
      <c r="X4598">
        <v>0.98631440000000004</v>
      </c>
      <c r="Y4598">
        <v>-0.15869759999999999</v>
      </c>
      <c r="Z4598">
        <v>-3.7564370000000001E-3</v>
      </c>
      <c r="AA4598">
        <v>0.98732010000000003</v>
      </c>
      <c r="AB4598">
        <v>32</v>
      </c>
      <c r="AC4598">
        <v>-8.5269999999999797</v>
      </c>
      <c r="AD4598">
        <v>-1.1122250942659999</v>
      </c>
      <c r="AE4598">
        <v>-1.8620999999999901</v>
      </c>
      <c r="AF4598">
        <v>-1.4182181869847199</v>
      </c>
      <c r="AG4598">
        <v>-1.1122250942659999</v>
      </c>
      <c r="AH4598">
        <v>8.4705784734644602</v>
      </c>
      <c r="AI4598">
        <v>97.378846991641893</v>
      </c>
      <c r="AJ4598">
        <v>99.504799821754602</v>
      </c>
      <c r="AK4598">
        <v>8.6602013349187601</v>
      </c>
      <c r="AL4598">
        <v>83.887701533618198</v>
      </c>
      <c r="AM4598">
        <v>97.273291511194003</v>
      </c>
      <c r="AN4598">
        <v>0.99999997872992896</v>
      </c>
    </row>
    <row r="4599" spans="1:40" x14ac:dyDescent="0.25">
      <c r="A4599" t="str">
        <f>"20190312151119679"</f>
        <v>20190312151119679</v>
      </c>
      <c r="B4599" t="str">
        <f>"1552374679675992"</f>
        <v>1552374679675992</v>
      </c>
      <c r="C4599" t="s">
        <v>40</v>
      </c>
      <c r="D4599">
        <v>4.893383</v>
      </c>
      <c r="E4599">
        <v>0.49035410000000001</v>
      </c>
      <c r="F4599" t="s">
        <v>42</v>
      </c>
      <c r="G4599">
        <v>-385.37950000000001</v>
      </c>
      <c r="H4599" s="1">
        <v>-1.9801529999999999E-6</v>
      </c>
      <c r="I4599">
        <v>139.52780000000001</v>
      </c>
      <c r="J4599">
        <v>-376.8972</v>
      </c>
      <c r="K4599">
        <v>1.1122350000000001</v>
      </c>
      <c r="L4599">
        <v>141.39699999999999</v>
      </c>
      <c r="M4599">
        <v>-0.99859129999999996</v>
      </c>
      <c r="N4599">
        <v>0</v>
      </c>
      <c r="O4599">
        <v>-5.1807510000000001E-2</v>
      </c>
      <c r="P4599">
        <v>-0.97961960000000003</v>
      </c>
      <c r="Q4599">
        <v>9.522398E-2</v>
      </c>
      <c r="R4599">
        <v>-0.17685519999999999</v>
      </c>
      <c r="S4599">
        <v>-2.984283</v>
      </c>
      <c r="T4599">
        <v>-0.37702659999999999</v>
      </c>
      <c r="U4599">
        <v>-0.63990780000000003</v>
      </c>
      <c r="V4599">
        <v>-0.12643889999999999</v>
      </c>
      <c r="W4599">
        <v>0.1058569</v>
      </c>
      <c r="X4599">
        <v>0.98631009999999997</v>
      </c>
      <c r="Y4599">
        <v>-0.15791469999999999</v>
      </c>
      <c r="Z4599">
        <v>-3.3890579999999999E-3</v>
      </c>
      <c r="AA4599">
        <v>0.98744699999999996</v>
      </c>
      <c r="AB4599">
        <v>32</v>
      </c>
      <c r="AC4599">
        <v>-8.4823000000000093</v>
      </c>
      <c r="AD4599">
        <v>-1.1122369801530001</v>
      </c>
      <c r="AE4599">
        <v>-1.8692</v>
      </c>
      <c r="AF4599">
        <v>-1.4041887997464599</v>
      </c>
      <c r="AG4599">
        <v>-1.1122369801530001</v>
      </c>
      <c r="AH4599">
        <v>8.4295304683435894</v>
      </c>
      <c r="AI4599">
        <v>97.415469601359803</v>
      </c>
      <c r="AJ4599">
        <v>99.457474934578599</v>
      </c>
      <c r="AK4599">
        <v>8.6177607997719594</v>
      </c>
      <c r="AL4599">
        <v>83.923461810602802</v>
      </c>
      <c r="AM4599">
        <v>97.305124416228793</v>
      </c>
      <c r="AN4599">
        <v>1.00000004603641</v>
      </c>
    </row>
    <row r="4600" spans="1:40" x14ac:dyDescent="0.25">
      <c r="A4600" t="str">
        <f>"20190312151119700"</f>
        <v>20190312151119700</v>
      </c>
      <c r="B4600" t="str">
        <f>"1552374679695513"</f>
        <v>1552374679695513</v>
      </c>
      <c r="C4600" t="s">
        <v>40</v>
      </c>
      <c r="D4600">
        <v>4.8388710000000001</v>
      </c>
      <c r="E4600">
        <v>0.49061309999999902</v>
      </c>
      <c r="F4600" t="s">
        <v>42</v>
      </c>
      <c r="G4600">
        <v>-385.64830000000001</v>
      </c>
      <c r="H4600" s="1">
        <v>-1.8697470000000001E-6</v>
      </c>
      <c r="I4600">
        <v>139.50030000000001</v>
      </c>
      <c r="J4600">
        <v>-377.20269999999999</v>
      </c>
      <c r="K4600">
        <v>1.112244</v>
      </c>
      <c r="L4600">
        <v>141.3785</v>
      </c>
      <c r="M4600">
        <v>-0.99845349999999999</v>
      </c>
      <c r="N4600">
        <v>0</v>
      </c>
      <c r="O4600">
        <v>-5.4398000000000002E-2</v>
      </c>
      <c r="P4600">
        <v>-0.97914460000000003</v>
      </c>
      <c r="Q4600">
        <v>9.4641130000000004E-2</v>
      </c>
      <c r="R4600">
        <v>-0.17977489999999999</v>
      </c>
      <c r="S4600">
        <v>-2.9825740000000001</v>
      </c>
      <c r="T4600">
        <v>-0.37908120000000001</v>
      </c>
      <c r="U4600">
        <v>-0.64642330000000003</v>
      </c>
      <c r="V4600">
        <v>-0.1268174</v>
      </c>
      <c r="W4600">
        <v>0.105272699999999</v>
      </c>
      <c r="X4600">
        <v>0.98632399999999998</v>
      </c>
      <c r="Y4600">
        <v>-0.15754409999999999</v>
      </c>
      <c r="Z4600">
        <v>-3.0624390000000001E-3</v>
      </c>
      <c r="AA4600">
        <v>0.98750720000000003</v>
      </c>
      <c r="AB4600">
        <v>32</v>
      </c>
      <c r="AC4600">
        <v>-8.4456000000000095</v>
      </c>
      <c r="AD4600">
        <v>-1.1122458697469999</v>
      </c>
      <c r="AE4600">
        <v>-1.8781999999999901</v>
      </c>
      <c r="AF4600">
        <v>-1.3929444467459</v>
      </c>
      <c r="AG4600">
        <v>-1.1122458697469999</v>
      </c>
      <c r="AH4600">
        <v>8.3965069036491098</v>
      </c>
      <c r="AI4600">
        <v>97.445181600262202</v>
      </c>
      <c r="AJ4600">
        <v>99.4193379490994</v>
      </c>
      <c r="AK4600">
        <v>8.5836305424637498</v>
      </c>
      <c r="AL4600">
        <v>83.957121886712898</v>
      </c>
      <c r="AM4600">
        <v>97.326653202349902</v>
      </c>
      <c r="AN4600">
        <v>1.00000001364202</v>
      </c>
    </row>
    <row r="4601" spans="1:40" x14ac:dyDescent="0.25">
      <c r="A4601" t="str">
        <f>"20190312151119722"</f>
        <v>20190312151119722</v>
      </c>
      <c r="B4601" t="str">
        <f>"1552374679716009"</f>
        <v>1552374679716009</v>
      </c>
      <c r="C4601" t="s">
        <v>40</v>
      </c>
      <c r="D4601">
        <v>4.8488720000000001</v>
      </c>
      <c r="E4601">
        <v>0.4910292</v>
      </c>
      <c r="F4601" t="s">
        <v>42</v>
      </c>
      <c r="G4601">
        <v>-385.9058</v>
      </c>
      <c r="H4601" s="1">
        <v>-1.7645819999999999E-6</v>
      </c>
      <c r="I4601">
        <v>139.47030000000001</v>
      </c>
      <c r="J4601">
        <v>-377.51799999999997</v>
      </c>
      <c r="K4601">
        <v>1.11225</v>
      </c>
      <c r="L4601">
        <v>141.3586</v>
      </c>
      <c r="M4601">
        <v>-0.99830399999999997</v>
      </c>
      <c r="N4601">
        <v>0</v>
      </c>
      <c r="O4601">
        <v>-5.7074489999999999E-2</v>
      </c>
      <c r="P4601">
        <v>-0.97864209999999996</v>
      </c>
      <c r="Q4601">
        <v>9.3972749999999994E-2</v>
      </c>
      <c r="R4601">
        <v>-0.1828362</v>
      </c>
      <c r="S4601">
        <v>-2.9807429999999999</v>
      </c>
      <c r="T4601">
        <v>-0.3809382</v>
      </c>
      <c r="U4601">
        <v>-0.65351870000000001</v>
      </c>
      <c r="V4601">
        <v>-0.127253</v>
      </c>
      <c r="W4601">
        <v>0.1046031</v>
      </c>
      <c r="X4601">
        <v>0.98633919999999997</v>
      </c>
      <c r="Y4601">
        <v>-0.15728130000000001</v>
      </c>
      <c r="Z4601">
        <v>-2.726638E-3</v>
      </c>
      <c r="AA4601">
        <v>0.98755009999999999</v>
      </c>
      <c r="AB4601">
        <v>32</v>
      </c>
      <c r="AC4601">
        <v>-8.3877999999999702</v>
      </c>
      <c r="AD4601">
        <v>-1.112251764582</v>
      </c>
      <c r="AE4601">
        <v>-1.8882999999999801</v>
      </c>
      <c r="AF4601">
        <v>-1.3833101897931599</v>
      </c>
      <c r="AG4601">
        <v>-1.112251764582</v>
      </c>
      <c r="AH4601">
        <v>8.34229368240109</v>
      </c>
      <c r="AI4601">
        <v>97.493147887863699</v>
      </c>
      <c r="AJ4601">
        <v>99.415056588012007</v>
      </c>
      <c r="AK4601">
        <v>8.5290395093721099</v>
      </c>
      <c r="AL4601">
        <v>83.995700515827195</v>
      </c>
      <c r="AM4601">
        <v>97.351432341322493</v>
      </c>
      <c r="AN4601">
        <v>1.00000007599762</v>
      </c>
    </row>
    <row r="4602" spans="1:40" x14ac:dyDescent="0.25">
      <c r="A4602" t="str">
        <f>"20190312151119745"</f>
        <v>20190312151119745</v>
      </c>
      <c r="B4602" t="str">
        <f>"1552374679735529"</f>
        <v>1552374679735529</v>
      </c>
      <c r="C4602" t="s">
        <v>40</v>
      </c>
      <c r="D4602">
        <v>4.8331949999999999</v>
      </c>
      <c r="E4602">
        <v>0.49117280000000002</v>
      </c>
      <c r="F4602" t="s">
        <v>42</v>
      </c>
      <c r="G4602">
        <v>-386.17489999999998</v>
      </c>
      <c r="H4602" s="1">
        <v>-1.6542099999999901E-6</v>
      </c>
      <c r="I4602">
        <v>139.4418</v>
      </c>
      <c r="J4602">
        <v>-377.82589999999999</v>
      </c>
      <c r="K4602">
        <v>1.112255</v>
      </c>
      <c r="L4602">
        <v>141.3383</v>
      </c>
      <c r="M4602">
        <v>-0.99815109999999996</v>
      </c>
      <c r="N4602">
        <v>0</v>
      </c>
      <c r="O4602">
        <v>-5.9688239999999997E-2</v>
      </c>
      <c r="P4602">
        <v>-0.9779755</v>
      </c>
      <c r="Q4602">
        <v>9.3658039999999998E-2</v>
      </c>
      <c r="R4602">
        <v>-0.186527</v>
      </c>
      <c r="S4602">
        <v>-2.9790040000000002</v>
      </c>
      <c r="T4602">
        <v>-0.38275150000000002</v>
      </c>
      <c r="U4602">
        <v>-0.659591699999999</v>
      </c>
      <c r="V4602">
        <v>-0.1283907</v>
      </c>
      <c r="W4602">
        <v>0.1042821</v>
      </c>
      <c r="X4602">
        <v>0.98622569999999998</v>
      </c>
      <c r="Y4602">
        <v>-0.15675320000000001</v>
      </c>
      <c r="Z4602">
        <v>-2.378153E-3</v>
      </c>
      <c r="AA4602">
        <v>0.98763500000000004</v>
      </c>
      <c r="AB4602">
        <v>32</v>
      </c>
      <c r="AC4602">
        <v>-8.3489999999999895</v>
      </c>
      <c r="AD4602">
        <v>-1.1122566542100001</v>
      </c>
      <c r="AE4602">
        <v>-1.8965000000000001</v>
      </c>
      <c r="AF4602">
        <v>-1.37160001407804</v>
      </c>
      <c r="AG4602">
        <v>-1.1122566542100001</v>
      </c>
      <c r="AH4602">
        <v>8.3071205829303398</v>
      </c>
      <c r="AI4602">
        <v>97.525392166238504</v>
      </c>
      <c r="AJ4602">
        <v>99.375596587320601</v>
      </c>
      <c r="AK4602">
        <v>8.4927412443096504</v>
      </c>
      <c r="AL4602">
        <v>84.014193322308302</v>
      </c>
      <c r="AM4602">
        <v>97.417273016222794</v>
      </c>
      <c r="AN4602">
        <v>1.00000002978369</v>
      </c>
    </row>
    <row r="4603" spans="1:40" x14ac:dyDescent="0.25">
      <c r="A4603" t="str">
        <f>"20190312151119767"</f>
        <v>20190312151119767</v>
      </c>
      <c r="B4603" t="str">
        <f>"1552374679756025"</f>
        <v>1552374679756025</v>
      </c>
      <c r="C4603" t="s">
        <v>40</v>
      </c>
      <c r="D4603">
        <v>4.8171119999999998</v>
      </c>
      <c r="E4603">
        <v>0.49152000000000001</v>
      </c>
      <c r="F4603" t="s">
        <v>42</v>
      </c>
      <c r="G4603">
        <v>-386.48250000000002</v>
      </c>
      <c r="H4603" s="1">
        <v>-1.5312189999999999E-6</v>
      </c>
      <c r="I4603">
        <v>139.3913</v>
      </c>
      <c r="J4603">
        <v>-378.14170000000001</v>
      </c>
      <c r="K4603">
        <v>1.1122540000000001</v>
      </c>
      <c r="L4603">
        <v>141.3167</v>
      </c>
      <c r="M4603">
        <v>-0.99798730000000002</v>
      </c>
      <c r="N4603">
        <v>0</v>
      </c>
      <c r="O4603">
        <v>-6.2367760000000001E-2</v>
      </c>
      <c r="P4603">
        <v>-0.97731619999999997</v>
      </c>
      <c r="Q4603">
        <v>9.323389E-2</v>
      </c>
      <c r="R4603">
        <v>-0.19015899999999999</v>
      </c>
      <c r="S4603">
        <v>-2.9765009999999998</v>
      </c>
      <c r="T4603">
        <v>-0.3824457</v>
      </c>
      <c r="U4603">
        <v>-0.66944890000000001</v>
      </c>
      <c r="V4603">
        <v>-0.12940479999999999</v>
      </c>
      <c r="W4603">
        <v>0.103852399999999</v>
      </c>
      <c r="X4603">
        <v>0.98613850000000003</v>
      </c>
      <c r="Y4603">
        <v>-0.1574092</v>
      </c>
      <c r="Z4603">
        <v>-2.0819060000000001E-3</v>
      </c>
      <c r="AA4603">
        <v>0.9875313</v>
      </c>
      <c r="AB4603">
        <v>32</v>
      </c>
      <c r="AC4603">
        <v>-8.3407999999999998</v>
      </c>
      <c r="AD4603">
        <v>-1.1122555312189999</v>
      </c>
      <c r="AE4603">
        <v>-1.92539999999999</v>
      </c>
      <c r="AF4603">
        <v>-1.3781527604486601</v>
      </c>
      <c r="AG4603">
        <v>-1.1122555312189999</v>
      </c>
      <c r="AH4603">
        <v>8.3044480149573001</v>
      </c>
      <c r="AI4603">
        <v>97.526769042158094</v>
      </c>
      <c r="AJ4603">
        <v>99.422564210652297</v>
      </c>
      <c r="AK4603">
        <v>8.4911880341320796</v>
      </c>
      <c r="AL4603">
        <v>84.038947742690695</v>
      </c>
      <c r="AM4603">
        <v>97.475852215219106</v>
      </c>
      <c r="AN4603">
        <v>1.00000003221552</v>
      </c>
    </row>
    <row r="4604" spans="1:40" x14ac:dyDescent="0.25">
      <c r="A4604" t="str">
        <f>"20190312151119789"</f>
        <v>20190312151119789</v>
      </c>
      <c r="B4604" t="str">
        <f>"1552374679786065"</f>
        <v>1552374679786065</v>
      </c>
      <c r="C4604" t="s">
        <v>40</v>
      </c>
      <c r="D4604">
        <v>4.7949299999999999</v>
      </c>
      <c r="E4604">
        <v>0.49196849999999998</v>
      </c>
      <c r="F4604" t="s">
        <v>42</v>
      </c>
      <c r="G4604">
        <v>-386.76670000000001</v>
      </c>
      <c r="H4604" s="1">
        <v>-1.416326E-6</v>
      </c>
      <c r="I4604">
        <v>139.35169999999999</v>
      </c>
      <c r="J4604">
        <v>-378.4597</v>
      </c>
      <c r="K4604">
        <v>1.112258</v>
      </c>
      <c r="L4604">
        <v>141.29399999999899</v>
      </c>
      <c r="M4604">
        <v>-0.99781500000000001</v>
      </c>
      <c r="N4604">
        <v>0</v>
      </c>
      <c r="O4604">
        <v>-6.5066239999999997E-2</v>
      </c>
      <c r="P4604">
        <v>-0.97677230000000004</v>
      </c>
      <c r="Q4604">
        <v>9.2797110000000002E-2</v>
      </c>
      <c r="R4604">
        <v>-0.19314419999999999</v>
      </c>
      <c r="S4604">
        <v>-2.9743650000000001</v>
      </c>
      <c r="T4604">
        <v>-0.38356839999999998</v>
      </c>
      <c r="U4604">
        <v>-0.67761229999999995</v>
      </c>
      <c r="V4604">
        <v>-0.12974739999999901</v>
      </c>
      <c r="W4604">
        <v>0.1034151</v>
      </c>
      <c r="X4604">
        <v>0.9861394</v>
      </c>
      <c r="Y4604">
        <v>-0.15748489999999901</v>
      </c>
      <c r="Z4604">
        <v>-1.753271E-3</v>
      </c>
      <c r="AA4604">
        <v>0.98751990000000001</v>
      </c>
      <c r="AB4604">
        <v>32</v>
      </c>
      <c r="AC4604">
        <v>-8.3070000000000093</v>
      </c>
      <c r="AD4604">
        <v>-1.112259416326</v>
      </c>
      <c r="AE4604">
        <v>-1.9422999999999799</v>
      </c>
      <c r="AF4604">
        <v>-1.3742822283608001</v>
      </c>
      <c r="AG4604">
        <v>-1.112259416326</v>
      </c>
      <c r="AH4604">
        <v>8.2751176249070095</v>
      </c>
      <c r="AI4604">
        <v>97.553020267331107</v>
      </c>
      <c r="AJ4604">
        <v>99.4292818195417</v>
      </c>
      <c r="AK4604">
        <v>8.4618759361291005</v>
      </c>
      <c r="AL4604">
        <v>84.064138596394002</v>
      </c>
      <c r="AM4604">
        <v>97.495413065038704</v>
      </c>
      <c r="AN4604">
        <v>0.99999999347356405</v>
      </c>
    </row>
    <row r="4605" spans="1:40" x14ac:dyDescent="0.25">
      <c r="A4605" t="str">
        <f>"20190312151119812"</f>
        <v>20190312151119812</v>
      </c>
      <c r="B4605" t="str">
        <f>"1552374679805589"</f>
        <v>1552374679805589</v>
      </c>
      <c r="C4605" t="s">
        <v>40</v>
      </c>
      <c r="D4605">
        <v>4.7467189999999997</v>
      </c>
      <c r="E4605">
        <v>0.49181619999999998</v>
      </c>
      <c r="F4605" t="s">
        <v>42</v>
      </c>
      <c r="G4605">
        <v>-387.07459999999998</v>
      </c>
      <c r="H4605" s="1">
        <v>-1.2912649999999999E-6</v>
      </c>
      <c r="I4605">
        <v>139.31209999999999</v>
      </c>
      <c r="J4605">
        <v>-378.77460000000002</v>
      </c>
      <c r="K4605">
        <v>1.1122639999999999</v>
      </c>
      <c r="L4605">
        <v>141.27080000000001</v>
      </c>
      <c r="M4605">
        <v>-0.99763670000000004</v>
      </c>
      <c r="N4605">
        <v>0</v>
      </c>
      <c r="O4605">
        <v>-6.7742940000000001E-2</v>
      </c>
      <c r="P4605">
        <v>-0.97622359999999997</v>
      </c>
      <c r="Q4605">
        <v>9.2277999999999999E-2</v>
      </c>
      <c r="R4605">
        <v>-0.19614390000000001</v>
      </c>
      <c r="S4605">
        <v>-2.972534</v>
      </c>
      <c r="T4605">
        <v>-0.3837856</v>
      </c>
      <c r="U4605">
        <v>-0.68385309999999999</v>
      </c>
      <c r="V4605">
        <v>-0.13012689999999999</v>
      </c>
      <c r="W4605">
        <v>0.10289429999999999</v>
      </c>
      <c r="X4605">
        <v>0.98614389999999996</v>
      </c>
      <c r="Y4605">
        <v>-0.15696160000000001</v>
      </c>
      <c r="Z4605">
        <v>-1.383858E-3</v>
      </c>
      <c r="AA4605">
        <v>0.98760369999999997</v>
      </c>
      <c r="AB4605">
        <v>32</v>
      </c>
      <c r="AC4605">
        <v>-8.2999999999999492</v>
      </c>
      <c r="AD4605">
        <v>-1.112265291265</v>
      </c>
      <c r="AE4605">
        <v>-1.9587000000000201</v>
      </c>
      <c r="AF4605">
        <v>-1.3686152045293001</v>
      </c>
      <c r="AG4605">
        <v>-1.112265291265</v>
      </c>
      <c r="AH4605">
        <v>8.2728992303143603</v>
      </c>
      <c r="AI4605">
        <v>97.555833309361802</v>
      </c>
      <c r="AJ4605">
        <v>99.393566417706793</v>
      </c>
      <c r="AK4605">
        <v>8.4587885262109204</v>
      </c>
      <c r="AL4605">
        <v>84.094138430495605</v>
      </c>
      <c r="AM4605">
        <v>97.517052240931093</v>
      </c>
      <c r="AN4605">
        <v>1.0000000192916501</v>
      </c>
    </row>
    <row r="4606" spans="1:40" x14ac:dyDescent="0.25">
      <c r="A4606" t="str">
        <f>"20190312151119833"</f>
        <v>20190312151119833</v>
      </c>
      <c r="B4606" t="str">
        <f>"1552374679826081"</f>
        <v>1552374679826081</v>
      </c>
      <c r="C4606" t="s">
        <v>40</v>
      </c>
      <c r="D4606">
        <v>5.0583519999999904</v>
      </c>
      <c r="E4606">
        <v>0.46506380000000003</v>
      </c>
      <c r="F4606" t="s">
        <v>42</v>
      </c>
      <c r="G4606">
        <v>-387.31880000000001</v>
      </c>
      <c r="H4606" s="1">
        <v>-1.193535E-6</v>
      </c>
      <c r="I4606">
        <v>139.2723</v>
      </c>
      <c r="J4606">
        <v>-379.0883</v>
      </c>
      <c r="K4606">
        <v>1.112276</v>
      </c>
      <c r="L4606">
        <v>141.2467</v>
      </c>
      <c r="M4606">
        <v>-0.99745119999999998</v>
      </c>
      <c r="N4606">
        <v>0</v>
      </c>
      <c r="O4606">
        <v>-7.0422589999999993E-2</v>
      </c>
      <c r="P4606">
        <v>-0.97566569999999997</v>
      </c>
      <c r="Q4606">
        <v>9.1472419999999999E-2</v>
      </c>
      <c r="R4606">
        <v>-0.1992729</v>
      </c>
      <c r="S4606">
        <v>-2.970062</v>
      </c>
      <c r="T4606">
        <v>-0.3866386</v>
      </c>
      <c r="U4606">
        <v>-0.69465639999999995</v>
      </c>
      <c r="V4606">
        <v>-0.13063339999999901</v>
      </c>
      <c r="W4606">
        <v>0.1020847</v>
      </c>
      <c r="X4606">
        <v>0.98616110000000001</v>
      </c>
      <c r="Y4606">
        <v>-0.15790029999999999</v>
      </c>
      <c r="Z4606">
        <v>-1.114084E-3</v>
      </c>
      <c r="AA4606">
        <v>0.98745439999999995</v>
      </c>
      <c r="AB4606">
        <v>32</v>
      </c>
      <c r="AC4606">
        <v>-8.2304999999999993</v>
      </c>
      <c r="AD4606">
        <v>-1.112277193535</v>
      </c>
      <c r="AE4606">
        <v>-1.9743999999999999</v>
      </c>
      <c r="AF4606">
        <v>-1.3662519043946399</v>
      </c>
      <c r="AG4606">
        <v>-1.112277193535</v>
      </c>
      <c r="AH4606">
        <v>8.2073790112125202</v>
      </c>
      <c r="AI4606">
        <v>97.614272405587997</v>
      </c>
      <c r="AJ4606">
        <v>99.4511511927562</v>
      </c>
      <c r="AK4606">
        <v>8.3943358912550003</v>
      </c>
      <c r="AL4606">
        <v>84.140770795626807</v>
      </c>
      <c r="AM4606">
        <v>97.545844648967105</v>
      </c>
      <c r="AN4606">
        <v>1.00000004316142</v>
      </c>
    </row>
    <row r="4607" spans="1:40" x14ac:dyDescent="0.25">
      <c r="A4607" t="str">
        <f>"20190312151119857"</f>
        <v>20190312151119857</v>
      </c>
      <c r="B4607" t="str">
        <f>"1552374679845602"</f>
        <v>1552374679845602</v>
      </c>
      <c r="C4607" t="s">
        <v>40</v>
      </c>
      <c r="D4607">
        <v>4.8115880000000004</v>
      </c>
      <c r="E4607">
        <v>0.45944469999999998</v>
      </c>
      <c r="F4607" t="s">
        <v>42</v>
      </c>
      <c r="G4607">
        <v>-386.30290000000002</v>
      </c>
      <c r="H4607" s="1">
        <v>-1.679938E-6</v>
      </c>
      <c r="I4607">
        <v>138.9871</v>
      </c>
      <c r="J4607">
        <v>-379.4076</v>
      </c>
      <c r="K4607">
        <v>1.112296</v>
      </c>
      <c r="L4607">
        <v>141.22139999999999</v>
      </c>
      <c r="M4607">
        <v>-0.99725319999999995</v>
      </c>
      <c r="N4607">
        <v>0</v>
      </c>
      <c r="O4607">
        <v>-7.3171529999999999E-2</v>
      </c>
      <c r="P4607">
        <v>-0.97503770000000001</v>
      </c>
      <c r="Q4607">
        <v>9.0259450000000005E-2</v>
      </c>
      <c r="R4607">
        <v>-0.2028674</v>
      </c>
      <c r="S4607">
        <v>-2.9297789999999999</v>
      </c>
      <c r="T4607">
        <v>-0.45169090000000001</v>
      </c>
      <c r="U4607">
        <v>-0.91760249999999999</v>
      </c>
      <c r="V4607">
        <v>-0.1315405</v>
      </c>
      <c r="W4607">
        <v>0.1008631</v>
      </c>
      <c r="X4607">
        <v>0.98616619999999999</v>
      </c>
      <c r="Y4607">
        <v>-0.2266061</v>
      </c>
      <c r="Z4607">
        <v>-6.0463449999999998E-3</v>
      </c>
      <c r="AA4607">
        <v>0.97396769999999999</v>
      </c>
      <c r="AB4607">
        <v>32</v>
      </c>
      <c r="AC4607">
        <v>-6.8953000000000104</v>
      </c>
      <c r="AD4607">
        <v>-1.112297679938</v>
      </c>
      <c r="AE4607">
        <v>-2.23429999999999</v>
      </c>
      <c r="AF4607">
        <v>-1.6840783679978799</v>
      </c>
      <c r="AG4607">
        <v>-1.112297679938</v>
      </c>
      <c r="AH4607">
        <v>6.8783330722833398</v>
      </c>
      <c r="AI4607">
        <v>98.9265723160932</v>
      </c>
      <c r="AJ4607">
        <v>103.757552332347</v>
      </c>
      <c r="AK4607">
        <v>7.1683186265414198</v>
      </c>
      <c r="AL4607">
        <v>84.211126354803795</v>
      </c>
      <c r="AM4607">
        <v>97.597593103929398</v>
      </c>
      <c r="AN4607">
        <v>1.00000002105214</v>
      </c>
    </row>
    <row r="4608" spans="1:40" x14ac:dyDescent="0.25">
      <c r="A4608" t="str">
        <f>"20190312151119880"</f>
        <v>20190312151119880</v>
      </c>
      <c r="B4608" t="str">
        <f>"1552374679875858"</f>
        <v>1552374679875858</v>
      </c>
      <c r="C4608" t="s">
        <v>40</v>
      </c>
      <c r="D4608">
        <v>4.8163999999999998</v>
      </c>
      <c r="E4608">
        <v>0.45743450000000002</v>
      </c>
      <c r="F4608" t="s">
        <v>42</v>
      </c>
      <c r="G4608">
        <v>-386.0247</v>
      </c>
      <c r="H4608" s="1">
        <v>-1.7947499999999901E-6</v>
      </c>
      <c r="I4608">
        <v>139.01259999999999</v>
      </c>
      <c r="J4608">
        <v>-379.7294</v>
      </c>
      <c r="K4608">
        <v>1.11232</v>
      </c>
      <c r="L4608">
        <v>141.19489999999999</v>
      </c>
      <c r="M4608">
        <v>-0.99704340000000002</v>
      </c>
      <c r="N4608">
        <v>0</v>
      </c>
      <c r="O4608">
        <v>-7.5977760000000005E-2</v>
      </c>
      <c r="P4608">
        <v>-0.97431760000000001</v>
      </c>
      <c r="Q4608">
        <v>9.0112310000000001E-2</v>
      </c>
      <c r="R4608">
        <v>-0.20636289999999999</v>
      </c>
      <c r="S4608">
        <v>-2.9194640000000001</v>
      </c>
      <c r="T4608">
        <v>-0.49074820000000002</v>
      </c>
      <c r="U4608">
        <v>-0.9745026</v>
      </c>
      <c r="V4608">
        <v>-0.1323076</v>
      </c>
      <c r="W4608">
        <v>0.10070560000000001</v>
      </c>
      <c r="X4608">
        <v>0.98607959999999995</v>
      </c>
      <c r="Y4608">
        <v>-0.2415533</v>
      </c>
      <c r="Z4608">
        <v>-7.3302740000000003E-3</v>
      </c>
      <c r="AA4608">
        <v>0.97035990000000005</v>
      </c>
      <c r="AB4608">
        <v>32</v>
      </c>
      <c r="AC4608">
        <v>-6.2952999999999903</v>
      </c>
      <c r="AD4608">
        <v>-1.1123217947499999</v>
      </c>
      <c r="AE4608">
        <v>-2.1822999999999899</v>
      </c>
      <c r="AF4608">
        <v>-1.6516253765714299</v>
      </c>
      <c r="AG4608">
        <v>-1.1123217947499999</v>
      </c>
      <c r="AH4608">
        <v>6.2682201455366204</v>
      </c>
      <c r="AI4608">
        <v>99.736969329565099</v>
      </c>
      <c r="AJ4608">
        <v>104.76146021122101</v>
      </c>
      <c r="AK4608">
        <v>6.5769073243068998</v>
      </c>
      <c r="AL4608">
        <v>84.220196200596007</v>
      </c>
      <c r="AM4608">
        <v>97.642040841714206</v>
      </c>
      <c r="AN4608">
        <v>0.99999994821263805</v>
      </c>
    </row>
    <row r="4609" spans="1:40" x14ac:dyDescent="0.25">
      <c r="A4609" t="str">
        <f>"20190312151119901"</f>
        <v>20190312151119901</v>
      </c>
      <c r="B4609" t="str">
        <f>"1552374679895378"</f>
        <v>1552374679895378</v>
      </c>
      <c r="C4609" t="s">
        <v>40</v>
      </c>
      <c r="D4609">
        <v>4.8525600000000004</v>
      </c>
      <c r="E4609">
        <v>0.45750619999999997</v>
      </c>
      <c r="F4609" t="s">
        <v>42</v>
      </c>
      <c r="G4609">
        <v>-386.1902</v>
      </c>
      <c r="H4609" s="1">
        <v>-1.730744E-6</v>
      </c>
      <c r="I4609">
        <v>138.9734</v>
      </c>
      <c r="J4609">
        <v>-380.02910000000003</v>
      </c>
      <c r="K4609">
        <v>1.112352</v>
      </c>
      <c r="L4609">
        <v>141.1694</v>
      </c>
      <c r="M4609">
        <v>-0.99683790000000005</v>
      </c>
      <c r="N4609">
        <v>0</v>
      </c>
      <c r="O4609">
        <v>-7.8626950000000001E-2</v>
      </c>
      <c r="P4609">
        <v>-0.97358069999999997</v>
      </c>
      <c r="Q4609">
        <v>9.0385300000000002E-2</v>
      </c>
      <c r="R4609">
        <v>-0.2096934</v>
      </c>
      <c r="S4609">
        <v>-2.9133</v>
      </c>
      <c r="T4609">
        <v>-0.50157750000000001</v>
      </c>
      <c r="U4609">
        <v>-1.001709</v>
      </c>
      <c r="V4609">
        <v>-0.13307049999999901</v>
      </c>
      <c r="W4609">
        <v>0.1009661</v>
      </c>
      <c r="X4609">
        <v>0.9859504</v>
      </c>
      <c r="Y4609">
        <v>-0.24757860000000001</v>
      </c>
      <c r="Z4609">
        <v>-7.5592680000000001E-3</v>
      </c>
      <c r="AA4609">
        <v>0.96883830000000004</v>
      </c>
      <c r="AB4609">
        <v>32</v>
      </c>
      <c r="AC4609">
        <v>-6.16109999999997</v>
      </c>
      <c r="AD4609">
        <v>-1.1123537307439999</v>
      </c>
      <c r="AE4609">
        <v>-2.19599999999999</v>
      </c>
      <c r="AF4609">
        <v>-1.65682137070964</v>
      </c>
      <c r="AG4609">
        <v>-1.1123537307439999</v>
      </c>
      <c r="AH4609">
        <v>6.1371991630681899</v>
      </c>
      <c r="AI4609">
        <v>99.925326811612393</v>
      </c>
      <c r="AJ4609">
        <v>105.107639866467</v>
      </c>
      <c r="AK4609">
        <v>6.4534952889039303</v>
      </c>
      <c r="AL4609">
        <v>84.205194784437694</v>
      </c>
      <c r="AM4609">
        <v>97.686575568665702</v>
      </c>
      <c r="AN4609">
        <v>1.0000000512898</v>
      </c>
    </row>
    <row r="4610" spans="1:40" x14ac:dyDescent="0.25">
      <c r="A4610" t="str">
        <f>"20190312151119923"</f>
        <v>20190312151119923</v>
      </c>
      <c r="B4610" t="str">
        <f>"1552374679915873"</f>
        <v>1552374679915873</v>
      </c>
      <c r="C4610" t="s">
        <v>40</v>
      </c>
      <c r="D4610">
        <v>4.7047470000000002</v>
      </c>
      <c r="E4610">
        <v>0.45775130000000003</v>
      </c>
      <c r="F4610" t="s">
        <v>42</v>
      </c>
      <c r="G4610">
        <v>-386.72410000000002</v>
      </c>
      <c r="H4610" s="1">
        <v>-1.52476E-6</v>
      </c>
      <c r="I4610">
        <v>138.8433</v>
      </c>
      <c r="J4610">
        <v>-380.34769999999997</v>
      </c>
      <c r="K4610">
        <v>1.112384</v>
      </c>
      <c r="L4610">
        <v>141.1413</v>
      </c>
      <c r="M4610">
        <v>-0.99660859999999996</v>
      </c>
      <c r="N4610">
        <v>0</v>
      </c>
      <c r="O4610">
        <v>-8.1480990000000003E-2</v>
      </c>
      <c r="P4610">
        <v>-0.9728734</v>
      </c>
      <c r="Q4610">
        <v>9.1055999999999998E-2</v>
      </c>
      <c r="R4610">
        <v>-0.2126644</v>
      </c>
      <c r="S4610">
        <v>-2.9086609999999999</v>
      </c>
      <c r="T4610">
        <v>-0.48326669999999999</v>
      </c>
      <c r="U4610">
        <v>-1.010529</v>
      </c>
      <c r="V4610">
        <v>-0.13327449999999999</v>
      </c>
      <c r="W4610">
        <v>0.10162789999999999</v>
      </c>
      <c r="X4610">
        <v>0.98585480000000003</v>
      </c>
      <c r="Y4610">
        <v>-0.24808749999999999</v>
      </c>
      <c r="Z4610">
        <v>-6.8817569999999996E-3</v>
      </c>
      <c r="AA4610">
        <v>0.96871320000000005</v>
      </c>
      <c r="AB4610">
        <v>32</v>
      </c>
      <c r="AC4610">
        <v>-6.3764000000000403</v>
      </c>
      <c r="AD4610">
        <v>-1.1123855247600001</v>
      </c>
      <c r="AE4610">
        <v>-2.298</v>
      </c>
      <c r="AF4610">
        <v>-1.7243225406556499</v>
      </c>
      <c r="AG4610">
        <v>-1.1123855247600001</v>
      </c>
      <c r="AH4610">
        <v>6.37084814554491</v>
      </c>
      <c r="AI4610">
        <v>99.566798079094099</v>
      </c>
      <c r="AJ4610">
        <v>105.144721055228</v>
      </c>
      <c r="AK4610">
        <v>6.69316038008217</v>
      </c>
      <c r="AL4610">
        <v>84.1670801134957</v>
      </c>
      <c r="AM4610">
        <v>97.698955615201001</v>
      </c>
      <c r="AN4610">
        <v>1.0000000045458499</v>
      </c>
    </row>
    <row r="4611" spans="1:40" x14ac:dyDescent="0.25">
      <c r="A4611" t="str">
        <f>"20190312151119946"</f>
        <v>20190312151119946</v>
      </c>
      <c r="B4611" t="str">
        <f>"1552374679935393"</f>
        <v>1552374679935393</v>
      </c>
      <c r="C4611" t="s">
        <v>40</v>
      </c>
      <c r="D4611">
        <v>4.6642859999999997</v>
      </c>
      <c r="E4611">
        <v>0.45765790000000001</v>
      </c>
      <c r="F4611" t="s">
        <v>42</v>
      </c>
      <c r="G4611">
        <v>-387.16660000000002</v>
      </c>
      <c r="H4611" s="1">
        <v>-1.3507639999999999E-6</v>
      </c>
      <c r="I4611">
        <v>138.75399999999999</v>
      </c>
      <c r="J4611">
        <v>-380.66320000000002</v>
      </c>
      <c r="K4611">
        <v>1.1124099999999999</v>
      </c>
      <c r="L4611">
        <v>141.11250000000001</v>
      </c>
      <c r="M4611">
        <v>-0.9963706</v>
      </c>
      <c r="N4611">
        <v>0</v>
      </c>
      <c r="O4611">
        <v>-8.4342979999999998E-2</v>
      </c>
      <c r="P4611">
        <v>-0.97228179999999997</v>
      </c>
      <c r="Q4611">
        <v>9.114063E-2</v>
      </c>
      <c r="R4611">
        <v>-0.2153188</v>
      </c>
      <c r="S4611">
        <v>-2.9056700000000002</v>
      </c>
      <c r="T4611">
        <v>-0.47401759999999898</v>
      </c>
      <c r="U4611">
        <v>-1.0172270000000001</v>
      </c>
      <c r="V4611">
        <v>-0.1331427</v>
      </c>
      <c r="W4611">
        <v>0.10170609999999999</v>
      </c>
      <c r="X4611">
        <v>0.98586450000000003</v>
      </c>
      <c r="Y4611">
        <v>-0.2477192</v>
      </c>
      <c r="Z4611">
        <v>-6.2806049999999999E-3</v>
      </c>
      <c r="AA4611">
        <v>0.96881150000000005</v>
      </c>
      <c r="AB4611">
        <v>32</v>
      </c>
      <c r="AC4611">
        <v>-6.5033999999999903</v>
      </c>
      <c r="AD4611">
        <v>-1.1124113507639899</v>
      </c>
      <c r="AE4611">
        <v>-2.3585000000000198</v>
      </c>
      <c r="AF4611">
        <v>-1.75613338183641</v>
      </c>
      <c r="AG4611">
        <v>-1.1124113507639899</v>
      </c>
      <c r="AH4611">
        <v>6.51080629486236</v>
      </c>
      <c r="AI4611">
        <v>99.367202832484395</v>
      </c>
      <c r="AJ4611">
        <v>105.09493884068701</v>
      </c>
      <c r="AK4611">
        <v>6.8346223068526699</v>
      </c>
      <c r="AL4611">
        <v>84.1625759907554</v>
      </c>
      <c r="AM4611">
        <v>97.691358252280693</v>
      </c>
      <c r="AN4611">
        <v>0.99999996085037401</v>
      </c>
    </row>
    <row r="4612" spans="1:40" x14ac:dyDescent="0.25">
      <c r="A4612" t="str">
        <f>"20190312151119967"</f>
        <v>20190312151119967</v>
      </c>
      <c r="B4612" t="str">
        <f>"1552374679955889"</f>
        <v>1552374679955889</v>
      </c>
      <c r="C4612" t="s">
        <v>40</v>
      </c>
      <c r="D4612">
        <v>4.6932650000000002</v>
      </c>
      <c r="E4612">
        <v>0.45740229999999998</v>
      </c>
      <c r="F4612" t="s">
        <v>42</v>
      </c>
      <c r="G4612">
        <v>-387.49439999999998</v>
      </c>
      <c r="H4612" s="1">
        <v>-1.2204710000000001E-6</v>
      </c>
      <c r="I4612">
        <v>138.69579999999999</v>
      </c>
      <c r="J4612">
        <v>-380.971</v>
      </c>
      <c r="K4612">
        <v>1.1124369999999999</v>
      </c>
      <c r="L4612">
        <v>141.08359999999999</v>
      </c>
      <c r="M4612">
        <v>-0.99612710000000004</v>
      </c>
      <c r="N4612">
        <v>0</v>
      </c>
      <c r="O4612">
        <v>-8.7171059999999995E-2</v>
      </c>
      <c r="P4612">
        <v>-0.97187230000000002</v>
      </c>
      <c r="Q4612">
        <v>9.0307659999999998E-2</v>
      </c>
      <c r="R4612">
        <v>-0.21750649999999999</v>
      </c>
      <c r="S4612">
        <v>-2.9024049999999999</v>
      </c>
      <c r="T4612">
        <v>-0.47263909999999998</v>
      </c>
      <c r="U4612">
        <v>-1.0267790000000001</v>
      </c>
      <c r="V4612">
        <v>-0.13255749999999999</v>
      </c>
      <c r="W4612">
        <v>0.10087260000000001</v>
      </c>
      <c r="X4612">
        <v>0.98602900000000004</v>
      </c>
      <c r="Y4612">
        <v>-0.2481844</v>
      </c>
      <c r="Z4612">
        <v>-5.8630050000000001E-3</v>
      </c>
      <c r="AA4612">
        <v>0.96869499999999997</v>
      </c>
      <c r="AB4612">
        <v>32</v>
      </c>
      <c r="AC4612">
        <v>-6.5233999999999801</v>
      </c>
      <c r="AD4612">
        <v>-1.1124382204709999</v>
      </c>
      <c r="AE4612">
        <v>-2.3877999999999902</v>
      </c>
      <c r="AF4612">
        <v>-1.76476326112242</v>
      </c>
      <c r="AG4612">
        <v>-1.1124382204709999</v>
      </c>
      <c r="AH4612">
        <v>6.53903376815874</v>
      </c>
      <c r="AI4612">
        <v>99.327342161836697</v>
      </c>
      <c r="AJ4612">
        <v>105.103238700926</v>
      </c>
      <c r="AK4612">
        <v>6.8637359202763903</v>
      </c>
      <c r="AL4612">
        <v>84.210579019258205</v>
      </c>
      <c r="AM4612">
        <v>97.656692159361</v>
      </c>
      <c r="AN4612">
        <v>0.99999998053900396</v>
      </c>
    </row>
    <row r="4613" spans="1:40" x14ac:dyDescent="0.25">
      <c r="A4613" t="str">
        <f>"20190312151119991"</f>
        <v>20190312151119991</v>
      </c>
      <c r="B4613" t="str">
        <f>"1552374679986146"</f>
        <v>1552374679986146</v>
      </c>
      <c r="C4613" t="s">
        <v>40</v>
      </c>
      <c r="D4613">
        <v>4.6554729999999998</v>
      </c>
      <c r="E4613">
        <v>0.45725939999999998</v>
      </c>
      <c r="F4613" t="s">
        <v>42</v>
      </c>
      <c r="G4613">
        <v>-387.72230000000002</v>
      </c>
      <c r="H4613" s="1">
        <v>-1.1270449999999999E-6</v>
      </c>
      <c r="I4613">
        <v>138.6713</v>
      </c>
      <c r="J4613">
        <v>-381.30090000000001</v>
      </c>
      <c r="K4613">
        <v>1.1124579999999999</v>
      </c>
      <c r="L4613">
        <v>141.05160000000001</v>
      </c>
      <c r="M4613">
        <v>-0.99585409999999996</v>
      </c>
      <c r="N4613">
        <v>0</v>
      </c>
      <c r="O4613">
        <v>-9.0232880000000001E-2</v>
      </c>
      <c r="P4613">
        <v>-0.97138990000000003</v>
      </c>
      <c r="Q4613">
        <v>8.9626750000000005E-2</v>
      </c>
      <c r="R4613">
        <v>-0.2199284</v>
      </c>
      <c r="S4613">
        <v>-2.899384</v>
      </c>
      <c r="T4613">
        <v>-0.47774509999999998</v>
      </c>
      <c r="U4613">
        <v>-1.0359499999999999</v>
      </c>
      <c r="V4613">
        <v>-0.13197970000000001</v>
      </c>
      <c r="W4613">
        <v>0.1001918</v>
      </c>
      <c r="X4613">
        <v>0.98617589999999999</v>
      </c>
      <c r="Y4613">
        <v>-0.2482395</v>
      </c>
      <c r="Z4613">
        <v>-5.4519099999999999E-3</v>
      </c>
      <c r="AA4613">
        <v>0.96868339999999997</v>
      </c>
      <c r="AB4613">
        <v>32</v>
      </c>
      <c r="AC4613">
        <v>-6.4214000000000002</v>
      </c>
      <c r="AD4613">
        <v>-1.1124591270449999</v>
      </c>
      <c r="AE4613">
        <v>-2.3803000000000001</v>
      </c>
      <c r="AF4613">
        <v>-1.7450810786108599</v>
      </c>
      <c r="AG4613">
        <v>-1.1124591270449999</v>
      </c>
      <c r="AH4613">
        <v>6.4400619975148299</v>
      </c>
      <c r="AI4613">
        <v>99.465727997319306</v>
      </c>
      <c r="AJ4613">
        <v>105.161507976845</v>
      </c>
      <c r="AK4613">
        <v>6.7644121556943899</v>
      </c>
      <c r="AL4613">
        <v>84.249784560648195</v>
      </c>
      <c r="AM4613">
        <v>97.622588790620995</v>
      </c>
      <c r="AN4613">
        <v>0.99999997187006895</v>
      </c>
    </row>
    <row r="4614" spans="1:40" x14ac:dyDescent="0.25">
      <c r="A4614" t="str">
        <f>"20190312151120012"</f>
        <v>20190312151120012</v>
      </c>
      <c r="B4614" t="str">
        <f>"1552374680005670"</f>
        <v>1552374680005670</v>
      </c>
      <c r="C4614" t="s">
        <v>40</v>
      </c>
      <c r="D4614">
        <v>4.6517359999999996</v>
      </c>
      <c r="E4614">
        <v>0.45752559999999898</v>
      </c>
      <c r="F4614" t="s">
        <v>42</v>
      </c>
      <c r="G4614">
        <v>-387.85250000000002</v>
      </c>
      <c r="H4614" s="1">
        <v>-1.0681880000000001E-6</v>
      </c>
      <c r="I4614">
        <v>138.6883</v>
      </c>
      <c r="J4614">
        <v>-381.60879999999997</v>
      </c>
      <c r="K4614">
        <v>1.1124799999999999</v>
      </c>
      <c r="L4614">
        <v>141.02080000000001</v>
      </c>
      <c r="M4614">
        <v>-0.99558930000000001</v>
      </c>
      <c r="N4614">
        <v>0</v>
      </c>
      <c r="O4614">
        <v>-9.311121E-2</v>
      </c>
      <c r="P4614">
        <v>-0.97085390000000005</v>
      </c>
      <c r="Q4614">
        <v>8.8883279999999995E-2</v>
      </c>
      <c r="R4614">
        <v>-0.222582</v>
      </c>
      <c r="S4614">
        <v>-2.8971559999999998</v>
      </c>
      <c r="T4614">
        <v>-0.49193949999999997</v>
      </c>
      <c r="U4614">
        <v>-1.0450440000000001</v>
      </c>
      <c r="V4614">
        <v>-0.13181799999999999</v>
      </c>
      <c r="W4614">
        <v>9.9446469999999995E-2</v>
      </c>
      <c r="X4614">
        <v>0.98627299999999996</v>
      </c>
      <c r="Y4614">
        <v>-0.24829319999999999</v>
      </c>
      <c r="Z4614">
        <v>-5.1523469999999998E-3</v>
      </c>
      <c r="AA4614">
        <v>0.96867119999999995</v>
      </c>
      <c r="AB4614">
        <v>32</v>
      </c>
      <c r="AC4614">
        <v>-6.2437000000000404</v>
      </c>
      <c r="AD4614">
        <v>-1.112481068188</v>
      </c>
      <c r="AE4614">
        <v>-2.3325000000000098</v>
      </c>
      <c r="AF4614">
        <v>-1.6937817797318799</v>
      </c>
      <c r="AG4614">
        <v>-1.112481068188</v>
      </c>
      <c r="AH4614">
        <v>6.2593884728453402</v>
      </c>
      <c r="AI4614">
        <v>99.734884429659104</v>
      </c>
      <c r="AJ4614">
        <v>105.14153736182099</v>
      </c>
      <c r="AK4614">
        <v>6.5792442497917296</v>
      </c>
      <c r="AL4614">
        <v>84.292703386090906</v>
      </c>
      <c r="AM4614">
        <v>97.612618537196795</v>
      </c>
      <c r="AN4614">
        <v>1.0000000080242299</v>
      </c>
    </row>
    <row r="4615" spans="1:40" x14ac:dyDescent="0.25">
      <c r="A4615" t="str">
        <f>"20190312151120034"</f>
        <v>20190312151120034</v>
      </c>
      <c r="B4615" t="str">
        <f>"1552374680026161"</f>
        <v>1552374680026161</v>
      </c>
      <c r="C4615" t="s">
        <v>40</v>
      </c>
      <c r="D4615">
        <v>4.699516</v>
      </c>
      <c r="E4615">
        <v>0.45749509999999999</v>
      </c>
      <c r="F4615" t="s">
        <v>42</v>
      </c>
      <c r="G4615">
        <v>-388.06950000000001</v>
      </c>
      <c r="H4615" s="1">
        <v>-9.7731069999999895E-7</v>
      </c>
      <c r="I4615">
        <v>138.67570000000001</v>
      </c>
      <c r="J4615">
        <v>-381.92039999999997</v>
      </c>
      <c r="K4615">
        <v>1.112493</v>
      </c>
      <c r="L4615">
        <v>140.98859999999999</v>
      </c>
      <c r="M4615">
        <v>-0.99531130000000001</v>
      </c>
      <c r="N4615">
        <v>0</v>
      </c>
      <c r="O4615">
        <v>-9.6035789999999996E-2</v>
      </c>
      <c r="P4615">
        <v>-0.97016559999999996</v>
      </c>
      <c r="Q4615">
        <v>8.8215230000000006E-2</v>
      </c>
      <c r="R4615">
        <v>-0.2258259</v>
      </c>
      <c r="S4615">
        <v>-2.894806</v>
      </c>
      <c r="T4615">
        <v>-0.49846430000000003</v>
      </c>
      <c r="U4615">
        <v>-1.0507200000000001</v>
      </c>
      <c r="V4615">
        <v>-0.13221060000000001</v>
      </c>
      <c r="W4615">
        <v>9.8774109999999998E-2</v>
      </c>
      <c r="X4615">
        <v>0.98628800000000005</v>
      </c>
      <c r="Y4615">
        <v>-0.24737580000000001</v>
      </c>
      <c r="Z4615">
        <v>-4.6671899999999999E-3</v>
      </c>
      <c r="AA4615">
        <v>0.9689084</v>
      </c>
      <c r="AB4615">
        <v>32</v>
      </c>
      <c r="AC4615">
        <v>-6.14910000000003</v>
      </c>
      <c r="AD4615">
        <v>-1.1124939773107001</v>
      </c>
      <c r="AE4615">
        <v>-2.31289999999998</v>
      </c>
      <c r="AF4615">
        <v>-1.66392218271742</v>
      </c>
      <c r="AG4615">
        <v>-1.1124939773107001</v>
      </c>
      <c r="AH4615">
        <v>6.1659997865599596</v>
      </c>
      <c r="AI4615">
        <v>99.881370067400795</v>
      </c>
      <c r="AJ4615">
        <v>105.10179948715999</v>
      </c>
      <c r="AK4615">
        <v>6.4827334703463801</v>
      </c>
      <c r="AL4615">
        <v>84.331417302973705</v>
      </c>
      <c r="AM4615">
        <v>97.634909757840404</v>
      </c>
      <c r="AN4615">
        <v>0.99999999325132605</v>
      </c>
    </row>
    <row r="4616" spans="1:40" x14ac:dyDescent="0.25">
      <c r="A4616" t="str">
        <f>"20190312151120058"</f>
        <v>20190312151120058</v>
      </c>
      <c r="B4616" t="str">
        <f>"1552374680045681"</f>
        <v>1552374680045681</v>
      </c>
      <c r="C4616" t="s">
        <v>40</v>
      </c>
      <c r="D4616">
        <v>4.9115589999999996</v>
      </c>
      <c r="E4616">
        <v>0.45707750000000003</v>
      </c>
      <c r="F4616" t="s">
        <v>42</v>
      </c>
      <c r="G4616">
        <v>-388.34050000000002</v>
      </c>
      <c r="H4616" s="1">
        <v>-8.6835219999999995E-7</v>
      </c>
      <c r="I4616">
        <v>138.63460000000001</v>
      </c>
      <c r="J4616">
        <v>-382.24</v>
      </c>
      <c r="K4616">
        <v>1.1125050000000001</v>
      </c>
      <c r="L4616">
        <v>140.9547</v>
      </c>
      <c r="M4616">
        <v>-0.99501680000000003</v>
      </c>
      <c r="N4616">
        <v>0</v>
      </c>
      <c r="O4616">
        <v>-9.9042179999999994E-2</v>
      </c>
      <c r="P4616">
        <v>-0.96925139999999999</v>
      </c>
      <c r="Q4616">
        <v>8.8233049999999993E-2</v>
      </c>
      <c r="R4616">
        <v>-0.22971079999999999</v>
      </c>
      <c r="S4616">
        <v>-2.8910520000000002</v>
      </c>
      <c r="T4616">
        <v>-0.50097609999999904</v>
      </c>
      <c r="U4616">
        <v>-1.060028</v>
      </c>
      <c r="V4616">
        <v>-0.13318679999999999</v>
      </c>
      <c r="W4616">
        <v>9.8783140000000005E-2</v>
      </c>
      <c r="X4616">
        <v>0.98615569999999997</v>
      </c>
      <c r="Y4616">
        <v>-0.24762100000000001</v>
      </c>
      <c r="Z4616">
        <v>-4.2195449999999999E-3</v>
      </c>
      <c r="AA4616">
        <v>0.96884780000000004</v>
      </c>
      <c r="AB4616">
        <v>32</v>
      </c>
      <c r="AC4616">
        <v>-6.10050000000001</v>
      </c>
      <c r="AD4616">
        <v>-1.11250586835219</v>
      </c>
      <c r="AE4616">
        <v>-2.3200999999999898</v>
      </c>
      <c r="AF4616">
        <v>-1.6563216091398401</v>
      </c>
      <c r="AG4616">
        <v>-1.11250586835219</v>
      </c>
      <c r="AH4616">
        <v>6.1224235102656897</v>
      </c>
      <c r="AI4616">
        <v>99.948736247289702</v>
      </c>
      <c r="AJ4616">
        <v>105.138069917588</v>
      </c>
      <c r="AK4616">
        <v>6.4393431512131603</v>
      </c>
      <c r="AL4616">
        <v>84.330897125070393</v>
      </c>
      <c r="AM4616">
        <v>97.691630593232404</v>
      </c>
      <c r="AN4616">
        <v>0.99999994854249297</v>
      </c>
    </row>
    <row r="4617" spans="1:40" x14ac:dyDescent="0.25">
      <c r="A4617" t="str">
        <f>"20190312151120080"</f>
        <v>20190312151120080</v>
      </c>
      <c r="B4617" t="str">
        <f>"1552374680075938"</f>
        <v>1552374680075938</v>
      </c>
      <c r="C4617" t="s">
        <v>40</v>
      </c>
      <c r="D4617">
        <v>5.0801259999999999</v>
      </c>
      <c r="E4617">
        <v>0.45711459999999998</v>
      </c>
      <c r="F4617" t="s">
        <v>42</v>
      </c>
      <c r="G4617">
        <v>-388.57780000000002</v>
      </c>
      <c r="H4617" s="1">
        <v>-7.7359870000000004E-7</v>
      </c>
      <c r="I4617">
        <v>138.59479999999999</v>
      </c>
      <c r="J4617">
        <v>-382.55939999999998</v>
      </c>
      <c r="K4617">
        <v>1.1125130000000001</v>
      </c>
      <c r="L4617">
        <v>140.91980000000001</v>
      </c>
      <c r="M4617">
        <v>-0.99471259999999995</v>
      </c>
      <c r="N4617">
        <v>0</v>
      </c>
      <c r="O4617">
        <v>-0.10205110000000001</v>
      </c>
      <c r="P4617">
        <v>-0.96822909999999995</v>
      </c>
      <c r="Q4617">
        <v>8.8711429999999994E-2</v>
      </c>
      <c r="R4617">
        <v>-0.2338007</v>
      </c>
      <c r="S4617">
        <v>-2.8865660000000002</v>
      </c>
      <c r="T4617">
        <v>-0.50669379999999997</v>
      </c>
      <c r="U4617">
        <v>-1.0747990000000001</v>
      </c>
      <c r="V4617">
        <v>-0.1343781</v>
      </c>
      <c r="W4617">
        <v>9.9250969999999994E-2</v>
      </c>
      <c r="X4617">
        <v>0.98594709999999997</v>
      </c>
      <c r="Y4617">
        <v>-0.24950929999999999</v>
      </c>
      <c r="Z4617">
        <v>-3.9287879999999999E-3</v>
      </c>
      <c r="AA4617">
        <v>0.96836440000000001</v>
      </c>
      <c r="AB4617">
        <v>32</v>
      </c>
      <c r="AC4617">
        <v>-6.0184000000000397</v>
      </c>
      <c r="AD4617">
        <v>-1.1125137735987001</v>
      </c>
      <c r="AE4617">
        <v>-2.3250000000000099</v>
      </c>
      <c r="AF4617">
        <v>-1.6495877941132799</v>
      </c>
      <c r="AG4617">
        <v>-1.1125137735987001</v>
      </c>
      <c r="AH4617">
        <v>6.0445372457210702</v>
      </c>
      <c r="AI4617">
        <v>100.06846915824499</v>
      </c>
      <c r="AJ4617">
        <v>105.264625935274</v>
      </c>
      <c r="AK4617">
        <v>6.3635883982108403</v>
      </c>
      <c r="AL4617">
        <v>84.303960107986896</v>
      </c>
      <c r="AM4617">
        <v>97.7612161986481</v>
      </c>
      <c r="AN4617">
        <v>0.99999995640197903</v>
      </c>
    </row>
    <row r="4618" spans="1:40" x14ac:dyDescent="0.25">
      <c r="A4618" t="str">
        <f>"20190312151120102"</f>
        <v>20190312151120102</v>
      </c>
      <c r="B4618" t="str">
        <f>"1552374680095457"</f>
        <v>1552374680095457</v>
      </c>
      <c r="C4618" t="s">
        <v>40</v>
      </c>
      <c r="D4618">
        <v>4.6731109999999996</v>
      </c>
      <c r="E4618">
        <v>0.4573584</v>
      </c>
      <c r="F4618" t="s">
        <v>42</v>
      </c>
      <c r="G4618">
        <v>-388.98320000000001</v>
      </c>
      <c r="H4618" s="1">
        <v>-6.2933420000000003E-7</v>
      </c>
      <c r="I4618">
        <v>138.499</v>
      </c>
      <c r="J4618">
        <v>-382.8723</v>
      </c>
      <c r="K4618">
        <v>1.112525</v>
      </c>
      <c r="L4618">
        <v>140.88460000000001</v>
      </c>
      <c r="M4618">
        <v>-0.9944056</v>
      </c>
      <c r="N4618">
        <v>0</v>
      </c>
      <c r="O4618">
        <v>-0.10499849999999999</v>
      </c>
      <c r="P4618">
        <v>-0.96716060000000004</v>
      </c>
      <c r="Q4618">
        <v>8.9055270000000006E-2</v>
      </c>
      <c r="R4618">
        <v>-0.2380534</v>
      </c>
      <c r="S4618">
        <v>-2.881958</v>
      </c>
      <c r="T4618">
        <v>-0.49911640000000002</v>
      </c>
      <c r="U4618">
        <v>-1.086044</v>
      </c>
      <c r="V4618">
        <v>-0.135797</v>
      </c>
      <c r="W4618">
        <v>9.9583580000000005E-2</v>
      </c>
      <c r="X4618">
        <v>0.98571909999999896</v>
      </c>
      <c r="Y4618">
        <v>-0.25054100000000001</v>
      </c>
      <c r="Z4618">
        <v>-3.4769829999999999E-3</v>
      </c>
      <c r="AA4618">
        <v>0.96809979999999995</v>
      </c>
      <c r="AB4618">
        <v>32</v>
      </c>
      <c r="AC4618">
        <v>-6.1109000000000098</v>
      </c>
      <c r="AD4618">
        <v>-1.1125256293342001</v>
      </c>
      <c r="AE4618">
        <v>-2.3856000000000099</v>
      </c>
      <c r="AF4618">
        <v>-1.6823473382387</v>
      </c>
      <c r="AG4618">
        <v>-1.1125256293342001</v>
      </c>
      <c r="AH4618">
        <v>6.15071607409521</v>
      </c>
      <c r="AI4618">
        <v>99.896712042995503</v>
      </c>
      <c r="AJ4618">
        <v>105.29741580099299</v>
      </c>
      <c r="AK4618">
        <v>6.47296794882668</v>
      </c>
      <c r="AL4618">
        <v>84.284807920356599</v>
      </c>
      <c r="AM4618">
        <v>97.843943865295799</v>
      </c>
      <c r="AN4618">
        <v>0.99999992935971005</v>
      </c>
    </row>
    <row r="4619" spans="1:40" x14ac:dyDescent="0.25">
      <c r="A4619" t="str">
        <f>"20190312151120124"</f>
        <v>20190312151120124</v>
      </c>
      <c r="B4619" t="str">
        <f>"1552374680115953"</f>
        <v>1552374680115953</v>
      </c>
      <c r="C4619" t="s">
        <v>40</v>
      </c>
      <c r="D4619">
        <v>4.7039540000000004</v>
      </c>
      <c r="E4619">
        <v>0.45756639999999998</v>
      </c>
      <c r="F4619" t="s">
        <v>42</v>
      </c>
      <c r="G4619">
        <v>-389.35359999999997</v>
      </c>
      <c r="H4619" s="1">
        <v>-5.2562210000000001E-7</v>
      </c>
      <c r="I4619">
        <v>138.41499999999999</v>
      </c>
      <c r="J4619">
        <v>-383.18049999999999</v>
      </c>
      <c r="K4619">
        <v>1.11253</v>
      </c>
      <c r="L4619">
        <v>140.84909999999999</v>
      </c>
      <c r="M4619">
        <v>-0.99409479999999995</v>
      </c>
      <c r="N4619">
        <v>0</v>
      </c>
      <c r="O4619">
        <v>-0.1079007</v>
      </c>
      <c r="P4619">
        <v>-0.96617580000000003</v>
      </c>
      <c r="Q4619">
        <v>8.8996519999999996E-2</v>
      </c>
      <c r="R4619">
        <v>-0.24204139999999999</v>
      </c>
      <c r="S4619">
        <v>-2.8774410000000001</v>
      </c>
      <c r="T4619">
        <v>-0.49391659999999998</v>
      </c>
      <c r="U4619">
        <v>-1.0963750000000001</v>
      </c>
      <c r="V4619">
        <v>-0.13698750000000001</v>
      </c>
      <c r="W4619">
        <v>9.9515740000000005E-2</v>
      </c>
      <c r="X4619">
        <v>0.98556129999999997</v>
      </c>
      <c r="Y4619">
        <v>-0.25131989999999998</v>
      </c>
      <c r="Z4619">
        <v>-3.0376449999999998E-3</v>
      </c>
      <c r="AA4619">
        <v>0.96789930000000002</v>
      </c>
      <c r="AB4619">
        <v>32</v>
      </c>
      <c r="AC4619">
        <v>-6.1730999999999696</v>
      </c>
      <c r="AD4619">
        <v>-1.1125305256221001</v>
      </c>
      <c r="AE4619">
        <v>-2.4340999999999999</v>
      </c>
      <c r="AF4619">
        <v>-1.7058111910917499</v>
      </c>
      <c r="AG4619">
        <v>-1.1125305256221001</v>
      </c>
      <c r="AH4619">
        <v>6.2247380051266203</v>
      </c>
      <c r="AI4619">
        <v>99.780090671307903</v>
      </c>
      <c r="AJ4619">
        <v>105.32496488893401</v>
      </c>
      <c r="AK4619">
        <v>6.5494182354284396</v>
      </c>
      <c r="AL4619">
        <v>84.288714772146903</v>
      </c>
      <c r="AM4619">
        <v>97.913093461814597</v>
      </c>
      <c r="AN4619">
        <v>1.0000000168608401</v>
      </c>
    </row>
    <row r="4620" spans="1:40" x14ac:dyDescent="0.25">
      <c r="A4620" t="str">
        <f>"20190312151120147"</f>
        <v>20190312151120147</v>
      </c>
      <c r="B4620" t="str">
        <f>"1552374680135473"</f>
        <v>1552374680135473</v>
      </c>
      <c r="C4620" t="s">
        <v>40</v>
      </c>
      <c r="D4620">
        <v>4.7475170000000002</v>
      </c>
      <c r="E4620">
        <v>0.45776080000000002</v>
      </c>
      <c r="F4620" t="s">
        <v>42</v>
      </c>
      <c r="G4620">
        <v>-389.6859</v>
      </c>
      <c r="H4620" s="1">
        <v>-4.311797E-7</v>
      </c>
      <c r="I4620">
        <v>138.345</v>
      </c>
      <c r="J4620">
        <v>-383.50139999999999</v>
      </c>
      <c r="K4620">
        <v>1.1125350000000001</v>
      </c>
      <c r="L4620">
        <v>140.81120000000001</v>
      </c>
      <c r="M4620">
        <v>-0.99376249999999999</v>
      </c>
      <c r="N4620">
        <v>0</v>
      </c>
      <c r="O4620">
        <v>-0.1109208</v>
      </c>
      <c r="P4620">
        <v>-0.96523170000000003</v>
      </c>
      <c r="Q4620">
        <v>8.8109750000000001E-2</v>
      </c>
      <c r="R4620">
        <v>-0.24609900000000001</v>
      </c>
      <c r="S4620">
        <v>-2.8731990000000001</v>
      </c>
      <c r="T4620">
        <v>-0.49136809999999997</v>
      </c>
      <c r="U4620">
        <v>-1.105942</v>
      </c>
      <c r="V4620">
        <v>-0.13812149999999901</v>
      </c>
      <c r="W4620">
        <v>9.8620849999999996E-2</v>
      </c>
      <c r="X4620">
        <v>0.98549290000000001</v>
      </c>
      <c r="Y4620">
        <v>-0.25171549999999998</v>
      </c>
      <c r="Z4620">
        <v>-2.5695900000000001E-3</v>
      </c>
      <c r="AA4620">
        <v>0.96779789999999999</v>
      </c>
      <c r="AB4620">
        <v>32</v>
      </c>
      <c r="AC4620">
        <v>-6.1845000000000097</v>
      </c>
      <c r="AD4620">
        <v>-1.1125354311797</v>
      </c>
      <c r="AE4620">
        <v>-2.4662000000000099</v>
      </c>
      <c r="AF4620">
        <v>-1.71700430175654</v>
      </c>
      <c r="AG4620">
        <v>-1.1125354311797</v>
      </c>
      <c r="AH4620">
        <v>6.2455228126295603</v>
      </c>
      <c r="AI4620">
        <v>99.746062764783204</v>
      </c>
      <c r="AJ4620">
        <v>105.371863279374</v>
      </c>
      <c r="AK4620">
        <v>6.5720920612052396</v>
      </c>
      <c r="AL4620">
        <v>84.340241227128899</v>
      </c>
      <c r="AM4620">
        <v>97.978305659507001</v>
      </c>
      <c r="AN4620">
        <v>0.99999993838368895</v>
      </c>
    </row>
    <row r="4621" spans="1:40" x14ac:dyDescent="0.25">
      <c r="A4621" t="str">
        <f>"20190312151120168"</f>
        <v>20190312151120168</v>
      </c>
      <c r="B4621" t="str">
        <f>"1552374680165730"</f>
        <v>1552374680165730</v>
      </c>
      <c r="C4621" t="s">
        <v>40</v>
      </c>
      <c r="D4621">
        <v>4.7687220000000003</v>
      </c>
      <c r="E4621">
        <v>0.45801199999999997</v>
      </c>
      <c r="F4621" t="s">
        <v>42</v>
      </c>
      <c r="G4621">
        <v>-389.99520000000001</v>
      </c>
      <c r="H4621" s="1">
        <v>-4.5105049999999998E-6</v>
      </c>
      <c r="I4621">
        <v>138.28460000000001</v>
      </c>
      <c r="J4621">
        <v>-383.80860000000001</v>
      </c>
      <c r="K4621">
        <v>1.112533</v>
      </c>
      <c r="L4621">
        <v>140.7739</v>
      </c>
      <c r="M4621">
        <v>-0.99343559999999997</v>
      </c>
      <c r="N4621">
        <v>0</v>
      </c>
      <c r="O4621">
        <v>-0.11381040000000001</v>
      </c>
      <c r="P4621">
        <v>-0.96398220000000001</v>
      </c>
      <c r="Q4621">
        <v>8.7563329999999995E-2</v>
      </c>
      <c r="R4621">
        <v>-0.25113869999999999</v>
      </c>
      <c r="S4621">
        <v>-2.8684080000000001</v>
      </c>
      <c r="T4621">
        <v>-0.49142409999999997</v>
      </c>
      <c r="U4621">
        <v>-1.1159669999999999</v>
      </c>
      <c r="V4621">
        <v>-0.14039869999999999</v>
      </c>
      <c r="W4621">
        <v>9.8057580000000005E-2</v>
      </c>
      <c r="X4621">
        <v>0.98522730000000003</v>
      </c>
      <c r="Y4621">
        <v>-0.25241000000000002</v>
      </c>
      <c r="Z4621">
        <v>-2.1628720000000001E-3</v>
      </c>
      <c r="AA4621">
        <v>0.96761790000000003</v>
      </c>
      <c r="AB4621">
        <v>32</v>
      </c>
      <c r="AC4621">
        <v>-6.1865999999999897</v>
      </c>
      <c r="AD4621">
        <v>-1.1125375105049999</v>
      </c>
      <c r="AE4621">
        <v>-2.4892999999999801</v>
      </c>
      <c r="AF4621">
        <v>-1.7210751310468999</v>
      </c>
      <c r="AG4621">
        <v>-1.1125375105049999</v>
      </c>
      <c r="AH4621">
        <v>6.2556133105945904</v>
      </c>
      <c r="AI4621">
        <v>99.730154810386793</v>
      </c>
      <c r="AJ4621">
        <v>105.382905368995</v>
      </c>
      <c r="AK4621">
        <v>6.5827454159094598</v>
      </c>
      <c r="AL4621">
        <v>84.3726715264646</v>
      </c>
      <c r="AM4621">
        <v>98.110264975447805</v>
      </c>
      <c r="AN4621">
        <v>0.99999995831121702</v>
      </c>
    </row>
    <row r="4622" spans="1:40" x14ac:dyDescent="0.25">
      <c r="A4622" t="str">
        <f>"20190312151120202"</f>
        <v>20190312151120202</v>
      </c>
      <c r="B4622" t="str">
        <f>"1552374680195985"</f>
        <v>1552374680195985</v>
      </c>
      <c r="C4622" t="s">
        <v>40</v>
      </c>
      <c r="D4622">
        <v>4.8453080000000002</v>
      </c>
      <c r="E4622">
        <v>0.45804650000000002</v>
      </c>
      <c r="F4622" t="s">
        <v>42</v>
      </c>
      <c r="G4622">
        <v>-390.23180000000002</v>
      </c>
      <c r="H4622" s="1">
        <v>-4.4164980000000004E-6</v>
      </c>
      <c r="I4622">
        <v>138.24260000000001</v>
      </c>
      <c r="J4622">
        <v>-384.286</v>
      </c>
      <c r="K4622">
        <v>1.1125320000000001</v>
      </c>
      <c r="L4622">
        <v>140.71420000000001</v>
      </c>
      <c r="M4622">
        <v>-0.99291110000000005</v>
      </c>
      <c r="N4622">
        <v>0</v>
      </c>
      <c r="O4622">
        <v>-0.1182993</v>
      </c>
      <c r="P4622">
        <v>-0.96217450000000004</v>
      </c>
      <c r="Q4622">
        <v>8.7069309999999997E-2</v>
      </c>
      <c r="R4622">
        <v>-0.2581463</v>
      </c>
      <c r="S4622">
        <v>-2.8631899999999999</v>
      </c>
      <c r="T4622">
        <v>-0.49592589999999998</v>
      </c>
      <c r="U4622">
        <v>-1.1283110000000001</v>
      </c>
      <c r="V4622">
        <v>-0.1431096</v>
      </c>
      <c r="W4622">
        <v>9.7543160000000004E-2</v>
      </c>
      <c r="X4622">
        <v>0.98488830000000005</v>
      </c>
      <c r="Y4622">
        <v>-0.252276</v>
      </c>
      <c r="Z4622">
        <v>-1.44183299999999E-3</v>
      </c>
      <c r="AA4622">
        <v>0.96765420000000002</v>
      </c>
      <c r="AB4622">
        <v>32</v>
      </c>
      <c r="AC4622">
        <v>-5.94580000000001</v>
      </c>
      <c r="AD4622">
        <v>-1.1125364164980001</v>
      </c>
      <c r="AE4622">
        <v>-2.4715999999999898</v>
      </c>
      <c r="AF4622">
        <v>-1.70005982627275</v>
      </c>
      <c r="AG4622">
        <v>-1.1125364164980001</v>
      </c>
      <c r="AH4622">
        <v>6.0168316179766901</v>
      </c>
      <c r="AI4622">
        <v>100.08947371710001</v>
      </c>
      <c r="AJ4622">
        <v>105.777674717246</v>
      </c>
      <c r="AK4622">
        <v>6.3506065387508297</v>
      </c>
      <c r="AL4622">
        <v>84.402287804483095</v>
      </c>
      <c r="AM4622">
        <v>98.267524955403601</v>
      </c>
      <c r="AN4622">
        <v>0.99999999457591704</v>
      </c>
    </row>
    <row r="4623" spans="1:40" x14ac:dyDescent="0.25">
      <c r="A4623" t="str">
        <f>"20190312151120224"</f>
        <v>20190312151120224</v>
      </c>
      <c r="B4623" t="str">
        <f>"1552374680215505"</f>
        <v>1552374680215505</v>
      </c>
      <c r="C4623" t="s">
        <v>40</v>
      </c>
      <c r="D4623">
        <v>4.8135459999999997</v>
      </c>
      <c r="E4623">
        <v>0.4581578</v>
      </c>
      <c r="F4623" t="s">
        <v>42</v>
      </c>
      <c r="G4623">
        <v>-390.63010000000003</v>
      </c>
      <c r="H4623" s="1">
        <v>-4.2597949999999999E-6</v>
      </c>
      <c r="I4623">
        <v>138.1627</v>
      </c>
      <c r="J4623">
        <v>-384.5994</v>
      </c>
      <c r="K4623">
        <v>1.112536</v>
      </c>
      <c r="L4623">
        <v>140.6738</v>
      </c>
      <c r="M4623">
        <v>-0.99255570000000004</v>
      </c>
      <c r="N4623">
        <v>0</v>
      </c>
      <c r="O4623">
        <v>-0.1212458</v>
      </c>
      <c r="P4623">
        <v>-0.96107569999999998</v>
      </c>
      <c r="Q4623">
        <v>8.6763980000000004E-2</v>
      </c>
      <c r="R4623">
        <v>-0.26230870000000001</v>
      </c>
      <c r="S4623">
        <v>-2.8551639999999998</v>
      </c>
      <c r="T4623">
        <v>-0.50070139999999996</v>
      </c>
      <c r="U4623">
        <v>-1.1482540000000001</v>
      </c>
      <c r="V4623">
        <v>-0.1444463</v>
      </c>
      <c r="W4623">
        <v>9.722807E-2</v>
      </c>
      <c r="X4623">
        <v>0.9847243</v>
      </c>
      <c r="Y4623">
        <v>-0.2561156</v>
      </c>
      <c r="Z4623">
        <v>-1.295699E-3</v>
      </c>
      <c r="AA4623">
        <v>0.96664530000000004</v>
      </c>
      <c r="AB4623">
        <v>32</v>
      </c>
      <c r="AC4623">
        <v>-6.0307000000000199</v>
      </c>
      <c r="AD4623">
        <v>-1.112540259795</v>
      </c>
      <c r="AE4623">
        <v>-2.5110999999999901</v>
      </c>
      <c r="AF4623">
        <v>-1.71168075218296</v>
      </c>
      <c r="AG4623">
        <v>-1.112540259795</v>
      </c>
      <c r="AH4623">
        <v>6.1133708266720399</v>
      </c>
      <c r="AI4623">
        <v>99.939878379269402</v>
      </c>
      <c r="AJ4623">
        <v>105.641698243438</v>
      </c>
      <c r="AK4623">
        <v>6.4452230133225896</v>
      </c>
      <c r="AL4623">
        <v>84.420427323430999</v>
      </c>
      <c r="AM4623">
        <v>98.345034716495107</v>
      </c>
      <c r="AN4623">
        <v>0.99999998909505206</v>
      </c>
    </row>
    <row r="4624" spans="1:40" x14ac:dyDescent="0.25">
      <c r="A4624" t="str">
        <f>"20190312151120246"</f>
        <v>20190312151120246</v>
      </c>
      <c r="B4624" t="str">
        <f>"1552374680236001"</f>
        <v>1552374680236001</v>
      </c>
      <c r="C4624" t="s">
        <v>40</v>
      </c>
      <c r="D4624">
        <v>4.8326650000000004</v>
      </c>
      <c r="E4624">
        <v>0.45814870000000002</v>
      </c>
      <c r="F4624" t="s">
        <v>42</v>
      </c>
      <c r="G4624">
        <v>-390.96809999999999</v>
      </c>
      <c r="H4624" s="1">
        <v>-4.1287300000000004E-6</v>
      </c>
      <c r="I4624">
        <v>138.084</v>
      </c>
      <c r="J4624">
        <v>-384.9144</v>
      </c>
      <c r="K4624">
        <v>1.112538</v>
      </c>
      <c r="L4624">
        <v>140.63220000000001</v>
      </c>
      <c r="M4624">
        <v>-0.9921894</v>
      </c>
      <c r="N4624">
        <v>0</v>
      </c>
      <c r="O4624">
        <v>-0.124207</v>
      </c>
      <c r="P4624">
        <v>-0.95993879999999998</v>
      </c>
      <c r="Q4624">
        <v>8.6749350000000003E-2</v>
      </c>
      <c r="R4624">
        <v>-0.266443599999999</v>
      </c>
      <c r="S4624">
        <v>-2.8501280000000002</v>
      </c>
      <c r="T4624">
        <v>-0.49788339999999998</v>
      </c>
      <c r="U4624">
        <v>-1.1589659999999999</v>
      </c>
      <c r="V4624">
        <v>-0.14574899999999999</v>
      </c>
      <c r="W4624">
        <v>9.7203849999999994E-2</v>
      </c>
      <c r="X4624">
        <v>0.98453469999999998</v>
      </c>
      <c r="Y4624">
        <v>-0.25698910000000003</v>
      </c>
      <c r="Z4624">
        <v>-8.7822789999999996E-4</v>
      </c>
      <c r="AA4624">
        <v>0.96641390000000005</v>
      </c>
      <c r="AB4624">
        <v>32</v>
      </c>
      <c r="AC4624">
        <v>-6.0536999999999903</v>
      </c>
      <c r="AD4624">
        <v>-1.1125421287299999</v>
      </c>
      <c r="AE4624">
        <v>-2.5482</v>
      </c>
      <c r="AF4624">
        <v>-1.72695491391585</v>
      </c>
      <c r="AG4624">
        <v>-1.1125421287299999</v>
      </c>
      <c r="AH4624">
        <v>6.1469778365232699</v>
      </c>
      <c r="AI4624">
        <v>99.884222244276401</v>
      </c>
      <c r="AJ4624">
        <v>105.692375154286</v>
      </c>
      <c r="AK4624">
        <v>6.4811619163237602</v>
      </c>
      <c r="AL4624">
        <v>84.421821510675898</v>
      </c>
      <c r="AM4624">
        <v>98.420819182680802</v>
      </c>
      <c r="AN4624">
        <v>0.99999996747995501</v>
      </c>
    </row>
    <row r="4625" spans="1:40" x14ac:dyDescent="0.25">
      <c r="A4625" t="str">
        <f>"20190312151120270"</f>
        <v>20190312151120270</v>
      </c>
      <c r="B4625" t="str">
        <f>"1552374680266258"</f>
        <v>1552374680266258</v>
      </c>
      <c r="C4625" t="s">
        <v>40</v>
      </c>
      <c r="D4625">
        <v>5.1224379999999998</v>
      </c>
      <c r="E4625">
        <v>0.4307184</v>
      </c>
      <c r="F4625" t="s">
        <v>42</v>
      </c>
      <c r="G4625">
        <v>-391.28449999999998</v>
      </c>
      <c r="H4625" s="1">
        <v>-4.0060560000000001E-6</v>
      </c>
      <c r="I4625">
        <v>138.01060000000001</v>
      </c>
      <c r="J4625">
        <v>-385.23259999999999</v>
      </c>
      <c r="K4625">
        <v>1.112541</v>
      </c>
      <c r="L4625">
        <v>140.58930000000001</v>
      </c>
      <c r="M4625">
        <v>-0.99181030000000003</v>
      </c>
      <c r="N4625">
        <v>0</v>
      </c>
      <c r="O4625">
        <v>-0.12719749999999999</v>
      </c>
      <c r="P4625">
        <v>-0.9588757</v>
      </c>
      <c r="Q4625">
        <v>8.6538569999999995E-2</v>
      </c>
      <c r="R4625">
        <v>-0.27031169999999999</v>
      </c>
      <c r="S4625">
        <v>-2.8450929999999999</v>
      </c>
      <c r="T4625">
        <v>-0.49690380000000001</v>
      </c>
      <c r="U4625">
        <v>-1.170898</v>
      </c>
      <c r="V4625">
        <v>-0.14674779999999901</v>
      </c>
      <c r="W4625">
        <v>9.6986030000000001E-2</v>
      </c>
      <c r="X4625">
        <v>0.98440780000000006</v>
      </c>
      <c r="Y4625">
        <v>-0.25817279999999998</v>
      </c>
      <c r="Z4625">
        <v>-4.8781369999999999E-4</v>
      </c>
      <c r="AA4625">
        <v>0.96609860000000003</v>
      </c>
      <c r="AB4625">
        <v>32</v>
      </c>
      <c r="AC4625">
        <v>-6.0518999999999803</v>
      </c>
      <c r="AD4625">
        <v>-1.112545006056</v>
      </c>
      <c r="AE4625">
        <v>-2.5786999999999898</v>
      </c>
      <c r="AF4625">
        <v>-1.73819777027998</v>
      </c>
      <c r="AG4625">
        <v>-1.112545006056</v>
      </c>
      <c r="AH4625">
        <v>6.1547249821463499</v>
      </c>
      <c r="AI4625">
        <v>99.868330823630203</v>
      </c>
      <c r="AJ4625">
        <v>105.77057148012899</v>
      </c>
      <c r="AK4625">
        <v>6.4915119567757698</v>
      </c>
      <c r="AL4625">
        <v>84.434360893047995</v>
      </c>
      <c r="AM4625">
        <v>98.478767206372794</v>
      </c>
      <c r="AN4625">
        <v>0.99999996176041905</v>
      </c>
    </row>
    <row r="4626" spans="1:40" x14ac:dyDescent="0.25">
      <c r="A4626" t="str">
        <f>"20190312151120292"</f>
        <v>20190312151120292</v>
      </c>
      <c r="B4626" t="str">
        <f>"1552374680285778"</f>
        <v>1552374680285778</v>
      </c>
      <c r="C4626" t="s">
        <v>40</v>
      </c>
      <c r="D4626">
        <v>4.7868490000000001</v>
      </c>
      <c r="E4626">
        <v>0.432616</v>
      </c>
      <c r="F4626" t="s">
        <v>42</v>
      </c>
      <c r="G4626">
        <v>-391.51620000000003</v>
      </c>
      <c r="H4626" s="1">
        <v>-4.0074540000000002E-6</v>
      </c>
      <c r="I4626">
        <v>137.44210000000001</v>
      </c>
      <c r="J4626">
        <v>-385.5557</v>
      </c>
      <c r="K4626">
        <v>1.112547</v>
      </c>
      <c r="L4626">
        <v>140.54480000000001</v>
      </c>
      <c r="M4626">
        <v>-0.99141619999999997</v>
      </c>
      <c r="N4626">
        <v>0</v>
      </c>
      <c r="O4626">
        <v>-0.13023470000000001</v>
      </c>
      <c r="P4626">
        <v>-0.95782100000000003</v>
      </c>
      <c r="Q4626">
        <v>8.6271970000000003E-2</v>
      </c>
      <c r="R4626">
        <v>-0.2741093</v>
      </c>
      <c r="S4626">
        <v>-2.7804869999999999</v>
      </c>
      <c r="T4626">
        <v>-0.49229849999999997</v>
      </c>
      <c r="U4626">
        <v>-1.3925780000000001</v>
      </c>
      <c r="V4626">
        <v>-0.14763039999999999</v>
      </c>
      <c r="W4626">
        <v>9.6713129999999994E-2</v>
      </c>
      <c r="X4626">
        <v>0.98430269999999997</v>
      </c>
      <c r="Y4626">
        <v>-0.32514989999999999</v>
      </c>
      <c r="Z4626">
        <v>-5.5786610000000004E-3</v>
      </c>
      <c r="AA4626">
        <v>0.94564599999999999</v>
      </c>
      <c r="AB4626">
        <v>32</v>
      </c>
      <c r="AC4626">
        <v>-5.9605000000000201</v>
      </c>
      <c r="AD4626">
        <v>-1.1125510074539999</v>
      </c>
      <c r="AE4626">
        <v>-3.1026999999999898</v>
      </c>
      <c r="AF4626">
        <v>-2.2385916172568998</v>
      </c>
      <c r="AG4626">
        <v>-1.1125510074539999</v>
      </c>
      <c r="AH4626">
        <v>6.1453777695440603</v>
      </c>
      <c r="AI4626">
        <v>99.653846301603096</v>
      </c>
      <c r="AJ4626">
        <v>110.015287011956</v>
      </c>
      <c r="AK4626">
        <v>6.6343598111231596</v>
      </c>
      <c r="AL4626">
        <v>84.4500708922386</v>
      </c>
      <c r="AM4626">
        <v>98.529911394128106</v>
      </c>
      <c r="AN4626">
        <v>0.99999998487292296</v>
      </c>
    </row>
    <row r="4627" spans="1:40" x14ac:dyDescent="0.25">
      <c r="A4627" t="str">
        <f>"20190312151120314"</f>
        <v>20190312151120314</v>
      </c>
      <c r="B4627" t="str">
        <f>"1552374680306274"</f>
        <v>1552374680306274</v>
      </c>
      <c r="C4627" t="s">
        <v>40</v>
      </c>
      <c r="D4627">
        <v>5.6138779999999997</v>
      </c>
      <c r="E4627">
        <v>0.43201260000000002</v>
      </c>
      <c r="F4627" t="s">
        <v>42</v>
      </c>
      <c r="G4627">
        <v>-392.2439</v>
      </c>
      <c r="H4627" s="1">
        <v>-3.7375359999999999E-6</v>
      </c>
      <c r="I4627">
        <v>137.20400000000001</v>
      </c>
      <c r="J4627">
        <v>-385.86579999999998</v>
      </c>
      <c r="K4627">
        <v>1.112547</v>
      </c>
      <c r="L4627">
        <v>140.501</v>
      </c>
      <c r="M4627">
        <v>-0.99102869999999998</v>
      </c>
      <c r="N4627">
        <v>0</v>
      </c>
      <c r="O4627">
        <v>-0.13314999999999999</v>
      </c>
      <c r="P4627">
        <v>-0.95692189999999999</v>
      </c>
      <c r="Q4627">
        <v>8.6574120000000004E-2</v>
      </c>
      <c r="R4627">
        <v>-0.27713779999999999</v>
      </c>
      <c r="S4627">
        <v>-2.776764</v>
      </c>
      <c r="T4627">
        <v>-0.46190120000000001</v>
      </c>
      <c r="U4627">
        <v>-1.3869479999999901</v>
      </c>
      <c r="V4627">
        <v>-0.14785509999999999</v>
      </c>
      <c r="W4627">
        <v>9.7014020000000006E-2</v>
      </c>
      <c r="X4627">
        <v>0.98423939999999999</v>
      </c>
      <c r="Y4627">
        <v>-0.32168980000000003</v>
      </c>
      <c r="Z4627">
        <v>-4.5307389999999998E-3</v>
      </c>
      <c r="AA4627">
        <v>0.94683430000000002</v>
      </c>
      <c r="AB4627">
        <v>32</v>
      </c>
      <c r="AC4627">
        <v>-6.3781000000000097</v>
      </c>
      <c r="AD4627">
        <v>-1.112550737536</v>
      </c>
      <c r="AE4627">
        <v>-3.2969999999999899</v>
      </c>
      <c r="AF4627">
        <v>-2.3616337881583398</v>
      </c>
      <c r="AG4627">
        <v>-1.112550737536</v>
      </c>
      <c r="AH4627">
        <v>6.6018107196039102</v>
      </c>
      <c r="AI4627">
        <v>99.016239666117002</v>
      </c>
      <c r="AJ4627">
        <v>109.68340788391799</v>
      </c>
      <c r="AK4627">
        <v>7.0992244696473801</v>
      </c>
      <c r="AL4627">
        <v>84.432749931125201</v>
      </c>
      <c r="AM4627">
        <v>98.543244188325303</v>
      </c>
      <c r="AN4627">
        <v>1.00000002359246</v>
      </c>
    </row>
    <row r="4628" spans="1:40" x14ac:dyDescent="0.25">
      <c r="A4628" t="str">
        <f>"20190312151120336"</f>
        <v>20190312151120336</v>
      </c>
      <c r="B4628" t="str">
        <f>"1552374680325794"</f>
        <v>1552374680325794</v>
      </c>
      <c r="C4628" t="s">
        <v>40</v>
      </c>
      <c r="D4628">
        <v>4.7564479999999998</v>
      </c>
      <c r="E4628">
        <v>0.43272860000000002</v>
      </c>
      <c r="F4628" t="s">
        <v>42</v>
      </c>
      <c r="G4628">
        <v>-392.52480000000003</v>
      </c>
      <c r="H4628" s="1">
        <v>-3.6289940000000002E-6</v>
      </c>
      <c r="I4628">
        <v>137.13659999999999</v>
      </c>
      <c r="J4628">
        <v>-386.17869999999999</v>
      </c>
      <c r="K4628">
        <v>1.112549</v>
      </c>
      <c r="L4628">
        <v>140.45599999999999</v>
      </c>
      <c r="M4628">
        <v>-0.99062930000000005</v>
      </c>
      <c r="N4628">
        <v>0</v>
      </c>
      <c r="O4628">
        <v>-0.13609070000000001</v>
      </c>
      <c r="P4628">
        <v>-0.95602940000000003</v>
      </c>
      <c r="Q4628">
        <v>8.7077070000000006E-2</v>
      </c>
      <c r="R4628">
        <v>-0.28004559999999901</v>
      </c>
      <c r="S4628">
        <v>-2.7714539999999999</v>
      </c>
      <c r="T4628">
        <v>-0.46304250000000002</v>
      </c>
      <c r="U4628">
        <v>-1.400253</v>
      </c>
      <c r="V4628">
        <v>-0.14793599999999901</v>
      </c>
      <c r="W4628">
        <v>9.7516599999999995E-2</v>
      </c>
      <c r="X4628">
        <v>0.98417750000000004</v>
      </c>
      <c r="Y4628">
        <v>-0.32323879999999999</v>
      </c>
      <c r="Z4628">
        <v>-4.2175349999999997E-3</v>
      </c>
      <c r="AA4628">
        <v>0.94630800000000004</v>
      </c>
      <c r="AB4628">
        <v>32</v>
      </c>
      <c r="AC4628">
        <v>-6.3461000000000301</v>
      </c>
      <c r="AD4628">
        <v>-1.112552628994</v>
      </c>
      <c r="AE4628">
        <v>-3.3194000000000199</v>
      </c>
      <c r="AF4628">
        <v>-2.3676737256334399</v>
      </c>
      <c r="AG4628">
        <v>-1.112552628994</v>
      </c>
      <c r="AH4628">
        <v>6.5800294604898797</v>
      </c>
      <c r="AI4628">
        <v>99.039665612243496</v>
      </c>
      <c r="AJ4628">
        <v>109.790112226707</v>
      </c>
      <c r="AK4628">
        <v>7.0809914506551399</v>
      </c>
      <c r="AL4628">
        <v>84.403816616665594</v>
      </c>
      <c r="AM4628">
        <v>98.548379328776406</v>
      </c>
      <c r="AN4628">
        <v>0.99999994943890302</v>
      </c>
    </row>
    <row r="4629" spans="1:40" x14ac:dyDescent="0.25">
      <c r="A4629" t="str">
        <f>"20190312151120358"</f>
        <v>20190312151120358</v>
      </c>
      <c r="B4629" t="str">
        <f>"1552374680356050"</f>
        <v>1552374680356050</v>
      </c>
      <c r="C4629" t="s">
        <v>40</v>
      </c>
      <c r="D4629">
        <v>4.635491</v>
      </c>
      <c r="E4629">
        <v>0.43320039999999999</v>
      </c>
      <c r="F4629" t="s">
        <v>42</v>
      </c>
      <c r="G4629">
        <v>-393.13709999999998</v>
      </c>
      <c r="H4629" s="1">
        <v>-3.4031500000000002E-6</v>
      </c>
      <c r="I4629">
        <v>136.9289</v>
      </c>
      <c r="J4629">
        <v>-386.4898</v>
      </c>
      <c r="K4629">
        <v>1.1125529999999999</v>
      </c>
      <c r="L4629">
        <v>140.4102</v>
      </c>
      <c r="M4629">
        <v>-0.99022330000000003</v>
      </c>
      <c r="N4629">
        <v>0</v>
      </c>
      <c r="O4629">
        <v>-0.13901479999999999</v>
      </c>
      <c r="P4629">
        <v>-0.95509650000000001</v>
      </c>
      <c r="Q4629">
        <v>8.7729039999999994E-2</v>
      </c>
      <c r="R4629">
        <v>-0.2830105</v>
      </c>
      <c r="S4629">
        <v>-2.767395</v>
      </c>
      <c r="T4629">
        <v>-0.4424709</v>
      </c>
      <c r="U4629">
        <v>-1.402695</v>
      </c>
      <c r="V4629">
        <v>-0.1480969</v>
      </c>
      <c r="W4629">
        <v>9.8167669999999999E-2</v>
      </c>
      <c r="X4629">
        <v>0.98408859999999998</v>
      </c>
      <c r="Y4629">
        <v>-0.32188489999999997</v>
      </c>
      <c r="Z4629">
        <v>-3.5073109999999999E-3</v>
      </c>
      <c r="AA4629">
        <v>0.94677230000000001</v>
      </c>
      <c r="AB4629">
        <v>32</v>
      </c>
      <c r="AC4629">
        <v>-6.6472999999999702</v>
      </c>
      <c r="AD4629">
        <v>-1.1125564031499999</v>
      </c>
      <c r="AE4629">
        <v>-3.4813000000000001</v>
      </c>
      <c r="AF4629">
        <v>-2.46908066670222</v>
      </c>
      <c r="AG4629">
        <v>-1.1125564031499999</v>
      </c>
      <c r="AH4629">
        <v>6.9147253300763003</v>
      </c>
      <c r="AI4629">
        <v>98.616276832070795</v>
      </c>
      <c r="AJ4629">
        <v>109.650413490004</v>
      </c>
      <c r="AK4629">
        <v>7.4261408200539503</v>
      </c>
      <c r="AL4629">
        <v>84.366333364595704</v>
      </c>
      <c r="AM4629">
        <v>98.558300861338495</v>
      </c>
      <c r="AN4629">
        <v>0.99999997793639905</v>
      </c>
    </row>
    <row r="4630" spans="1:40" x14ac:dyDescent="0.25">
      <c r="A4630" t="str">
        <f>"20190312151120381"</f>
        <v>20190312151120381</v>
      </c>
      <c r="B4630" t="str">
        <f>"1552374680375570"</f>
        <v>1552374680375570</v>
      </c>
      <c r="C4630" t="s">
        <v>40</v>
      </c>
      <c r="D4630">
        <v>4.7114929999999999</v>
      </c>
      <c r="E4630">
        <v>0.43383959999999999</v>
      </c>
      <c r="F4630" t="s">
        <v>42</v>
      </c>
      <c r="G4630">
        <v>-393.38819999999998</v>
      </c>
      <c r="H4630" s="1">
        <v>-3.3011679999999998E-6</v>
      </c>
      <c r="I4630">
        <v>136.89660000000001</v>
      </c>
      <c r="J4630">
        <v>-386.80759999999998</v>
      </c>
      <c r="K4630">
        <v>1.112555</v>
      </c>
      <c r="L4630">
        <v>140.36250000000001</v>
      </c>
      <c r="M4630">
        <v>-0.98979919999999999</v>
      </c>
      <c r="N4630">
        <v>0</v>
      </c>
      <c r="O4630">
        <v>-0.1420015</v>
      </c>
      <c r="P4630">
        <v>-0.95414149999999998</v>
      </c>
      <c r="Q4630">
        <v>8.7440619999999997E-2</v>
      </c>
      <c r="R4630">
        <v>-0.28630080000000002</v>
      </c>
      <c r="S4630">
        <v>-2.7647710000000001</v>
      </c>
      <c r="T4630">
        <v>-0.44589669999999998</v>
      </c>
      <c r="U4630">
        <v>-1.408188</v>
      </c>
      <c r="V4630">
        <v>-0.14851549999999999</v>
      </c>
      <c r="W4630">
        <v>9.7876790000000005E-2</v>
      </c>
      <c r="X4630">
        <v>0.98405450000000005</v>
      </c>
      <c r="Y4630">
        <v>-0.32089869999999998</v>
      </c>
      <c r="Z4630">
        <v>-3.0211249999999999E-3</v>
      </c>
      <c r="AA4630">
        <v>0.94710870000000003</v>
      </c>
      <c r="AB4630">
        <v>32</v>
      </c>
      <c r="AC4630">
        <v>-6.5805999999999996</v>
      </c>
      <c r="AD4630">
        <v>-1.112558301168</v>
      </c>
      <c r="AE4630">
        <v>-3.4659</v>
      </c>
      <c r="AF4630">
        <v>-2.4416216028160802</v>
      </c>
      <c r="AG4630">
        <v>-1.112558301168</v>
      </c>
      <c r="AH4630">
        <v>6.8527622879646604</v>
      </c>
      <c r="AI4630">
        <v>98.695123809537506</v>
      </c>
      <c r="AJ4630">
        <v>109.610852806111</v>
      </c>
      <c r="AK4630">
        <v>7.3593242217058599</v>
      </c>
      <c r="AL4630">
        <v>84.383080274811306</v>
      </c>
      <c r="AM4630">
        <v>98.582424394623899</v>
      </c>
      <c r="AN4630">
        <v>0.99999998936560197</v>
      </c>
    </row>
    <row r="4631" spans="1:40" x14ac:dyDescent="0.25">
      <c r="A4631" t="str">
        <f>"20190312151120403"</f>
        <v>20190312151120403</v>
      </c>
      <c r="B4631" t="str">
        <f>"1552374680396066"</f>
        <v>1552374680396066</v>
      </c>
      <c r="C4631" t="s">
        <v>40</v>
      </c>
      <c r="D4631">
        <v>4.698423</v>
      </c>
      <c r="E4631">
        <v>0.43430980000000002</v>
      </c>
      <c r="F4631" t="s">
        <v>42</v>
      </c>
      <c r="G4631">
        <v>-393.73840000000001</v>
      </c>
      <c r="H4631" s="1">
        <v>-3.1650850000000002E-6</v>
      </c>
      <c r="I4631">
        <v>136.8168</v>
      </c>
      <c r="J4631">
        <v>-387.11959999999999</v>
      </c>
      <c r="K4631">
        <v>1.11256</v>
      </c>
      <c r="L4631">
        <v>140.31469999999999</v>
      </c>
      <c r="M4631">
        <v>-0.98937410000000003</v>
      </c>
      <c r="N4631">
        <v>0</v>
      </c>
      <c r="O4631">
        <v>-0.14493349999999999</v>
      </c>
      <c r="P4631">
        <v>-0.953426</v>
      </c>
      <c r="Q4631">
        <v>8.7644260000000002E-2</v>
      </c>
      <c r="R4631">
        <v>-0.28861300000000001</v>
      </c>
      <c r="S4631">
        <v>-2.7609859999999999</v>
      </c>
      <c r="T4631">
        <v>-0.44320549999999997</v>
      </c>
      <c r="U4631">
        <v>-1.412445</v>
      </c>
      <c r="V4631">
        <v>-0.1479887</v>
      </c>
      <c r="W4631">
        <v>9.808654E-2</v>
      </c>
      <c r="X4631">
        <v>0.98411300000000002</v>
      </c>
      <c r="Y4631">
        <v>-0.31983620000000001</v>
      </c>
      <c r="Z4631">
        <v>-2.4964010000000001E-3</v>
      </c>
      <c r="AA4631">
        <v>0.94746960000000002</v>
      </c>
      <c r="AB4631">
        <v>32</v>
      </c>
      <c r="AC4631">
        <v>-6.6188000000000198</v>
      </c>
      <c r="AD4631">
        <v>-1.1125631650849901</v>
      </c>
      <c r="AE4631">
        <v>-3.49789999999998</v>
      </c>
      <c r="AF4631">
        <v>-2.4475551193861098</v>
      </c>
      <c r="AG4631">
        <v>-1.1125631650849901</v>
      </c>
      <c r="AH4631">
        <v>6.9034312306912398</v>
      </c>
      <c r="AI4631">
        <v>98.637017892175805</v>
      </c>
      <c r="AJ4631">
        <v>109.521545629004</v>
      </c>
      <c r="AK4631">
        <v>7.4084874040265696</v>
      </c>
      <c r="AL4631">
        <v>84.371004498902195</v>
      </c>
      <c r="AM4631">
        <v>98.551931729179003</v>
      </c>
      <c r="AN4631">
        <v>1.0000000107129301</v>
      </c>
    </row>
    <row r="4632" spans="1:40" x14ac:dyDescent="0.25">
      <c r="A4632" t="str">
        <f>"20190312151120426"</f>
        <v>20190312151120426</v>
      </c>
      <c r="B4632" t="str">
        <f>"1552374680415591"</f>
        <v>1552374680415591</v>
      </c>
      <c r="C4632" t="s">
        <v>40</v>
      </c>
      <c r="D4632">
        <v>4.6531969999999996</v>
      </c>
      <c r="E4632">
        <v>0.43459179999999997</v>
      </c>
      <c r="F4632" t="s">
        <v>42</v>
      </c>
      <c r="G4632">
        <v>-394.10860000000002</v>
      </c>
      <c r="H4632" s="1">
        <v>-3.022483E-6</v>
      </c>
      <c r="I4632">
        <v>136.7253</v>
      </c>
      <c r="J4632">
        <v>-387.44310000000002</v>
      </c>
      <c r="K4632">
        <v>1.1125689999999999</v>
      </c>
      <c r="L4632">
        <v>140.26410000000001</v>
      </c>
      <c r="M4632">
        <v>-0.98892409999999997</v>
      </c>
      <c r="N4632">
        <v>0</v>
      </c>
      <c r="O4632">
        <v>-0.14797189999999999</v>
      </c>
      <c r="P4632">
        <v>-0.95261249999999997</v>
      </c>
      <c r="Q4632">
        <v>8.772336E-2</v>
      </c>
      <c r="R4632">
        <v>-0.29126360000000001</v>
      </c>
      <c r="S4632">
        <v>-2.7581479999999998</v>
      </c>
      <c r="T4632">
        <v>-0.43906519999999999</v>
      </c>
      <c r="U4632">
        <v>-1.4164730000000001</v>
      </c>
      <c r="V4632">
        <v>-0.14770449999999999</v>
      </c>
      <c r="W4632">
        <v>9.8175280000000004E-2</v>
      </c>
      <c r="X4632">
        <v>0.98414679999999999</v>
      </c>
      <c r="Y4632">
        <v>-0.3184921</v>
      </c>
      <c r="Z4632">
        <v>-1.9336900000000001E-3</v>
      </c>
      <c r="AA4632">
        <v>0.94792350000000003</v>
      </c>
      <c r="AB4632">
        <v>32</v>
      </c>
      <c r="AC4632">
        <v>-6.6654999999999998</v>
      </c>
      <c r="AD4632">
        <v>-1.112572022483</v>
      </c>
      <c r="AE4632">
        <v>-3.5388000000000002</v>
      </c>
      <c r="AF4632">
        <v>-2.4599990489227399</v>
      </c>
      <c r="AG4632">
        <v>-1.112572022483</v>
      </c>
      <c r="AH4632">
        <v>6.9644238760231003</v>
      </c>
      <c r="AI4632">
        <v>98.566068148452203</v>
      </c>
      <c r="AJ4632">
        <v>109.45442408072</v>
      </c>
      <c r="AK4632">
        <v>7.4694452103776303</v>
      </c>
      <c r="AL4632">
        <v>84.365895150983306</v>
      </c>
      <c r="AM4632">
        <v>98.535461768410499</v>
      </c>
      <c r="AN4632">
        <v>0.99999996443678296</v>
      </c>
    </row>
    <row r="4633" spans="1:40" x14ac:dyDescent="0.25">
      <c r="A4633" t="str">
        <f>"20190312151120447"</f>
        <v>20190312151120447</v>
      </c>
      <c r="B4633" t="str">
        <f>"1552374680436082"</f>
        <v>1552374680436082</v>
      </c>
      <c r="C4633" t="s">
        <v>40</v>
      </c>
      <c r="D4633">
        <v>5.0140419999999999</v>
      </c>
      <c r="E4633">
        <v>0.43463849999999998</v>
      </c>
      <c r="F4633" t="s">
        <v>42</v>
      </c>
      <c r="G4633">
        <v>-394.46570000000003</v>
      </c>
      <c r="H4633" s="1">
        <v>-2.8849160000000001E-6</v>
      </c>
      <c r="I4633">
        <v>136.63730000000001</v>
      </c>
      <c r="J4633">
        <v>-387.74829999999997</v>
      </c>
      <c r="K4633">
        <v>1.112574</v>
      </c>
      <c r="L4633">
        <v>140.21549999999999</v>
      </c>
      <c r="M4633">
        <v>-0.9884906</v>
      </c>
      <c r="N4633">
        <v>0</v>
      </c>
      <c r="O4633">
        <v>-0.15084049999999999</v>
      </c>
      <c r="P4633">
        <v>-0.95185799999999998</v>
      </c>
      <c r="Q4633">
        <v>8.7438940000000007E-2</v>
      </c>
      <c r="R4633">
        <v>-0.29380479999999998</v>
      </c>
      <c r="S4633">
        <v>-2.754486</v>
      </c>
      <c r="T4633">
        <v>-0.43638490000000002</v>
      </c>
      <c r="U4633">
        <v>-1.4225159999999999</v>
      </c>
      <c r="V4633">
        <v>-0.1474705</v>
      </c>
      <c r="W4633">
        <v>9.7901929999999998E-2</v>
      </c>
      <c r="X4633">
        <v>0.98420920000000001</v>
      </c>
      <c r="Y4633">
        <v>-0.31795030000000002</v>
      </c>
      <c r="Z4633">
        <v>-1.4698230000000001E-3</v>
      </c>
      <c r="AA4633">
        <v>0.94810620000000001</v>
      </c>
      <c r="AB4633">
        <v>32</v>
      </c>
      <c r="AC4633">
        <v>-6.7174000000000502</v>
      </c>
      <c r="AD4633">
        <v>-1.112576884916</v>
      </c>
      <c r="AE4633">
        <v>-3.5781999999999798</v>
      </c>
      <c r="AF4633">
        <v>-2.4711246847315902</v>
      </c>
      <c r="AG4633">
        <v>-1.112576884916</v>
      </c>
      <c r="AH4633">
        <v>7.0300794176949903</v>
      </c>
      <c r="AI4633">
        <v>98.491775171888406</v>
      </c>
      <c r="AJ4633">
        <v>109.366950423951</v>
      </c>
      <c r="AK4633">
        <v>7.5343414543965199</v>
      </c>
      <c r="AL4633">
        <v>84.381633208905697</v>
      </c>
      <c r="AM4633">
        <v>98.521605844274305</v>
      </c>
      <c r="AN4633">
        <v>1.0000000428163001</v>
      </c>
    </row>
    <row r="4634" spans="1:40" x14ac:dyDescent="0.25">
      <c r="A4634" t="str">
        <f>"20190312151120471"</f>
        <v>20190312151120471</v>
      </c>
      <c r="B4634" t="str">
        <f>"1552374680466338"</f>
        <v>1552374680466338</v>
      </c>
      <c r="C4634" t="s">
        <v>40</v>
      </c>
      <c r="D4634">
        <v>4.6586369999999997</v>
      </c>
      <c r="E4634">
        <v>0.43475940000000002</v>
      </c>
      <c r="F4634" t="s">
        <v>42</v>
      </c>
      <c r="G4634">
        <v>-394.76710000000003</v>
      </c>
      <c r="H4634" s="1">
        <v>-2.767848E-6</v>
      </c>
      <c r="I4634">
        <v>136.56829999999999</v>
      </c>
      <c r="J4634">
        <v>-388.08</v>
      </c>
      <c r="K4634">
        <v>1.112571</v>
      </c>
      <c r="L4634">
        <v>140.16159999999999</v>
      </c>
      <c r="M4634">
        <v>-0.98800980000000005</v>
      </c>
      <c r="N4634">
        <v>0</v>
      </c>
      <c r="O4634">
        <v>-0.15395780000000001</v>
      </c>
      <c r="P4634">
        <v>-0.95103130000000002</v>
      </c>
      <c r="Q4634">
        <v>8.6670109999999995E-2</v>
      </c>
      <c r="R4634">
        <v>-0.2966953</v>
      </c>
      <c r="S4634">
        <v>-2.7505799999999998</v>
      </c>
      <c r="T4634">
        <v>-0.43600650000000002</v>
      </c>
      <c r="U4634">
        <v>-1.42926</v>
      </c>
      <c r="V4634">
        <v>-0.14734069999999999</v>
      </c>
      <c r="W4634">
        <v>9.714594E-2</v>
      </c>
      <c r="X4634">
        <v>0.9843035</v>
      </c>
      <c r="Y4634">
        <v>-0.31737919999999997</v>
      </c>
      <c r="Z4634">
        <v>-9.7855929999999896E-4</v>
      </c>
      <c r="AA4634">
        <v>0.94829819999999998</v>
      </c>
      <c r="AB4634">
        <v>32</v>
      </c>
      <c r="AC4634">
        <v>-6.68710000000004</v>
      </c>
      <c r="AD4634">
        <v>-1.1125737678480001</v>
      </c>
      <c r="AE4634">
        <v>-3.5933000000000002</v>
      </c>
      <c r="AF4634">
        <v>-2.46784578630982</v>
      </c>
      <c r="AG4634">
        <v>-1.1125737678480001</v>
      </c>
      <c r="AH4634">
        <v>7.01004600146093</v>
      </c>
      <c r="AI4634">
        <v>98.514254403080599</v>
      </c>
      <c r="AJ4634">
        <v>109.394319942545</v>
      </c>
      <c r="AK4634">
        <v>7.51457438292476</v>
      </c>
      <c r="AL4634">
        <v>84.425155456768294</v>
      </c>
      <c r="AM4634">
        <v>98.513411570261496</v>
      </c>
      <c r="AN4634">
        <v>0.99999999782361104</v>
      </c>
    </row>
    <row r="4635" spans="1:40" x14ac:dyDescent="0.25">
      <c r="A4635" t="str">
        <f>"20190312151120493"</f>
        <v>20190312151120493</v>
      </c>
      <c r="B4635" t="str">
        <f>"1552374680485858"</f>
        <v>1552374680485858</v>
      </c>
      <c r="C4635" t="s">
        <v>40</v>
      </c>
      <c r="D4635">
        <v>4.6563109999999996</v>
      </c>
      <c r="E4635">
        <v>0.43491469999999999</v>
      </c>
      <c r="F4635" t="s">
        <v>42</v>
      </c>
      <c r="G4635">
        <v>-395.0847</v>
      </c>
      <c r="H4635" s="1">
        <v>-2.644168E-6</v>
      </c>
      <c r="I4635">
        <v>136.4974</v>
      </c>
      <c r="J4635">
        <v>-388.3904</v>
      </c>
      <c r="K4635">
        <v>1.1125689999999999</v>
      </c>
      <c r="L4635">
        <v>140.1103</v>
      </c>
      <c r="M4635">
        <v>-0.98755079999999995</v>
      </c>
      <c r="N4635">
        <v>0</v>
      </c>
      <c r="O4635">
        <v>-0.15687400000000001</v>
      </c>
      <c r="P4635">
        <v>-0.95020959999999999</v>
      </c>
      <c r="Q4635">
        <v>8.6228639999999995E-2</v>
      </c>
      <c r="R4635">
        <v>-0.29944399999999999</v>
      </c>
      <c r="S4635">
        <v>-2.7460939999999998</v>
      </c>
      <c r="T4635">
        <v>-0.43617030000000001</v>
      </c>
      <c r="U4635">
        <v>-1.436493</v>
      </c>
      <c r="V4635">
        <v>-0.14727229999999999</v>
      </c>
      <c r="W4635">
        <v>9.6714069999999999E-2</v>
      </c>
      <c r="X4635">
        <v>0.98435629999999996</v>
      </c>
      <c r="Y4635">
        <v>-0.31720479999999901</v>
      </c>
      <c r="Z4635">
        <v>-5.4707559999999896E-4</v>
      </c>
      <c r="AA4635">
        <v>0.94835689999999995</v>
      </c>
      <c r="AB4635">
        <v>32</v>
      </c>
      <c r="AC4635">
        <v>-6.6942999999999904</v>
      </c>
      <c r="AD4635">
        <v>-1.112571644168</v>
      </c>
      <c r="AE4635">
        <v>-3.61289999999999</v>
      </c>
      <c r="AF4635">
        <v>-2.46519677058083</v>
      </c>
      <c r="AG4635">
        <v>-1.112571644168</v>
      </c>
      <c r="AH4635">
        <v>7.02788016598479</v>
      </c>
      <c r="AI4635">
        <v>98.496273769025606</v>
      </c>
      <c r="AJ4635">
        <v>109.329537678777</v>
      </c>
      <c r="AK4635">
        <v>7.5303459687142702</v>
      </c>
      <c r="AL4635">
        <v>84.450017051361499</v>
      </c>
      <c r="AM4635">
        <v>98.509067501958</v>
      </c>
      <c r="AN4635">
        <v>1.00000003351647</v>
      </c>
    </row>
    <row r="4636" spans="1:40" x14ac:dyDescent="0.25">
      <c r="A4636" t="str">
        <f>"20190312151120516"</f>
        <v>20190312151120516</v>
      </c>
      <c r="B4636" t="str">
        <f>"1552374680506357"</f>
        <v>1552374680506357</v>
      </c>
      <c r="C4636" t="s">
        <v>40</v>
      </c>
      <c r="D4636">
        <v>4.6663169999999896</v>
      </c>
      <c r="E4636">
        <v>0.43506260000000002</v>
      </c>
      <c r="F4636" t="s">
        <v>42</v>
      </c>
      <c r="G4636">
        <v>-395.38819999999998</v>
      </c>
      <c r="H4636" s="1">
        <v>-2.5265989999999998E-6</v>
      </c>
      <c r="I4636">
        <v>136.42619999999999</v>
      </c>
      <c r="J4636">
        <v>-388.70909999999998</v>
      </c>
      <c r="K4636">
        <v>1.112568</v>
      </c>
      <c r="L4636">
        <v>140.0565</v>
      </c>
      <c r="M4636">
        <v>-0.98707040000000001</v>
      </c>
      <c r="N4636">
        <v>0</v>
      </c>
      <c r="O4636">
        <v>-0.15986819999999999</v>
      </c>
      <c r="P4636">
        <v>-0.94929359999999996</v>
      </c>
      <c r="Q4636">
        <v>8.6057289999999995E-2</v>
      </c>
      <c r="R4636">
        <v>-0.30238399999999999</v>
      </c>
      <c r="S4636">
        <v>-2.7419129999999998</v>
      </c>
      <c r="T4636">
        <v>-0.43593559999999998</v>
      </c>
      <c r="U4636">
        <v>-1.443481</v>
      </c>
      <c r="V4636">
        <v>-0.147331399999999</v>
      </c>
      <c r="W4636">
        <v>9.6551289999999998E-2</v>
      </c>
      <c r="X4636">
        <v>0.9843634</v>
      </c>
      <c r="Y4636">
        <v>-0.31685089999999999</v>
      </c>
      <c r="Z4636" s="1">
        <v>-9.0179960000000005E-5</v>
      </c>
      <c r="AA4636">
        <v>0.94847539999999997</v>
      </c>
      <c r="AB4636">
        <v>32</v>
      </c>
      <c r="AC4636">
        <v>-6.6791</v>
      </c>
      <c r="AD4636">
        <v>-1.112570526599</v>
      </c>
      <c r="AE4636">
        <v>-3.6303000000000001</v>
      </c>
      <c r="AF4636">
        <v>-2.4629989093368199</v>
      </c>
      <c r="AG4636">
        <v>-1.112570526599</v>
      </c>
      <c r="AH4636">
        <v>7.0231611211863898</v>
      </c>
      <c r="AI4636">
        <v>98.502092942804595</v>
      </c>
      <c r="AJ4636">
        <v>109.325596383172</v>
      </c>
      <c r="AK4636">
        <v>7.5252221853042496</v>
      </c>
      <c r="AL4636">
        <v>84.459387314143797</v>
      </c>
      <c r="AM4636">
        <v>98.512371653429895</v>
      </c>
      <c r="AN4636">
        <v>0.99999999814309204</v>
      </c>
    </row>
    <row r="4637" spans="1:40" x14ac:dyDescent="0.25">
      <c r="A4637" t="str">
        <f>"20190312151120537"</f>
        <v>20190312151120537</v>
      </c>
      <c r="B4637" t="str">
        <f>"1552374680525874"</f>
        <v>1552374680525874</v>
      </c>
      <c r="C4637" t="s">
        <v>40</v>
      </c>
      <c r="D4637">
        <v>4.6440479999999997</v>
      </c>
      <c r="E4637">
        <v>0.43514380000000003</v>
      </c>
      <c r="F4637" t="s">
        <v>42</v>
      </c>
      <c r="G4637">
        <v>-395.7029</v>
      </c>
      <c r="H4637" s="1">
        <v>-2.4053129999999998E-6</v>
      </c>
      <c r="I4637">
        <v>136.34880000000001</v>
      </c>
      <c r="J4637">
        <v>-389.00959999999998</v>
      </c>
      <c r="K4637">
        <v>1.1125659999999999</v>
      </c>
      <c r="L4637">
        <v>140.005</v>
      </c>
      <c r="M4637">
        <v>-0.98660919999999996</v>
      </c>
      <c r="N4637">
        <v>0</v>
      </c>
      <c r="O4637">
        <v>-0.16269029999999901</v>
      </c>
      <c r="P4637">
        <v>-0.9484013</v>
      </c>
      <c r="Q4637">
        <v>8.5780960000000003E-2</v>
      </c>
      <c r="R4637">
        <v>-0.3052492</v>
      </c>
      <c r="S4637">
        <v>-2.737457</v>
      </c>
      <c r="T4637">
        <v>-0.43547419999999998</v>
      </c>
      <c r="U4637">
        <v>-1.4512179999999999</v>
      </c>
      <c r="V4637">
        <v>-0.14748359999999999</v>
      </c>
      <c r="W4637">
        <v>9.6282179999999995E-2</v>
      </c>
      <c r="X4637">
        <v>0.98436699999999999</v>
      </c>
      <c r="Y4637">
        <v>-0.31689919999999999</v>
      </c>
      <c r="Z4637">
        <v>3.1157020000000001E-4</v>
      </c>
      <c r="AA4637">
        <v>0.9484591</v>
      </c>
      <c r="AB4637">
        <v>32</v>
      </c>
      <c r="AC4637">
        <v>-6.6933000000000202</v>
      </c>
      <c r="AD4637">
        <v>-1.1125684053129901</v>
      </c>
      <c r="AE4637">
        <v>-3.6561999999999801</v>
      </c>
      <c r="AF4637">
        <v>-2.4659983981937201</v>
      </c>
      <c r="AG4637">
        <v>-1.1125684053129901</v>
      </c>
      <c r="AH4637">
        <v>7.0489811728718799</v>
      </c>
      <c r="AI4637">
        <v>98.473624834155402</v>
      </c>
      <c r="AJ4637">
        <v>109.28175454779399</v>
      </c>
      <c r="AK4637">
        <v>7.5503041085705203</v>
      </c>
      <c r="AL4637">
        <v>84.474878533095094</v>
      </c>
      <c r="AM4637">
        <v>98.521005586706806</v>
      </c>
      <c r="AN4637">
        <v>1.00000003057175</v>
      </c>
    </row>
    <row r="4638" spans="1:40" x14ac:dyDescent="0.25">
      <c r="A4638" t="str">
        <f>"20190312151120560"</f>
        <v>20190312151120560</v>
      </c>
      <c r="B4638" t="str">
        <f>"1552374680556130"</f>
        <v>1552374680556130</v>
      </c>
      <c r="C4638" t="s">
        <v>40</v>
      </c>
      <c r="D4638">
        <v>4.6906220000000003</v>
      </c>
      <c r="E4638">
        <v>0.43525659999999999</v>
      </c>
      <c r="F4638" t="s">
        <v>42</v>
      </c>
      <c r="G4638">
        <v>-395.99560000000002</v>
      </c>
      <c r="H4638" s="1">
        <v>-2.2928509999999998E-6</v>
      </c>
      <c r="I4638">
        <v>136.27500000000001</v>
      </c>
      <c r="J4638">
        <v>-389.3261</v>
      </c>
      <c r="K4638">
        <v>1.1125640000000001</v>
      </c>
      <c r="L4638">
        <v>139.94970000000001</v>
      </c>
      <c r="M4638">
        <v>-0.98611409999999999</v>
      </c>
      <c r="N4638">
        <v>0</v>
      </c>
      <c r="O4638">
        <v>-0.1656638</v>
      </c>
      <c r="P4638">
        <v>-0.94745919999999895</v>
      </c>
      <c r="Q4638">
        <v>8.6280899999999994E-2</v>
      </c>
      <c r="R4638">
        <v>-0.30802069999999998</v>
      </c>
      <c r="S4638">
        <v>-2.732971</v>
      </c>
      <c r="T4638">
        <v>-0.43524239999999997</v>
      </c>
      <c r="U4638">
        <v>-1.459152</v>
      </c>
      <c r="V4638">
        <v>-0.14740500000000001</v>
      </c>
      <c r="W4638">
        <v>9.6790009999999996E-2</v>
      </c>
      <c r="X4638">
        <v>0.98432889999999995</v>
      </c>
      <c r="Y4638">
        <v>-0.31685990000000003</v>
      </c>
      <c r="Z4638">
        <v>7.4140169999999995E-4</v>
      </c>
      <c r="AA4638">
        <v>0.94847210000000004</v>
      </c>
      <c r="AB4638">
        <v>32</v>
      </c>
      <c r="AC4638">
        <v>-6.6695000000000197</v>
      </c>
      <c r="AD4638">
        <v>-1.1125662928509901</v>
      </c>
      <c r="AE4638">
        <v>-3.6747000000000001</v>
      </c>
      <c r="AF4638">
        <v>-2.4663007138099098</v>
      </c>
      <c r="AG4638">
        <v>-1.1125662928509901</v>
      </c>
      <c r="AH4638">
        <v>7.0359416784683697</v>
      </c>
      <c r="AI4638">
        <v>98.487280508583197</v>
      </c>
      <c r="AJ4638">
        <v>109.317037085522</v>
      </c>
      <c r="AK4638">
        <v>7.5382304468446604</v>
      </c>
      <c r="AL4638">
        <v>84.445645100906106</v>
      </c>
      <c r="AM4638">
        <v>98.516855820113904</v>
      </c>
      <c r="AN4638">
        <v>0.99999996171800398</v>
      </c>
    </row>
    <row r="4639" spans="1:40" x14ac:dyDescent="0.25">
      <c r="A4639" t="str">
        <f>"20190312151120604"</f>
        <v>20190312151120604</v>
      </c>
      <c r="B4639" t="str">
        <f>"1552374680596146"</f>
        <v>1552374680596146</v>
      </c>
      <c r="C4639" t="s">
        <v>40</v>
      </c>
      <c r="D4639">
        <v>5.0286809999999997</v>
      </c>
      <c r="E4639">
        <v>0.43519560000000002</v>
      </c>
      <c r="F4639" t="s">
        <v>42</v>
      </c>
      <c r="G4639">
        <v>-396.3297</v>
      </c>
      <c r="H4639" s="1">
        <v>-2.1653639999999999E-6</v>
      </c>
      <c r="I4639">
        <v>136.1858</v>
      </c>
      <c r="J4639">
        <v>-389.95589999999999</v>
      </c>
      <c r="K4639">
        <v>1.112576</v>
      </c>
      <c r="L4639">
        <v>139.83670000000001</v>
      </c>
      <c r="M4639">
        <v>-0.98510160000000002</v>
      </c>
      <c r="N4639">
        <v>0</v>
      </c>
      <c r="O4639">
        <v>-0.17157979999999901</v>
      </c>
      <c r="P4639">
        <v>-0.9455578</v>
      </c>
      <c r="Q4639">
        <v>8.591588E-2</v>
      </c>
      <c r="R4639">
        <v>-0.31390899999999999</v>
      </c>
      <c r="S4639">
        <v>-2.7290040000000002</v>
      </c>
      <c r="T4639">
        <v>-0.4335234</v>
      </c>
      <c r="U4639">
        <v>-1.466599</v>
      </c>
      <c r="V4639">
        <v>-0.14761279999999999</v>
      </c>
      <c r="W4639">
        <v>9.643736E-2</v>
      </c>
      <c r="X4639">
        <v>0.9843324</v>
      </c>
      <c r="Y4639">
        <v>-0.31384630000000002</v>
      </c>
      <c r="Z4639">
        <v>1.808919E-3</v>
      </c>
      <c r="AA4639">
        <v>0.94947210000000004</v>
      </c>
      <c r="AB4639">
        <v>32</v>
      </c>
      <c r="AC4639">
        <v>-6.3738000000000099</v>
      </c>
      <c r="AD4639">
        <v>-1.1125781653639999</v>
      </c>
      <c r="AE4639">
        <v>-3.6509</v>
      </c>
      <c r="AF4639">
        <v>-2.4469236248598598</v>
      </c>
      <c r="AG4639">
        <v>-1.1125781653639999</v>
      </c>
      <c r="AH4639">
        <v>6.7508491166264299</v>
      </c>
      <c r="AI4639">
        <v>98.807468378479399</v>
      </c>
      <c r="AJ4639">
        <v>109.92363640711601</v>
      </c>
      <c r="AK4639">
        <v>7.2663078103943501</v>
      </c>
      <c r="AL4639">
        <v>84.465945572417695</v>
      </c>
      <c r="AM4639">
        <v>98.528655887379301</v>
      </c>
      <c r="AN4639">
        <v>0.99999998840868398</v>
      </c>
    </row>
    <row r="4640" spans="1:40" x14ac:dyDescent="0.25">
      <c r="A4640" t="str">
        <f>"20190312151120627"</f>
        <v>20190312151120627</v>
      </c>
      <c r="B4640" t="str">
        <f>"1552374680615666"</f>
        <v>1552374680615666</v>
      </c>
      <c r="C4640" t="s">
        <v>40</v>
      </c>
      <c r="D4640">
        <v>4.6896199999999997</v>
      </c>
      <c r="E4640">
        <v>0.43529400000000001</v>
      </c>
      <c r="F4640" t="s">
        <v>42</v>
      </c>
      <c r="G4640">
        <v>-396.86470000000003</v>
      </c>
      <c r="H4640" s="1">
        <v>-1.9974990000000001E-6</v>
      </c>
      <c r="I4640">
        <v>136.06649999999999</v>
      </c>
      <c r="J4640">
        <v>-390.27300000000002</v>
      </c>
      <c r="K4640">
        <v>1.1125780000000001</v>
      </c>
      <c r="L4640">
        <v>139.7783</v>
      </c>
      <c r="M4640">
        <v>-0.98457819999999996</v>
      </c>
      <c r="N4640">
        <v>0</v>
      </c>
      <c r="O4640">
        <v>-0.17455850000000001</v>
      </c>
      <c r="P4640">
        <v>-0.94456370000000001</v>
      </c>
      <c r="Q4640">
        <v>8.570034E-2</v>
      </c>
      <c r="R4640">
        <v>-0.31694640000000002</v>
      </c>
      <c r="S4640">
        <v>-2.7198180000000001</v>
      </c>
      <c r="T4640">
        <v>-0.43799650000000001</v>
      </c>
      <c r="U4640">
        <v>-1.4842070000000001</v>
      </c>
      <c r="V4640">
        <v>-0.14779510000000001</v>
      </c>
      <c r="W4640">
        <v>9.6226649999999997E-2</v>
      </c>
      <c r="X4640">
        <v>0.98432560000000002</v>
      </c>
      <c r="Y4640">
        <v>-0.31702720000000001</v>
      </c>
      <c r="Z4640">
        <v>2.0198920000000001E-3</v>
      </c>
      <c r="AA4640">
        <v>0.94841430000000004</v>
      </c>
      <c r="AB4640">
        <v>32</v>
      </c>
      <c r="AC4640">
        <v>-6.5917000000000003</v>
      </c>
      <c r="AD4640">
        <v>-1.1125799974990001</v>
      </c>
      <c r="AE4640">
        <v>-3.71180000000001</v>
      </c>
      <c r="AF4640">
        <v>-2.45107283449466</v>
      </c>
      <c r="AG4640">
        <v>-1.1125799974990001</v>
      </c>
      <c r="AH4640">
        <v>6.9873177094077104</v>
      </c>
      <c r="AI4640">
        <v>98.544893862693698</v>
      </c>
      <c r="AJ4640">
        <v>109.33029933119199</v>
      </c>
      <c r="AK4640">
        <v>7.48787026216635</v>
      </c>
      <c r="AL4640">
        <v>84.478074415357</v>
      </c>
      <c r="AM4640">
        <v>98.539091614326296</v>
      </c>
      <c r="AN4640">
        <v>0.99999992328479304</v>
      </c>
    </row>
    <row r="4641" spans="1:40" x14ac:dyDescent="0.25">
      <c r="A4641" t="str">
        <f>"20190312151120649"</f>
        <v>20190312151120649</v>
      </c>
      <c r="B4641" t="str">
        <f>"1552374680645922"</f>
        <v>1552374680645922</v>
      </c>
      <c r="C4641" t="s">
        <v>40</v>
      </c>
      <c r="D4641">
        <v>4.9701579999999996</v>
      </c>
      <c r="E4641">
        <v>0.43535800000000002</v>
      </c>
      <c r="F4641" t="s">
        <v>42</v>
      </c>
      <c r="G4641">
        <v>-397.1574</v>
      </c>
      <c r="H4641" s="1">
        <v>-1.916906E-6</v>
      </c>
      <c r="I4641">
        <v>135.995</v>
      </c>
      <c r="J4641">
        <v>-390.58760000000001</v>
      </c>
      <c r="K4641">
        <v>1.112579</v>
      </c>
      <c r="L4641">
        <v>139.71950000000001</v>
      </c>
      <c r="M4641">
        <v>-0.98404959999999997</v>
      </c>
      <c r="N4641">
        <v>0</v>
      </c>
      <c r="O4641">
        <v>-0.17751359999999999</v>
      </c>
      <c r="P4641">
        <v>-0.9433764</v>
      </c>
      <c r="Q4641">
        <v>8.5943019999999995E-2</v>
      </c>
      <c r="R4641">
        <v>-0.3203974</v>
      </c>
      <c r="S4641">
        <v>-2.7152400000000001</v>
      </c>
      <c r="T4641">
        <v>-0.43881029999999999</v>
      </c>
      <c r="U4641">
        <v>-1.4921260000000001</v>
      </c>
      <c r="V4641">
        <v>-0.14844540000000001</v>
      </c>
      <c r="W4641">
        <v>9.6469180000000002E-2</v>
      </c>
      <c r="X4641">
        <v>0.98420410000000003</v>
      </c>
      <c r="Y4641">
        <v>-0.31700289999999998</v>
      </c>
      <c r="Z4641">
        <v>2.4542029999999999E-3</v>
      </c>
      <c r="AA4641">
        <v>0.94842139999999997</v>
      </c>
      <c r="AB4641">
        <v>32</v>
      </c>
      <c r="AC4641">
        <v>-6.5697999999999803</v>
      </c>
      <c r="AD4641">
        <v>-1.1125809169059999</v>
      </c>
      <c r="AE4641">
        <v>-3.7244999999999999</v>
      </c>
      <c r="AF4641">
        <v>-2.4459475453532198</v>
      </c>
      <c r="AG4641">
        <v>-1.1125809169059999</v>
      </c>
      <c r="AH4641">
        <v>6.9752537959995298</v>
      </c>
      <c r="AI4641">
        <v>98.559798088560001</v>
      </c>
      <c r="AJ4641">
        <v>109.323764604844</v>
      </c>
      <c r="AK4641">
        <v>7.4749355321560298</v>
      </c>
      <c r="AL4641">
        <v>84.464114083451705</v>
      </c>
      <c r="AM4641">
        <v>98.577149197440207</v>
      </c>
      <c r="AN4641">
        <v>1.00000002496392</v>
      </c>
    </row>
    <row r="4642" spans="1:40" x14ac:dyDescent="0.25">
      <c r="A4642" t="str">
        <f>"20190312151120672"</f>
        <v>20190312151120672</v>
      </c>
      <c r="B4642" t="str">
        <f>"1552374680665858"</f>
        <v>1552374680665858</v>
      </c>
      <c r="C4642" t="s">
        <v>40</v>
      </c>
      <c r="D4642">
        <v>4.6886830000000002</v>
      </c>
      <c r="E4642">
        <v>0.4354478</v>
      </c>
      <c r="F4642" t="s">
        <v>42</v>
      </c>
      <c r="G4642">
        <v>-397.46699999999998</v>
      </c>
      <c r="H4642" s="1">
        <v>-1.8348420000000001E-6</v>
      </c>
      <c r="I4642">
        <v>135.9075</v>
      </c>
      <c r="J4642">
        <v>-390.91379999999998</v>
      </c>
      <c r="K4642">
        <v>1.112581</v>
      </c>
      <c r="L4642">
        <v>139.6574</v>
      </c>
      <c r="M4642">
        <v>-0.98349200000000003</v>
      </c>
      <c r="N4642">
        <v>0</v>
      </c>
      <c r="O4642">
        <v>-0.18057770000000001</v>
      </c>
      <c r="P4642">
        <v>-0.94217510000000004</v>
      </c>
      <c r="Q4642">
        <v>8.6351540000000004E-2</v>
      </c>
      <c r="R4642">
        <v>-0.32380510000000001</v>
      </c>
      <c r="S4642">
        <v>-2.7100219999999999</v>
      </c>
      <c r="T4642">
        <v>-0.43828420000000001</v>
      </c>
      <c r="U4642">
        <v>-1.501633</v>
      </c>
      <c r="V4642">
        <v>-0.14894679999999999</v>
      </c>
      <c r="W4642">
        <v>9.6877809999999995E-2</v>
      </c>
      <c r="X4642">
        <v>0.98408819999999997</v>
      </c>
      <c r="Y4642">
        <v>-0.3173975</v>
      </c>
      <c r="Z4642">
        <v>2.865823E-3</v>
      </c>
      <c r="AA4642">
        <v>0.94828829999999997</v>
      </c>
      <c r="AB4642">
        <v>32</v>
      </c>
      <c r="AC4642">
        <v>-6.5532000000000004</v>
      </c>
      <c r="AD4642">
        <v>-1.1125828348419999</v>
      </c>
      <c r="AE4642">
        <v>-3.74989999999999</v>
      </c>
      <c r="AF4642">
        <v>-2.45157041309339</v>
      </c>
      <c r="AG4642">
        <v>-1.1125828348419999</v>
      </c>
      <c r="AH4642">
        <v>6.9712742561618999</v>
      </c>
      <c r="AI4642">
        <v>98.561971414986502</v>
      </c>
      <c r="AJ4642">
        <v>109.375114856179</v>
      </c>
      <c r="AK4642">
        <v>7.4730651548990004</v>
      </c>
      <c r="AL4642">
        <v>84.440591116841304</v>
      </c>
      <c r="AM4642">
        <v>98.6066853174936</v>
      </c>
      <c r="AN4642">
        <v>1.0000000223399299</v>
      </c>
    </row>
    <row r="4643" spans="1:40" x14ac:dyDescent="0.25">
      <c r="A4643" t="str">
        <f>"20190312151120695"</f>
        <v>20190312151120695</v>
      </c>
      <c r="B4643" t="str">
        <f>"1552374680686329"</f>
        <v>1552374680686329</v>
      </c>
      <c r="C4643" t="s">
        <v>40</v>
      </c>
      <c r="D4643">
        <v>4.7110459999999996</v>
      </c>
      <c r="E4643">
        <v>0.43554920000000003</v>
      </c>
      <c r="F4643" t="s">
        <v>42</v>
      </c>
      <c r="G4643">
        <v>-397.79360000000003</v>
      </c>
      <c r="H4643" s="1">
        <v>-1.7484179999999999E-6</v>
      </c>
      <c r="I4643">
        <v>135.81460000000001</v>
      </c>
      <c r="J4643">
        <v>-391.22629999999998</v>
      </c>
      <c r="K4643">
        <v>1.1125830000000001</v>
      </c>
      <c r="L4643">
        <v>139.59700000000001</v>
      </c>
      <c r="M4643">
        <v>-0.98294840000000006</v>
      </c>
      <c r="N4643">
        <v>0</v>
      </c>
      <c r="O4643">
        <v>-0.1835125</v>
      </c>
      <c r="P4643">
        <v>-0.94117609999999996</v>
      </c>
      <c r="Q4643">
        <v>8.6121589999999998E-2</v>
      </c>
      <c r="R4643">
        <v>-0.3267584</v>
      </c>
      <c r="S4643">
        <v>-2.7049560000000001</v>
      </c>
      <c r="T4643">
        <v>-0.43744110000000003</v>
      </c>
      <c r="U4643">
        <v>-1.510864</v>
      </c>
      <c r="V4643">
        <v>-0.14909129999999901</v>
      </c>
      <c r="W4643">
        <v>9.6650949999999999E-2</v>
      </c>
      <c r="X4643">
        <v>0.98408859999999998</v>
      </c>
      <c r="Y4643">
        <v>-0.31781930000000003</v>
      </c>
      <c r="Z4643">
        <v>3.253564E-3</v>
      </c>
      <c r="AA4643">
        <v>0.94814569999999998</v>
      </c>
      <c r="AB4643">
        <v>32</v>
      </c>
      <c r="AC4643">
        <v>-6.5673000000000403</v>
      </c>
      <c r="AD4643">
        <v>-1.112584748418</v>
      </c>
      <c r="AE4643">
        <v>-3.7823999999999902</v>
      </c>
      <c r="AF4643">
        <v>-2.4598781392659901</v>
      </c>
      <c r="AG4643">
        <v>-1.112584748418</v>
      </c>
      <c r="AH4643">
        <v>6.9990772702405</v>
      </c>
      <c r="AI4643">
        <v>98.529027682460793</v>
      </c>
      <c r="AJ4643">
        <v>109.364407131302</v>
      </c>
      <c r="AK4643">
        <v>7.5017283286752097</v>
      </c>
      <c r="AL4643">
        <v>84.453650381229707</v>
      </c>
      <c r="AM4643">
        <v>98.6149063830605</v>
      </c>
      <c r="AN4643">
        <v>0.99999999726077604</v>
      </c>
    </row>
    <row r="4644" spans="1:40" x14ac:dyDescent="0.25">
      <c r="A4644" t="str">
        <f>"20190312151120717"</f>
        <v>20190312151120717</v>
      </c>
      <c r="B4644" t="str">
        <f>"1552374680705850"</f>
        <v>1552374680705850</v>
      </c>
      <c r="C4644" t="s">
        <v>40</v>
      </c>
      <c r="D4644">
        <v>4.8973930000000001</v>
      </c>
      <c r="E4644">
        <v>0.43559819999999999</v>
      </c>
      <c r="F4644" t="s">
        <v>42</v>
      </c>
      <c r="G4644">
        <v>-398.07900000000001</v>
      </c>
      <c r="H4644" s="1">
        <v>-1.6703510000000001E-6</v>
      </c>
      <c r="I4644">
        <v>135.74289999999999</v>
      </c>
      <c r="J4644">
        <v>-391.53699999999998</v>
      </c>
      <c r="K4644">
        <v>1.112584</v>
      </c>
      <c r="L4644">
        <v>139.5359</v>
      </c>
      <c r="M4644">
        <v>-0.98239889999999996</v>
      </c>
      <c r="N4644">
        <v>0</v>
      </c>
      <c r="O4644">
        <v>-0.18643119999999999</v>
      </c>
      <c r="P4644">
        <v>-0.9401022</v>
      </c>
      <c r="Q4644">
        <v>8.5844130000000005E-2</v>
      </c>
      <c r="R4644">
        <v>-0.32990730000000001</v>
      </c>
      <c r="S4644">
        <v>-2.7003780000000002</v>
      </c>
      <c r="T4644">
        <v>-0.4384246</v>
      </c>
      <c r="U4644">
        <v>-1.5186919999999999</v>
      </c>
      <c r="V4644">
        <v>-0.14945710000000001</v>
      </c>
      <c r="W4644">
        <v>9.6374730000000006E-2</v>
      </c>
      <c r="X4644">
        <v>0.98406020000000005</v>
      </c>
      <c r="Y4644">
        <v>-0.31780009999999997</v>
      </c>
      <c r="Z4644">
        <v>3.6860479999999999E-3</v>
      </c>
      <c r="AA4644">
        <v>0.94815059999999995</v>
      </c>
      <c r="AB4644">
        <v>32</v>
      </c>
      <c r="AC4644">
        <v>-6.54200000000003</v>
      </c>
      <c r="AD4644">
        <v>-1.112585670351</v>
      </c>
      <c r="AE4644">
        <v>-3.7930000000000001</v>
      </c>
      <c r="AF4644">
        <v>-2.4536631193186098</v>
      </c>
      <c r="AG4644">
        <v>-1.112585670351</v>
      </c>
      <c r="AH4644">
        <v>6.9833074417037002</v>
      </c>
      <c r="AI4644">
        <v>98.5482645620732</v>
      </c>
      <c r="AJ4644">
        <v>109.35949526164499</v>
      </c>
      <c r="AK4644">
        <v>7.48497778235373</v>
      </c>
      <c r="AL4644">
        <v>84.469550838043503</v>
      </c>
      <c r="AM4644">
        <v>98.635970504404895</v>
      </c>
      <c r="AN4644">
        <v>0.99999999527351102</v>
      </c>
    </row>
    <row r="4645" spans="1:40" x14ac:dyDescent="0.25">
      <c r="A4645" t="str">
        <f>"20190312151120739"</f>
        <v>20190312151120739</v>
      </c>
      <c r="B4645" t="str">
        <f>"1552374680736106"</f>
        <v>1552374680736106</v>
      </c>
      <c r="C4645" t="s">
        <v>40</v>
      </c>
      <c r="D4645">
        <v>4.6301160000000001</v>
      </c>
      <c r="E4645">
        <v>0.43568259999999998</v>
      </c>
      <c r="F4645" t="s">
        <v>42</v>
      </c>
      <c r="G4645">
        <v>-398.3578</v>
      </c>
      <c r="H4645" s="1">
        <v>-1.594694E-6</v>
      </c>
      <c r="I4645">
        <v>135.67070000000001</v>
      </c>
      <c r="J4645">
        <v>-391.84800000000001</v>
      </c>
      <c r="K4645">
        <v>1.1125750000000001</v>
      </c>
      <c r="L4645">
        <v>139.47380000000001</v>
      </c>
      <c r="M4645">
        <v>-0.98184009999999999</v>
      </c>
      <c r="N4645">
        <v>0</v>
      </c>
      <c r="O4645">
        <v>-0.18935199999999999</v>
      </c>
      <c r="P4645">
        <v>-0.93888870000000002</v>
      </c>
      <c r="Q4645">
        <v>8.6070549999999996E-2</v>
      </c>
      <c r="R4645">
        <v>-0.33328590000000002</v>
      </c>
      <c r="S4645">
        <v>-2.6952820000000002</v>
      </c>
      <c r="T4645">
        <v>-0.43964839999999999</v>
      </c>
      <c r="U4645">
        <v>-1.527328</v>
      </c>
      <c r="V4645">
        <v>-0.1500756</v>
      </c>
      <c r="W4645">
        <v>9.6599210000000005E-2</v>
      </c>
      <c r="X4645">
        <v>0.98394409999999999</v>
      </c>
      <c r="Y4645">
        <v>-0.31806719999999999</v>
      </c>
      <c r="Z4645">
        <v>4.1017609999999998E-3</v>
      </c>
      <c r="AA4645">
        <v>0.94805930000000005</v>
      </c>
      <c r="AB4645">
        <v>32</v>
      </c>
      <c r="AC4645">
        <v>-6.5097999999999798</v>
      </c>
      <c r="AD4645">
        <v>-1.1125765946940001</v>
      </c>
      <c r="AE4645">
        <v>-3.8031000000000001</v>
      </c>
      <c r="AF4645">
        <v>-2.4482469230239601</v>
      </c>
      <c r="AG4645">
        <v>-1.1125765946940001</v>
      </c>
      <c r="AH4645">
        <v>6.9606093029848299</v>
      </c>
      <c r="AI4645">
        <v>98.574685509267894</v>
      </c>
      <c r="AJ4645">
        <v>109.378242978043</v>
      </c>
      <c r="AK4645">
        <v>7.4620252977295696</v>
      </c>
      <c r="AL4645">
        <v>84.456629052944294</v>
      </c>
      <c r="AM4645">
        <v>98.672174322390006</v>
      </c>
      <c r="AN4645">
        <v>1.00000004250639</v>
      </c>
    </row>
    <row r="4646" spans="1:40" x14ac:dyDescent="0.25">
      <c r="A4646" t="str">
        <f>"20190312151120761"</f>
        <v>20190312151120761</v>
      </c>
      <c r="B4646" t="str">
        <f>"1552374680755625"</f>
        <v>1552374680755625</v>
      </c>
      <c r="C4646" t="s">
        <v>40</v>
      </c>
      <c r="D4646">
        <v>4.6869730000000001</v>
      </c>
      <c r="E4646">
        <v>0.43570809999999999</v>
      </c>
      <c r="F4646" t="s">
        <v>42</v>
      </c>
      <c r="G4646">
        <v>-398.66129999999998</v>
      </c>
      <c r="H4646" s="1">
        <v>-1.51462799999999E-6</v>
      </c>
      <c r="I4646">
        <v>135.58349999999999</v>
      </c>
      <c r="J4646">
        <v>-392.15980000000002</v>
      </c>
      <c r="K4646">
        <v>1.112576</v>
      </c>
      <c r="L4646">
        <v>139.41059999999999</v>
      </c>
      <c r="M4646">
        <v>-0.9812708</v>
      </c>
      <c r="N4646">
        <v>0</v>
      </c>
      <c r="O4646">
        <v>-0.19228039999999999</v>
      </c>
      <c r="P4646">
        <v>-0.93774639999999998</v>
      </c>
      <c r="Q4646">
        <v>8.525278E-2</v>
      </c>
      <c r="R4646">
        <v>-0.33669500000000002</v>
      </c>
      <c r="S4646">
        <v>-2.690277</v>
      </c>
      <c r="T4646">
        <v>-0.43931009999999998</v>
      </c>
      <c r="U4646">
        <v>-1.5361180000000001</v>
      </c>
      <c r="V4646">
        <v>-0.15069649999999901</v>
      </c>
      <c r="W4646">
        <v>9.5780019999999993E-2</v>
      </c>
      <c r="X4646">
        <v>0.98392919999999995</v>
      </c>
      <c r="Y4646">
        <v>-0.31836140000000002</v>
      </c>
      <c r="Z4646">
        <v>4.5029090000000003E-3</v>
      </c>
      <c r="AA4646">
        <v>0.94795870000000004</v>
      </c>
      <c r="AB4646">
        <v>32</v>
      </c>
      <c r="AC4646">
        <v>-6.5014999999999601</v>
      </c>
      <c r="AD4646">
        <v>-1.1125775146279999</v>
      </c>
      <c r="AE4646">
        <v>-3.8271000000000002</v>
      </c>
      <c r="AF4646">
        <v>-2.4521506368175801</v>
      </c>
      <c r="AG4646">
        <v>-1.1125775146279999</v>
      </c>
      <c r="AH4646">
        <v>6.9646233561721198</v>
      </c>
      <c r="AI4646">
        <v>98.568878072514593</v>
      </c>
      <c r="AJ4646">
        <v>109.396483772501</v>
      </c>
      <c r="AK4646">
        <v>7.46705095503164</v>
      </c>
      <c r="AL4646">
        <v>84.503783376812393</v>
      </c>
      <c r="AM4646">
        <v>98.707634304343102</v>
      </c>
      <c r="AN4646">
        <v>0.99999995897804395</v>
      </c>
    </row>
    <row r="4647" spans="1:40" x14ac:dyDescent="0.25">
      <c r="A4647" t="str">
        <f>"20190312151120783"</f>
        <v>20190312151120783</v>
      </c>
      <c r="B4647" t="str">
        <f>"1552374680776121"</f>
        <v>1552374680776121</v>
      </c>
      <c r="C4647" t="s">
        <v>40</v>
      </c>
      <c r="D4647">
        <v>4.9215200000000001</v>
      </c>
      <c r="E4647">
        <v>0.43572929999999999</v>
      </c>
      <c r="F4647" t="s">
        <v>42</v>
      </c>
      <c r="G4647">
        <v>-398.90719999999999</v>
      </c>
      <c r="H4647" s="1">
        <v>-1.446167E-6</v>
      </c>
      <c r="I4647">
        <v>135.52619999999999</v>
      </c>
      <c r="J4647">
        <v>-392.48379999999997</v>
      </c>
      <c r="K4647">
        <v>1.112574</v>
      </c>
      <c r="L4647">
        <v>139.34389999999999</v>
      </c>
      <c r="M4647">
        <v>-0.98066980000000004</v>
      </c>
      <c r="N4647">
        <v>0</v>
      </c>
      <c r="O4647">
        <v>-0.19532269999999999</v>
      </c>
      <c r="P4647">
        <v>-0.9365057</v>
      </c>
      <c r="Q4647">
        <v>8.4906120000000002E-2</v>
      </c>
      <c r="R4647">
        <v>-0.34021829999999997</v>
      </c>
      <c r="S4647">
        <v>-2.6845089999999998</v>
      </c>
      <c r="T4647">
        <v>-0.4426485</v>
      </c>
      <c r="U4647">
        <v>-1.5453950000000001</v>
      </c>
      <c r="V4647">
        <v>-0.15133679999999999</v>
      </c>
      <c r="W4647">
        <v>9.5431130000000003E-2</v>
      </c>
      <c r="X4647">
        <v>0.98386479999999998</v>
      </c>
      <c r="Y4647">
        <v>-0.31876880000000002</v>
      </c>
      <c r="Z4647">
        <v>4.9531180000000003E-3</v>
      </c>
      <c r="AA4647">
        <v>0.94781959999999998</v>
      </c>
      <c r="AB4647">
        <v>32</v>
      </c>
      <c r="AC4647">
        <v>-6.4234000000000098</v>
      </c>
      <c r="AD4647">
        <v>-1.1125754461670001</v>
      </c>
      <c r="AE4647">
        <v>-3.8176999999999999</v>
      </c>
      <c r="AF4647">
        <v>-2.4354440451881301</v>
      </c>
      <c r="AG4647">
        <v>-1.1125754461670001</v>
      </c>
      <c r="AH4647">
        <v>6.8925918520783496</v>
      </c>
      <c r="AI4647">
        <v>98.653704404218402</v>
      </c>
      <c r="AJ4647">
        <v>109.46046759324101</v>
      </c>
      <c r="AK4647">
        <v>7.3943920818409996</v>
      </c>
      <c r="AL4647">
        <v>84.523865166145995</v>
      </c>
      <c r="AM4647">
        <v>98.744625379727793</v>
      </c>
      <c r="AN4647">
        <v>0.99999993614317595</v>
      </c>
    </row>
    <row r="4648" spans="1:40" x14ac:dyDescent="0.25">
      <c r="A4648" t="str">
        <f>"20190312151120805"</f>
        <v>20190312151120805</v>
      </c>
      <c r="B4648" t="str">
        <f>"1552374680795641"</f>
        <v>1552374680795641</v>
      </c>
      <c r="C4648" t="s">
        <v>40</v>
      </c>
      <c r="D4648">
        <v>4.6627989999999997</v>
      </c>
      <c r="E4648">
        <v>0.42905179999999998</v>
      </c>
      <c r="F4648" t="s">
        <v>42</v>
      </c>
      <c r="G4648">
        <v>-399.19580000000002</v>
      </c>
      <c r="H4648" s="1">
        <v>-1.3691519999999999E-6</v>
      </c>
      <c r="I4648">
        <v>135.44649999999999</v>
      </c>
      <c r="J4648">
        <v>-392.78460000000001</v>
      </c>
      <c r="K4648">
        <v>1.112579</v>
      </c>
      <c r="L4648">
        <v>139.28100000000001</v>
      </c>
      <c r="M4648">
        <v>-0.98010269999999999</v>
      </c>
      <c r="N4648">
        <v>0</v>
      </c>
      <c r="O4648">
        <v>-0.19814809999999999</v>
      </c>
      <c r="P4648">
        <v>-0.93539119999999998</v>
      </c>
      <c r="Q4648">
        <v>8.4588849999999993E-2</v>
      </c>
      <c r="R4648">
        <v>-0.34334789999999998</v>
      </c>
      <c r="S4648">
        <v>-2.6786500000000002</v>
      </c>
      <c r="T4648">
        <v>-0.44400689999999998</v>
      </c>
      <c r="U4648">
        <v>-1.5553129999999999</v>
      </c>
      <c r="V4648">
        <v>-0.15178429999999901</v>
      </c>
      <c r="W4648">
        <v>9.5112639999999998E-2</v>
      </c>
      <c r="X4648">
        <v>0.9838268</v>
      </c>
      <c r="Y4648">
        <v>-0.31957380000000002</v>
      </c>
      <c r="Z4648">
        <v>5.3235720000000004E-3</v>
      </c>
      <c r="AA4648">
        <v>0.94754640000000001</v>
      </c>
      <c r="AB4648">
        <v>32</v>
      </c>
      <c r="AC4648">
        <v>-6.4112</v>
      </c>
      <c r="AD4648">
        <v>-1.112580369152</v>
      </c>
      <c r="AE4648">
        <v>-3.8345000000000198</v>
      </c>
      <c r="AF4648">
        <v>-2.4340177335397502</v>
      </c>
      <c r="AG4648">
        <v>-1.112580369152</v>
      </c>
      <c r="AH4648">
        <v>6.89106386066367</v>
      </c>
      <c r="AI4648">
        <v>98.655976298902701</v>
      </c>
      <c r="AJ4648">
        <v>109.453915312213</v>
      </c>
      <c r="AK4648">
        <v>7.3924988019446598</v>
      </c>
      <c r="AL4648">
        <v>84.542197199944496</v>
      </c>
      <c r="AM4648">
        <v>98.770415122226197</v>
      </c>
      <c r="AN4648">
        <v>1.00000003020624</v>
      </c>
    </row>
    <row r="4649" spans="1:40" x14ac:dyDescent="0.25">
      <c r="A4649" t="str">
        <f>"20190312151120827"</f>
        <v>20190312151120827</v>
      </c>
      <c r="B4649" t="str">
        <f>"1552374680816137"</f>
        <v>1552374680816137</v>
      </c>
      <c r="C4649" t="s">
        <v>40</v>
      </c>
      <c r="D4649">
        <v>4.7153390000000002</v>
      </c>
      <c r="E4649">
        <v>0.43099730000000003</v>
      </c>
      <c r="F4649" t="s">
        <v>42</v>
      </c>
      <c r="G4649">
        <v>-397.4803</v>
      </c>
      <c r="H4649" s="1">
        <v>-1.6956140000000001E-6</v>
      </c>
      <c r="I4649">
        <v>136.41370000000001</v>
      </c>
      <c r="J4649">
        <v>-393.09879999999998</v>
      </c>
      <c r="K4649">
        <v>1.112573</v>
      </c>
      <c r="L4649">
        <v>139.21430000000001</v>
      </c>
      <c r="M4649">
        <v>-0.97950150000000002</v>
      </c>
      <c r="N4649">
        <v>0</v>
      </c>
      <c r="O4649">
        <v>-0.2010989</v>
      </c>
      <c r="P4649">
        <v>-0.93425130000000001</v>
      </c>
      <c r="Q4649">
        <v>8.4435750000000004E-2</v>
      </c>
      <c r="R4649">
        <v>-0.34647559999999999</v>
      </c>
      <c r="S4649">
        <v>-2.6666560000000001</v>
      </c>
      <c r="T4649">
        <v>-0.63182899999999997</v>
      </c>
      <c r="U4649">
        <v>-1.6282810000000001</v>
      </c>
      <c r="V4649">
        <v>-0.15210979999999999</v>
      </c>
      <c r="W4649">
        <v>9.4958849999999997E-2</v>
      </c>
      <c r="X4649">
        <v>0.98379139999999998</v>
      </c>
      <c r="Y4649">
        <v>-0.33614889999999997</v>
      </c>
      <c r="Z4649">
        <v>6.3145199999999997E-3</v>
      </c>
      <c r="AA4649">
        <v>0.94178770000000001</v>
      </c>
      <c r="AB4649">
        <v>32</v>
      </c>
      <c r="AC4649">
        <v>-4.3815000000000097</v>
      </c>
      <c r="AD4649">
        <v>-1.1125746956139999</v>
      </c>
      <c r="AE4649">
        <v>-2.8006000000000002</v>
      </c>
      <c r="AF4649">
        <v>-1.7806909615656099</v>
      </c>
      <c r="AG4649">
        <v>-1.1125746956139999</v>
      </c>
      <c r="AH4649">
        <v>4.6426902137368504</v>
      </c>
      <c r="AI4649">
        <v>102.612033080305</v>
      </c>
      <c r="AJ4649">
        <v>110.984177793084</v>
      </c>
      <c r="AK4649">
        <v>5.0954151130845</v>
      </c>
      <c r="AL4649">
        <v>84.551048870605101</v>
      </c>
      <c r="AM4649">
        <v>98.7892411634366</v>
      </c>
      <c r="AN4649">
        <v>1.0000000465816601</v>
      </c>
    </row>
    <row r="4650" spans="1:40" x14ac:dyDescent="0.25">
      <c r="A4650" t="str">
        <f>"20190312151120850"</f>
        <v>20190312151120850</v>
      </c>
      <c r="B4650" t="str">
        <f>"1552374680845418"</f>
        <v>1552374680845418</v>
      </c>
      <c r="C4650" t="s">
        <v>40</v>
      </c>
      <c r="D4650">
        <v>4.7199229999999996</v>
      </c>
      <c r="E4650">
        <v>0.43268289999999998</v>
      </c>
      <c r="F4650" t="s">
        <v>42</v>
      </c>
      <c r="G4650">
        <v>-397.92309999999998</v>
      </c>
      <c r="H4650" s="1">
        <v>-1.5804599999999999E-6</v>
      </c>
      <c r="I4650">
        <v>136.2801</v>
      </c>
      <c r="J4650">
        <v>-393.40879999999999</v>
      </c>
      <c r="K4650">
        <v>1.1125719999999999</v>
      </c>
      <c r="L4650">
        <v>139.14760000000001</v>
      </c>
      <c r="M4650">
        <v>-0.97889939999999998</v>
      </c>
      <c r="N4650">
        <v>0</v>
      </c>
      <c r="O4650">
        <v>-0.20400940000000001</v>
      </c>
      <c r="P4650">
        <v>-0.93300249999999996</v>
      </c>
      <c r="Q4650">
        <v>8.4157590000000004E-2</v>
      </c>
      <c r="R4650">
        <v>-0.3498908</v>
      </c>
      <c r="S4650">
        <v>-2.6654659999999999</v>
      </c>
      <c r="T4650">
        <v>-0.61470719999999901</v>
      </c>
      <c r="U4650">
        <v>-1.62114</v>
      </c>
      <c r="V4650">
        <v>-0.152779</v>
      </c>
      <c r="W4650">
        <v>9.4677349999999993E-2</v>
      </c>
      <c r="X4650">
        <v>0.9837148</v>
      </c>
      <c r="Y4650">
        <v>-0.33196409999999998</v>
      </c>
      <c r="Z4650">
        <v>7.1807429999999998E-3</v>
      </c>
      <c r="AA4650">
        <v>0.94326469999999996</v>
      </c>
      <c r="AB4650">
        <v>32</v>
      </c>
      <c r="AC4650">
        <v>-4.5142999999999898</v>
      </c>
      <c r="AD4650">
        <v>-1.1125735804600001</v>
      </c>
      <c r="AE4650">
        <v>-2.8675000000000002</v>
      </c>
      <c r="AF4650">
        <v>-1.8079192738524901</v>
      </c>
      <c r="AG4650">
        <v>-1.1125735804600001</v>
      </c>
      <c r="AH4650">
        <v>4.7967868111574496</v>
      </c>
      <c r="AI4650">
        <v>102.24541541297801</v>
      </c>
      <c r="AJ4650">
        <v>110.651534177061</v>
      </c>
      <c r="AK4650">
        <v>5.2455272170105998</v>
      </c>
      <c r="AL4650">
        <v>84.567250458122004</v>
      </c>
      <c r="AM4650">
        <v>98.827977874236197</v>
      </c>
      <c r="AN4650">
        <v>1.0000000155915301</v>
      </c>
    </row>
    <row r="4651" spans="1:40" x14ac:dyDescent="0.25">
      <c r="A4651" t="str">
        <f>"20190312151120873"</f>
        <v>20190312151120873</v>
      </c>
      <c r="B4651" t="str">
        <f>"1552374680865913"</f>
        <v>1552374680865913</v>
      </c>
      <c r="C4651" t="s">
        <v>40</v>
      </c>
      <c r="D4651">
        <v>4.587809</v>
      </c>
      <c r="E4651">
        <v>0.43568459999999998</v>
      </c>
      <c r="F4651" t="s">
        <v>42</v>
      </c>
      <c r="G4651">
        <v>-398.27379999999999</v>
      </c>
      <c r="H4651" s="1">
        <v>-1.4841539999999999E-6</v>
      </c>
      <c r="I4651">
        <v>136.1935</v>
      </c>
      <c r="J4651">
        <v>-393.73570000000001</v>
      </c>
      <c r="K4651">
        <v>1.1125719999999999</v>
      </c>
      <c r="L4651">
        <v>139.0762</v>
      </c>
      <c r="M4651">
        <v>-0.97825479999999998</v>
      </c>
      <c r="N4651">
        <v>0</v>
      </c>
      <c r="O4651">
        <v>-0.20707900000000001</v>
      </c>
      <c r="P4651">
        <v>-0.93139019999999995</v>
      </c>
      <c r="Q4651">
        <v>8.4183729999999998E-2</v>
      </c>
      <c r="R4651">
        <v>-0.35415489999999999</v>
      </c>
      <c r="S4651">
        <v>-2.663818</v>
      </c>
      <c r="T4651">
        <v>-0.60918589999999995</v>
      </c>
      <c r="U4651">
        <v>-1.6174470000000001</v>
      </c>
      <c r="V4651">
        <v>-0.15419530000000001</v>
      </c>
      <c r="W4651">
        <v>9.4693009999999994E-2</v>
      </c>
      <c r="X4651">
        <v>0.98349229999999999</v>
      </c>
      <c r="Y4651">
        <v>-0.32846789999999998</v>
      </c>
      <c r="Z4651">
        <v>8.1014629999999997E-3</v>
      </c>
      <c r="AA4651">
        <v>0.9444804</v>
      </c>
      <c r="AB4651">
        <v>32</v>
      </c>
      <c r="AC4651">
        <v>-4.5380999999999796</v>
      </c>
      <c r="AD4651">
        <v>-1.11257348415399</v>
      </c>
      <c r="AE4651">
        <v>-2.8826999999999998</v>
      </c>
      <c r="AF4651">
        <v>-1.80317702043572</v>
      </c>
      <c r="AG4651">
        <v>-1.11257348415399</v>
      </c>
      <c r="AH4651">
        <v>4.8298689235406602</v>
      </c>
      <c r="AI4651">
        <v>102.177882524555</v>
      </c>
      <c r="AJ4651">
        <v>110.47254976036901</v>
      </c>
      <c r="AK4651">
        <v>5.2741730103641702</v>
      </c>
      <c r="AL4651">
        <v>84.566349237749094</v>
      </c>
      <c r="AM4651">
        <v>98.910491834853602</v>
      </c>
      <c r="AN4651">
        <v>1.0000000304221099</v>
      </c>
    </row>
    <row r="4652" spans="1:40" x14ac:dyDescent="0.25">
      <c r="A4652" t="str">
        <f>"20190312151120895"</f>
        <v>20190312151120895</v>
      </c>
      <c r="B4652" t="str">
        <f>"1552374680885434"</f>
        <v>1552374680885434</v>
      </c>
      <c r="C4652" t="s">
        <v>40</v>
      </c>
      <c r="D4652">
        <v>4.5848079999999998</v>
      </c>
      <c r="E4652">
        <v>0.43776320000000002</v>
      </c>
      <c r="F4652" t="s">
        <v>42</v>
      </c>
      <c r="G4652">
        <v>-398.54820000000001</v>
      </c>
      <c r="H4652" s="1">
        <v>-1.395823E-6</v>
      </c>
      <c r="I4652">
        <v>136.1746</v>
      </c>
      <c r="J4652">
        <v>-394.04340000000002</v>
      </c>
      <c r="K4652">
        <v>1.1125700000000001</v>
      </c>
      <c r="L4652">
        <v>139.00810000000001</v>
      </c>
      <c r="M4652">
        <v>-0.97763860000000002</v>
      </c>
      <c r="N4652">
        <v>0</v>
      </c>
      <c r="O4652">
        <v>-0.20996790000000001</v>
      </c>
      <c r="P4652">
        <v>-0.92999609999999999</v>
      </c>
      <c r="Q4652">
        <v>8.3634500000000001E-2</v>
      </c>
      <c r="R4652">
        <v>-0.35792750000000001</v>
      </c>
      <c r="S4652">
        <v>-2.6655880000000001</v>
      </c>
      <c r="T4652">
        <v>-0.61624239999999997</v>
      </c>
      <c r="U4652">
        <v>-1.6071470000000001</v>
      </c>
      <c r="V4652">
        <v>-0.15526419999999999</v>
      </c>
      <c r="W4652">
        <v>9.4137620000000005E-2</v>
      </c>
      <c r="X4652">
        <v>0.98337739999999996</v>
      </c>
      <c r="Y4652">
        <v>-0.32282719999999998</v>
      </c>
      <c r="Z4652">
        <v>9.3778520000000008E-3</v>
      </c>
      <c r="AA4652">
        <v>0.94641140000000001</v>
      </c>
      <c r="AB4652">
        <v>32</v>
      </c>
      <c r="AC4652">
        <v>-4.5047999999999799</v>
      </c>
      <c r="AD4652">
        <v>-1.1125713958229999</v>
      </c>
      <c r="AE4652">
        <v>-2.8335000000000101</v>
      </c>
      <c r="AF4652">
        <v>-1.7480031141819601</v>
      </c>
      <c r="AG4652">
        <v>-1.1125713958229999</v>
      </c>
      <c r="AH4652">
        <v>4.7900031517680102</v>
      </c>
      <c r="AI4652">
        <v>102.30871988499401</v>
      </c>
      <c r="AJ4652">
        <v>110.04840843259601</v>
      </c>
      <c r="AK4652">
        <v>5.2189520204674098</v>
      </c>
      <c r="AL4652">
        <v>84.598313293074696</v>
      </c>
      <c r="AM4652">
        <v>98.972290319439793</v>
      </c>
      <c r="AN4652">
        <v>0.99999998706583204</v>
      </c>
    </row>
    <row r="4653" spans="1:40" x14ac:dyDescent="0.25">
      <c r="A4653" t="str">
        <f>"20190312151120917"</f>
        <v>20190312151120917</v>
      </c>
      <c r="B4653" t="str">
        <f>"1552374680905930"</f>
        <v>1552374680905930</v>
      </c>
      <c r="C4653" t="s">
        <v>40</v>
      </c>
      <c r="D4653">
        <v>4.6004490000000002</v>
      </c>
      <c r="E4653">
        <v>0.43929360000000001</v>
      </c>
      <c r="F4653" t="s">
        <v>42</v>
      </c>
      <c r="G4653">
        <v>-398.83800000000002</v>
      </c>
      <c r="H4653" s="1">
        <v>-1.3102789999999901E-6</v>
      </c>
      <c r="I4653">
        <v>136.12540000000001</v>
      </c>
      <c r="J4653">
        <v>-394.35340000000002</v>
      </c>
      <c r="K4653">
        <v>1.1125750000000001</v>
      </c>
      <c r="L4653">
        <v>138.9385</v>
      </c>
      <c r="M4653">
        <v>-0.97700900000000002</v>
      </c>
      <c r="N4653">
        <v>0</v>
      </c>
      <c r="O4653">
        <v>-0.2128786</v>
      </c>
      <c r="P4653">
        <v>-0.92871990000000004</v>
      </c>
      <c r="Q4653">
        <v>8.3146390000000001E-2</v>
      </c>
      <c r="R4653">
        <v>-0.36133939999999998</v>
      </c>
      <c r="S4653">
        <v>-2.664825</v>
      </c>
      <c r="T4653">
        <v>-0.61836389999999997</v>
      </c>
      <c r="U4653">
        <v>-1.6021270000000001</v>
      </c>
      <c r="V4653">
        <v>-0.15593399999999999</v>
      </c>
      <c r="W4653">
        <v>9.3645320000000004E-2</v>
      </c>
      <c r="X4653">
        <v>0.98331840000000004</v>
      </c>
      <c r="Y4653">
        <v>-0.31892859999999901</v>
      </c>
      <c r="Z4653">
        <v>1.041945E-2</v>
      </c>
      <c r="AA4653">
        <v>0.94772149999999999</v>
      </c>
      <c r="AB4653">
        <v>32</v>
      </c>
      <c r="AC4653">
        <v>-4.4846000000000004</v>
      </c>
      <c r="AD4653">
        <v>-1.1125763102790001</v>
      </c>
      <c r="AE4653">
        <v>-2.8130999999999902</v>
      </c>
      <c r="AF4653">
        <v>-1.7179899233927001</v>
      </c>
      <c r="AG4653">
        <v>-1.1125763102790001</v>
      </c>
      <c r="AH4653">
        <v>4.7699992415744203</v>
      </c>
      <c r="AI4653">
        <v>102.37709861150201</v>
      </c>
      <c r="AJ4653">
        <v>109.80727853041</v>
      </c>
      <c r="AK4653">
        <v>5.1905884240318496</v>
      </c>
      <c r="AL4653">
        <v>84.626645055884296</v>
      </c>
      <c r="AM4653">
        <v>99.010894299432294</v>
      </c>
      <c r="AN4653">
        <v>0.99999996704622995</v>
      </c>
    </row>
    <row r="4654" spans="1:40" x14ac:dyDescent="0.25">
      <c r="A4654" t="str">
        <f>"20190312151120940"</f>
        <v>20190312151120940</v>
      </c>
      <c r="B4654" t="str">
        <f>"1552374680936186"</f>
        <v>1552374680936186</v>
      </c>
      <c r="C4654" t="s">
        <v>40</v>
      </c>
      <c r="D4654">
        <v>4.7109160000000001</v>
      </c>
      <c r="E4654">
        <v>0.43947150000000001</v>
      </c>
      <c r="F4654" t="s">
        <v>42</v>
      </c>
      <c r="G4654">
        <v>-399.1069</v>
      </c>
      <c r="H4654" s="1">
        <v>-1.2304370000000001E-6</v>
      </c>
      <c r="I4654">
        <v>136.08160000000001</v>
      </c>
      <c r="J4654">
        <v>-394.66699999999997</v>
      </c>
      <c r="K4654">
        <v>1.112582</v>
      </c>
      <c r="L4654">
        <v>138.86699999999999</v>
      </c>
      <c r="M4654">
        <v>-0.97636149999999999</v>
      </c>
      <c r="N4654">
        <v>0</v>
      </c>
      <c r="O4654">
        <v>-0.21582870000000001</v>
      </c>
      <c r="P4654">
        <v>-0.92744300000000002</v>
      </c>
      <c r="Q4654">
        <v>8.2925040000000005E-2</v>
      </c>
      <c r="R4654">
        <v>-0.3646549</v>
      </c>
      <c r="S4654">
        <v>-2.6633610000000001</v>
      </c>
      <c r="T4654">
        <v>-0.62337019999999999</v>
      </c>
      <c r="U4654">
        <v>-1.6006320000000001</v>
      </c>
      <c r="V4654">
        <v>-0.1564728</v>
      </c>
      <c r="W4654">
        <v>9.3419829999999995E-2</v>
      </c>
      <c r="X4654">
        <v>0.98325430000000003</v>
      </c>
      <c r="Y4654">
        <v>-0.3159825</v>
      </c>
      <c r="Z4654">
        <v>1.142489E-2</v>
      </c>
      <c r="AA4654">
        <v>0.94869630000000005</v>
      </c>
      <c r="AB4654">
        <v>32</v>
      </c>
      <c r="AC4654">
        <v>-4.4399000000000202</v>
      </c>
      <c r="AD4654">
        <v>-1.112583230437</v>
      </c>
      <c r="AE4654">
        <v>-2.7854000000000001</v>
      </c>
      <c r="AF4654">
        <v>-1.6854726006832701</v>
      </c>
      <c r="AG4654">
        <v>-1.112583230437</v>
      </c>
      <c r="AH4654">
        <v>4.7236086394399397</v>
      </c>
      <c r="AI4654">
        <v>102.50780293712999</v>
      </c>
      <c r="AJ4654">
        <v>109.637358133847</v>
      </c>
      <c r="AK4654">
        <v>5.1372305682045498</v>
      </c>
      <c r="AL4654">
        <v>84.639621799421505</v>
      </c>
      <c r="AM4654">
        <v>99.042095946148194</v>
      </c>
      <c r="AN4654">
        <v>1.00000001012277</v>
      </c>
    </row>
    <row r="4655" spans="1:40" x14ac:dyDescent="0.25">
      <c r="A4655" t="str">
        <f>"20190312151120962"</f>
        <v>20190312151120962</v>
      </c>
      <c r="B4655" t="str">
        <f>"1552374680955705"</f>
        <v>1552374680955705</v>
      </c>
      <c r="C4655" t="s">
        <v>40</v>
      </c>
      <c r="D4655">
        <v>4.6272070000000003</v>
      </c>
      <c r="E4655">
        <v>0.44008920000000001</v>
      </c>
      <c r="F4655" t="s">
        <v>42</v>
      </c>
      <c r="G4655">
        <v>-399.38929999999999</v>
      </c>
      <c r="H4655" s="1">
        <v>-1.153696E-6</v>
      </c>
      <c r="I4655">
        <v>136.00880000000001</v>
      </c>
      <c r="J4655">
        <v>-394.98489999999998</v>
      </c>
      <c r="K4655">
        <v>1.1125989999999999</v>
      </c>
      <c r="L4655">
        <v>138.79349999999999</v>
      </c>
      <c r="M4655">
        <v>-0.97569260000000002</v>
      </c>
      <c r="N4655">
        <v>0</v>
      </c>
      <c r="O4655">
        <v>-0.21883230000000001</v>
      </c>
      <c r="P4655">
        <v>-0.92596029999999996</v>
      </c>
      <c r="Q4655">
        <v>8.2475389999999996E-2</v>
      </c>
      <c r="R4655">
        <v>-0.3685039</v>
      </c>
      <c r="S4655">
        <v>-2.6581730000000001</v>
      </c>
      <c r="T4655">
        <v>-0.62626700000000002</v>
      </c>
      <c r="U4655">
        <v>-1.608795</v>
      </c>
      <c r="V4655">
        <v>-0.1575222</v>
      </c>
      <c r="W4655">
        <v>9.2960710000000002E-2</v>
      </c>
      <c r="X4655">
        <v>0.98313019999999995</v>
      </c>
      <c r="Y4655">
        <v>-0.31605270000000002</v>
      </c>
      <c r="Z4655">
        <v>1.209115E-2</v>
      </c>
      <c r="AA4655">
        <v>0.94866450000000002</v>
      </c>
      <c r="AB4655">
        <v>32</v>
      </c>
      <c r="AC4655">
        <v>-4.4044000000000096</v>
      </c>
      <c r="AD4655">
        <v>-1.112600153696</v>
      </c>
      <c r="AE4655">
        <v>-2.78469999999998</v>
      </c>
      <c r="AF4655">
        <v>-1.6768601466355699</v>
      </c>
      <c r="AG4655">
        <v>-1.112600153696</v>
      </c>
      <c r="AH4655">
        <v>4.6931055568581304</v>
      </c>
      <c r="AI4655">
        <v>102.58483329960301</v>
      </c>
      <c r="AJ4655">
        <v>109.661955267056</v>
      </c>
      <c r="AK4655">
        <v>5.1063664989101296</v>
      </c>
      <c r="AL4655">
        <v>84.666042163039506</v>
      </c>
      <c r="AM4655">
        <v>99.102855545598402</v>
      </c>
      <c r="AN4655">
        <v>0.999999963624291</v>
      </c>
    </row>
    <row r="4656" spans="1:40" x14ac:dyDescent="0.25">
      <c r="A4656" t="str">
        <f>"20190312151120984"</f>
        <v>20190312151120984</v>
      </c>
      <c r="B4656" t="str">
        <f>"1552374680976201"</f>
        <v>1552374680976201</v>
      </c>
      <c r="C4656" t="s">
        <v>40</v>
      </c>
      <c r="D4656">
        <v>4.8505200000000004</v>
      </c>
      <c r="E4656">
        <v>0.44027109999999903</v>
      </c>
      <c r="F4656" t="s">
        <v>42</v>
      </c>
      <c r="G4656">
        <v>-399.66230000000002</v>
      </c>
      <c r="H4656" s="1">
        <v>-1.0776700000000001E-6</v>
      </c>
      <c r="I4656">
        <v>135.94550000000001</v>
      </c>
      <c r="J4656">
        <v>-395.29669999999999</v>
      </c>
      <c r="K4656">
        <v>1.1126130000000001</v>
      </c>
      <c r="L4656">
        <v>138.72040000000001</v>
      </c>
      <c r="M4656">
        <v>-0.97502420000000001</v>
      </c>
      <c r="N4656">
        <v>0</v>
      </c>
      <c r="O4656">
        <v>-0.22179209999999999</v>
      </c>
      <c r="P4656">
        <v>-0.92456910000000003</v>
      </c>
      <c r="Q4656">
        <v>8.2490869999999994E-2</v>
      </c>
      <c r="R4656">
        <v>-0.37197819999999998</v>
      </c>
      <c r="S4656">
        <v>-2.6531370000000001</v>
      </c>
      <c r="T4656">
        <v>-0.63110669999999902</v>
      </c>
      <c r="U4656">
        <v>-1.615448</v>
      </c>
      <c r="V4656">
        <v>-0.15823419999999999</v>
      </c>
      <c r="W4656">
        <v>9.2966880000000002E-2</v>
      </c>
      <c r="X4656">
        <v>0.98301530000000004</v>
      </c>
      <c r="Y4656">
        <v>-0.3157413</v>
      </c>
      <c r="Z4656">
        <v>1.283582E-2</v>
      </c>
      <c r="AA4656">
        <v>0.94875849999999995</v>
      </c>
      <c r="AB4656">
        <v>32</v>
      </c>
      <c r="AC4656">
        <v>-4.3656000000000201</v>
      </c>
      <c r="AD4656">
        <v>-1.11261407766999</v>
      </c>
      <c r="AE4656">
        <v>-2.7749000000000001</v>
      </c>
      <c r="AF4656">
        <v>-1.6606326647618299</v>
      </c>
      <c r="AG4656">
        <v>-1.11261407766999</v>
      </c>
      <c r="AH4656">
        <v>4.6569089486847597</v>
      </c>
      <c r="AI4656">
        <v>102.682402000534</v>
      </c>
      <c r="AJ4656">
        <v>109.62600443293501</v>
      </c>
      <c r="AK4656">
        <v>5.0677817523492203</v>
      </c>
      <c r="AL4656">
        <v>84.665687259264502</v>
      </c>
      <c r="AM4656">
        <v>99.144357635109301</v>
      </c>
      <c r="AN4656">
        <v>0.99999999143033202</v>
      </c>
    </row>
    <row r="4657" spans="1:40" x14ac:dyDescent="0.25">
      <c r="A4657" t="str">
        <f>"20190312151121006"</f>
        <v>20190312151121006</v>
      </c>
      <c r="B4657" t="str">
        <f>"1552374680995722"</f>
        <v>1552374680995722</v>
      </c>
      <c r="C4657" t="s">
        <v>40</v>
      </c>
      <c r="D4657">
        <v>4.7525120000000003</v>
      </c>
      <c r="E4657">
        <v>0.4403802</v>
      </c>
      <c r="F4657" t="s">
        <v>79</v>
      </c>
      <c r="G4657">
        <v>-400.02659999999997</v>
      </c>
      <c r="H4657" s="1">
        <v>-3.3737150000000002E-6</v>
      </c>
      <c r="I4657">
        <v>135.8202</v>
      </c>
      <c r="J4657">
        <v>-395.60340000000002</v>
      </c>
      <c r="K4657">
        <v>1.112635</v>
      </c>
      <c r="L4657">
        <v>138.64750000000001</v>
      </c>
      <c r="M4657">
        <v>-0.9743522</v>
      </c>
      <c r="N4657">
        <v>0</v>
      </c>
      <c r="O4657">
        <v>-0.22472539999999999</v>
      </c>
      <c r="P4657">
        <v>-0.92324130000000004</v>
      </c>
      <c r="Q4657">
        <v>8.2537059999999995E-2</v>
      </c>
      <c r="R4657">
        <v>-0.37525150000000002</v>
      </c>
      <c r="S4657">
        <v>-2.6472470000000001</v>
      </c>
      <c r="T4657">
        <v>-0.62271809999999905</v>
      </c>
      <c r="U4657">
        <v>-1.6232150000000001</v>
      </c>
      <c r="V4657">
        <v>-0.15876370000000001</v>
      </c>
      <c r="W4657">
        <v>9.3004400000000001E-2</v>
      </c>
      <c r="X4657">
        <v>0.98292639999999998</v>
      </c>
      <c r="Y4657">
        <v>-0.31594889999999998</v>
      </c>
      <c r="Z4657">
        <v>1.32546E-2</v>
      </c>
      <c r="AA4657">
        <v>0.94868359999999996</v>
      </c>
      <c r="AB4657">
        <v>32</v>
      </c>
      <c r="AC4657">
        <v>-4.4231999999999498</v>
      </c>
      <c r="AD4657">
        <v>-1.1126383737150001</v>
      </c>
      <c r="AE4657">
        <v>-2.8273000000000001</v>
      </c>
      <c r="AF4657">
        <v>-1.68519874786846</v>
      </c>
      <c r="AG4657">
        <v>-1.1126383737150001</v>
      </c>
      <c r="AH4657">
        <v>4.73285053485895</v>
      </c>
      <c r="AI4657">
        <v>102.48763107379</v>
      </c>
      <c r="AJ4657">
        <v>109.59899523841401</v>
      </c>
      <c r="AK4657">
        <v>5.1456518688884598</v>
      </c>
      <c r="AL4657">
        <v>84.663528316579303</v>
      </c>
      <c r="AM4657">
        <v>99.175253585193005</v>
      </c>
      <c r="AN4657">
        <v>1.000000019337</v>
      </c>
    </row>
    <row r="4658" spans="1:40" x14ac:dyDescent="0.25">
      <c r="A4658" t="str">
        <f>"20190312151121028"</f>
        <v>20190312151121028</v>
      </c>
      <c r="B4658" t="str">
        <f>"1552374681025978"</f>
        <v>1552374681025978</v>
      </c>
      <c r="C4658" t="s">
        <v>40</v>
      </c>
      <c r="D4658">
        <v>4.6533980000000001</v>
      </c>
      <c r="E4658">
        <v>0.44076929999999998</v>
      </c>
      <c r="F4658" t="s">
        <v>79</v>
      </c>
      <c r="G4658">
        <v>-400.41430000000003</v>
      </c>
      <c r="H4658" s="1">
        <v>-3.5182929999999999E-6</v>
      </c>
      <c r="I4658">
        <v>135.67590000000001</v>
      </c>
      <c r="J4658">
        <v>-395.91699999999997</v>
      </c>
      <c r="K4658">
        <v>1.112663</v>
      </c>
      <c r="L4658">
        <v>138.5719</v>
      </c>
      <c r="M4658">
        <v>-0.97364660000000003</v>
      </c>
      <c r="N4658">
        <v>0</v>
      </c>
      <c r="O4658">
        <v>-0.2277632</v>
      </c>
      <c r="P4658">
        <v>-0.92189620000000005</v>
      </c>
      <c r="Q4658">
        <v>8.2230780000000003E-2</v>
      </c>
      <c r="R4658">
        <v>-0.37861</v>
      </c>
      <c r="S4658">
        <v>-2.6409910000000001</v>
      </c>
      <c r="T4658">
        <v>-0.61078409999999905</v>
      </c>
      <c r="U4658">
        <v>-1.631256</v>
      </c>
      <c r="V4658">
        <v>-0.15927559999999999</v>
      </c>
      <c r="W4658">
        <v>9.2685340000000005E-2</v>
      </c>
      <c r="X4658">
        <v>0.98287369999999996</v>
      </c>
      <c r="Y4658">
        <v>-0.31620189999999998</v>
      </c>
      <c r="Z4658">
        <v>1.359814E-2</v>
      </c>
      <c r="AA4658">
        <v>0.94859450000000001</v>
      </c>
      <c r="AB4658">
        <v>32</v>
      </c>
      <c r="AC4658">
        <v>-4.4973000000000498</v>
      </c>
      <c r="AD4658">
        <v>-1.112666518293</v>
      </c>
      <c r="AE4658">
        <v>-2.8959999999999799</v>
      </c>
      <c r="AF4658">
        <v>-1.7210172277026099</v>
      </c>
      <c r="AG4658">
        <v>-1.112666518293</v>
      </c>
      <c r="AH4658">
        <v>4.8297492989265196</v>
      </c>
      <c r="AI4658">
        <v>102.244003039803</v>
      </c>
      <c r="AJ4658">
        <v>109.612852411194</v>
      </c>
      <c r="AK4658">
        <v>5.2465612899746699</v>
      </c>
      <c r="AL4658">
        <v>84.681888307184707</v>
      </c>
      <c r="AM4658">
        <v>99.204816757088196</v>
      </c>
      <c r="AN4658">
        <v>0.999999999578982</v>
      </c>
    </row>
    <row r="4659" spans="1:40" x14ac:dyDescent="0.25">
      <c r="A4659" t="str">
        <f>"20190312151121051"</f>
        <v>20190312151121051</v>
      </c>
      <c r="B4659" t="str">
        <f>"1552374681045498"</f>
        <v>1552374681045498</v>
      </c>
      <c r="C4659" t="s">
        <v>40</v>
      </c>
      <c r="D4659">
        <v>4.6423040000000002</v>
      </c>
      <c r="E4659">
        <v>0.44099270000000002</v>
      </c>
      <c r="F4659" t="s">
        <v>79</v>
      </c>
      <c r="G4659">
        <v>-400.81169999999997</v>
      </c>
      <c r="H4659" s="1">
        <v>-3.6687769999999999E-6</v>
      </c>
      <c r="I4659">
        <v>135.5325</v>
      </c>
      <c r="J4659">
        <v>-396.23349999999999</v>
      </c>
      <c r="K4659">
        <v>1.1127049999999901</v>
      </c>
      <c r="L4659">
        <v>138.49459999999999</v>
      </c>
      <c r="M4659">
        <v>-0.972912</v>
      </c>
      <c r="N4659">
        <v>0</v>
      </c>
      <c r="O4659">
        <v>-0.2308801</v>
      </c>
      <c r="P4659">
        <v>-0.92051989999999995</v>
      </c>
      <c r="Q4659">
        <v>8.1881079999999995E-2</v>
      </c>
      <c r="R4659">
        <v>-0.382019</v>
      </c>
      <c r="S4659">
        <v>-2.635529</v>
      </c>
      <c r="T4659">
        <v>-0.5991107</v>
      </c>
      <c r="U4659">
        <v>-1.6365809999999901</v>
      </c>
      <c r="V4659">
        <v>-0.1597652</v>
      </c>
      <c r="W4659">
        <v>9.2320239999999998E-2</v>
      </c>
      <c r="X4659">
        <v>0.98282860000000005</v>
      </c>
      <c r="Y4659">
        <v>-0.31555499999999997</v>
      </c>
      <c r="Z4659">
        <v>1.403484E-2</v>
      </c>
      <c r="AA4659">
        <v>0.94880350000000002</v>
      </c>
      <c r="AB4659">
        <v>32</v>
      </c>
      <c r="AC4659">
        <v>-4.5781999999999803</v>
      </c>
      <c r="AD4659">
        <v>-1.11270866877699</v>
      </c>
      <c r="AE4659">
        <v>-2.9620999999999902</v>
      </c>
      <c r="AF4659">
        <v>-1.7520180655877799</v>
      </c>
      <c r="AG4659">
        <v>-1.11270866877699</v>
      </c>
      <c r="AH4659">
        <v>4.9330160832970096</v>
      </c>
      <c r="AI4659">
        <v>101.999953646694</v>
      </c>
      <c r="AJ4659">
        <v>109.553086499122</v>
      </c>
      <c r="AK4659">
        <v>5.3518534697602096</v>
      </c>
      <c r="AL4659">
        <v>84.702897082801599</v>
      </c>
      <c r="AM4659">
        <v>99.2330414320068</v>
      </c>
      <c r="AN4659">
        <v>1.0000000014113199</v>
      </c>
    </row>
    <row r="4660" spans="1:40" x14ac:dyDescent="0.25">
      <c r="A4660" t="str">
        <f>"20190312151121073"</f>
        <v>20190312151121073</v>
      </c>
      <c r="B4660" t="str">
        <f>"1552374681065994"</f>
        <v>1552374681065994</v>
      </c>
      <c r="C4660" t="s">
        <v>40</v>
      </c>
      <c r="D4660">
        <v>4.4625000000000004</v>
      </c>
      <c r="E4660">
        <v>0.44110310000000003</v>
      </c>
      <c r="F4660" t="s">
        <v>79</v>
      </c>
      <c r="G4660">
        <v>-401.16230000000002</v>
      </c>
      <c r="H4660" s="1">
        <v>-3.8053580000000001E-6</v>
      </c>
      <c r="I4660">
        <v>135.41309999999999</v>
      </c>
      <c r="J4660">
        <v>-396.53699999999998</v>
      </c>
      <c r="K4660">
        <v>1.1127450000000001</v>
      </c>
      <c r="L4660">
        <v>138.4194</v>
      </c>
      <c r="M4660">
        <v>-0.97218260000000001</v>
      </c>
      <c r="N4660">
        <v>0</v>
      </c>
      <c r="O4660">
        <v>-0.23393220000000001</v>
      </c>
      <c r="P4660">
        <v>-0.91895230000000006</v>
      </c>
      <c r="Q4660">
        <v>8.1847870000000003E-2</v>
      </c>
      <c r="R4660">
        <v>-0.3857814</v>
      </c>
      <c r="S4660">
        <v>-2.6296080000000002</v>
      </c>
      <c r="T4660">
        <v>-0.59364469999999903</v>
      </c>
      <c r="U4660">
        <v>-1.6440279999999901</v>
      </c>
      <c r="V4660">
        <v>-0.16071170000000001</v>
      </c>
      <c r="W4660">
        <v>9.2263239999999996E-2</v>
      </c>
      <c r="X4660">
        <v>0.98267959999999999</v>
      </c>
      <c r="Y4660">
        <v>-0.31554769999999999</v>
      </c>
      <c r="Z4660">
        <v>1.4515719999999999E-2</v>
      </c>
      <c r="AA4660">
        <v>0.94879869999999999</v>
      </c>
      <c r="AB4660">
        <v>32</v>
      </c>
      <c r="AC4660">
        <v>-4.6253000000000304</v>
      </c>
      <c r="AD4660">
        <v>-1.1127488053579999</v>
      </c>
      <c r="AE4660">
        <v>-3.0063</v>
      </c>
      <c r="AF4660">
        <v>-1.7688206377571001</v>
      </c>
      <c r="AG4660">
        <v>-1.1127488053579999</v>
      </c>
      <c r="AH4660">
        <v>4.9969425718474296</v>
      </c>
      <c r="AI4660">
        <v>101.85550481924599</v>
      </c>
      <c r="AJ4660">
        <v>109.49297437177199</v>
      </c>
      <c r="AK4660">
        <v>5.41630606767401</v>
      </c>
      <c r="AL4660">
        <v>84.706176806330603</v>
      </c>
      <c r="AM4660">
        <v>99.288174219215506</v>
      </c>
      <c r="AN4660">
        <v>0.99999997611417302</v>
      </c>
    </row>
    <row r="4661" spans="1:40" x14ac:dyDescent="0.25">
      <c r="A4661" t="str">
        <f>"20190312151121097"</f>
        <v>20190312151121097</v>
      </c>
      <c r="B4661" t="str">
        <f>"1552374681085514"</f>
        <v>1552374681085514</v>
      </c>
      <c r="C4661" t="s">
        <v>40</v>
      </c>
      <c r="D4661">
        <v>4.6213939999999996</v>
      </c>
      <c r="E4661">
        <v>0.44124150000000001</v>
      </c>
      <c r="F4661" t="s">
        <v>79</v>
      </c>
      <c r="G4661">
        <v>-401.47030000000001</v>
      </c>
      <c r="H4661" s="1">
        <v>-3.9264670000000002E-6</v>
      </c>
      <c r="I4661">
        <v>135.31039999999999</v>
      </c>
      <c r="J4661">
        <v>-396.86470000000003</v>
      </c>
      <c r="K4661">
        <v>1.1128089999999999</v>
      </c>
      <c r="L4661">
        <v>138.33699999999999</v>
      </c>
      <c r="M4661">
        <v>-0.97136460000000002</v>
      </c>
      <c r="N4661">
        <v>0</v>
      </c>
      <c r="O4661">
        <v>-0.23730609999999999</v>
      </c>
      <c r="P4661">
        <v>-0.91729879999999997</v>
      </c>
      <c r="Q4661">
        <v>8.1227229999999997E-2</v>
      </c>
      <c r="R4661">
        <v>-0.38982739999999999</v>
      </c>
      <c r="S4661">
        <v>-2.6232600000000001</v>
      </c>
      <c r="T4661">
        <v>-0.59170469999999997</v>
      </c>
      <c r="U4661">
        <v>-1.6531979999999999</v>
      </c>
      <c r="V4661">
        <v>-0.16162850000000001</v>
      </c>
      <c r="W4661">
        <v>9.1614660000000001E-2</v>
      </c>
      <c r="X4661">
        <v>0.98258999999999996</v>
      </c>
      <c r="Y4661">
        <v>-0.3157259</v>
      </c>
      <c r="Z4661">
        <v>1.51165E-2</v>
      </c>
      <c r="AA4661">
        <v>0.94873010000000002</v>
      </c>
      <c r="AB4661">
        <v>32</v>
      </c>
      <c r="AC4661">
        <v>-4.6055999999999804</v>
      </c>
      <c r="AD4661">
        <v>-1.1128129264669999</v>
      </c>
      <c r="AE4661">
        <v>-3.0266000000000299</v>
      </c>
      <c r="AF4661">
        <v>-1.774759016994</v>
      </c>
      <c r="AG4661">
        <v>-1.1128129264669999</v>
      </c>
      <c r="AH4661">
        <v>4.9888900199584496</v>
      </c>
      <c r="AI4661">
        <v>101.86835830511301</v>
      </c>
      <c r="AJ4661">
        <v>109.58262213024101</v>
      </c>
      <c r="AK4661">
        <v>5.4108359621184796</v>
      </c>
      <c r="AL4661">
        <v>84.743496221689597</v>
      </c>
      <c r="AM4661">
        <v>99.341065303740805</v>
      </c>
      <c r="AN4661">
        <v>1.00000006301958</v>
      </c>
    </row>
    <row r="4662" spans="1:40" x14ac:dyDescent="0.25">
      <c r="A4662" t="str">
        <f>"20190312151121118"</f>
        <v>20190312151121118</v>
      </c>
      <c r="B4662" t="str">
        <f>"1552374681115770"</f>
        <v>1552374681115770</v>
      </c>
      <c r="C4662" t="s">
        <v>40</v>
      </c>
      <c r="D4662">
        <v>4.6220699999999999</v>
      </c>
      <c r="E4662">
        <v>0.4109582</v>
      </c>
      <c r="F4662" t="s">
        <v>79</v>
      </c>
      <c r="G4662">
        <v>-401.80079999999998</v>
      </c>
      <c r="H4662" s="1">
        <v>-4.0561559999999999E-6</v>
      </c>
      <c r="I4662">
        <v>135.1996</v>
      </c>
      <c r="J4662">
        <v>-397.16840000000002</v>
      </c>
      <c r="K4662">
        <v>1.112868</v>
      </c>
      <c r="L4662">
        <v>138.2594</v>
      </c>
      <c r="M4662">
        <v>-0.97057389999999999</v>
      </c>
      <c r="N4662">
        <v>0</v>
      </c>
      <c r="O4662">
        <v>-0.24051910000000001</v>
      </c>
      <c r="P4662">
        <v>-0.91563369999999999</v>
      </c>
      <c r="Q4662">
        <v>8.0332109999999998E-2</v>
      </c>
      <c r="R4662">
        <v>-0.39390579999999997</v>
      </c>
      <c r="S4662">
        <v>-2.616028</v>
      </c>
      <c r="T4662">
        <v>-0.58977100000000005</v>
      </c>
      <c r="U4662">
        <v>-1.6627350000000001</v>
      </c>
      <c r="V4662">
        <v>-0.16274050000000001</v>
      </c>
      <c r="W4662">
        <v>9.0688699999999997E-2</v>
      </c>
      <c r="X4662">
        <v>0.98249229999999999</v>
      </c>
      <c r="Y4662">
        <v>-0.31628849999999997</v>
      </c>
      <c r="Z4662">
        <v>1.564685E-2</v>
      </c>
      <c r="AA4662">
        <v>0.94853399999999999</v>
      </c>
      <c r="AB4662">
        <v>32</v>
      </c>
      <c r="AC4662">
        <v>-4.6323999999999597</v>
      </c>
      <c r="AD4662">
        <v>-1.1128720561559999</v>
      </c>
      <c r="AE4662">
        <v>-3.0597999999999899</v>
      </c>
      <c r="AF4662">
        <v>-1.78402193087446</v>
      </c>
      <c r="AG4662">
        <v>-1.1128720561559999</v>
      </c>
      <c r="AH4662">
        <v>5.0302568190087298</v>
      </c>
      <c r="AI4662">
        <v>101.778014912611</v>
      </c>
      <c r="AJ4662">
        <v>109.527469598774</v>
      </c>
      <c r="AK4662">
        <v>5.4520365120198697</v>
      </c>
      <c r="AL4662">
        <v>84.796771354601404</v>
      </c>
      <c r="AM4662">
        <v>99.405105843740699</v>
      </c>
      <c r="AN4662">
        <v>1.0000000151036099</v>
      </c>
    </row>
    <row r="4663" spans="1:40" x14ac:dyDescent="0.25">
      <c r="A4663" t="str">
        <f>"20190312151121141"</f>
        <v>20190312151121141</v>
      </c>
      <c r="B4663" t="str">
        <f>"1552374681136266"</f>
        <v>1552374681136266</v>
      </c>
      <c r="C4663" t="s">
        <v>40</v>
      </c>
      <c r="D4663">
        <v>4.6332509999999996</v>
      </c>
      <c r="E4663">
        <v>0.40978520000000002</v>
      </c>
      <c r="F4663" t="s">
        <v>79</v>
      </c>
      <c r="G4663">
        <v>-401.08069999999998</v>
      </c>
      <c r="H4663" s="1">
        <v>-3.6992250000000001E-6</v>
      </c>
      <c r="I4663">
        <v>135.30070000000001</v>
      </c>
      <c r="J4663">
        <v>-397.47820000000002</v>
      </c>
      <c r="K4663">
        <v>1.1129389999999999</v>
      </c>
      <c r="L4663">
        <v>138.179</v>
      </c>
      <c r="M4663">
        <v>-0.96973209999999999</v>
      </c>
      <c r="N4663">
        <v>0</v>
      </c>
      <c r="O4663">
        <v>-0.24389069999999999</v>
      </c>
      <c r="P4663">
        <v>-0.91390510000000003</v>
      </c>
      <c r="Q4663">
        <v>7.9113299999999998E-2</v>
      </c>
      <c r="R4663">
        <v>-0.39814440000000001</v>
      </c>
      <c r="S4663">
        <v>-2.5196230000000002</v>
      </c>
      <c r="T4663">
        <v>-0.71671039999999997</v>
      </c>
      <c r="U4663">
        <v>-1.9054869999999999</v>
      </c>
      <c r="V4663">
        <v>-0.16386039999999999</v>
      </c>
      <c r="W4663">
        <v>8.9437340000000004E-2</v>
      </c>
      <c r="X4663">
        <v>0.98242090000000004</v>
      </c>
      <c r="Y4663">
        <v>-0.38685799999999998</v>
      </c>
      <c r="Z4663">
        <v>1.0916230000000001E-2</v>
      </c>
      <c r="AA4663">
        <v>0.92207470000000002</v>
      </c>
      <c r="AB4663">
        <v>32</v>
      </c>
      <c r="AC4663">
        <v>-3.6024999999999601</v>
      </c>
      <c r="AD4663">
        <v>-1.112942699225</v>
      </c>
      <c r="AE4663">
        <v>-2.8782999999999901</v>
      </c>
      <c r="AF4663">
        <v>-1.8074053121907201</v>
      </c>
      <c r="AG4663">
        <v>-1.112942699225</v>
      </c>
      <c r="AH4663">
        <v>3.9647723514444402</v>
      </c>
      <c r="AI4663">
        <v>104.32813305409</v>
      </c>
      <c r="AJ4663">
        <v>114.506634269809</v>
      </c>
      <c r="AK4663">
        <v>4.4971963725271902</v>
      </c>
      <c r="AL4663">
        <v>84.8687617304235</v>
      </c>
      <c r="AM4663">
        <v>99.469334772378403</v>
      </c>
      <c r="AN4663">
        <v>1.00000004661562</v>
      </c>
    </row>
    <row r="4664" spans="1:40" x14ac:dyDescent="0.25">
      <c r="A4664" t="str">
        <f>"20190312151121162"</f>
        <v>20190312151121162</v>
      </c>
      <c r="B4664" t="str">
        <f>"1552374681155785"</f>
        <v>1552374681155785</v>
      </c>
      <c r="C4664" t="s">
        <v>40</v>
      </c>
      <c r="D4664">
        <v>4.6283000000000003</v>
      </c>
      <c r="E4664">
        <v>0.40968320000000003</v>
      </c>
      <c r="F4664" t="s">
        <v>79</v>
      </c>
      <c r="G4664">
        <v>-401.298</v>
      </c>
      <c r="H4664" s="1">
        <v>-3.7925760000000001E-6</v>
      </c>
      <c r="I4664">
        <v>135.2431</v>
      </c>
      <c r="J4664">
        <v>-397.78649999999999</v>
      </c>
      <c r="K4664">
        <v>1.1130070000000001</v>
      </c>
      <c r="L4664">
        <v>138.09780000000001</v>
      </c>
      <c r="M4664">
        <v>-0.96886269999999997</v>
      </c>
      <c r="N4664">
        <v>0</v>
      </c>
      <c r="O4664">
        <v>-0.24732180000000001</v>
      </c>
      <c r="P4664">
        <v>-0.91213480000000002</v>
      </c>
      <c r="Q4664">
        <v>7.8526440000000003E-2</v>
      </c>
      <c r="R4664">
        <v>-0.40229759999999998</v>
      </c>
      <c r="S4664">
        <v>-2.506561</v>
      </c>
      <c r="T4664">
        <v>-0.7303096</v>
      </c>
      <c r="U4664">
        <v>-1.926544</v>
      </c>
      <c r="V4664">
        <v>-0.16485089999999999</v>
      </c>
      <c r="W4664">
        <v>8.8818969999999997E-2</v>
      </c>
      <c r="X4664">
        <v>0.98231120000000005</v>
      </c>
      <c r="Y4664">
        <v>-0.3906424</v>
      </c>
      <c r="Z4664">
        <v>1.1459860000000001E-2</v>
      </c>
      <c r="AA4664">
        <v>0.92047109999999999</v>
      </c>
      <c r="AB4664">
        <v>32</v>
      </c>
      <c r="AC4664">
        <v>-3.5115000000000101</v>
      </c>
      <c r="AD4664">
        <v>-1.113010792576</v>
      </c>
      <c r="AE4664">
        <v>-2.8546999999999998</v>
      </c>
      <c r="AF4664">
        <v>-1.7892438559739201</v>
      </c>
      <c r="AG4664">
        <v>-1.113010792576</v>
      </c>
      <c r="AH4664">
        <v>3.8741333592987202</v>
      </c>
      <c r="AI4664">
        <v>104.618211825592</v>
      </c>
      <c r="AJ4664">
        <v>114.78955376158601</v>
      </c>
      <c r="AK4664">
        <v>4.4101129108178503</v>
      </c>
      <c r="AL4664">
        <v>84.904332852766998</v>
      </c>
      <c r="AM4664">
        <v>99.526573228714696</v>
      </c>
      <c r="AN4664">
        <v>0.99999996115405398</v>
      </c>
    </row>
    <row r="4665" spans="1:40" x14ac:dyDescent="0.25">
      <c r="A4665" t="str">
        <f>"20190312151121184"</f>
        <v>20190312151121184</v>
      </c>
      <c r="B4665" t="str">
        <f>"1552374681176065"</f>
        <v>1552374681176065</v>
      </c>
      <c r="C4665" t="s">
        <v>40</v>
      </c>
      <c r="D4665">
        <v>4.6773920000000002</v>
      </c>
      <c r="E4665">
        <v>0.40927219999999997</v>
      </c>
      <c r="F4665" t="s">
        <v>79</v>
      </c>
      <c r="G4665">
        <v>-401.65600000000001</v>
      </c>
      <c r="H4665" s="1">
        <v>-3.9175210000000001E-6</v>
      </c>
      <c r="I4665">
        <v>135.09389999999999</v>
      </c>
      <c r="J4665">
        <v>-398.10059999999999</v>
      </c>
      <c r="K4665">
        <v>1.1130709999999999</v>
      </c>
      <c r="L4665">
        <v>138.0138</v>
      </c>
      <c r="M4665">
        <v>-0.9679432</v>
      </c>
      <c r="N4665">
        <v>0</v>
      </c>
      <c r="O4665">
        <v>-0.25089660000000003</v>
      </c>
      <c r="P4665">
        <v>-0.91024419999999995</v>
      </c>
      <c r="Q4665">
        <v>7.8532320000000003E-2</v>
      </c>
      <c r="R4665">
        <v>-0.4065571</v>
      </c>
      <c r="S4665">
        <v>-2.496124</v>
      </c>
      <c r="T4665">
        <v>-0.71798030000000002</v>
      </c>
      <c r="U4665">
        <v>-1.937759</v>
      </c>
      <c r="V4665">
        <v>-0.16583200000000001</v>
      </c>
      <c r="W4665">
        <v>8.879426E-2</v>
      </c>
      <c r="X4665">
        <v>0.98214829999999997</v>
      </c>
      <c r="Y4665">
        <v>-0.39186140000000003</v>
      </c>
      <c r="Z4665">
        <v>1.1970069999999999E-2</v>
      </c>
      <c r="AA4665">
        <v>0.91994640000000005</v>
      </c>
      <c r="AB4665">
        <v>32</v>
      </c>
      <c r="AC4665">
        <v>-3.5554000000000201</v>
      </c>
      <c r="AD4665">
        <v>-1.113074917521</v>
      </c>
      <c r="AE4665">
        <v>-2.9199000000000099</v>
      </c>
      <c r="AF4665">
        <v>-1.8274282834323801</v>
      </c>
      <c r="AG4665">
        <v>-1.113074917521</v>
      </c>
      <c r="AH4665">
        <v>3.9434825945459502</v>
      </c>
      <c r="AI4665">
        <v>104.364476641333</v>
      </c>
      <c r="AJ4665">
        <v>114.86322699039501</v>
      </c>
      <c r="AK4665">
        <v>4.4865894481877699</v>
      </c>
      <c r="AL4665">
        <v>84.905754333736297</v>
      </c>
      <c r="AM4665">
        <v>99.583781605783301</v>
      </c>
      <c r="AN4665">
        <v>0.99999997801291796</v>
      </c>
    </row>
    <row r="4666" spans="1:40" x14ac:dyDescent="0.25">
      <c r="A4666" t="str">
        <f>"20190312151121207"</f>
        <v>20190312151121207</v>
      </c>
      <c r="B4666" t="str">
        <f>"1552374681195586"</f>
        <v>1552374681195586</v>
      </c>
      <c r="C4666" t="s">
        <v>40</v>
      </c>
      <c r="D4666">
        <v>4.5853729999999997</v>
      </c>
      <c r="E4666">
        <v>0.40928350000000002</v>
      </c>
      <c r="F4666" t="s">
        <v>79</v>
      </c>
      <c r="G4666">
        <v>-401.97390000000001</v>
      </c>
      <c r="H4666" s="1">
        <v>-4.0338280000000002E-6</v>
      </c>
      <c r="I4666">
        <v>134.97139999999999</v>
      </c>
      <c r="J4666">
        <v>-398.40320000000003</v>
      </c>
      <c r="K4666">
        <v>1.1131310000000001</v>
      </c>
      <c r="L4666">
        <v>137.93170000000001</v>
      </c>
      <c r="M4666">
        <v>-0.96702339999999998</v>
      </c>
      <c r="N4666">
        <v>0</v>
      </c>
      <c r="O4666">
        <v>-0.25441819999999998</v>
      </c>
      <c r="P4666">
        <v>-0.90832800000000002</v>
      </c>
      <c r="Q4666">
        <v>7.8680369999999999E-2</v>
      </c>
      <c r="R4666">
        <v>-0.41079110000000002</v>
      </c>
      <c r="S4666">
        <v>-2.4855040000000002</v>
      </c>
      <c r="T4666">
        <v>-0.71425459999999996</v>
      </c>
      <c r="U4666">
        <v>-1.952286</v>
      </c>
      <c r="V4666">
        <v>-0.16684979999999999</v>
      </c>
      <c r="W4666">
        <v>8.8911110000000002E-2</v>
      </c>
      <c r="X4666">
        <v>0.98196539999999999</v>
      </c>
      <c r="Y4666">
        <v>-0.39381890000000003</v>
      </c>
      <c r="Z4666">
        <v>1.249572E-2</v>
      </c>
      <c r="AA4666">
        <v>0.91910309999999995</v>
      </c>
      <c r="AB4666">
        <v>32</v>
      </c>
      <c r="AC4666">
        <v>-3.57069999999998</v>
      </c>
      <c r="AD4666">
        <v>-1.1131350338279999</v>
      </c>
      <c r="AE4666">
        <v>-2.9603000000000099</v>
      </c>
      <c r="AF4666">
        <v>-1.84792971305266</v>
      </c>
      <c r="AG4666">
        <v>-1.1131350338279999</v>
      </c>
      <c r="AH4666">
        <v>3.9773171565068099</v>
      </c>
      <c r="AI4666">
        <v>104.24168722853</v>
      </c>
      <c r="AJ4666">
        <v>114.92038855603801</v>
      </c>
      <c r="AK4666">
        <v>4.5247061331495901</v>
      </c>
      <c r="AL4666">
        <v>84.899033073928805</v>
      </c>
      <c r="AM4666">
        <v>99.643263644598207</v>
      </c>
      <c r="AN4666">
        <v>1.00000004401931</v>
      </c>
    </row>
    <row r="4667" spans="1:40" x14ac:dyDescent="0.25">
      <c r="A4667" t="str">
        <f>"20190312151121229"</f>
        <v>20190312151121229</v>
      </c>
      <c r="B4667" t="str">
        <f>"1552374681225841"</f>
        <v>1552374681225841</v>
      </c>
      <c r="C4667" t="s">
        <v>40</v>
      </c>
      <c r="D4667">
        <v>4.5405939999999996</v>
      </c>
      <c r="E4667">
        <v>0.40912609999999999</v>
      </c>
      <c r="F4667" t="s">
        <v>79</v>
      </c>
      <c r="G4667">
        <v>-402.29820000000001</v>
      </c>
      <c r="H4667" s="1">
        <v>-4.1507870000000004E-6</v>
      </c>
      <c r="I4667">
        <v>134.8433</v>
      </c>
      <c r="J4667">
        <v>-398.71780000000001</v>
      </c>
      <c r="K4667">
        <v>1.113202</v>
      </c>
      <c r="L4667">
        <v>137.8449</v>
      </c>
      <c r="M4667">
        <v>-0.9660299</v>
      </c>
      <c r="N4667">
        <v>0</v>
      </c>
      <c r="O4667">
        <v>-0.25816440000000002</v>
      </c>
      <c r="P4667">
        <v>-0.90648790000000001</v>
      </c>
      <c r="Q4667">
        <v>7.8532110000000002E-2</v>
      </c>
      <c r="R4667">
        <v>-0.41486440000000002</v>
      </c>
      <c r="S4667">
        <v>-2.4761350000000002</v>
      </c>
      <c r="T4667">
        <v>-0.70763679999999995</v>
      </c>
      <c r="U4667">
        <v>-1.963303</v>
      </c>
      <c r="V4667">
        <v>-0.16746249999999999</v>
      </c>
      <c r="W4667">
        <v>8.8733000000000006E-2</v>
      </c>
      <c r="X4667">
        <v>0.98187709999999995</v>
      </c>
      <c r="Y4667">
        <v>-0.39458939999999998</v>
      </c>
      <c r="Z4667">
        <v>1.3164800000000001E-2</v>
      </c>
      <c r="AA4667">
        <v>0.91876329999999995</v>
      </c>
      <c r="AB4667">
        <v>32</v>
      </c>
      <c r="AC4667">
        <v>-3.5803999999999898</v>
      </c>
      <c r="AD4667">
        <v>-1.1132061507869999</v>
      </c>
      <c r="AE4667">
        <v>-3.0015999999999901</v>
      </c>
      <c r="AF4667">
        <v>-1.8693177806899199</v>
      </c>
      <c r="AG4667">
        <v>-1.1132061507869999</v>
      </c>
      <c r="AH4667">
        <v>4.0065198346574498</v>
      </c>
      <c r="AI4667">
        <v>104.132793637898</v>
      </c>
      <c r="AJ4667">
        <v>115.012296122251</v>
      </c>
      <c r="AK4667">
        <v>4.5591422531938104</v>
      </c>
      <c r="AL4667">
        <v>84.909277972789297</v>
      </c>
      <c r="AM4667">
        <v>99.678860631830801</v>
      </c>
      <c r="AN4667">
        <v>0.99999993684982802</v>
      </c>
    </row>
    <row r="4668" spans="1:40" x14ac:dyDescent="0.25">
      <c r="A4668" t="str">
        <f>"20190312151121252"</f>
        <v>20190312151121252</v>
      </c>
      <c r="B4668" t="str">
        <f>"1552374681246337"</f>
        <v>1552374681246337</v>
      </c>
      <c r="C4668" t="s">
        <v>40</v>
      </c>
      <c r="D4668">
        <v>4.791595</v>
      </c>
      <c r="E4668">
        <v>0.40942279999999998</v>
      </c>
      <c r="F4668" t="s">
        <v>79</v>
      </c>
      <c r="G4668">
        <v>-402.5933</v>
      </c>
      <c r="H4668" s="1">
        <v>-4.2398700000000003E-6</v>
      </c>
      <c r="I4668">
        <v>134.7413</v>
      </c>
      <c r="J4668">
        <v>-399.03379999999999</v>
      </c>
      <c r="K4668">
        <v>1.1132799999999901</v>
      </c>
      <c r="L4668">
        <v>137.75630000000001</v>
      </c>
      <c r="M4668">
        <v>-0.96499409999999997</v>
      </c>
      <c r="N4668">
        <v>0</v>
      </c>
      <c r="O4668">
        <v>-0.26201000000000002</v>
      </c>
      <c r="P4668">
        <v>-0.90457719999999997</v>
      </c>
      <c r="Q4668">
        <v>7.8610109999999997E-2</v>
      </c>
      <c r="R4668">
        <v>-0.41899999999999998</v>
      </c>
      <c r="S4668">
        <v>-2.4667659999999998</v>
      </c>
      <c r="T4668">
        <v>-0.70855389999999996</v>
      </c>
      <c r="U4668">
        <v>-1.975403</v>
      </c>
      <c r="V4668">
        <v>-0.16805499999999901</v>
      </c>
      <c r="W4668">
        <v>8.8780490000000004E-2</v>
      </c>
      <c r="X4668">
        <v>0.98177159999999997</v>
      </c>
      <c r="Y4668">
        <v>-0.39543859999999997</v>
      </c>
      <c r="Z4668">
        <v>1.397608E-2</v>
      </c>
      <c r="AA4668">
        <v>0.91838609999999998</v>
      </c>
      <c r="AB4668">
        <v>32</v>
      </c>
      <c r="AC4668">
        <v>-3.5595000000000101</v>
      </c>
      <c r="AD4668">
        <v>-1.11328423986999</v>
      </c>
      <c r="AE4668">
        <v>-3.0150000000000099</v>
      </c>
      <c r="AF4668">
        <v>-1.8704336929973899</v>
      </c>
      <c r="AG4668">
        <v>-1.11328423986999</v>
      </c>
      <c r="AH4668">
        <v>3.9974624853525702</v>
      </c>
      <c r="AI4668">
        <v>104.157516261526</v>
      </c>
      <c r="AJ4668">
        <v>115.075140592032</v>
      </c>
      <c r="AK4668">
        <v>4.5516623688982003</v>
      </c>
      <c r="AL4668">
        <v>84.906546366115705</v>
      </c>
      <c r="AM4668">
        <v>99.713478124640503</v>
      </c>
      <c r="AN4668">
        <v>0.99999996649809897</v>
      </c>
    </row>
    <row r="4669" spans="1:40" x14ac:dyDescent="0.25">
      <c r="A4669" t="str">
        <f>"20190312151121274"</f>
        <v>20190312151121274</v>
      </c>
      <c r="B4669" t="str">
        <f>"1552374681265870"</f>
        <v>1552374681265870</v>
      </c>
      <c r="C4669" t="s">
        <v>40</v>
      </c>
      <c r="D4669">
        <v>4.5425550000000001</v>
      </c>
      <c r="E4669">
        <v>0.40960659999999999</v>
      </c>
      <c r="F4669" t="s">
        <v>79</v>
      </c>
      <c r="G4669">
        <v>-402.95069999999998</v>
      </c>
      <c r="H4669" s="1">
        <v>-4.3302009999999999E-6</v>
      </c>
      <c r="I4669">
        <v>134.59540000000001</v>
      </c>
      <c r="J4669">
        <v>-399.34100000000001</v>
      </c>
      <c r="K4669">
        <v>1.113361</v>
      </c>
      <c r="L4669">
        <v>137.66890000000001</v>
      </c>
      <c r="M4669">
        <v>-0.96394840000000004</v>
      </c>
      <c r="N4669">
        <v>0</v>
      </c>
      <c r="O4669">
        <v>-0.26583040000000002</v>
      </c>
      <c r="P4669">
        <v>-0.90253300000000003</v>
      </c>
      <c r="Q4669">
        <v>7.9091090000000003E-2</v>
      </c>
      <c r="R4669">
        <v>-0.42329509999999998</v>
      </c>
      <c r="S4669">
        <v>-2.4582820000000001</v>
      </c>
      <c r="T4669">
        <v>-0.69869590000000004</v>
      </c>
      <c r="U4669">
        <v>-1.983841</v>
      </c>
      <c r="V4669">
        <v>-0.1688654</v>
      </c>
      <c r="W4669">
        <v>8.9230740000000003E-2</v>
      </c>
      <c r="X4669">
        <v>0.98159180000000001</v>
      </c>
      <c r="Y4669">
        <v>-0.39543010000000001</v>
      </c>
      <c r="Z4669">
        <v>1.4674420000000001E-2</v>
      </c>
      <c r="AA4669">
        <v>0.91837880000000005</v>
      </c>
      <c r="AB4669">
        <v>32</v>
      </c>
      <c r="AC4669">
        <v>-3.6096999999999699</v>
      </c>
      <c r="AD4669">
        <v>-1.113365330201</v>
      </c>
      <c r="AE4669">
        <v>-3.0734999999999899</v>
      </c>
      <c r="AF4669">
        <v>-1.8985587588669799</v>
      </c>
      <c r="AG4669">
        <v>-1.113365330201</v>
      </c>
      <c r="AH4669">
        <v>4.0723004642577099</v>
      </c>
      <c r="AI4669">
        <v>103.917178495352</v>
      </c>
      <c r="AJ4669">
        <v>114.99553739988001</v>
      </c>
      <c r="AK4669">
        <v>4.6290105628047202</v>
      </c>
      <c r="AL4669">
        <v>84.880646600089307</v>
      </c>
      <c r="AM4669">
        <v>99.761173348444103</v>
      </c>
      <c r="AN4669">
        <v>1.00000005505267</v>
      </c>
    </row>
    <row r="4670" spans="1:40" x14ac:dyDescent="0.25">
      <c r="A4670" t="str">
        <f>"20190312151121297"</f>
        <v>20190312151121297</v>
      </c>
      <c r="B4670" t="str">
        <f>"1552374681286148"</f>
        <v>1552374681286148</v>
      </c>
      <c r="C4670" t="s">
        <v>40</v>
      </c>
      <c r="D4670">
        <v>4.5836230000000002</v>
      </c>
      <c r="E4670">
        <v>0.40926760000000001</v>
      </c>
      <c r="F4670" t="s">
        <v>79</v>
      </c>
      <c r="G4670">
        <v>-403.30369999999999</v>
      </c>
      <c r="H4670" s="1">
        <v>-4.4156539999999999E-6</v>
      </c>
      <c r="I4670">
        <v>134.44309999999999</v>
      </c>
      <c r="J4670">
        <v>-399.6515</v>
      </c>
      <c r="K4670">
        <v>1.1134360000000001</v>
      </c>
      <c r="L4670">
        <v>137.57910000000001</v>
      </c>
      <c r="M4670">
        <v>-0.96285209999999999</v>
      </c>
      <c r="N4670">
        <v>0</v>
      </c>
      <c r="O4670">
        <v>-0.26977380000000001</v>
      </c>
      <c r="P4670">
        <v>-0.90056130000000001</v>
      </c>
      <c r="Q4670">
        <v>7.9387559999999996E-2</v>
      </c>
      <c r="R4670">
        <v>-0.4274194</v>
      </c>
      <c r="S4670">
        <v>-2.4492189999999998</v>
      </c>
      <c r="T4670">
        <v>-0.68813859999999905</v>
      </c>
      <c r="U4670">
        <v>-1.9937590000000001</v>
      </c>
      <c r="V4670">
        <v>-0.1693645</v>
      </c>
      <c r="W4670">
        <v>8.9503830000000006E-2</v>
      </c>
      <c r="X4670">
        <v>0.98148089999999999</v>
      </c>
      <c r="Y4670">
        <v>-0.39573979999999997</v>
      </c>
      <c r="Z4670">
        <v>1.532234E-2</v>
      </c>
      <c r="AA4670">
        <v>0.91823480000000002</v>
      </c>
      <c r="AB4670">
        <v>32</v>
      </c>
      <c r="AC4670">
        <v>-3.6521999999999899</v>
      </c>
      <c r="AD4670">
        <v>-1.1134404156540001</v>
      </c>
      <c r="AE4670">
        <v>-3.1360000000000201</v>
      </c>
      <c r="AF4670">
        <v>-1.9310653873077599</v>
      </c>
      <c r="AG4670">
        <v>-1.1134404156540001</v>
      </c>
      <c r="AH4670">
        <v>4.1412829750513902</v>
      </c>
      <c r="AI4670">
        <v>103.69462075154701</v>
      </c>
      <c r="AJ4670">
        <v>114.99947066947</v>
      </c>
      <c r="AK4670">
        <v>4.7030827941596298</v>
      </c>
      <c r="AL4670">
        <v>84.864936622411605</v>
      </c>
      <c r="AM4670">
        <v>99.790550876922595</v>
      </c>
      <c r="AN4670">
        <v>1.0000000132548601</v>
      </c>
    </row>
    <row r="4671" spans="1:40" x14ac:dyDescent="0.25">
      <c r="A4671" t="str">
        <f>"20190312151121320"</f>
        <v>20190312151121320</v>
      </c>
      <c r="B4671" t="str">
        <f>"1552374681315428"</f>
        <v>1552374681315428</v>
      </c>
      <c r="C4671" t="s">
        <v>40</v>
      </c>
      <c r="D4671">
        <v>4.5110270000000003</v>
      </c>
      <c r="E4671">
        <v>0.40923540000000003</v>
      </c>
      <c r="F4671" t="s">
        <v>79</v>
      </c>
      <c r="G4671">
        <v>-403.63959999999997</v>
      </c>
      <c r="H4671" s="1">
        <v>-4.4967999999999999E-6</v>
      </c>
      <c r="I4671">
        <v>134.2979</v>
      </c>
      <c r="J4671">
        <v>-399.95769999999999</v>
      </c>
      <c r="K4671">
        <v>1.1135090000000001</v>
      </c>
      <c r="L4671">
        <v>137.489</v>
      </c>
      <c r="M4671">
        <v>-0.96172899999999995</v>
      </c>
      <c r="N4671">
        <v>0</v>
      </c>
      <c r="O4671">
        <v>-0.2737501</v>
      </c>
      <c r="P4671">
        <v>-0.89857450000000005</v>
      </c>
      <c r="Q4671">
        <v>7.8500609999999998E-2</v>
      </c>
      <c r="R4671">
        <v>-0.43174279999999998</v>
      </c>
      <c r="S4671">
        <v>-2.438904</v>
      </c>
      <c r="T4671">
        <v>-0.68092010000000003</v>
      </c>
      <c r="U4671">
        <v>-2.0066220000000001</v>
      </c>
      <c r="V4671">
        <v>-0.17001479999999999</v>
      </c>
      <c r="W4671">
        <v>8.8594790000000007E-2</v>
      </c>
      <c r="X4671">
        <v>0.98145090000000001</v>
      </c>
      <c r="Y4671">
        <v>-0.3968585</v>
      </c>
      <c r="Z4671">
        <v>1.5930730000000001E-2</v>
      </c>
      <c r="AA4671">
        <v>0.91774149999999999</v>
      </c>
      <c r="AB4671">
        <v>32</v>
      </c>
      <c r="AC4671">
        <v>-3.6818999999999802</v>
      </c>
      <c r="AD4671">
        <v>-1.1135134968</v>
      </c>
      <c r="AE4671">
        <v>-3.1911</v>
      </c>
      <c r="AF4671">
        <v>-1.9588830788023099</v>
      </c>
      <c r="AG4671">
        <v>-1.1135134968</v>
      </c>
      <c r="AH4671">
        <v>4.19571712742815</v>
      </c>
      <c r="AI4671">
        <v>103.521474217025</v>
      </c>
      <c r="AJ4671">
        <v>115.026780379241</v>
      </c>
      <c r="AK4671">
        <v>4.7624759776158099</v>
      </c>
      <c r="AL4671">
        <v>84.917228298101406</v>
      </c>
      <c r="AM4671">
        <v>99.827706070611697</v>
      </c>
      <c r="AN4671">
        <v>0.999999969072496</v>
      </c>
    </row>
    <row r="4672" spans="1:40" x14ac:dyDescent="0.25">
      <c r="A4672" t="str">
        <f>"20190312151121341"</f>
        <v>20190312151121341</v>
      </c>
      <c r="B4672" t="str">
        <f>"1552374681335924"</f>
        <v>1552374681335924</v>
      </c>
      <c r="C4672" t="s">
        <v>40</v>
      </c>
      <c r="D4672">
        <v>4.5328860000000004</v>
      </c>
      <c r="E4672">
        <v>0.40899799999999997</v>
      </c>
      <c r="F4672" t="s">
        <v>79</v>
      </c>
      <c r="G4672">
        <v>-403.9393</v>
      </c>
      <c r="H4672" s="1">
        <v>-4.5749059999999998E-6</v>
      </c>
      <c r="I4672">
        <v>134.18049999999999</v>
      </c>
      <c r="J4672">
        <v>-400.26760000000002</v>
      </c>
      <c r="K4672">
        <v>1.11358</v>
      </c>
      <c r="L4672">
        <v>137.3964</v>
      </c>
      <c r="M4672">
        <v>-0.96055089999999999</v>
      </c>
      <c r="N4672">
        <v>0</v>
      </c>
      <c r="O4672">
        <v>-0.27785480000000001</v>
      </c>
      <c r="P4672">
        <v>-0.89666699999999999</v>
      </c>
      <c r="Q4672">
        <v>7.7871899999999994E-2</v>
      </c>
      <c r="R4672">
        <v>-0.4358032</v>
      </c>
      <c r="S4672">
        <v>-2.4284059999999998</v>
      </c>
      <c r="T4672">
        <v>-0.67914719999999995</v>
      </c>
      <c r="U4672">
        <v>-2.0178989999999999</v>
      </c>
      <c r="V4672">
        <v>-0.1702581</v>
      </c>
      <c r="W4672">
        <v>8.7948830000000006E-2</v>
      </c>
      <c r="X4672">
        <v>0.98146679999999997</v>
      </c>
      <c r="Y4672">
        <v>-0.39749370000000001</v>
      </c>
      <c r="Z4672">
        <v>1.6745059999999999E-2</v>
      </c>
      <c r="AA4672">
        <v>0.91745209999999999</v>
      </c>
      <c r="AB4672">
        <v>32</v>
      </c>
      <c r="AC4672">
        <v>-3.67169999999998</v>
      </c>
      <c r="AD4672">
        <v>-1.113584574906</v>
      </c>
      <c r="AE4672">
        <v>-3.2159</v>
      </c>
      <c r="AF4672">
        <v>-1.96661227046913</v>
      </c>
      <c r="AG4672">
        <v>-1.113584574906</v>
      </c>
      <c r="AH4672">
        <v>4.2019898533845899</v>
      </c>
      <c r="AI4672">
        <v>103.49715909486901</v>
      </c>
      <c r="AJ4672">
        <v>115.08050025380599</v>
      </c>
      <c r="AK4672">
        <v>4.7712003893963004</v>
      </c>
      <c r="AL4672">
        <v>84.954384017670506</v>
      </c>
      <c r="AM4672">
        <v>99.8413389026978</v>
      </c>
      <c r="AN4672">
        <v>0.99999994840810802</v>
      </c>
    </row>
    <row r="4673" spans="1:40" x14ac:dyDescent="0.25">
      <c r="A4673" t="str">
        <f>"20190312151121364"</f>
        <v>20190312151121364</v>
      </c>
      <c r="B4673" t="str">
        <f>"1552374681355448"</f>
        <v>1552374681355448</v>
      </c>
      <c r="C4673" t="s">
        <v>40</v>
      </c>
      <c r="D4673">
        <v>4.4898910000000001</v>
      </c>
      <c r="E4673">
        <v>0.40884239999999999</v>
      </c>
      <c r="F4673" t="s">
        <v>79</v>
      </c>
      <c r="G4673">
        <v>-404.21030000000002</v>
      </c>
      <c r="H4673" s="1">
        <v>-4.6498419999999998E-6</v>
      </c>
      <c r="I4673">
        <v>134.08359999999999</v>
      </c>
      <c r="J4673">
        <v>-400.57479999999998</v>
      </c>
      <c r="K4673">
        <v>1.1136360000000001</v>
      </c>
      <c r="L4673">
        <v>137.303</v>
      </c>
      <c r="M4673">
        <v>-0.95934580000000003</v>
      </c>
      <c r="N4673">
        <v>0</v>
      </c>
      <c r="O4673">
        <v>-0.28198709999999999</v>
      </c>
      <c r="P4673">
        <v>-0.89463530000000002</v>
      </c>
      <c r="Q4673">
        <v>7.7173019999999995E-2</v>
      </c>
      <c r="R4673">
        <v>-0.44008199999999997</v>
      </c>
      <c r="S4673">
        <v>-2.417694</v>
      </c>
      <c r="T4673">
        <v>-0.68285600000000002</v>
      </c>
      <c r="U4673">
        <v>-2.0314030000000001</v>
      </c>
      <c r="V4673">
        <v>-0.17071339999999999</v>
      </c>
      <c r="W4673">
        <v>8.7233459999999999E-2</v>
      </c>
      <c r="X4673">
        <v>0.98145159999999998</v>
      </c>
      <c r="Y4673">
        <v>-0.39858450000000001</v>
      </c>
      <c r="Z4673">
        <v>1.764104E-2</v>
      </c>
      <c r="AA4673">
        <v>0.91696200000000005</v>
      </c>
      <c r="AB4673">
        <v>32</v>
      </c>
      <c r="AC4673">
        <v>-3.6355000000000302</v>
      </c>
      <c r="AD4673">
        <v>-1.113640649842</v>
      </c>
      <c r="AE4673">
        <v>-3.2193999999999998</v>
      </c>
      <c r="AF4673">
        <v>-1.96039573719531</v>
      </c>
      <c r="AG4673">
        <v>-1.113640649842</v>
      </c>
      <c r="AH4673">
        <v>4.1762010128185096</v>
      </c>
      <c r="AI4673">
        <v>103.571047770787</v>
      </c>
      <c r="AJ4673">
        <v>115.14633842333799</v>
      </c>
      <c r="AK4673">
        <v>4.7459458322720396</v>
      </c>
      <c r="AL4673">
        <v>84.995530066376105</v>
      </c>
      <c r="AM4673">
        <v>99.8672895817013</v>
      </c>
      <c r="AN4673">
        <v>0.99999999231284498</v>
      </c>
    </row>
    <row r="4674" spans="1:40" x14ac:dyDescent="0.25">
      <c r="A4674" t="str">
        <f>"20190312151121386"</f>
        <v>20190312151121386</v>
      </c>
      <c r="B4674" t="str">
        <f>"1552374681375584"</f>
        <v>1552374681375584</v>
      </c>
      <c r="C4674" t="s">
        <v>40</v>
      </c>
      <c r="D4674">
        <v>4.527679</v>
      </c>
      <c r="E4674">
        <v>0.40874739999999998</v>
      </c>
      <c r="F4674" t="s">
        <v>79</v>
      </c>
      <c r="G4674">
        <v>-404.47019999999998</v>
      </c>
      <c r="H4674" s="1">
        <v>-4.7234949999999901E-6</v>
      </c>
      <c r="I4674">
        <v>133.99449999999999</v>
      </c>
      <c r="J4674">
        <v>-400.88459999999998</v>
      </c>
      <c r="K4674">
        <v>1.113691</v>
      </c>
      <c r="L4674">
        <v>137.20740000000001</v>
      </c>
      <c r="M4674">
        <v>-0.95809239999999996</v>
      </c>
      <c r="N4674">
        <v>0</v>
      </c>
      <c r="O4674">
        <v>-0.28621649999999998</v>
      </c>
      <c r="P4674">
        <v>-0.89232129999999998</v>
      </c>
      <c r="Q4674">
        <v>7.6237429999999995E-2</v>
      </c>
      <c r="R4674">
        <v>-0.4449169</v>
      </c>
      <c r="S4674">
        <v>-2.4070429999999998</v>
      </c>
      <c r="T4674">
        <v>-0.68813469999999999</v>
      </c>
      <c r="U4674">
        <v>-2.0443880000000001</v>
      </c>
      <c r="V4674">
        <v>-0.17167679999999999</v>
      </c>
      <c r="W4674">
        <v>8.6276720000000001E-2</v>
      </c>
      <c r="X4674">
        <v>0.98136809999999997</v>
      </c>
      <c r="Y4674">
        <v>-0.39944489999999999</v>
      </c>
      <c r="Z4674">
        <v>1.8638120000000001E-2</v>
      </c>
      <c r="AA4674">
        <v>0.91656769999999999</v>
      </c>
      <c r="AB4674">
        <v>32</v>
      </c>
      <c r="AC4674">
        <v>-3.5855999999999901</v>
      </c>
      <c r="AD4674">
        <v>-1.113695723495</v>
      </c>
      <c r="AE4674">
        <v>-3.2129000000000101</v>
      </c>
      <c r="AF4674">
        <v>-1.94790766062228</v>
      </c>
      <c r="AG4674">
        <v>-1.113695723495</v>
      </c>
      <c r="AH4674">
        <v>4.1340135452988704</v>
      </c>
      <c r="AI4674">
        <v>103.696009637446</v>
      </c>
      <c r="AJ4674">
        <v>115.229365226048</v>
      </c>
      <c r="AK4674">
        <v>4.7036932735411803</v>
      </c>
      <c r="AL4674">
        <v>85.050554592720303</v>
      </c>
      <c r="AM4674">
        <v>99.922698267642403</v>
      </c>
      <c r="AN4674">
        <v>0.99999997188490297</v>
      </c>
    </row>
    <row r="4675" spans="1:40" x14ac:dyDescent="0.25">
      <c r="A4675" t="str">
        <f>"20190312151121408"</f>
        <v>20190312151121408</v>
      </c>
      <c r="B4675" t="str">
        <f>"1552374681405840"</f>
        <v>1552374681405840</v>
      </c>
      <c r="C4675" t="s">
        <v>40</v>
      </c>
      <c r="D4675">
        <v>4.4880829999999996</v>
      </c>
      <c r="E4675">
        <v>0.44345639999999997</v>
      </c>
      <c r="F4675" t="s">
        <v>79</v>
      </c>
      <c r="G4675">
        <v>-404.73450000000003</v>
      </c>
      <c r="H4675" s="1">
        <v>-4.7964639999999996E-6</v>
      </c>
      <c r="I4675">
        <v>133.8998</v>
      </c>
      <c r="J4675">
        <v>-401.18959999999998</v>
      </c>
      <c r="K4675">
        <v>1.113747</v>
      </c>
      <c r="L4675">
        <v>137.11170000000001</v>
      </c>
      <c r="M4675">
        <v>-0.95681769999999999</v>
      </c>
      <c r="N4675">
        <v>0</v>
      </c>
      <c r="O4675">
        <v>-0.2904484</v>
      </c>
      <c r="P4675">
        <v>-0.89035689999999901</v>
      </c>
      <c r="Q4675">
        <v>7.5150389999999997E-2</v>
      </c>
      <c r="R4675">
        <v>-0.44901809999999998</v>
      </c>
      <c r="S4675">
        <v>-2.3951720000000001</v>
      </c>
      <c r="T4675">
        <v>-0.69287109999999996</v>
      </c>
      <c r="U4675">
        <v>-2.0578159999999999</v>
      </c>
      <c r="V4675">
        <v>-0.1718307</v>
      </c>
      <c r="W4675">
        <v>8.5176909999999995E-2</v>
      </c>
      <c r="X4675">
        <v>0.98143729999999996</v>
      </c>
      <c r="Y4675">
        <v>-0.40062199999999998</v>
      </c>
      <c r="Z4675">
        <v>1.9600530000000001E-2</v>
      </c>
      <c r="AA4675">
        <v>0.91603380000000001</v>
      </c>
      <c r="AB4675">
        <v>32</v>
      </c>
      <c r="AC4675">
        <v>-3.5449000000000401</v>
      </c>
      <c r="AD4675">
        <v>-1.113751796464</v>
      </c>
      <c r="AE4675">
        <v>-3.2119000000000102</v>
      </c>
      <c r="AF4675">
        <v>-1.93864307297274</v>
      </c>
      <c r="AG4675">
        <v>-1.113751796464</v>
      </c>
      <c r="AH4675">
        <v>4.1026175521324504</v>
      </c>
      <c r="AI4675">
        <v>103.79059790873001</v>
      </c>
      <c r="AJ4675">
        <v>115.292518577743</v>
      </c>
      <c r="AK4675">
        <v>4.67228539449136</v>
      </c>
      <c r="AL4675">
        <v>85.113802210000699</v>
      </c>
      <c r="AM4675">
        <v>99.930730148951</v>
      </c>
      <c r="AN4675">
        <v>1.0000000346454601</v>
      </c>
    </row>
    <row r="4676" spans="1:40" x14ac:dyDescent="0.25">
      <c r="A4676" t="str">
        <f>"20190312151121431"</f>
        <v>20190312151121431</v>
      </c>
      <c r="B4676" t="str">
        <f>"1552374681426338"</f>
        <v>1552374681426338</v>
      </c>
      <c r="C4676" t="s">
        <v>40</v>
      </c>
      <c r="D4676">
        <v>4.4894569999999998</v>
      </c>
      <c r="E4676">
        <v>0.45138050000000002</v>
      </c>
      <c r="F4676" t="s">
        <v>79</v>
      </c>
      <c r="G4676">
        <v>-406.49869999999999</v>
      </c>
      <c r="H4676" s="1">
        <v>-5.6552130000000002E-6</v>
      </c>
      <c r="I4676">
        <v>133.2757</v>
      </c>
      <c r="J4676">
        <v>-401.50130000000001</v>
      </c>
      <c r="K4676">
        <v>1.113809</v>
      </c>
      <c r="L4676">
        <v>137.01240000000001</v>
      </c>
      <c r="M4676">
        <v>-0.95547289999999996</v>
      </c>
      <c r="N4676">
        <v>0</v>
      </c>
      <c r="O4676">
        <v>-0.29484159999999998</v>
      </c>
      <c r="P4676">
        <v>-0.88818189999999997</v>
      </c>
      <c r="Q4676">
        <v>7.4097389999999999E-2</v>
      </c>
      <c r="R4676">
        <v>-0.45347850000000001</v>
      </c>
      <c r="S4676">
        <v>-2.502014</v>
      </c>
      <c r="T4676">
        <v>-0.52488269999999904</v>
      </c>
      <c r="U4676">
        <v>-1.8078160000000001</v>
      </c>
      <c r="V4676">
        <v>-0.17222219999999999</v>
      </c>
      <c r="W4676">
        <v>8.4105979999999997E-2</v>
      </c>
      <c r="X4676">
        <v>0.98146100000000003</v>
      </c>
      <c r="Y4676">
        <v>-0.32017849999999998</v>
      </c>
      <c r="Z4676">
        <v>2.3247230000000001E-2</v>
      </c>
      <c r="AA4676">
        <v>0.94707200000000002</v>
      </c>
      <c r="AB4676">
        <v>32</v>
      </c>
      <c r="AC4676">
        <v>-4.9973999999999696</v>
      </c>
      <c r="AD4676">
        <v>-1.1138146552129999</v>
      </c>
      <c r="AE4676">
        <v>-3.7367000000000101</v>
      </c>
      <c r="AF4676">
        <v>-2.0322700783122398</v>
      </c>
      <c r="AG4676">
        <v>-1.1138146552129999</v>
      </c>
      <c r="AH4676">
        <v>5.6955580487742097</v>
      </c>
      <c r="AI4676">
        <v>100.436040571785</v>
      </c>
      <c r="AJ4676">
        <v>109.637247548462</v>
      </c>
      <c r="AK4676">
        <v>6.1489906687461504</v>
      </c>
      <c r="AL4676">
        <v>85.175382788308099</v>
      </c>
      <c r="AM4676">
        <v>99.952668909855504</v>
      </c>
      <c r="AN4676">
        <v>0.99999999828279995</v>
      </c>
    </row>
    <row r="4677" spans="1:40" x14ac:dyDescent="0.25">
      <c r="A4677" t="str">
        <f>"20190312151121452"</f>
        <v>20190312151121452</v>
      </c>
      <c r="B4677" t="str">
        <f>"1552374681445856"</f>
        <v>1552374681445856</v>
      </c>
      <c r="C4677" t="s">
        <v>40</v>
      </c>
      <c r="D4677">
        <v>4.4953969999999996</v>
      </c>
      <c r="E4677">
        <v>0.4552081</v>
      </c>
      <c r="F4677" t="s">
        <v>79</v>
      </c>
      <c r="G4677">
        <v>-407.4914</v>
      </c>
      <c r="H4677" s="1">
        <v>-6.1233240000000001E-6</v>
      </c>
      <c r="I4677">
        <v>132.8279</v>
      </c>
      <c r="J4677">
        <v>-401.8014</v>
      </c>
      <c r="K4677">
        <v>1.1138699999999999</v>
      </c>
      <c r="L4677">
        <v>136.9151</v>
      </c>
      <c r="M4677">
        <v>-0.9541345</v>
      </c>
      <c r="N4677">
        <v>0</v>
      </c>
      <c r="O4677">
        <v>-0.29914420000000003</v>
      </c>
      <c r="P4677">
        <v>-0.88570139999999997</v>
      </c>
      <c r="Q4677">
        <v>7.3937000000000003E-2</v>
      </c>
      <c r="R4677">
        <v>-0.45833049999999997</v>
      </c>
      <c r="S4677">
        <v>-2.518494</v>
      </c>
      <c r="T4677">
        <v>-0.4682925</v>
      </c>
      <c r="U4677">
        <v>-1.759323</v>
      </c>
      <c r="V4677">
        <v>-0.17317769999999999</v>
      </c>
      <c r="W4677">
        <v>8.3921629999999997E-2</v>
      </c>
      <c r="X4677">
        <v>0.98130859999999998</v>
      </c>
      <c r="Y4677">
        <v>-0.3010893</v>
      </c>
      <c r="Z4677">
        <v>2.3043040000000001E-2</v>
      </c>
      <c r="AA4677">
        <v>0.95331750000000004</v>
      </c>
      <c r="AB4677">
        <v>32</v>
      </c>
      <c r="AC4677">
        <v>-5.6899999999999897</v>
      </c>
      <c r="AD4677">
        <v>-1.113876123324</v>
      </c>
      <c r="AE4677">
        <v>-4.0871999999999904</v>
      </c>
      <c r="AF4677">
        <v>-2.1435748380252799</v>
      </c>
      <c r="AG4677">
        <v>-1.113876123324</v>
      </c>
      <c r="AH4677">
        <v>6.4881406118230496</v>
      </c>
      <c r="AI4677">
        <v>99.258491497031102</v>
      </c>
      <c r="AJ4677">
        <v>108.282704615168</v>
      </c>
      <c r="AK4677">
        <v>6.9232652486463397</v>
      </c>
      <c r="AL4677">
        <v>85.185982565851802</v>
      </c>
      <c r="AM4677">
        <v>100.008296561035</v>
      </c>
      <c r="AN4677">
        <v>0.99999996209655195</v>
      </c>
    </row>
    <row r="4678" spans="1:40" x14ac:dyDescent="0.25">
      <c r="A4678" t="str">
        <f>"20190312151121476"</f>
        <v>20190312151121476</v>
      </c>
      <c r="B4678" t="str">
        <f>"1552374681466352"</f>
        <v>1552374681466352</v>
      </c>
      <c r="C4678" t="s">
        <v>40</v>
      </c>
      <c r="D4678">
        <v>4.4870669999999997</v>
      </c>
      <c r="E4678">
        <v>0.45722170000000001</v>
      </c>
      <c r="F4678" t="s">
        <v>79</v>
      </c>
      <c r="G4678">
        <v>-408.2002</v>
      </c>
      <c r="H4678" s="1">
        <v>-6.4502520000000003E-6</v>
      </c>
      <c r="I4678">
        <v>132.49260000000001</v>
      </c>
      <c r="J4678">
        <v>-402.1155</v>
      </c>
      <c r="K4678">
        <v>1.113945</v>
      </c>
      <c r="L4678">
        <v>136.8117</v>
      </c>
      <c r="M4678">
        <v>-0.95268569999999997</v>
      </c>
      <c r="N4678">
        <v>0</v>
      </c>
      <c r="O4678">
        <v>-0.30372569999999999</v>
      </c>
      <c r="P4678">
        <v>-0.88300669999999903</v>
      </c>
      <c r="Q4678">
        <v>7.3108629999999994E-2</v>
      </c>
      <c r="R4678">
        <v>-0.46363209999999999</v>
      </c>
      <c r="S4678">
        <v>-2.5218509999999998</v>
      </c>
      <c r="T4678">
        <v>-0.43899369999999999</v>
      </c>
      <c r="U4678">
        <v>-1.7429809999999999</v>
      </c>
      <c r="V4678">
        <v>-0.17433270000000001</v>
      </c>
      <c r="W4678">
        <v>8.3068210000000003E-2</v>
      </c>
      <c r="X4678">
        <v>0.98117670000000001</v>
      </c>
      <c r="Y4678">
        <v>-0.29187020000000002</v>
      </c>
      <c r="Z4678">
        <v>2.301684E-2</v>
      </c>
      <c r="AA4678">
        <v>0.9561809</v>
      </c>
      <c r="AB4678">
        <v>32</v>
      </c>
      <c r="AC4678">
        <v>-6.08469999999999</v>
      </c>
      <c r="AD4678">
        <v>-1.113951450252</v>
      </c>
      <c r="AE4678">
        <v>-4.3190999999999899</v>
      </c>
      <c r="AF4678">
        <v>-2.2174056330586698</v>
      </c>
      <c r="AG4678">
        <v>-1.113951450252</v>
      </c>
      <c r="AH4678">
        <v>6.9541428782526902</v>
      </c>
      <c r="AI4678">
        <v>98.677224830157101</v>
      </c>
      <c r="AJ4678">
        <v>107.68545914252999</v>
      </c>
      <c r="AK4678">
        <v>7.3836223323103001</v>
      </c>
      <c r="AL4678">
        <v>85.2350512957955</v>
      </c>
      <c r="AM4678">
        <v>100.07501012982399</v>
      </c>
      <c r="AN4678">
        <v>0.99999996721239104</v>
      </c>
    </row>
    <row r="4679" spans="1:40" x14ac:dyDescent="0.25">
      <c r="A4679" t="str">
        <f>"20190312151121498"</f>
        <v>20190312151121498</v>
      </c>
      <c r="B4679" t="str">
        <f>"1552374681495633"</f>
        <v>1552374681495633</v>
      </c>
      <c r="C4679" t="s">
        <v>40</v>
      </c>
      <c r="D4679">
        <v>4.4668029999999996</v>
      </c>
      <c r="E4679">
        <v>0.45888010000000001</v>
      </c>
      <c r="F4679" t="s">
        <v>79</v>
      </c>
      <c r="G4679">
        <v>-408.64280000000002</v>
      </c>
      <c r="H4679" s="1">
        <v>-6.6578239999999998E-6</v>
      </c>
      <c r="I4679">
        <v>132.29349999999999</v>
      </c>
      <c r="J4679">
        <v>-402.42250000000001</v>
      </c>
      <c r="K4679">
        <v>1.114017</v>
      </c>
      <c r="L4679">
        <v>136.7089</v>
      </c>
      <c r="M4679">
        <v>-0.95121690000000003</v>
      </c>
      <c r="N4679">
        <v>0</v>
      </c>
      <c r="O4679">
        <v>-0.30829380000000001</v>
      </c>
      <c r="P4679">
        <v>-0.88050149999999905</v>
      </c>
      <c r="Q4679">
        <v>7.2638610000000006E-2</v>
      </c>
      <c r="R4679">
        <v>-0.46844520000000001</v>
      </c>
      <c r="S4679">
        <v>-2.5178829999999999</v>
      </c>
      <c r="T4679">
        <v>-0.4297049</v>
      </c>
      <c r="U4679">
        <v>-1.742874</v>
      </c>
      <c r="V4679">
        <v>-0.17498079999999999</v>
      </c>
      <c r="W4679">
        <v>8.2578289999999999E-2</v>
      </c>
      <c r="X4679">
        <v>0.98110269999999999</v>
      </c>
      <c r="Y4679">
        <v>-0.28802820000000001</v>
      </c>
      <c r="Z4679">
        <v>2.3499289999999999E-2</v>
      </c>
      <c r="AA4679">
        <v>0.95733360000000001</v>
      </c>
      <c r="AB4679">
        <v>32</v>
      </c>
      <c r="AC4679">
        <v>-6.2202999999999999</v>
      </c>
      <c r="AD4679">
        <v>-1.1140236578239999</v>
      </c>
      <c r="AE4679">
        <v>-4.4154</v>
      </c>
      <c r="AF4679">
        <v>-2.2348195865812999</v>
      </c>
      <c r="AG4679">
        <v>-1.1140236578239999</v>
      </c>
      <c r="AH4679">
        <v>7.1266108443184901</v>
      </c>
      <c r="AI4679">
        <v>98.483519157306603</v>
      </c>
      <c r="AJ4679">
        <v>107.410798369989</v>
      </c>
      <c r="AK4679">
        <v>7.5514269791289701</v>
      </c>
      <c r="AL4679">
        <v>85.263218486598205</v>
      </c>
      <c r="AM4679">
        <v>100.112440469978</v>
      </c>
      <c r="AN4679">
        <v>0.999999981147626</v>
      </c>
    </row>
    <row r="4680" spans="1:40" x14ac:dyDescent="0.25">
      <c r="A4680" t="str">
        <f>"20190312151121521"</f>
        <v>20190312151121521</v>
      </c>
      <c r="B4680" t="str">
        <f>"1552374681516128"</f>
        <v>1552374681516128</v>
      </c>
      <c r="C4680" t="s">
        <v>40</v>
      </c>
      <c r="D4680">
        <v>4.4805900000000003</v>
      </c>
      <c r="E4680">
        <v>0.45978180000000002</v>
      </c>
      <c r="F4680" t="s">
        <v>79</v>
      </c>
      <c r="G4680">
        <v>-408.92149999999998</v>
      </c>
      <c r="H4680" s="1">
        <v>-6.7897189999999999E-6</v>
      </c>
      <c r="I4680">
        <v>132.19839999999999</v>
      </c>
      <c r="J4680">
        <v>-402.72559999999999</v>
      </c>
      <c r="K4680">
        <v>1.114099</v>
      </c>
      <c r="L4680">
        <v>136.60560000000001</v>
      </c>
      <c r="M4680">
        <v>-0.94970949999999998</v>
      </c>
      <c r="N4680">
        <v>0</v>
      </c>
      <c r="O4680">
        <v>-0.31290580000000001</v>
      </c>
      <c r="P4680">
        <v>-0.87789919999999999</v>
      </c>
      <c r="Q4680">
        <v>7.2431029999999993E-2</v>
      </c>
      <c r="R4680">
        <v>-0.47333550000000002</v>
      </c>
      <c r="S4680">
        <v>-2.514313</v>
      </c>
      <c r="T4680">
        <v>-0.43099189999999998</v>
      </c>
      <c r="U4680">
        <v>-1.7450410000000001</v>
      </c>
      <c r="V4680">
        <v>-0.17568729999999999</v>
      </c>
      <c r="W4680">
        <v>8.2346849999999999E-2</v>
      </c>
      <c r="X4680">
        <v>0.98099590000000003</v>
      </c>
      <c r="Y4680">
        <v>-0.28464479999999998</v>
      </c>
      <c r="Z4680">
        <v>2.44984E-2</v>
      </c>
      <c r="AA4680">
        <v>0.95831999999999995</v>
      </c>
      <c r="AB4680">
        <v>32</v>
      </c>
      <c r="AC4680">
        <v>-6.1958999999999902</v>
      </c>
      <c r="AD4680">
        <v>-1.1141057897190001</v>
      </c>
      <c r="AE4680">
        <v>-4.4072000000000102</v>
      </c>
      <c r="AF4680">
        <v>-2.1997573908920498</v>
      </c>
      <c r="AG4680">
        <v>-1.1141057897190001</v>
      </c>
      <c r="AH4680">
        <v>7.1111821342658796</v>
      </c>
      <c r="AI4680">
        <v>98.512389956056793</v>
      </c>
      <c r="AJ4680">
        <v>107.18881458924299</v>
      </c>
      <c r="AK4680">
        <v>7.5265580205145399</v>
      </c>
      <c r="AL4680">
        <v>85.2765243979145</v>
      </c>
      <c r="AM4680">
        <v>100.153504972991</v>
      </c>
      <c r="AN4680">
        <v>0.99999999345151103</v>
      </c>
    </row>
    <row r="4681" spans="1:40" x14ac:dyDescent="0.25">
      <c r="A4681" t="str">
        <f>"20190312151121554"</f>
        <v>20190312151121554</v>
      </c>
      <c r="B4681" t="str">
        <f>"1552374681546384"</f>
        <v>1552374681546384</v>
      </c>
      <c r="C4681" t="s">
        <v>40</v>
      </c>
      <c r="D4681">
        <v>4.4902329999999999</v>
      </c>
      <c r="E4681">
        <v>0.46066859999999998</v>
      </c>
      <c r="F4681" t="s">
        <v>79</v>
      </c>
      <c r="G4681">
        <v>-409.21839999999997</v>
      </c>
      <c r="H4681" s="1">
        <v>-6.9173209999999998E-6</v>
      </c>
      <c r="I4681">
        <v>132.0675</v>
      </c>
      <c r="J4681">
        <v>-403.1748</v>
      </c>
      <c r="K4681">
        <v>1.114217</v>
      </c>
      <c r="L4681">
        <v>136.44929999999999</v>
      </c>
      <c r="M4681">
        <v>-0.94737939999999998</v>
      </c>
      <c r="N4681">
        <v>0</v>
      </c>
      <c r="O4681">
        <v>-0.31989060000000002</v>
      </c>
      <c r="P4681">
        <v>-0.87400999999999995</v>
      </c>
      <c r="Q4681">
        <v>7.1795349999999994E-2</v>
      </c>
      <c r="R4681">
        <v>-0.48057440000000001</v>
      </c>
      <c r="S4681">
        <v>-2.5077210000000001</v>
      </c>
      <c r="T4681">
        <v>-0.43030350000000001</v>
      </c>
      <c r="U4681">
        <v>-1.7527619999999999</v>
      </c>
      <c r="V4681">
        <v>-0.1765717</v>
      </c>
      <c r="W4681">
        <v>8.1679139999999997E-2</v>
      </c>
      <c r="X4681">
        <v>0.98089300000000001</v>
      </c>
      <c r="Y4681">
        <v>-0.2808426</v>
      </c>
      <c r="Z4681">
        <v>2.5759520000000001E-2</v>
      </c>
      <c r="AA4681">
        <v>0.95940809999999999</v>
      </c>
      <c r="AB4681">
        <v>32</v>
      </c>
      <c r="AC4681">
        <v>-6.0435999999999597</v>
      </c>
      <c r="AD4681">
        <v>-1.114223917321</v>
      </c>
      <c r="AE4681">
        <v>-4.3817999999999904</v>
      </c>
      <c r="AF4681">
        <v>-2.16975439073734</v>
      </c>
      <c r="AG4681">
        <v>-1.114223917321</v>
      </c>
      <c r="AH4681">
        <v>6.9724477371866396</v>
      </c>
      <c r="AI4681">
        <v>98.675637779577102</v>
      </c>
      <c r="AJ4681">
        <v>107.285607255131</v>
      </c>
      <c r="AK4681">
        <v>7.3867690164139503</v>
      </c>
      <c r="AL4681">
        <v>85.314911000509895</v>
      </c>
      <c r="AM4681">
        <v>100.20459382312799</v>
      </c>
      <c r="AN4681">
        <v>1.0000000623005101</v>
      </c>
    </row>
    <row r="4682" spans="1:40" x14ac:dyDescent="0.25">
      <c r="A4682" t="str">
        <f>"20190312151121575"</f>
        <v>20190312151121575</v>
      </c>
      <c r="B4682" t="str">
        <f>"1552374681565904"</f>
        <v>1552374681565904</v>
      </c>
      <c r="C4682" t="s">
        <v>40</v>
      </c>
      <c r="D4682">
        <v>4.612584</v>
      </c>
      <c r="E4682">
        <v>0.46097359999999998</v>
      </c>
      <c r="F4682" t="s">
        <v>79</v>
      </c>
      <c r="G4682">
        <v>-409.75150000000002</v>
      </c>
      <c r="H4682" s="1">
        <v>-7.1300969999999998E-6</v>
      </c>
      <c r="I4682">
        <v>131.79490000000001</v>
      </c>
      <c r="J4682">
        <v>-403.47969999999998</v>
      </c>
      <c r="K4682">
        <v>1.114295</v>
      </c>
      <c r="L4682">
        <v>136.34110000000001</v>
      </c>
      <c r="M4682">
        <v>-0.94572809999999896</v>
      </c>
      <c r="N4682">
        <v>0</v>
      </c>
      <c r="O4682">
        <v>-0.32473940000000001</v>
      </c>
      <c r="P4682">
        <v>-0.87146619999999997</v>
      </c>
      <c r="Q4682">
        <v>7.1326169999999994E-2</v>
      </c>
      <c r="R4682">
        <v>-0.4852419</v>
      </c>
      <c r="S4682">
        <v>-2.4959720000000001</v>
      </c>
      <c r="T4682">
        <v>-0.42286800000000002</v>
      </c>
      <c r="U4682">
        <v>-1.766418</v>
      </c>
      <c r="V4682">
        <v>-0.17679159999999999</v>
      </c>
      <c r="W4682">
        <v>8.1192020000000004E-2</v>
      </c>
      <c r="X4682">
        <v>0.98089380000000004</v>
      </c>
      <c r="Y4682">
        <v>-0.28157559999999998</v>
      </c>
      <c r="Z4682">
        <v>2.5981890000000001E-2</v>
      </c>
      <c r="AA4682">
        <v>0.95918720000000002</v>
      </c>
      <c r="AB4682">
        <v>32</v>
      </c>
      <c r="AC4682">
        <v>-6.2718000000000398</v>
      </c>
      <c r="AD4682">
        <v>-1.114302130097</v>
      </c>
      <c r="AE4682">
        <v>-4.54619999999999</v>
      </c>
      <c r="AF4682">
        <v>-2.2170518222458302</v>
      </c>
      <c r="AG4682">
        <v>-1.114302130097</v>
      </c>
      <c r="AH4682">
        <v>7.2580825326233001</v>
      </c>
      <c r="AI4682">
        <v>98.352966634223094</v>
      </c>
      <c r="AJ4682">
        <v>106.985800808731</v>
      </c>
      <c r="AK4682">
        <v>7.6705117215237903</v>
      </c>
      <c r="AL4682">
        <v>85.342913779033793</v>
      </c>
      <c r="AM4682">
        <v>100.217026788018</v>
      </c>
      <c r="AN4682">
        <v>1.00000003041033</v>
      </c>
    </row>
    <row r="4683" spans="1:40" x14ac:dyDescent="0.25">
      <c r="A4683" t="str">
        <f>"20190312151121598"</f>
        <v>20190312151121598</v>
      </c>
      <c r="B4683" t="str">
        <f>"1552374681585425"</f>
        <v>1552374681585425</v>
      </c>
      <c r="C4683" t="s">
        <v>40</v>
      </c>
      <c r="D4683">
        <v>4.5141479999999996</v>
      </c>
      <c r="E4683">
        <v>0.46162150000000002</v>
      </c>
      <c r="F4683" t="s">
        <v>79</v>
      </c>
      <c r="G4683">
        <v>-410.12169999999998</v>
      </c>
      <c r="H4683" s="1">
        <v>-7.1570649999999997E-6</v>
      </c>
      <c r="I4683">
        <v>131.5958</v>
      </c>
      <c r="J4683">
        <v>-403.7783</v>
      </c>
      <c r="K4683">
        <v>1.114385</v>
      </c>
      <c r="L4683">
        <v>136.23330000000001</v>
      </c>
      <c r="M4683">
        <v>-0.94404480000000002</v>
      </c>
      <c r="N4683">
        <v>0</v>
      </c>
      <c r="O4683">
        <v>-0.32959959999999899</v>
      </c>
      <c r="P4683">
        <v>-0.86864050000000004</v>
      </c>
      <c r="Q4683">
        <v>7.1143860000000003E-2</v>
      </c>
      <c r="R4683">
        <v>-0.49030849999999998</v>
      </c>
      <c r="S4683">
        <v>-2.4872130000000001</v>
      </c>
      <c r="T4683">
        <v>-0.417271</v>
      </c>
      <c r="U4683">
        <v>-1.7769470000000001</v>
      </c>
      <c r="V4683">
        <v>-0.17746899999999999</v>
      </c>
      <c r="W4683">
        <v>8.0984819999999999E-2</v>
      </c>
      <c r="X4683">
        <v>0.98078860000000001</v>
      </c>
      <c r="Y4683">
        <v>-0.28096179999999998</v>
      </c>
      <c r="Z4683">
        <v>2.6384459999999998E-2</v>
      </c>
      <c r="AA4683">
        <v>0.95935619999999999</v>
      </c>
      <c r="AB4683">
        <v>32</v>
      </c>
      <c r="AC4683">
        <v>-6.3433999999999697</v>
      </c>
      <c r="AD4683">
        <v>-1.1143921570649999</v>
      </c>
      <c r="AE4683">
        <v>-4.6375000000000099</v>
      </c>
      <c r="AF4683">
        <v>-2.2422909673907601</v>
      </c>
      <c r="AG4683">
        <v>-1.1143921570649999</v>
      </c>
      <c r="AH4683">
        <v>7.3692939763096597</v>
      </c>
      <c r="AI4683">
        <v>98.231988219607899</v>
      </c>
      <c r="AJ4683">
        <v>106.923687282217</v>
      </c>
      <c r="AK4683">
        <v>7.78307345278483</v>
      </c>
      <c r="AL4683">
        <v>85.354824697425101</v>
      </c>
      <c r="AM4683">
        <v>100.256422048293</v>
      </c>
      <c r="AN4683">
        <v>1.0000000324606899</v>
      </c>
    </row>
    <row r="4684" spans="1:40" x14ac:dyDescent="0.25">
      <c r="A4684" t="str">
        <f>"20190312151121620"</f>
        <v>20190312151121620</v>
      </c>
      <c r="B4684" t="str">
        <f>"1552374681615684"</f>
        <v>1552374681615684</v>
      </c>
      <c r="C4684" t="s">
        <v>40</v>
      </c>
      <c r="D4684">
        <v>4.5361399999999996</v>
      </c>
      <c r="E4684">
        <v>0.46244550000000001</v>
      </c>
      <c r="F4684" t="s">
        <v>79</v>
      </c>
      <c r="G4684">
        <v>-410.53879999999998</v>
      </c>
      <c r="H4684" s="1">
        <v>-7.0182019999999996E-6</v>
      </c>
      <c r="I4684">
        <v>131.36199999999999</v>
      </c>
      <c r="J4684">
        <v>-404.08280000000002</v>
      </c>
      <c r="K4684">
        <v>1.114492</v>
      </c>
      <c r="L4684">
        <v>136.12119999999999</v>
      </c>
      <c r="M4684">
        <v>-0.94225040000000004</v>
      </c>
      <c r="N4684">
        <v>0</v>
      </c>
      <c r="O4684">
        <v>-0.33469399999999999</v>
      </c>
      <c r="P4684">
        <v>-0.86589969999999905</v>
      </c>
      <c r="Q4684">
        <v>7.1302080000000004E-2</v>
      </c>
      <c r="R4684">
        <v>-0.49510929999999997</v>
      </c>
      <c r="S4684">
        <v>-2.478882</v>
      </c>
      <c r="T4684">
        <v>-0.40861130000000001</v>
      </c>
      <c r="U4684">
        <v>-1.7861479999999901</v>
      </c>
      <c r="V4684">
        <v>-0.17762829999999999</v>
      </c>
      <c r="W4684">
        <v>8.1121680000000002E-2</v>
      </c>
      <c r="X4684">
        <v>0.98074839999999996</v>
      </c>
      <c r="Y4684">
        <v>-0.27968579999999998</v>
      </c>
      <c r="Z4684">
        <v>2.6650839999999999E-2</v>
      </c>
      <c r="AA4684">
        <v>0.95972159999999995</v>
      </c>
      <c r="AB4684">
        <v>32</v>
      </c>
      <c r="AC4684">
        <v>-6.4559999999999498</v>
      </c>
      <c r="AD4684">
        <v>-1.114499018202</v>
      </c>
      <c r="AE4684">
        <v>-4.7591999999999901</v>
      </c>
      <c r="AF4684">
        <v>-2.2797232663710298</v>
      </c>
      <c r="AG4684">
        <v>-1.114499018202</v>
      </c>
      <c r="AH4684">
        <v>7.5311823179572999</v>
      </c>
      <c r="AI4684">
        <v>98.0616177025898</v>
      </c>
      <c r="AJ4684">
        <v>106.84130347373601</v>
      </c>
      <c r="AK4684">
        <v>7.9471978293684904</v>
      </c>
      <c r="AL4684">
        <v>85.346957076558098</v>
      </c>
      <c r="AM4684">
        <v>100.265844584493</v>
      </c>
      <c r="AN4684">
        <v>0.99999998201473606</v>
      </c>
    </row>
    <row r="4685" spans="1:40" x14ac:dyDescent="0.25">
      <c r="A4685" t="str">
        <f>"20190312151121643"</f>
        <v>20190312151121643</v>
      </c>
      <c r="B4685" t="str">
        <f>"1552374681636176"</f>
        <v>1552374681636176</v>
      </c>
      <c r="C4685" t="s">
        <v>40</v>
      </c>
      <c r="D4685">
        <v>4.5249100000000002</v>
      </c>
      <c r="E4685">
        <v>0.46295829999999999</v>
      </c>
      <c r="F4685" t="s">
        <v>79</v>
      </c>
      <c r="G4685">
        <v>-410.9479</v>
      </c>
      <c r="H4685" s="1">
        <v>-6.8850089999999998E-6</v>
      </c>
      <c r="I4685">
        <v>131.1395</v>
      </c>
      <c r="J4685">
        <v>-404.38290000000001</v>
      </c>
      <c r="K4685">
        <v>1.114601</v>
      </c>
      <c r="L4685">
        <v>136.00890000000001</v>
      </c>
      <c r="M4685">
        <v>-0.94041280000000005</v>
      </c>
      <c r="N4685">
        <v>0</v>
      </c>
      <c r="O4685">
        <v>-0.33982180000000001</v>
      </c>
      <c r="P4685">
        <v>-0.86315940000000002</v>
      </c>
      <c r="Q4685">
        <v>7.0918919999999996E-2</v>
      </c>
      <c r="R4685">
        <v>-0.4999265</v>
      </c>
      <c r="S4685">
        <v>-2.4719850000000001</v>
      </c>
      <c r="T4685">
        <v>-0.40130700000000002</v>
      </c>
      <c r="U4685">
        <v>-1.793839</v>
      </c>
      <c r="V4685">
        <v>-0.1777562</v>
      </c>
      <c r="W4685">
        <v>8.0718650000000003E-2</v>
      </c>
      <c r="X4685">
        <v>0.98075849999999998</v>
      </c>
      <c r="Y4685">
        <v>-0.27772350000000001</v>
      </c>
      <c r="Z4685">
        <v>2.7020700000000002E-2</v>
      </c>
      <c r="AA4685">
        <v>0.96028100000000005</v>
      </c>
      <c r="AB4685">
        <v>32</v>
      </c>
      <c r="AC4685">
        <v>-6.5649999999999897</v>
      </c>
      <c r="AD4685">
        <v>-1.114607885009</v>
      </c>
      <c r="AE4685">
        <v>-4.8694000000000104</v>
      </c>
      <c r="AF4685">
        <v>-2.3056127990664699</v>
      </c>
      <c r="AG4685">
        <v>-1.114607885009</v>
      </c>
      <c r="AH4685">
        <v>7.6861795151271197</v>
      </c>
      <c r="AI4685">
        <v>97.907784423552499</v>
      </c>
      <c r="AJ4685">
        <v>106.69759566793699</v>
      </c>
      <c r="AK4685">
        <v>8.1015774177195397</v>
      </c>
      <c r="AL4685">
        <v>85.370125061333496</v>
      </c>
      <c r="AM4685">
        <v>100.272975539654</v>
      </c>
      <c r="AN4685">
        <v>1.00000000120925</v>
      </c>
    </row>
    <row r="4686" spans="1:40" x14ac:dyDescent="0.25">
      <c r="A4686" t="str">
        <f>"20190312151121665"</f>
        <v>20190312151121665</v>
      </c>
      <c r="B4686" t="str">
        <f>"1552374681655697"</f>
        <v>1552374681655697</v>
      </c>
      <c r="C4686" t="s">
        <v>40</v>
      </c>
      <c r="D4686">
        <v>4.6970109999999998</v>
      </c>
      <c r="E4686">
        <v>0.46352650000000001</v>
      </c>
      <c r="F4686" t="s">
        <v>79</v>
      </c>
      <c r="G4686">
        <v>-411.25240000000002</v>
      </c>
      <c r="H4686" s="1">
        <v>-6.7874600000000004E-6</v>
      </c>
      <c r="I4686">
        <v>130.97749999999999</v>
      </c>
      <c r="J4686">
        <v>-404.69380000000001</v>
      </c>
      <c r="K4686">
        <v>1.1147089999999999</v>
      </c>
      <c r="L4686">
        <v>135.8904</v>
      </c>
      <c r="M4686">
        <v>-0.93843259999999995</v>
      </c>
      <c r="N4686">
        <v>0</v>
      </c>
      <c r="O4686">
        <v>-0.34525209999999901</v>
      </c>
      <c r="P4686">
        <v>-0.86007929999999999</v>
      </c>
      <c r="Q4686">
        <v>7.0219299999999998E-2</v>
      </c>
      <c r="R4686">
        <v>-0.50530509999999995</v>
      </c>
      <c r="S4686">
        <v>-2.4634399999999999</v>
      </c>
      <c r="T4686">
        <v>-0.39970519999999998</v>
      </c>
      <c r="U4686">
        <v>-1.8042910000000001</v>
      </c>
      <c r="V4686">
        <v>-0.17820349999999999</v>
      </c>
      <c r="W4686">
        <v>7.9992869999999994E-2</v>
      </c>
      <c r="X4686">
        <v>0.98073679999999996</v>
      </c>
      <c r="Y4686">
        <v>-0.27645609999999998</v>
      </c>
      <c r="Z4686">
        <v>2.7746150000000001E-2</v>
      </c>
      <c r="AA4686">
        <v>0.96062590000000003</v>
      </c>
      <c r="AB4686">
        <v>32</v>
      </c>
      <c r="AC4686">
        <v>-6.55860000000001</v>
      </c>
      <c r="AD4686">
        <v>-1.11471578746</v>
      </c>
      <c r="AE4686">
        <v>-4.9128999999999996</v>
      </c>
      <c r="AF4686">
        <v>-2.3035992096055602</v>
      </c>
      <c r="AG4686">
        <v>-1.11471578746</v>
      </c>
      <c r="AH4686">
        <v>7.7089159166862702</v>
      </c>
      <c r="AI4686">
        <v>97.887960926270594</v>
      </c>
      <c r="AJ4686">
        <v>106.637340465034</v>
      </c>
      <c r="AK4686">
        <v>8.1225947341872704</v>
      </c>
      <c r="AL4686">
        <v>85.411844136891602</v>
      </c>
      <c r="AM4686">
        <v>100.29849661529001</v>
      </c>
      <c r="AN4686">
        <v>1.00000000876866</v>
      </c>
    </row>
    <row r="4687" spans="1:40" x14ac:dyDescent="0.25">
      <c r="A4687" t="str">
        <f>"20190312151121687"</f>
        <v>20190312151121687</v>
      </c>
      <c r="B4687" t="str">
        <f>"1552374681676193"</f>
        <v>1552374681676193</v>
      </c>
      <c r="C4687" t="s">
        <v>40</v>
      </c>
      <c r="D4687">
        <v>4.5648970000000002</v>
      </c>
      <c r="E4687">
        <v>0.46407569999999998</v>
      </c>
      <c r="F4687" t="s">
        <v>79</v>
      </c>
      <c r="G4687">
        <v>-411.57229999999998</v>
      </c>
      <c r="H4687" s="1">
        <v>-6.6956679999999899E-6</v>
      </c>
      <c r="I4687">
        <v>130.80260000000001</v>
      </c>
      <c r="J4687">
        <v>-404.98750000000001</v>
      </c>
      <c r="K4687">
        <v>1.114814</v>
      </c>
      <c r="L4687">
        <v>135.7765</v>
      </c>
      <c r="M4687">
        <v>-0.93648290000000001</v>
      </c>
      <c r="N4687">
        <v>0</v>
      </c>
      <c r="O4687">
        <v>-0.35050540000000002</v>
      </c>
      <c r="P4687">
        <v>-0.85704130000000001</v>
      </c>
      <c r="Q4687">
        <v>6.9900340000000005E-2</v>
      </c>
      <c r="R4687">
        <v>-0.51048490000000002</v>
      </c>
      <c r="S4687">
        <v>-2.4540410000000001</v>
      </c>
      <c r="T4687">
        <v>-0.39769880000000002</v>
      </c>
      <c r="U4687">
        <v>-1.8152010000000001</v>
      </c>
      <c r="V4687">
        <v>-0.1786326</v>
      </c>
      <c r="W4687">
        <v>7.9646359999999999E-2</v>
      </c>
      <c r="X4687">
        <v>0.98068699999999998</v>
      </c>
      <c r="Y4687">
        <v>-0.27562910000000002</v>
      </c>
      <c r="Z4687">
        <v>2.8387720000000002E-2</v>
      </c>
      <c r="AA4687">
        <v>0.96084480000000005</v>
      </c>
      <c r="AB4687">
        <v>32</v>
      </c>
      <c r="AC4687">
        <v>-6.5847999999999702</v>
      </c>
      <c r="AD4687">
        <v>-1.114820695668</v>
      </c>
      <c r="AE4687">
        <v>-4.97389999999998</v>
      </c>
      <c r="AF4687">
        <v>-2.3080138921576001</v>
      </c>
      <c r="AG4687">
        <v>-1.114820695668</v>
      </c>
      <c r="AH4687">
        <v>7.76872707372537</v>
      </c>
      <c r="AI4687">
        <v>97.832381386626807</v>
      </c>
      <c r="AJ4687">
        <v>106.54617677081799</v>
      </c>
      <c r="AK4687">
        <v>8.1806401739665695</v>
      </c>
      <c r="AL4687">
        <v>85.431761527673203</v>
      </c>
      <c r="AM4687">
        <v>100.323274976684</v>
      </c>
      <c r="AN4687">
        <v>1.0000000702064999</v>
      </c>
    </row>
    <row r="4688" spans="1:40" x14ac:dyDescent="0.25">
      <c r="A4688" t="str">
        <f>"20190312151121711"</f>
        <v>20190312151121711</v>
      </c>
      <c r="B4688" t="str">
        <f>"1552374681705474"</f>
        <v>1552374681705474</v>
      </c>
      <c r="C4688" t="s">
        <v>40</v>
      </c>
      <c r="D4688">
        <v>4.5352069999999998</v>
      </c>
      <c r="E4688">
        <v>0.46465279999999998</v>
      </c>
      <c r="F4688" t="s">
        <v>79</v>
      </c>
      <c r="G4688">
        <v>-411.916</v>
      </c>
      <c r="H4688" s="1">
        <v>-6.594917E-6</v>
      </c>
      <c r="I4688">
        <v>130.60419999999999</v>
      </c>
      <c r="J4688">
        <v>-405.29910000000001</v>
      </c>
      <c r="K4688">
        <v>1.114938</v>
      </c>
      <c r="L4688">
        <v>135.65350000000001</v>
      </c>
      <c r="M4688">
        <v>-0.9343245</v>
      </c>
      <c r="N4688">
        <v>0</v>
      </c>
      <c r="O4688">
        <v>-0.35621799999999998</v>
      </c>
      <c r="P4688">
        <v>-0.85363089999999997</v>
      </c>
      <c r="Q4688">
        <v>6.9335040000000001E-2</v>
      </c>
      <c r="R4688">
        <v>-0.51624320000000001</v>
      </c>
      <c r="S4688">
        <v>-2.4452210000000001</v>
      </c>
      <c r="T4688">
        <v>-0.39344810000000002</v>
      </c>
      <c r="U4688">
        <v>-1.825439</v>
      </c>
      <c r="V4688">
        <v>-0.17924670000000001</v>
      </c>
      <c r="W4688">
        <v>7.9046980000000003E-2</v>
      </c>
      <c r="X4688">
        <v>0.98062340000000003</v>
      </c>
      <c r="Y4688">
        <v>-0.27404400000000001</v>
      </c>
      <c r="Z4688">
        <v>2.8968319999999999E-2</v>
      </c>
      <c r="AA4688">
        <v>0.96128080000000005</v>
      </c>
      <c r="AB4688">
        <v>32</v>
      </c>
      <c r="AC4688">
        <v>-6.6168999999999798</v>
      </c>
      <c r="AD4688">
        <v>-1.114944594917</v>
      </c>
      <c r="AE4688">
        <v>-5.0493000000000103</v>
      </c>
      <c r="AF4688">
        <v>-2.31918450813611</v>
      </c>
      <c r="AG4688">
        <v>-1.114944594917</v>
      </c>
      <c r="AH4688">
        <v>7.8408754131905498</v>
      </c>
      <c r="AI4688">
        <v>97.764781069255207</v>
      </c>
      <c r="AJ4688">
        <v>106.477233115366</v>
      </c>
      <c r="AK4688">
        <v>8.2523357589042199</v>
      </c>
      <c r="AL4688">
        <v>85.466211900701694</v>
      </c>
      <c r="AM4688">
        <v>100.358654467189</v>
      </c>
      <c r="AN4688">
        <v>1.0000000285677799</v>
      </c>
    </row>
    <row r="4689" spans="1:40" x14ac:dyDescent="0.25">
      <c r="A4689" t="str">
        <f>"20190312151121733"</f>
        <v>20190312151121733</v>
      </c>
      <c r="B4689" t="str">
        <f>"1552374681725969"</f>
        <v>1552374681725969</v>
      </c>
      <c r="C4689" t="s">
        <v>40</v>
      </c>
      <c r="D4689">
        <v>4.7378019999999896</v>
      </c>
      <c r="E4689">
        <v>0.46517249999999999</v>
      </c>
      <c r="F4689" t="s">
        <v>79</v>
      </c>
      <c r="G4689">
        <v>-412.22219999999999</v>
      </c>
      <c r="H4689" s="1">
        <v>-6.5058929999999999E-6</v>
      </c>
      <c r="I4689">
        <v>130.42920000000001</v>
      </c>
      <c r="J4689">
        <v>-405.59989999999999</v>
      </c>
      <c r="K4689">
        <v>1.1150500000000001</v>
      </c>
      <c r="L4689">
        <v>135.5324</v>
      </c>
      <c r="M4689">
        <v>-0.93214730000000001</v>
      </c>
      <c r="N4689">
        <v>0</v>
      </c>
      <c r="O4689">
        <v>-0.36187599999999998</v>
      </c>
      <c r="P4689">
        <v>-0.85007739999999998</v>
      </c>
      <c r="Q4689">
        <v>6.8862569999999998E-2</v>
      </c>
      <c r="R4689">
        <v>-0.5221363</v>
      </c>
      <c r="S4689">
        <v>-2.4349980000000002</v>
      </c>
      <c r="T4689">
        <v>-0.39214579999999999</v>
      </c>
      <c r="U4689">
        <v>-1.837448</v>
      </c>
      <c r="V4689">
        <v>-0.18008950000000001</v>
      </c>
      <c r="W4689">
        <v>7.8537399999999993E-2</v>
      </c>
      <c r="X4689">
        <v>0.98050990000000005</v>
      </c>
      <c r="Y4689">
        <v>-0.27321600000000001</v>
      </c>
      <c r="Z4689">
        <v>2.9697080000000001E-2</v>
      </c>
      <c r="AA4689">
        <v>0.96149419999999997</v>
      </c>
      <c r="AB4689">
        <v>32</v>
      </c>
      <c r="AC4689">
        <v>-6.6222999999999903</v>
      </c>
      <c r="AD4689">
        <v>-1.115056505893</v>
      </c>
      <c r="AE4689">
        <v>-5.1031999999999798</v>
      </c>
      <c r="AF4689">
        <v>-2.3193984547264801</v>
      </c>
      <c r="AG4689">
        <v>-1.115056505893</v>
      </c>
      <c r="AH4689">
        <v>7.8801020188965296</v>
      </c>
      <c r="AI4689">
        <v>97.730357959695496</v>
      </c>
      <c r="AJ4689">
        <v>106.401059277934</v>
      </c>
      <c r="AK4689">
        <v>8.2896904665577793</v>
      </c>
      <c r="AL4689">
        <v>85.495499642931804</v>
      </c>
      <c r="AM4689">
        <v>100.407476434104</v>
      </c>
      <c r="AN4689">
        <v>1.00000000760351</v>
      </c>
    </row>
    <row r="4690" spans="1:40" x14ac:dyDescent="0.25">
      <c r="A4690" t="str">
        <f>"20190312151121755"</f>
        <v>20190312151121755</v>
      </c>
      <c r="B4690" t="str">
        <f>"1552374681745489"</f>
        <v>1552374681745489</v>
      </c>
      <c r="C4690" t="s">
        <v>40</v>
      </c>
      <c r="D4690">
        <v>4.7087120000000002</v>
      </c>
      <c r="E4690">
        <v>0.46576149999999999</v>
      </c>
      <c r="F4690" t="s">
        <v>79</v>
      </c>
      <c r="G4690">
        <v>-412.5154</v>
      </c>
      <c r="H4690" s="1">
        <v>-6.4175379999999997E-6</v>
      </c>
      <c r="I4690">
        <v>130.25409999999999</v>
      </c>
      <c r="J4690">
        <v>-405.89249999999998</v>
      </c>
      <c r="K4690">
        <v>1.1151719999999901</v>
      </c>
      <c r="L4690">
        <v>135.41249999999999</v>
      </c>
      <c r="M4690">
        <v>-0.92993579999999998</v>
      </c>
      <c r="N4690">
        <v>0</v>
      </c>
      <c r="O4690">
        <v>-0.36752020000000002</v>
      </c>
      <c r="P4690">
        <v>-0.84637489999999904</v>
      </c>
      <c r="Q4690">
        <v>6.8103780000000003E-2</v>
      </c>
      <c r="R4690">
        <v>-0.52821530000000005</v>
      </c>
      <c r="S4690">
        <v>-2.424255</v>
      </c>
      <c r="T4690">
        <v>-0.39088509999999999</v>
      </c>
      <c r="U4690">
        <v>-1.8503270000000001</v>
      </c>
      <c r="V4690">
        <v>-0.18116489999999999</v>
      </c>
      <c r="W4690">
        <v>7.7739230000000006E-2</v>
      </c>
      <c r="X4690">
        <v>0.98037529999999995</v>
      </c>
      <c r="Y4690">
        <v>-0.27270519999999998</v>
      </c>
      <c r="Z4690">
        <v>3.0400859999999998E-2</v>
      </c>
      <c r="AA4690">
        <v>0.96161719999999895</v>
      </c>
      <c r="AB4690">
        <v>32</v>
      </c>
      <c r="AC4690">
        <v>-6.6229000000000102</v>
      </c>
      <c r="AD4690">
        <v>-1.11517841753799</v>
      </c>
      <c r="AE4690">
        <v>-5.1584000000000003</v>
      </c>
      <c r="AF4690">
        <v>-2.32212777547843</v>
      </c>
      <c r="AG4690">
        <v>-1.11517841753799</v>
      </c>
      <c r="AH4690">
        <v>7.9155982082069496</v>
      </c>
      <c r="AI4690">
        <v>97.698946218892203</v>
      </c>
      <c r="AJ4690">
        <v>106.349630926641</v>
      </c>
      <c r="AK4690">
        <v>8.3242173987925199</v>
      </c>
      <c r="AL4690">
        <v>85.541371272135095</v>
      </c>
      <c r="AM4690">
        <v>100.469659962325</v>
      </c>
      <c r="AN4690">
        <v>0.99999991886154305</v>
      </c>
    </row>
    <row r="4691" spans="1:40" x14ac:dyDescent="0.25">
      <c r="A4691" t="str">
        <f>"20190312151121777"</f>
        <v>20190312151121777</v>
      </c>
      <c r="B4691" t="str">
        <f>"1552374681765985"</f>
        <v>1552374681765985</v>
      </c>
      <c r="C4691" t="s">
        <v>40</v>
      </c>
      <c r="D4691">
        <v>4.574211</v>
      </c>
      <c r="E4691">
        <v>0.46629280000000001</v>
      </c>
      <c r="F4691" t="s">
        <v>79</v>
      </c>
      <c r="G4691">
        <v>-412.79169999999999</v>
      </c>
      <c r="H4691" s="1">
        <v>-6.3335109999999997E-6</v>
      </c>
      <c r="I4691">
        <v>130.0872</v>
      </c>
      <c r="J4691">
        <v>-406.18329999999997</v>
      </c>
      <c r="K4691">
        <v>1.115302</v>
      </c>
      <c r="L4691">
        <v>135.2912</v>
      </c>
      <c r="M4691">
        <v>-0.92764060000000004</v>
      </c>
      <c r="N4691">
        <v>0</v>
      </c>
      <c r="O4691">
        <v>-0.37327490000000002</v>
      </c>
      <c r="P4691">
        <v>-0.84262499999999996</v>
      </c>
      <c r="Q4691">
        <v>6.6956829999999995E-2</v>
      </c>
      <c r="R4691">
        <v>-0.53432230000000003</v>
      </c>
      <c r="S4691">
        <v>-2.4133610000000001</v>
      </c>
      <c r="T4691">
        <v>-0.3900943</v>
      </c>
      <c r="U4691">
        <v>-1.8628389999999999</v>
      </c>
      <c r="V4691">
        <v>-0.18215680000000001</v>
      </c>
      <c r="W4691">
        <v>7.6552120000000001E-2</v>
      </c>
      <c r="X4691">
        <v>0.98028499999999996</v>
      </c>
      <c r="Y4691">
        <v>-0.27200930000000001</v>
      </c>
      <c r="Z4691">
        <v>3.1166550000000001E-2</v>
      </c>
      <c r="AA4691">
        <v>0.96178980000000003</v>
      </c>
      <c r="AB4691">
        <v>32</v>
      </c>
      <c r="AC4691">
        <v>-6.6084000000000103</v>
      </c>
      <c r="AD4691">
        <v>-1.1153083335109999</v>
      </c>
      <c r="AE4691">
        <v>-5.2039999999999997</v>
      </c>
      <c r="AF4691">
        <v>-2.32007777400006</v>
      </c>
      <c r="AG4691">
        <v>-1.1153083335109999</v>
      </c>
      <c r="AH4691">
        <v>7.9338568031863899</v>
      </c>
      <c r="AI4691">
        <v>97.684235881306904</v>
      </c>
      <c r="AJ4691">
        <v>106.300370464163</v>
      </c>
      <c r="AK4691">
        <v>8.3410285534623991</v>
      </c>
      <c r="AL4691">
        <v>85.609591355525794</v>
      </c>
      <c r="AM4691">
        <v>100.52665287869399</v>
      </c>
      <c r="AN4691">
        <v>1.0000000040438599</v>
      </c>
    </row>
    <row r="4692" spans="1:40" x14ac:dyDescent="0.25">
      <c r="A4692" t="str">
        <f>"20190312151121800"</f>
        <v>20190312151121800</v>
      </c>
      <c r="B4692" t="str">
        <f>"1552374681796242"</f>
        <v>1552374681796242</v>
      </c>
      <c r="C4692" t="s">
        <v>40</v>
      </c>
      <c r="D4692">
        <v>4.6698130000000004</v>
      </c>
      <c r="E4692">
        <v>0.46696530000000003</v>
      </c>
      <c r="F4692" t="s">
        <v>79</v>
      </c>
      <c r="G4692">
        <v>-413.03719999999998</v>
      </c>
      <c r="H4692" s="1">
        <v>-6.258697E-6</v>
      </c>
      <c r="I4692">
        <v>129.9385</v>
      </c>
      <c r="J4692">
        <v>-406.4785</v>
      </c>
      <c r="K4692">
        <v>1.1154440000000001</v>
      </c>
      <c r="L4692">
        <v>135.16560000000001</v>
      </c>
      <c r="M4692">
        <v>-0.92520400000000003</v>
      </c>
      <c r="N4692">
        <v>0</v>
      </c>
      <c r="O4692">
        <v>-0.37927270000000002</v>
      </c>
      <c r="P4692">
        <v>-0.83871319999999905</v>
      </c>
      <c r="Q4692">
        <v>6.5900730000000005E-2</v>
      </c>
      <c r="R4692">
        <v>-0.54057129999999998</v>
      </c>
      <c r="S4692">
        <v>-2.4018860000000002</v>
      </c>
      <c r="T4692">
        <v>-0.39085449999999999</v>
      </c>
      <c r="U4692">
        <v>-1.8758239999999999</v>
      </c>
      <c r="V4692">
        <v>-0.1830784</v>
      </c>
      <c r="W4692">
        <v>7.5453339999999994E-2</v>
      </c>
      <c r="X4692">
        <v>0.98019849999999997</v>
      </c>
      <c r="Y4692">
        <v>-0.27128580000000002</v>
      </c>
      <c r="Z4692">
        <v>3.2091250000000002E-2</v>
      </c>
      <c r="AA4692">
        <v>0.96196369999999998</v>
      </c>
      <c r="AB4692">
        <v>32</v>
      </c>
      <c r="AC4692">
        <v>-6.5586999999999804</v>
      </c>
      <c r="AD4692">
        <v>-1.1154502586970001</v>
      </c>
      <c r="AE4692">
        <v>-5.2271000000000001</v>
      </c>
      <c r="AF4692">
        <v>-2.3079485530185799</v>
      </c>
      <c r="AG4692">
        <v>-1.1154502586970001</v>
      </c>
      <c r="AH4692">
        <v>7.91129186659672</v>
      </c>
      <c r="AI4692">
        <v>97.708291664977097</v>
      </c>
      <c r="AJ4692">
        <v>106.263464640764</v>
      </c>
      <c r="AK4692">
        <v>8.3162127679303204</v>
      </c>
      <c r="AL4692">
        <v>85.672729431586504</v>
      </c>
      <c r="AM4692">
        <v>100.579624435924</v>
      </c>
      <c r="AN4692">
        <v>1.0000000032329801</v>
      </c>
    </row>
    <row r="4693" spans="1:40" x14ac:dyDescent="0.25">
      <c r="A4693" t="str">
        <f>"20190312151121821"</f>
        <v>20190312151121821</v>
      </c>
      <c r="B4693" t="str">
        <f>"1552374681815761"</f>
        <v>1552374681815761</v>
      </c>
      <c r="C4693" t="s">
        <v>40</v>
      </c>
      <c r="D4693">
        <v>4.6444199999999896</v>
      </c>
      <c r="E4693">
        <v>0.46741860000000002</v>
      </c>
      <c r="F4693" t="s">
        <v>79</v>
      </c>
      <c r="G4693">
        <v>-413.3177</v>
      </c>
      <c r="H4693" s="1">
        <v>-6.171273E-6</v>
      </c>
      <c r="I4693">
        <v>129.7638</v>
      </c>
      <c r="J4693">
        <v>-406.77569999999997</v>
      </c>
      <c r="K4693">
        <v>1.115588</v>
      </c>
      <c r="L4693">
        <v>135.03649999999999</v>
      </c>
      <c r="M4693">
        <v>-0.9226375</v>
      </c>
      <c r="N4693">
        <v>0</v>
      </c>
      <c r="O4693">
        <v>-0.38547340000000002</v>
      </c>
      <c r="P4693">
        <v>-0.83484570000000002</v>
      </c>
      <c r="Q4693">
        <v>6.5737740000000003E-2</v>
      </c>
      <c r="R4693">
        <v>-0.5465449</v>
      </c>
      <c r="S4693">
        <v>-2.3905940000000001</v>
      </c>
      <c r="T4693">
        <v>-0.38989620000000003</v>
      </c>
      <c r="U4693">
        <v>-1.8881380000000001</v>
      </c>
      <c r="V4693">
        <v>-0.18351680000000001</v>
      </c>
      <c r="W4693">
        <v>7.5252680000000002E-2</v>
      </c>
      <c r="X4693">
        <v>0.98013189999999994</v>
      </c>
      <c r="Y4693">
        <v>-0.27013330000000002</v>
      </c>
      <c r="Z4693">
        <v>3.2932669999999997E-2</v>
      </c>
      <c r="AA4693">
        <v>0.96225950000000005</v>
      </c>
      <c r="AB4693">
        <v>32</v>
      </c>
      <c r="AC4693">
        <v>-6.54200000000003</v>
      </c>
      <c r="AD4693">
        <v>-1.115594171273</v>
      </c>
      <c r="AE4693">
        <v>-5.27269999999998</v>
      </c>
      <c r="AF4693">
        <v>-2.3026085372765199</v>
      </c>
      <c r="AG4693">
        <v>-1.115594171273</v>
      </c>
      <c r="AH4693">
        <v>7.9292072230909696</v>
      </c>
      <c r="AI4693">
        <v>97.694782578299098</v>
      </c>
      <c r="AJ4693">
        <v>106.193075645466</v>
      </c>
      <c r="AK4693">
        <v>8.3317995425739309</v>
      </c>
      <c r="AL4693">
        <v>85.6842590025107</v>
      </c>
      <c r="AM4693">
        <v>100.60508872109099</v>
      </c>
      <c r="AN4693">
        <v>0.99999996156351501</v>
      </c>
    </row>
    <row r="4694" spans="1:40" x14ac:dyDescent="0.25">
      <c r="A4694" t="str">
        <f>"20190312151121844"</f>
        <v>20190312151121844</v>
      </c>
      <c r="B4694" t="str">
        <f>"1552374681836256"</f>
        <v>1552374681836256</v>
      </c>
      <c r="C4694" t="s">
        <v>40</v>
      </c>
      <c r="D4694">
        <v>4.6433169999999997</v>
      </c>
      <c r="E4694">
        <v>0.46780280000000002</v>
      </c>
      <c r="F4694" t="s">
        <v>79</v>
      </c>
      <c r="G4694">
        <v>-413.61660000000001</v>
      </c>
      <c r="H4694" s="1">
        <v>-6.0696649999999998E-6</v>
      </c>
      <c r="I4694">
        <v>129.56880000000001</v>
      </c>
      <c r="J4694">
        <v>-407.06470000000002</v>
      </c>
      <c r="K4694">
        <v>1.1157079999999999</v>
      </c>
      <c r="L4694">
        <v>134.90870000000001</v>
      </c>
      <c r="M4694">
        <v>-0.92004019999999997</v>
      </c>
      <c r="N4694">
        <v>0</v>
      </c>
      <c r="O4694">
        <v>-0.39163120000000001</v>
      </c>
      <c r="P4694">
        <v>-0.83079639999999999</v>
      </c>
      <c r="Q4694">
        <v>6.5736669999999997E-2</v>
      </c>
      <c r="R4694">
        <v>-0.55268090000000003</v>
      </c>
      <c r="S4694">
        <v>-2.3791500000000001</v>
      </c>
      <c r="T4694">
        <v>-0.38798240000000001</v>
      </c>
      <c r="U4694">
        <v>-1.9015500000000001</v>
      </c>
      <c r="V4694">
        <v>-0.18421090000000001</v>
      </c>
      <c r="W4694">
        <v>7.5212269999999998E-2</v>
      </c>
      <c r="X4694">
        <v>0.98000480000000001</v>
      </c>
      <c r="Y4694">
        <v>-0.26930539999999997</v>
      </c>
      <c r="Z4694">
        <v>3.3655579999999997E-2</v>
      </c>
      <c r="AA4694">
        <v>0.96246659999999995</v>
      </c>
      <c r="AB4694">
        <v>32</v>
      </c>
      <c r="AC4694">
        <v>-6.5518999999999803</v>
      </c>
      <c r="AD4694">
        <v>-1.1157140696650001</v>
      </c>
      <c r="AE4694">
        <v>-5.3399000000000001</v>
      </c>
      <c r="AF4694">
        <v>-2.3069742973198202</v>
      </c>
      <c r="AG4694">
        <v>-1.1157140696650001</v>
      </c>
      <c r="AH4694">
        <v>7.9808364106212597</v>
      </c>
      <c r="AI4694">
        <v>97.6490963891805</v>
      </c>
      <c r="AJ4694">
        <v>106.122690027331</v>
      </c>
      <c r="AK4694">
        <v>8.3821654783737607</v>
      </c>
      <c r="AL4694">
        <v>85.686580961741498</v>
      </c>
      <c r="AM4694">
        <v>100.645633496754</v>
      </c>
      <c r="AN4694">
        <v>0.99999997463020096</v>
      </c>
    </row>
    <row r="4695" spans="1:40" x14ac:dyDescent="0.25">
      <c r="A4695" t="str">
        <f>"20190312151121866"</f>
        <v>20190312151121866</v>
      </c>
      <c r="B4695" t="str">
        <f>"1552374681855777"</f>
        <v>1552374681855777</v>
      </c>
      <c r="C4695" t="s">
        <v>40</v>
      </c>
      <c r="D4695">
        <v>4.6554169999999999</v>
      </c>
      <c r="E4695">
        <v>0.46824640000000001</v>
      </c>
      <c r="F4695" t="s">
        <v>79</v>
      </c>
      <c r="G4695">
        <v>-413.90809999999999</v>
      </c>
      <c r="H4695" s="1">
        <v>-5.9499590000000001E-6</v>
      </c>
      <c r="I4695">
        <v>129.36709999999999</v>
      </c>
      <c r="J4695">
        <v>-407.36270000000002</v>
      </c>
      <c r="K4695">
        <v>1.1158399999999999</v>
      </c>
      <c r="L4695">
        <v>134.77430000000001</v>
      </c>
      <c r="M4695">
        <v>-0.9172498</v>
      </c>
      <c r="N4695">
        <v>0</v>
      </c>
      <c r="O4695">
        <v>-0.39812170000000002</v>
      </c>
      <c r="P4695">
        <v>-0.82615530000000004</v>
      </c>
      <c r="Q4695">
        <v>6.5415420000000002E-2</v>
      </c>
      <c r="R4695">
        <v>-0.55963189999999996</v>
      </c>
      <c r="S4695">
        <v>-2.366638</v>
      </c>
      <c r="T4695">
        <v>-0.38584580000000002</v>
      </c>
      <c r="U4695">
        <v>-1.916428</v>
      </c>
      <c r="V4695">
        <v>-0.18551880000000001</v>
      </c>
      <c r="W4695">
        <v>7.4840429999999999E-2</v>
      </c>
      <c r="X4695">
        <v>0.97978659999999995</v>
      </c>
      <c r="Y4695">
        <v>-0.26868239999999999</v>
      </c>
      <c r="Z4695">
        <v>3.4380769999999998E-2</v>
      </c>
      <c r="AA4695">
        <v>0.96261509999999995</v>
      </c>
      <c r="AB4695">
        <v>32</v>
      </c>
      <c r="AC4695">
        <v>-6.5453999999999697</v>
      </c>
      <c r="AD4695">
        <v>-1.1158459499590001</v>
      </c>
      <c r="AE4695">
        <v>-5.4072000000000102</v>
      </c>
      <c r="AF4695">
        <v>-2.31409249482931</v>
      </c>
      <c r="AG4695">
        <v>-1.1158459499590001</v>
      </c>
      <c r="AH4695">
        <v>8.0185967678986092</v>
      </c>
      <c r="AI4695">
        <v>97.615338905486993</v>
      </c>
      <c r="AJ4695">
        <v>106.097648307453</v>
      </c>
      <c r="AK4695">
        <v>8.4200968156440705</v>
      </c>
      <c r="AL4695">
        <v>85.707946358346902</v>
      </c>
      <c r="AM4695">
        <v>100.721804040579</v>
      </c>
      <c r="AN4695">
        <v>1.00000004832779</v>
      </c>
    </row>
    <row r="4696" spans="1:40" x14ac:dyDescent="0.25">
      <c r="A4696" t="str">
        <f>"20190312151121888"</f>
        <v>20190312151121888</v>
      </c>
      <c r="B4696" t="str">
        <f>"1552374681886034"</f>
        <v>1552374681886034</v>
      </c>
      <c r="C4696" t="s">
        <v>40</v>
      </c>
      <c r="D4696">
        <v>4.6649269999999996</v>
      </c>
      <c r="E4696">
        <v>0.46867569999999997</v>
      </c>
      <c r="F4696" t="s">
        <v>79</v>
      </c>
      <c r="G4696">
        <v>-414.17849999999999</v>
      </c>
      <c r="H4696" s="1">
        <v>-5.8371770000000002E-6</v>
      </c>
      <c r="I4696">
        <v>129.17660000000001</v>
      </c>
      <c r="J4696">
        <v>-407.64780000000002</v>
      </c>
      <c r="K4696">
        <v>1.1159650000000001</v>
      </c>
      <c r="L4696">
        <v>134.6431</v>
      </c>
      <c r="M4696">
        <v>-0.91446369999999999</v>
      </c>
      <c r="N4696">
        <v>0</v>
      </c>
      <c r="O4696">
        <v>-0.40447929999999999</v>
      </c>
      <c r="P4696">
        <v>-0.82142850000000001</v>
      </c>
      <c r="Q4696">
        <v>6.4996509999999993E-2</v>
      </c>
      <c r="R4696">
        <v>-0.56659559999999998</v>
      </c>
      <c r="S4696">
        <v>-2.3528440000000002</v>
      </c>
      <c r="T4696">
        <v>-0.38519389999999998</v>
      </c>
      <c r="U4696">
        <v>-1.9323429999999999</v>
      </c>
      <c r="V4696">
        <v>-0.1870048</v>
      </c>
      <c r="W4696">
        <v>7.4368249999999997E-2</v>
      </c>
      <c r="X4696">
        <v>0.97953999999999997</v>
      </c>
      <c r="Y4696">
        <v>-0.26869090000000001</v>
      </c>
      <c r="Z4696">
        <v>3.5177640000000003E-2</v>
      </c>
      <c r="AA4696">
        <v>0.96258390000000005</v>
      </c>
      <c r="AB4696">
        <v>32</v>
      </c>
      <c r="AC4696">
        <v>-6.5306999999999604</v>
      </c>
      <c r="AD4696">
        <v>-1.1159708371770001</v>
      </c>
      <c r="AE4696">
        <v>-5.4664999999999901</v>
      </c>
      <c r="AF4696">
        <v>-2.3177665707821502</v>
      </c>
      <c r="AG4696">
        <v>-1.1159708371770001</v>
      </c>
      <c r="AH4696">
        <v>8.0456543334385096</v>
      </c>
      <c r="AI4696">
        <v>97.591893494275496</v>
      </c>
      <c r="AJ4696">
        <v>106.070465166134</v>
      </c>
      <c r="AK4696">
        <v>8.4468921171779296</v>
      </c>
      <c r="AL4696">
        <v>85.735075768952299</v>
      </c>
      <c r="AM4696">
        <v>100.808327393973</v>
      </c>
      <c r="AN4696">
        <v>1.00000002171555</v>
      </c>
    </row>
    <row r="4697" spans="1:40" x14ac:dyDescent="0.25">
      <c r="A4697" t="str">
        <f>"20190312151121912"</f>
        <v>20190312151121912</v>
      </c>
      <c r="B4697" t="str">
        <f>"1552374681905553"</f>
        <v>1552374681905553</v>
      </c>
      <c r="C4697" t="s">
        <v>40</v>
      </c>
      <c r="D4697">
        <v>4.6906319999999999</v>
      </c>
      <c r="E4697">
        <v>0.48084670000000002</v>
      </c>
      <c r="F4697" t="s">
        <v>79</v>
      </c>
      <c r="G4697">
        <v>-414.42579999999998</v>
      </c>
      <c r="H4697" s="1">
        <v>-5.7303890000000001E-6</v>
      </c>
      <c r="I4697">
        <v>128.99520000000001</v>
      </c>
      <c r="J4697">
        <v>-407.95209999999997</v>
      </c>
      <c r="K4697">
        <v>1.116109</v>
      </c>
      <c r="L4697">
        <v>134.50040000000001</v>
      </c>
      <c r="M4697">
        <v>-0.91135770000000005</v>
      </c>
      <c r="N4697">
        <v>0</v>
      </c>
      <c r="O4697">
        <v>-0.41142879999999898</v>
      </c>
      <c r="P4697">
        <v>-0.81603719999999902</v>
      </c>
      <c r="Q4697">
        <v>6.4875530000000001E-2</v>
      </c>
      <c r="R4697">
        <v>-0.57434730000000001</v>
      </c>
      <c r="S4697">
        <v>-2.3385310000000001</v>
      </c>
      <c r="T4697">
        <v>-0.3850344</v>
      </c>
      <c r="U4697">
        <v>-1.948669</v>
      </c>
      <c r="V4697">
        <v>-0.1888436</v>
      </c>
      <c r="W4697">
        <v>7.418516E-2</v>
      </c>
      <c r="X4697">
        <v>0.97920099999999999</v>
      </c>
      <c r="Y4697">
        <v>-0.26826889999999998</v>
      </c>
      <c r="Z4697">
        <v>3.6123519999999999E-2</v>
      </c>
      <c r="AA4697">
        <v>0.96266649999999998</v>
      </c>
      <c r="AB4697">
        <v>32</v>
      </c>
      <c r="AC4697">
        <v>-6.4737</v>
      </c>
      <c r="AD4697">
        <v>-1.116114730389</v>
      </c>
      <c r="AE4697">
        <v>-5.5052000000000003</v>
      </c>
      <c r="AF4697">
        <v>-2.3140043218369302</v>
      </c>
      <c r="AG4697">
        <v>-1.116114730389</v>
      </c>
      <c r="AH4697">
        <v>8.0270163856910095</v>
      </c>
      <c r="AI4697">
        <v>97.609883855996003</v>
      </c>
      <c r="AJ4697">
        <v>106.081055598029</v>
      </c>
      <c r="AK4697">
        <v>8.4281267283438002</v>
      </c>
      <c r="AL4697">
        <v>85.745594893941202</v>
      </c>
      <c r="AM4697">
        <v>100.915752275296</v>
      </c>
      <c r="AN4697">
        <v>0.999999970813092</v>
      </c>
    </row>
    <row r="4698" spans="1:40" x14ac:dyDescent="0.25">
      <c r="A4698" t="str">
        <f>"20190312151121933"</f>
        <v>20190312151121933</v>
      </c>
      <c r="B4698" t="str">
        <f>"1552374681926049"</f>
        <v>1552374681926049</v>
      </c>
      <c r="C4698" t="s">
        <v>40</v>
      </c>
      <c r="D4698">
        <v>4.7280249999999997</v>
      </c>
      <c r="E4698">
        <v>0.48100999999999999</v>
      </c>
      <c r="F4698" t="s">
        <v>79</v>
      </c>
      <c r="G4698">
        <v>-415.53129999999999</v>
      </c>
      <c r="H4698" s="1">
        <v>-5.4015400000000001E-6</v>
      </c>
      <c r="I4698">
        <v>128.47569999999999</v>
      </c>
      <c r="J4698">
        <v>-408.23970000000003</v>
      </c>
      <c r="K4698">
        <v>1.1162529999999999</v>
      </c>
      <c r="L4698">
        <v>134.36269999999999</v>
      </c>
      <c r="M4698">
        <v>-0.90828600000000004</v>
      </c>
      <c r="N4698">
        <v>0</v>
      </c>
      <c r="O4698">
        <v>-0.41816530000000002</v>
      </c>
      <c r="P4698">
        <v>-0.81044689999999997</v>
      </c>
      <c r="Q4698">
        <v>6.3969109999999996E-2</v>
      </c>
      <c r="R4698">
        <v>-0.58230909999999902</v>
      </c>
      <c r="S4698">
        <v>-2.3752140000000002</v>
      </c>
      <c r="T4698">
        <v>-0.34977659999999899</v>
      </c>
      <c r="U4698">
        <v>-1.8880619999999999</v>
      </c>
      <c r="V4698">
        <v>-0.19116440000000001</v>
      </c>
      <c r="W4698">
        <v>7.3206019999999997E-2</v>
      </c>
      <c r="X4698">
        <v>0.97882429999999998</v>
      </c>
      <c r="Y4698">
        <v>-0.23883280000000001</v>
      </c>
      <c r="Z4698">
        <v>3.5381879999999997E-2</v>
      </c>
      <c r="AA4698">
        <v>0.9704159</v>
      </c>
      <c r="AB4698">
        <v>32</v>
      </c>
      <c r="AC4698">
        <v>-7.2915999999999599</v>
      </c>
      <c r="AD4698">
        <v>-1.1162584015399999</v>
      </c>
      <c r="AE4698">
        <v>-5.8869999999999996</v>
      </c>
      <c r="AF4698">
        <v>-2.2660131602601701</v>
      </c>
      <c r="AG4698">
        <v>-1.1162584015399999</v>
      </c>
      <c r="AH4698">
        <v>8.9582011542387594</v>
      </c>
      <c r="AI4698">
        <v>96.8880978786909</v>
      </c>
      <c r="AJ4698">
        <v>104.19543024057801</v>
      </c>
      <c r="AK4698">
        <v>9.3075354622631199</v>
      </c>
      <c r="AL4698">
        <v>85.801848490574102</v>
      </c>
      <c r="AM4698">
        <v>101.05076794587301</v>
      </c>
      <c r="AN4698">
        <v>0.99999997973104404</v>
      </c>
    </row>
    <row r="4699" spans="1:40" x14ac:dyDescent="0.25">
      <c r="A4699" t="str">
        <f>"20190312151121957"</f>
        <v>20190312151121957</v>
      </c>
      <c r="B4699" t="str">
        <f>"1552374681945569"</f>
        <v>1552374681945569</v>
      </c>
      <c r="C4699" t="s">
        <v>40</v>
      </c>
      <c r="D4699">
        <v>4.6636360000000003</v>
      </c>
      <c r="E4699">
        <v>0.48128729999999997</v>
      </c>
      <c r="F4699" t="s">
        <v>79</v>
      </c>
      <c r="G4699">
        <v>-415.7276</v>
      </c>
      <c r="H4699" s="1">
        <v>-5.2996470000000003E-6</v>
      </c>
      <c r="I4699">
        <v>128.29810000000001</v>
      </c>
      <c r="J4699">
        <v>-408.53210000000001</v>
      </c>
      <c r="K4699">
        <v>1.1164149999999999</v>
      </c>
      <c r="L4699">
        <v>134.2199</v>
      </c>
      <c r="M4699">
        <v>-0.90501889999999996</v>
      </c>
      <c r="N4699">
        <v>0</v>
      </c>
      <c r="O4699">
        <v>-0.42518909999999999</v>
      </c>
      <c r="P4699">
        <v>-0.80450669999999902</v>
      </c>
      <c r="Q4699">
        <v>6.2914300000000006E-2</v>
      </c>
      <c r="R4699">
        <v>-0.59060259999999998</v>
      </c>
      <c r="S4699">
        <v>-2.3574830000000002</v>
      </c>
      <c r="T4699">
        <v>-0.35144449999999999</v>
      </c>
      <c r="U4699">
        <v>-1.9093929999999999</v>
      </c>
      <c r="V4699">
        <v>-0.19361400000000001</v>
      </c>
      <c r="W4699">
        <v>7.206941E-2</v>
      </c>
      <c r="X4699">
        <v>0.97842709999999999</v>
      </c>
      <c r="Y4699">
        <v>-0.2402214</v>
      </c>
      <c r="Z4699">
        <v>3.6334459999999999E-2</v>
      </c>
      <c r="AA4699">
        <v>0.97003790000000001</v>
      </c>
      <c r="AB4699">
        <v>32</v>
      </c>
      <c r="AC4699">
        <v>-7.1954999999999796</v>
      </c>
      <c r="AD4699">
        <v>-1.1164202996469901</v>
      </c>
      <c r="AE4699">
        <v>-5.9217999999999904</v>
      </c>
      <c r="AF4699">
        <v>-2.2675268537803199</v>
      </c>
      <c r="AG4699">
        <v>-1.1164202996469901</v>
      </c>
      <c r="AH4699">
        <v>8.9028717746413992</v>
      </c>
      <c r="AI4699">
        <v>96.928635330111106</v>
      </c>
      <c r="AJ4699">
        <v>104.28920237913501</v>
      </c>
      <c r="AK4699">
        <v>9.2546852001451292</v>
      </c>
      <c r="AL4699">
        <v>85.867143960007695</v>
      </c>
      <c r="AM4699">
        <v>101.193250105446</v>
      </c>
      <c r="AN4699">
        <v>0.99999998543407898</v>
      </c>
    </row>
    <row r="4700" spans="1:40" x14ac:dyDescent="0.25">
      <c r="A4700" t="str">
        <f>"20190312151121978"</f>
        <v>20190312151121978</v>
      </c>
      <c r="B4700" t="str">
        <f>"1552374681966065"</f>
        <v>1552374681966065</v>
      </c>
      <c r="C4700" t="s">
        <v>40</v>
      </c>
      <c r="D4700">
        <v>4.7146330000000001</v>
      </c>
      <c r="E4700">
        <v>0.48160589999999998</v>
      </c>
      <c r="F4700" t="s">
        <v>79</v>
      </c>
      <c r="G4700">
        <v>-415.90190000000001</v>
      </c>
      <c r="H4700" s="1">
        <v>-5.2068340000000004E-6</v>
      </c>
      <c r="I4700">
        <v>128.13579999999999</v>
      </c>
      <c r="J4700">
        <v>-408.80770000000001</v>
      </c>
      <c r="K4700">
        <v>1.116576</v>
      </c>
      <c r="L4700">
        <v>134.08250000000001</v>
      </c>
      <c r="M4700">
        <v>-0.90179410000000004</v>
      </c>
      <c r="N4700">
        <v>0</v>
      </c>
      <c r="O4700">
        <v>-0.43198530000000002</v>
      </c>
      <c r="P4700">
        <v>-0.79829220000000001</v>
      </c>
      <c r="Q4700">
        <v>6.2117760000000001E-2</v>
      </c>
      <c r="R4700">
        <v>-0.599058599999999</v>
      </c>
      <c r="S4700">
        <v>-2.3390810000000002</v>
      </c>
      <c r="T4700">
        <v>-0.35433819999999999</v>
      </c>
      <c r="U4700">
        <v>-1.9310149999999999</v>
      </c>
      <c r="V4700">
        <v>-0.19656779999999999</v>
      </c>
      <c r="W4700">
        <v>7.1177160000000003E-2</v>
      </c>
      <c r="X4700">
        <v>0.97790330000000003</v>
      </c>
      <c r="Y4700">
        <v>-0.2420407</v>
      </c>
      <c r="Z4700">
        <v>3.7373829999999997E-2</v>
      </c>
      <c r="AA4700">
        <v>0.96954600000000002</v>
      </c>
      <c r="AB4700">
        <v>32</v>
      </c>
      <c r="AC4700">
        <v>-7.0941999999999998</v>
      </c>
      <c r="AD4700">
        <v>-1.116581206834</v>
      </c>
      <c r="AE4700">
        <v>-5.9467000000000203</v>
      </c>
      <c r="AF4700">
        <v>-2.2653290135663999</v>
      </c>
      <c r="AG4700">
        <v>-1.116581206834</v>
      </c>
      <c r="AH4700">
        <v>8.8384995131103992</v>
      </c>
      <c r="AI4700">
        <v>96.976935819786505</v>
      </c>
      <c r="AJ4700">
        <v>104.375598239152</v>
      </c>
      <c r="AK4700">
        <v>9.1922544990014998</v>
      </c>
      <c r="AL4700">
        <v>85.918397716026007</v>
      </c>
      <c r="AM4700">
        <v>101.365534126192</v>
      </c>
      <c r="AN4700">
        <v>0.999999976126697</v>
      </c>
    </row>
    <row r="4701" spans="1:40" x14ac:dyDescent="0.25">
      <c r="A4701" t="str">
        <f>"20190312151122000"</f>
        <v>20190312151122000</v>
      </c>
      <c r="B4701" t="str">
        <f>"1552374681996321"</f>
        <v>1552374681996321</v>
      </c>
      <c r="C4701" t="s">
        <v>40</v>
      </c>
      <c r="D4701">
        <v>4.7030960000000004</v>
      </c>
      <c r="E4701">
        <v>0.4825488</v>
      </c>
      <c r="F4701" t="s">
        <v>79</v>
      </c>
      <c r="G4701">
        <v>-416.0847</v>
      </c>
      <c r="H4701" s="1">
        <v>-5.1049809999999999E-6</v>
      </c>
      <c r="I4701">
        <v>127.9567</v>
      </c>
      <c r="J4701">
        <v>-409.09530000000001</v>
      </c>
      <c r="K4701">
        <v>1.116744</v>
      </c>
      <c r="L4701">
        <v>133.9358</v>
      </c>
      <c r="M4701">
        <v>-0.89826039999999996</v>
      </c>
      <c r="N4701">
        <v>0</v>
      </c>
      <c r="O4701">
        <v>-0.43928489999999998</v>
      </c>
      <c r="P4701">
        <v>-0.79162069999999995</v>
      </c>
      <c r="Q4701">
        <v>6.1595259999999999E-2</v>
      </c>
      <c r="R4701">
        <v>-0.60790010000000005</v>
      </c>
      <c r="S4701">
        <v>-2.3200989999999999</v>
      </c>
      <c r="T4701">
        <v>-0.35599550000000002</v>
      </c>
      <c r="U4701">
        <v>-1.9530639999999999</v>
      </c>
      <c r="V4701">
        <v>-0.19951820000000001</v>
      </c>
      <c r="W4701">
        <v>7.0552649999999995E-2</v>
      </c>
      <c r="X4701">
        <v>0.97735090000000002</v>
      </c>
      <c r="Y4701">
        <v>-0.24351320000000001</v>
      </c>
      <c r="Z4701">
        <v>3.8375220000000002E-2</v>
      </c>
      <c r="AA4701">
        <v>0.9691381</v>
      </c>
      <c r="AB4701">
        <v>32</v>
      </c>
      <c r="AC4701">
        <v>-6.9893999999999803</v>
      </c>
      <c r="AD4701">
        <v>-1.1167491049810001</v>
      </c>
      <c r="AE4701">
        <v>-5.9790999999999999</v>
      </c>
      <c r="AF4701">
        <v>-2.2672100380773199</v>
      </c>
      <c r="AG4701">
        <v>-1.1167491049810001</v>
      </c>
      <c r="AH4701">
        <v>8.7761574133292104</v>
      </c>
      <c r="AI4701">
        <v>97.023633455401907</v>
      </c>
      <c r="AJ4701">
        <v>104.484954127645</v>
      </c>
      <c r="AK4701">
        <v>9.1328149474172395</v>
      </c>
      <c r="AL4701">
        <v>85.954269726204004</v>
      </c>
      <c r="AM4701">
        <v>101.537931689581</v>
      </c>
      <c r="AN4701">
        <v>0.99999998514203603</v>
      </c>
    </row>
    <row r="4702" spans="1:40" x14ac:dyDescent="0.25">
      <c r="A4702" t="str">
        <f>"20190312151122022"</f>
        <v>20190312151122022</v>
      </c>
      <c r="B4702" t="str">
        <f>"1552374682015841"</f>
        <v>1552374682015841</v>
      </c>
      <c r="C4702" t="s">
        <v>40</v>
      </c>
      <c r="D4702">
        <v>4.7321210000000002</v>
      </c>
      <c r="E4702">
        <v>0.49019760000000001</v>
      </c>
      <c r="F4702" t="s">
        <v>79</v>
      </c>
      <c r="G4702">
        <v>-416.37430000000001</v>
      </c>
      <c r="H4702" s="1">
        <v>-4.9580060000000004E-6</v>
      </c>
      <c r="I4702">
        <v>127.7012</v>
      </c>
      <c r="J4702">
        <v>-409.37849999999997</v>
      </c>
      <c r="K4702">
        <v>1.116903</v>
      </c>
      <c r="L4702">
        <v>133.7884</v>
      </c>
      <c r="M4702">
        <v>-0.89462870000000005</v>
      </c>
      <c r="N4702">
        <v>0</v>
      </c>
      <c r="O4702">
        <v>-0.44663340000000001</v>
      </c>
      <c r="P4702">
        <v>-0.78478800000000004</v>
      </c>
      <c r="Q4702">
        <v>6.136933E-2</v>
      </c>
      <c r="R4702">
        <v>-0.61671830000000005</v>
      </c>
      <c r="S4702">
        <v>-2.3026119999999999</v>
      </c>
      <c r="T4702">
        <v>-0.35326869999999999</v>
      </c>
      <c r="U4702">
        <v>-1.972229</v>
      </c>
      <c r="V4702">
        <v>-0.20245840000000001</v>
      </c>
      <c r="W4702">
        <v>7.0227769999999995E-2</v>
      </c>
      <c r="X4702">
        <v>0.97676949999999996</v>
      </c>
      <c r="Y4702">
        <v>-0.2438717</v>
      </c>
      <c r="Z4702">
        <v>3.8979710000000001E-2</v>
      </c>
      <c r="AA4702">
        <v>0.96902379999999999</v>
      </c>
      <c r="AB4702">
        <v>32</v>
      </c>
      <c r="AC4702">
        <v>-6.9958000000000302</v>
      </c>
      <c r="AD4702">
        <v>-1.116907958006</v>
      </c>
      <c r="AE4702">
        <v>-6.0871999999999904</v>
      </c>
      <c r="AF4702">
        <v>-2.2882155603866701</v>
      </c>
      <c r="AG4702">
        <v>-1.116907958006</v>
      </c>
      <c r="AH4702">
        <v>8.8497221700114697</v>
      </c>
      <c r="AI4702">
        <v>96.966427599242905</v>
      </c>
      <c r="AJ4702">
        <v>104.497097982586</v>
      </c>
      <c r="AK4702">
        <v>9.2087456433460808</v>
      </c>
      <c r="AL4702">
        <v>85.972930325275996</v>
      </c>
      <c r="AM4702">
        <v>101.71007675907801</v>
      </c>
      <c r="AN4702">
        <v>0.99999999976999099</v>
      </c>
    </row>
    <row r="4703" spans="1:40" x14ac:dyDescent="0.25">
      <c r="A4703" t="str">
        <f>"20190312151122046"</f>
        <v>20190312151122046</v>
      </c>
      <c r="B4703" t="str">
        <f>"1552374682036338"</f>
        <v>1552374682036338</v>
      </c>
      <c r="C4703" t="s">
        <v>40</v>
      </c>
      <c r="D4703">
        <v>4.7136079999999998</v>
      </c>
      <c r="E4703">
        <v>0.49154900000000001</v>
      </c>
      <c r="F4703" t="s">
        <v>79</v>
      </c>
      <c r="G4703">
        <v>-415.82530000000003</v>
      </c>
      <c r="H4703" s="1">
        <v>-5.3258099999999998E-6</v>
      </c>
      <c r="I4703">
        <v>128.3605</v>
      </c>
      <c r="J4703">
        <v>-409.67129999999997</v>
      </c>
      <c r="K4703">
        <v>1.117065</v>
      </c>
      <c r="L4703">
        <v>133.6326</v>
      </c>
      <c r="M4703">
        <v>-0.89070699999999903</v>
      </c>
      <c r="N4703">
        <v>0</v>
      </c>
      <c r="O4703">
        <v>-0.45440330000000001</v>
      </c>
      <c r="P4703">
        <v>-0.77761979999999997</v>
      </c>
      <c r="Q4703">
        <v>6.1270659999999998E-2</v>
      </c>
      <c r="R4703">
        <v>-0.62574259999999904</v>
      </c>
      <c r="S4703">
        <v>-2.319458</v>
      </c>
      <c r="T4703">
        <v>-0.40185169999999998</v>
      </c>
      <c r="U4703">
        <v>-1.952866</v>
      </c>
      <c r="V4703">
        <v>-0.2052628</v>
      </c>
      <c r="W4703">
        <v>7.0036080000000001E-2</v>
      </c>
      <c r="X4703">
        <v>0.9761978</v>
      </c>
      <c r="Y4703">
        <v>-0.2276821</v>
      </c>
      <c r="Z4703">
        <v>4.6361720000000002E-2</v>
      </c>
      <c r="AA4703">
        <v>0.97263120000000003</v>
      </c>
      <c r="AB4703">
        <v>32</v>
      </c>
      <c r="AC4703">
        <v>-6.1540000000000497</v>
      </c>
      <c r="AD4703">
        <v>-1.1170703258100001</v>
      </c>
      <c r="AE4703">
        <v>-5.2720999999999902</v>
      </c>
      <c r="AF4703">
        <v>-1.8642238907700399</v>
      </c>
      <c r="AG4703">
        <v>-1.1170703258100001</v>
      </c>
      <c r="AH4703">
        <v>7.7307896289777602</v>
      </c>
      <c r="AI4703">
        <v>97.996010860522304</v>
      </c>
      <c r="AJ4703">
        <v>103.557626151234</v>
      </c>
      <c r="AK4703">
        <v>8.0304598321162892</v>
      </c>
      <c r="AL4703">
        <v>85.983940492924404</v>
      </c>
      <c r="AM4703">
        <v>101.87446485207499</v>
      </c>
      <c r="AN4703">
        <v>1.00000000714522</v>
      </c>
    </row>
    <row r="4704" spans="1:40" x14ac:dyDescent="0.25">
      <c r="A4704" t="str">
        <f>"20190312151122067"</f>
        <v>20190312151122067</v>
      </c>
      <c r="B4704" t="str">
        <f>"1552374682055857"</f>
        <v>1552374682055857</v>
      </c>
      <c r="C4704" t="s">
        <v>40</v>
      </c>
      <c r="D4704">
        <v>4.6889409999999998</v>
      </c>
      <c r="E4704">
        <v>0.49301270000000003</v>
      </c>
      <c r="F4704" t="s">
        <v>79</v>
      </c>
      <c r="G4704">
        <v>-416.18889999999999</v>
      </c>
      <c r="H4704" s="1">
        <v>-5.1507039999999998E-6</v>
      </c>
      <c r="I4704">
        <v>128.0583</v>
      </c>
      <c r="J4704">
        <v>-409.9418</v>
      </c>
      <c r="K4704">
        <v>1.1172120000000001</v>
      </c>
      <c r="L4704">
        <v>133.48570000000001</v>
      </c>
      <c r="M4704">
        <v>-0.88692380000000004</v>
      </c>
      <c r="N4704">
        <v>0</v>
      </c>
      <c r="O4704">
        <v>-0.4617426</v>
      </c>
      <c r="P4704">
        <v>-0.77099530000000005</v>
      </c>
      <c r="Q4704">
        <v>6.1068329999999997E-2</v>
      </c>
      <c r="R4704">
        <v>-0.63390619999999998</v>
      </c>
      <c r="S4704">
        <v>-2.3036189999999999</v>
      </c>
      <c r="T4704">
        <v>-0.39482270000000003</v>
      </c>
      <c r="U4704">
        <v>-1.970215</v>
      </c>
      <c r="V4704">
        <v>-0.20750859999999999</v>
      </c>
      <c r="W4704">
        <v>6.9754969999999999E-2</v>
      </c>
      <c r="X4704">
        <v>0.97574300000000003</v>
      </c>
      <c r="Y4704">
        <v>-0.22717219999999999</v>
      </c>
      <c r="Z4704">
        <v>4.6608530000000002E-2</v>
      </c>
      <c r="AA4704">
        <v>0.97273860000000001</v>
      </c>
      <c r="AB4704">
        <v>32</v>
      </c>
      <c r="AC4704">
        <v>-6.2470999999999801</v>
      </c>
      <c r="AD4704">
        <v>-1.1172171507040001</v>
      </c>
      <c r="AE4704">
        <v>-5.4273999999999996</v>
      </c>
      <c r="AF4704">
        <v>-1.89475834706341</v>
      </c>
      <c r="AG4704">
        <v>-1.1172171507040001</v>
      </c>
      <c r="AH4704">
        <v>7.9033599190277002</v>
      </c>
      <c r="AI4704">
        <v>97.827081710866693</v>
      </c>
      <c r="AJ4704">
        <v>103.48169376862199</v>
      </c>
      <c r="AK4704">
        <v>8.2037419124011492</v>
      </c>
      <c r="AL4704">
        <v>86.000086322428103</v>
      </c>
      <c r="AM4704">
        <v>102.00606878585801</v>
      </c>
      <c r="AN4704">
        <v>0.99999998848132998</v>
      </c>
    </row>
    <row r="4705" spans="1:40" x14ac:dyDescent="0.25">
      <c r="A4705" t="str">
        <f>"20190312151122090"</f>
        <v>20190312151122090</v>
      </c>
      <c r="B4705" t="str">
        <f>"1552374682086113"</f>
        <v>1552374682086113</v>
      </c>
      <c r="C4705" t="s">
        <v>40</v>
      </c>
      <c r="D4705">
        <v>4.724113</v>
      </c>
      <c r="E4705">
        <v>0.49803449999999999</v>
      </c>
      <c r="F4705" t="s">
        <v>79</v>
      </c>
      <c r="G4705">
        <v>-416.51639999999998</v>
      </c>
      <c r="H4705" s="1">
        <v>-4.9935359999999999E-6</v>
      </c>
      <c r="I4705">
        <v>127.7872</v>
      </c>
      <c r="J4705">
        <v>-410.22129999999999</v>
      </c>
      <c r="K4705">
        <v>1.117364</v>
      </c>
      <c r="L4705">
        <v>133.33070000000001</v>
      </c>
      <c r="M4705">
        <v>-0.882841599999999</v>
      </c>
      <c r="N4705">
        <v>0</v>
      </c>
      <c r="O4705">
        <v>-0.46949940000000001</v>
      </c>
      <c r="P4705">
        <v>-0.76407999999999998</v>
      </c>
      <c r="Q4705">
        <v>6.0716289999999999E-2</v>
      </c>
      <c r="R4705">
        <v>-0.64225779999999999</v>
      </c>
      <c r="S4705">
        <v>-2.2899479999999999</v>
      </c>
      <c r="T4705">
        <v>-0.3891308</v>
      </c>
      <c r="U4705">
        <v>-1.9848330000000001</v>
      </c>
      <c r="V4705">
        <v>-0.20958070000000001</v>
      </c>
      <c r="W4705">
        <v>6.932352E-2</v>
      </c>
      <c r="X4705">
        <v>0.97533080000000005</v>
      </c>
      <c r="Y4705">
        <v>-0.225073</v>
      </c>
      <c r="Z4705">
        <v>4.7128459999999997E-2</v>
      </c>
      <c r="AA4705">
        <v>0.97320150000000005</v>
      </c>
      <c r="AB4705">
        <v>32</v>
      </c>
      <c r="AC4705">
        <v>-6.2950999999999899</v>
      </c>
      <c r="AD4705">
        <v>-1.1173689935360001</v>
      </c>
      <c r="AE4705">
        <v>-5.5434999999999999</v>
      </c>
      <c r="AF4705">
        <v>-1.90484144785055</v>
      </c>
      <c r="AG4705">
        <v>-1.1173689935360001</v>
      </c>
      <c r="AH4705">
        <v>8.0186130056996792</v>
      </c>
      <c r="AI4705">
        <v>97.720750509667596</v>
      </c>
      <c r="AJ4705">
        <v>103.36306502812999</v>
      </c>
      <c r="AK4705">
        <v>8.3171563015456798</v>
      </c>
      <c r="AL4705">
        <v>86.0248665998935</v>
      </c>
      <c r="AM4705">
        <v>102.12739912983599</v>
      </c>
      <c r="AN4705">
        <v>0.99999999483316004</v>
      </c>
    </row>
    <row r="4706" spans="1:40" x14ac:dyDescent="0.25">
      <c r="A4706" t="str">
        <f>"20190312151122112"</f>
        <v>20190312151122112</v>
      </c>
      <c r="B4706" t="str">
        <f>"1552374682105634"</f>
        <v>1552374682105634</v>
      </c>
      <c r="C4706" t="s">
        <v>40</v>
      </c>
      <c r="D4706">
        <v>4.8931740000000001</v>
      </c>
      <c r="E4706">
        <v>0.50136530000000001</v>
      </c>
      <c r="F4706" t="s">
        <v>79</v>
      </c>
      <c r="G4706">
        <v>-416.8528</v>
      </c>
      <c r="H4706" s="1">
        <v>-4.8847010000000002E-6</v>
      </c>
      <c r="I4706">
        <v>127.61190000000001</v>
      </c>
      <c r="J4706">
        <v>-410.50700000000001</v>
      </c>
      <c r="K4706">
        <v>1.117526</v>
      </c>
      <c r="L4706">
        <v>133.1687</v>
      </c>
      <c r="M4706">
        <v>-0.8784805</v>
      </c>
      <c r="N4706">
        <v>0</v>
      </c>
      <c r="O4706">
        <v>-0.4776087</v>
      </c>
      <c r="P4706">
        <v>-0.75644519999999904</v>
      </c>
      <c r="Q4706">
        <v>6.0530439999999998E-2</v>
      </c>
      <c r="R4706">
        <v>-0.65125040000000001</v>
      </c>
      <c r="S4706">
        <v>-2.2940670000000001</v>
      </c>
      <c r="T4706">
        <v>-0.38653910000000002</v>
      </c>
      <c r="U4706">
        <v>-1.978348</v>
      </c>
      <c r="V4706">
        <v>-0.2121546</v>
      </c>
      <c r="W4706">
        <v>6.9041420000000006E-2</v>
      </c>
      <c r="X4706">
        <v>0.97479420000000006</v>
      </c>
      <c r="Y4706">
        <v>-0.21374650000000001</v>
      </c>
      <c r="Z4706">
        <v>4.8581439999999997E-2</v>
      </c>
      <c r="AA4706">
        <v>0.9756804</v>
      </c>
      <c r="AB4706">
        <v>32</v>
      </c>
      <c r="AC4706">
        <v>-6.3458000000000503</v>
      </c>
      <c r="AD4706">
        <v>-1.1175308847009999</v>
      </c>
      <c r="AE4706">
        <v>-5.5567999999999902</v>
      </c>
      <c r="AF4706">
        <v>-1.8189522317701701</v>
      </c>
      <c r="AG4706">
        <v>-1.1175308847009999</v>
      </c>
      <c r="AH4706">
        <v>8.0873435672345906</v>
      </c>
      <c r="AI4706">
        <v>97.6780306943851</v>
      </c>
      <c r="AJ4706">
        <v>102.675662654249</v>
      </c>
      <c r="AK4706">
        <v>8.3643642002373895</v>
      </c>
      <c r="AL4706">
        <v>86.041068627686798</v>
      </c>
      <c r="AM4706">
        <v>102.278401125522</v>
      </c>
      <c r="AN4706">
        <v>1.0000000121652</v>
      </c>
    </row>
    <row r="4707" spans="1:40" x14ac:dyDescent="0.25">
      <c r="A4707" t="str">
        <f>"20190312151122135"</f>
        <v>20190312151122135</v>
      </c>
      <c r="B4707" t="str">
        <f>"1552374682126130"</f>
        <v>1552374682126130</v>
      </c>
      <c r="C4707" t="s">
        <v>40</v>
      </c>
      <c r="D4707">
        <v>4.6027519999999997</v>
      </c>
      <c r="E4707">
        <v>0.46348620000000001</v>
      </c>
      <c r="F4707" t="s">
        <v>79</v>
      </c>
      <c r="G4707">
        <v>-417.92880000000002</v>
      </c>
      <c r="H4707" s="1">
        <v>-4.3766889999999999E-6</v>
      </c>
      <c r="I4707">
        <v>126.73739999999999</v>
      </c>
      <c r="J4707">
        <v>-410.78750000000002</v>
      </c>
      <c r="K4707">
        <v>1.117693</v>
      </c>
      <c r="L4707">
        <v>133.0061</v>
      </c>
      <c r="M4707">
        <v>-0.87400630000000001</v>
      </c>
      <c r="N4707">
        <v>0</v>
      </c>
      <c r="O4707">
        <v>-0.48574659999999897</v>
      </c>
      <c r="P4707">
        <v>-0.74870749999999997</v>
      </c>
      <c r="Q4707">
        <v>6.0332169999999997E-2</v>
      </c>
      <c r="R4707">
        <v>-0.66014919999999899</v>
      </c>
      <c r="S4707">
        <v>-2.28714</v>
      </c>
      <c r="T4707">
        <v>-0.34438299999999999</v>
      </c>
      <c r="U4707">
        <v>-1.9818880000000001</v>
      </c>
      <c r="V4707">
        <v>-0.21464649999999999</v>
      </c>
      <c r="W4707">
        <v>6.8743639999999995E-2</v>
      </c>
      <c r="X4707">
        <v>0.97426959999999996</v>
      </c>
      <c r="Y4707">
        <v>-0.20671909999999999</v>
      </c>
      <c r="Z4707">
        <v>4.4705559999999998E-2</v>
      </c>
      <c r="AA4707">
        <v>0.97737839999999998</v>
      </c>
      <c r="AB4707">
        <v>32</v>
      </c>
      <c r="AC4707">
        <v>-7.1413000000000002</v>
      </c>
      <c r="AD4707">
        <v>-1.1176973766889999</v>
      </c>
      <c r="AE4707">
        <v>-6.2687000000000097</v>
      </c>
      <c r="AF4707">
        <v>-1.9827533469412699</v>
      </c>
      <c r="AG4707">
        <v>-1.1176973766889999</v>
      </c>
      <c r="AH4707">
        <v>9.1605605883382992</v>
      </c>
      <c r="AI4707">
        <v>96.800437756189396</v>
      </c>
      <c r="AJ4707">
        <v>102.21296600997999</v>
      </c>
      <c r="AK4707">
        <v>9.4390904515891396</v>
      </c>
      <c r="AL4707">
        <v>86.058170871379701</v>
      </c>
      <c r="AM4707">
        <v>102.424648792851</v>
      </c>
      <c r="AN4707">
        <v>1.00000003074342</v>
      </c>
    </row>
    <row r="4708" spans="1:40" x14ac:dyDescent="0.25">
      <c r="A4708" t="str">
        <f>"20190312151122157"</f>
        <v>20190312151122157</v>
      </c>
      <c r="B4708" t="str">
        <f>"1552374682145649"</f>
        <v>1552374682145649</v>
      </c>
      <c r="C4708" t="s">
        <v>40</v>
      </c>
      <c r="D4708">
        <v>4.5284060000000004</v>
      </c>
      <c r="E4708">
        <v>0.45364090000000001</v>
      </c>
      <c r="F4708" t="s">
        <v>79</v>
      </c>
      <c r="G4708">
        <v>-416.88819999999998</v>
      </c>
      <c r="H4708" s="1">
        <v>-4.2612019999999996E-6</v>
      </c>
      <c r="I4708">
        <v>126.39230000000001</v>
      </c>
      <c r="J4708">
        <v>-411.05799999999999</v>
      </c>
      <c r="K4708">
        <v>1.1178549999999901</v>
      </c>
      <c r="L4708">
        <v>132.8458</v>
      </c>
      <c r="M4708">
        <v>-0.86950139999999998</v>
      </c>
      <c r="N4708">
        <v>0</v>
      </c>
      <c r="O4708">
        <v>-0.4937645</v>
      </c>
      <c r="P4708">
        <v>-0.74106280000000002</v>
      </c>
      <c r="Q4708">
        <v>5.9381400000000001E-2</v>
      </c>
      <c r="R4708">
        <v>-0.66880499999999998</v>
      </c>
      <c r="S4708">
        <v>-2.064209</v>
      </c>
      <c r="T4708">
        <v>-0.3781813</v>
      </c>
      <c r="U4708">
        <v>-2.237854</v>
      </c>
      <c r="V4708">
        <v>-0.2169797</v>
      </c>
      <c r="W4708">
        <v>6.7695140000000001E-2</v>
      </c>
      <c r="X4708">
        <v>0.97382610000000003</v>
      </c>
      <c r="Y4708">
        <v>-0.30540519999999999</v>
      </c>
      <c r="Z4708">
        <v>4.4227519999999999E-2</v>
      </c>
      <c r="AA4708">
        <v>0.95119480000000001</v>
      </c>
      <c r="AB4708">
        <v>32</v>
      </c>
      <c r="AC4708">
        <v>-5.8301999999999303</v>
      </c>
      <c r="AD4708">
        <v>-1.11785926120199</v>
      </c>
      <c r="AE4708">
        <v>-6.4534999999999902</v>
      </c>
      <c r="AF4708">
        <v>-2.6883913336143102</v>
      </c>
      <c r="AG4708">
        <v>-1.11785926120199</v>
      </c>
      <c r="AH4708">
        <v>8.1223656902049193</v>
      </c>
      <c r="AI4708">
        <v>97.443894515445507</v>
      </c>
      <c r="AJ4708">
        <v>108.313833376993</v>
      </c>
      <c r="AK4708">
        <v>8.6284344869695602</v>
      </c>
      <c r="AL4708">
        <v>86.118385842772796</v>
      </c>
      <c r="AM4708">
        <v>102.560980541714</v>
      </c>
      <c r="AN4708">
        <v>1.0000000476164499</v>
      </c>
    </row>
    <row r="4709" spans="1:40" x14ac:dyDescent="0.25">
      <c r="A4709" t="str">
        <f>"20190312151122179"</f>
        <v>20190312151122179</v>
      </c>
      <c r="B4709" t="str">
        <f>"1552374682175905"</f>
        <v>1552374682175905</v>
      </c>
      <c r="C4709" t="s">
        <v>40</v>
      </c>
      <c r="D4709">
        <v>4.5935889999999997</v>
      </c>
      <c r="E4709">
        <v>0.44728400000000001</v>
      </c>
      <c r="F4709" t="s">
        <v>79</v>
      </c>
      <c r="G4709">
        <v>-416.86250000000001</v>
      </c>
      <c r="H4709" s="1">
        <v>-4.1113449999999997E-6</v>
      </c>
      <c r="I4709">
        <v>126.06310000000001</v>
      </c>
      <c r="J4709">
        <v>-411.32670000000002</v>
      </c>
      <c r="K4709">
        <v>1.1180060000000001</v>
      </c>
      <c r="L4709">
        <v>132.68289999999999</v>
      </c>
      <c r="M4709">
        <v>-0.8648266</v>
      </c>
      <c r="N4709">
        <v>0</v>
      </c>
      <c r="O4709">
        <v>-0.50190649999999903</v>
      </c>
      <c r="P4709">
        <v>-0.73341540000000005</v>
      </c>
      <c r="Q4709">
        <v>5.9330470000000003E-2</v>
      </c>
      <c r="R4709">
        <v>-0.67718710000000004</v>
      </c>
      <c r="S4709">
        <v>-1.98526</v>
      </c>
      <c r="T4709">
        <v>-0.38233020000000001</v>
      </c>
      <c r="U4709">
        <v>-2.319839</v>
      </c>
      <c r="V4709">
        <v>-0.21893309999999999</v>
      </c>
      <c r="W4709">
        <v>6.7552890000000004E-2</v>
      </c>
      <c r="X4709">
        <v>0.9733986</v>
      </c>
      <c r="Y4709">
        <v>-0.33165899999999998</v>
      </c>
      <c r="Z4709">
        <v>4.4151969999999999E-2</v>
      </c>
      <c r="AA4709">
        <v>0.94236560000000003</v>
      </c>
      <c r="AB4709">
        <v>32</v>
      </c>
      <c r="AC4709">
        <v>-5.5357999999999903</v>
      </c>
      <c r="AD4709">
        <v>-1.1180101113450001</v>
      </c>
      <c r="AE4709">
        <v>-6.6197999999999801</v>
      </c>
      <c r="AF4709">
        <v>-2.8981221824389598</v>
      </c>
      <c r="AG4709">
        <v>-1.1180101113450001</v>
      </c>
      <c r="AH4709">
        <v>7.9768032877255397</v>
      </c>
      <c r="AI4709">
        <v>97.504515968455706</v>
      </c>
      <c r="AJ4709">
        <v>109.96703215817099</v>
      </c>
      <c r="AK4709">
        <v>8.5602832595938896</v>
      </c>
      <c r="AL4709">
        <v>86.126554545861694</v>
      </c>
      <c r="AM4709">
        <v>102.67581258574999</v>
      </c>
      <c r="AN4709">
        <v>0.99999996485246001</v>
      </c>
    </row>
    <row r="4710" spans="1:40" x14ac:dyDescent="0.25">
      <c r="A4710" t="str">
        <f>"20190312151122202"</f>
        <v>20190312151122202</v>
      </c>
      <c r="B4710" t="str">
        <f>"1552374682196401"</f>
        <v>1552374682196401</v>
      </c>
      <c r="C4710" t="s">
        <v>40</v>
      </c>
      <c r="D4710">
        <v>4.57315</v>
      </c>
      <c r="E4710">
        <v>0.44620569999999998</v>
      </c>
      <c r="F4710" t="s">
        <v>79</v>
      </c>
      <c r="G4710">
        <v>-416.69389999999999</v>
      </c>
      <c r="H4710" s="1">
        <v>-4.1275730000000004E-6</v>
      </c>
      <c r="I4710">
        <v>126.04219999999999</v>
      </c>
      <c r="J4710">
        <v>-411.6062</v>
      </c>
      <c r="K4710">
        <v>1.1181680000000001</v>
      </c>
      <c r="L4710">
        <v>132.5093</v>
      </c>
      <c r="M4710">
        <v>-0.85974859999999897</v>
      </c>
      <c r="N4710">
        <v>0</v>
      </c>
      <c r="O4710">
        <v>-0.51055490000000003</v>
      </c>
      <c r="P4710">
        <v>-0.72527399999999997</v>
      </c>
      <c r="Q4710">
        <v>5.9257890000000001E-2</v>
      </c>
      <c r="R4710">
        <v>-0.6859056</v>
      </c>
      <c r="S4710">
        <v>-1.9244079999999999</v>
      </c>
      <c r="T4710">
        <v>-0.40086080000000002</v>
      </c>
      <c r="U4710">
        <v>-2.3809969999999998</v>
      </c>
      <c r="V4710">
        <v>-0.22082979999999999</v>
      </c>
      <c r="W4710">
        <v>6.7388760000000006E-2</v>
      </c>
      <c r="X4710">
        <v>0.97298150000000005</v>
      </c>
      <c r="Y4710">
        <v>-0.34864529999999999</v>
      </c>
      <c r="Z4710">
        <v>4.6343490000000001E-2</v>
      </c>
      <c r="AA4710">
        <v>0.9361083</v>
      </c>
      <c r="AB4710">
        <v>32</v>
      </c>
      <c r="AC4710">
        <v>-5.0876999999999803</v>
      </c>
      <c r="AD4710">
        <v>-1.1181721275730001</v>
      </c>
      <c r="AE4710">
        <v>-6.4671000000000003</v>
      </c>
      <c r="AF4710">
        <v>-2.9090568417490998</v>
      </c>
      <c r="AG4710">
        <v>-1.1181721275730001</v>
      </c>
      <c r="AH4710">
        <v>7.5374029033292196</v>
      </c>
      <c r="AI4710">
        <v>97.879660938197205</v>
      </c>
      <c r="AJ4710">
        <v>111.104069749548</v>
      </c>
      <c r="AK4710">
        <v>8.1563081809433999</v>
      </c>
      <c r="AL4710">
        <v>86.135980203595295</v>
      </c>
      <c r="AM4710">
        <v>102.78733447252699</v>
      </c>
      <c r="AN4710">
        <v>1.00000002244231</v>
      </c>
    </row>
    <row r="4711" spans="1:40" x14ac:dyDescent="0.25">
      <c r="A4711" t="str">
        <f>"20190312151122223"</f>
        <v>20190312151122223</v>
      </c>
      <c r="B4711" t="str">
        <f>"1552374682215920"</f>
        <v>1552374682215920</v>
      </c>
      <c r="C4711" t="s">
        <v>40</v>
      </c>
      <c r="D4711">
        <v>4.607494</v>
      </c>
      <c r="E4711">
        <v>0.44588329999999998</v>
      </c>
      <c r="F4711" t="s">
        <v>79</v>
      </c>
      <c r="G4711">
        <v>-416.75310000000002</v>
      </c>
      <c r="H4711" s="1">
        <v>-4.0853569999999998E-6</v>
      </c>
      <c r="I4711">
        <v>125.9444</v>
      </c>
      <c r="J4711">
        <v>-411.86680000000001</v>
      </c>
      <c r="K4711">
        <v>1.1183000000000001</v>
      </c>
      <c r="L4711">
        <v>132.34389999999999</v>
      </c>
      <c r="M4711">
        <v>-0.85482959999999997</v>
      </c>
      <c r="N4711">
        <v>0</v>
      </c>
      <c r="O4711">
        <v>-0.51874790000000004</v>
      </c>
      <c r="P4711">
        <v>-0.71709690000000004</v>
      </c>
      <c r="Q4711">
        <v>5.8467440000000002E-2</v>
      </c>
      <c r="R4711">
        <v>-0.69451680000000005</v>
      </c>
      <c r="S4711">
        <v>-1.890015</v>
      </c>
      <c r="T4711">
        <v>-0.41060580000000002</v>
      </c>
      <c r="U4711">
        <v>-2.410736</v>
      </c>
      <c r="V4711">
        <v>-0.22312319999999999</v>
      </c>
      <c r="W4711">
        <v>6.6505250000000002E-2</v>
      </c>
      <c r="X4711">
        <v>0.97251889999999996</v>
      </c>
      <c r="Y4711">
        <v>-0.35363230000000001</v>
      </c>
      <c r="Z4711">
        <v>4.8323930000000001E-2</v>
      </c>
      <c r="AA4711">
        <v>0.93413539999999995</v>
      </c>
      <c r="AB4711">
        <v>32</v>
      </c>
      <c r="AC4711">
        <v>-4.8863000000000003</v>
      </c>
      <c r="AD4711">
        <v>-1.1183040853569901</v>
      </c>
      <c r="AE4711">
        <v>-6.3994999999999802</v>
      </c>
      <c r="AF4711">
        <v>-2.8804043966883701</v>
      </c>
      <c r="AG4711">
        <v>-1.1183040853569901</v>
      </c>
      <c r="AH4711">
        <v>7.3554162107665197</v>
      </c>
      <c r="AI4711">
        <v>98.057821818967</v>
      </c>
      <c r="AJ4711">
        <v>111.38546915612299</v>
      </c>
      <c r="AK4711">
        <v>7.9780624934500697</v>
      </c>
      <c r="AL4711">
        <v>86.186715185516405</v>
      </c>
      <c r="AM4711">
        <v>102.92164152660099</v>
      </c>
      <c r="AN4711">
        <v>0.99999996075650499</v>
      </c>
    </row>
    <row r="4712" spans="1:40" x14ac:dyDescent="0.25">
      <c r="A4712" t="str">
        <f>"20190312151122246"</f>
        <v>20190312151122246</v>
      </c>
      <c r="B4712" t="str">
        <f>"1552374682235441"</f>
        <v>1552374682235441</v>
      </c>
      <c r="C4712" t="s">
        <v>40</v>
      </c>
      <c r="D4712">
        <v>4.600085</v>
      </c>
      <c r="E4712">
        <v>0.44588990000000001</v>
      </c>
      <c r="F4712" t="s">
        <v>79</v>
      </c>
      <c r="G4712">
        <v>-416.81709999999998</v>
      </c>
      <c r="H4712" s="1">
        <v>-4.0478539999999998E-6</v>
      </c>
      <c r="I4712">
        <v>125.86199999999999</v>
      </c>
      <c r="J4712">
        <v>-412.13639999999998</v>
      </c>
      <c r="K4712">
        <v>1.1184270000000001</v>
      </c>
      <c r="L4712">
        <v>132.16890000000001</v>
      </c>
      <c r="M4712">
        <v>-0.84954699999999905</v>
      </c>
      <c r="N4712">
        <v>0</v>
      </c>
      <c r="O4712">
        <v>-0.52735379999999998</v>
      </c>
      <c r="P4712">
        <v>-0.70850869999999999</v>
      </c>
      <c r="Q4712">
        <v>5.8256410000000002E-2</v>
      </c>
      <c r="R4712">
        <v>-0.70329350000000002</v>
      </c>
      <c r="S4712">
        <v>-1.859558</v>
      </c>
      <c r="T4712">
        <v>-0.42008279999999998</v>
      </c>
      <c r="U4712">
        <v>-2.4348749999999999</v>
      </c>
      <c r="V4712">
        <v>-0.22528490000000001</v>
      </c>
      <c r="W4712">
        <v>6.6205490000000006E-2</v>
      </c>
      <c r="X4712">
        <v>0.97204089999999999</v>
      </c>
      <c r="Y4712">
        <v>-0.35611710000000002</v>
      </c>
      <c r="Z4712">
        <v>5.0562080000000002E-2</v>
      </c>
      <c r="AA4712">
        <v>0.93307240000000002</v>
      </c>
      <c r="AB4712">
        <v>32</v>
      </c>
      <c r="AC4712">
        <v>-4.6806999999999999</v>
      </c>
      <c r="AD4712">
        <v>-1.118431047854</v>
      </c>
      <c r="AE4712">
        <v>-6.30689999999999</v>
      </c>
      <c r="AF4712">
        <v>-2.8324286749445799</v>
      </c>
      <c r="AG4712">
        <v>-1.118431047854</v>
      </c>
      <c r="AH4712">
        <v>7.1579049345722296</v>
      </c>
      <c r="AI4712">
        <v>98.266642549777501</v>
      </c>
      <c r="AJ4712">
        <v>111.589021776622</v>
      </c>
      <c r="AK4712">
        <v>7.7787623218495101</v>
      </c>
      <c r="AL4712">
        <v>86.203928186895695</v>
      </c>
      <c r="AM4712">
        <v>103.048764708435</v>
      </c>
      <c r="AN4712">
        <v>0.99999998217347996</v>
      </c>
    </row>
    <row r="4713" spans="1:40" x14ac:dyDescent="0.25">
      <c r="A4713" t="str">
        <f>"20190312151122267"</f>
        <v>20190312151122267</v>
      </c>
      <c r="B4713" t="str">
        <f>"1552374682265697"</f>
        <v>1552374682265697</v>
      </c>
      <c r="C4713" t="s">
        <v>40</v>
      </c>
      <c r="D4713">
        <v>4.5927009999999999</v>
      </c>
      <c r="E4713">
        <v>0.4466328</v>
      </c>
      <c r="F4713" t="s">
        <v>79</v>
      </c>
      <c r="G4713">
        <v>-416.93669999999997</v>
      </c>
      <c r="H4713" s="1">
        <v>-3.9816790000000004E-6</v>
      </c>
      <c r="I4713">
        <v>125.7193</v>
      </c>
      <c r="J4713">
        <v>-412.39760000000001</v>
      </c>
      <c r="K4713">
        <v>1.1185369999999999</v>
      </c>
      <c r="L4713">
        <v>131.99549999999999</v>
      </c>
      <c r="M4713">
        <v>-0.84424069999999996</v>
      </c>
      <c r="N4713">
        <v>0</v>
      </c>
      <c r="O4713">
        <v>-0.53580699999999903</v>
      </c>
      <c r="P4713">
        <v>-0.7001887</v>
      </c>
      <c r="Q4713">
        <v>5.8000089999999997E-2</v>
      </c>
      <c r="R4713">
        <v>-0.71159830000000002</v>
      </c>
      <c r="S4713">
        <v>-1.829437</v>
      </c>
      <c r="T4713">
        <v>-0.42624430000000002</v>
      </c>
      <c r="U4713">
        <v>-2.4579770000000001</v>
      </c>
      <c r="V4713">
        <v>-0.22704669999999999</v>
      </c>
      <c r="W4713">
        <v>6.5872449999999999E-2</v>
      </c>
      <c r="X4713">
        <v>0.97165349999999995</v>
      </c>
      <c r="Y4713">
        <v>-0.35841889999999998</v>
      </c>
      <c r="Z4713">
        <v>5.2441920000000003E-2</v>
      </c>
      <c r="AA4713">
        <v>0.93208679999999999</v>
      </c>
      <c r="AB4713">
        <v>32</v>
      </c>
      <c r="AC4713">
        <v>-4.5390999999999604</v>
      </c>
      <c r="AD4713">
        <v>-1.118540981679</v>
      </c>
      <c r="AE4713">
        <v>-6.2761999999999798</v>
      </c>
      <c r="AF4713">
        <v>-2.8082200627311198</v>
      </c>
      <c r="AG4713">
        <v>-1.118540981679</v>
      </c>
      <c r="AH4713">
        <v>7.0485389144969801</v>
      </c>
      <c r="AI4713">
        <v>98.386234554649306</v>
      </c>
      <c r="AJ4713">
        <v>111.72291361526599</v>
      </c>
      <c r="AK4713">
        <v>7.66936338150692</v>
      </c>
      <c r="AL4713">
        <v>86.223051612446994</v>
      </c>
      <c r="AM4713">
        <v>103.152338393631</v>
      </c>
      <c r="AN4713">
        <v>0.99999995385606999</v>
      </c>
    </row>
    <row r="4714" spans="1:40" x14ac:dyDescent="0.25">
      <c r="A4714" t="str">
        <f>"20190312151122291"</f>
        <v>20190312151122291</v>
      </c>
      <c r="B4714" t="str">
        <f>"1552374682286193"</f>
        <v>1552374682286193</v>
      </c>
      <c r="C4714" t="s">
        <v>40</v>
      </c>
      <c r="D4714">
        <v>4.6990420000000004</v>
      </c>
      <c r="E4714">
        <v>0.44759330000000003</v>
      </c>
      <c r="F4714" t="s">
        <v>79</v>
      </c>
      <c r="G4714">
        <v>-417.02710000000002</v>
      </c>
      <c r="H4714" s="1">
        <v>-3.9434420000000001E-6</v>
      </c>
      <c r="I4714">
        <v>125.6454</v>
      </c>
      <c r="J4714">
        <v>-412.67149999999998</v>
      </c>
      <c r="K4714">
        <v>1.1186469999999999</v>
      </c>
      <c r="L4714">
        <v>131.80959999999999</v>
      </c>
      <c r="M4714">
        <v>-0.8384722</v>
      </c>
      <c r="N4714">
        <v>0</v>
      </c>
      <c r="O4714">
        <v>-0.54478899999999997</v>
      </c>
      <c r="P4714">
        <v>-0.69116540000000004</v>
      </c>
      <c r="Q4714">
        <v>5.7658090000000002E-2</v>
      </c>
      <c r="R4714">
        <v>-0.72039280000000006</v>
      </c>
      <c r="S4714">
        <v>-1.80481</v>
      </c>
      <c r="T4714">
        <v>-0.43605709999999998</v>
      </c>
      <c r="U4714">
        <v>-2.4755549999999999</v>
      </c>
      <c r="V4714">
        <v>-0.2289542</v>
      </c>
      <c r="W4714">
        <v>6.5449939999999998E-2</v>
      </c>
      <c r="X4714">
        <v>0.97123440000000005</v>
      </c>
      <c r="Y4714">
        <v>-0.35777179999999997</v>
      </c>
      <c r="Z4714">
        <v>5.5102289999999998E-2</v>
      </c>
      <c r="AA4714">
        <v>0.93218190000000001</v>
      </c>
      <c r="AB4714">
        <v>32</v>
      </c>
      <c r="AC4714">
        <v>-4.3556000000000301</v>
      </c>
      <c r="AD4714">
        <v>-1.118650943442</v>
      </c>
      <c r="AE4714">
        <v>-6.1641999999999904</v>
      </c>
      <c r="AF4714">
        <v>-2.7357697944350399</v>
      </c>
      <c r="AG4714">
        <v>-1.118650943442</v>
      </c>
      <c r="AH4714">
        <v>6.86014067500194</v>
      </c>
      <c r="AI4714">
        <v>98.612858391575699</v>
      </c>
      <c r="AJ4714">
        <v>111.741722142889</v>
      </c>
      <c r="AK4714">
        <v>7.4697621369239702</v>
      </c>
      <c r="AL4714">
        <v>86.247312144084205</v>
      </c>
      <c r="AM4714">
        <v>103.264467566861</v>
      </c>
      <c r="AN4714">
        <v>0.99999999004350104</v>
      </c>
    </row>
    <row r="4715" spans="1:40" x14ac:dyDescent="0.25">
      <c r="A4715" t="str">
        <f>"20190312151122313"</f>
        <v>20190312151122313</v>
      </c>
      <c r="B4715" t="str">
        <f>"1552374682305717"</f>
        <v>1552374682305717</v>
      </c>
      <c r="C4715" t="s">
        <v>40</v>
      </c>
      <c r="D4715">
        <v>4.6087239999999996</v>
      </c>
      <c r="E4715">
        <v>0.44829229999999998</v>
      </c>
      <c r="F4715" t="s">
        <v>79</v>
      </c>
      <c r="G4715">
        <v>-417.2439</v>
      </c>
      <c r="H4715" s="1">
        <v>-3.8288459999999997E-6</v>
      </c>
      <c r="I4715">
        <v>125.4023</v>
      </c>
      <c r="J4715">
        <v>-412.93029999999999</v>
      </c>
      <c r="K4715">
        <v>1.1187560000000001</v>
      </c>
      <c r="L4715">
        <v>131.62979999999999</v>
      </c>
      <c r="M4715">
        <v>-0.83283030000000002</v>
      </c>
      <c r="N4715">
        <v>0</v>
      </c>
      <c r="O4715">
        <v>-0.55337480000000006</v>
      </c>
      <c r="P4715">
        <v>-0.68152060000000003</v>
      </c>
      <c r="Q4715">
        <v>5.7032600000000003E-2</v>
      </c>
      <c r="R4715">
        <v>-0.72957309999999997</v>
      </c>
      <c r="S4715">
        <v>-1.778778</v>
      </c>
      <c r="T4715">
        <v>-0.43518519999999999</v>
      </c>
      <c r="U4715">
        <v>-2.4926300000000001</v>
      </c>
      <c r="V4715">
        <v>-0.2319406</v>
      </c>
      <c r="W4715">
        <v>6.4720970000000003E-2</v>
      </c>
      <c r="X4715">
        <v>0.97057439999999995</v>
      </c>
      <c r="Y4715">
        <v>-0.35769859999999998</v>
      </c>
      <c r="Z4715">
        <v>5.6379270000000002E-2</v>
      </c>
      <c r="AA4715">
        <v>0.93213360000000001</v>
      </c>
      <c r="AB4715">
        <v>32</v>
      </c>
      <c r="AC4715">
        <v>-4.3136000000000001</v>
      </c>
      <c r="AD4715">
        <v>-1.1187598288459999</v>
      </c>
      <c r="AE4715">
        <v>-6.2274999999999903</v>
      </c>
      <c r="AF4715">
        <v>-2.7398954036279299</v>
      </c>
      <c r="AG4715">
        <v>-1.1187598288459999</v>
      </c>
      <c r="AH4715">
        <v>6.8889912942347804</v>
      </c>
      <c r="AI4715">
        <v>98.581260654660198</v>
      </c>
      <c r="AJ4715">
        <v>111.68874673060201</v>
      </c>
      <c r="AK4715">
        <v>7.4977897696256903</v>
      </c>
      <c r="AL4715">
        <v>86.289167669790103</v>
      </c>
      <c r="AM4715">
        <v>103.44005572594401</v>
      </c>
      <c r="AN4715">
        <v>0.99999995591072899</v>
      </c>
    </row>
    <row r="4716" spans="1:40" x14ac:dyDescent="0.25">
      <c r="A4716" t="str">
        <f>"20190312151122335"</f>
        <v>20190312151122335</v>
      </c>
      <c r="B4716" t="str">
        <f>"1552374682326209"</f>
        <v>1552374682326209</v>
      </c>
      <c r="C4716" t="s">
        <v>40</v>
      </c>
      <c r="D4716">
        <v>4.6262829999999999</v>
      </c>
      <c r="E4716">
        <v>0.4489515</v>
      </c>
      <c r="F4716" t="s">
        <v>79</v>
      </c>
      <c r="G4716">
        <v>-417.46319999999997</v>
      </c>
      <c r="H4716" s="1">
        <v>-3.7025970000000001E-6</v>
      </c>
      <c r="I4716">
        <v>125.1266</v>
      </c>
      <c r="J4716">
        <v>-413.19349999999997</v>
      </c>
      <c r="K4716">
        <v>1.118843</v>
      </c>
      <c r="L4716">
        <v>131.44290000000001</v>
      </c>
      <c r="M4716">
        <v>-0.82690319999999995</v>
      </c>
      <c r="N4716">
        <v>0</v>
      </c>
      <c r="O4716">
        <v>-0.56219240000000004</v>
      </c>
      <c r="P4716">
        <v>-0.67208559999999995</v>
      </c>
      <c r="Q4716">
        <v>5.6692670000000001E-2</v>
      </c>
      <c r="R4716">
        <v>-0.73829999999999996</v>
      </c>
      <c r="S4716">
        <v>-1.7501529999999901</v>
      </c>
      <c r="T4716">
        <v>-0.43195260000000002</v>
      </c>
      <c r="U4716">
        <v>-2.51091</v>
      </c>
      <c r="V4716">
        <v>-0.23413600000000001</v>
      </c>
      <c r="W4716">
        <v>6.4296030000000004E-2</v>
      </c>
      <c r="X4716">
        <v>0.97007540000000003</v>
      </c>
      <c r="Y4716">
        <v>-0.35814629999999997</v>
      </c>
      <c r="Z4716">
        <v>5.7352220000000002E-2</v>
      </c>
      <c r="AA4716">
        <v>0.93190229999999996</v>
      </c>
      <c r="AB4716">
        <v>32</v>
      </c>
      <c r="AC4716">
        <v>-4.2697000000000003</v>
      </c>
      <c r="AD4716">
        <v>-1.1188467025969999</v>
      </c>
      <c r="AE4716">
        <v>-6.3163000000000098</v>
      </c>
      <c r="AF4716">
        <v>-2.7633055307224001</v>
      </c>
      <c r="AG4716">
        <v>-1.1188467025969999</v>
      </c>
      <c r="AH4716">
        <v>6.9329003660583099</v>
      </c>
      <c r="AI4716">
        <v>98.525889182435506</v>
      </c>
      <c r="AJ4716">
        <v>111.731166643484</v>
      </c>
      <c r="AK4716">
        <v>7.5467067576343903</v>
      </c>
      <c r="AL4716">
        <v>86.313565786195895</v>
      </c>
      <c r="AM4716">
        <v>103.56931083807299</v>
      </c>
      <c r="AN4716">
        <v>0.99999996382745904</v>
      </c>
    </row>
    <row r="4717" spans="1:40" x14ac:dyDescent="0.25">
      <c r="A4717" t="str">
        <f>"20190312151122359"</f>
        <v>20190312151122359</v>
      </c>
      <c r="B4717" t="str">
        <f>"1552374682355489"</f>
        <v>1552374682355489</v>
      </c>
      <c r="C4717" t="s">
        <v>40</v>
      </c>
      <c r="D4717">
        <v>4.6313810000000002</v>
      </c>
      <c r="E4717">
        <v>0.4500072</v>
      </c>
      <c r="F4717" t="s">
        <v>79</v>
      </c>
      <c r="G4717">
        <v>-417.63959999999997</v>
      </c>
      <c r="H4717" s="1">
        <v>-3.6019260000000001E-6</v>
      </c>
      <c r="I4717">
        <v>124.90730000000001</v>
      </c>
      <c r="J4717">
        <v>-413.45339999999999</v>
      </c>
      <c r="K4717">
        <v>1.118927</v>
      </c>
      <c r="L4717">
        <v>131.25399999999999</v>
      </c>
      <c r="M4717">
        <v>-0.82086109999999901</v>
      </c>
      <c r="N4717">
        <v>0</v>
      </c>
      <c r="O4717">
        <v>-0.57097769999999903</v>
      </c>
      <c r="P4717">
        <v>-0.66276769999999996</v>
      </c>
      <c r="Q4717">
        <v>5.626345E-2</v>
      </c>
      <c r="R4717">
        <v>-0.74670829999999999</v>
      </c>
      <c r="S4717">
        <v>-1.721069</v>
      </c>
      <c r="T4717">
        <v>-0.43310169999999998</v>
      </c>
      <c r="U4717">
        <v>-2.5299070000000001</v>
      </c>
      <c r="V4717">
        <v>-0.2359976</v>
      </c>
      <c r="W4717">
        <v>6.3793530000000001E-2</v>
      </c>
      <c r="X4717">
        <v>0.9696574</v>
      </c>
      <c r="Y4717">
        <v>-0.35882599999999998</v>
      </c>
      <c r="Z4717">
        <v>5.8864409999999999E-2</v>
      </c>
      <c r="AA4717">
        <v>0.93154650000000006</v>
      </c>
      <c r="AB4717">
        <v>32</v>
      </c>
      <c r="AC4717">
        <v>-4.1861999999999799</v>
      </c>
      <c r="AD4717">
        <v>-1.1189306019259999</v>
      </c>
      <c r="AE4717">
        <v>-6.3466999999999798</v>
      </c>
      <c r="AF4717">
        <v>-2.7599949239380002</v>
      </c>
      <c r="AG4717">
        <v>-1.1189306019259999</v>
      </c>
      <c r="AH4717">
        <v>6.9110312414445403</v>
      </c>
      <c r="AI4717">
        <v>98.5508334341704</v>
      </c>
      <c r="AJ4717">
        <v>111.76983028237601</v>
      </c>
      <c r="AK4717">
        <v>7.5254189579260302</v>
      </c>
      <c r="AL4717">
        <v>86.342416195969705</v>
      </c>
      <c r="AM4717">
        <v>103.678837650418</v>
      </c>
      <c r="AN4717">
        <v>0.99999997752518999</v>
      </c>
    </row>
    <row r="4718" spans="1:40" x14ac:dyDescent="0.25">
      <c r="A4718" t="str">
        <f>"20190312151122379"</f>
        <v>20190312151122379</v>
      </c>
      <c r="B4718" t="str">
        <f>"1552374682375985"</f>
        <v>1552374682375985</v>
      </c>
      <c r="C4718" t="s">
        <v>40</v>
      </c>
      <c r="D4718">
        <v>4.644825</v>
      </c>
      <c r="E4718">
        <v>0.45067780000000002</v>
      </c>
      <c r="F4718" t="s">
        <v>79</v>
      </c>
      <c r="G4718">
        <v>-417.83969999999999</v>
      </c>
      <c r="H4718" s="1">
        <v>-3.491617E-6</v>
      </c>
      <c r="I4718">
        <v>124.6698</v>
      </c>
      <c r="J4718">
        <v>-413.70089999999999</v>
      </c>
      <c r="K4718">
        <v>1.119</v>
      </c>
      <c r="L4718">
        <v>131.06989999999999</v>
      </c>
      <c r="M4718">
        <v>-0.81492830000000005</v>
      </c>
      <c r="N4718">
        <v>0</v>
      </c>
      <c r="O4718">
        <v>-0.57941350000000003</v>
      </c>
      <c r="P4718">
        <v>-0.65371360000000001</v>
      </c>
      <c r="Q4718">
        <v>5.6029610000000001E-2</v>
      </c>
      <c r="R4718">
        <v>-0.75466529999999998</v>
      </c>
      <c r="S4718">
        <v>-1.695587</v>
      </c>
      <c r="T4718">
        <v>-0.4325447</v>
      </c>
      <c r="U4718">
        <v>-2.5452729999999999</v>
      </c>
      <c r="V4718">
        <v>-0.23771300000000001</v>
      </c>
      <c r="W4718">
        <v>6.3494679999999998E-2</v>
      </c>
      <c r="X4718">
        <v>0.96925799999999995</v>
      </c>
      <c r="Y4718">
        <v>-0.35830519999999999</v>
      </c>
      <c r="Z4718">
        <v>6.018743E-2</v>
      </c>
      <c r="AA4718">
        <v>0.9316624</v>
      </c>
      <c r="AB4718">
        <v>32</v>
      </c>
      <c r="AC4718">
        <v>-4.1387999999999998</v>
      </c>
      <c r="AD4718">
        <v>-1.119003491617</v>
      </c>
      <c r="AE4718">
        <v>-6.4000999999999904</v>
      </c>
      <c r="AF4718">
        <v>-2.7583314524318601</v>
      </c>
      <c r="AG4718">
        <v>-1.119003491617</v>
      </c>
      <c r="AH4718">
        <v>6.9323100078006004</v>
      </c>
      <c r="AI4718">
        <v>98.529756352842497</v>
      </c>
      <c r="AJ4718">
        <v>111.69736172185</v>
      </c>
      <c r="AK4718">
        <v>7.5443676514323101</v>
      </c>
      <c r="AL4718">
        <v>86.359574116614397</v>
      </c>
      <c r="AM4718">
        <v>103.77995077325301</v>
      </c>
      <c r="AN4718">
        <v>1.00000005766064</v>
      </c>
    </row>
    <row r="4719" spans="1:40" x14ac:dyDescent="0.25">
      <c r="A4719" t="str">
        <f>"20190312151122402"</f>
        <v>20190312151122402</v>
      </c>
      <c r="B4719" t="str">
        <f>"1552374682395505"</f>
        <v>1552374682395505</v>
      </c>
      <c r="C4719" t="s">
        <v>40</v>
      </c>
      <c r="D4719">
        <v>4.6040749999999999</v>
      </c>
      <c r="E4719">
        <v>0.45156160000000001</v>
      </c>
      <c r="F4719" t="s">
        <v>79</v>
      </c>
      <c r="G4719">
        <v>-418.0052</v>
      </c>
      <c r="H4719" s="1">
        <v>-3.3521859999999999E-6</v>
      </c>
      <c r="I4719">
        <v>124.4624</v>
      </c>
      <c r="J4719">
        <v>-413.9529</v>
      </c>
      <c r="K4719">
        <v>1.1190599999999999</v>
      </c>
      <c r="L4719">
        <v>130.87809999999999</v>
      </c>
      <c r="M4719">
        <v>-0.808716199999999</v>
      </c>
      <c r="N4719">
        <v>0</v>
      </c>
      <c r="O4719">
        <v>-0.58805249999999998</v>
      </c>
      <c r="P4719">
        <v>-0.64429239999999999</v>
      </c>
      <c r="Q4719">
        <v>5.6051730000000001E-2</v>
      </c>
      <c r="R4719">
        <v>-0.76272240000000002</v>
      </c>
      <c r="S4719">
        <v>-1.6688540000000001</v>
      </c>
      <c r="T4719">
        <v>-0.43386200000000003</v>
      </c>
      <c r="U4719">
        <v>-2.5618590000000001</v>
      </c>
      <c r="V4719">
        <v>-0.23944360000000001</v>
      </c>
      <c r="W4719">
        <v>6.3454239999999995E-2</v>
      </c>
      <c r="X4719">
        <v>0.96883450000000004</v>
      </c>
      <c r="Y4719">
        <v>-0.358018</v>
      </c>
      <c r="Z4719">
        <v>6.1779349999999997E-2</v>
      </c>
      <c r="AA4719">
        <v>0.93166859999999996</v>
      </c>
      <c r="AB4719">
        <v>32</v>
      </c>
      <c r="AC4719">
        <v>-4.0522999999999998</v>
      </c>
      <c r="AD4719">
        <v>-1.1190633521859901</v>
      </c>
      <c r="AE4719">
        <v>-6.4156999999999798</v>
      </c>
      <c r="AF4719">
        <v>-2.7460363026163201</v>
      </c>
      <c r="AG4719">
        <v>-1.1190633521859901</v>
      </c>
      <c r="AH4719">
        <v>6.9004651824174701</v>
      </c>
      <c r="AI4719">
        <v>98.568830835761801</v>
      </c>
      <c r="AJ4719">
        <v>111.70005513341999</v>
      </c>
      <c r="AK4719">
        <v>7.5106216716892504</v>
      </c>
      <c r="AL4719">
        <v>86.361895568647896</v>
      </c>
      <c r="AM4719">
        <v>103.882238811909</v>
      </c>
      <c r="AN4719">
        <v>0.99999998327259298</v>
      </c>
    </row>
    <row r="4720" spans="1:40" x14ac:dyDescent="0.25">
      <c r="A4720" t="str">
        <f>"20190312151122424"</f>
        <v>20190312151122424</v>
      </c>
      <c r="B4720" t="str">
        <f>"1552374682416001"</f>
        <v>1552374682416001</v>
      </c>
      <c r="C4720" t="s">
        <v>40</v>
      </c>
      <c r="D4720">
        <v>4.926412</v>
      </c>
      <c r="E4720">
        <v>0.45245089999999999</v>
      </c>
      <c r="F4720" t="s">
        <v>79</v>
      </c>
      <c r="G4720">
        <v>-418.18259999999998</v>
      </c>
      <c r="H4720" s="1">
        <v>-3.187663E-6</v>
      </c>
      <c r="I4720">
        <v>124.2424</v>
      </c>
      <c r="J4720">
        <v>-414.20460000000003</v>
      </c>
      <c r="K4720">
        <v>1.1191059999999999</v>
      </c>
      <c r="L4720">
        <v>130.6825</v>
      </c>
      <c r="M4720">
        <v>-0.80234539999999999</v>
      </c>
      <c r="N4720">
        <v>0</v>
      </c>
      <c r="O4720">
        <v>-0.59671549999999995</v>
      </c>
      <c r="P4720">
        <v>-0.63448590000000005</v>
      </c>
      <c r="Q4720">
        <v>5.6119830000000002E-2</v>
      </c>
      <c r="R4720">
        <v>-0.77089459999999999</v>
      </c>
      <c r="S4720">
        <v>-1.6428830000000001</v>
      </c>
      <c r="T4720">
        <v>-0.43466890000000002</v>
      </c>
      <c r="U4720">
        <v>-2.5774539999999999</v>
      </c>
      <c r="V4720">
        <v>-0.24142079999999999</v>
      </c>
      <c r="W4720">
        <v>6.3457570000000005E-2</v>
      </c>
      <c r="X4720">
        <v>0.96834350000000002</v>
      </c>
      <c r="Y4720">
        <v>-0.35726960000000002</v>
      </c>
      <c r="Z4720">
        <v>6.3345219999999994E-2</v>
      </c>
      <c r="AA4720">
        <v>0.93185070000000003</v>
      </c>
      <c r="AB4720">
        <v>32</v>
      </c>
      <c r="AC4720">
        <v>-3.97799999999995</v>
      </c>
      <c r="AD4720">
        <v>-1.1191091876629999</v>
      </c>
      <c r="AE4720">
        <v>-6.4401000000000002</v>
      </c>
      <c r="AF4720">
        <v>-2.7339350390987698</v>
      </c>
      <c r="AG4720">
        <v>-1.1191091876629999</v>
      </c>
      <c r="AH4720">
        <v>6.8847623936413704</v>
      </c>
      <c r="AI4720">
        <v>98.590899157906506</v>
      </c>
      <c r="AJ4720">
        <v>111.657997427628</v>
      </c>
      <c r="AK4720">
        <v>7.4917794540964797</v>
      </c>
      <c r="AL4720">
        <v>86.361704449079895</v>
      </c>
      <c r="AM4720">
        <v>103.99920056581099</v>
      </c>
      <c r="AN4720">
        <v>0.99999999992759703</v>
      </c>
    </row>
    <row r="4721" spans="1:40" x14ac:dyDescent="0.25">
      <c r="A4721" t="str">
        <f>"20190312151122447"</f>
        <v>20190312151122447</v>
      </c>
      <c r="B4721" t="str">
        <f>"1552374682435521"</f>
        <v>1552374682435521</v>
      </c>
      <c r="C4721" t="s">
        <v>40</v>
      </c>
      <c r="D4721">
        <v>4.599577</v>
      </c>
      <c r="E4721">
        <v>0.4692231</v>
      </c>
      <c r="F4721" t="s">
        <v>79</v>
      </c>
      <c r="G4721">
        <v>-418.36430000000001</v>
      </c>
      <c r="H4721" s="1">
        <v>-3.0126339999999998E-6</v>
      </c>
      <c r="I4721">
        <v>124.0069</v>
      </c>
      <c r="J4721">
        <v>-414.45159999999998</v>
      </c>
      <c r="K4721">
        <v>1.1191469999999999</v>
      </c>
      <c r="L4721">
        <v>130.48609999999999</v>
      </c>
      <c r="M4721">
        <v>-0.79592669999999999</v>
      </c>
      <c r="N4721">
        <v>0</v>
      </c>
      <c r="O4721">
        <v>-0.60524979999999995</v>
      </c>
      <c r="P4721">
        <v>-0.62513399999999997</v>
      </c>
      <c r="Q4721">
        <v>5.6009690000000001E-2</v>
      </c>
      <c r="R4721">
        <v>-0.77850540000000001</v>
      </c>
      <c r="S4721">
        <v>-1.615936</v>
      </c>
      <c r="T4721">
        <v>-0.4347374</v>
      </c>
      <c r="U4721">
        <v>-2.5932460000000002</v>
      </c>
      <c r="V4721">
        <v>-0.2427791</v>
      </c>
      <c r="W4721">
        <v>6.3302899999999995E-2</v>
      </c>
      <c r="X4721">
        <v>0.96801400000000004</v>
      </c>
      <c r="Y4721">
        <v>-0.356871299999999</v>
      </c>
      <c r="Z4721">
        <v>6.4770129999999995E-2</v>
      </c>
      <c r="AA4721">
        <v>0.93190539999999999</v>
      </c>
      <c r="AB4721">
        <v>32</v>
      </c>
      <c r="AC4721">
        <v>-3.9127000000000201</v>
      </c>
      <c r="AD4721">
        <v>-1.1191500126339999</v>
      </c>
      <c r="AE4721">
        <v>-6.4791999999999899</v>
      </c>
      <c r="AF4721">
        <v>-2.7293776424207099</v>
      </c>
      <c r="AG4721">
        <v>-1.1191500126339999</v>
      </c>
      <c r="AH4721">
        <v>6.8858242817138802</v>
      </c>
      <c r="AI4721">
        <v>98.592000369573697</v>
      </c>
      <c r="AJ4721">
        <v>111.62220169531901</v>
      </c>
      <c r="AK4721">
        <v>7.4910997259658201</v>
      </c>
      <c r="AL4721">
        <v>86.370584336657302</v>
      </c>
      <c r="AM4721">
        <v>104.07944189225201</v>
      </c>
      <c r="AN4721">
        <v>1.0000000263705999</v>
      </c>
    </row>
    <row r="4722" spans="1:40" x14ac:dyDescent="0.25">
      <c r="A4722" t="str">
        <f>"20190312151122469"</f>
        <v>20190312151122469</v>
      </c>
      <c r="B4722" t="str">
        <f>"1552374682465777"</f>
        <v>1552374682465777</v>
      </c>
      <c r="C4722" t="s">
        <v>40</v>
      </c>
      <c r="D4722">
        <v>4.642023</v>
      </c>
      <c r="E4722">
        <v>0.46961340000000001</v>
      </c>
      <c r="F4722" t="s">
        <v>79</v>
      </c>
      <c r="G4722">
        <v>-419.17410000000001</v>
      </c>
      <c r="H4722" s="1">
        <v>-2.527433E-6</v>
      </c>
      <c r="I4722">
        <v>123.4209</v>
      </c>
      <c r="J4722">
        <v>-414.7029</v>
      </c>
      <c r="K4722">
        <v>1.1191679999999999</v>
      </c>
      <c r="L4722">
        <v>130.28190000000001</v>
      </c>
      <c r="M4722">
        <v>-0.78923379999999999</v>
      </c>
      <c r="N4722">
        <v>0</v>
      </c>
      <c r="O4722">
        <v>-0.61395169999999999</v>
      </c>
      <c r="P4722">
        <v>-0.61619419999999903</v>
      </c>
      <c r="Q4722">
        <v>5.6476440000000003E-2</v>
      </c>
      <c r="R4722">
        <v>-0.78556709999999996</v>
      </c>
      <c r="S4722">
        <v>-1.6886599999999901</v>
      </c>
      <c r="T4722">
        <v>-0.40018219999999999</v>
      </c>
      <c r="U4722">
        <v>-2.5263369999999998</v>
      </c>
      <c r="V4722">
        <v>-0.24320600000000001</v>
      </c>
      <c r="W4722">
        <v>6.3751650000000007E-2</v>
      </c>
      <c r="X4722">
        <v>0.96787730000000005</v>
      </c>
      <c r="Y4722">
        <v>-0.31655820000000001</v>
      </c>
      <c r="Z4722">
        <v>6.3586500000000004E-2</v>
      </c>
      <c r="AA4722">
        <v>0.94643940000000004</v>
      </c>
      <c r="AB4722">
        <v>32</v>
      </c>
      <c r="AC4722">
        <v>-4.4711999999999996</v>
      </c>
      <c r="AD4722">
        <v>-1.1191705274329999</v>
      </c>
      <c r="AE4722">
        <v>-6.8609999999999998</v>
      </c>
      <c r="AF4722">
        <v>-2.62111032899156</v>
      </c>
      <c r="AG4722">
        <v>-1.1191705274329999</v>
      </c>
      <c r="AH4722">
        <v>7.5998761570072304</v>
      </c>
      <c r="AI4722">
        <v>97.925470415307103</v>
      </c>
      <c r="AJ4722">
        <v>109.028728160649</v>
      </c>
      <c r="AK4722">
        <v>8.1167037415485304</v>
      </c>
      <c r="AL4722">
        <v>86.344820535348205</v>
      </c>
      <c r="AM4722">
        <v>104.105124273085</v>
      </c>
      <c r="AN4722">
        <v>0.999999949584505</v>
      </c>
    </row>
    <row r="4723" spans="1:40" x14ac:dyDescent="0.25">
      <c r="A4723" t="str">
        <f>"20190312151122492"</f>
        <v>20190312151122492</v>
      </c>
      <c r="B4723" t="str">
        <f>"1552374682486285"</f>
        <v>1552374682486285</v>
      </c>
      <c r="C4723" t="s">
        <v>40</v>
      </c>
      <c r="D4723">
        <v>4.9678290000000001</v>
      </c>
      <c r="E4723">
        <v>0.46983049999999998</v>
      </c>
      <c r="F4723" t="s">
        <v>79</v>
      </c>
      <c r="G4723">
        <v>-419.30239999999998</v>
      </c>
      <c r="H4723" s="1">
        <v>-2.3953780000000002E-6</v>
      </c>
      <c r="I4723">
        <v>123.2413</v>
      </c>
      <c r="J4723">
        <v>-414.9452</v>
      </c>
      <c r="K4723">
        <v>1.119189</v>
      </c>
      <c r="L4723">
        <v>130.0806</v>
      </c>
      <c r="M4723">
        <v>-0.78262180000000003</v>
      </c>
      <c r="N4723">
        <v>0</v>
      </c>
      <c r="O4723">
        <v>-0.62235799999999997</v>
      </c>
      <c r="P4723">
        <v>-0.60740620000000001</v>
      </c>
      <c r="Q4723">
        <v>5.6225839999999999E-2</v>
      </c>
      <c r="R4723">
        <v>-0.79239910000000002</v>
      </c>
      <c r="S4723">
        <v>-1.6621090000000001</v>
      </c>
      <c r="T4723">
        <v>-0.4044278</v>
      </c>
      <c r="U4723">
        <v>-2.5442200000000001</v>
      </c>
      <c r="V4723">
        <v>-0.24364720000000001</v>
      </c>
      <c r="W4723">
        <v>6.3486119999999993E-2</v>
      </c>
      <c r="X4723">
        <v>0.96778390000000003</v>
      </c>
      <c r="Y4723">
        <v>-0.31646039999999998</v>
      </c>
      <c r="Z4723">
        <v>6.5503030000000004E-2</v>
      </c>
      <c r="AA4723">
        <v>0.94634149999999995</v>
      </c>
      <c r="AB4723">
        <v>32</v>
      </c>
      <c r="AC4723">
        <v>-4.3571999999999704</v>
      </c>
      <c r="AD4723">
        <v>-1.1191913953779999</v>
      </c>
      <c r="AE4723">
        <v>-6.8392999999999997</v>
      </c>
      <c r="AF4723">
        <v>-2.5917105942361101</v>
      </c>
      <c r="AG4723">
        <v>-1.1191913953779999</v>
      </c>
      <c r="AH4723">
        <v>7.5238869287092101</v>
      </c>
      <c r="AI4723">
        <v>98.005663161741296</v>
      </c>
      <c r="AJ4723">
        <v>109.007002194035</v>
      </c>
      <c r="AK4723">
        <v>8.0360704140621593</v>
      </c>
      <c r="AL4723">
        <v>86.360065573234806</v>
      </c>
      <c r="AM4723">
        <v>104.130997362242</v>
      </c>
      <c r="AN4723">
        <v>1.0000000612998501</v>
      </c>
    </row>
    <row r="4724" spans="1:40" x14ac:dyDescent="0.25">
      <c r="A4724" t="str">
        <f>"20190312151122514"</f>
        <v>20190312151122514</v>
      </c>
      <c r="B4724" t="str">
        <f>"1552374682505793"</f>
        <v>1552374682505793</v>
      </c>
      <c r="C4724" t="s">
        <v>40</v>
      </c>
      <c r="D4724">
        <v>4.7310150000000002</v>
      </c>
      <c r="E4724">
        <v>0.47084429999999999</v>
      </c>
      <c r="F4724" t="s">
        <v>79</v>
      </c>
      <c r="G4724">
        <v>-419.50450000000001</v>
      </c>
      <c r="H4724" s="1">
        <v>-2.177451E-6</v>
      </c>
      <c r="I4724">
        <v>122.9427</v>
      </c>
      <c r="J4724">
        <v>-415.1893</v>
      </c>
      <c r="K4724">
        <v>1.1192070000000001</v>
      </c>
      <c r="L4724">
        <v>129.8734</v>
      </c>
      <c r="M4724">
        <v>-0.77580209999999905</v>
      </c>
      <c r="N4724">
        <v>0</v>
      </c>
      <c r="O4724">
        <v>-0.63083849999999997</v>
      </c>
      <c r="P4724">
        <v>-0.59835369999999999</v>
      </c>
      <c r="Q4724">
        <v>5.6865789999999999E-2</v>
      </c>
      <c r="R4724">
        <v>-0.79921160000000002</v>
      </c>
      <c r="S4724">
        <v>-1.6355900000000001</v>
      </c>
      <c r="T4724">
        <v>-0.4014992</v>
      </c>
      <c r="U4724">
        <v>-2.5606689999999999</v>
      </c>
      <c r="V4724">
        <v>-0.2441053</v>
      </c>
      <c r="W4724">
        <v>6.4111399999999999E-2</v>
      </c>
      <c r="X4724">
        <v>0.96762720000000002</v>
      </c>
      <c r="Y4724">
        <v>-0.31587900000000002</v>
      </c>
      <c r="Z4724">
        <v>6.6334569999999995E-2</v>
      </c>
      <c r="AA4724">
        <v>0.94647780000000004</v>
      </c>
      <c r="AB4724">
        <v>32</v>
      </c>
      <c r="AC4724">
        <v>-4.3151999999999999</v>
      </c>
      <c r="AD4724">
        <v>-1.119209177451</v>
      </c>
      <c r="AE4724">
        <v>-6.9306999999999999</v>
      </c>
      <c r="AF4724">
        <v>-2.6059162912514799</v>
      </c>
      <c r="AG4724">
        <v>-1.119209177451</v>
      </c>
      <c r="AH4724">
        <v>7.5781519479298298</v>
      </c>
      <c r="AI4724">
        <v>97.950626755204496</v>
      </c>
      <c r="AJ4724">
        <v>108.976672657623</v>
      </c>
      <c r="AK4724">
        <v>8.0914656179096003</v>
      </c>
      <c r="AL4724">
        <v>86.324166433922102</v>
      </c>
      <c r="AM4724">
        <v>104.158699257365</v>
      </c>
      <c r="AN4724">
        <v>1.0000000336389401</v>
      </c>
    </row>
    <row r="4725" spans="1:40" x14ac:dyDescent="0.25">
      <c r="A4725" t="str">
        <f>"20190312151122537"</f>
        <v>20190312151122537</v>
      </c>
      <c r="B4725" t="str">
        <f>"1552374682526289"</f>
        <v>1552374682526289</v>
      </c>
      <c r="C4725" t="s">
        <v>40</v>
      </c>
      <c r="D4725">
        <v>4.6636980000000001</v>
      </c>
      <c r="E4725">
        <v>0.47177210000000003</v>
      </c>
      <c r="F4725" t="s">
        <v>79</v>
      </c>
      <c r="G4725">
        <v>-419.85109999999997</v>
      </c>
      <c r="H4725" s="1">
        <v>-1.8073160000000001E-6</v>
      </c>
      <c r="I4725">
        <v>122.4363</v>
      </c>
      <c r="J4725">
        <v>-415.43090000000001</v>
      </c>
      <c r="K4725">
        <v>1.119224</v>
      </c>
      <c r="L4725">
        <v>129.66380000000001</v>
      </c>
      <c r="M4725">
        <v>-0.76889569999999996</v>
      </c>
      <c r="N4725">
        <v>0</v>
      </c>
      <c r="O4725">
        <v>-0.63923809999999903</v>
      </c>
      <c r="P4725">
        <v>-0.59023519999999996</v>
      </c>
      <c r="Q4725">
        <v>5.6986960000000003E-2</v>
      </c>
      <c r="R4725">
        <v>-0.80521739999999997</v>
      </c>
      <c r="S4725">
        <v>-1.613159</v>
      </c>
      <c r="T4725">
        <v>-0.3872871</v>
      </c>
      <c r="U4725">
        <v>-2.573502</v>
      </c>
      <c r="V4725">
        <v>-0.24337220000000001</v>
      </c>
      <c r="W4725">
        <v>6.4250360000000006E-2</v>
      </c>
      <c r="X4725">
        <v>0.96780259999999996</v>
      </c>
      <c r="Y4725">
        <v>-0.31354510000000002</v>
      </c>
      <c r="Z4725">
        <v>6.5364619999999998E-2</v>
      </c>
      <c r="AA4725">
        <v>0.94732090000000002</v>
      </c>
      <c r="AB4725">
        <v>32</v>
      </c>
      <c r="AC4725">
        <v>-4.4201999999999604</v>
      </c>
      <c r="AD4725">
        <v>-1.119225807316</v>
      </c>
      <c r="AE4725">
        <v>-7.2275</v>
      </c>
      <c r="AF4725">
        <v>-2.68501048951893</v>
      </c>
      <c r="AG4725">
        <v>-1.119225807316</v>
      </c>
      <c r="AH4725">
        <v>7.8819035624846503</v>
      </c>
      <c r="AI4725">
        <v>97.655489453192104</v>
      </c>
      <c r="AJ4725">
        <v>108.811670574036</v>
      </c>
      <c r="AK4725">
        <v>8.4015683955376499</v>
      </c>
      <c r="AL4725">
        <v>86.316188056339598</v>
      </c>
      <c r="AM4725">
        <v>104.11542405214</v>
      </c>
      <c r="AN4725">
        <v>1.00000000452986</v>
      </c>
    </row>
    <row r="4726" spans="1:40" x14ac:dyDescent="0.25">
      <c r="A4726" t="str">
        <f>"20190312151122560"</f>
        <v>20190312151122560</v>
      </c>
      <c r="B4726" t="str">
        <f>"1552374682555569"</f>
        <v>1552374682555569</v>
      </c>
      <c r="C4726" t="s">
        <v>40</v>
      </c>
      <c r="D4726">
        <v>4.7089569999999998</v>
      </c>
      <c r="E4726">
        <v>0.47322009999999998</v>
      </c>
      <c r="F4726" t="s">
        <v>79</v>
      </c>
      <c r="G4726">
        <v>-420.15210000000002</v>
      </c>
      <c r="H4726" s="1">
        <v>-1.567789E-6</v>
      </c>
      <c r="I4726">
        <v>122.00149999999999</v>
      </c>
      <c r="J4726">
        <v>-415.67180000000002</v>
      </c>
      <c r="K4726">
        <v>1.1192420000000001</v>
      </c>
      <c r="L4726">
        <v>129.44999999999999</v>
      </c>
      <c r="M4726">
        <v>-0.76184410000000002</v>
      </c>
      <c r="N4726">
        <v>0</v>
      </c>
      <c r="O4726">
        <v>-0.64762600000000003</v>
      </c>
      <c r="P4726">
        <v>-0.58204880000000003</v>
      </c>
      <c r="Q4726">
        <v>5.6972540000000002E-2</v>
      </c>
      <c r="R4726">
        <v>-0.81115559999999998</v>
      </c>
      <c r="S4726">
        <v>-1.5927119999999999</v>
      </c>
      <c r="T4726">
        <v>-0.3775809</v>
      </c>
      <c r="U4726">
        <v>-2.584946</v>
      </c>
      <c r="V4726">
        <v>-0.24257139999999999</v>
      </c>
      <c r="W4726">
        <v>6.4255119999999999E-2</v>
      </c>
      <c r="X4726">
        <v>0.96800330000000001</v>
      </c>
      <c r="Y4726">
        <v>-0.31041649999999998</v>
      </c>
      <c r="Z4726">
        <v>6.5100829999999998E-2</v>
      </c>
      <c r="AA4726">
        <v>0.94836880000000001</v>
      </c>
      <c r="AB4726">
        <v>32</v>
      </c>
      <c r="AC4726">
        <v>-4.4802999999999997</v>
      </c>
      <c r="AD4726">
        <v>-1.119243567789</v>
      </c>
      <c r="AE4726">
        <v>-7.4484999999999904</v>
      </c>
      <c r="AF4726">
        <v>-2.7280462645454699</v>
      </c>
      <c r="AG4726">
        <v>-1.119243567789</v>
      </c>
      <c r="AH4726">
        <v>8.1034901937354302</v>
      </c>
      <c r="AI4726">
        <v>97.457618271200204</v>
      </c>
      <c r="AJ4726">
        <v>108.60584616618399</v>
      </c>
      <c r="AK4726">
        <v>8.6233111915031699</v>
      </c>
      <c r="AL4726">
        <v>86.315914734745704</v>
      </c>
      <c r="AM4726">
        <v>104.068024596979</v>
      </c>
      <c r="AN4726">
        <v>0.99999999667753203</v>
      </c>
    </row>
    <row r="4727" spans="1:40" x14ac:dyDescent="0.25">
      <c r="A4727" t="str">
        <f>"20190312151122581"</f>
        <v>20190312151122581</v>
      </c>
      <c r="B4727" t="str">
        <f>"1552374682576065"</f>
        <v>1552374682576065</v>
      </c>
      <c r="C4727" t="s">
        <v>40</v>
      </c>
      <c r="D4727">
        <v>5.0156010000000002</v>
      </c>
      <c r="E4727">
        <v>0.47397260000000002</v>
      </c>
      <c r="F4727" t="s">
        <v>79</v>
      </c>
      <c r="G4727">
        <v>-420.43099999999998</v>
      </c>
      <c r="H4727" s="1">
        <v>-1.3965760000000001E-6</v>
      </c>
      <c r="I4727">
        <v>121.61539999999999</v>
      </c>
      <c r="J4727">
        <v>-415.9074</v>
      </c>
      <c r="K4727">
        <v>1.1192569999999999</v>
      </c>
      <c r="L4727">
        <v>129.23609999999999</v>
      </c>
      <c r="M4727">
        <v>-0.75477649999999996</v>
      </c>
      <c r="N4727">
        <v>0</v>
      </c>
      <c r="O4727">
        <v>-0.65584889999999996</v>
      </c>
      <c r="P4727">
        <v>-0.57354680000000002</v>
      </c>
      <c r="Q4727">
        <v>5.7890120000000003E-2</v>
      </c>
      <c r="R4727">
        <v>-0.81712439999999997</v>
      </c>
      <c r="S4727">
        <v>-1.575653</v>
      </c>
      <c r="T4727">
        <v>-0.37055270000000001</v>
      </c>
      <c r="U4727">
        <v>-2.593842</v>
      </c>
      <c r="V4727">
        <v>-0.2421566</v>
      </c>
      <c r="W4727">
        <v>6.5181100000000006E-2</v>
      </c>
      <c r="X4727">
        <v>0.96804520000000005</v>
      </c>
      <c r="Y4727">
        <v>-0.30610150000000003</v>
      </c>
      <c r="Z4727">
        <v>6.5275070000000004E-2</v>
      </c>
      <c r="AA4727">
        <v>0.9497584</v>
      </c>
      <c r="AB4727">
        <v>32</v>
      </c>
      <c r="AC4727">
        <v>-4.5235999999999796</v>
      </c>
      <c r="AD4727">
        <v>-1.1192583965759999</v>
      </c>
      <c r="AE4727">
        <v>-7.6206999999999896</v>
      </c>
      <c r="AF4727">
        <v>-2.7416392741898399</v>
      </c>
      <c r="AG4727">
        <v>-1.1192583965759999</v>
      </c>
      <c r="AH4727">
        <v>8.2809816564583993</v>
      </c>
      <c r="AI4727">
        <v>97.3117129098612</v>
      </c>
      <c r="AJ4727">
        <v>108.318499119935</v>
      </c>
      <c r="AK4727">
        <v>8.7945427659820208</v>
      </c>
      <c r="AL4727">
        <v>86.262748361053099</v>
      </c>
      <c r="AM4727">
        <v>104.044337190826</v>
      </c>
      <c r="AN4727">
        <v>0.99999995198190395</v>
      </c>
    </row>
    <row r="4728" spans="1:40" x14ac:dyDescent="0.25">
      <c r="A4728" t="str">
        <f>"20190312151122603"</f>
        <v>20190312151122603</v>
      </c>
      <c r="B4728" t="str">
        <f>"1552374682596561"</f>
        <v>1552374682596561</v>
      </c>
      <c r="C4728" t="s">
        <v>40</v>
      </c>
      <c r="D4728">
        <v>4.7228149999999998</v>
      </c>
      <c r="E4728">
        <v>0.4743637</v>
      </c>
      <c r="F4728" t="s">
        <v>79</v>
      </c>
      <c r="G4728">
        <v>-420.6712</v>
      </c>
      <c r="H4728" s="1">
        <v>-1.2239770000000001E-6</v>
      </c>
      <c r="I4728">
        <v>121.2433</v>
      </c>
      <c r="J4728">
        <v>-416.13130000000001</v>
      </c>
      <c r="K4728">
        <v>1.1192759999999999</v>
      </c>
      <c r="L4728">
        <v>129.0284</v>
      </c>
      <c r="M4728">
        <v>-0.74790489999999998</v>
      </c>
      <c r="N4728">
        <v>0</v>
      </c>
      <c r="O4728">
        <v>-0.66367430000000005</v>
      </c>
      <c r="P4728">
        <v>-0.56591769999999997</v>
      </c>
      <c r="Q4728">
        <v>5.7956609999999999E-2</v>
      </c>
      <c r="R4728">
        <v>-0.82242219999999999</v>
      </c>
      <c r="S4728">
        <v>-1.55365</v>
      </c>
      <c r="T4728">
        <v>-0.3650311</v>
      </c>
      <c r="U4728">
        <v>-2.606735</v>
      </c>
      <c r="V4728">
        <v>-0.24108309999999999</v>
      </c>
      <c r="W4728">
        <v>6.5272930000000007E-2</v>
      </c>
      <c r="X4728">
        <v>0.96830700000000003</v>
      </c>
      <c r="Y4728">
        <v>-0.30416330000000003</v>
      </c>
      <c r="Z4728">
        <v>6.5474959999999999E-2</v>
      </c>
      <c r="AA4728">
        <v>0.95036719999999997</v>
      </c>
      <c r="AB4728">
        <v>32</v>
      </c>
      <c r="AC4728">
        <v>-4.5398999999999798</v>
      </c>
      <c r="AD4728">
        <v>-1.1192772239769999</v>
      </c>
      <c r="AE4728">
        <v>-7.7850999999999999</v>
      </c>
      <c r="AF4728">
        <v>-2.7670634074177398</v>
      </c>
      <c r="AG4728">
        <v>-1.1192772239769999</v>
      </c>
      <c r="AH4728">
        <v>8.4328567667217893</v>
      </c>
      <c r="AI4728">
        <v>97.187767000141605</v>
      </c>
      <c r="AJ4728">
        <v>108.166154537515</v>
      </c>
      <c r="AK4728">
        <v>8.9455293109368004</v>
      </c>
      <c r="AL4728">
        <v>86.257475958435506</v>
      </c>
      <c r="AM4728">
        <v>103.98089331844101</v>
      </c>
      <c r="AN4728">
        <v>1.00000003137269</v>
      </c>
    </row>
    <row r="4729" spans="1:40" x14ac:dyDescent="0.25">
      <c r="A4729" t="str">
        <f>"20190312151122625"</f>
        <v>20190312151122625</v>
      </c>
      <c r="B4729" t="str">
        <f>"1552374682616081"</f>
        <v>1552374682616081</v>
      </c>
      <c r="C4729" t="s">
        <v>40</v>
      </c>
      <c r="D4729">
        <v>4.7426209999999998</v>
      </c>
      <c r="E4729">
        <v>0.47476010000000002</v>
      </c>
      <c r="F4729" t="s">
        <v>79</v>
      </c>
      <c r="G4729">
        <v>-420.8245</v>
      </c>
      <c r="H4729" s="1">
        <v>-1.11027E-6</v>
      </c>
      <c r="I4729">
        <v>121.0003</v>
      </c>
      <c r="J4729">
        <v>-416.3639</v>
      </c>
      <c r="K4729">
        <v>1.119291</v>
      </c>
      <c r="L4729">
        <v>128.8081</v>
      </c>
      <c r="M4729">
        <v>-0.74059330000000001</v>
      </c>
      <c r="N4729">
        <v>0</v>
      </c>
      <c r="O4729">
        <v>-0.67182350000000002</v>
      </c>
      <c r="P4729">
        <v>-0.55711049999999995</v>
      </c>
      <c r="Q4729">
        <v>5.8211789999999999E-2</v>
      </c>
      <c r="R4729">
        <v>-0.82839560000000001</v>
      </c>
      <c r="S4729">
        <v>-1.531433</v>
      </c>
      <c r="T4729">
        <v>-0.36523539999999999</v>
      </c>
      <c r="U4729">
        <v>-2.6197050000000002</v>
      </c>
      <c r="V4729">
        <v>-0.24080799999999999</v>
      </c>
      <c r="W4729">
        <v>6.5530809999999995E-2</v>
      </c>
      <c r="X4729">
        <v>0.96835800000000005</v>
      </c>
      <c r="Y4729">
        <v>-0.3018324</v>
      </c>
      <c r="Z4729">
        <v>6.6734199999999994E-2</v>
      </c>
      <c r="AA4729">
        <v>0.95102240000000005</v>
      </c>
      <c r="AB4729">
        <v>32</v>
      </c>
      <c r="AC4729">
        <v>-4.4606000000000003</v>
      </c>
      <c r="AD4729">
        <v>-1.11929211027</v>
      </c>
      <c r="AE4729">
        <v>-7.8078000000000003</v>
      </c>
      <c r="AF4729">
        <v>-2.7434058921104998</v>
      </c>
      <c r="AG4729">
        <v>-1.11929211027</v>
      </c>
      <c r="AH4729">
        <v>8.4192541480235796</v>
      </c>
      <c r="AI4729">
        <v>97.204152102673206</v>
      </c>
      <c r="AJ4729">
        <v>108.048149696149</v>
      </c>
      <c r="AK4729">
        <v>8.9254092973931201</v>
      </c>
      <c r="AL4729">
        <v>86.242668695835107</v>
      </c>
      <c r="AM4729">
        <v>103.964857740838</v>
      </c>
      <c r="AN4729">
        <v>0.99999999804362705</v>
      </c>
    </row>
    <row r="4730" spans="1:40" x14ac:dyDescent="0.25">
      <c r="A4730" t="str">
        <f>"20190312151122648"</f>
        <v>20190312151122648</v>
      </c>
      <c r="B4730" t="str">
        <f>"1552374682635602"</f>
        <v>1552374682635602</v>
      </c>
      <c r="C4730" t="s">
        <v>40</v>
      </c>
      <c r="D4730">
        <v>4.7571519999999996</v>
      </c>
      <c r="E4730">
        <v>0.47501189999999999</v>
      </c>
      <c r="F4730" t="s">
        <v>79</v>
      </c>
      <c r="G4730">
        <v>-420.98410000000001</v>
      </c>
      <c r="H4730" s="1">
        <v>-9.7792990000000003E-7</v>
      </c>
      <c r="I4730">
        <v>120.7252</v>
      </c>
      <c r="J4730">
        <v>-416.59519999999998</v>
      </c>
      <c r="K4730">
        <v>1.119313</v>
      </c>
      <c r="L4730">
        <v>128.58410000000001</v>
      </c>
      <c r="M4730">
        <v>-0.73313349999999999</v>
      </c>
      <c r="N4730">
        <v>0</v>
      </c>
      <c r="O4730">
        <v>-0.67995629999999996</v>
      </c>
      <c r="P4730">
        <v>-0.54862730000000004</v>
      </c>
      <c r="Q4730">
        <v>5.8408439999999999E-2</v>
      </c>
      <c r="R4730">
        <v>-0.8340244</v>
      </c>
      <c r="S4730">
        <v>-1.5058290000000001</v>
      </c>
      <c r="T4730">
        <v>-0.36480489999999999</v>
      </c>
      <c r="U4730">
        <v>-2.6343990000000002</v>
      </c>
      <c r="V4730">
        <v>-0.24000070000000001</v>
      </c>
      <c r="W4730">
        <v>6.574112E-2</v>
      </c>
      <c r="X4730">
        <v>0.96854410000000002</v>
      </c>
      <c r="Y4730">
        <v>-0.30059599999999997</v>
      </c>
      <c r="Z4730">
        <v>6.7824120000000002E-2</v>
      </c>
      <c r="AA4730">
        <v>0.95133690000000004</v>
      </c>
      <c r="AB4730">
        <v>32</v>
      </c>
      <c r="AC4730">
        <v>-4.3889000000000298</v>
      </c>
      <c r="AD4730">
        <v>-1.1193139779299</v>
      </c>
      <c r="AE4730">
        <v>-7.8589000000000002</v>
      </c>
      <c r="AF4730">
        <v>-2.7353099382179402</v>
      </c>
      <c r="AG4730">
        <v>-1.1193139779299</v>
      </c>
      <c r="AH4730">
        <v>8.4317285889231393</v>
      </c>
      <c r="AI4730">
        <v>97.196764068802594</v>
      </c>
      <c r="AJ4730">
        <v>107.97341446065801</v>
      </c>
      <c r="AK4730">
        <v>8.9346981614695302</v>
      </c>
      <c r="AL4730">
        <v>86.230592607462498</v>
      </c>
      <c r="AM4730">
        <v>103.91729386352699</v>
      </c>
      <c r="AN4730">
        <v>0.99999995225207605</v>
      </c>
    </row>
    <row r="4731" spans="1:40" x14ac:dyDescent="0.25">
      <c r="A4731" t="str">
        <f>"20190312151122671"</f>
        <v>20190312151122671</v>
      </c>
      <c r="B4731" t="str">
        <f>"1552374682665857"</f>
        <v>1552374682665857</v>
      </c>
      <c r="C4731" t="s">
        <v>40</v>
      </c>
      <c r="D4731">
        <v>4.7963290000000001</v>
      </c>
      <c r="E4731">
        <v>0.4817148</v>
      </c>
      <c r="F4731" t="s">
        <v>79</v>
      </c>
      <c r="G4731">
        <v>-421.14019999999999</v>
      </c>
      <c r="H4731" s="1">
        <v>-8.4489059999999899E-7</v>
      </c>
      <c r="I4731">
        <v>120.45059999999999</v>
      </c>
      <c r="J4731">
        <v>-416.82339999999999</v>
      </c>
      <c r="K4731">
        <v>1.1193409999999999</v>
      </c>
      <c r="L4731">
        <v>128.35810000000001</v>
      </c>
      <c r="M4731">
        <v>-0.72557340000000003</v>
      </c>
      <c r="N4731">
        <v>0</v>
      </c>
      <c r="O4731">
        <v>-0.68801749999999995</v>
      </c>
      <c r="P4731">
        <v>-0.53997810000000002</v>
      </c>
      <c r="Q4731">
        <v>5.832383E-2</v>
      </c>
      <c r="R4731">
        <v>-0.83965610000000002</v>
      </c>
      <c r="S4731">
        <v>-1.480194</v>
      </c>
      <c r="T4731">
        <v>-0.36452790000000002</v>
      </c>
      <c r="U4731">
        <v>-2.6488489999999998</v>
      </c>
      <c r="V4731">
        <v>-0.23931330000000001</v>
      </c>
      <c r="W4731">
        <v>6.5664529999999999E-2</v>
      </c>
      <c r="X4731">
        <v>0.96871940000000001</v>
      </c>
      <c r="Y4731">
        <v>-0.29931439999999998</v>
      </c>
      <c r="Z4731">
        <v>6.8932930000000003E-2</v>
      </c>
      <c r="AA4731">
        <v>0.95166119999999998</v>
      </c>
      <c r="AB4731">
        <v>32</v>
      </c>
      <c r="AC4731">
        <v>-4.3167999999999997</v>
      </c>
      <c r="AD4731">
        <v>-1.1193418448905901</v>
      </c>
      <c r="AE4731">
        <v>-7.9075000000000104</v>
      </c>
      <c r="AF4731">
        <v>-2.7256046928856699</v>
      </c>
      <c r="AG4731">
        <v>-1.1193418448905901</v>
      </c>
      <c r="AH4731">
        <v>8.4430680542552494</v>
      </c>
      <c r="AI4731">
        <v>97.190680018103706</v>
      </c>
      <c r="AJ4731">
        <v>107.891199935752</v>
      </c>
      <c r="AK4731">
        <v>8.9424406778233099</v>
      </c>
      <c r="AL4731">
        <v>86.234990502390204</v>
      </c>
      <c r="AM4731">
        <v>103.876561240708</v>
      </c>
      <c r="AN4731">
        <v>0.99999998099668497</v>
      </c>
    </row>
    <row r="4732" spans="1:40" x14ac:dyDescent="0.25">
      <c r="A4732" t="str">
        <f>"20190312151122693"</f>
        <v>20190312151122693</v>
      </c>
      <c r="B4732" t="str">
        <f>"1552374682686024"</f>
        <v>1552374682686024</v>
      </c>
      <c r="C4732" t="s">
        <v>40</v>
      </c>
      <c r="D4732">
        <v>4.79298</v>
      </c>
      <c r="E4732">
        <v>0.4816143</v>
      </c>
      <c r="F4732" t="s">
        <v>79</v>
      </c>
      <c r="G4732">
        <v>-421.21730000000002</v>
      </c>
      <c r="H4732" s="1">
        <v>-9.726509E-7</v>
      </c>
      <c r="I4732">
        <v>120.6193</v>
      </c>
      <c r="J4732">
        <v>-417.0455</v>
      </c>
      <c r="K4732">
        <v>1.119378</v>
      </c>
      <c r="L4732">
        <v>128.13329999999999</v>
      </c>
      <c r="M4732">
        <v>-0.71801009999999998</v>
      </c>
      <c r="N4732">
        <v>0</v>
      </c>
      <c r="O4732">
        <v>-0.69590649999999998</v>
      </c>
      <c r="P4732">
        <v>-0.531228699999999</v>
      </c>
      <c r="Q4732">
        <v>5.86683E-2</v>
      </c>
      <c r="R4732">
        <v>-0.84519480000000002</v>
      </c>
      <c r="S4732">
        <v>-1.4970399999999999</v>
      </c>
      <c r="T4732">
        <v>-0.38137009999999899</v>
      </c>
      <c r="U4732">
        <v>-2.636673</v>
      </c>
      <c r="V4732">
        <v>-0.23878260000000001</v>
      </c>
      <c r="W4732">
        <v>6.6009949999999998E-2</v>
      </c>
      <c r="X4732">
        <v>0.96882690000000005</v>
      </c>
      <c r="Y4732">
        <v>-0.28260479999999999</v>
      </c>
      <c r="Z4732">
        <v>7.4065660000000005E-2</v>
      </c>
      <c r="AA4732">
        <v>0.95637269999999996</v>
      </c>
      <c r="AB4732">
        <v>32</v>
      </c>
      <c r="AC4732">
        <v>-4.1718000000000099</v>
      </c>
      <c r="AD4732">
        <v>-1.11937897265089</v>
      </c>
      <c r="AE4732">
        <v>-7.5139999999999896</v>
      </c>
      <c r="AF4732">
        <v>-2.4505928812270801</v>
      </c>
      <c r="AG4732">
        <v>-1.11937897265089</v>
      </c>
      <c r="AH4732">
        <v>8.0879565978092902</v>
      </c>
      <c r="AI4732">
        <v>97.545149074361802</v>
      </c>
      <c r="AJ4732">
        <v>106.856432424167</v>
      </c>
      <c r="AK4732">
        <v>8.5248728249740306</v>
      </c>
      <c r="AL4732">
        <v>86.215156443989699</v>
      </c>
      <c r="AM4732">
        <v>103.84549686132701</v>
      </c>
      <c r="AN4732">
        <v>1.0000000028626801</v>
      </c>
    </row>
    <row r="4733" spans="1:40" x14ac:dyDescent="0.25">
      <c r="A4733" t="str">
        <f>"20190312151122715"</f>
        <v>20190312151122715</v>
      </c>
      <c r="B4733" t="str">
        <f>"1552374682705544"</f>
        <v>1552374682705544</v>
      </c>
      <c r="C4733" t="s">
        <v>40</v>
      </c>
      <c r="D4733">
        <v>5.3712580000000001</v>
      </c>
      <c r="E4733">
        <v>0.47037839999999997</v>
      </c>
      <c r="F4733" t="s">
        <v>79</v>
      </c>
      <c r="G4733">
        <v>-421.35890000000001</v>
      </c>
      <c r="H4733" s="1">
        <v>-8.3582739999999998E-7</v>
      </c>
      <c r="I4733">
        <v>120.34480000000001</v>
      </c>
      <c r="J4733">
        <v>-417.26429999999999</v>
      </c>
      <c r="K4733">
        <v>1.1194139999999999</v>
      </c>
      <c r="L4733">
        <v>127.9068</v>
      </c>
      <c r="M4733">
        <v>-0.71034489999999995</v>
      </c>
      <c r="N4733">
        <v>0</v>
      </c>
      <c r="O4733">
        <v>-0.70372900000000005</v>
      </c>
      <c r="P4733">
        <v>-0.52267940000000002</v>
      </c>
      <c r="Q4733">
        <v>5.8716320000000002E-2</v>
      </c>
      <c r="R4733">
        <v>-0.85050509999999901</v>
      </c>
      <c r="S4733">
        <v>-1.469055</v>
      </c>
      <c r="T4733">
        <v>-0.38124279999999999</v>
      </c>
      <c r="U4733">
        <v>-2.6526339999999999</v>
      </c>
      <c r="V4733">
        <v>-0.23794499999999999</v>
      </c>
      <c r="W4733">
        <v>6.6064199999999906E-2</v>
      </c>
      <c r="X4733">
        <v>0.96902920000000003</v>
      </c>
      <c r="Y4733">
        <v>-0.28229219999999999</v>
      </c>
      <c r="Z4733">
        <v>7.5162839999999995E-2</v>
      </c>
      <c r="AA4733">
        <v>0.95637950000000005</v>
      </c>
      <c r="AB4733">
        <v>32</v>
      </c>
      <c r="AC4733">
        <v>-4.0946000000000096</v>
      </c>
      <c r="AD4733">
        <v>-1.1194148358274001</v>
      </c>
      <c r="AE4733">
        <v>-7.5619999999999896</v>
      </c>
      <c r="AF4733">
        <v>-2.4488616405639601</v>
      </c>
      <c r="AG4733">
        <v>-1.1194148358274001</v>
      </c>
      <c r="AH4733">
        <v>8.0937496140114291</v>
      </c>
      <c r="AI4733">
        <v>97.540940165984097</v>
      </c>
      <c r="AJ4733">
        <v>106.833824151565</v>
      </c>
      <c r="AK4733">
        <v>8.5298766534813506</v>
      </c>
      <c r="AL4733">
        <v>86.212041132525997</v>
      </c>
      <c r="AM4733">
        <v>103.79601845019199</v>
      </c>
      <c r="AN4733">
        <v>0.99999994599963804</v>
      </c>
    </row>
    <row r="4734" spans="1:40" x14ac:dyDescent="0.25">
      <c r="A4734" t="str">
        <f>"20190312151122737"</f>
        <v>20190312151122737</v>
      </c>
      <c r="B4734" t="str">
        <f>"1552374682726039"</f>
        <v>1552374682726039</v>
      </c>
      <c r="C4734" t="s">
        <v>40</v>
      </c>
      <c r="D4734">
        <v>4.7616319999999996</v>
      </c>
      <c r="E4734">
        <v>0.46314050000000001</v>
      </c>
      <c r="F4734" t="s">
        <v>79</v>
      </c>
      <c r="G4734">
        <v>-420.42950000000002</v>
      </c>
      <c r="H4734" s="1">
        <v>-1.386539E-6</v>
      </c>
      <c r="I4734">
        <v>121.6002</v>
      </c>
      <c r="J4734">
        <v>-417.48140000000001</v>
      </c>
      <c r="K4734">
        <v>1.119461</v>
      </c>
      <c r="L4734">
        <v>127.6772</v>
      </c>
      <c r="M4734">
        <v>-0.702519</v>
      </c>
      <c r="N4734">
        <v>0</v>
      </c>
      <c r="O4734">
        <v>-0.71154139999999999</v>
      </c>
      <c r="P4734">
        <v>-0.51363769999999997</v>
      </c>
      <c r="Q4734">
        <v>5.857938E-2</v>
      </c>
      <c r="R4734">
        <v>-0.85600540000000003</v>
      </c>
      <c r="S4734">
        <v>-1.3657840000000001</v>
      </c>
      <c r="T4734">
        <v>-0.4830294</v>
      </c>
      <c r="U4734">
        <v>-2.7213129999999999</v>
      </c>
      <c r="V4734">
        <v>-0.23750869999999999</v>
      </c>
      <c r="W4734">
        <v>6.5921460000000001E-2</v>
      </c>
      <c r="X4734">
        <v>0.96914599999999995</v>
      </c>
      <c r="Y4734">
        <v>-0.31125160000000002</v>
      </c>
      <c r="Z4734">
        <v>9.4187010000000002E-2</v>
      </c>
      <c r="AA4734">
        <v>0.94564859999999995</v>
      </c>
      <c r="AB4734">
        <v>32</v>
      </c>
      <c r="AC4734">
        <v>-2.9481000000000099</v>
      </c>
      <c r="AD4734">
        <v>-1.1194623865389901</v>
      </c>
      <c r="AE4734">
        <v>-6.0769999999999902</v>
      </c>
      <c r="AF4734">
        <v>-2.1136428696723701</v>
      </c>
      <c r="AG4734">
        <v>-1.1194623865389901</v>
      </c>
      <c r="AH4734">
        <v>6.2247057664500103</v>
      </c>
      <c r="AI4734">
        <v>99.664321886250605</v>
      </c>
      <c r="AJ4734">
        <v>108.755281986528</v>
      </c>
      <c r="AK4734">
        <v>6.66840641339956</v>
      </c>
      <c r="AL4734">
        <v>86.220237586565304</v>
      </c>
      <c r="AM4734">
        <v>103.770089225625</v>
      </c>
      <c r="AN4734">
        <v>0.99999999539010997</v>
      </c>
    </row>
    <row r="4735" spans="1:40" x14ac:dyDescent="0.25">
      <c r="A4735" t="str">
        <f>"20190312151122761"</f>
        <v>20190312151122761</v>
      </c>
      <c r="B4735" t="str">
        <f>"1552374682756295"</f>
        <v>1552374682756295</v>
      </c>
      <c r="C4735" t="s">
        <v>40</v>
      </c>
      <c r="D4735">
        <v>4.9172440000000002</v>
      </c>
      <c r="E4735">
        <v>0.46222970000000002</v>
      </c>
      <c r="F4735" t="s">
        <v>79</v>
      </c>
      <c r="G4735">
        <v>-420.53120000000001</v>
      </c>
      <c r="H4735" s="1">
        <v>-1.1127379999999999E-6</v>
      </c>
      <c r="I4735">
        <v>121.12690000000001</v>
      </c>
      <c r="J4735">
        <v>-417.69600000000003</v>
      </c>
      <c r="K4735">
        <v>1.119513</v>
      </c>
      <c r="L4735">
        <v>127.44459999999999</v>
      </c>
      <c r="M4735">
        <v>-0.69453989999999999</v>
      </c>
      <c r="N4735">
        <v>0</v>
      </c>
      <c r="O4735">
        <v>-0.71933179999999997</v>
      </c>
      <c r="P4735">
        <v>-0.50443660000000001</v>
      </c>
      <c r="Q4735">
        <v>5.8081279999999999E-2</v>
      </c>
      <c r="R4735">
        <v>-0.86149319999999896</v>
      </c>
      <c r="S4735">
        <v>-1.2871699999999999</v>
      </c>
      <c r="T4735">
        <v>-0.47248069999999998</v>
      </c>
      <c r="U4735">
        <v>-2.764618</v>
      </c>
      <c r="V4735">
        <v>-0.23710390000000001</v>
      </c>
      <c r="W4735">
        <v>6.5415199999999896E-2</v>
      </c>
      <c r="X4735">
        <v>0.96927940000000001</v>
      </c>
      <c r="Y4735">
        <v>-0.32826430000000001</v>
      </c>
      <c r="Z4735">
        <v>9.2428159999999995E-2</v>
      </c>
      <c r="AA4735">
        <v>0.94005300000000003</v>
      </c>
      <c r="AB4735">
        <v>32</v>
      </c>
      <c r="AC4735">
        <v>-2.8352000000000399</v>
      </c>
      <c r="AD4735">
        <v>-1.1195141127379999</v>
      </c>
      <c r="AE4735">
        <v>-6.3176999999999799</v>
      </c>
      <c r="AF4735">
        <v>-2.2888289525293799</v>
      </c>
      <c r="AG4735">
        <v>-1.1195141127379999</v>
      </c>
      <c r="AH4735">
        <v>6.3483295207491697</v>
      </c>
      <c r="AI4735">
        <v>99.419290881298195</v>
      </c>
      <c r="AJ4735">
        <v>109.826279407326</v>
      </c>
      <c r="AK4735">
        <v>6.8405655852839899</v>
      </c>
      <c r="AL4735">
        <v>86.249306842210004</v>
      </c>
      <c r="AM4735">
        <v>103.745690944797</v>
      </c>
      <c r="AN4735">
        <v>0.999999981525304</v>
      </c>
    </row>
    <row r="4736" spans="1:40" x14ac:dyDescent="0.25">
      <c r="A4736" t="str">
        <f>"20190312151122782"</f>
        <v>20190312151122782</v>
      </c>
      <c r="B4736" t="str">
        <f>"1552374682775815"</f>
        <v>1552374682775815</v>
      </c>
      <c r="C4736" t="s">
        <v>40</v>
      </c>
      <c r="D4736">
        <v>4.7387670000000002</v>
      </c>
      <c r="E4736">
        <v>0.46284039999999999</v>
      </c>
      <c r="F4736" t="s">
        <v>79</v>
      </c>
      <c r="G4736">
        <v>-420.75810000000001</v>
      </c>
      <c r="H4736" s="1">
        <v>-8.6263310000000001E-7</v>
      </c>
      <c r="I4736">
        <v>120.6384</v>
      </c>
      <c r="J4736">
        <v>-417.90750000000003</v>
      </c>
      <c r="K4736">
        <v>1.1195729999999999</v>
      </c>
      <c r="L4736">
        <v>127.2101</v>
      </c>
      <c r="M4736">
        <v>-0.68643549999999998</v>
      </c>
      <c r="N4736">
        <v>0</v>
      </c>
      <c r="O4736">
        <v>-0.72706939999999998</v>
      </c>
      <c r="P4736">
        <v>-0.49467949999999999</v>
      </c>
      <c r="Q4736">
        <v>5.8095210000000001E-2</v>
      </c>
      <c r="R4736">
        <v>-0.86713180000000001</v>
      </c>
      <c r="S4736">
        <v>-1.251007</v>
      </c>
      <c r="T4736">
        <v>-0.45737119999999998</v>
      </c>
      <c r="U4736">
        <v>-2.78064</v>
      </c>
      <c r="V4736">
        <v>-0.23719229999999999</v>
      </c>
      <c r="W4736">
        <v>6.5408540000000001E-2</v>
      </c>
      <c r="X4736">
        <v>0.96925819999999996</v>
      </c>
      <c r="Y4736">
        <v>-0.32977279999999998</v>
      </c>
      <c r="Z4736">
        <v>9.0802300000000002E-2</v>
      </c>
      <c r="AA4736">
        <v>0.93968339999999995</v>
      </c>
      <c r="AB4736">
        <v>32</v>
      </c>
      <c r="AC4736">
        <v>-2.85059999999998</v>
      </c>
      <c r="AD4736">
        <v>-1.1195738626331</v>
      </c>
      <c r="AE4736">
        <v>-6.5716999999999901</v>
      </c>
      <c r="AF4736">
        <v>-2.3805291654374301</v>
      </c>
      <c r="AG4736">
        <v>-1.1195738626331</v>
      </c>
      <c r="AH4736">
        <v>6.5748234242021804</v>
      </c>
      <c r="AI4736">
        <v>99.096444307862896</v>
      </c>
      <c r="AJ4736">
        <v>109.903669794826</v>
      </c>
      <c r="AK4736">
        <v>7.0815724101944397</v>
      </c>
      <c r="AL4736">
        <v>86.249689175043599</v>
      </c>
      <c r="AM4736">
        <v>103.75091063045799</v>
      </c>
      <c r="AN4736">
        <v>0.99999996127572999</v>
      </c>
    </row>
    <row r="4737" spans="1:40" x14ac:dyDescent="0.25">
      <c r="A4737" t="str">
        <f>"20190312151122804"</f>
        <v>20190312151122804</v>
      </c>
      <c r="B4737" t="str">
        <f>"1552374682796077"</f>
        <v>1552374682796077</v>
      </c>
      <c r="C4737" t="s">
        <v>40</v>
      </c>
      <c r="D4737">
        <v>4.7645010000000001</v>
      </c>
      <c r="E4737">
        <v>0.46334120000000001</v>
      </c>
      <c r="F4737" t="s">
        <v>79</v>
      </c>
      <c r="G4737">
        <v>-420.91899999999998</v>
      </c>
      <c r="H4737" s="1">
        <v>-7.1571879999999999E-7</v>
      </c>
      <c r="I4737">
        <v>120.34</v>
      </c>
      <c r="J4737">
        <v>-418.12090000000001</v>
      </c>
      <c r="K4737">
        <v>1.1196159999999999</v>
      </c>
      <c r="L4737">
        <v>126.9679</v>
      </c>
      <c r="M4737">
        <v>-0.67801449999999996</v>
      </c>
      <c r="N4737">
        <v>0</v>
      </c>
      <c r="O4737">
        <v>-0.73492840000000004</v>
      </c>
      <c r="P4737">
        <v>-0.48407210000000001</v>
      </c>
      <c r="Q4737">
        <v>5.810369E-2</v>
      </c>
      <c r="R4737">
        <v>-0.87309699999999901</v>
      </c>
      <c r="S4737">
        <v>-1.223846</v>
      </c>
      <c r="T4737">
        <v>-0.45498509999999998</v>
      </c>
      <c r="U4737">
        <v>-2.7919619999999998</v>
      </c>
      <c r="V4737">
        <v>-0.23785120000000001</v>
      </c>
      <c r="W4737">
        <v>6.5381880000000003E-2</v>
      </c>
      <c r="X4737">
        <v>0.96909860000000003</v>
      </c>
      <c r="Y4737">
        <v>-0.3279938</v>
      </c>
      <c r="Z4737">
        <v>9.1821799999999995E-2</v>
      </c>
      <c r="AA4737">
        <v>0.94020680000000001</v>
      </c>
      <c r="AB4737">
        <v>32</v>
      </c>
      <c r="AC4737">
        <v>-2.79810000000003</v>
      </c>
      <c r="AD4737">
        <v>-1.1196167157187999</v>
      </c>
      <c r="AE4737">
        <v>-6.6278999999999897</v>
      </c>
      <c r="AF4737">
        <v>-2.3799833636524101</v>
      </c>
      <c r="AG4737">
        <v>-1.1196167157187999</v>
      </c>
      <c r="AH4737">
        <v>6.6087247113305798</v>
      </c>
      <c r="AI4737">
        <v>99.056414124601204</v>
      </c>
      <c r="AJ4737">
        <v>109.805342058774</v>
      </c>
      <c r="AK4737">
        <v>7.1128830098301696</v>
      </c>
      <c r="AL4737">
        <v>86.251220253034205</v>
      </c>
      <c r="AM4737">
        <v>103.78983770800799</v>
      </c>
      <c r="AN4737">
        <v>1.0000000400478599</v>
      </c>
    </row>
    <row r="4738" spans="1:40" x14ac:dyDescent="0.25">
      <c r="A4738" t="str">
        <f>"20190312151122826"</f>
        <v>20190312151122826</v>
      </c>
      <c r="B4738" t="str">
        <f>"1552374682815597"</f>
        <v>1552374682815597</v>
      </c>
      <c r="C4738" t="s">
        <v>40</v>
      </c>
      <c r="D4738">
        <v>4.9473659999999997</v>
      </c>
      <c r="E4738">
        <v>0.46397670000000002</v>
      </c>
      <c r="F4738" t="s">
        <v>79</v>
      </c>
      <c r="G4738">
        <v>-421.07510000000002</v>
      </c>
      <c r="H4738" s="1">
        <v>-5.5998990000000003E-7</v>
      </c>
      <c r="I4738">
        <v>120.0296</v>
      </c>
      <c r="J4738">
        <v>-418.32249999999999</v>
      </c>
      <c r="K4738">
        <v>1.119664</v>
      </c>
      <c r="L4738">
        <v>126.7338</v>
      </c>
      <c r="M4738">
        <v>-0.66982559999999902</v>
      </c>
      <c r="N4738">
        <v>0</v>
      </c>
      <c r="O4738">
        <v>-0.74239949999999999</v>
      </c>
      <c r="P4738">
        <v>-0.47395720000000002</v>
      </c>
      <c r="Q4738">
        <v>5.8069009999999997E-2</v>
      </c>
      <c r="R4738">
        <v>-0.87863150000000001</v>
      </c>
      <c r="S4738">
        <v>-1.19397</v>
      </c>
      <c r="T4738">
        <v>-0.45250380000000001</v>
      </c>
      <c r="U4738">
        <v>-2.8041839999999998</v>
      </c>
      <c r="V4738">
        <v>-0.23830689999999999</v>
      </c>
      <c r="W4738">
        <v>6.5319550000000004E-2</v>
      </c>
      <c r="X4738">
        <v>0.96899080000000004</v>
      </c>
      <c r="Y4738">
        <v>-0.32749549999999999</v>
      </c>
      <c r="Z4738">
        <v>9.2672060000000001E-2</v>
      </c>
      <c r="AA4738">
        <v>0.9402971</v>
      </c>
      <c r="AB4738">
        <v>32</v>
      </c>
      <c r="AC4738">
        <v>-2.7526000000000201</v>
      </c>
      <c r="AD4738">
        <v>-1.11966455998989</v>
      </c>
      <c r="AE4738">
        <v>-6.7042000000000002</v>
      </c>
      <c r="AF4738">
        <v>-2.39027965560491</v>
      </c>
      <c r="AG4738">
        <v>-1.11966455998989</v>
      </c>
      <c r="AH4738">
        <v>6.6625343785404203</v>
      </c>
      <c r="AI4738">
        <v>98.988681789093704</v>
      </c>
      <c r="AJ4738">
        <v>109.736175601894</v>
      </c>
      <c r="AK4738">
        <v>7.1663414588009404</v>
      </c>
      <c r="AL4738">
        <v>86.254798985309804</v>
      </c>
      <c r="AM4738">
        <v>103.816724479028</v>
      </c>
      <c r="AN4738">
        <v>0.99999999634222603</v>
      </c>
    </row>
    <row r="4739" spans="1:40" x14ac:dyDescent="0.25">
      <c r="A4739" t="str">
        <f>"20190312151122849"</f>
        <v>20190312151122849</v>
      </c>
      <c r="B4739" t="str">
        <f>"1552374682845854"</f>
        <v>1552374682845854</v>
      </c>
      <c r="C4739" t="s">
        <v>40</v>
      </c>
      <c r="D4739">
        <v>4.7712969999999997</v>
      </c>
      <c r="E4739">
        <v>0.46499679999999999</v>
      </c>
      <c r="F4739" t="s">
        <v>79</v>
      </c>
      <c r="G4739">
        <v>-421.20940000000002</v>
      </c>
      <c r="H4739" s="1">
        <v>-4.2698329999999998E-7</v>
      </c>
      <c r="I4739">
        <v>119.7641</v>
      </c>
      <c r="J4739">
        <v>-418.5283</v>
      </c>
      <c r="K4739">
        <v>1.119707</v>
      </c>
      <c r="L4739">
        <v>126.4894</v>
      </c>
      <c r="M4739">
        <v>-0.6612228</v>
      </c>
      <c r="N4739">
        <v>0</v>
      </c>
      <c r="O4739">
        <v>-0.7500713</v>
      </c>
      <c r="P4739">
        <v>-0.46332780000000001</v>
      </c>
      <c r="Q4739">
        <v>5.8131259999999997E-2</v>
      </c>
      <c r="R4739">
        <v>-0.88427840000000002</v>
      </c>
      <c r="S4739">
        <v>-1.166107</v>
      </c>
      <c r="T4739">
        <v>-0.45226290000000002</v>
      </c>
      <c r="U4739">
        <v>-2.8152620000000002</v>
      </c>
      <c r="V4739">
        <v>-0.2388275</v>
      </c>
      <c r="W4739">
        <v>6.5353330000000001E-2</v>
      </c>
      <c r="X4739">
        <v>0.96886030000000001</v>
      </c>
      <c r="Y4739">
        <v>-0.32589630000000003</v>
      </c>
      <c r="Z4739">
        <v>9.4061270000000002E-2</v>
      </c>
      <c r="AA4739">
        <v>0.94071470000000001</v>
      </c>
      <c r="AB4739">
        <v>32</v>
      </c>
      <c r="AC4739">
        <v>-2.68110000000001</v>
      </c>
      <c r="AD4739">
        <v>-1.1197074269833001</v>
      </c>
      <c r="AE4739">
        <v>-6.7252999999999998</v>
      </c>
      <c r="AF4739">
        <v>-2.37921508150631</v>
      </c>
      <c r="AG4739">
        <v>-1.1197074269833001</v>
      </c>
      <c r="AH4739">
        <v>6.6586019490944501</v>
      </c>
      <c r="AI4739">
        <v>98.998313845627493</v>
      </c>
      <c r="AJ4739">
        <v>109.66254592764101</v>
      </c>
      <c r="AK4739">
        <v>7.1590075459237399</v>
      </c>
      <c r="AL4739">
        <v>86.252859240790798</v>
      </c>
      <c r="AM4739">
        <v>103.847541112627</v>
      </c>
      <c r="AN4739">
        <v>0.99999995670721298</v>
      </c>
    </row>
    <row r="4740" spans="1:40" x14ac:dyDescent="0.25">
      <c r="A4740" t="str">
        <f>"20190312151122871"</f>
        <v>20190312151122871</v>
      </c>
      <c r="B4740" t="str">
        <f>"1552374682866349"</f>
        <v>1552374682866349</v>
      </c>
      <c r="C4740" t="s">
        <v>40</v>
      </c>
      <c r="D4740">
        <v>4.8087859999999996</v>
      </c>
      <c r="E4740">
        <v>0.46567920000000002</v>
      </c>
      <c r="F4740" t="s">
        <v>42</v>
      </c>
      <c r="G4740">
        <v>-421.39499999999998</v>
      </c>
      <c r="H4740" s="1">
        <v>-4.4655400000000001E-6</v>
      </c>
      <c r="I4740">
        <v>119.3819</v>
      </c>
      <c r="J4740">
        <v>-418.72699999999998</v>
      </c>
      <c r="K4740">
        <v>1.1197490000000001</v>
      </c>
      <c r="L4740">
        <v>126.2479</v>
      </c>
      <c r="M4740">
        <v>-0.6526788</v>
      </c>
      <c r="N4740">
        <v>0</v>
      </c>
      <c r="O4740">
        <v>-0.75751759999999901</v>
      </c>
      <c r="P4740">
        <v>-0.45317940000000001</v>
      </c>
      <c r="Q4740">
        <v>5.805548E-2</v>
      </c>
      <c r="R4740">
        <v>-0.88952699999999996</v>
      </c>
      <c r="S4740">
        <v>-1.139343</v>
      </c>
      <c r="T4740">
        <v>-0.44502849999999999</v>
      </c>
      <c r="U4740">
        <v>-2.824875</v>
      </c>
      <c r="V4740">
        <v>-0.23893990000000001</v>
      </c>
      <c r="W4740">
        <v>6.5260570000000004E-2</v>
      </c>
      <c r="X4740">
        <v>0.96883889999999995</v>
      </c>
      <c r="Y4740">
        <v>-0.32393519999999998</v>
      </c>
      <c r="Z4740">
        <v>9.400008E-2</v>
      </c>
      <c r="AA4740">
        <v>0.94139790000000001</v>
      </c>
      <c r="AB4740">
        <v>32</v>
      </c>
      <c r="AC4740">
        <v>-2.6680000000000001</v>
      </c>
      <c r="AD4740">
        <v>-1.1197534655400001</v>
      </c>
      <c r="AE4740">
        <v>-6.8659999999999997</v>
      </c>
      <c r="AF4740">
        <v>-2.4048818530179599</v>
      </c>
      <c r="AG4740">
        <v>-1.1197534655400001</v>
      </c>
      <c r="AH4740">
        <v>6.7862616187315101</v>
      </c>
      <c r="AI4740">
        <v>98.840167288915893</v>
      </c>
      <c r="AJ4740">
        <v>109.51305698832</v>
      </c>
      <c r="AK4740">
        <v>7.2863331867567203</v>
      </c>
      <c r="AL4740">
        <v>86.258185589734396</v>
      </c>
      <c r="AM4740">
        <v>103.854101430591</v>
      </c>
      <c r="AN4740">
        <v>1.0000000159809701</v>
      </c>
    </row>
    <row r="4741" spans="1:40" x14ac:dyDescent="0.25">
      <c r="A4741" t="str">
        <f>"20190312151122893"</f>
        <v>20190312151122893</v>
      </c>
      <c r="B4741" t="str">
        <f>"1552374682886463"</f>
        <v>1552374682886463</v>
      </c>
      <c r="C4741" t="s">
        <v>40</v>
      </c>
      <c r="D4741">
        <v>4.832071</v>
      </c>
      <c r="E4741">
        <v>0.46628370000000002</v>
      </c>
      <c r="F4741" t="s">
        <v>42</v>
      </c>
      <c r="G4741">
        <v>-421.55959999999999</v>
      </c>
      <c r="H4741" s="1">
        <v>-4.3731459999999997E-6</v>
      </c>
      <c r="I4741">
        <v>119.0245</v>
      </c>
      <c r="J4741">
        <v>-418.923</v>
      </c>
      <c r="K4741">
        <v>1.1197839999999999</v>
      </c>
      <c r="L4741">
        <v>126.0039</v>
      </c>
      <c r="M4741">
        <v>-0.64400389999999996</v>
      </c>
      <c r="N4741">
        <v>0</v>
      </c>
      <c r="O4741">
        <v>-0.76490590000000003</v>
      </c>
      <c r="P4741">
        <v>-0.4423571</v>
      </c>
      <c r="Q4741">
        <v>5.8716039999999997E-2</v>
      </c>
      <c r="R4741">
        <v>-0.89491469999999995</v>
      </c>
      <c r="S4741">
        <v>-1.111694</v>
      </c>
      <c r="T4741">
        <v>-0.43945669999999998</v>
      </c>
      <c r="U4741">
        <v>-2.8348689999999999</v>
      </c>
      <c r="V4741">
        <v>-0.23964460000000001</v>
      </c>
      <c r="W4741">
        <v>6.5888630000000004E-2</v>
      </c>
      <c r="X4741">
        <v>0.96862230000000005</v>
      </c>
      <c r="Y4741">
        <v>-0.32223020000000002</v>
      </c>
      <c r="Z4741">
        <v>9.4214549999999994E-2</v>
      </c>
      <c r="AA4741">
        <v>0.94196139999999995</v>
      </c>
      <c r="AB4741">
        <v>32</v>
      </c>
      <c r="AC4741">
        <v>-2.6365999999999801</v>
      </c>
      <c r="AD4741">
        <v>-1.1197883731460001</v>
      </c>
      <c r="AE4741">
        <v>-6.9793999999999903</v>
      </c>
      <c r="AF4741">
        <v>-2.4236336545119799</v>
      </c>
      <c r="AG4741">
        <v>-1.1197883731460001</v>
      </c>
      <c r="AH4741">
        <v>6.8821578928857097</v>
      </c>
      <c r="AI4741">
        <v>98.725131050324507</v>
      </c>
      <c r="AJ4741">
        <v>109.400320557257</v>
      </c>
      <c r="AK4741">
        <v>7.3818712637464197</v>
      </c>
      <c r="AL4741">
        <v>86.222122734112105</v>
      </c>
      <c r="AM4741">
        <v>103.89636665191701</v>
      </c>
      <c r="AN4741">
        <v>1.0000000029648599</v>
      </c>
    </row>
    <row r="4742" spans="1:40" x14ac:dyDescent="0.25">
      <c r="A4742" t="str">
        <f>"20190312151122927"</f>
        <v>20190312151122927</v>
      </c>
      <c r="B4742" t="str">
        <f>"1552374682915742"</f>
        <v>1552374682915742</v>
      </c>
      <c r="C4742" t="s">
        <v>40</v>
      </c>
      <c r="D4742">
        <v>4.8405180000000003</v>
      </c>
      <c r="E4742">
        <v>0.46727960000000002</v>
      </c>
      <c r="F4742" t="s">
        <v>42</v>
      </c>
      <c r="G4742">
        <v>-421.71589999999998</v>
      </c>
      <c r="H4742" s="1">
        <v>-4.2769609999999999E-6</v>
      </c>
      <c r="I4742">
        <v>118.6604</v>
      </c>
      <c r="J4742">
        <v>-419.21230000000003</v>
      </c>
      <c r="K4742">
        <v>1.1198349999999999</v>
      </c>
      <c r="L4742">
        <v>125.6328</v>
      </c>
      <c r="M4742">
        <v>-0.63074049999999904</v>
      </c>
      <c r="N4742">
        <v>0</v>
      </c>
      <c r="O4742">
        <v>-0.77587899999999999</v>
      </c>
      <c r="P4742">
        <v>-0.42564289999999999</v>
      </c>
      <c r="Q4742">
        <v>5.815994E-2</v>
      </c>
      <c r="R4742">
        <v>-0.9030203</v>
      </c>
      <c r="S4742">
        <v>-1.082306</v>
      </c>
      <c r="T4742">
        <v>-0.43394169999999999</v>
      </c>
      <c r="U4742">
        <v>-2.845764</v>
      </c>
      <c r="V4742">
        <v>-0.2409963</v>
      </c>
      <c r="W4742">
        <v>6.5277689999999999E-2</v>
      </c>
      <c r="X4742">
        <v>0.96832819999999997</v>
      </c>
      <c r="Y4742">
        <v>-0.31564510000000001</v>
      </c>
      <c r="Z4742">
        <v>9.5235970000000003E-2</v>
      </c>
      <c r="AA4742">
        <v>0.94408599999999998</v>
      </c>
      <c r="AB4742">
        <v>32</v>
      </c>
      <c r="AC4742">
        <v>-2.5035999999999401</v>
      </c>
      <c r="AD4742">
        <v>-1.1198392769609999</v>
      </c>
      <c r="AE4742">
        <v>-6.9724000000000004</v>
      </c>
      <c r="AF4742">
        <v>-2.40064932805257</v>
      </c>
      <c r="AG4742">
        <v>-1.1198392769609999</v>
      </c>
      <c r="AH4742">
        <v>6.8333442966004601</v>
      </c>
      <c r="AI4742">
        <v>98.789178453054504</v>
      </c>
      <c r="AJ4742">
        <v>109.35708781711701</v>
      </c>
      <c r="AK4742">
        <v>7.3288301575616996</v>
      </c>
      <c r="AL4742">
        <v>86.257202335788307</v>
      </c>
      <c r="AM4742">
        <v>103.975762966351</v>
      </c>
      <c r="AN4742">
        <v>0.999999948170331</v>
      </c>
    </row>
    <row r="4743" spans="1:40" x14ac:dyDescent="0.25">
      <c r="A4743" t="str">
        <f>"20190312151122949"</f>
        <v>20190312151122949</v>
      </c>
      <c r="B4743" t="str">
        <f>"1552374682945995"</f>
        <v>1552374682945995</v>
      </c>
      <c r="C4743" t="s">
        <v>40</v>
      </c>
      <c r="D4743">
        <v>5.0420150000000001</v>
      </c>
      <c r="E4743">
        <v>0.46787400000000001</v>
      </c>
      <c r="F4743" t="s">
        <v>42</v>
      </c>
      <c r="G4743">
        <v>-421.91840000000002</v>
      </c>
      <c r="H4743" s="1">
        <v>-4.1439969999999998E-6</v>
      </c>
      <c r="I4743">
        <v>118.1641</v>
      </c>
      <c r="J4743">
        <v>-419.40809999999999</v>
      </c>
      <c r="K4743">
        <v>1.119856</v>
      </c>
      <c r="L4743">
        <v>125.37390000000001</v>
      </c>
      <c r="M4743">
        <v>-0.62144929999999998</v>
      </c>
      <c r="N4743">
        <v>0</v>
      </c>
      <c r="O4743">
        <v>-0.783340699999999</v>
      </c>
      <c r="P4743">
        <v>-0.4138906</v>
      </c>
      <c r="Q4743">
        <v>5.8454539999999999E-2</v>
      </c>
      <c r="R4743">
        <v>-0.90844820000000004</v>
      </c>
      <c r="S4743">
        <v>-1.0366820000000001</v>
      </c>
      <c r="T4743">
        <v>-0.42899939999999998</v>
      </c>
      <c r="U4743">
        <v>-2.8611599999999999</v>
      </c>
      <c r="V4743">
        <v>-0.24202119999999999</v>
      </c>
      <c r="W4743">
        <v>6.5534140000000005E-2</v>
      </c>
      <c r="X4743">
        <v>0.9680552</v>
      </c>
      <c r="Y4743">
        <v>-0.3192412</v>
      </c>
      <c r="Z4743">
        <v>9.5291799999999996E-2</v>
      </c>
      <c r="AA4743">
        <v>0.9428704</v>
      </c>
      <c r="AB4743">
        <v>32</v>
      </c>
      <c r="AC4743">
        <v>-2.51030000000002</v>
      </c>
      <c r="AD4743">
        <v>-1.119860143997</v>
      </c>
      <c r="AE4743">
        <v>-7.2098000000000004</v>
      </c>
      <c r="AF4743">
        <v>-2.4613670547697901</v>
      </c>
      <c r="AG4743">
        <v>-1.119860143997</v>
      </c>
      <c r="AH4743">
        <v>7.0565581390008898</v>
      </c>
      <c r="AI4743">
        <v>98.522021128599306</v>
      </c>
      <c r="AJ4743">
        <v>109.22905818524001</v>
      </c>
      <c r="AK4743">
        <v>7.5569456322987296</v>
      </c>
      <c r="AL4743">
        <v>86.2424772244335</v>
      </c>
      <c r="AM4743">
        <v>104.036655683608</v>
      </c>
      <c r="AN4743">
        <v>0.99999992750100697</v>
      </c>
    </row>
    <row r="4744" spans="1:40" x14ac:dyDescent="0.25">
      <c r="A4744" t="str">
        <f>"20190312151122972"</f>
        <v>20190312151122972</v>
      </c>
      <c r="B4744" t="str">
        <f>"1552374682966491"</f>
        <v>1552374682966491</v>
      </c>
      <c r="C4744" t="s">
        <v>40</v>
      </c>
      <c r="D4744">
        <v>4.8419660000000002</v>
      </c>
      <c r="E4744">
        <v>0.48115380000000002</v>
      </c>
      <c r="F4744" t="s">
        <v>42</v>
      </c>
      <c r="G4744">
        <v>-422.05739999999997</v>
      </c>
      <c r="H4744" s="1">
        <v>-4.0425519999999996E-6</v>
      </c>
      <c r="I4744">
        <v>117.7936</v>
      </c>
      <c r="J4744">
        <v>-419.59589999999997</v>
      </c>
      <c r="K4744">
        <v>1.1198790000000001</v>
      </c>
      <c r="L4744">
        <v>125.11960000000001</v>
      </c>
      <c r="M4744">
        <v>-0.61229350000000005</v>
      </c>
      <c r="N4744">
        <v>0</v>
      </c>
      <c r="O4744">
        <v>-0.79051769999999999</v>
      </c>
      <c r="P4744">
        <v>-0.40259479999999997</v>
      </c>
      <c r="Q4744">
        <v>5.8310729999999998E-2</v>
      </c>
      <c r="R4744">
        <v>-0.91351939999999998</v>
      </c>
      <c r="S4744">
        <v>-1.0038450000000001</v>
      </c>
      <c r="T4744">
        <v>-0.42433149999999997</v>
      </c>
      <c r="U4744">
        <v>-2.8722989999999999</v>
      </c>
      <c r="V4744">
        <v>-0.24276800000000001</v>
      </c>
      <c r="W4744">
        <v>6.5361920000000004E-2</v>
      </c>
      <c r="X4744">
        <v>0.96787990000000002</v>
      </c>
      <c r="Y4744">
        <v>-0.31895020000000002</v>
      </c>
      <c r="Z4744">
        <v>9.5495880000000005E-2</v>
      </c>
      <c r="AA4744">
        <v>0.94294820000000001</v>
      </c>
      <c r="AB4744">
        <v>32</v>
      </c>
      <c r="AC4744">
        <v>-2.4615</v>
      </c>
      <c r="AD4744">
        <v>-1.1198830425519899</v>
      </c>
      <c r="AE4744">
        <v>-7.3259999999999996</v>
      </c>
      <c r="AF4744">
        <v>-2.4877931789809602</v>
      </c>
      <c r="AG4744">
        <v>-1.1198830425519899</v>
      </c>
      <c r="AH4744">
        <v>7.1490357264893598</v>
      </c>
      <c r="AI4744">
        <v>98.415642190664599</v>
      </c>
      <c r="AJ4744">
        <v>109.187387228175</v>
      </c>
      <c r="AK4744">
        <v>7.6519255582500998</v>
      </c>
      <c r="AL4744">
        <v>86.252366146476803</v>
      </c>
      <c r="AM4744">
        <v>104.08069680684299</v>
      </c>
      <c r="AN4744">
        <v>0.999999991617048</v>
      </c>
    </row>
    <row r="4745" spans="1:40" x14ac:dyDescent="0.25">
      <c r="A4745" t="str">
        <f>"20190312151122995"</f>
        <v>20190312151122995</v>
      </c>
      <c r="B4745" t="str">
        <f>"1552374682985759"</f>
        <v>1552374682985759</v>
      </c>
      <c r="C4745" t="s">
        <v>40</v>
      </c>
      <c r="D4745">
        <v>4.7664460000000002</v>
      </c>
      <c r="E4745">
        <v>0.44892880000000002</v>
      </c>
      <c r="F4745" t="s">
        <v>42</v>
      </c>
      <c r="G4745">
        <v>-422.16520000000003</v>
      </c>
      <c r="H4745" s="1">
        <v>-4.2202860000000001E-6</v>
      </c>
      <c r="I4745">
        <v>118.2597</v>
      </c>
      <c r="J4745">
        <v>-419.78300000000002</v>
      </c>
      <c r="K4745">
        <v>1.1198939999999999</v>
      </c>
      <c r="L4745">
        <v>124.8599</v>
      </c>
      <c r="M4745">
        <v>-0.60292849999999998</v>
      </c>
      <c r="N4745">
        <v>0</v>
      </c>
      <c r="O4745">
        <v>-0.79768319999999904</v>
      </c>
      <c r="P4745">
        <v>-0.39181759999999999</v>
      </c>
      <c r="Q4745">
        <v>5.8028410000000002E-2</v>
      </c>
      <c r="R4745">
        <v>-0.91821120000000001</v>
      </c>
      <c r="S4745">
        <v>-1.0652469999999901</v>
      </c>
      <c r="T4745">
        <v>-0.46431800000000001</v>
      </c>
      <c r="U4745">
        <v>-2.8441930000000002</v>
      </c>
      <c r="V4745">
        <v>-0.2427491</v>
      </c>
      <c r="W4745">
        <v>6.5074499999999993E-2</v>
      </c>
      <c r="X4745">
        <v>0.96790399999999999</v>
      </c>
      <c r="Y4745">
        <v>-0.28724060000000001</v>
      </c>
      <c r="Z4745">
        <v>0.1073843</v>
      </c>
      <c r="AA4745">
        <v>0.95182009999999995</v>
      </c>
      <c r="AB4745">
        <v>32</v>
      </c>
      <c r="AC4745">
        <v>-2.3822000000000099</v>
      </c>
      <c r="AD4745">
        <v>-1.1198982202859999</v>
      </c>
      <c r="AE4745">
        <v>-6.6002000000000001</v>
      </c>
      <c r="AF4745">
        <v>-2.0277431796304901</v>
      </c>
      <c r="AG4745">
        <v>-1.1198982202859999</v>
      </c>
      <c r="AH4745">
        <v>6.5352975777289499</v>
      </c>
      <c r="AI4745">
        <v>99.294873390772906</v>
      </c>
      <c r="AJ4745">
        <v>107.237839762647</v>
      </c>
      <c r="AK4745">
        <v>6.9336879693138496</v>
      </c>
      <c r="AL4745">
        <v>86.268869208261094</v>
      </c>
      <c r="AM4745">
        <v>104.079307569165</v>
      </c>
      <c r="AN4745">
        <v>0.99999998465852902</v>
      </c>
    </row>
    <row r="4746" spans="1:40" x14ac:dyDescent="0.25">
      <c r="A4746" t="str">
        <f>"20190312151123016"</f>
        <v>20190312151123016</v>
      </c>
      <c r="B4746" t="str">
        <f>"1552374683006255"</f>
        <v>1552374683006255</v>
      </c>
      <c r="C4746" t="s">
        <v>40</v>
      </c>
      <c r="D4746">
        <v>4.7827019999999996</v>
      </c>
      <c r="E4746">
        <v>0.44315969999999999</v>
      </c>
      <c r="F4746" t="s">
        <v>42</v>
      </c>
      <c r="G4746">
        <v>-421.65320000000003</v>
      </c>
      <c r="H4746" s="1">
        <v>-4.0062139999999998E-6</v>
      </c>
      <c r="I4746">
        <v>117.9023</v>
      </c>
      <c r="J4746">
        <v>-419.96109999999999</v>
      </c>
      <c r="K4746">
        <v>1.119904</v>
      </c>
      <c r="L4746">
        <v>124.6067</v>
      </c>
      <c r="M4746">
        <v>-0.59377769999999996</v>
      </c>
      <c r="N4746">
        <v>0</v>
      </c>
      <c r="O4746">
        <v>-0.80451810000000001</v>
      </c>
      <c r="P4746">
        <v>-0.38159419999999999</v>
      </c>
      <c r="Q4746">
        <v>5.8305389999999999E-2</v>
      </c>
      <c r="R4746">
        <v>-0.92248920000000001</v>
      </c>
      <c r="S4746">
        <v>-0.79510499999999995</v>
      </c>
      <c r="T4746">
        <v>-0.47612680000000002</v>
      </c>
      <c r="U4746">
        <v>-2.9580380000000002</v>
      </c>
      <c r="V4746">
        <v>-0.2424432</v>
      </c>
      <c r="W4746">
        <v>6.5357139999999994E-2</v>
      </c>
      <c r="X4746">
        <v>0.96796170000000004</v>
      </c>
      <c r="Y4746">
        <v>-0.36616280000000001</v>
      </c>
      <c r="Z4746">
        <v>0.1064686</v>
      </c>
      <c r="AA4746">
        <v>0.92444000000000004</v>
      </c>
      <c r="AB4746">
        <v>32</v>
      </c>
      <c r="AC4746">
        <v>-1.6921000000000299</v>
      </c>
      <c r="AD4746">
        <v>-1.1199080062139899</v>
      </c>
      <c r="AE4746">
        <v>-6.7043999999999997</v>
      </c>
      <c r="AF4746">
        <v>-2.5528662133120399</v>
      </c>
      <c r="AG4746">
        <v>-1.1199080062139899</v>
      </c>
      <c r="AH4746">
        <v>6.2355452461485603</v>
      </c>
      <c r="AI4746">
        <v>99.436890946481796</v>
      </c>
      <c r="AJ4746">
        <v>112.264460201823</v>
      </c>
      <c r="AK4746">
        <v>6.8303253481966903</v>
      </c>
      <c r="AL4746">
        <v>86.252640851854295</v>
      </c>
      <c r="AM4746">
        <v>104.0614649228</v>
      </c>
      <c r="AN4746">
        <v>1.0000000568210501</v>
      </c>
    </row>
    <row r="4747" spans="1:40" x14ac:dyDescent="0.25">
      <c r="A4747" t="str">
        <f>"20190312151123039"</f>
        <v>20190312151123039</v>
      </c>
      <c r="B4747" t="str">
        <f>"1552374683035534"</f>
        <v>1552374683035534</v>
      </c>
      <c r="C4747" t="s">
        <v>40</v>
      </c>
      <c r="D4747">
        <v>4.82864</v>
      </c>
      <c r="E4747">
        <v>0.4409419</v>
      </c>
      <c r="F4747" t="s">
        <v>42</v>
      </c>
      <c r="G4747">
        <v>-421.6302</v>
      </c>
      <c r="H4747" s="1">
        <v>-3.9059899999999997E-6</v>
      </c>
      <c r="I4747">
        <v>117.68300000000001</v>
      </c>
      <c r="J4747">
        <v>-420.1379</v>
      </c>
      <c r="K4747">
        <v>1.119912</v>
      </c>
      <c r="L4747">
        <v>124.3488</v>
      </c>
      <c r="M4747">
        <v>-0.58444980000000002</v>
      </c>
      <c r="N4747">
        <v>0</v>
      </c>
      <c r="O4747">
        <v>-0.81131960000000003</v>
      </c>
      <c r="P4747">
        <v>-0.37104330000000002</v>
      </c>
      <c r="Q4747">
        <v>5.9077200000000003E-2</v>
      </c>
      <c r="R4747">
        <v>-0.92673419999999895</v>
      </c>
      <c r="S4747">
        <v>-0.71957399999999905</v>
      </c>
      <c r="T4747">
        <v>-0.48280909999999999</v>
      </c>
      <c r="U4747">
        <v>-2.984909</v>
      </c>
      <c r="V4747">
        <v>-0.2423044</v>
      </c>
      <c r="W4747">
        <v>6.6129859999999999E-2</v>
      </c>
      <c r="X4747">
        <v>0.96794389999999997</v>
      </c>
      <c r="Y4747">
        <v>-0.37945669999999998</v>
      </c>
      <c r="Z4747">
        <v>0.1083272</v>
      </c>
      <c r="AA4747">
        <v>0.91884589999999999</v>
      </c>
      <c r="AB4747">
        <v>32</v>
      </c>
      <c r="AC4747">
        <v>-1.4923</v>
      </c>
      <c r="AD4747">
        <v>-1.1199159059899999</v>
      </c>
      <c r="AE4747">
        <v>-6.6657999999999999</v>
      </c>
      <c r="AF4747">
        <v>-2.61504147369511</v>
      </c>
      <c r="AG4747">
        <v>-1.1199159059899999</v>
      </c>
      <c r="AH4747">
        <v>6.1164218406107702</v>
      </c>
      <c r="AI4747">
        <v>99.556575667149104</v>
      </c>
      <c r="AJ4747">
        <v>113.14885523478</v>
      </c>
      <c r="AK4747">
        <v>6.7456111419155604</v>
      </c>
      <c r="AL4747">
        <v>86.208271002628805</v>
      </c>
      <c r="AM4747">
        <v>104.05398197374799</v>
      </c>
      <c r="AN4747">
        <v>0.99999998709509397</v>
      </c>
    </row>
    <row r="4748" spans="1:40" x14ac:dyDescent="0.25">
      <c r="A4748" t="str">
        <f>"20190312151123061"</f>
        <v>20190312151123061</v>
      </c>
      <c r="B4748" t="str">
        <f>"1552374683056030"</f>
        <v>1552374683056030</v>
      </c>
      <c r="C4748" t="s">
        <v>40</v>
      </c>
      <c r="D4748">
        <v>4.7145599999999996</v>
      </c>
      <c r="E4748">
        <v>0.44118740000000001</v>
      </c>
      <c r="F4748" t="s">
        <v>42</v>
      </c>
      <c r="G4748">
        <v>-421.63029999999998</v>
      </c>
      <c r="H4748" s="1">
        <v>-3.8946190000000003E-6</v>
      </c>
      <c r="I4748">
        <v>117.6564</v>
      </c>
      <c r="J4748">
        <v>-420.3159</v>
      </c>
      <c r="K4748">
        <v>1.1199250000000001</v>
      </c>
      <c r="L4748">
        <v>124.08240000000001</v>
      </c>
      <c r="M4748">
        <v>-0.57480730000000002</v>
      </c>
      <c r="N4748">
        <v>0</v>
      </c>
      <c r="O4748">
        <v>-0.81817949999999995</v>
      </c>
      <c r="P4748">
        <v>-0.360259</v>
      </c>
      <c r="Q4748">
        <v>5.8817189999999998E-2</v>
      </c>
      <c r="R4748">
        <v>-0.9309965</v>
      </c>
      <c r="S4748">
        <v>-0.66928100000000001</v>
      </c>
      <c r="T4748">
        <v>-0.5022297</v>
      </c>
      <c r="U4748">
        <v>-3.001236</v>
      </c>
      <c r="V4748">
        <v>-0.24209149999999999</v>
      </c>
      <c r="W4748">
        <v>6.5874820000000001E-2</v>
      </c>
      <c r="X4748">
        <v>0.96801459999999995</v>
      </c>
      <c r="Y4748">
        <v>-0.38436480000000001</v>
      </c>
      <c r="Z4748">
        <v>0.1135756</v>
      </c>
      <c r="AA4748">
        <v>0.91616830000000005</v>
      </c>
      <c r="AB4748">
        <v>32</v>
      </c>
      <c r="AC4748">
        <v>-1.31439999999997</v>
      </c>
      <c r="AD4748">
        <v>-1.119928894619</v>
      </c>
      <c r="AE4748">
        <v>-6.4260000000000002</v>
      </c>
      <c r="AF4748">
        <v>-2.5443525527970601</v>
      </c>
      <c r="AG4748">
        <v>-1.119928894619</v>
      </c>
      <c r="AH4748">
        <v>5.8433292368813801</v>
      </c>
      <c r="AI4748">
        <v>99.966465111610404</v>
      </c>
      <c r="AJ4748">
        <v>113.529685587443</v>
      </c>
      <c r="AK4748">
        <v>6.4708938495790704</v>
      </c>
      <c r="AL4748">
        <v>86.222915798929193</v>
      </c>
      <c r="AM4748">
        <v>104.041137246072</v>
      </c>
      <c r="AN4748">
        <v>1.00000002604772</v>
      </c>
    </row>
    <row r="4749" spans="1:40" x14ac:dyDescent="0.25">
      <c r="A4749" t="str">
        <f>"20190312151123083"</f>
        <v>20190312151123083</v>
      </c>
      <c r="B4749" t="str">
        <f>"1552374683075551"</f>
        <v>1552374683075551</v>
      </c>
      <c r="C4749" t="s">
        <v>40</v>
      </c>
      <c r="D4749">
        <v>4.7347919999999997</v>
      </c>
      <c r="E4749">
        <v>0.44155270000000002</v>
      </c>
      <c r="F4749" t="s">
        <v>42</v>
      </c>
      <c r="G4749">
        <v>-421.72719999999998</v>
      </c>
      <c r="H4749" s="1">
        <v>-3.8127899999999999E-6</v>
      </c>
      <c r="I4749">
        <v>117.40560000000001</v>
      </c>
      <c r="J4749">
        <v>-420.4855</v>
      </c>
      <c r="K4749">
        <v>1.119934</v>
      </c>
      <c r="L4749">
        <v>123.8219</v>
      </c>
      <c r="M4749">
        <v>-0.56536969999999998</v>
      </c>
      <c r="N4749">
        <v>0</v>
      </c>
      <c r="O4749">
        <v>-0.8247293</v>
      </c>
      <c r="P4749">
        <v>-0.35065069999999998</v>
      </c>
      <c r="Q4749">
        <v>5.8734799999999997E-2</v>
      </c>
      <c r="R4749">
        <v>-0.93466300000000002</v>
      </c>
      <c r="S4749">
        <v>-0.63586430000000005</v>
      </c>
      <c r="T4749">
        <v>-0.50457050000000003</v>
      </c>
      <c r="U4749">
        <v>-3.0081630000000001</v>
      </c>
      <c r="V4749">
        <v>-0.24094189999999999</v>
      </c>
      <c r="W4749">
        <v>6.5823439999999997E-2</v>
      </c>
      <c r="X4749">
        <v>0.96830490000000002</v>
      </c>
      <c r="Y4749">
        <v>-0.38396639999999999</v>
      </c>
      <c r="Z4749">
        <v>0.1154854</v>
      </c>
      <c r="AA4749">
        <v>0.91609660000000004</v>
      </c>
      <c r="AB4749">
        <v>32</v>
      </c>
      <c r="AC4749">
        <v>-1.24169999999998</v>
      </c>
      <c r="AD4749">
        <v>-1.1199378127899999</v>
      </c>
      <c r="AE4749">
        <v>-6.4162999999999899</v>
      </c>
      <c r="AF4749">
        <v>-2.5294665147735902</v>
      </c>
      <c r="AG4749">
        <v>-1.1199378127899999</v>
      </c>
      <c r="AH4749">
        <v>5.8232575515176404</v>
      </c>
      <c r="AI4749">
        <v>100.00398641164</v>
      </c>
      <c r="AJ4749">
        <v>113.478830489654</v>
      </c>
      <c r="AK4749">
        <v>6.44692097556538</v>
      </c>
      <c r="AL4749">
        <v>86.225866156974504</v>
      </c>
      <c r="AM4749">
        <v>103.973054885031</v>
      </c>
      <c r="AN4749">
        <v>1.00000005189652</v>
      </c>
    </row>
    <row r="4750" spans="1:40" x14ac:dyDescent="0.25">
      <c r="A4750" t="str">
        <f>"20190312151123105"</f>
        <v>20190312151123105</v>
      </c>
      <c r="B4750" t="str">
        <f>"1552374683096048"</f>
        <v>1552374683096048</v>
      </c>
      <c r="C4750" t="s">
        <v>40</v>
      </c>
      <c r="D4750">
        <v>4.7664249999999999</v>
      </c>
      <c r="E4750">
        <v>0.44196200000000002</v>
      </c>
      <c r="F4750" t="s">
        <v>42</v>
      </c>
      <c r="G4750">
        <v>-421.83449999999999</v>
      </c>
      <c r="H4750" s="1">
        <v>-3.7185099999999999E-6</v>
      </c>
      <c r="I4750">
        <v>117.1193</v>
      </c>
      <c r="J4750">
        <v>-420.65710000000001</v>
      </c>
      <c r="K4750">
        <v>1.119936</v>
      </c>
      <c r="L4750">
        <v>123.5515</v>
      </c>
      <c r="M4750">
        <v>-0.55556930000000004</v>
      </c>
      <c r="N4750">
        <v>0</v>
      </c>
      <c r="O4750">
        <v>-0.83136270000000001</v>
      </c>
      <c r="P4750">
        <v>-0.34059460000000003</v>
      </c>
      <c r="Q4750">
        <v>5.8621189999999997E-2</v>
      </c>
      <c r="R4750">
        <v>-0.93838120000000003</v>
      </c>
      <c r="S4750">
        <v>-0.60653690000000005</v>
      </c>
      <c r="T4750">
        <v>-0.50357439999999998</v>
      </c>
      <c r="U4750">
        <v>-3.0137939999999999</v>
      </c>
      <c r="V4750">
        <v>-0.2398797</v>
      </c>
      <c r="W4750">
        <v>6.5739710000000007E-2</v>
      </c>
      <c r="X4750">
        <v>0.96857420000000005</v>
      </c>
      <c r="Y4750">
        <v>-0.38196229999999998</v>
      </c>
      <c r="Z4750">
        <v>0.11676159999999999</v>
      </c>
      <c r="AA4750">
        <v>0.91677240000000004</v>
      </c>
      <c r="AB4750">
        <v>32</v>
      </c>
      <c r="AC4750">
        <v>-1.17739999999997</v>
      </c>
      <c r="AD4750">
        <v>-1.11993971851</v>
      </c>
      <c r="AE4750">
        <v>-6.4321999999999999</v>
      </c>
      <c r="AF4750">
        <v>-2.5209707000841499</v>
      </c>
      <c r="AG4750">
        <v>-1.11993971851</v>
      </c>
      <c r="AH4750">
        <v>5.83111092849001</v>
      </c>
      <c r="AI4750">
        <v>99.998096981360604</v>
      </c>
      <c r="AJ4750">
        <v>113.380330424283</v>
      </c>
      <c r="AK4750">
        <v>6.4506908857993404</v>
      </c>
      <c r="AL4750">
        <v>86.230673676000094</v>
      </c>
      <c r="AM4750">
        <v>103.910134302709</v>
      </c>
      <c r="AN4750">
        <v>0.99999998042430605</v>
      </c>
    </row>
    <row r="4751" spans="1:40" x14ac:dyDescent="0.25">
      <c r="A4751" t="str">
        <f>"20190312151123128"</f>
        <v>20190312151123128</v>
      </c>
      <c r="B4751" t="str">
        <f>"1552374683126302"</f>
        <v>1552374683126302</v>
      </c>
      <c r="C4751" t="s">
        <v>40</v>
      </c>
      <c r="D4751">
        <v>4.7380440000000004</v>
      </c>
      <c r="E4751">
        <v>0.4428783</v>
      </c>
      <c r="F4751" t="s">
        <v>42</v>
      </c>
      <c r="G4751">
        <v>-421.94049999999999</v>
      </c>
      <c r="H4751" s="1">
        <v>-3.6283539999999999E-6</v>
      </c>
      <c r="I4751">
        <v>116.8434</v>
      </c>
      <c r="J4751">
        <v>-420.82229999999998</v>
      </c>
      <c r="K4751">
        <v>1.1199380000000001</v>
      </c>
      <c r="L4751">
        <v>123.2846</v>
      </c>
      <c r="M4751">
        <v>-0.54588719999999902</v>
      </c>
      <c r="N4751">
        <v>0</v>
      </c>
      <c r="O4751">
        <v>-0.83775189999999999</v>
      </c>
      <c r="P4751">
        <v>-0.32973940000000002</v>
      </c>
      <c r="Q4751">
        <v>5.8671349999999997E-2</v>
      </c>
      <c r="R4751">
        <v>-0.94224730000000001</v>
      </c>
      <c r="S4751">
        <v>-0.57754519999999998</v>
      </c>
      <c r="T4751">
        <v>-0.50400519999999904</v>
      </c>
      <c r="U4751">
        <v>-3.0188600000000001</v>
      </c>
      <c r="V4751">
        <v>-0.23982390000000001</v>
      </c>
      <c r="W4751">
        <v>6.5791100000000005E-2</v>
      </c>
      <c r="X4751">
        <v>0.96858449999999996</v>
      </c>
      <c r="Y4751">
        <v>-0.38004779999999999</v>
      </c>
      <c r="Z4751">
        <v>0.118316</v>
      </c>
      <c r="AA4751">
        <v>0.91736850000000003</v>
      </c>
      <c r="AB4751">
        <v>32</v>
      </c>
      <c r="AC4751">
        <v>-1.1182000000000001</v>
      </c>
      <c r="AD4751">
        <v>-1.11994162835399</v>
      </c>
      <c r="AE4751">
        <v>-6.4411999999999896</v>
      </c>
      <c r="AF4751">
        <v>-2.5060796014616198</v>
      </c>
      <c r="AG4751">
        <v>-1.11994162835399</v>
      </c>
      <c r="AH4751">
        <v>5.8358130634682697</v>
      </c>
      <c r="AI4751">
        <v>100.00054185400499</v>
      </c>
      <c r="AJ4751">
        <v>113.240189820414</v>
      </c>
      <c r="AK4751">
        <v>6.4491408987189303</v>
      </c>
      <c r="AL4751">
        <v>86.227722753078595</v>
      </c>
      <c r="AM4751">
        <v>103.906882039057</v>
      </c>
      <c r="AN4751">
        <v>0.99999995274533304</v>
      </c>
    </row>
    <row r="4752" spans="1:40" x14ac:dyDescent="0.25">
      <c r="A4752" t="str">
        <f>"20190312151123151"</f>
        <v>20190312151123151</v>
      </c>
      <c r="B4752" t="str">
        <f>"1552374683145822"</f>
        <v>1552374683145822</v>
      </c>
      <c r="C4752" t="s">
        <v>40</v>
      </c>
      <c r="D4752">
        <v>4.8072049999999997</v>
      </c>
      <c r="E4752">
        <v>0.44364369999999997</v>
      </c>
      <c r="F4752" t="s">
        <v>42</v>
      </c>
      <c r="G4752">
        <v>-422.04270000000002</v>
      </c>
      <c r="H4752" s="1">
        <v>-3.5437839999999998E-6</v>
      </c>
      <c r="I4752">
        <v>116.58280000000001</v>
      </c>
      <c r="J4752">
        <v>-420.98930000000001</v>
      </c>
      <c r="K4752">
        <v>1.119934</v>
      </c>
      <c r="L4752">
        <v>123.0077</v>
      </c>
      <c r="M4752">
        <v>-0.53583400000000003</v>
      </c>
      <c r="N4752">
        <v>0</v>
      </c>
      <c r="O4752">
        <v>-0.84421740000000001</v>
      </c>
      <c r="P4752">
        <v>-0.31863780000000003</v>
      </c>
      <c r="Q4752">
        <v>5.7979490000000002E-2</v>
      </c>
      <c r="R4752">
        <v>-0.94610179999999999</v>
      </c>
      <c r="S4752">
        <v>-0.55044559999999998</v>
      </c>
      <c r="T4752">
        <v>-0.50512579999999996</v>
      </c>
      <c r="U4752">
        <v>-3.0227200000000001</v>
      </c>
      <c r="V4752">
        <v>-0.2396403</v>
      </c>
      <c r="W4752">
        <v>6.5105440000000001E-2</v>
      </c>
      <c r="X4752">
        <v>0.96867630000000005</v>
      </c>
      <c r="Y4752">
        <v>-0.3771911</v>
      </c>
      <c r="Z4752">
        <v>0.12012150000000001</v>
      </c>
      <c r="AA4752">
        <v>0.91831240000000003</v>
      </c>
      <c r="AB4752">
        <v>32</v>
      </c>
      <c r="AC4752">
        <v>-1.0534000000000101</v>
      </c>
      <c r="AD4752">
        <v>-1.119937543784</v>
      </c>
      <c r="AE4752">
        <v>-6.4248999999999903</v>
      </c>
      <c r="AF4752">
        <v>-2.48022170018168</v>
      </c>
      <c r="AG4752">
        <v>-1.119937543784</v>
      </c>
      <c r="AH4752">
        <v>5.8168783738601899</v>
      </c>
      <c r="AI4752">
        <v>100.043237596441</v>
      </c>
      <c r="AJ4752">
        <v>113.092606035759</v>
      </c>
      <c r="AK4752">
        <v>6.4219805200819096</v>
      </c>
      <c r="AL4752">
        <v>86.267092703153494</v>
      </c>
      <c r="AM4752">
        <v>103.89538233419</v>
      </c>
      <c r="AN4752">
        <v>0.99999998294168602</v>
      </c>
    </row>
    <row r="4753" spans="1:40" x14ac:dyDescent="0.25">
      <c r="A4753" t="str">
        <f>"20190312151123174"</f>
        <v>20190312151123174</v>
      </c>
      <c r="B4753" t="str">
        <f>"1552374683166319"</f>
        <v>1552374683166319</v>
      </c>
      <c r="C4753" t="s">
        <v>40</v>
      </c>
      <c r="D4753">
        <v>4.8082640000000003</v>
      </c>
      <c r="E4753">
        <v>0.4443144</v>
      </c>
      <c r="F4753" t="s">
        <v>42</v>
      </c>
      <c r="G4753">
        <v>-422.14760000000001</v>
      </c>
      <c r="H4753" s="1">
        <v>-3.4381079999999898E-6</v>
      </c>
      <c r="I4753">
        <v>116.2714</v>
      </c>
      <c r="J4753">
        <v>-421.14920000000001</v>
      </c>
      <c r="K4753">
        <v>1.1199349999999999</v>
      </c>
      <c r="L4753">
        <v>122.7353</v>
      </c>
      <c r="M4753">
        <v>-0.5259393</v>
      </c>
      <c r="N4753">
        <v>0</v>
      </c>
      <c r="O4753">
        <v>-0.85041699999999998</v>
      </c>
      <c r="P4753">
        <v>-0.3077607</v>
      </c>
      <c r="Q4753">
        <v>5.7762880000000003E-2</v>
      </c>
      <c r="R4753">
        <v>-0.94970900000000003</v>
      </c>
      <c r="S4753">
        <v>-0.52041629999999905</v>
      </c>
      <c r="T4753">
        <v>-0.50316519999999998</v>
      </c>
      <c r="U4753">
        <v>-3.0264739999999999</v>
      </c>
      <c r="V4753">
        <v>-0.23944589999999999</v>
      </c>
      <c r="W4753">
        <v>6.4895120000000001E-2</v>
      </c>
      <c r="X4753">
        <v>0.96873849999999995</v>
      </c>
      <c r="Y4753">
        <v>-0.37542989999999998</v>
      </c>
      <c r="Z4753">
        <v>0.1211182</v>
      </c>
      <c r="AA4753">
        <v>0.91890309999999997</v>
      </c>
      <c r="AB4753">
        <v>32</v>
      </c>
      <c r="AC4753">
        <v>-0.99840000000000295</v>
      </c>
      <c r="AD4753">
        <v>-1.119938438108</v>
      </c>
      <c r="AE4753">
        <v>-6.46389999999999</v>
      </c>
      <c r="AF4753">
        <v>-2.4781326072590701</v>
      </c>
      <c r="AG4753">
        <v>-1.119938438108</v>
      </c>
      <c r="AH4753">
        <v>5.8510942518307996</v>
      </c>
      <c r="AI4753">
        <v>99.9957444841518</v>
      </c>
      <c r="AJ4753">
        <v>112.954270037737</v>
      </c>
      <c r="AK4753">
        <v>6.4521862394168297</v>
      </c>
      <c r="AL4753">
        <v>86.279168747461497</v>
      </c>
      <c r="AM4753">
        <v>103.883689494807</v>
      </c>
      <c r="AN4753">
        <v>0.99999999850443699</v>
      </c>
    </row>
    <row r="4754" spans="1:40" x14ac:dyDescent="0.25">
      <c r="A4754" t="str">
        <f>"20190312151123195"</f>
        <v>20190312151123195</v>
      </c>
      <c r="B4754" t="str">
        <f>"1552374683185839"</f>
        <v>1552374683185839</v>
      </c>
      <c r="C4754" t="s">
        <v>40</v>
      </c>
      <c r="D4754">
        <v>4.8006539999999998</v>
      </c>
      <c r="E4754">
        <v>0.44523869999999999</v>
      </c>
      <c r="F4754" t="s">
        <v>42</v>
      </c>
      <c r="G4754">
        <v>-422.24509999999998</v>
      </c>
      <c r="H4754" s="1">
        <v>-3.329392E-6</v>
      </c>
      <c r="I4754">
        <v>115.9575</v>
      </c>
      <c r="J4754">
        <v>-421.30380000000002</v>
      </c>
      <c r="K4754">
        <v>1.119934</v>
      </c>
      <c r="L4754">
        <v>122.4648</v>
      </c>
      <c r="M4754">
        <v>-0.51610769999999995</v>
      </c>
      <c r="N4754">
        <v>0</v>
      </c>
      <c r="O4754">
        <v>-0.85641900000000004</v>
      </c>
      <c r="P4754">
        <v>-0.29682340000000002</v>
      </c>
      <c r="Q4754">
        <v>5.7658229999999998E-2</v>
      </c>
      <c r="R4754">
        <v>-0.95318999999999998</v>
      </c>
      <c r="S4754">
        <v>-0.49002079999999998</v>
      </c>
      <c r="T4754">
        <v>-0.50075820000000004</v>
      </c>
      <c r="U4754">
        <v>-3.0305330000000001</v>
      </c>
      <c r="V4754">
        <v>-0.23942260000000001</v>
      </c>
      <c r="W4754">
        <v>6.4791860000000007E-2</v>
      </c>
      <c r="X4754">
        <v>0.96875120000000003</v>
      </c>
      <c r="Y4754">
        <v>-0.37393870000000001</v>
      </c>
      <c r="Z4754">
        <v>0.1219285</v>
      </c>
      <c r="AA4754">
        <v>0.91940379999999999</v>
      </c>
      <c r="AB4754">
        <v>32</v>
      </c>
      <c r="AC4754">
        <v>-0.94129999999995495</v>
      </c>
      <c r="AD4754">
        <v>-1.1199373293920001</v>
      </c>
      <c r="AE4754">
        <v>-6.5072999999999999</v>
      </c>
      <c r="AF4754">
        <v>-2.4805803273976399</v>
      </c>
      <c r="AG4754">
        <v>-1.1199373293920001</v>
      </c>
      <c r="AH4754">
        <v>5.8884883676431397</v>
      </c>
      <c r="AI4754">
        <v>99.941464674777194</v>
      </c>
      <c r="AJ4754">
        <v>112.843710187439</v>
      </c>
      <c r="AK4754">
        <v>6.4870512282782604</v>
      </c>
      <c r="AL4754">
        <v>86.285097693260795</v>
      </c>
      <c r="AM4754">
        <v>103.882215806292</v>
      </c>
      <c r="AN4754">
        <v>1.00000002700722</v>
      </c>
    </row>
    <row r="4755" spans="1:40" x14ac:dyDescent="0.25">
      <c r="A4755" t="str">
        <f>"20190312151123218"</f>
        <v>20190312151123218</v>
      </c>
      <c r="B4755" t="str">
        <f>"1552374683206335"</f>
        <v>1552374683206335</v>
      </c>
      <c r="C4755" t="s">
        <v>40</v>
      </c>
      <c r="D4755">
        <v>4.8422369999999999</v>
      </c>
      <c r="E4755">
        <v>0.44597229999999999</v>
      </c>
      <c r="F4755" t="s">
        <v>42</v>
      </c>
      <c r="G4755">
        <v>-422.34010000000001</v>
      </c>
      <c r="H4755" s="1">
        <v>-3.2288540000000001E-6</v>
      </c>
      <c r="I4755">
        <v>115.66419999999999</v>
      </c>
      <c r="J4755">
        <v>-421.45400000000001</v>
      </c>
      <c r="K4755">
        <v>1.119936</v>
      </c>
      <c r="L4755">
        <v>122.1948</v>
      </c>
      <c r="M4755">
        <v>-0.50629299999999999</v>
      </c>
      <c r="N4755">
        <v>0</v>
      </c>
      <c r="O4755">
        <v>-0.86225779999999996</v>
      </c>
      <c r="P4755">
        <v>-0.28615780000000002</v>
      </c>
      <c r="Q4755">
        <v>5.7859679999999997E-2</v>
      </c>
      <c r="R4755">
        <v>-0.95643400000000001</v>
      </c>
      <c r="S4755">
        <v>-0.46231080000000002</v>
      </c>
      <c r="T4755">
        <v>-0.49958059999999999</v>
      </c>
      <c r="U4755">
        <v>-3.033585</v>
      </c>
      <c r="V4755">
        <v>-0.23917769999999999</v>
      </c>
      <c r="W4755">
        <v>6.5001229999999993E-2</v>
      </c>
      <c r="X4755">
        <v>0.96879760000000004</v>
      </c>
      <c r="Y4755">
        <v>-0.37170690000000001</v>
      </c>
      <c r="Z4755">
        <v>0.12303790000000001</v>
      </c>
      <c r="AA4755">
        <v>0.92016070000000005</v>
      </c>
      <c r="AB4755">
        <v>32</v>
      </c>
      <c r="AC4755">
        <v>-0.886099999999999</v>
      </c>
      <c r="AD4755">
        <v>-1.119939228854</v>
      </c>
      <c r="AE4755">
        <v>-6.5305999999999997</v>
      </c>
      <c r="AF4755">
        <v>-2.4712152687540998</v>
      </c>
      <c r="AG4755">
        <v>-1.119939228854</v>
      </c>
      <c r="AH4755">
        <v>5.9095769058655296</v>
      </c>
      <c r="AI4755">
        <v>99.917414789576796</v>
      </c>
      <c r="AJ4755">
        <v>112.693280442706</v>
      </c>
      <c r="AK4755">
        <v>6.5026354647318696</v>
      </c>
      <c r="AL4755">
        <v>86.273076088511402</v>
      </c>
      <c r="AM4755">
        <v>103.867925850539</v>
      </c>
      <c r="AN4755">
        <v>0.99999996092228005</v>
      </c>
    </row>
    <row r="4756" spans="1:40" x14ac:dyDescent="0.25">
      <c r="A4756" t="str">
        <f>"20190312151123252"</f>
        <v>20190312151123252</v>
      </c>
      <c r="B4756" t="str">
        <f>"1552374683246350"</f>
        <v>1552374683246350</v>
      </c>
      <c r="C4756" t="s">
        <v>40</v>
      </c>
      <c r="D4756">
        <v>4.8260389999999997</v>
      </c>
      <c r="E4756">
        <v>0.44702530000000001</v>
      </c>
      <c r="F4756" t="s">
        <v>42</v>
      </c>
      <c r="G4756">
        <v>-422.42469999999997</v>
      </c>
      <c r="H4756" s="1">
        <v>-3.1338700000000002E-6</v>
      </c>
      <c r="I4756">
        <v>115.3904</v>
      </c>
      <c r="J4756">
        <v>-421.6789</v>
      </c>
      <c r="K4756">
        <v>1.1199239999999999</v>
      </c>
      <c r="L4756">
        <v>121.7756</v>
      </c>
      <c r="M4756">
        <v>-0.49104510000000001</v>
      </c>
      <c r="N4756">
        <v>0</v>
      </c>
      <c r="O4756">
        <v>-0.87103149999999996</v>
      </c>
      <c r="P4756">
        <v>-0.27037359999999999</v>
      </c>
      <c r="Q4756">
        <v>5.7817769999999997E-2</v>
      </c>
      <c r="R4756">
        <v>-0.96101809999999999</v>
      </c>
      <c r="S4756">
        <v>-0.43328860000000002</v>
      </c>
      <c r="T4756">
        <v>-0.49989820000000001</v>
      </c>
      <c r="U4756">
        <v>-3.0372620000000001</v>
      </c>
      <c r="V4756">
        <v>-0.2380815</v>
      </c>
      <c r="W4756">
        <v>6.49922E-2</v>
      </c>
      <c r="X4756">
        <v>0.96906820000000005</v>
      </c>
      <c r="Y4756">
        <v>-0.36417899999999997</v>
      </c>
      <c r="Z4756">
        <v>0.12534419999999999</v>
      </c>
      <c r="AA4756">
        <v>0.9228556</v>
      </c>
      <c r="AB4756">
        <v>32</v>
      </c>
      <c r="AC4756">
        <v>-0.74579999999997404</v>
      </c>
      <c r="AD4756">
        <v>-1.1199271338700001</v>
      </c>
      <c r="AE4756">
        <v>-6.3851999999999904</v>
      </c>
      <c r="AF4756">
        <v>-2.41280184234104</v>
      </c>
      <c r="AG4756">
        <v>-1.1199271338700001</v>
      </c>
      <c r="AH4756">
        <v>5.7538381458280297</v>
      </c>
      <c r="AI4756">
        <v>100.17605692209401</v>
      </c>
      <c r="AJ4756">
        <v>112.75014620421101</v>
      </c>
      <c r="AK4756">
        <v>6.3389670234170197</v>
      </c>
      <c r="AL4756">
        <v>86.273594642456302</v>
      </c>
      <c r="AM4756">
        <v>103.803095801186</v>
      </c>
      <c r="AN4756">
        <v>0.99999998147716396</v>
      </c>
    </row>
    <row r="4757" spans="1:40" x14ac:dyDescent="0.25">
      <c r="A4757" t="str">
        <f>"20190312151123273"</f>
        <v>20190312151123273</v>
      </c>
      <c r="B4757" t="str">
        <f>"1552374683265870"</f>
        <v>1552374683265870</v>
      </c>
      <c r="C4757" t="s">
        <v>40</v>
      </c>
      <c r="D4757">
        <v>4.863842</v>
      </c>
      <c r="E4757">
        <v>0.44642159999999897</v>
      </c>
      <c r="F4757" t="s">
        <v>42</v>
      </c>
      <c r="G4757">
        <v>-422.55669999999998</v>
      </c>
      <c r="H4757" s="1">
        <v>-2.9854330000000001E-6</v>
      </c>
      <c r="I4757">
        <v>114.96250000000001</v>
      </c>
      <c r="J4757">
        <v>-421.82299999999998</v>
      </c>
      <c r="K4757">
        <v>1.1199220000000001</v>
      </c>
      <c r="L4757">
        <v>121.4979</v>
      </c>
      <c r="M4757">
        <v>-0.48093649999999999</v>
      </c>
      <c r="N4757">
        <v>0</v>
      </c>
      <c r="O4757">
        <v>-0.87665339999999903</v>
      </c>
      <c r="P4757">
        <v>-0.25980170000000002</v>
      </c>
      <c r="Q4757">
        <v>5.7819450000000001E-2</v>
      </c>
      <c r="R4757">
        <v>-0.96392999999999995</v>
      </c>
      <c r="S4757">
        <v>-0.39187620000000001</v>
      </c>
      <c r="T4757">
        <v>-0.4999595</v>
      </c>
      <c r="U4757">
        <v>-3.0415190000000001</v>
      </c>
      <c r="V4757">
        <v>-0.23751549999999999</v>
      </c>
      <c r="W4757">
        <v>6.5011699999999895E-2</v>
      </c>
      <c r="X4757">
        <v>0.96920580000000001</v>
      </c>
      <c r="Y4757">
        <v>-0.36593599999999998</v>
      </c>
      <c r="Z4757">
        <v>0.12654209999999999</v>
      </c>
      <c r="AA4757">
        <v>0.9219967</v>
      </c>
      <c r="AB4757">
        <v>32</v>
      </c>
      <c r="AC4757">
        <v>-0.73369999999994195</v>
      </c>
      <c r="AD4757">
        <v>-1.11992498543299</v>
      </c>
      <c r="AE4757">
        <v>-6.5353999999999903</v>
      </c>
      <c r="AF4757">
        <v>-2.4296754954534898</v>
      </c>
      <c r="AG4757">
        <v>-1.11992498543299</v>
      </c>
      <c r="AH4757">
        <v>5.9112627857523998</v>
      </c>
      <c r="AI4757">
        <v>99.939117619533107</v>
      </c>
      <c r="AJ4757">
        <v>112.343877026306</v>
      </c>
      <c r="AK4757">
        <v>6.4884961823542397</v>
      </c>
      <c r="AL4757">
        <v>86.272475107040506</v>
      </c>
      <c r="AM4757">
        <v>103.76965116517999</v>
      </c>
      <c r="AN4757">
        <v>1.0000000083153899</v>
      </c>
    </row>
    <row r="4758" spans="1:40" x14ac:dyDescent="0.25">
      <c r="A4758" t="str">
        <f>"20190312151123296"</f>
        <v>20190312151123296</v>
      </c>
      <c r="B4758" t="str">
        <f>"1552374683286366"</f>
        <v>1552374683286366</v>
      </c>
      <c r="C4758" t="s">
        <v>40</v>
      </c>
      <c r="D4758">
        <v>4.8482690000000002</v>
      </c>
      <c r="E4758">
        <v>0.4460073</v>
      </c>
      <c r="F4758" t="s">
        <v>42</v>
      </c>
      <c r="G4758">
        <v>-422.61840000000001</v>
      </c>
      <c r="H4758" s="1">
        <v>-2.8690239999999998E-6</v>
      </c>
      <c r="I4758">
        <v>114.6529</v>
      </c>
      <c r="J4758">
        <v>-421.96559999999999</v>
      </c>
      <c r="K4758">
        <v>1.119928</v>
      </c>
      <c r="L4758">
        <v>121.21510000000001</v>
      </c>
      <c r="M4758">
        <v>-0.47063319999999997</v>
      </c>
      <c r="N4758">
        <v>0</v>
      </c>
      <c r="O4758">
        <v>-0.88222739999999999</v>
      </c>
      <c r="P4758">
        <v>-0.24904699999999999</v>
      </c>
      <c r="Q4758">
        <v>5.8042389999999999E-2</v>
      </c>
      <c r="R4758">
        <v>-0.96675080000000002</v>
      </c>
      <c r="S4758">
        <v>-0.35403440000000003</v>
      </c>
      <c r="T4758">
        <v>-0.49848330000000002</v>
      </c>
      <c r="U4758">
        <v>-3.0467529999999998</v>
      </c>
      <c r="V4758">
        <v>-0.23695630000000001</v>
      </c>
      <c r="W4758">
        <v>6.5251519999999993E-2</v>
      </c>
      <c r="X4758">
        <v>0.96932660000000004</v>
      </c>
      <c r="Y4758">
        <v>-0.36652410000000002</v>
      </c>
      <c r="Z4758">
        <v>0.12732959999999999</v>
      </c>
      <c r="AA4758">
        <v>0.92165459999999999</v>
      </c>
      <c r="AB4758">
        <v>32</v>
      </c>
      <c r="AC4758">
        <v>-0.65280000000001304</v>
      </c>
      <c r="AD4758">
        <v>-1.119930869024</v>
      </c>
      <c r="AE4758">
        <v>-6.5621999999999998</v>
      </c>
      <c r="AF4758">
        <v>-2.44225964670524</v>
      </c>
      <c r="AG4758">
        <v>-1.119930869024</v>
      </c>
      <c r="AH4758">
        <v>5.9262118348730803</v>
      </c>
      <c r="AI4758">
        <v>99.9108791446331</v>
      </c>
      <c r="AJ4758">
        <v>112.39711895647</v>
      </c>
      <c r="AK4758">
        <v>6.5068321051881597</v>
      </c>
      <c r="AL4758">
        <v>86.258705363623605</v>
      </c>
      <c r="AM4758">
        <v>103.736814785763</v>
      </c>
      <c r="AN4758">
        <v>1.0000000532197699</v>
      </c>
    </row>
    <row r="4759" spans="1:40" x14ac:dyDescent="0.25">
      <c r="A4759" t="str">
        <f>"20190312151123319"</f>
        <v>20190312151123319</v>
      </c>
      <c r="B4759" t="str">
        <f>"1552374683315647"</f>
        <v>1552374683315647</v>
      </c>
      <c r="C4759" t="s">
        <v>40</v>
      </c>
      <c r="D4759">
        <v>4.8466649999999998</v>
      </c>
      <c r="E4759">
        <v>0.44568859999999899</v>
      </c>
      <c r="F4759" t="s">
        <v>42</v>
      </c>
      <c r="G4759">
        <v>-422.67989999999998</v>
      </c>
      <c r="H4759" s="1">
        <v>-2.7454640000000001E-6</v>
      </c>
      <c r="I4759">
        <v>114.3267</v>
      </c>
      <c r="J4759">
        <v>-422.10590000000002</v>
      </c>
      <c r="K4759">
        <v>1.1199250000000001</v>
      </c>
      <c r="L4759">
        <v>120.92829999999999</v>
      </c>
      <c r="M4759">
        <v>-0.4601827</v>
      </c>
      <c r="N4759">
        <v>0</v>
      </c>
      <c r="O4759">
        <v>-0.88772340000000005</v>
      </c>
      <c r="P4759">
        <v>-0.237898</v>
      </c>
      <c r="Q4759">
        <v>5.8065619999999998E-2</v>
      </c>
      <c r="R4759">
        <v>-0.96955329999999995</v>
      </c>
      <c r="S4759">
        <v>-0.31643680000000002</v>
      </c>
      <c r="T4759">
        <v>-0.496114</v>
      </c>
      <c r="U4759">
        <v>-3.0514679999999998</v>
      </c>
      <c r="V4759">
        <v>-0.23667189999999999</v>
      </c>
      <c r="W4759">
        <v>6.5284809999999999E-2</v>
      </c>
      <c r="X4759">
        <v>0.96939379999999997</v>
      </c>
      <c r="Y4759">
        <v>-0.36692619999999998</v>
      </c>
      <c r="Z4759">
        <v>0.12788659999999999</v>
      </c>
      <c r="AA4759">
        <v>0.9214175</v>
      </c>
      <c r="AB4759">
        <v>32</v>
      </c>
      <c r="AC4759">
        <v>-0.57399999999995499</v>
      </c>
      <c r="AD4759">
        <v>-1.119927745464</v>
      </c>
      <c r="AE4759">
        <v>-6.6015999999999897</v>
      </c>
      <c r="AF4759">
        <v>-2.4583950207452898</v>
      </c>
      <c r="AG4759">
        <v>-1.119927745464</v>
      </c>
      <c r="AH4759">
        <v>5.9549928957178402</v>
      </c>
      <c r="AI4759">
        <v>99.861448588691005</v>
      </c>
      <c r="AJ4759">
        <v>112.432265183072</v>
      </c>
      <c r="AK4759">
        <v>6.5391042674922399</v>
      </c>
      <c r="AL4759">
        <v>86.256793776051197</v>
      </c>
      <c r="AM4759">
        <v>103.720035863257</v>
      </c>
      <c r="AN4759">
        <v>1.0000000170723899</v>
      </c>
    </row>
    <row r="4760" spans="1:40" x14ac:dyDescent="0.25">
      <c r="A4760" t="str">
        <f>"20190312151123341"</f>
        <v>20190312151123341</v>
      </c>
      <c r="B4760" t="str">
        <f>"1552374683336142"</f>
        <v>1552374683336142</v>
      </c>
      <c r="C4760" t="s">
        <v>40</v>
      </c>
      <c r="D4760">
        <v>4.8794209999999998</v>
      </c>
      <c r="E4760">
        <v>0.44562689999999999</v>
      </c>
      <c r="F4760" t="s">
        <v>42</v>
      </c>
      <c r="G4760">
        <v>-422.73759999999999</v>
      </c>
      <c r="H4760" s="1">
        <v>-2.6262310000000002E-6</v>
      </c>
      <c r="I4760">
        <v>114.01300000000001</v>
      </c>
      <c r="J4760">
        <v>-422.2389</v>
      </c>
      <c r="K4760">
        <v>1.1199209999999999</v>
      </c>
      <c r="L4760">
        <v>120.64790000000001</v>
      </c>
      <c r="M4760">
        <v>-0.4499611</v>
      </c>
      <c r="N4760">
        <v>0</v>
      </c>
      <c r="O4760">
        <v>-0.89294799999999996</v>
      </c>
      <c r="P4760">
        <v>-0.22698409999999999</v>
      </c>
      <c r="Q4760">
        <v>5.8403860000000002E-2</v>
      </c>
      <c r="R4760">
        <v>-0.97214590000000001</v>
      </c>
      <c r="S4760">
        <v>-0.27911380000000002</v>
      </c>
      <c r="T4760">
        <v>-0.49480930000000001</v>
      </c>
      <c r="U4760">
        <v>-3.0553590000000002</v>
      </c>
      <c r="V4760">
        <v>-0.23643819999999999</v>
      </c>
      <c r="W4760">
        <v>6.5631209999999995E-2</v>
      </c>
      <c r="X4760">
        <v>0.96942740000000005</v>
      </c>
      <c r="Y4760">
        <v>-0.36752370000000001</v>
      </c>
      <c r="Z4760">
        <v>0.128659</v>
      </c>
      <c r="AA4760">
        <v>0.9210718</v>
      </c>
      <c r="AB4760">
        <v>32</v>
      </c>
      <c r="AC4760">
        <v>-0.49869999999998499</v>
      </c>
      <c r="AD4760">
        <v>-1.1199236262309999</v>
      </c>
      <c r="AE4760">
        <v>-6.6349000000000098</v>
      </c>
      <c r="AF4760">
        <v>-2.4703728973447698</v>
      </c>
      <c r="AG4760">
        <v>-1.1199236262309999</v>
      </c>
      <c r="AH4760">
        <v>5.9801430805191602</v>
      </c>
      <c r="AI4760">
        <v>99.819842766898404</v>
      </c>
      <c r="AJ4760">
        <v>112.44532165521601</v>
      </c>
      <c r="AK4760">
        <v>6.5665121978114902</v>
      </c>
      <c r="AL4760">
        <v>86.236903724947197</v>
      </c>
      <c r="AM4760">
        <v>103.706542213726</v>
      </c>
      <c r="AN4760">
        <v>0.999999981008031</v>
      </c>
    </row>
    <row r="4761" spans="1:40" x14ac:dyDescent="0.25">
      <c r="A4761" t="str">
        <f>"20190312151123364"</f>
        <v>20190312151123364</v>
      </c>
      <c r="B4761" t="str">
        <f>"1552374683355662"</f>
        <v>1552374683355662</v>
      </c>
      <c r="C4761" t="s">
        <v>40</v>
      </c>
      <c r="D4761">
        <v>4.8435269999999999</v>
      </c>
      <c r="E4761">
        <v>0.44574849999999999</v>
      </c>
      <c r="F4761" t="s">
        <v>42</v>
      </c>
      <c r="G4761">
        <v>-422.79399999999998</v>
      </c>
      <c r="H4761" s="1">
        <v>-2.5095849999999999E-6</v>
      </c>
      <c r="I4761">
        <v>113.70610000000001</v>
      </c>
      <c r="J4761">
        <v>-422.37380000000002</v>
      </c>
      <c r="K4761">
        <v>1.11992</v>
      </c>
      <c r="L4761">
        <v>120.3546</v>
      </c>
      <c r="M4761">
        <v>-0.43926680000000001</v>
      </c>
      <c r="N4761">
        <v>0</v>
      </c>
      <c r="O4761">
        <v>-0.89825699999999997</v>
      </c>
      <c r="P4761">
        <v>-0.21589710000000001</v>
      </c>
      <c r="Q4761">
        <v>5.8500030000000001E-2</v>
      </c>
      <c r="R4761">
        <v>-0.97466220000000003</v>
      </c>
      <c r="S4761">
        <v>-0.2445679</v>
      </c>
      <c r="T4761">
        <v>-0.49343219999999999</v>
      </c>
      <c r="U4761">
        <v>-3.0585170000000002</v>
      </c>
      <c r="V4761">
        <v>-0.235903</v>
      </c>
      <c r="W4761">
        <v>6.5743990000000002E-2</v>
      </c>
      <c r="X4761">
        <v>0.96955020000000003</v>
      </c>
      <c r="Y4761">
        <v>-0.3668419</v>
      </c>
      <c r="Z4761">
        <v>0.12948779999999999</v>
      </c>
      <c r="AA4761">
        <v>0.92122740000000003</v>
      </c>
      <c r="AB4761">
        <v>32</v>
      </c>
      <c r="AC4761">
        <v>-0.420200000000022</v>
      </c>
      <c r="AD4761">
        <v>-1.1199225095850001</v>
      </c>
      <c r="AE4761">
        <v>-6.6484999999999896</v>
      </c>
      <c r="AF4761">
        <v>-2.4733446506444099</v>
      </c>
      <c r="AG4761">
        <v>-1.1199225095850001</v>
      </c>
      <c r="AH4761">
        <v>5.9879631717009296</v>
      </c>
      <c r="AI4761">
        <v>99.807404566611595</v>
      </c>
      <c r="AJ4761">
        <v>112.44320713786</v>
      </c>
      <c r="AK4761">
        <v>6.5747519446738902</v>
      </c>
      <c r="AL4761">
        <v>86.2304281583082</v>
      </c>
      <c r="AM4761">
        <v>103.67501541687</v>
      </c>
      <c r="AN4761">
        <v>1.00000004397507</v>
      </c>
    </row>
    <row r="4762" spans="1:40" x14ac:dyDescent="0.25">
      <c r="A4762" t="str">
        <f>"20190312151123385"</f>
        <v>20190312151123385</v>
      </c>
      <c r="B4762" t="str">
        <f>"1552374683376159"</f>
        <v>1552374683376159</v>
      </c>
      <c r="C4762" t="s">
        <v>40</v>
      </c>
      <c r="D4762">
        <v>4.7923669999999996</v>
      </c>
      <c r="E4762">
        <v>0.44600430000000002</v>
      </c>
      <c r="F4762" t="s">
        <v>42</v>
      </c>
      <c r="G4762">
        <v>-422.8528</v>
      </c>
      <c r="H4762" s="1">
        <v>-2.3895670000000001E-6</v>
      </c>
      <c r="I4762">
        <v>113.38979999999999</v>
      </c>
      <c r="J4762">
        <v>-422.50150000000002</v>
      </c>
      <c r="K4762">
        <v>1.1199209999999999</v>
      </c>
      <c r="L4762">
        <v>120.06829999999999</v>
      </c>
      <c r="M4762">
        <v>-0.42881770000000002</v>
      </c>
      <c r="N4762">
        <v>0</v>
      </c>
      <c r="O4762">
        <v>-0.90329210000000004</v>
      </c>
      <c r="P4762">
        <v>-0.20530670000000001</v>
      </c>
      <c r="Q4762">
        <v>5.7790979999999999E-2</v>
      </c>
      <c r="R4762">
        <v>-0.97699000000000003</v>
      </c>
      <c r="S4762">
        <v>-0.2105408</v>
      </c>
      <c r="T4762">
        <v>-0.49218119999999999</v>
      </c>
      <c r="U4762">
        <v>-3.060883</v>
      </c>
      <c r="V4762">
        <v>-0.23517840000000001</v>
      </c>
      <c r="W4762">
        <v>6.505785E-2</v>
      </c>
      <c r="X4762">
        <v>0.96977250000000004</v>
      </c>
      <c r="Y4762">
        <v>-0.36630040000000003</v>
      </c>
      <c r="Z4762">
        <v>0.13030059999999999</v>
      </c>
      <c r="AA4762">
        <v>0.92132820000000004</v>
      </c>
      <c r="AB4762">
        <v>32</v>
      </c>
      <c r="AC4762">
        <v>-0.35129999999998002</v>
      </c>
      <c r="AD4762">
        <v>-1.119923389567</v>
      </c>
      <c r="AE4762">
        <v>-6.6784999999999997</v>
      </c>
      <c r="AF4762">
        <v>-2.4772903954209302</v>
      </c>
      <c r="AG4762">
        <v>-1.119923389567</v>
      </c>
      <c r="AH4762">
        <v>6.0151519993529599</v>
      </c>
      <c r="AI4762">
        <v>99.768025826727296</v>
      </c>
      <c r="AJ4762">
        <v>112.383906617416</v>
      </c>
      <c r="AK4762">
        <v>6.6010036870966804</v>
      </c>
      <c r="AL4762">
        <v>86.269825463037193</v>
      </c>
      <c r="AM4762">
        <v>103.63157258098499</v>
      </c>
      <c r="AN4762">
        <v>1.0000000527147099</v>
      </c>
    </row>
    <row r="4763" spans="1:40" x14ac:dyDescent="0.25">
      <c r="A4763" t="str">
        <f>"20190312151123408"</f>
        <v>20190312151123408</v>
      </c>
      <c r="B4763" t="str">
        <f>"1552374683395679"</f>
        <v>1552374683395679</v>
      </c>
      <c r="C4763" t="s">
        <v>40</v>
      </c>
      <c r="D4763">
        <v>4.842098</v>
      </c>
      <c r="E4763">
        <v>0.44635780000000003</v>
      </c>
      <c r="F4763" t="s">
        <v>42</v>
      </c>
      <c r="G4763">
        <v>-422.90789999999998</v>
      </c>
      <c r="H4763" s="1">
        <v>-2.29202E-6</v>
      </c>
      <c r="I4763">
        <v>113.1283</v>
      </c>
      <c r="J4763">
        <v>-422.62310000000002</v>
      </c>
      <c r="K4763">
        <v>1.1199129999999999</v>
      </c>
      <c r="L4763">
        <v>119.7871</v>
      </c>
      <c r="M4763">
        <v>-0.41854950000000002</v>
      </c>
      <c r="N4763">
        <v>0</v>
      </c>
      <c r="O4763">
        <v>-0.9080956</v>
      </c>
      <c r="P4763">
        <v>-0.19457070000000001</v>
      </c>
      <c r="Q4763">
        <v>5.8116420000000002E-2</v>
      </c>
      <c r="R4763">
        <v>-0.97916559999999997</v>
      </c>
      <c r="S4763">
        <v>-0.17932129999999999</v>
      </c>
      <c r="T4763">
        <v>-0.49415589999999998</v>
      </c>
      <c r="U4763">
        <v>-3.0622099999999999</v>
      </c>
      <c r="V4763">
        <v>-0.23482729999999999</v>
      </c>
      <c r="W4763">
        <v>6.5394259999999996E-2</v>
      </c>
      <c r="X4763">
        <v>0.96983490000000006</v>
      </c>
      <c r="Y4763">
        <v>-0.3651469</v>
      </c>
      <c r="Z4763">
        <v>0.13194929999999999</v>
      </c>
      <c r="AA4763">
        <v>0.92155149999999997</v>
      </c>
      <c r="AB4763">
        <v>32</v>
      </c>
      <c r="AC4763">
        <v>-0.28479999999996097</v>
      </c>
      <c r="AD4763">
        <v>-1.11991529202</v>
      </c>
      <c r="AE4763">
        <v>-6.6587999999999896</v>
      </c>
      <c r="AF4763">
        <v>-2.45920263641551</v>
      </c>
      <c r="AG4763">
        <v>-1.11991529202</v>
      </c>
      <c r="AH4763">
        <v>5.9972497486340997</v>
      </c>
      <c r="AI4763">
        <v>99.802586598159195</v>
      </c>
      <c r="AJ4763">
        <v>112.29633007561701</v>
      </c>
      <c r="AK4763">
        <v>6.5779094259304802</v>
      </c>
      <c r="AL4763">
        <v>86.250509265911802</v>
      </c>
      <c r="AM4763">
        <v>103.611136337985</v>
      </c>
      <c r="AN4763">
        <v>1.00000000166212</v>
      </c>
    </row>
    <row r="4764" spans="1:40" x14ac:dyDescent="0.25">
      <c r="A4764" t="str">
        <f>"20190312151123430"</f>
        <v>20190312151123430</v>
      </c>
      <c r="B4764" t="str">
        <f>"1552374683425935"</f>
        <v>1552374683425935</v>
      </c>
      <c r="C4764" t="s">
        <v>40</v>
      </c>
      <c r="D4764">
        <v>4.8681530000000004</v>
      </c>
      <c r="E4764">
        <v>0.44696570000000002</v>
      </c>
      <c r="F4764" t="s">
        <v>42</v>
      </c>
      <c r="G4764">
        <v>-422.96080000000001</v>
      </c>
      <c r="H4764" s="1">
        <v>-2.1815429999999999E-6</v>
      </c>
      <c r="I4764">
        <v>112.83799999999999</v>
      </c>
      <c r="J4764">
        <v>-422.74880000000002</v>
      </c>
      <c r="K4764">
        <v>1.119901</v>
      </c>
      <c r="L4764">
        <v>119.4872</v>
      </c>
      <c r="M4764">
        <v>-0.40759620000000002</v>
      </c>
      <c r="N4764">
        <v>0</v>
      </c>
      <c r="O4764">
        <v>-0.91306419999999999</v>
      </c>
      <c r="P4764">
        <v>-0.18313280000000001</v>
      </c>
      <c r="Q4764">
        <v>5.8052369999999999E-2</v>
      </c>
      <c r="R4764">
        <v>-0.98137289999999999</v>
      </c>
      <c r="S4764">
        <v>-0.14886469999999999</v>
      </c>
      <c r="T4764">
        <v>-0.49372139999999998</v>
      </c>
      <c r="U4764">
        <v>-3.0635530000000002</v>
      </c>
      <c r="V4764">
        <v>-0.23447660000000001</v>
      </c>
      <c r="W4764">
        <v>6.5341919999999998E-2</v>
      </c>
      <c r="X4764">
        <v>0.96992330000000004</v>
      </c>
      <c r="Y4764">
        <v>-0.363118</v>
      </c>
      <c r="Z4764">
        <v>0.13303419999999999</v>
      </c>
      <c r="AA4764">
        <v>0.92219700000000004</v>
      </c>
      <c r="AB4764">
        <v>32</v>
      </c>
      <c r="AC4764">
        <v>-0.211999999999989</v>
      </c>
      <c r="AD4764">
        <v>-1.1199031815430001</v>
      </c>
      <c r="AE4764">
        <v>-6.6492000000000004</v>
      </c>
      <c r="AF4764">
        <v>-2.4474857217916099</v>
      </c>
      <c r="AG4764">
        <v>-1.1199031815430001</v>
      </c>
      <c r="AH4764">
        <v>5.9884043919797003</v>
      </c>
      <c r="AI4764">
        <v>99.821240501645306</v>
      </c>
      <c r="AJ4764">
        <v>112.230038251501</v>
      </c>
      <c r="AK4764">
        <v>6.5654669793005302</v>
      </c>
      <c r="AL4764">
        <v>86.253514642857795</v>
      </c>
      <c r="AM4764">
        <v>103.590370715508</v>
      </c>
      <c r="AN4764">
        <v>1.00000002516986</v>
      </c>
    </row>
    <row r="4765" spans="1:40" x14ac:dyDescent="0.25">
      <c r="A4765" t="str">
        <f>"20190312151123453"</f>
        <v>20190312151123453</v>
      </c>
      <c r="B4765" t="str">
        <f>"1552374683446431"</f>
        <v>1552374683446431</v>
      </c>
      <c r="C4765" t="s">
        <v>40</v>
      </c>
      <c r="D4765">
        <v>5.1681280000000003</v>
      </c>
      <c r="E4765">
        <v>0.44720900000000002</v>
      </c>
      <c r="F4765" t="s">
        <v>42</v>
      </c>
      <c r="G4765">
        <v>-423.017</v>
      </c>
      <c r="H4765" s="1">
        <v>-2.0650090000000002E-6</v>
      </c>
      <c r="I4765">
        <v>112.53149999999999</v>
      </c>
      <c r="J4765">
        <v>-422.86529999999999</v>
      </c>
      <c r="K4765">
        <v>1.119896</v>
      </c>
      <c r="L4765">
        <v>119.19970000000001</v>
      </c>
      <c r="M4765">
        <v>-0.39708830000000001</v>
      </c>
      <c r="N4765">
        <v>0</v>
      </c>
      <c r="O4765">
        <v>-0.91768280000000002</v>
      </c>
      <c r="P4765">
        <v>-0.1721944</v>
      </c>
      <c r="Q4765">
        <v>5.8071030000000003E-2</v>
      </c>
      <c r="R4765">
        <v>-0.9833499</v>
      </c>
      <c r="S4765">
        <v>-0.11816409999999999</v>
      </c>
      <c r="T4765">
        <v>-0.49332880000000001</v>
      </c>
      <c r="U4765">
        <v>-3.0640719999999999</v>
      </c>
      <c r="V4765">
        <v>-0.23414180000000001</v>
      </c>
      <c r="W4765">
        <v>6.5371890000000002E-2</v>
      </c>
      <c r="X4765">
        <v>0.97000209999999998</v>
      </c>
      <c r="Y4765">
        <v>-0.36166110000000001</v>
      </c>
      <c r="Z4765">
        <v>0.13405829999999999</v>
      </c>
      <c r="AA4765">
        <v>0.92262109999999997</v>
      </c>
      <c r="AB4765">
        <v>32</v>
      </c>
      <c r="AC4765">
        <v>-0.151700000000005</v>
      </c>
      <c r="AD4765">
        <v>-1.119898065009</v>
      </c>
      <c r="AE4765">
        <v>-6.6682000000000103</v>
      </c>
      <c r="AF4765">
        <v>-2.4400872550614698</v>
      </c>
      <c r="AG4765">
        <v>-1.119898065009</v>
      </c>
      <c r="AH4765">
        <v>6.01063674082737</v>
      </c>
      <c r="AI4765">
        <v>99.794772309018697</v>
      </c>
      <c r="AJ4765">
        <v>112.095259904511</v>
      </c>
      <c r="AK4765">
        <v>6.5830047484798397</v>
      </c>
      <c r="AL4765">
        <v>86.251793603044604</v>
      </c>
      <c r="AM4765">
        <v>103.57062204106001</v>
      </c>
      <c r="AN4765">
        <v>0.99999997025691001</v>
      </c>
    </row>
    <row r="4766" spans="1:40" x14ac:dyDescent="0.25">
      <c r="A4766" t="str">
        <f>"20190312151123475"</f>
        <v>20190312151123475</v>
      </c>
      <c r="B4766" t="str">
        <f>"1552374683465951"</f>
        <v>1552374683465951</v>
      </c>
      <c r="C4766" t="s">
        <v>40</v>
      </c>
      <c r="D4766">
        <v>4.9055839999999904</v>
      </c>
      <c r="E4766">
        <v>0.46214260000000001</v>
      </c>
      <c r="F4766" t="s">
        <v>42</v>
      </c>
      <c r="G4766">
        <v>-423.0591</v>
      </c>
      <c r="H4766" s="1">
        <v>-1.9455010000000001E-6</v>
      </c>
      <c r="I4766">
        <v>112.2268</v>
      </c>
      <c r="J4766">
        <v>-422.98009999999999</v>
      </c>
      <c r="K4766">
        <v>1.119891</v>
      </c>
      <c r="L4766">
        <v>118.9068</v>
      </c>
      <c r="M4766">
        <v>-0.38637729999999998</v>
      </c>
      <c r="N4766">
        <v>0</v>
      </c>
      <c r="O4766">
        <v>-0.92224390000000001</v>
      </c>
      <c r="P4766">
        <v>-0.16073009999999999</v>
      </c>
      <c r="Q4766">
        <v>5.7636199999999999E-2</v>
      </c>
      <c r="R4766">
        <v>-0.98531440000000003</v>
      </c>
      <c r="S4766">
        <v>-8.5174559999999996E-2</v>
      </c>
      <c r="T4766">
        <v>-0.49225400000000002</v>
      </c>
      <c r="U4766">
        <v>-3.0649410000000001</v>
      </c>
      <c r="V4766">
        <v>-0.2341442</v>
      </c>
      <c r="W4766">
        <v>6.4939360000000002E-2</v>
      </c>
      <c r="X4766">
        <v>0.97003059999999997</v>
      </c>
      <c r="Y4766">
        <v>-0.36074349999999999</v>
      </c>
      <c r="Z4766">
        <v>0.1348492</v>
      </c>
      <c r="AA4766">
        <v>0.92286500000000005</v>
      </c>
      <c r="AB4766">
        <v>32</v>
      </c>
      <c r="AC4766">
        <v>-7.9000000000007703E-2</v>
      </c>
      <c r="AD4766">
        <v>-1.119892945501</v>
      </c>
      <c r="AE4766">
        <v>-6.68</v>
      </c>
      <c r="AF4766">
        <v>-2.4398036205233602</v>
      </c>
      <c r="AG4766">
        <v>-1.119892945501</v>
      </c>
      <c r="AH4766">
        <v>6.0224235532564796</v>
      </c>
      <c r="AI4766">
        <v>99.778739344954801</v>
      </c>
      <c r="AJ4766">
        <v>112.053848891401</v>
      </c>
      <c r="AK4766">
        <v>6.5936626673587204</v>
      </c>
      <c r="AL4766">
        <v>86.276628614468606</v>
      </c>
      <c r="AM4766">
        <v>103.570372027429</v>
      </c>
      <c r="AN4766">
        <v>0.999999995903604</v>
      </c>
    </row>
    <row r="4767" spans="1:40" x14ac:dyDescent="0.25">
      <c r="A4767" t="str">
        <f>"20190312151123497"</f>
        <v>20190312151123497</v>
      </c>
      <c r="B4767" t="str">
        <f>"1552374683486447"</f>
        <v>1552374683486447</v>
      </c>
      <c r="C4767" t="s">
        <v>40</v>
      </c>
      <c r="D4767">
        <v>4.9198589999999998</v>
      </c>
      <c r="E4767">
        <v>0.46335739999999997</v>
      </c>
      <c r="F4767" t="s">
        <v>42</v>
      </c>
      <c r="G4767">
        <v>-423.44740000000002</v>
      </c>
      <c r="H4767" s="1">
        <v>-1.3238309999999999E-6</v>
      </c>
      <c r="I4767">
        <v>110.5368</v>
      </c>
      <c r="J4767">
        <v>-423.0883</v>
      </c>
      <c r="K4767">
        <v>1.1198840000000001</v>
      </c>
      <c r="L4767">
        <v>118.6208</v>
      </c>
      <c r="M4767">
        <v>-0.37591669999999999</v>
      </c>
      <c r="N4767">
        <v>0</v>
      </c>
      <c r="O4767">
        <v>-0.92655690000000002</v>
      </c>
      <c r="P4767">
        <v>-0.15006449999999999</v>
      </c>
      <c r="Q4767">
        <v>5.7558829999999998E-2</v>
      </c>
      <c r="R4767">
        <v>-0.98699959999999998</v>
      </c>
      <c r="S4767">
        <v>-0.16976930000000001</v>
      </c>
      <c r="T4767">
        <v>-0.40685959999999899</v>
      </c>
      <c r="U4767">
        <v>-3.0408170000000001</v>
      </c>
      <c r="V4767">
        <v>-0.2336577</v>
      </c>
      <c r="W4767">
        <v>6.4877039999999997E-2</v>
      </c>
      <c r="X4767">
        <v>0.97015209999999996</v>
      </c>
      <c r="Y4767">
        <v>-0.32401340000000001</v>
      </c>
      <c r="Z4767">
        <v>0.1144583</v>
      </c>
      <c r="AA4767">
        <v>0.93910309999999997</v>
      </c>
      <c r="AB4767">
        <v>32</v>
      </c>
      <c r="AC4767">
        <v>-0.35910000000001202</v>
      </c>
      <c r="AD4767">
        <v>-1.119885323831</v>
      </c>
      <c r="AE4767">
        <v>-8.0839999999999996</v>
      </c>
      <c r="AF4767">
        <v>-2.6555639818871999</v>
      </c>
      <c r="AG4767">
        <v>-1.119885323831</v>
      </c>
      <c r="AH4767">
        <v>7.4826444075881602</v>
      </c>
      <c r="AI4767">
        <v>98.028341671377802</v>
      </c>
      <c r="AJ4767">
        <v>109.53959350321399</v>
      </c>
      <c r="AK4767">
        <v>8.0184867980710095</v>
      </c>
      <c r="AL4767">
        <v>86.280206938144602</v>
      </c>
      <c r="AM4767">
        <v>103.541581733184</v>
      </c>
      <c r="AN4767">
        <v>1.00000002411143</v>
      </c>
    </row>
    <row r="4768" spans="1:40" x14ac:dyDescent="0.25">
      <c r="A4768" t="str">
        <f>"20190312151123519"</f>
        <v>20190312151123519</v>
      </c>
      <c r="B4768" t="str">
        <f>"1552374683515727"</f>
        <v>1552374683515727</v>
      </c>
      <c r="C4768" t="s">
        <v>40</v>
      </c>
      <c r="D4768">
        <v>4.9645140000000003</v>
      </c>
      <c r="E4768">
        <v>0.46395700000000001</v>
      </c>
      <c r="F4768" t="s">
        <v>42</v>
      </c>
      <c r="G4768">
        <v>-423.47550000000001</v>
      </c>
      <c r="H4768" s="1">
        <v>-1.342507E-6</v>
      </c>
      <c r="I4768">
        <v>110.563</v>
      </c>
      <c r="J4768">
        <v>-423.19529999999997</v>
      </c>
      <c r="K4768">
        <v>1.1198790000000001</v>
      </c>
      <c r="L4768">
        <v>118.3279</v>
      </c>
      <c r="M4768">
        <v>-0.36519829999999998</v>
      </c>
      <c r="N4768">
        <v>0</v>
      </c>
      <c r="O4768">
        <v>-0.93083360000000004</v>
      </c>
      <c r="P4768">
        <v>-0.13920150000000001</v>
      </c>
      <c r="Q4768">
        <v>5.7272789999999997E-2</v>
      </c>
      <c r="R4768">
        <v>-0.98860669999999995</v>
      </c>
      <c r="S4768">
        <v>-0.14614869999999999</v>
      </c>
      <c r="T4768">
        <v>-0.42277229999999999</v>
      </c>
      <c r="U4768">
        <v>-3.0419619999999998</v>
      </c>
      <c r="V4768">
        <v>-0.23312740000000001</v>
      </c>
      <c r="W4768">
        <v>6.4607709999999999E-2</v>
      </c>
      <c r="X4768">
        <v>0.97029759999999998</v>
      </c>
      <c r="Y4768">
        <v>-0.32041199999999997</v>
      </c>
      <c r="Z4768">
        <v>0.11978709999999999</v>
      </c>
      <c r="AA4768">
        <v>0.93967400000000001</v>
      </c>
      <c r="AB4768">
        <v>32</v>
      </c>
      <c r="AC4768">
        <v>-0.28020000000003598</v>
      </c>
      <c r="AD4768">
        <v>-1.1198803425069901</v>
      </c>
      <c r="AE4768">
        <v>-7.7649000000000097</v>
      </c>
      <c r="AF4768">
        <v>-2.52273359818652</v>
      </c>
      <c r="AG4768">
        <v>-1.1198803425069901</v>
      </c>
      <c r="AH4768">
        <v>7.1816281488168698</v>
      </c>
      <c r="AI4768">
        <v>98.369521868304105</v>
      </c>
      <c r="AJ4768">
        <v>109.355151088949</v>
      </c>
      <c r="AK4768">
        <v>7.6937701848204103</v>
      </c>
      <c r="AL4768">
        <v>86.295670714428198</v>
      </c>
      <c r="AM4768">
        <v>103.510024506344</v>
      </c>
      <c r="AN4768">
        <v>0.99999998669398105</v>
      </c>
    </row>
    <row r="4769" spans="1:40" x14ac:dyDescent="0.25">
      <c r="A4769" t="str">
        <f>"20190312151123542"</f>
        <v>20190312151123542</v>
      </c>
      <c r="B4769" t="str">
        <f>"1552374683536223"</f>
        <v>1552374683536223</v>
      </c>
      <c r="C4769" t="s">
        <v>40</v>
      </c>
      <c r="D4769">
        <v>4.9095740000000001</v>
      </c>
      <c r="E4769">
        <v>0.46486519999999998</v>
      </c>
      <c r="F4769" t="s">
        <v>42</v>
      </c>
      <c r="G4769">
        <v>-423.4991</v>
      </c>
      <c r="H4769" s="1">
        <v>-1.2887470000000001E-6</v>
      </c>
      <c r="I4769">
        <v>110.423</v>
      </c>
      <c r="J4769">
        <v>-423.30130000000003</v>
      </c>
      <c r="K4769">
        <v>1.1198699999999999</v>
      </c>
      <c r="L4769">
        <v>118.02630000000001</v>
      </c>
      <c r="M4769">
        <v>-0.35415849999999999</v>
      </c>
      <c r="N4769">
        <v>0</v>
      </c>
      <c r="O4769">
        <v>-0.93508979999999997</v>
      </c>
      <c r="P4769">
        <v>-0.1278193</v>
      </c>
      <c r="Q4769">
        <v>5.7543829999999997E-2</v>
      </c>
      <c r="R4769">
        <v>-0.99012699999999998</v>
      </c>
      <c r="S4769">
        <v>-0.11697390000000001</v>
      </c>
      <c r="T4769">
        <v>-0.43110389999999998</v>
      </c>
      <c r="U4769">
        <v>-3.0430600000000001</v>
      </c>
      <c r="V4769">
        <v>-0.23280890000000001</v>
      </c>
      <c r="W4769">
        <v>6.4888459999999995E-2</v>
      </c>
      <c r="X4769">
        <v>0.97035530000000003</v>
      </c>
      <c r="Y4769">
        <v>-0.31822489999999998</v>
      </c>
      <c r="Z4769">
        <v>0.1230165</v>
      </c>
      <c r="AA4769">
        <v>0.9399999</v>
      </c>
      <c r="AB4769">
        <v>32</v>
      </c>
      <c r="AC4769">
        <v>-0.197799999999972</v>
      </c>
      <c r="AD4769">
        <v>-1.1198712887469999</v>
      </c>
      <c r="AE4769">
        <v>-7.6033000000000097</v>
      </c>
      <c r="AF4769">
        <v>-2.4548189329785899</v>
      </c>
      <c r="AG4769">
        <v>-1.1198712887469999</v>
      </c>
      <c r="AH4769">
        <v>7.0281010550474896</v>
      </c>
      <c r="AI4769">
        <v>98.554840897472005</v>
      </c>
      <c r="AJ4769">
        <v>109.25360522700601</v>
      </c>
      <c r="AK4769">
        <v>7.5282436289634997</v>
      </c>
      <c r="AL4769">
        <v>86.279550970808202</v>
      </c>
      <c r="AM4769">
        <v>103.491469328592</v>
      </c>
      <c r="AN4769">
        <v>0.99999995219923399</v>
      </c>
    </row>
    <row r="4770" spans="1:40" x14ac:dyDescent="0.25">
      <c r="A4770" t="str">
        <f>"20190312151123565"</f>
        <v>20190312151123565</v>
      </c>
      <c r="B4770" t="str">
        <f>"1552374683555743"</f>
        <v>1552374683555743</v>
      </c>
      <c r="C4770" t="s">
        <v>40</v>
      </c>
      <c r="D4770">
        <v>4.9855169999999998</v>
      </c>
      <c r="E4770">
        <v>0.46606730000000002</v>
      </c>
      <c r="F4770" t="s">
        <v>42</v>
      </c>
      <c r="G4770">
        <v>-423.53</v>
      </c>
      <c r="H4770" s="1">
        <v>-1.1910089999999999E-6</v>
      </c>
      <c r="I4770">
        <v>110.1759</v>
      </c>
      <c r="J4770">
        <v>-423.40629999999999</v>
      </c>
      <c r="K4770">
        <v>1.1198669999999999</v>
      </c>
      <c r="L4770">
        <v>117.7161</v>
      </c>
      <c r="M4770">
        <v>-0.34279599999999999</v>
      </c>
      <c r="N4770">
        <v>0</v>
      </c>
      <c r="O4770">
        <v>-0.93931450000000005</v>
      </c>
      <c r="P4770">
        <v>-0.11603040000000001</v>
      </c>
      <c r="Q4770">
        <v>5.7480940000000001E-2</v>
      </c>
      <c r="R4770">
        <v>-0.9915813</v>
      </c>
      <c r="S4770">
        <v>-8.8684079999999998E-2</v>
      </c>
      <c r="T4770">
        <v>-0.4341894</v>
      </c>
      <c r="U4770">
        <v>-3.043701</v>
      </c>
      <c r="V4770">
        <v>-0.23258809999999999</v>
      </c>
      <c r="W4770">
        <v>6.4833260000000004E-2</v>
      </c>
      <c r="X4770">
        <v>0.97041200000000005</v>
      </c>
      <c r="Y4770">
        <v>-0.315473</v>
      </c>
      <c r="Z4770">
        <v>0.1248195</v>
      </c>
      <c r="AA4770">
        <v>0.94068960000000001</v>
      </c>
      <c r="AB4770">
        <v>32</v>
      </c>
      <c r="AC4770">
        <v>-0.123699999999985</v>
      </c>
      <c r="AD4770">
        <v>-1.119868191009</v>
      </c>
      <c r="AE4770">
        <v>-7.5401999999999898</v>
      </c>
      <c r="AF4770">
        <v>-2.4155111259848399</v>
      </c>
      <c r="AG4770">
        <v>-1.119868191009</v>
      </c>
      <c r="AH4770">
        <v>6.9719156196842604</v>
      </c>
      <c r="AI4770">
        <v>98.630170993758298</v>
      </c>
      <c r="AJ4770">
        <v>109.10931074428601</v>
      </c>
      <c r="AK4770">
        <v>7.4630024904851604</v>
      </c>
      <c r="AL4770">
        <v>86.282720597342902</v>
      </c>
      <c r="AM4770">
        <v>103.478382075646</v>
      </c>
      <c r="AN4770">
        <v>1.0000000128039099</v>
      </c>
    </row>
    <row r="4771" spans="1:40" x14ac:dyDescent="0.25">
      <c r="A4771" t="str">
        <f>"20190312151123587"</f>
        <v>20190312151123587</v>
      </c>
      <c r="B4771" t="str">
        <f>"1552374683576239"</f>
        <v>1552374683576239</v>
      </c>
      <c r="C4771" t="s">
        <v>40</v>
      </c>
      <c r="D4771">
        <v>4.9631379999999998</v>
      </c>
      <c r="E4771">
        <v>0.46717910000000001</v>
      </c>
      <c r="F4771" t="s">
        <v>42</v>
      </c>
      <c r="G4771">
        <v>-423.56479999999999</v>
      </c>
      <c r="H4771" s="1">
        <v>-1.1154139999999999E-6</v>
      </c>
      <c r="I4771">
        <v>109.9782</v>
      </c>
      <c r="J4771">
        <v>-423.50150000000002</v>
      </c>
      <c r="K4771">
        <v>1.119864</v>
      </c>
      <c r="L4771">
        <v>117.4237</v>
      </c>
      <c r="M4771">
        <v>-0.33207900000000001</v>
      </c>
      <c r="N4771">
        <v>0</v>
      </c>
      <c r="O4771">
        <v>-0.94315660000000001</v>
      </c>
      <c r="P4771">
        <v>-0.1049991</v>
      </c>
      <c r="Q4771">
        <v>5.7379989999999999E-2</v>
      </c>
      <c r="R4771">
        <v>-0.99281560000000002</v>
      </c>
      <c r="S4771">
        <v>-6.2347409999999999E-2</v>
      </c>
      <c r="T4771">
        <v>-0.44049779999999999</v>
      </c>
      <c r="U4771">
        <v>-3.043701</v>
      </c>
      <c r="V4771">
        <v>-0.2323267</v>
      </c>
      <c r="W4771">
        <v>6.4740939999999997E-2</v>
      </c>
      <c r="X4771">
        <v>0.97048069999999997</v>
      </c>
      <c r="Y4771">
        <v>-0.31280989999999997</v>
      </c>
      <c r="Z4771">
        <v>0.12748760000000001</v>
      </c>
      <c r="AA4771">
        <v>0.94122090000000003</v>
      </c>
      <c r="AB4771">
        <v>32</v>
      </c>
      <c r="AC4771">
        <v>-6.32999999999697E-2</v>
      </c>
      <c r="AD4771">
        <v>-1.119865115414</v>
      </c>
      <c r="AE4771">
        <v>-7.4454999999999902</v>
      </c>
      <c r="AF4771">
        <v>-2.3596312741310999</v>
      </c>
      <c r="AG4771">
        <v>-1.119865115414</v>
      </c>
      <c r="AH4771">
        <v>6.8881080350380399</v>
      </c>
      <c r="AI4771">
        <v>98.743867101718394</v>
      </c>
      <c r="AJ4771">
        <v>108.90971391177099</v>
      </c>
      <c r="AK4771">
        <v>7.3666810660523696</v>
      </c>
      <c r="AL4771">
        <v>86.288020997867406</v>
      </c>
      <c r="AM4771">
        <v>103.462867462321</v>
      </c>
      <c r="AN4771">
        <v>0.99999993695872902</v>
      </c>
    </row>
    <row r="4772" spans="1:40" x14ac:dyDescent="0.25">
      <c r="A4772" t="str">
        <f>"20190312151123609"</f>
        <v>20190312151123609</v>
      </c>
      <c r="B4772" t="str">
        <f>"1552374683605519"</f>
        <v>1552374683605519</v>
      </c>
      <c r="C4772" t="s">
        <v>40</v>
      </c>
      <c r="D4772">
        <v>4.8969959999999997</v>
      </c>
      <c r="E4772">
        <v>0.46763979999999999</v>
      </c>
      <c r="F4772" t="s">
        <v>42</v>
      </c>
      <c r="G4772">
        <v>-423.59629999999999</v>
      </c>
      <c r="H4772" s="1">
        <v>-1.0129299999999901E-6</v>
      </c>
      <c r="I4772">
        <v>109.71980000000001</v>
      </c>
      <c r="J4772">
        <v>-423.59300000000002</v>
      </c>
      <c r="K4772">
        <v>1.119864</v>
      </c>
      <c r="L4772">
        <v>117.1315</v>
      </c>
      <c r="M4772">
        <v>-0.32136679999999901</v>
      </c>
      <c r="N4772">
        <v>0</v>
      </c>
      <c r="O4772">
        <v>-0.94686040000000005</v>
      </c>
      <c r="P4772">
        <v>-9.3981980000000007E-2</v>
      </c>
      <c r="Q4772">
        <v>5.712942E-2</v>
      </c>
      <c r="R4772">
        <v>-0.99393370000000003</v>
      </c>
      <c r="S4772">
        <v>-3.7445069999999997E-2</v>
      </c>
      <c r="T4772">
        <v>-0.44238719999999998</v>
      </c>
      <c r="U4772">
        <v>-3.04332</v>
      </c>
      <c r="V4772">
        <v>-0.23208699999999999</v>
      </c>
      <c r="W4772">
        <v>6.4498749999999994E-2</v>
      </c>
      <c r="X4772">
        <v>0.97055420000000003</v>
      </c>
      <c r="Y4772">
        <v>-0.30974439999999998</v>
      </c>
      <c r="Z4772">
        <v>0.1289091</v>
      </c>
      <c r="AA4772">
        <v>0.94204080000000001</v>
      </c>
      <c r="AB4772">
        <v>32</v>
      </c>
      <c r="AC4772">
        <v>-3.2999999999674301E-3</v>
      </c>
      <c r="AD4772">
        <v>-1.1198650129300001</v>
      </c>
      <c r="AE4772">
        <v>-7.41169999999999</v>
      </c>
      <c r="AF4772">
        <v>-2.32586409972442</v>
      </c>
      <c r="AG4772">
        <v>-1.1198650129300001</v>
      </c>
      <c r="AH4772">
        <v>6.8628578550445498</v>
      </c>
      <c r="AI4772">
        <v>98.785195019272095</v>
      </c>
      <c r="AJ4772">
        <v>108.721831031134</v>
      </c>
      <c r="AK4772">
        <v>7.3322956429837403</v>
      </c>
      <c r="AL4772">
        <v>86.301926611143998</v>
      </c>
      <c r="AM4772">
        <v>103.448500699151</v>
      </c>
      <c r="AN4772">
        <v>0.99999995972910005</v>
      </c>
    </row>
    <row r="4773" spans="1:40" x14ac:dyDescent="0.25">
      <c r="A4773" t="str">
        <f>"20190312151123631"</f>
        <v>20190312151123631</v>
      </c>
      <c r="B4773" t="str">
        <f>"1552374683626015"</f>
        <v>1552374683626015</v>
      </c>
      <c r="C4773" t="s">
        <v>40</v>
      </c>
      <c r="D4773">
        <v>4.9512130000000001</v>
      </c>
      <c r="E4773">
        <v>0.45608769999999998</v>
      </c>
      <c r="F4773" t="s">
        <v>42</v>
      </c>
      <c r="G4773">
        <v>-423.61079999999998</v>
      </c>
      <c r="H4773" s="1">
        <v>-5.3175670000000003E-6</v>
      </c>
      <c r="I4773">
        <v>109.46550000000001</v>
      </c>
      <c r="J4773">
        <v>-423.68490000000003</v>
      </c>
      <c r="K4773">
        <v>1.119866</v>
      </c>
      <c r="L4773">
        <v>116.8258</v>
      </c>
      <c r="M4773">
        <v>-0.31015310000000001</v>
      </c>
      <c r="N4773">
        <v>0</v>
      </c>
      <c r="O4773">
        <v>-0.95059249999999995</v>
      </c>
      <c r="P4773">
        <v>-8.2564399999999899E-2</v>
      </c>
      <c r="Q4773">
        <v>5.7426640000000001E-2</v>
      </c>
      <c r="R4773">
        <v>-0.99492990000000003</v>
      </c>
      <c r="S4773">
        <v>-7.0800780000000001E-3</v>
      </c>
      <c r="T4773">
        <v>-0.4445577</v>
      </c>
      <c r="U4773">
        <v>-3.0431979999999998</v>
      </c>
      <c r="V4773">
        <v>-0.23175970000000001</v>
      </c>
      <c r="W4773">
        <v>6.4806139999999998E-2</v>
      </c>
      <c r="X4773">
        <v>0.97061200000000003</v>
      </c>
      <c r="Y4773">
        <v>-0.307907599999999</v>
      </c>
      <c r="Z4773">
        <v>0.13038069999999999</v>
      </c>
      <c r="AA4773">
        <v>0.94244030000000001</v>
      </c>
      <c r="AB4773">
        <v>32</v>
      </c>
      <c r="AC4773">
        <v>7.4100000000044006E-2</v>
      </c>
      <c r="AD4773">
        <v>-1.1198713175669901</v>
      </c>
      <c r="AE4773">
        <v>-7.3602999999999899</v>
      </c>
      <c r="AF4773">
        <v>-2.30022524774507</v>
      </c>
      <c r="AG4773">
        <v>-1.1198713175669901</v>
      </c>
      <c r="AH4773">
        <v>6.8165037302884199</v>
      </c>
      <c r="AI4773">
        <v>98.847892967901799</v>
      </c>
      <c r="AJ4773">
        <v>108.646937172836</v>
      </c>
      <c r="AK4773">
        <v>7.2807878051285897</v>
      </c>
      <c r="AL4773">
        <v>86.284277776811507</v>
      </c>
      <c r="AM4773">
        <v>103.42945175880401</v>
      </c>
      <c r="AN4773">
        <v>1.0000000244348899</v>
      </c>
    </row>
    <row r="4774" spans="1:40" x14ac:dyDescent="0.25">
      <c r="A4774" t="str">
        <f>"20190312151123654"</f>
        <v>20190312151123654</v>
      </c>
      <c r="B4774" t="str">
        <f>"1552374683646511"</f>
        <v>1552374683646511</v>
      </c>
      <c r="C4774" t="s">
        <v>40</v>
      </c>
      <c r="D4774">
        <v>4.9433030000000002</v>
      </c>
      <c r="E4774">
        <v>0.45745439999999998</v>
      </c>
      <c r="F4774" t="s">
        <v>42</v>
      </c>
      <c r="G4774">
        <v>-423.38339999999999</v>
      </c>
      <c r="H4774" s="1">
        <v>-5.1414539999999998E-6</v>
      </c>
      <c r="I4774">
        <v>109.11190000000001</v>
      </c>
      <c r="J4774">
        <v>-423.77010000000001</v>
      </c>
      <c r="K4774">
        <v>1.1198619999999999</v>
      </c>
      <c r="L4774">
        <v>116.5299</v>
      </c>
      <c r="M4774">
        <v>-0.299294</v>
      </c>
      <c r="N4774">
        <v>0</v>
      </c>
      <c r="O4774">
        <v>-0.95406729999999995</v>
      </c>
      <c r="P4774">
        <v>-7.1514170000000002E-2</v>
      </c>
      <c r="Q4774">
        <v>5.7319179999999997E-2</v>
      </c>
      <c r="R4774">
        <v>-0.99579150000000005</v>
      </c>
      <c r="S4774">
        <v>0.119232199999999</v>
      </c>
      <c r="T4774">
        <v>-0.44289420000000002</v>
      </c>
      <c r="U4774">
        <v>-3.050735</v>
      </c>
      <c r="V4774">
        <v>-0.2314659</v>
      </c>
      <c r="W4774">
        <v>6.4708119999999994E-2</v>
      </c>
      <c r="X4774">
        <v>0.97068860000000001</v>
      </c>
      <c r="Y4774">
        <v>-0.33591769999999999</v>
      </c>
      <c r="Z4774">
        <v>0.129577</v>
      </c>
      <c r="AA4774">
        <v>0.93293570000000003</v>
      </c>
      <c r="AB4774">
        <v>32</v>
      </c>
      <c r="AC4774">
        <v>0.38670000000001797</v>
      </c>
      <c r="AD4774">
        <v>-1.119867141454</v>
      </c>
      <c r="AE4774">
        <v>-7.4179999999999904</v>
      </c>
      <c r="AF4774">
        <v>-2.53178702781761</v>
      </c>
      <c r="AG4774">
        <v>-1.119867141454</v>
      </c>
      <c r="AH4774">
        <v>6.8074300746499397</v>
      </c>
      <c r="AI4774">
        <v>98.765302177625003</v>
      </c>
      <c r="AJ4774">
        <v>110.40093516380399</v>
      </c>
      <c r="AK4774">
        <v>7.3488197821134698</v>
      </c>
      <c r="AL4774">
        <v>86.289905560039799</v>
      </c>
      <c r="AM4774">
        <v>103.41202271289301</v>
      </c>
      <c r="AN4774">
        <v>0.99999998091335196</v>
      </c>
    </row>
    <row r="4775" spans="1:40" x14ac:dyDescent="0.25">
      <c r="A4775" t="str">
        <f>"20190312151123676"</f>
        <v>20190312151123676</v>
      </c>
      <c r="B4775" t="str">
        <f>"1552374683666031"</f>
        <v>1552374683666031</v>
      </c>
      <c r="C4775" t="s">
        <v>40</v>
      </c>
      <c r="D4775">
        <v>5.3174580000000002</v>
      </c>
      <c r="E4775">
        <v>0.45825959999999899</v>
      </c>
      <c r="F4775" t="s">
        <v>42</v>
      </c>
      <c r="G4775">
        <v>-423.38729999999998</v>
      </c>
      <c r="H4775" s="1">
        <v>-4.8222920000000002E-6</v>
      </c>
      <c r="I4775">
        <v>108.279</v>
      </c>
      <c r="J4775">
        <v>-423.8553</v>
      </c>
      <c r="K4775">
        <v>1.1198589999999999</v>
      </c>
      <c r="L4775">
        <v>116.221</v>
      </c>
      <c r="M4775">
        <v>-0.28795369999999998</v>
      </c>
      <c r="N4775">
        <v>0</v>
      </c>
      <c r="O4775">
        <v>-0.95755089999999998</v>
      </c>
      <c r="P4775">
        <v>-6.04945E-2</v>
      </c>
      <c r="Q4775">
        <v>5.7053800000000002E-2</v>
      </c>
      <c r="R4775">
        <v>-0.99653700000000001</v>
      </c>
      <c r="S4775">
        <v>0.14135739999999999</v>
      </c>
      <c r="T4775">
        <v>-0.41351199999999999</v>
      </c>
      <c r="U4775">
        <v>-3.046646</v>
      </c>
      <c r="V4775">
        <v>-0.230684</v>
      </c>
      <c r="W4775">
        <v>6.4465449999999994E-2</v>
      </c>
      <c r="X4775">
        <v>0.9708909</v>
      </c>
      <c r="Y4775">
        <v>-0.33161679999999999</v>
      </c>
      <c r="Z4775">
        <v>0.12207999999999999</v>
      </c>
      <c r="AA4775">
        <v>0.93548209999999998</v>
      </c>
      <c r="AB4775">
        <v>32</v>
      </c>
      <c r="AC4775">
        <v>0.46800000000001701</v>
      </c>
      <c r="AD4775">
        <v>-1.1198638222920001</v>
      </c>
      <c r="AE4775">
        <v>-7.9420000000000002</v>
      </c>
      <c r="AF4775">
        <v>-2.6821633108935901</v>
      </c>
      <c r="AG4775">
        <v>-1.1198638222920001</v>
      </c>
      <c r="AH4775">
        <v>7.3256276889416396</v>
      </c>
      <c r="AI4775">
        <v>98.169007055794907</v>
      </c>
      <c r="AJ4775">
        <v>110.10940955433701</v>
      </c>
      <c r="AK4775">
        <v>7.8811747883022196</v>
      </c>
      <c r="AL4775">
        <v>86.303838766078997</v>
      </c>
      <c r="AM4775">
        <v>103.365659968888</v>
      </c>
      <c r="AN4775">
        <v>1.0000000209012501</v>
      </c>
    </row>
    <row r="4776" spans="1:40" x14ac:dyDescent="0.25">
      <c r="A4776" t="str">
        <f>"20190312151123699"</f>
        <v>20190312151123699</v>
      </c>
      <c r="B4776" t="str">
        <f>"1552374683696287"</f>
        <v>1552374683696287</v>
      </c>
      <c r="C4776" t="s">
        <v>40</v>
      </c>
      <c r="D4776">
        <v>4.9387299999999996</v>
      </c>
      <c r="E4776">
        <v>0.46023730000000002</v>
      </c>
      <c r="F4776" t="s">
        <v>42</v>
      </c>
      <c r="G4776">
        <v>-423.38729999999998</v>
      </c>
      <c r="H4776" s="1">
        <v>-4.6227309999999996E-6</v>
      </c>
      <c r="I4776">
        <v>107.7593</v>
      </c>
      <c r="J4776">
        <v>-423.9348</v>
      </c>
      <c r="K4776">
        <v>1.1198549999999901</v>
      </c>
      <c r="L4776">
        <v>115.9181</v>
      </c>
      <c r="M4776">
        <v>-0.27682980000000001</v>
      </c>
      <c r="N4776">
        <v>0</v>
      </c>
      <c r="O4776">
        <v>-0.96082590000000001</v>
      </c>
      <c r="P4776">
        <v>-4.9858310000000003E-2</v>
      </c>
      <c r="Q4776">
        <v>5.7176770000000002E-2</v>
      </c>
      <c r="R4776">
        <v>-0.99711839999999996</v>
      </c>
      <c r="S4776">
        <v>0.16833499999999901</v>
      </c>
      <c r="T4776">
        <v>-0.40281739999999999</v>
      </c>
      <c r="U4776">
        <v>-3.0436860000000001</v>
      </c>
      <c r="V4776">
        <v>-0.2297835</v>
      </c>
      <c r="W4776">
        <v>6.4614379999999999E-2</v>
      </c>
      <c r="X4776">
        <v>0.97109449999999997</v>
      </c>
      <c r="Y4776">
        <v>-0.32901419999999998</v>
      </c>
      <c r="Z4776">
        <v>0.1197642</v>
      </c>
      <c r="AA4776">
        <v>0.93669959999999997</v>
      </c>
      <c r="AB4776">
        <v>32</v>
      </c>
      <c r="AC4776">
        <v>0.54750000000001298</v>
      </c>
      <c r="AD4776">
        <v>-1.11985962273099</v>
      </c>
      <c r="AE4776">
        <v>-8.1587999999999994</v>
      </c>
      <c r="AF4776">
        <v>-2.73363023522682</v>
      </c>
      <c r="AG4776">
        <v>-1.11985962273099</v>
      </c>
      <c r="AH4776">
        <v>7.5467679388478501</v>
      </c>
      <c r="AI4776">
        <v>97.942545938356304</v>
      </c>
      <c r="AJ4776">
        <v>109.91166798902501</v>
      </c>
      <c r="AK4776">
        <v>8.1043522974011495</v>
      </c>
      <c r="AL4776">
        <v>86.295287806134297</v>
      </c>
      <c r="AM4776">
        <v>103.312655180338</v>
      </c>
      <c r="AN4776">
        <v>1.00000000145264</v>
      </c>
    </row>
    <row r="4777" spans="1:40" x14ac:dyDescent="0.25">
      <c r="A4777" t="str">
        <f>"20190312151123721"</f>
        <v>20190312151123721</v>
      </c>
      <c r="B4777" t="str">
        <f>"1552374683715807"</f>
        <v>1552374683715807</v>
      </c>
      <c r="C4777" t="s">
        <v>40</v>
      </c>
      <c r="D4777">
        <v>5.2046799999999998</v>
      </c>
      <c r="E4777">
        <v>0.46090219999999998</v>
      </c>
      <c r="F4777" t="s">
        <v>42</v>
      </c>
      <c r="G4777">
        <v>-423.40859999999998</v>
      </c>
      <c r="H4777" s="1">
        <v>-4.4277099999999998E-6</v>
      </c>
      <c r="I4777">
        <v>107.24160000000001</v>
      </c>
      <c r="J4777">
        <v>-424.01100000000002</v>
      </c>
      <c r="K4777">
        <v>1.1198490000000001</v>
      </c>
      <c r="L4777">
        <v>115.6129</v>
      </c>
      <c r="M4777">
        <v>-0.26561659999999998</v>
      </c>
      <c r="N4777">
        <v>0</v>
      </c>
      <c r="O4777">
        <v>-0.96398589999999995</v>
      </c>
      <c r="P4777">
        <v>-3.8748440000000002E-2</v>
      </c>
      <c r="Q4777">
        <v>5.7361660000000002E-2</v>
      </c>
      <c r="R4777">
        <v>-0.99760139999999997</v>
      </c>
      <c r="S4777">
        <v>0.1843872</v>
      </c>
      <c r="T4777">
        <v>-0.3924164</v>
      </c>
      <c r="U4777">
        <v>-3.0403899999999999</v>
      </c>
      <c r="V4777">
        <v>-0.22928689999999999</v>
      </c>
      <c r="W4777">
        <v>6.481423E-2</v>
      </c>
      <c r="X4777">
        <v>0.97119860000000002</v>
      </c>
      <c r="Y4777">
        <v>-0.32301819999999998</v>
      </c>
      <c r="Z4777">
        <v>0.1175662</v>
      </c>
      <c r="AA4777">
        <v>0.93906199999999995</v>
      </c>
      <c r="AB4777">
        <v>32</v>
      </c>
      <c r="AC4777">
        <v>0.60239999999998795</v>
      </c>
      <c r="AD4777">
        <v>-1.1198534277099901</v>
      </c>
      <c r="AE4777">
        <v>-8.3712999999999909</v>
      </c>
      <c r="AF4777">
        <v>-2.7554569427757198</v>
      </c>
      <c r="AG4777">
        <v>-1.1198534277099901</v>
      </c>
      <c r="AH4777">
        <v>7.7721481321363797</v>
      </c>
      <c r="AI4777">
        <v>97.733647333127493</v>
      </c>
      <c r="AJ4777">
        <v>109.520925761946</v>
      </c>
      <c r="AK4777">
        <v>8.3218328059938695</v>
      </c>
      <c r="AL4777">
        <v>86.283813349406302</v>
      </c>
      <c r="AM4777">
        <v>103.283532039088</v>
      </c>
      <c r="AN4777">
        <v>1.00000004378203</v>
      </c>
    </row>
    <row r="4778" spans="1:40" x14ac:dyDescent="0.25">
      <c r="A4778" t="str">
        <f>"20190312151123744"</f>
        <v>20190312151123744</v>
      </c>
      <c r="B4778" t="str">
        <f>"1552374683736303"</f>
        <v>1552374683736303</v>
      </c>
      <c r="C4778" t="s">
        <v>40</v>
      </c>
      <c r="D4778">
        <v>4.9713539999999998</v>
      </c>
      <c r="E4778">
        <v>0.47005950000000002</v>
      </c>
      <c r="F4778" t="s">
        <v>42</v>
      </c>
      <c r="G4778">
        <v>-423.40170000000001</v>
      </c>
      <c r="H4778" s="1">
        <v>-4.3033909999999997E-6</v>
      </c>
      <c r="I4778">
        <v>106.9211</v>
      </c>
      <c r="J4778">
        <v>-424.08269999999999</v>
      </c>
      <c r="K4778">
        <v>1.119848</v>
      </c>
      <c r="L4778">
        <v>115.3116</v>
      </c>
      <c r="M4778">
        <v>-0.25454009999999999</v>
      </c>
      <c r="N4778">
        <v>0</v>
      </c>
      <c r="O4778">
        <v>-0.96697</v>
      </c>
      <c r="P4778">
        <v>-2.8367030000000001E-2</v>
      </c>
      <c r="Q4778">
        <v>5.7538869999999999E-2</v>
      </c>
      <c r="R4778">
        <v>-0.99794039999999995</v>
      </c>
      <c r="S4778">
        <v>0.21298220000000001</v>
      </c>
      <c r="T4778">
        <v>-0.39141189999999998</v>
      </c>
      <c r="U4778">
        <v>-3.037979</v>
      </c>
      <c r="V4778">
        <v>-0.2282505</v>
      </c>
      <c r="W4778">
        <v>6.5021220000000005E-2</v>
      </c>
      <c r="X4778">
        <v>0.97142879999999998</v>
      </c>
      <c r="Y4778">
        <v>-0.32101000000000002</v>
      </c>
      <c r="Z4778">
        <v>0.11793869999999999</v>
      </c>
      <c r="AA4778">
        <v>0.93970370000000003</v>
      </c>
      <c r="AB4778">
        <v>32</v>
      </c>
      <c r="AC4778">
        <v>0.68099999999998295</v>
      </c>
      <c r="AD4778">
        <v>-1.1198523033909999</v>
      </c>
      <c r="AE4778">
        <v>-8.3904999999999994</v>
      </c>
      <c r="AF4778">
        <v>-2.7458812359575</v>
      </c>
      <c r="AG4778">
        <v>-1.1198523033909999</v>
      </c>
      <c r="AH4778">
        <v>7.8026464190854696</v>
      </c>
      <c r="AI4778">
        <v>97.710022979388299</v>
      </c>
      <c r="AJ4778">
        <v>109.38781958685</v>
      </c>
      <c r="AK4778">
        <v>8.3471686268255603</v>
      </c>
      <c r="AL4778">
        <v>86.2719283950901</v>
      </c>
      <c r="AM4778">
        <v>103.22257990035099</v>
      </c>
      <c r="AN4778">
        <v>0.99999998163498904</v>
      </c>
    </row>
    <row r="4779" spans="1:40" x14ac:dyDescent="0.25">
      <c r="A4779" t="str">
        <f>"20190312151123767"</f>
        <v>20190312151123767</v>
      </c>
      <c r="B4779" t="str">
        <f>"1552374683755823"</f>
        <v>1552374683755823</v>
      </c>
      <c r="C4779" t="s">
        <v>40</v>
      </c>
      <c r="D4779">
        <v>5.0193089999999998</v>
      </c>
      <c r="E4779">
        <v>0.47082299999999999</v>
      </c>
      <c r="F4779" t="s">
        <v>42</v>
      </c>
      <c r="G4779">
        <v>-423.5224</v>
      </c>
      <c r="H4779" s="1">
        <v>-3.6576299999999999E-6</v>
      </c>
      <c r="I4779">
        <v>105.3466</v>
      </c>
      <c r="J4779">
        <v>-424.15480000000002</v>
      </c>
      <c r="K4779">
        <v>1.1198410000000001</v>
      </c>
      <c r="L4779">
        <v>114.9913</v>
      </c>
      <c r="M4779">
        <v>-0.2427655</v>
      </c>
      <c r="N4779">
        <v>0</v>
      </c>
      <c r="O4779">
        <v>-0.96999290000000005</v>
      </c>
      <c r="P4779">
        <v>-1.7030480000000001E-2</v>
      </c>
      <c r="Q4779">
        <v>5.7647219999999999E-2</v>
      </c>
      <c r="R4779">
        <v>-0.99819170000000002</v>
      </c>
      <c r="S4779">
        <v>0.17041020000000001</v>
      </c>
      <c r="T4779">
        <v>-0.34058359999999999</v>
      </c>
      <c r="U4779">
        <v>-3.0306700000000002</v>
      </c>
      <c r="V4779">
        <v>-0.2274735</v>
      </c>
      <c r="W4779">
        <v>6.5151589999999995E-2</v>
      </c>
      <c r="X4779">
        <v>0.97160230000000003</v>
      </c>
      <c r="Y4779">
        <v>-0.29651559999999999</v>
      </c>
      <c r="Z4779">
        <v>0.1040681</v>
      </c>
      <c r="AA4779">
        <v>0.94934099999999999</v>
      </c>
      <c r="AB4779">
        <v>32</v>
      </c>
      <c r="AC4779">
        <v>0.63240000000001795</v>
      </c>
      <c r="AD4779">
        <v>-1.1198446576300001</v>
      </c>
      <c r="AE4779">
        <v>-9.6447000000000003</v>
      </c>
      <c r="AF4779">
        <v>-2.91594494392033</v>
      </c>
      <c r="AG4779">
        <v>-1.1198446576300001</v>
      </c>
      <c r="AH4779">
        <v>9.08069062372841</v>
      </c>
      <c r="AI4779">
        <v>96.696797926815094</v>
      </c>
      <c r="AJ4779">
        <v>107.802597636111</v>
      </c>
      <c r="AK4779">
        <v>9.6029021226432505</v>
      </c>
      <c r="AL4779">
        <v>86.2644428514906</v>
      </c>
      <c r="AM4779">
        <v>103.176870395786</v>
      </c>
      <c r="AN4779">
        <v>0.99999997612353297</v>
      </c>
    </row>
    <row r="4780" spans="1:40" x14ac:dyDescent="0.25">
      <c r="A4780" t="str">
        <f>"20190312151123789"</f>
        <v>20190312151123789</v>
      </c>
      <c r="B4780" t="str">
        <f>"1552374683786079"</f>
        <v>1552374683786079</v>
      </c>
      <c r="C4780" t="s">
        <v>40</v>
      </c>
      <c r="D4780">
        <v>5.0271369999999997</v>
      </c>
      <c r="E4780">
        <v>0.47166390000000002</v>
      </c>
      <c r="F4780" t="s">
        <v>42</v>
      </c>
      <c r="G4780">
        <v>-423.49419999999998</v>
      </c>
      <c r="H4780" s="1">
        <v>-3.4441639999999998E-6</v>
      </c>
      <c r="I4780">
        <v>104.9109</v>
      </c>
      <c r="J4780">
        <v>-424.21890000000002</v>
      </c>
      <c r="K4780">
        <v>1.1198360000000001</v>
      </c>
      <c r="L4780">
        <v>114.6906</v>
      </c>
      <c r="M4780">
        <v>-0.2317003</v>
      </c>
      <c r="N4780">
        <v>0</v>
      </c>
      <c r="O4780">
        <v>-0.97269550000000005</v>
      </c>
      <c r="P4780">
        <v>-6.6593889999999999E-3</v>
      </c>
      <c r="Q4780">
        <v>5.7979959999999997E-2</v>
      </c>
      <c r="R4780">
        <v>-0.99829579999999996</v>
      </c>
      <c r="S4780">
        <v>0.19845579999999999</v>
      </c>
      <c r="T4780">
        <v>-0.33641090000000001</v>
      </c>
      <c r="U4780">
        <v>-3.0282589999999998</v>
      </c>
      <c r="V4780">
        <v>-0.22650210000000001</v>
      </c>
      <c r="W4780">
        <v>6.551179E-2</v>
      </c>
      <c r="X4780">
        <v>0.97180500000000003</v>
      </c>
      <c r="Y4780">
        <v>-0.29444789999999998</v>
      </c>
      <c r="Z4780">
        <v>0.1033418</v>
      </c>
      <c r="AA4780">
        <v>0.95006360000000001</v>
      </c>
      <c r="AB4780">
        <v>32</v>
      </c>
      <c r="AC4780">
        <v>0.72470000000004098</v>
      </c>
      <c r="AD4780">
        <v>-1.1198394441640001</v>
      </c>
      <c r="AE4780">
        <v>-9.7797000000000001</v>
      </c>
      <c r="AF4780">
        <v>-2.9328916304061399</v>
      </c>
      <c r="AG4780">
        <v>-1.1198394441640001</v>
      </c>
      <c r="AH4780">
        <v>9.2252917242410994</v>
      </c>
      <c r="AI4780">
        <v>96.598788625705694</v>
      </c>
      <c r="AJ4780">
        <v>107.636427224462</v>
      </c>
      <c r="AK4780">
        <v>9.7448397161658509</v>
      </c>
      <c r="AL4780">
        <v>86.243760729090098</v>
      </c>
      <c r="AM4780">
        <v>103.119908826697</v>
      </c>
      <c r="AN4780">
        <v>0.99999997697920595</v>
      </c>
    </row>
    <row r="4781" spans="1:40" x14ac:dyDescent="0.25">
      <c r="A4781" t="str">
        <f>"20190312151123810"</f>
        <v>20190312151123810</v>
      </c>
      <c r="B4781" t="str">
        <f>"1552374683805599"</f>
        <v>1552374683805599</v>
      </c>
      <c r="C4781" t="s">
        <v>40</v>
      </c>
      <c r="D4781">
        <v>4.986866</v>
      </c>
      <c r="E4781">
        <v>0.47309899999999999</v>
      </c>
      <c r="F4781" t="s">
        <v>42</v>
      </c>
      <c r="G4781">
        <v>-423.50330000000002</v>
      </c>
      <c r="H4781" s="1">
        <v>-3.4957260000000001E-6</v>
      </c>
      <c r="I4781">
        <v>105.01479999999999</v>
      </c>
      <c r="J4781">
        <v>-424.279</v>
      </c>
      <c r="K4781">
        <v>1.119837</v>
      </c>
      <c r="L4781">
        <v>114.3922</v>
      </c>
      <c r="M4781">
        <v>-0.22071840000000001</v>
      </c>
      <c r="N4781">
        <v>0</v>
      </c>
      <c r="O4781">
        <v>-0.97524619999999995</v>
      </c>
      <c r="P4781">
        <v>3.5892480000000002E-3</v>
      </c>
      <c r="Q4781">
        <v>5.8367339999999997E-2</v>
      </c>
      <c r="R4781">
        <v>-0.99828899999999998</v>
      </c>
      <c r="S4781">
        <v>0.22387699999999999</v>
      </c>
      <c r="T4781">
        <v>-0.35033069999999999</v>
      </c>
      <c r="U4781">
        <v>-3.0269620000000002</v>
      </c>
      <c r="V4781">
        <v>-0.22552410000000001</v>
      </c>
      <c r="W4781">
        <v>6.5926689999999996E-2</v>
      </c>
      <c r="X4781">
        <v>0.97200439999999999</v>
      </c>
      <c r="Y4781">
        <v>-0.29160199999999997</v>
      </c>
      <c r="Z4781">
        <v>0.1080661</v>
      </c>
      <c r="AA4781">
        <v>0.95041569999999997</v>
      </c>
      <c r="AB4781">
        <v>32</v>
      </c>
      <c r="AC4781">
        <v>0.77569999999997197</v>
      </c>
      <c r="AD4781">
        <v>-1.119840495726</v>
      </c>
      <c r="AE4781">
        <v>-9.3773999999999997</v>
      </c>
      <c r="AF4781">
        <v>-2.7870394858526599</v>
      </c>
      <c r="AG4781">
        <v>-1.119840495726</v>
      </c>
      <c r="AH4781">
        <v>8.8495177631527095</v>
      </c>
      <c r="AI4781">
        <v>96.882211306565907</v>
      </c>
      <c r="AJ4781">
        <v>107.481137044913</v>
      </c>
      <c r="AK4781">
        <v>9.3453515970200502</v>
      </c>
      <c r="AL4781">
        <v>86.219937297126805</v>
      </c>
      <c r="AM4781">
        <v>103.062618280339</v>
      </c>
      <c r="AN4781">
        <v>1.00000000087726</v>
      </c>
    </row>
    <row r="4782" spans="1:40" x14ac:dyDescent="0.25">
      <c r="A4782" t="str">
        <f>"20190312151123832"</f>
        <v>20190312151123832</v>
      </c>
      <c r="B4782" t="str">
        <f>"1552374683826095"</f>
        <v>1552374683826095</v>
      </c>
      <c r="C4782" t="s">
        <v>40</v>
      </c>
      <c r="D4782">
        <v>4.9733280000000004</v>
      </c>
      <c r="E4782">
        <v>0.4743636</v>
      </c>
      <c r="F4782" t="s">
        <v>42</v>
      </c>
      <c r="G4782">
        <v>-423.51310000000001</v>
      </c>
      <c r="H4782" s="1">
        <v>-3.4301080000000002E-6</v>
      </c>
      <c r="I4782">
        <v>104.87050000000001</v>
      </c>
      <c r="J4782">
        <v>-424.33749999999998</v>
      </c>
      <c r="K4782">
        <v>1.1198360000000001</v>
      </c>
      <c r="L4782">
        <v>114.0838</v>
      </c>
      <c r="M4782">
        <v>-0.2093614</v>
      </c>
      <c r="N4782">
        <v>0</v>
      </c>
      <c r="O4782">
        <v>-0.97774700000000003</v>
      </c>
      <c r="P4782">
        <v>1.351173E-2</v>
      </c>
      <c r="Q4782">
        <v>5.8505630000000003E-2</v>
      </c>
      <c r="R4782">
        <v>-0.99819590000000002</v>
      </c>
      <c r="S4782">
        <v>0.2433167</v>
      </c>
      <c r="T4782">
        <v>-0.35577550000000002</v>
      </c>
      <c r="U4782">
        <v>-3.0250699999999999</v>
      </c>
      <c r="V4782">
        <v>-0.2238812</v>
      </c>
      <c r="W4782">
        <v>6.6111290000000003E-2</v>
      </c>
      <c r="X4782">
        <v>0.9723716</v>
      </c>
      <c r="Y4782">
        <v>-0.28657310000000003</v>
      </c>
      <c r="Z4782">
        <v>0.11028979999999999</v>
      </c>
      <c r="AA4782">
        <v>0.95168909999999995</v>
      </c>
      <c r="AB4782">
        <v>32</v>
      </c>
      <c r="AC4782">
        <v>0.82439999999996805</v>
      </c>
      <c r="AD4782">
        <v>-1.1198394301079999</v>
      </c>
      <c r="AE4782">
        <v>-9.2132999999999896</v>
      </c>
      <c r="AF4782">
        <v>-2.6956999049930799</v>
      </c>
      <c r="AG4782">
        <v>-1.1198394301079999</v>
      </c>
      <c r="AH4782">
        <v>8.7088307729674899</v>
      </c>
      <c r="AI4782">
        <v>97.002936336429698</v>
      </c>
      <c r="AJ4782">
        <v>107.19919820441299</v>
      </c>
      <c r="AK4782">
        <v>9.1850188763654597</v>
      </c>
      <c r="AL4782">
        <v>86.209337411142002</v>
      </c>
      <c r="AM4782">
        <v>102.965956152906</v>
      </c>
      <c r="AN4782">
        <v>1.0000000114327301</v>
      </c>
    </row>
    <row r="4783" spans="1:40" x14ac:dyDescent="0.25">
      <c r="A4783" t="str">
        <f>"20190312151123855"</f>
        <v>20190312151123855</v>
      </c>
      <c r="B4783" t="str">
        <f>"1552374683845615"</f>
        <v>1552374683845615</v>
      </c>
      <c r="C4783" t="s">
        <v>40</v>
      </c>
      <c r="D4783">
        <v>5.1470849999999997</v>
      </c>
      <c r="E4783">
        <v>0.48418909999999998</v>
      </c>
      <c r="F4783" t="s">
        <v>42</v>
      </c>
      <c r="G4783">
        <v>-423.51839999999999</v>
      </c>
      <c r="H4783" s="1">
        <v>-3.348016E-6</v>
      </c>
      <c r="I4783">
        <v>104.6938</v>
      </c>
      <c r="J4783">
        <v>-424.3922</v>
      </c>
      <c r="K4783">
        <v>1.1198319999999999</v>
      </c>
      <c r="L4783">
        <v>113.7762</v>
      </c>
      <c r="M4783">
        <v>-0.1980314</v>
      </c>
      <c r="N4783">
        <v>0</v>
      </c>
      <c r="O4783">
        <v>-0.98010469999999905</v>
      </c>
      <c r="P4783">
        <v>2.246718E-2</v>
      </c>
      <c r="Q4783">
        <v>5.940177E-2</v>
      </c>
      <c r="R4783">
        <v>-0.99798180000000003</v>
      </c>
      <c r="S4783">
        <v>0.2637024</v>
      </c>
      <c r="T4783">
        <v>-0.3605198</v>
      </c>
      <c r="U4783">
        <v>-3.02298</v>
      </c>
      <c r="V4783">
        <v>-0.22135959999999999</v>
      </c>
      <c r="W4783">
        <v>6.7076659999999996E-2</v>
      </c>
      <c r="X4783">
        <v>0.97288260000000004</v>
      </c>
      <c r="Y4783">
        <v>-0.28189199999999998</v>
      </c>
      <c r="Z4783">
        <v>0.1122852</v>
      </c>
      <c r="AA4783">
        <v>0.95285299999999995</v>
      </c>
      <c r="AB4783">
        <v>32</v>
      </c>
      <c r="AC4783">
        <v>0.87380000000001701</v>
      </c>
      <c r="AD4783">
        <v>-1.1198353480159999</v>
      </c>
      <c r="AE4783">
        <v>-9.0823999999999998</v>
      </c>
      <c r="AF4783">
        <v>-2.6158506166925202</v>
      </c>
      <c r="AG4783">
        <v>-1.1198353480159999</v>
      </c>
      <c r="AH4783">
        <v>8.5999029039631996</v>
      </c>
      <c r="AI4783">
        <v>97.101280102740404</v>
      </c>
      <c r="AJ4783">
        <v>106.918298348862</v>
      </c>
      <c r="AK4783">
        <v>9.0584234617902197</v>
      </c>
      <c r="AL4783">
        <v>86.153902498127707</v>
      </c>
      <c r="AM4783">
        <v>102.81826076262099</v>
      </c>
      <c r="AN4783">
        <v>0.99999995210583603</v>
      </c>
    </row>
    <row r="4784" spans="1:40" x14ac:dyDescent="0.25">
      <c r="A4784" t="str">
        <f>"20190312151123876"</f>
        <v>20190312151123876</v>
      </c>
      <c r="B4784" t="str">
        <f>"1552374683866111"</f>
        <v>1552374683866111</v>
      </c>
      <c r="C4784" t="s">
        <v>40</v>
      </c>
      <c r="D4784">
        <v>5.0440110000000002</v>
      </c>
      <c r="E4784">
        <v>0.48282360000000002</v>
      </c>
      <c r="F4784" t="s">
        <v>42</v>
      </c>
      <c r="G4784">
        <v>-423.78120000000001</v>
      </c>
      <c r="H4784" s="1">
        <v>-3.6216479999999998E-6</v>
      </c>
      <c r="I4784">
        <v>105.12479999999999</v>
      </c>
      <c r="J4784">
        <v>-424.44240000000002</v>
      </c>
      <c r="K4784">
        <v>1.1198319999999999</v>
      </c>
      <c r="L4784">
        <v>113.4736</v>
      </c>
      <c r="M4784">
        <v>-0.18687889999999999</v>
      </c>
      <c r="N4784">
        <v>0</v>
      </c>
      <c r="O4784">
        <v>-0.98229219999999895</v>
      </c>
      <c r="P4784">
        <v>3.238448E-2</v>
      </c>
      <c r="Q4784">
        <v>6.0418239999999998E-2</v>
      </c>
      <c r="R4784">
        <v>-0.99764810000000004</v>
      </c>
      <c r="S4784">
        <v>0.21362300000000001</v>
      </c>
      <c r="T4784">
        <v>-0.39149869999999998</v>
      </c>
      <c r="U4784">
        <v>-3.0245669999999998</v>
      </c>
      <c r="V4784">
        <v>-0.2199826</v>
      </c>
      <c r="W4784">
        <v>6.8130919999999998E-2</v>
      </c>
      <c r="X4784">
        <v>0.97312169999999998</v>
      </c>
      <c r="Y4784">
        <v>-0.25507590000000002</v>
      </c>
      <c r="Z4784">
        <v>0.1227008</v>
      </c>
      <c r="AA4784">
        <v>0.95910419999999996</v>
      </c>
      <c r="AB4784">
        <v>32</v>
      </c>
      <c r="AC4784">
        <v>0.661200000000007</v>
      </c>
      <c r="AD4784">
        <v>-1.1198356216480001</v>
      </c>
      <c r="AE4784">
        <v>-8.3488000000000095</v>
      </c>
      <c r="AF4784">
        <v>-2.1710861892705302</v>
      </c>
      <c r="AG4784">
        <v>-1.1198356216480001</v>
      </c>
      <c r="AH4784">
        <v>7.9362246942426999</v>
      </c>
      <c r="AI4784">
        <v>97.750521999783103</v>
      </c>
      <c r="AJ4784">
        <v>105.29987099620899</v>
      </c>
      <c r="AK4784">
        <v>8.3036925194915998</v>
      </c>
      <c r="AL4784">
        <v>86.093359542180494</v>
      </c>
      <c r="AM4784">
        <v>102.738105052726</v>
      </c>
      <c r="AN4784">
        <v>1.00000000478684</v>
      </c>
    </row>
    <row r="4785" spans="1:40" x14ac:dyDescent="0.25">
      <c r="A4785" t="str">
        <f>"20190312151123900"</f>
        <v>20190312151123900</v>
      </c>
      <c r="B4785" t="str">
        <f>"1552374683896367"</f>
        <v>1552374683896367</v>
      </c>
      <c r="C4785" t="s">
        <v>40</v>
      </c>
      <c r="D4785">
        <v>5.0344509999999998</v>
      </c>
      <c r="E4785">
        <v>0.48233569999999998</v>
      </c>
      <c r="F4785" t="s">
        <v>42</v>
      </c>
      <c r="G4785">
        <v>-423.68869999999998</v>
      </c>
      <c r="H4785" s="1">
        <v>-3.2857289999999999E-6</v>
      </c>
      <c r="I4785">
        <v>104.4662</v>
      </c>
      <c r="J4785">
        <v>-424.49009999999998</v>
      </c>
      <c r="K4785">
        <v>1.1198349999999999</v>
      </c>
      <c r="L4785">
        <v>113.1635</v>
      </c>
      <c r="M4785">
        <v>-0.17544589999999999</v>
      </c>
      <c r="N4785">
        <v>0</v>
      </c>
      <c r="O4785">
        <v>-0.98439849999999995</v>
      </c>
      <c r="P4785">
        <v>4.2340349999999999E-2</v>
      </c>
      <c r="Q4785">
        <v>6.0856470000000003E-2</v>
      </c>
      <c r="R4785">
        <v>-0.99724820000000003</v>
      </c>
      <c r="S4785">
        <v>0.25283810000000001</v>
      </c>
      <c r="T4785">
        <v>-0.37565989999999999</v>
      </c>
      <c r="U4785">
        <v>-3.0216219999999998</v>
      </c>
      <c r="V4785">
        <v>-0.2183853</v>
      </c>
      <c r="W4785">
        <v>6.8613779999999999E-2</v>
      </c>
      <c r="X4785">
        <v>0.97344750000000002</v>
      </c>
      <c r="Y4785">
        <v>-0.25632519999999998</v>
      </c>
      <c r="Z4785">
        <v>0.1182356</v>
      </c>
      <c r="AA4785">
        <v>0.95933190000000002</v>
      </c>
      <c r="AB4785">
        <v>32</v>
      </c>
      <c r="AC4785">
        <v>0.801400000000001</v>
      </c>
      <c r="AD4785">
        <v>-1.1198382857289999</v>
      </c>
      <c r="AE4785">
        <v>-8.6972999999999896</v>
      </c>
      <c r="AF4785">
        <v>-2.2775685315149001</v>
      </c>
      <c r="AG4785">
        <v>-1.1198382857289999</v>
      </c>
      <c r="AH4785">
        <v>8.2855531889684002</v>
      </c>
      <c r="AI4785">
        <v>97.425028066726199</v>
      </c>
      <c r="AJ4785">
        <v>105.370088301674</v>
      </c>
      <c r="AK4785">
        <v>8.6655494833943294</v>
      </c>
      <c r="AL4785">
        <v>86.0656288395205</v>
      </c>
      <c r="AM4785">
        <v>102.64450234239899</v>
      </c>
      <c r="AN4785">
        <v>1.00000001265911</v>
      </c>
    </row>
    <row r="4786" spans="1:40" x14ac:dyDescent="0.25">
      <c r="A4786" t="str">
        <f>"20190312151123922"</f>
        <v>20190312151123922</v>
      </c>
      <c r="B4786" t="str">
        <f>"1552374683915887"</f>
        <v>1552374683915887</v>
      </c>
      <c r="C4786" t="s">
        <v>40</v>
      </c>
      <c r="D4786">
        <v>5.0380599999999998</v>
      </c>
      <c r="E4786">
        <v>0.48300480000000001</v>
      </c>
      <c r="F4786" t="s">
        <v>42</v>
      </c>
      <c r="G4786">
        <v>-423.6533</v>
      </c>
      <c r="H4786" s="1">
        <v>-3.2320039999999998E-6</v>
      </c>
      <c r="I4786">
        <v>104.3725</v>
      </c>
      <c r="J4786">
        <v>-424.53440000000001</v>
      </c>
      <c r="K4786">
        <v>1.1198360000000001</v>
      </c>
      <c r="L4786">
        <v>112.8493</v>
      </c>
      <c r="M4786">
        <v>-0.16386139999999999</v>
      </c>
      <c r="N4786">
        <v>0</v>
      </c>
      <c r="O4786">
        <v>-0.98639299999999996</v>
      </c>
      <c r="P4786">
        <v>5.161437E-2</v>
      </c>
      <c r="Q4786">
        <v>6.0786149999999997E-2</v>
      </c>
      <c r="R4786">
        <v>-0.99681540000000002</v>
      </c>
      <c r="S4786">
        <v>0.28741460000000002</v>
      </c>
      <c r="T4786">
        <v>-0.38464510000000002</v>
      </c>
      <c r="U4786">
        <v>-3.0195470000000002</v>
      </c>
      <c r="V4786">
        <v>-0.2159923</v>
      </c>
      <c r="W4786">
        <v>6.8609489999999995E-2</v>
      </c>
      <c r="X4786">
        <v>0.9739816</v>
      </c>
      <c r="Y4786">
        <v>-0.25588149999999998</v>
      </c>
      <c r="Z4786">
        <v>0.1214243</v>
      </c>
      <c r="AA4786">
        <v>0.95905200000000002</v>
      </c>
      <c r="AB4786">
        <v>32</v>
      </c>
      <c r="AC4786">
        <v>0.88110000000000299</v>
      </c>
      <c r="AD4786">
        <v>-1.119839232004</v>
      </c>
      <c r="AE4786">
        <v>-8.4767999999999901</v>
      </c>
      <c r="AF4786">
        <v>-2.2200029371996499</v>
      </c>
      <c r="AG4786">
        <v>-1.119839232004</v>
      </c>
      <c r="AH4786">
        <v>8.0783336140706101</v>
      </c>
      <c r="AI4786">
        <v>97.613433117781</v>
      </c>
      <c r="AJ4786">
        <v>105.36610407344401</v>
      </c>
      <c r="AK4786">
        <v>8.4523326322934995</v>
      </c>
      <c r="AL4786">
        <v>86.0658753521965</v>
      </c>
      <c r="AM4786">
        <v>102.50368814373201</v>
      </c>
      <c r="AN4786">
        <v>1.0000000464579499</v>
      </c>
    </row>
    <row r="4787" spans="1:40" x14ac:dyDescent="0.25">
      <c r="A4787" t="str">
        <f>"20190312151123945"</f>
        <v>20190312151123945</v>
      </c>
      <c r="B4787" t="str">
        <f>"1552374683936383"</f>
        <v>1552374683936383</v>
      </c>
      <c r="C4787" t="s">
        <v>40</v>
      </c>
      <c r="D4787">
        <v>5.0332369999999997</v>
      </c>
      <c r="E4787">
        <v>0.48349720000000002</v>
      </c>
      <c r="F4787" t="s">
        <v>42</v>
      </c>
      <c r="G4787">
        <v>-423.62779999999998</v>
      </c>
      <c r="H4787" s="1">
        <v>-3.078589E-6</v>
      </c>
      <c r="I4787">
        <v>104.06229999999999</v>
      </c>
      <c r="J4787">
        <v>-424.57470000000001</v>
      </c>
      <c r="K4787">
        <v>1.119831</v>
      </c>
      <c r="L4787">
        <v>112.5384</v>
      </c>
      <c r="M4787">
        <v>-0.15238940000000001</v>
      </c>
      <c r="N4787">
        <v>0</v>
      </c>
      <c r="O4787">
        <v>-0.98823019999999995</v>
      </c>
      <c r="P4787">
        <v>6.1118480000000003E-2</v>
      </c>
      <c r="Q4787">
        <v>6.0770539999999998E-2</v>
      </c>
      <c r="R4787">
        <v>-0.99627880000000002</v>
      </c>
      <c r="S4787">
        <v>0.31127929999999998</v>
      </c>
      <c r="T4787">
        <v>-0.38448100000000002</v>
      </c>
      <c r="U4787">
        <v>-3.0169069999999998</v>
      </c>
      <c r="V4787">
        <v>-0.2139617</v>
      </c>
      <c r="W4787">
        <v>6.8649920000000003E-2</v>
      </c>
      <c r="X4787">
        <v>0.97442680000000004</v>
      </c>
      <c r="Y4787">
        <v>-0.2522394</v>
      </c>
      <c r="Z4787">
        <v>0.1218385</v>
      </c>
      <c r="AA4787">
        <v>0.95996389999999998</v>
      </c>
      <c r="AB4787">
        <v>32</v>
      </c>
      <c r="AC4787">
        <v>0.94690000000002705</v>
      </c>
      <c r="AD4787">
        <v>-1.119834078589</v>
      </c>
      <c r="AE4787">
        <v>-8.4761000000000006</v>
      </c>
      <c r="AF4787">
        <v>-2.18986923604723</v>
      </c>
      <c r="AG4787">
        <v>-1.119834078589</v>
      </c>
      <c r="AH4787">
        <v>8.0932505554400507</v>
      </c>
      <c r="AI4787">
        <v>97.607597882387395</v>
      </c>
      <c r="AJ4787">
        <v>105.140527691096</v>
      </c>
      <c r="AK4787">
        <v>8.4587386877528008</v>
      </c>
      <c r="AL4787">
        <v>86.063553244119404</v>
      </c>
      <c r="AM4787">
        <v>102.384298480955</v>
      </c>
      <c r="AN4787">
        <v>1.0000000045705599</v>
      </c>
    </row>
    <row r="4788" spans="1:40" x14ac:dyDescent="0.25">
      <c r="A4788" t="str">
        <f>"20190312151123967"</f>
        <v>20190312151123967</v>
      </c>
      <c r="B4788" t="str">
        <f>"1552374683955903"</f>
        <v>1552374683955903</v>
      </c>
      <c r="C4788" t="s">
        <v>40</v>
      </c>
      <c r="D4788">
        <v>5.0329470000000001</v>
      </c>
      <c r="E4788">
        <v>0.4911703</v>
      </c>
      <c r="F4788" t="s">
        <v>42</v>
      </c>
      <c r="G4788">
        <v>-423.5942</v>
      </c>
      <c r="H4788" s="1">
        <v>-2.9207170000000001E-6</v>
      </c>
      <c r="I4788">
        <v>103.74720000000001</v>
      </c>
      <c r="J4788">
        <v>-424.61219999999997</v>
      </c>
      <c r="K4788">
        <v>1.1198250000000001</v>
      </c>
      <c r="L4788">
        <v>112.2209</v>
      </c>
      <c r="M4788">
        <v>-0.1406695</v>
      </c>
      <c r="N4788">
        <v>0</v>
      </c>
      <c r="O4788">
        <v>-0.98996660000000003</v>
      </c>
      <c r="P4788">
        <v>7.0579999999999907E-2</v>
      </c>
      <c r="Q4788">
        <v>6.0786750000000001E-2</v>
      </c>
      <c r="R4788">
        <v>-0.9956526</v>
      </c>
      <c r="S4788">
        <v>0.33615109999999998</v>
      </c>
      <c r="T4788">
        <v>-0.38392559999999998</v>
      </c>
      <c r="U4788">
        <v>-3.013992</v>
      </c>
      <c r="V4788">
        <v>-0.2116702</v>
      </c>
      <c r="W4788">
        <v>6.8728890000000001E-2</v>
      </c>
      <c r="X4788">
        <v>0.97492160000000005</v>
      </c>
      <c r="Y4788">
        <v>-0.24870030000000001</v>
      </c>
      <c r="Z4788">
        <v>0.1221136</v>
      </c>
      <c r="AA4788">
        <v>0.96085189999999998</v>
      </c>
      <c r="AB4788">
        <v>32</v>
      </c>
      <c r="AC4788">
        <v>1.01799999999997</v>
      </c>
      <c r="AD4788">
        <v>-1.1198279207170001</v>
      </c>
      <c r="AE4788">
        <v>-8.4736999999999902</v>
      </c>
      <c r="AF4788">
        <v>-2.16273939409907</v>
      </c>
      <c r="AG4788">
        <v>-1.1198279207170001</v>
      </c>
      <c r="AH4788">
        <v>8.1066489355709095</v>
      </c>
      <c r="AI4788">
        <v>97.602269609549893</v>
      </c>
      <c r="AJ4788">
        <v>104.937793436143</v>
      </c>
      <c r="AK4788">
        <v>8.4645858270442496</v>
      </c>
      <c r="AL4788">
        <v>86.059017984779999</v>
      </c>
      <c r="AM4788">
        <v>102.24966162047799</v>
      </c>
      <c r="AN4788">
        <v>1.00000003001761</v>
      </c>
    </row>
    <row r="4789" spans="1:40" x14ac:dyDescent="0.25">
      <c r="A4789" t="str">
        <f>"20190312151123991"</f>
        <v>20190312151123991</v>
      </c>
      <c r="B4789" t="str">
        <f>"1552374683986160"</f>
        <v>1552374683986160</v>
      </c>
      <c r="C4789" t="s">
        <v>40</v>
      </c>
      <c r="D4789">
        <v>5.048756</v>
      </c>
      <c r="E4789">
        <v>0.4923109</v>
      </c>
      <c r="F4789" t="s">
        <v>42</v>
      </c>
      <c r="G4789">
        <v>-423.71859999999998</v>
      </c>
      <c r="H4789" s="1">
        <v>-2.7682399999999999E-6</v>
      </c>
      <c r="I4789">
        <v>103.3546</v>
      </c>
      <c r="J4789">
        <v>-424.64530000000002</v>
      </c>
      <c r="K4789">
        <v>1.1198159999999999</v>
      </c>
      <c r="L4789">
        <v>111.90900000000001</v>
      </c>
      <c r="M4789">
        <v>-0.1291524</v>
      </c>
      <c r="N4789">
        <v>0</v>
      </c>
      <c r="O4789">
        <v>-0.9915349</v>
      </c>
      <c r="P4789">
        <v>7.9789390000000002E-2</v>
      </c>
      <c r="Q4789">
        <v>6.0874499999999998E-2</v>
      </c>
      <c r="R4789">
        <v>-0.99495129999999998</v>
      </c>
      <c r="S4789">
        <v>0.30383300000000002</v>
      </c>
      <c r="T4789">
        <v>-0.38077509999999998</v>
      </c>
      <c r="U4789">
        <v>-3.0148009999999998</v>
      </c>
      <c r="V4789">
        <v>-0.20935699999999999</v>
      </c>
      <c r="W4789">
        <v>6.8880170000000004E-2</v>
      </c>
      <c r="X4789">
        <v>0.97541029999999995</v>
      </c>
      <c r="Y4789">
        <v>-0.22717950000000001</v>
      </c>
      <c r="Z4789">
        <v>0.1217877</v>
      </c>
      <c r="AA4789">
        <v>0.9662077</v>
      </c>
      <c r="AB4789">
        <v>32</v>
      </c>
      <c r="AC4789">
        <v>0.92670000000003905</v>
      </c>
      <c r="AD4789">
        <v>-1.11981876823999</v>
      </c>
      <c r="AE4789">
        <v>-8.5543999999999798</v>
      </c>
      <c r="AF4789">
        <v>-1.9901488611029801</v>
      </c>
      <c r="AG4789">
        <v>-1.11981876823999</v>
      </c>
      <c r="AH4789">
        <v>8.2237558987949697</v>
      </c>
      <c r="AI4789">
        <v>97.539194171826296</v>
      </c>
      <c r="AJ4789">
        <v>103.604034127715</v>
      </c>
      <c r="AK4789">
        <v>8.5349193110431401</v>
      </c>
      <c r="AL4789">
        <v>86.050329738257801</v>
      </c>
      <c r="AM4789">
        <v>102.113879048036</v>
      </c>
      <c r="AN4789">
        <v>1.00000004230715</v>
      </c>
    </row>
    <row r="4790" spans="1:40" x14ac:dyDescent="0.25">
      <c r="A4790" t="str">
        <f>"20190312151124012"</f>
        <v>20190312151124012</v>
      </c>
      <c r="B4790" t="str">
        <f>"1552374684005684"</f>
        <v>1552374684005684</v>
      </c>
      <c r="C4790" t="s">
        <v>40</v>
      </c>
      <c r="D4790">
        <v>5.0402969999999998</v>
      </c>
      <c r="E4790">
        <v>0.49345290000000003</v>
      </c>
      <c r="F4790" t="s">
        <v>42</v>
      </c>
      <c r="G4790">
        <v>-423.67529999999999</v>
      </c>
      <c r="H4790" s="1">
        <v>-2.514616E-6</v>
      </c>
      <c r="I4790">
        <v>102.8425</v>
      </c>
      <c r="J4790">
        <v>-424.67469999999997</v>
      </c>
      <c r="K4790">
        <v>1.119807</v>
      </c>
      <c r="L4790">
        <v>111.5973</v>
      </c>
      <c r="M4790">
        <v>-0.11764090000000001</v>
      </c>
      <c r="N4790">
        <v>0</v>
      </c>
      <c r="O4790">
        <v>-0.99296649999999997</v>
      </c>
      <c r="P4790">
        <v>8.8797000000000001E-2</v>
      </c>
      <c r="Q4790">
        <v>6.0724739999999999E-2</v>
      </c>
      <c r="R4790">
        <v>-0.9941972</v>
      </c>
      <c r="S4790">
        <v>0.322235099999999</v>
      </c>
      <c r="T4790">
        <v>-0.37203350000000002</v>
      </c>
      <c r="U4790">
        <v>-3.012146</v>
      </c>
      <c r="V4790">
        <v>-0.2068691</v>
      </c>
      <c r="W4790">
        <v>6.8798830000000005E-2</v>
      </c>
      <c r="X4790">
        <v>0.97594669999999895</v>
      </c>
      <c r="Y4790">
        <v>-0.22183890000000001</v>
      </c>
      <c r="Z4790">
        <v>0.1194376</v>
      </c>
      <c r="AA4790">
        <v>0.96774079999999996</v>
      </c>
      <c r="AB4790">
        <v>32</v>
      </c>
      <c r="AC4790">
        <v>0.99939999999997997</v>
      </c>
      <c r="AD4790">
        <v>-1.1198095146160001</v>
      </c>
      <c r="AE4790">
        <v>-8.7547999999999995</v>
      </c>
      <c r="AF4790">
        <v>-1.99032957191204</v>
      </c>
      <c r="AG4790">
        <v>-1.1198095146160001</v>
      </c>
      <c r="AH4790">
        <v>8.4401088630422496</v>
      </c>
      <c r="AI4790">
        <v>97.358175656204295</v>
      </c>
      <c r="AJ4790">
        <v>103.268958087893</v>
      </c>
      <c r="AK4790">
        <v>8.7436161154213696</v>
      </c>
      <c r="AL4790">
        <v>86.055001219616202</v>
      </c>
      <c r="AM4790">
        <v>101.96771096189499</v>
      </c>
      <c r="AN4790">
        <v>1.00000003239253</v>
      </c>
    </row>
    <row r="4791" spans="1:40" x14ac:dyDescent="0.25">
      <c r="A4791" t="str">
        <f>"20190312151124033"</f>
        <v>20190312151124033</v>
      </c>
      <c r="B4791" t="str">
        <f>"1552374684026176"</f>
        <v>1552374684026176</v>
      </c>
      <c r="C4791" t="s">
        <v>40</v>
      </c>
      <c r="D4791">
        <v>5.0296390000000004</v>
      </c>
      <c r="E4791">
        <v>0.49454599999999999</v>
      </c>
      <c r="F4791" t="s">
        <v>42</v>
      </c>
      <c r="G4791">
        <v>-423.6481</v>
      </c>
      <c r="H4791" s="1">
        <v>-2.3415489999999998E-6</v>
      </c>
      <c r="I4791">
        <v>102.49169999999999</v>
      </c>
      <c r="J4791">
        <v>-424.69990000000001</v>
      </c>
      <c r="K4791">
        <v>1.1197919999999999</v>
      </c>
      <c r="L4791">
        <v>111.29430000000001</v>
      </c>
      <c r="M4791">
        <v>-0.1064567</v>
      </c>
      <c r="N4791">
        <v>0</v>
      </c>
      <c r="O4791">
        <v>-0.99422759999999999</v>
      </c>
      <c r="P4791">
        <v>9.7676180000000001E-2</v>
      </c>
      <c r="Q4791">
        <v>5.9766519999999997E-2</v>
      </c>
      <c r="R4791">
        <v>-0.99342189999999997</v>
      </c>
      <c r="S4791">
        <v>0.33935549999999998</v>
      </c>
      <c r="T4791">
        <v>-0.37014819999999998</v>
      </c>
      <c r="U4791">
        <v>-3.009811</v>
      </c>
      <c r="V4791">
        <v>-0.2045835</v>
      </c>
      <c r="W4791">
        <v>6.7905880000000002E-2</v>
      </c>
      <c r="X4791">
        <v>0.97649090000000005</v>
      </c>
      <c r="Y4791">
        <v>-0.2163861</v>
      </c>
      <c r="Z4791">
        <v>0.11920020000000001</v>
      </c>
      <c r="AA4791">
        <v>0.96900379999999997</v>
      </c>
      <c r="AB4791">
        <v>32</v>
      </c>
      <c r="AC4791">
        <v>1.0518000000000101</v>
      </c>
      <c r="AD4791">
        <v>-1.1197943415489999</v>
      </c>
      <c r="AE4791">
        <v>-8.8026000000000106</v>
      </c>
      <c r="AF4791">
        <v>-1.9518592841131699</v>
      </c>
      <c r="AG4791">
        <v>-1.1197943415489999</v>
      </c>
      <c r="AH4791">
        <v>8.5048918111865692</v>
      </c>
      <c r="AI4791">
        <v>97.312719325995104</v>
      </c>
      <c r="AJ4791">
        <v>102.92546731590301</v>
      </c>
      <c r="AK4791">
        <v>8.7975495879439194</v>
      </c>
      <c r="AL4791">
        <v>86.1062834811285</v>
      </c>
      <c r="AM4791">
        <v>101.832825046705</v>
      </c>
      <c r="AN4791">
        <v>1.00000004739681</v>
      </c>
    </row>
    <row r="4792" spans="1:40" x14ac:dyDescent="0.25">
      <c r="A4792" t="str">
        <f>"20190312151124056"</f>
        <v>20190312151124056</v>
      </c>
      <c r="B4792" t="str">
        <f>"1552374684045698"</f>
        <v>1552374684045698</v>
      </c>
      <c r="C4792" t="s">
        <v>40</v>
      </c>
      <c r="D4792">
        <v>5.0452620000000001</v>
      </c>
      <c r="E4792">
        <v>0.50109269999999995</v>
      </c>
      <c r="F4792" t="s">
        <v>42</v>
      </c>
      <c r="G4792">
        <v>-423.6216</v>
      </c>
      <c r="H4792" s="1">
        <v>-2.2004280000000001E-6</v>
      </c>
      <c r="I4792">
        <v>102.208</v>
      </c>
      <c r="J4792">
        <v>-424.7226</v>
      </c>
      <c r="K4792">
        <v>1.1197729999999999</v>
      </c>
      <c r="L4792">
        <v>110.9791</v>
      </c>
      <c r="M4792">
        <v>-9.4838809999999996E-2</v>
      </c>
      <c r="N4792">
        <v>0</v>
      </c>
      <c r="O4792">
        <v>-0.99540320000000004</v>
      </c>
      <c r="P4792">
        <v>0.1058299</v>
      </c>
      <c r="Q4792">
        <v>5.8839669999999997E-2</v>
      </c>
      <c r="R4792">
        <v>-0.99264220000000003</v>
      </c>
      <c r="S4792">
        <v>0.35684199999999999</v>
      </c>
      <c r="T4792">
        <v>-0.37059320000000001</v>
      </c>
      <c r="U4792">
        <v>-3.0070649999999999</v>
      </c>
      <c r="V4792">
        <v>-0.20117499999999999</v>
      </c>
      <c r="W4792">
        <v>6.7076179999999999E-2</v>
      </c>
      <c r="X4792">
        <v>0.97725609999999996</v>
      </c>
      <c r="Y4792">
        <v>-0.2106372</v>
      </c>
      <c r="Z4792">
        <v>0.1197005</v>
      </c>
      <c r="AA4792">
        <v>0.97020810000000002</v>
      </c>
      <c r="AB4792">
        <v>32</v>
      </c>
      <c r="AC4792">
        <v>1.10099999999999</v>
      </c>
      <c r="AD4792">
        <v>-1.1197752004279999</v>
      </c>
      <c r="AE4792">
        <v>-8.7711000000000006</v>
      </c>
      <c r="AF4792">
        <v>-1.8975041266842301</v>
      </c>
      <c r="AG4792">
        <v>-1.1197752004279999</v>
      </c>
      <c r="AH4792">
        <v>8.4908877632052704</v>
      </c>
      <c r="AI4792">
        <v>97.3339323220425</v>
      </c>
      <c r="AJ4792">
        <v>102.59720976154701</v>
      </c>
      <c r="AK4792">
        <v>8.7720917355911396</v>
      </c>
      <c r="AL4792">
        <v>86.153930399843205</v>
      </c>
      <c r="AM4792">
        <v>101.632239939531</v>
      </c>
      <c r="AN4792">
        <v>1.0000000397677999</v>
      </c>
    </row>
    <row r="4793" spans="1:40" x14ac:dyDescent="0.25">
      <c r="A4793" t="str">
        <f>"20190312151124078"</f>
        <v>20190312151124078</v>
      </c>
      <c r="B4793" t="str">
        <f>"1552374684075952"</f>
        <v>1552374684075952</v>
      </c>
      <c r="C4793" t="s">
        <v>40</v>
      </c>
      <c r="D4793">
        <v>5.0232159999999997</v>
      </c>
      <c r="E4793">
        <v>0.50184399999999996</v>
      </c>
      <c r="F4793" t="s">
        <v>42</v>
      </c>
      <c r="G4793">
        <v>-423.66539999999998</v>
      </c>
      <c r="H4793" s="1">
        <v>-1.77877E-6</v>
      </c>
      <c r="I4793">
        <v>101.2914</v>
      </c>
      <c r="J4793">
        <v>-424.74079999999998</v>
      </c>
      <c r="K4793">
        <v>1.11975</v>
      </c>
      <c r="L4793">
        <v>110.6734</v>
      </c>
      <c r="M4793">
        <v>-8.360397E-2</v>
      </c>
      <c r="N4793">
        <v>0</v>
      </c>
      <c r="O4793">
        <v>-0.99640980000000001</v>
      </c>
      <c r="P4793">
        <v>0.1131648</v>
      </c>
      <c r="Q4793">
        <v>5.7954930000000002E-2</v>
      </c>
      <c r="R4793">
        <v>-0.99188480000000001</v>
      </c>
      <c r="S4793">
        <v>0.32821660000000002</v>
      </c>
      <c r="T4793">
        <v>-0.34766900000000001</v>
      </c>
      <c r="U4793">
        <v>-3.0078429999999998</v>
      </c>
      <c r="V4793">
        <v>-0.19735</v>
      </c>
      <c r="W4793">
        <v>6.6302079999999999E-2</v>
      </c>
      <c r="X4793">
        <v>0.97808839999999997</v>
      </c>
      <c r="Y4793">
        <v>-0.1905143</v>
      </c>
      <c r="Z4793">
        <v>0.1128366</v>
      </c>
      <c r="AA4793">
        <v>0.97517810000000005</v>
      </c>
      <c r="AB4793">
        <v>32</v>
      </c>
      <c r="AC4793">
        <v>1.0753999999999999</v>
      </c>
      <c r="AD4793">
        <v>-1.11975177877</v>
      </c>
      <c r="AE4793">
        <v>-9.3819999999999997</v>
      </c>
      <c r="AF4793">
        <v>-1.8303421182953601</v>
      </c>
      <c r="AG4793">
        <v>-1.11975177877</v>
      </c>
      <c r="AH4793">
        <v>9.13085327006565</v>
      </c>
      <c r="AI4793">
        <v>96.856431455137496</v>
      </c>
      <c r="AJ4793">
        <v>101.335099290184</v>
      </c>
      <c r="AK4793">
        <v>9.3795776960123902</v>
      </c>
      <c r="AL4793">
        <v>86.198381690888596</v>
      </c>
      <c r="AM4793">
        <v>101.407474324077</v>
      </c>
      <c r="AN4793">
        <v>0.99999995326344204</v>
      </c>
    </row>
    <row r="4794" spans="1:40" x14ac:dyDescent="0.25">
      <c r="A4794" t="str">
        <f>"20190312151124102"</f>
        <v>20190312151124102</v>
      </c>
      <c r="B4794" t="str">
        <f>"1552374684096447"</f>
        <v>1552374684096447</v>
      </c>
      <c r="C4794" t="s">
        <v>40</v>
      </c>
      <c r="D4794">
        <v>5.0087910000000004</v>
      </c>
      <c r="E4794">
        <v>0.50238870000000002</v>
      </c>
      <c r="F4794" t="s">
        <v>42</v>
      </c>
      <c r="G4794">
        <v>-423.62740000000002</v>
      </c>
      <c r="H4794" s="1">
        <v>-1.611579E-6</v>
      </c>
      <c r="I4794">
        <v>100.95910000000001</v>
      </c>
      <c r="J4794">
        <v>-424.75639999999999</v>
      </c>
      <c r="K4794">
        <v>1.119715</v>
      </c>
      <c r="L4794">
        <v>110.34690000000001</v>
      </c>
      <c r="M4794">
        <v>-7.1650309999999995E-2</v>
      </c>
      <c r="N4794">
        <v>0</v>
      </c>
      <c r="O4794">
        <v>-0.99734080000000003</v>
      </c>
      <c r="P4794">
        <v>0.12177350000000001</v>
      </c>
      <c r="Q4794">
        <v>5.8482270000000003E-2</v>
      </c>
      <c r="R4794">
        <v>-0.99083359999999998</v>
      </c>
      <c r="S4794">
        <v>0.34448240000000002</v>
      </c>
      <c r="T4794">
        <v>-0.34643550000000001</v>
      </c>
      <c r="U4794">
        <v>-3.0054780000000001</v>
      </c>
      <c r="V4794">
        <v>-0.19411619999999999</v>
      </c>
      <c r="W4794">
        <v>6.6921560000000005E-2</v>
      </c>
      <c r="X4794">
        <v>0.97869320000000004</v>
      </c>
      <c r="Y4794">
        <v>-0.1840388</v>
      </c>
      <c r="Z4794">
        <v>0.11272500000000001</v>
      </c>
      <c r="AA4794">
        <v>0.97643369999999996</v>
      </c>
      <c r="AB4794">
        <v>32</v>
      </c>
      <c r="AC4794">
        <v>1.12899999999996</v>
      </c>
      <c r="AD4794">
        <v>-1.119716611579</v>
      </c>
      <c r="AE4794">
        <v>-9.3878000000000004</v>
      </c>
      <c r="AF4794">
        <v>-1.77391991648462</v>
      </c>
      <c r="AG4794">
        <v>-1.119716611579</v>
      </c>
      <c r="AH4794">
        <v>9.1543915250027297</v>
      </c>
      <c r="AI4794">
        <v>96.847345964869106</v>
      </c>
      <c r="AJ4794">
        <v>100.9667443355</v>
      </c>
      <c r="AK4794">
        <v>9.3916687203813005</v>
      </c>
      <c r="AL4794">
        <v>86.162809220895298</v>
      </c>
      <c r="AM4794">
        <v>101.21857386586601</v>
      </c>
      <c r="AN4794">
        <v>0.99999998701075599</v>
      </c>
    </row>
    <row r="4795" spans="1:40" x14ac:dyDescent="0.25">
      <c r="A4795" t="str">
        <f>"20190312151124123"</f>
        <v>20190312151124123</v>
      </c>
      <c r="B4795" t="str">
        <f>"1552374684115967"</f>
        <v>1552374684115967</v>
      </c>
      <c r="C4795" t="s">
        <v>40</v>
      </c>
      <c r="D4795">
        <v>5.0117379999999896</v>
      </c>
      <c r="E4795">
        <v>0.50464849999999895</v>
      </c>
      <c r="F4795" t="s">
        <v>42</v>
      </c>
      <c r="G4795">
        <v>-423.56700000000001</v>
      </c>
      <c r="H4795" s="1">
        <v>-1.4212700000000001E-6</v>
      </c>
      <c r="I4795">
        <v>100.59050000000001</v>
      </c>
      <c r="J4795">
        <v>-424.76749999999998</v>
      </c>
      <c r="K4795">
        <v>1.1196759999999999</v>
      </c>
      <c r="L4795">
        <v>110.04730000000001</v>
      </c>
      <c r="M4795">
        <v>-6.0722400000000003E-2</v>
      </c>
      <c r="N4795">
        <v>0</v>
      </c>
      <c r="O4795">
        <v>-0.9980658</v>
      </c>
      <c r="P4795">
        <v>0.12993179999999999</v>
      </c>
      <c r="Q4795">
        <v>5.9888669999999998E-2</v>
      </c>
      <c r="R4795">
        <v>-0.98971279999999995</v>
      </c>
      <c r="S4795">
        <v>0.36611939999999998</v>
      </c>
      <c r="T4795">
        <v>-0.34465709999999999</v>
      </c>
      <c r="U4795">
        <v>-3.003098</v>
      </c>
      <c r="V4795">
        <v>-0.19147819999999999</v>
      </c>
      <c r="W4795">
        <v>6.8400639999999999E-2</v>
      </c>
      <c r="X4795">
        <v>0.97911049999999999</v>
      </c>
      <c r="Y4795">
        <v>-0.18030499999999999</v>
      </c>
      <c r="Z4795">
        <v>0.1123571</v>
      </c>
      <c r="AA4795">
        <v>0.97717240000000005</v>
      </c>
      <c r="AB4795">
        <v>32</v>
      </c>
      <c r="AC4795">
        <v>1.2005000000000301</v>
      </c>
      <c r="AD4795">
        <v>-1.11967742127</v>
      </c>
      <c r="AE4795">
        <v>-9.4567999999999994</v>
      </c>
      <c r="AF4795">
        <v>-1.7484531316737899</v>
      </c>
      <c r="AG4795">
        <v>-1.11967742127</v>
      </c>
      <c r="AH4795">
        <v>9.2389811223475196</v>
      </c>
      <c r="AI4795">
        <v>96.790633626350797</v>
      </c>
      <c r="AJ4795">
        <v>100.716342824991</v>
      </c>
      <c r="AK4795">
        <v>9.4694000897868698</v>
      </c>
      <c r="AL4795">
        <v>86.077869412885704</v>
      </c>
      <c r="AM4795">
        <v>101.065304872014</v>
      </c>
      <c r="AN4795">
        <v>0.99999995991894897</v>
      </c>
    </row>
    <row r="4796" spans="1:40" x14ac:dyDescent="0.25">
      <c r="A4796" t="str">
        <f>"20190312151124136"</f>
        <v>20190312151124136</v>
      </c>
      <c r="B4796" t="str">
        <f>"1552374684125727"</f>
        <v>1552374684125727</v>
      </c>
      <c r="C4796" t="s">
        <v>40</v>
      </c>
      <c r="D4796">
        <v>5.0130600000000003</v>
      </c>
      <c r="E4796">
        <v>0.50515370000000004</v>
      </c>
      <c r="F4796" t="s">
        <v>42</v>
      </c>
      <c r="G4796">
        <v>-423.55180000000001</v>
      </c>
      <c r="H4796" s="1">
        <v>-1.2476009999999999E-6</v>
      </c>
      <c r="I4796">
        <v>100.2316</v>
      </c>
      <c r="J4796">
        <v>-424.77300000000002</v>
      </c>
      <c r="K4796">
        <v>1.1196459999999999</v>
      </c>
      <c r="L4796">
        <v>109.8575</v>
      </c>
      <c r="M4796">
        <v>-5.3827989999999999E-2</v>
      </c>
      <c r="N4796">
        <v>0</v>
      </c>
      <c r="O4796">
        <v>-0.9984615</v>
      </c>
      <c r="P4796">
        <v>0.1351928</v>
      </c>
      <c r="Q4796">
        <v>6.0506299999999999E-2</v>
      </c>
      <c r="R4796">
        <v>-0.98897020000000002</v>
      </c>
      <c r="S4796">
        <v>0.37191770000000002</v>
      </c>
      <c r="T4796">
        <v>-0.3425665</v>
      </c>
      <c r="U4796">
        <v>-3.003098</v>
      </c>
      <c r="V4796">
        <v>-0.18992870000000001</v>
      </c>
      <c r="W4796">
        <v>6.9061399999999995E-2</v>
      </c>
      <c r="X4796">
        <v>0.97936590000000001</v>
      </c>
      <c r="Y4796">
        <v>-0.17537800000000001</v>
      </c>
      <c r="Z4796">
        <v>0.11178879999999999</v>
      </c>
      <c r="AA4796">
        <v>0.9781339</v>
      </c>
      <c r="AB4796">
        <v>32</v>
      </c>
      <c r="AC4796">
        <v>1.2212000000000101</v>
      </c>
      <c r="AD4796">
        <v>-1.119647247601</v>
      </c>
      <c r="AE4796">
        <v>-9.6258999999999997</v>
      </c>
      <c r="AF4796">
        <v>-1.71478538429841</v>
      </c>
      <c r="AG4796">
        <v>-1.119647247601</v>
      </c>
      <c r="AH4796">
        <v>9.4207628618363994</v>
      </c>
      <c r="AI4796">
        <v>96.669177365291105</v>
      </c>
      <c r="AJ4796">
        <v>100.316146091946</v>
      </c>
      <c r="AK4796">
        <v>9.6407920718279101</v>
      </c>
      <c r="AL4796">
        <v>86.039920979832303</v>
      </c>
      <c r="AM4796">
        <v>100.975151729648</v>
      </c>
      <c r="AN4796">
        <v>0.99999997706822896</v>
      </c>
    </row>
    <row r="4797" spans="1:40" x14ac:dyDescent="0.25">
      <c r="A4797" t="str">
        <f>"20190312151124156"</f>
        <v>20190312151124156</v>
      </c>
      <c r="B4797" t="str">
        <f>"1552374684146224"</f>
        <v>1552374684146224</v>
      </c>
      <c r="C4797" t="s">
        <v>40</v>
      </c>
      <c r="D4797">
        <v>5.0462429999999996</v>
      </c>
      <c r="E4797">
        <v>0.50717630000000002</v>
      </c>
      <c r="F4797" t="s">
        <v>42</v>
      </c>
      <c r="G4797">
        <v>-423.5034</v>
      </c>
      <c r="H4797" s="1">
        <v>-1.0844459999999999E-6</v>
      </c>
      <c r="I4797">
        <v>99.913780000000003</v>
      </c>
      <c r="J4797">
        <v>-424.77850000000001</v>
      </c>
      <c r="K4797">
        <v>1.119588</v>
      </c>
      <c r="L4797">
        <v>109.57899999999999</v>
      </c>
      <c r="M4797">
        <v>-4.377677E-2</v>
      </c>
      <c r="N4797">
        <v>0</v>
      </c>
      <c r="O4797">
        <v>-0.99895270000000003</v>
      </c>
      <c r="P4797">
        <v>0.1421647</v>
      </c>
      <c r="Q4797">
        <v>5.988831E-2</v>
      </c>
      <c r="R4797">
        <v>-0.98802959999999995</v>
      </c>
      <c r="S4797">
        <v>0.38327030000000001</v>
      </c>
      <c r="T4797">
        <v>-0.33799230000000002</v>
      </c>
      <c r="U4797">
        <v>-3.0017550000000002</v>
      </c>
      <c r="V4797">
        <v>-0.18695519999999999</v>
      </c>
      <c r="W4797">
        <v>6.8530049999999995E-2</v>
      </c>
      <c r="X4797">
        <v>0.97997520000000005</v>
      </c>
      <c r="Y4797">
        <v>-0.16918239999999901</v>
      </c>
      <c r="Z4797">
        <v>0.1104801</v>
      </c>
      <c r="AA4797">
        <v>0.97937300000000005</v>
      </c>
      <c r="AB4797">
        <v>32</v>
      </c>
      <c r="AC4797">
        <v>1.2750999999999999</v>
      </c>
      <c r="AD4797">
        <v>-1.1195890844459999</v>
      </c>
      <c r="AE4797">
        <v>-9.6652199999999908</v>
      </c>
      <c r="AF4797">
        <v>-1.6749368332237899</v>
      </c>
      <c r="AG4797">
        <v>-1.1195890844459999</v>
      </c>
      <c r="AH4797">
        <v>9.4751634258896704</v>
      </c>
      <c r="AI4797">
        <v>96.636887560676499</v>
      </c>
      <c r="AJ4797">
        <v>100.02468737868099</v>
      </c>
      <c r="AK4797">
        <v>9.6869817312007793</v>
      </c>
      <c r="AL4797">
        <v>86.070437498196497</v>
      </c>
      <c r="AM4797">
        <v>100.800842405255</v>
      </c>
      <c r="AN4797">
        <v>1.00000000358754</v>
      </c>
    </row>
    <row r="4798" spans="1:40" x14ac:dyDescent="0.25">
      <c r="A4798" t="str">
        <f>"20190312151124202"</f>
        <v>20190312151124202</v>
      </c>
      <c r="B4798" t="str">
        <f>"1552374684195999"</f>
        <v>1552374684195999</v>
      </c>
      <c r="C4798" t="s">
        <v>40</v>
      </c>
      <c r="D4798">
        <v>5.1422410000000003</v>
      </c>
      <c r="E4798">
        <v>0.50894589999999995</v>
      </c>
      <c r="F4798" t="s">
        <v>42</v>
      </c>
      <c r="G4798">
        <v>-423.42599999999999</v>
      </c>
      <c r="H4798" s="1">
        <v>-4.7273100000000003E-6</v>
      </c>
      <c r="I4798">
        <v>99.092380000000006</v>
      </c>
      <c r="J4798">
        <v>-424.78089999999997</v>
      </c>
      <c r="K4798">
        <v>1.1193679999999999</v>
      </c>
      <c r="L4798">
        <v>108.9414</v>
      </c>
      <c r="M4798">
        <v>-2.1199929999999999E-2</v>
      </c>
      <c r="N4798">
        <v>0</v>
      </c>
      <c r="O4798">
        <v>-0.9996874</v>
      </c>
      <c r="P4798">
        <v>0.1557221</v>
      </c>
      <c r="Q4798">
        <v>5.9754340000000003E-2</v>
      </c>
      <c r="R4798">
        <v>-0.98599190000000003</v>
      </c>
      <c r="S4798">
        <v>0.38693240000000001</v>
      </c>
      <c r="T4798">
        <v>-0.32030059999999999</v>
      </c>
      <c r="U4798">
        <v>-3.000092</v>
      </c>
      <c r="V4798">
        <v>-0.17822569999999999</v>
      </c>
      <c r="W4798">
        <v>6.8662760000000003E-2</v>
      </c>
      <c r="X4798">
        <v>0.98159099999999999</v>
      </c>
      <c r="Y4798">
        <v>-0.14820359999999999</v>
      </c>
      <c r="Z4798">
        <v>0.1051076</v>
      </c>
      <c r="AA4798">
        <v>0.98335550000000005</v>
      </c>
      <c r="AB4798">
        <v>32</v>
      </c>
      <c r="AC4798">
        <v>1.35489999999998</v>
      </c>
      <c r="AD4798">
        <v>-1.11937272730999</v>
      </c>
      <c r="AE4798">
        <v>-9.8490199999999906</v>
      </c>
      <c r="AF4798">
        <v>-1.5438408294304</v>
      </c>
      <c r="AG4798">
        <v>-1.11937272730999</v>
      </c>
      <c r="AH4798">
        <v>9.6951727241335099</v>
      </c>
      <c r="AI4798">
        <v>96.504782668886406</v>
      </c>
      <c r="AJ4798">
        <v>99.047707540085</v>
      </c>
      <c r="AK4798">
        <v>9.8809318366257397</v>
      </c>
      <c r="AL4798">
        <v>86.062815544112993</v>
      </c>
      <c r="AM4798">
        <v>100.29098066684401</v>
      </c>
      <c r="AN4798">
        <v>0.99999993301615098</v>
      </c>
    </row>
    <row r="4799" spans="1:40" x14ac:dyDescent="0.25">
      <c r="A4799" t="str">
        <f>"20190312151124224"</f>
        <v>20190312151124224</v>
      </c>
      <c r="B4799" t="str">
        <f>"1552374684216495"</f>
        <v>1552374684216495</v>
      </c>
      <c r="C4799" t="s">
        <v>40</v>
      </c>
      <c r="D4799">
        <v>4.9919630000000002</v>
      </c>
      <c r="E4799">
        <v>0.52093849999999997</v>
      </c>
      <c r="F4799" t="s">
        <v>42</v>
      </c>
      <c r="G4799">
        <v>-423.17189999999999</v>
      </c>
      <c r="H4799" s="1">
        <v>-4.0640810000000003E-6</v>
      </c>
      <c r="I4799">
        <v>97.275899999999993</v>
      </c>
      <c r="J4799">
        <v>-424.77730000000003</v>
      </c>
      <c r="K4799">
        <v>1.119245</v>
      </c>
      <c r="L4799">
        <v>108.6427</v>
      </c>
      <c r="M4799">
        <v>-1.08392E-2</v>
      </c>
      <c r="N4799">
        <v>0</v>
      </c>
      <c r="O4799">
        <v>-0.99985389999999996</v>
      </c>
      <c r="P4799">
        <v>0.1608926</v>
      </c>
      <c r="Q4799">
        <v>5.9531069999999998E-2</v>
      </c>
      <c r="R4799">
        <v>-0.98517509999999997</v>
      </c>
      <c r="S4799">
        <v>0.41305540000000002</v>
      </c>
      <c r="T4799">
        <v>-0.28736909999999999</v>
      </c>
      <c r="U4799">
        <v>-2.994812</v>
      </c>
      <c r="V4799">
        <v>-0.17317249999999901</v>
      </c>
      <c r="W4799">
        <v>6.859092E-2</v>
      </c>
      <c r="X4799">
        <v>0.98250020000000005</v>
      </c>
      <c r="Y4799">
        <v>-0.1467483</v>
      </c>
      <c r="Z4799">
        <v>9.4547859999999997E-2</v>
      </c>
      <c r="AA4799">
        <v>0.98464490000000005</v>
      </c>
      <c r="AB4799">
        <v>32</v>
      </c>
      <c r="AC4799">
        <v>1.6054000000000299</v>
      </c>
      <c r="AD4799">
        <v>-1.119249064081</v>
      </c>
      <c r="AE4799">
        <v>-11.3668</v>
      </c>
      <c r="AF4799">
        <v>-1.71224678465643</v>
      </c>
      <c r="AG4799">
        <v>-1.119249064081</v>
      </c>
      <c r="AH4799">
        <v>11.2418638608863</v>
      </c>
      <c r="AI4799">
        <v>95.621271644817298</v>
      </c>
      <c r="AJ4799">
        <v>98.660154900858799</v>
      </c>
      <c r="AK4799">
        <v>11.4264609825489</v>
      </c>
      <c r="AL4799">
        <v>86.066941806115196</v>
      </c>
      <c r="AM4799">
        <v>99.996109123247194</v>
      </c>
      <c r="AN4799">
        <v>1.0000000360313599</v>
      </c>
    </row>
    <row r="4800" spans="1:40" x14ac:dyDescent="0.25">
      <c r="A4800" t="str">
        <f>"20190312151124246"</f>
        <v>20190312151124246</v>
      </c>
      <c r="B4800" t="str">
        <f>"1552374684236015"</f>
        <v>1552374684236015</v>
      </c>
      <c r="C4800" t="s">
        <v>40</v>
      </c>
      <c r="D4800">
        <v>5.0563070000000003</v>
      </c>
      <c r="E4800">
        <v>0.52222849999999998</v>
      </c>
      <c r="F4800" t="s">
        <v>42</v>
      </c>
      <c r="G4800">
        <v>-422.21859999999998</v>
      </c>
      <c r="H4800" s="1">
        <v>-3.0345170000000002E-6</v>
      </c>
      <c r="I4800">
        <v>85.286630000000002</v>
      </c>
      <c r="J4800">
        <v>-424.77030000000002</v>
      </c>
      <c r="K4800">
        <v>1.1190910000000001</v>
      </c>
      <c r="L4800">
        <v>108.3282</v>
      </c>
      <c r="M4800">
        <v>-1.20384E-4</v>
      </c>
      <c r="N4800">
        <v>0</v>
      </c>
      <c r="O4800">
        <v>-0.99991319999999995</v>
      </c>
      <c r="P4800">
        <v>0.16601150000000001</v>
      </c>
      <c r="Q4800">
        <v>5.835738E-2</v>
      </c>
      <c r="R4800">
        <v>-0.98439600000000005</v>
      </c>
      <c r="S4800">
        <v>0.32867429999999997</v>
      </c>
      <c r="T4800">
        <v>-0.14377010000000001</v>
      </c>
      <c r="U4800">
        <v>-3.0001370000000001</v>
      </c>
      <c r="V4800">
        <v>-0.16769110000000001</v>
      </c>
      <c r="W4800">
        <v>6.7582859999999995E-2</v>
      </c>
      <c r="X4800">
        <v>0.98352030000000001</v>
      </c>
      <c r="Y4800">
        <v>-0.10889790000000001</v>
      </c>
      <c r="Z4800">
        <v>4.7581900000000003E-2</v>
      </c>
      <c r="AA4800">
        <v>0.9929135</v>
      </c>
      <c r="AB4800">
        <v>32</v>
      </c>
      <c r="AC4800">
        <v>2.5517000000000301</v>
      </c>
      <c r="AD4800">
        <v>-1.119094034517</v>
      </c>
      <c r="AE4800">
        <v>-23.04157</v>
      </c>
      <c r="AF4800">
        <v>-2.54853516116088</v>
      </c>
      <c r="AG4800">
        <v>-1.119094034517</v>
      </c>
      <c r="AH4800">
        <v>22.987693984348802</v>
      </c>
      <c r="AI4800">
        <v>92.770145111195703</v>
      </c>
      <c r="AJ4800">
        <v>96.326273206986201</v>
      </c>
      <c r="AK4800">
        <v>23.155592794049401</v>
      </c>
      <c r="AL4800">
        <v>86.124833455708398</v>
      </c>
      <c r="AM4800">
        <v>99.675936552499195</v>
      </c>
      <c r="AN4800">
        <v>0.99999996424853899</v>
      </c>
    </row>
    <row r="4801" spans="1:40" x14ac:dyDescent="0.25">
      <c r="A4801" t="str">
        <f>"20190312151124269"</f>
        <v>20190312151124269</v>
      </c>
      <c r="B4801" t="str">
        <f>"1552374684266271"</f>
        <v>1552374684266271</v>
      </c>
      <c r="C4801" t="s">
        <v>40</v>
      </c>
      <c r="D4801">
        <v>4.9690830000000004</v>
      </c>
      <c r="E4801">
        <v>0.52307309999999996</v>
      </c>
      <c r="F4801" t="s">
        <v>42</v>
      </c>
      <c r="G4801">
        <v>-422.35410000000002</v>
      </c>
      <c r="H4801" s="1">
        <v>-3.6449189999999999E-6</v>
      </c>
      <c r="I4801">
        <v>86.625450000000001</v>
      </c>
      <c r="J4801">
        <v>-424.76049999999998</v>
      </c>
      <c r="K4801">
        <v>1.118927</v>
      </c>
      <c r="L4801">
        <v>108.0204</v>
      </c>
      <c r="M4801">
        <v>1.014436E-2</v>
      </c>
      <c r="N4801">
        <v>0</v>
      </c>
      <c r="O4801">
        <v>-0.99986200000000003</v>
      </c>
      <c r="P4801">
        <v>0.17049159999999999</v>
      </c>
      <c r="Q4801">
        <v>5.734003E-2</v>
      </c>
      <c r="R4801">
        <v>-0.98368920000000004</v>
      </c>
      <c r="S4801">
        <v>0.33404539999999999</v>
      </c>
      <c r="T4801">
        <v>-0.1547135</v>
      </c>
      <c r="U4801">
        <v>-3.000381</v>
      </c>
      <c r="V4801">
        <v>-0.1620164</v>
      </c>
      <c r="W4801">
        <v>6.673838E-2</v>
      </c>
      <c r="X4801">
        <v>0.98452870000000003</v>
      </c>
      <c r="Y4801">
        <v>-0.1004169</v>
      </c>
      <c r="Z4801">
        <v>5.1204329999999999E-2</v>
      </c>
      <c r="AA4801">
        <v>0.99362700000000004</v>
      </c>
      <c r="AB4801">
        <v>32</v>
      </c>
      <c r="AC4801">
        <v>2.4063999999999601</v>
      </c>
      <c r="AD4801">
        <v>-1.118930644919</v>
      </c>
      <c r="AE4801">
        <v>-21.394949999999898</v>
      </c>
      <c r="AF4801">
        <v>-2.1833221502571698</v>
      </c>
      <c r="AG4801">
        <v>-1.118930644919</v>
      </c>
      <c r="AH4801">
        <v>21.360567592045399</v>
      </c>
      <c r="AI4801">
        <v>92.983070275592198</v>
      </c>
      <c r="AJ4801">
        <v>95.836090874535898</v>
      </c>
      <c r="AK4801">
        <v>21.50099414572</v>
      </c>
      <c r="AL4801">
        <v>86.173328393602205</v>
      </c>
      <c r="AM4801">
        <v>99.344974934906602</v>
      </c>
      <c r="AN4801">
        <v>1.0000000431788301</v>
      </c>
    </row>
    <row r="4802" spans="1:40" x14ac:dyDescent="0.25">
      <c r="A4802" t="str">
        <f>"20190312151124291"</f>
        <v>20190312151124291</v>
      </c>
      <c r="B4802" t="str">
        <f>"1552374684285796"</f>
        <v>1552374684285796</v>
      </c>
      <c r="C4802" t="s">
        <v>40</v>
      </c>
      <c r="D4802">
        <v>5.2495390000000004</v>
      </c>
      <c r="E4802">
        <v>0.52338450000000003</v>
      </c>
      <c r="F4802" t="s">
        <v>42</v>
      </c>
      <c r="G4802">
        <v>-422.30470000000003</v>
      </c>
      <c r="H4802" s="1">
        <v>-3.5334619999999999E-6</v>
      </c>
      <c r="I4802">
        <v>86.396240000000006</v>
      </c>
      <c r="J4802">
        <v>-424.74720000000002</v>
      </c>
      <c r="K4802">
        <v>1.1187199999999999</v>
      </c>
      <c r="L4802">
        <v>107.7007</v>
      </c>
      <c r="M4802">
        <v>2.0517560000000001E-2</v>
      </c>
      <c r="N4802">
        <v>0</v>
      </c>
      <c r="O4802">
        <v>-0.99970349999999997</v>
      </c>
      <c r="P4802">
        <v>0.17523810000000001</v>
      </c>
      <c r="Q4802">
        <v>5.7528830000000003E-2</v>
      </c>
      <c r="R4802">
        <v>-0.9828441</v>
      </c>
      <c r="S4802">
        <v>0.34066770000000002</v>
      </c>
      <c r="T4802">
        <v>-0.15521940000000001</v>
      </c>
      <c r="U4802">
        <v>-2.9997250000000002</v>
      </c>
      <c r="V4802">
        <v>-0.1565193</v>
      </c>
      <c r="W4802">
        <v>6.7099019999999995E-2</v>
      </c>
      <c r="X4802">
        <v>0.98539299999999996</v>
      </c>
      <c r="Y4802">
        <v>-9.2279899999999998E-2</v>
      </c>
      <c r="Z4802">
        <v>5.1384190000000003E-2</v>
      </c>
      <c r="AA4802">
        <v>0.99440640000000002</v>
      </c>
      <c r="AB4802">
        <v>32</v>
      </c>
      <c r="AC4802">
        <v>2.4424999999999901</v>
      </c>
      <c r="AD4802">
        <v>-1.118723533462</v>
      </c>
      <c r="AE4802">
        <v>-21.304459999999899</v>
      </c>
      <c r="AF4802">
        <v>-1.9993909718074201</v>
      </c>
      <c r="AG4802">
        <v>-1.118723533462</v>
      </c>
      <c r="AH4802">
        <v>21.292143035463599</v>
      </c>
      <c r="AI4802">
        <v>92.994497810600706</v>
      </c>
      <c r="AJ4802">
        <v>95.364501098699193</v>
      </c>
      <c r="AK4802">
        <v>21.415052221395801</v>
      </c>
      <c r="AL4802">
        <v>86.1526185294057</v>
      </c>
      <c r="AM4802">
        <v>99.025431375084295</v>
      </c>
      <c r="AN4802">
        <v>0.99999996710322403</v>
      </c>
    </row>
    <row r="4803" spans="1:40" x14ac:dyDescent="0.25">
      <c r="A4803" t="str">
        <f>"20190312151124314"</f>
        <v>20190312151124314</v>
      </c>
      <c r="B4803" t="str">
        <f>"1552374684306287"</f>
        <v>1552374684306287</v>
      </c>
      <c r="C4803" t="s">
        <v>40</v>
      </c>
      <c r="D4803">
        <v>5.0786800000000003</v>
      </c>
      <c r="E4803">
        <v>0.52326070000000002</v>
      </c>
      <c r="F4803" t="s">
        <v>42</v>
      </c>
      <c r="G4803">
        <v>-422.2473</v>
      </c>
      <c r="H4803" s="1">
        <v>-3.5328849999999999E-6</v>
      </c>
      <c r="I4803">
        <v>86.430499999999995</v>
      </c>
      <c r="J4803">
        <v>-424.73149999999998</v>
      </c>
      <c r="K4803">
        <v>1.118487</v>
      </c>
      <c r="L4803">
        <v>107.3905</v>
      </c>
      <c r="M4803">
        <v>3.02616E-2</v>
      </c>
      <c r="N4803">
        <v>0</v>
      </c>
      <c r="O4803">
        <v>-0.99945649999999997</v>
      </c>
      <c r="P4803">
        <v>0.17958729999999901</v>
      </c>
      <c r="Q4803">
        <v>5.7293169999999997E-2</v>
      </c>
      <c r="R4803">
        <v>-0.98207219999999995</v>
      </c>
      <c r="S4803">
        <v>0.35244750000000002</v>
      </c>
      <c r="T4803">
        <v>-0.15772220000000001</v>
      </c>
      <c r="U4803">
        <v>-2.998764</v>
      </c>
      <c r="V4803">
        <v>-0.15122650000000001</v>
      </c>
      <c r="W4803">
        <v>6.7033369999999995E-2</v>
      </c>
      <c r="X4803">
        <v>0.98622359999999998</v>
      </c>
      <c r="Y4803">
        <v>-8.6457519999999996E-2</v>
      </c>
      <c r="Z4803">
        <v>5.2209650000000003E-2</v>
      </c>
      <c r="AA4803">
        <v>0.99488659999999995</v>
      </c>
      <c r="AB4803">
        <v>32</v>
      </c>
      <c r="AC4803">
        <v>2.48419999999998</v>
      </c>
      <c r="AD4803">
        <v>-1.1184905328849899</v>
      </c>
      <c r="AE4803">
        <v>-20.96</v>
      </c>
      <c r="AF4803">
        <v>-1.84354771745909</v>
      </c>
      <c r="AG4803">
        <v>-1.1184905328849899</v>
      </c>
      <c r="AH4803">
        <v>20.966703108435301</v>
      </c>
      <c r="AI4803">
        <v>93.041894371189599</v>
      </c>
      <c r="AJ4803">
        <v>95.024945919037293</v>
      </c>
      <c r="AK4803">
        <v>21.077294145501</v>
      </c>
      <c r="AL4803">
        <v>86.156388450734596</v>
      </c>
      <c r="AM4803">
        <v>98.717771877727998</v>
      </c>
      <c r="AN4803">
        <v>0.99999995809638198</v>
      </c>
    </row>
    <row r="4804" spans="1:40" x14ac:dyDescent="0.25">
      <c r="A4804" t="str">
        <f>"20190312151124336"</f>
        <v>20190312151124336</v>
      </c>
      <c r="B4804" t="str">
        <f>"1552374684325808"</f>
        <v>1552374684325808</v>
      </c>
      <c r="C4804" t="s">
        <v>40</v>
      </c>
      <c r="D4804">
        <v>5.0502260000000003</v>
      </c>
      <c r="E4804">
        <v>0.52360549999999995</v>
      </c>
      <c r="F4804" t="s">
        <v>42</v>
      </c>
      <c r="G4804">
        <v>-422.1155</v>
      </c>
      <c r="H4804" s="1">
        <v>-3.2882799999999998E-6</v>
      </c>
      <c r="I4804">
        <v>85.942099999999996</v>
      </c>
      <c r="J4804">
        <v>-424.7124</v>
      </c>
      <c r="K4804">
        <v>1.1182030000000001</v>
      </c>
      <c r="L4804">
        <v>107.0697</v>
      </c>
      <c r="M4804">
        <v>3.996305E-2</v>
      </c>
      <c r="N4804">
        <v>0</v>
      </c>
      <c r="O4804">
        <v>-0.99911620000000001</v>
      </c>
      <c r="P4804">
        <v>0.18064330000000001</v>
      </c>
      <c r="Q4804">
        <v>5.6344909999999998E-2</v>
      </c>
      <c r="R4804">
        <v>-0.98193339999999996</v>
      </c>
      <c r="S4804">
        <v>0.36553960000000002</v>
      </c>
      <c r="T4804">
        <v>-0.15628839999999999</v>
      </c>
      <c r="U4804">
        <v>-2.9970249999999998</v>
      </c>
      <c r="V4804">
        <v>-0.14263390000000001</v>
      </c>
      <c r="W4804">
        <v>6.6334450000000003E-2</v>
      </c>
      <c r="X4804">
        <v>0.98755009999999999</v>
      </c>
      <c r="Y4804">
        <v>-8.1138909999999995E-2</v>
      </c>
      <c r="Z4804">
        <v>5.17378E-2</v>
      </c>
      <c r="AA4804">
        <v>0.99535910000000005</v>
      </c>
      <c r="AB4804">
        <v>32</v>
      </c>
      <c r="AC4804">
        <v>2.5969000000000002</v>
      </c>
      <c r="AD4804">
        <v>-1.1182062882799999</v>
      </c>
      <c r="AE4804">
        <v>-21.127600000000001</v>
      </c>
      <c r="AF4804">
        <v>-1.7456130906979299</v>
      </c>
      <c r="AG4804">
        <v>-1.1182062882799999</v>
      </c>
      <c r="AH4804">
        <v>21.1561279321317</v>
      </c>
      <c r="AI4804">
        <v>93.015322931514405</v>
      </c>
      <c r="AJ4804">
        <v>94.716846739511993</v>
      </c>
      <c r="AK4804">
        <v>21.257452797696399</v>
      </c>
      <c r="AL4804">
        <v>86.196522900445004</v>
      </c>
      <c r="AM4804">
        <v>98.218514440777398</v>
      </c>
      <c r="AN4804">
        <v>0.99999994434800898</v>
      </c>
    </row>
    <row r="4805" spans="1:40" x14ac:dyDescent="0.25">
      <c r="A4805" t="str">
        <f>"20190312151124350"</f>
        <v>20190312151124350</v>
      </c>
      <c r="B4805" t="str">
        <f>"1552374684346304"</f>
        <v>1552374684346304</v>
      </c>
      <c r="C4805" t="s">
        <v>40</v>
      </c>
      <c r="D4805">
        <v>5.1380569999999999</v>
      </c>
      <c r="E4805">
        <v>0.52370019999999995</v>
      </c>
      <c r="F4805" t="s">
        <v>42</v>
      </c>
      <c r="G4805">
        <v>-422.24279999999999</v>
      </c>
      <c r="H4805" s="1">
        <v>-3.7079710000000002E-6</v>
      </c>
      <c r="I4805">
        <v>86.841419999999999</v>
      </c>
      <c r="J4805">
        <v>-424.69970000000001</v>
      </c>
      <c r="K4805">
        <v>1.118012</v>
      </c>
      <c r="L4805">
        <v>106.8817</v>
      </c>
      <c r="M4805">
        <v>4.5407580000000003E-2</v>
      </c>
      <c r="N4805">
        <v>0</v>
      </c>
      <c r="O4805">
        <v>-0.99888379999999999</v>
      </c>
      <c r="P4805">
        <v>0.18153069999999999</v>
      </c>
      <c r="Q4805">
        <v>5.6043040000000002E-2</v>
      </c>
      <c r="R4805">
        <v>-0.98178699999999997</v>
      </c>
      <c r="S4805">
        <v>0.36593629999999999</v>
      </c>
      <c r="T4805">
        <v>-0.16569339999999999</v>
      </c>
      <c r="U4805">
        <v>-2.9973909999999999</v>
      </c>
      <c r="V4805">
        <v>-0.13810239999999999</v>
      </c>
      <c r="W4805">
        <v>6.6166970000000006E-2</v>
      </c>
      <c r="X4805">
        <v>0.98820529999999995</v>
      </c>
      <c r="Y4805">
        <v>-7.5801049999999995E-2</v>
      </c>
      <c r="Z4805">
        <v>5.4827460000000001E-2</v>
      </c>
      <c r="AA4805">
        <v>0.99561449999999996</v>
      </c>
      <c r="AB4805">
        <v>32</v>
      </c>
      <c r="AC4805">
        <v>2.4569000000000099</v>
      </c>
      <c r="AD4805">
        <v>-1.118015707971</v>
      </c>
      <c r="AE4805">
        <v>-20.040279999999999</v>
      </c>
      <c r="AF4805">
        <v>-1.53958694983346</v>
      </c>
      <c r="AG4805">
        <v>-1.118015707971</v>
      </c>
      <c r="AH4805">
        <v>20.0696383909345</v>
      </c>
      <c r="AI4805">
        <v>93.1791488114972</v>
      </c>
      <c r="AJ4805">
        <v>94.386696248205993</v>
      </c>
      <c r="AK4805">
        <v>20.159629764512999</v>
      </c>
      <c r="AL4805">
        <v>86.206140244031204</v>
      </c>
      <c r="AM4805">
        <v>97.955601658454995</v>
      </c>
      <c r="AN4805">
        <v>1.0000000278764101</v>
      </c>
    </row>
    <row r="4806" spans="1:40" x14ac:dyDescent="0.25">
      <c r="A4806" t="str">
        <f>"20190312151124369"</f>
        <v>20190312151124369</v>
      </c>
      <c r="B4806" t="str">
        <f>"1552374684365825"</f>
        <v>1552374684365825</v>
      </c>
      <c r="C4806" t="s">
        <v>40</v>
      </c>
      <c r="D4806">
        <v>5.0278799999999997</v>
      </c>
      <c r="E4806">
        <v>0.52418439999999999</v>
      </c>
      <c r="F4806" t="s">
        <v>42</v>
      </c>
      <c r="G4806">
        <v>-422.30500000000001</v>
      </c>
      <c r="H4806" s="1">
        <v>-3.9407750000000004E-6</v>
      </c>
      <c r="I4806">
        <v>87.365459999999999</v>
      </c>
      <c r="J4806">
        <v>-424.67970000000003</v>
      </c>
      <c r="K4806">
        <v>1.117707</v>
      </c>
      <c r="L4806">
        <v>106.6063</v>
      </c>
      <c r="M4806">
        <v>5.312965E-2</v>
      </c>
      <c r="N4806">
        <v>0</v>
      </c>
      <c r="O4806">
        <v>-0.99850349999999999</v>
      </c>
      <c r="P4806">
        <v>0.18059729999999999</v>
      </c>
      <c r="Q4806">
        <v>5.5776190000000003E-2</v>
      </c>
      <c r="R4806">
        <v>-0.98197420000000002</v>
      </c>
      <c r="S4806">
        <v>0.36779790000000001</v>
      </c>
      <c r="T4806">
        <v>-0.171713</v>
      </c>
      <c r="U4806">
        <v>-2.997452</v>
      </c>
      <c r="V4806">
        <v>-0.129457399999999</v>
      </c>
      <c r="W4806">
        <v>6.6136029999999998E-2</v>
      </c>
      <c r="X4806">
        <v>0.98937699999999995</v>
      </c>
      <c r="Y4806">
        <v>-6.8682729999999997E-2</v>
      </c>
      <c r="Z4806">
        <v>5.6791920000000003E-2</v>
      </c>
      <c r="AA4806">
        <v>0.99602069999999998</v>
      </c>
      <c r="AB4806">
        <v>32</v>
      </c>
      <c r="AC4806">
        <v>2.37470000000001</v>
      </c>
      <c r="AD4806">
        <v>-1.1177109407750001</v>
      </c>
      <c r="AE4806">
        <v>-19.240839999999999</v>
      </c>
      <c r="AF4806">
        <v>-1.34453142546451</v>
      </c>
      <c r="AG4806">
        <v>-1.1177109407750001</v>
      </c>
      <c r="AH4806">
        <v>19.2757673289107</v>
      </c>
      <c r="AI4806">
        <v>93.310570405645294</v>
      </c>
      <c r="AJ4806">
        <v>93.990056597897393</v>
      </c>
      <c r="AK4806">
        <v>19.3549024440706</v>
      </c>
      <c r="AL4806">
        <v>86.2079168389335</v>
      </c>
      <c r="AM4806">
        <v>97.4546520300797</v>
      </c>
      <c r="AN4806">
        <v>1.0000000205039601</v>
      </c>
    </row>
    <row r="4807" spans="1:40" x14ac:dyDescent="0.25">
      <c r="A4807" t="str">
        <f>"20190312151124393"</f>
        <v>20190312151124393</v>
      </c>
      <c r="B4807" t="str">
        <f>"1552374684386321"</f>
        <v>1552374684386321</v>
      </c>
      <c r="C4807" t="s">
        <v>40</v>
      </c>
      <c r="D4807">
        <v>5.0711269999999997</v>
      </c>
      <c r="E4807">
        <v>0.52466259999999998</v>
      </c>
      <c r="F4807" t="s">
        <v>42</v>
      </c>
      <c r="G4807">
        <v>-422.33890000000002</v>
      </c>
      <c r="H4807" s="1">
        <v>-3.8626150000000003E-6</v>
      </c>
      <c r="I4807">
        <v>87.142330000000001</v>
      </c>
      <c r="J4807">
        <v>-424.65440000000001</v>
      </c>
      <c r="K4807">
        <v>1.117335</v>
      </c>
      <c r="L4807">
        <v>106.2861</v>
      </c>
      <c r="M4807">
        <v>6.1658829999999998E-2</v>
      </c>
      <c r="N4807">
        <v>0</v>
      </c>
      <c r="O4807">
        <v>-0.99801379999999995</v>
      </c>
      <c r="P4807">
        <v>0.18015010000000001</v>
      </c>
      <c r="Q4807">
        <v>5.5470739999999998E-2</v>
      </c>
      <c r="R4807">
        <v>-0.98207370000000005</v>
      </c>
      <c r="S4807">
        <v>0.36062620000000001</v>
      </c>
      <c r="T4807">
        <v>-0.17219000000000001</v>
      </c>
      <c r="U4807">
        <v>-2.998535</v>
      </c>
      <c r="V4807">
        <v>-0.12047629999999999</v>
      </c>
      <c r="W4807">
        <v>6.6072290000000006E-2</v>
      </c>
      <c r="X4807">
        <v>0.99051500000000003</v>
      </c>
      <c r="Y4807">
        <v>-5.7763149999999999E-2</v>
      </c>
      <c r="Z4807">
        <v>5.6914800000000002E-2</v>
      </c>
      <c r="AA4807">
        <v>0.99670669999999995</v>
      </c>
      <c r="AB4807">
        <v>32</v>
      </c>
      <c r="AC4807">
        <v>2.3154999999999801</v>
      </c>
      <c r="AD4807">
        <v>-1.117338862615</v>
      </c>
      <c r="AE4807">
        <v>-19.14377</v>
      </c>
      <c r="AF4807">
        <v>-1.1268294485558601</v>
      </c>
      <c r="AG4807">
        <v>-1.117338862615</v>
      </c>
      <c r="AH4807">
        <v>19.1857069677948</v>
      </c>
      <c r="AI4807">
        <v>93.327310797129002</v>
      </c>
      <c r="AJ4807">
        <v>93.3612776442571</v>
      </c>
      <c r="AK4807">
        <v>19.251221846785</v>
      </c>
      <c r="AL4807">
        <v>86.211576897423598</v>
      </c>
      <c r="AM4807">
        <v>96.934819700571396</v>
      </c>
      <c r="AN4807">
        <v>1.00000002579626</v>
      </c>
    </row>
    <row r="4808" spans="1:40" x14ac:dyDescent="0.25">
      <c r="A4808" t="str">
        <f>"20190312151124414"</f>
        <v>20190312151124414</v>
      </c>
      <c r="B4808" t="str">
        <f>"1552374684405840"</f>
        <v>1552374684405840</v>
      </c>
      <c r="C4808" t="s">
        <v>40</v>
      </c>
      <c r="D4808">
        <v>4.984515</v>
      </c>
      <c r="E4808">
        <v>0.52506609999999998</v>
      </c>
      <c r="F4808" t="s">
        <v>42</v>
      </c>
      <c r="G4808">
        <v>-422.3623</v>
      </c>
      <c r="H4808" s="1">
        <v>-3.7752919999999999E-6</v>
      </c>
      <c r="I4808">
        <v>86.924239999999998</v>
      </c>
      <c r="J4808">
        <v>-424.62799999999999</v>
      </c>
      <c r="K4808">
        <v>1.1169709999999999</v>
      </c>
      <c r="L4808">
        <v>105.9808</v>
      </c>
      <c r="M4808">
        <v>6.9334099999999996E-2</v>
      </c>
      <c r="N4808">
        <v>0</v>
      </c>
      <c r="O4808">
        <v>-0.99751060000000003</v>
      </c>
      <c r="P4808">
        <v>0.1782155</v>
      </c>
      <c r="Q4808">
        <v>5.4666310000000003E-2</v>
      </c>
      <c r="R4808">
        <v>-0.98247180000000001</v>
      </c>
      <c r="S4808">
        <v>0.355072</v>
      </c>
      <c r="T4808">
        <v>-0.17309089999999999</v>
      </c>
      <c r="U4808">
        <v>-2.9994200000000002</v>
      </c>
      <c r="V4808">
        <v>-0.110818899999999</v>
      </c>
      <c r="W4808">
        <v>6.550607E-2</v>
      </c>
      <c r="X4808">
        <v>0.99167939999999999</v>
      </c>
      <c r="Y4808">
        <v>-4.8224709999999997E-2</v>
      </c>
      <c r="Z4808">
        <v>5.7172420000000002E-2</v>
      </c>
      <c r="AA4808">
        <v>0.9971989</v>
      </c>
      <c r="AB4808">
        <v>32</v>
      </c>
      <c r="AC4808">
        <v>2.26570000000003</v>
      </c>
      <c r="AD4808">
        <v>-1.1169747752919901</v>
      </c>
      <c r="AE4808">
        <v>-19.056560000000001</v>
      </c>
      <c r="AF4808">
        <v>-0.93569812985029399</v>
      </c>
      <c r="AG4808">
        <v>-1.1169747752919901</v>
      </c>
      <c r="AH4808">
        <v>19.103080953719601</v>
      </c>
      <c r="AI4808">
        <v>93.342329114061798</v>
      </c>
      <c r="AJ4808">
        <v>92.804193769012102</v>
      </c>
      <c r="AK4808">
        <v>19.158571595064402</v>
      </c>
      <c r="AL4808">
        <v>86.244089076606897</v>
      </c>
      <c r="AM4808">
        <v>96.376275792939197</v>
      </c>
      <c r="AN4808">
        <v>0.99999995309420597</v>
      </c>
    </row>
    <row r="4809" spans="1:40" x14ac:dyDescent="0.25">
      <c r="A4809" t="str">
        <f>"20190312151124437"</f>
        <v>20190312151124437</v>
      </c>
      <c r="B4809" t="str">
        <f>"1552374684426335"</f>
        <v>1552374684426335</v>
      </c>
      <c r="C4809" t="s">
        <v>40</v>
      </c>
      <c r="D4809">
        <v>4.905748</v>
      </c>
      <c r="E4809">
        <v>0.52548159999999999</v>
      </c>
      <c r="F4809" t="s">
        <v>42</v>
      </c>
      <c r="G4809">
        <v>-422.43150000000003</v>
      </c>
      <c r="H4809" s="1">
        <v>-3.7938710000000001E-6</v>
      </c>
      <c r="I4809">
        <v>86.924599999999998</v>
      </c>
      <c r="J4809">
        <v>-424.59910000000002</v>
      </c>
      <c r="K4809">
        <v>1.116592</v>
      </c>
      <c r="L4809">
        <v>105.6688</v>
      </c>
      <c r="M4809">
        <v>7.6688190000000003E-2</v>
      </c>
      <c r="N4809">
        <v>0</v>
      </c>
      <c r="O4809">
        <v>-0.99697279999999999</v>
      </c>
      <c r="P4809">
        <v>0.17580499999999999</v>
      </c>
      <c r="Q4809">
        <v>5.4888270000000003E-2</v>
      </c>
      <c r="R4809">
        <v>-0.98289380000000004</v>
      </c>
      <c r="S4809">
        <v>0.34585569999999999</v>
      </c>
      <c r="T4809">
        <v>-0.1758779</v>
      </c>
      <c r="U4809">
        <v>-3.0005799999999998</v>
      </c>
      <c r="V4809">
        <v>-0.1010052</v>
      </c>
      <c r="W4809">
        <v>6.5954760000000001E-2</v>
      </c>
      <c r="X4809">
        <v>0.9926973</v>
      </c>
      <c r="Y4809">
        <v>-3.778397E-2</v>
      </c>
      <c r="Z4809">
        <v>5.8044070000000003E-2</v>
      </c>
      <c r="AA4809">
        <v>0.99759880000000001</v>
      </c>
      <c r="AB4809">
        <v>32</v>
      </c>
      <c r="AC4809">
        <v>2.16759999999999</v>
      </c>
      <c r="AD4809">
        <v>-1.1165957938710001</v>
      </c>
      <c r="AE4809">
        <v>-18.744199999999999</v>
      </c>
      <c r="AF4809">
        <v>-0.72111368647847296</v>
      </c>
      <c r="AG4809">
        <v>-1.1165957938710001</v>
      </c>
      <c r="AH4809">
        <v>18.789438074159602</v>
      </c>
      <c r="AI4809">
        <v>93.398407937129207</v>
      </c>
      <c r="AJ4809">
        <v>92.1978572782713</v>
      </c>
      <c r="AK4809">
        <v>18.836394937949098</v>
      </c>
      <c r="AL4809">
        <v>86.218325512612907</v>
      </c>
      <c r="AM4809">
        <v>95.809750719633101</v>
      </c>
      <c r="AN4809">
        <v>1.00000000511049</v>
      </c>
    </row>
    <row r="4810" spans="1:40" x14ac:dyDescent="0.25">
      <c r="A4810" t="str">
        <f>"20190312151124458"</f>
        <v>20190312151124458</v>
      </c>
      <c r="B4810" t="str">
        <f>"1552374684445855"</f>
        <v>1552374684445855</v>
      </c>
      <c r="C4810" t="s">
        <v>40</v>
      </c>
      <c r="D4810">
        <v>4.9966339999999896</v>
      </c>
      <c r="E4810">
        <v>0.52567699999999995</v>
      </c>
      <c r="F4810" t="s">
        <v>42</v>
      </c>
      <c r="G4810">
        <v>-422.46879999999999</v>
      </c>
      <c r="H4810" s="1">
        <v>-3.6673349999999999E-6</v>
      </c>
      <c r="I4810">
        <v>86.60651</v>
      </c>
      <c r="J4810">
        <v>-424.56970000000001</v>
      </c>
      <c r="K4810">
        <v>1.1162099999999999</v>
      </c>
      <c r="L4810">
        <v>105.37050000000001</v>
      </c>
      <c r="M4810">
        <v>8.3200759999999999E-2</v>
      </c>
      <c r="N4810">
        <v>0</v>
      </c>
      <c r="O4810">
        <v>-0.99645110000000003</v>
      </c>
      <c r="P4810">
        <v>0.17206679999999999</v>
      </c>
      <c r="Q4810">
        <v>5.552348E-2</v>
      </c>
      <c r="R4810">
        <v>-0.98351920000000004</v>
      </c>
      <c r="S4810">
        <v>0.33547969999999999</v>
      </c>
      <c r="T4810">
        <v>-0.17584669999999999</v>
      </c>
      <c r="U4810">
        <v>-3.002014</v>
      </c>
      <c r="V4810">
        <v>-9.0682700000000005E-2</v>
      </c>
      <c r="W4810">
        <v>6.6808309999999996E-2</v>
      </c>
      <c r="X4810">
        <v>0.99363639999999998</v>
      </c>
      <c r="Y4810">
        <v>-2.7794840000000001E-2</v>
      </c>
      <c r="Z4810">
        <v>5.7981560000000001E-2</v>
      </c>
      <c r="AA4810">
        <v>0.9979306</v>
      </c>
      <c r="AB4810">
        <v>32</v>
      </c>
      <c r="AC4810">
        <v>2.1009000000000202</v>
      </c>
      <c r="AD4810">
        <v>-1.116213667335</v>
      </c>
      <c r="AE4810">
        <v>-18.76399</v>
      </c>
      <c r="AF4810">
        <v>-0.53045534513602899</v>
      </c>
      <c r="AG4810">
        <v>-1.116213667335</v>
      </c>
      <c r="AH4810">
        <v>18.807999770076101</v>
      </c>
      <c r="AI4810">
        <v>93.395048570577998</v>
      </c>
      <c r="AJ4810">
        <v>91.615525204983797</v>
      </c>
      <c r="AK4810">
        <v>18.8485588620327</v>
      </c>
      <c r="AL4810">
        <v>86.169312567720596</v>
      </c>
      <c r="AM4810">
        <v>95.214565929336501</v>
      </c>
      <c r="AN4810">
        <v>0.99999999888465296</v>
      </c>
    </row>
    <row r="4811" spans="1:40" x14ac:dyDescent="0.25">
      <c r="A4811" t="str">
        <f>"20190312151124471"</f>
        <v>20190312151124471</v>
      </c>
      <c r="B4811" t="str">
        <f>"1552374684466352"</f>
        <v>1552374684466352</v>
      </c>
      <c r="C4811" t="s">
        <v>40</v>
      </c>
      <c r="D4811">
        <v>5.0099910000000003</v>
      </c>
      <c r="E4811">
        <v>0.52592179999999999</v>
      </c>
      <c r="F4811" t="s">
        <v>42</v>
      </c>
      <c r="G4811">
        <v>-422.52179999999998</v>
      </c>
      <c r="H4811" s="1">
        <v>-3.5281850000000002E-6</v>
      </c>
      <c r="I4811">
        <v>86.249309999999994</v>
      </c>
      <c r="J4811">
        <v>-424.55</v>
      </c>
      <c r="K4811">
        <v>1.11595</v>
      </c>
      <c r="L4811">
        <v>105.1801</v>
      </c>
      <c r="M4811">
        <v>8.7040090000000001E-2</v>
      </c>
      <c r="N4811">
        <v>0</v>
      </c>
      <c r="O4811">
        <v>-0.99612369999999995</v>
      </c>
      <c r="P4811">
        <v>0.17076910000000001</v>
      </c>
      <c r="Q4811">
        <v>5.5991359999999997E-2</v>
      </c>
      <c r="R4811">
        <v>-0.98371920000000002</v>
      </c>
      <c r="S4811">
        <v>0.32171630000000001</v>
      </c>
      <c r="T4811">
        <v>-0.1753536</v>
      </c>
      <c r="U4811">
        <v>-3.003876</v>
      </c>
      <c r="V4811">
        <v>-8.5503770000000007E-2</v>
      </c>
      <c r="W4811">
        <v>6.7383999999999999E-2</v>
      </c>
      <c r="X4811">
        <v>0.99405659999999896</v>
      </c>
      <c r="Y4811">
        <v>-1.9356490000000001E-2</v>
      </c>
      <c r="Z4811">
        <v>5.7775600000000003E-2</v>
      </c>
      <c r="AA4811">
        <v>0.99814190000000003</v>
      </c>
      <c r="AB4811">
        <v>32</v>
      </c>
      <c r="AC4811">
        <v>2.02820000000002</v>
      </c>
      <c r="AD4811">
        <v>-1.1159535281849999</v>
      </c>
      <c r="AE4811">
        <v>-18.930789999999998</v>
      </c>
      <c r="AF4811">
        <v>-0.37135471910953399</v>
      </c>
      <c r="AG4811">
        <v>-1.1159535281849999</v>
      </c>
      <c r="AH4811">
        <v>18.9703076754687</v>
      </c>
      <c r="AI4811">
        <v>93.365977035754995</v>
      </c>
      <c r="AJ4811">
        <v>91.121454711412099</v>
      </c>
      <c r="AK4811">
        <v>19.006731173624299</v>
      </c>
      <c r="AL4811">
        <v>86.136253508835694</v>
      </c>
      <c r="AM4811">
        <v>94.916195529621206</v>
      </c>
      <c r="AN4811">
        <v>1.0000000110718801</v>
      </c>
    </row>
    <row r="4812" spans="1:40" x14ac:dyDescent="0.25">
      <c r="A4812" t="str">
        <f>"20190312151124484"</f>
        <v>20190312151124484</v>
      </c>
      <c r="B4812" t="str">
        <f>"1552374684476112"</f>
        <v>1552374684476112</v>
      </c>
      <c r="C4812" t="s">
        <v>40</v>
      </c>
      <c r="D4812">
        <v>4.9768429999999997</v>
      </c>
      <c r="E4812">
        <v>0.52597579999999999</v>
      </c>
      <c r="F4812" t="s">
        <v>42</v>
      </c>
      <c r="G4812">
        <v>-422.51949999999999</v>
      </c>
      <c r="H4812" s="1">
        <v>-3.353549E-6</v>
      </c>
      <c r="I4812">
        <v>85.843649999999997</v>
      </c>
      <c r="J4812">
        <v>-424.53129999999999</v>
      </c>
      <c r="K4812">
        <v>1.1157109999999999</v>
      </c>
      <c r="L4812">
        <v>105.0034</v>
      </c>
      <c r="M4812">
        <v>9.0486709999999998E-2</v>
      </c>
      <c r="N4812">
        <v>0</v>
      </c>
      <c r="O4812">
        <v>-0.99581679999999995</v>
      </c>
      <c r="P4812">
        <v>0.164269</v>
      </c>
      <c r="Q4812">
        <v>5.5989270000000001E-2</v>
      </c>
      <c r="R4812">
        <v>-0.98482550000000002</v>
      </c>
      <c r="S4812">
        <v>0.3155212</v>
      </c>
      <c r="T4812">
        <v>-0.17341029999999999</v>
      </c>
      <c r="U4812">
        <v>-3.0047299999999999</v>
      </c>
      <c r="V4812">
        <v>-7.5448890000000005E-2</v>
      </c>
      <c r="W4812">
        <v>6.7556679999999994E-2</v>
      </c>
      <c r="X4812">
        <v>0.99485860000000004</v>
      </c>
      <c r="Y4812">
        <v>-1.3835210000000001E-2</v>
      </c>
      <c r="Z4812">
        <v>5.7103719999999997E-2</v>
      </c>
      <c r="AA4812">
        <v>0.99827239999999995</v>
      </c>
      <c r="AB4812">
        <v>32</v>
      </c>
      <c r="AC4812">
        <v>2.0117999999999898</v>
      </c>
      <c r="AD4812">
        <v>-1.1157143535489999</v>
      </c>
      <c r="AE4812">
        <v>-19.159749999999999</v>
      </c>
      <c r="AF4812">
        <v>-0.26880165245699</v>
      </c>
      <c r="AG4812">
        <v>-1.1157143535489999</v>
      </c>
      <c r="AH4812">
        <v>19.198800419763799</v>
      </c>
      <c r="AI4812">
        <v>93.325606840196201</v>
      </c>
      <c r="AJ4812">
        <v>90.8021435529147</v>
      </c>
      <c r="AK4812">
        <v>19.2330707481931</v>
      </c>
      <c r="AL4812">
        <v>86.126337177565702</v>
      </c>
      <c r="AM4812">
        <v>94.336941639952101</v>
      </c>
      <c r="AN4812">
        <v>1.0000000370044</v>
      </c>
    </row>
    <row r="4813" spans="1:40" x14ac:dyDescent="0.25">
      <c r="A4813" t="str">
        <f>"20190312151124515"</f>
        <v>20190312151124515</v>
      </c>
      <c r="B4813" t="str">
        <f>"1552374684506367"</f>
        <v>1552374684506367</v>
      </c>
      <c r="C4813" t="s">
        <v>40</v>
      </c>
      <c r="D4813">
        <v>5.0500629999999997</v>
      </c>
      <c r="E4813">
        <v>0.52613369999999904</v>
      </c>
      <c r="F4813" t="s">
        <v>42</v>
      </c>
      <c r="G4813">
        <v>-422.62759999999997</v>
      </c>
      <c r="H4813" s="1">
        <v>-3.2945369999999999E-6</v>
      </c>
      <c r="I4813">
        <v>85.639030000000005</v>
      </c>
      <c r="J4813">
        <v>-424.48480000000001</v>
      </c>
      <c r="K4813">
        <v>1.115167</v>
      </c>
      <c r="L4813">
        <v>104.5814</v>
      </c>
      <c r="M4813">
        <v>9.8105499999999998E-2</v>
      </c>
      <c r="N4813">
        <v>0</v>
      </c>
      <c r="O4813">
        <v>-0.99509579999999997</v>
      </c>
      <c r="P4813">
        <v>0.15412529999999999</v>
      </c>
      <c r="Q4813">
        <v>5.6433410000000003E-2</v>
      </c>
      <c r="R4813">
        <v>-0.98643840000000005</v>
      </c>
      <c r="S4813">
        <v>0.2955933</v>
      </c>
      <c r="T4813">
        <v>-0.17324139999999999</v>
      </c>
      <c r="U4813">
        <v>-3.0067750000000002</v>
      </c>
      <c r="V4813">
        <v>-5.7488259999999999E-2</v>
      </c>
      <c r="W4813">
        <v>6.8283620000000003E-2</v>
      </c>
      <c r="X4813">
        <v>0.99600829999999996</v>
      </c>
      <c r="Y4813">
        <v>4.3689670000000001E-4</v>
      </c>
      <c r="Z4813">
        <v>5.6969579999999999E-2</v>
      </c>
      <c r="AA4813">
        <v>0.99837580000000004</v>
      </c>
      <c r="AB4813">
        <v>32</v>
      </c>
      <c r="AC4813">
        <v>1.8572000000000299</v>
      </c>
      <c r="AD4813">
        <v>-1.1151702945369999</v>
      </c>
      <c r="AE4813">
        <v>-18.94237</v>
      </c>
      <c r="AF4813">
        <v>1.0224479891945E-2</v>
      </c>
      <c r="AG4813">
        <v>-1.1151702945369999</v>
      </c>
      <c r="AH4813">
        <v>18.968078659172001</v>
      </c>
      <c r="AI4813">
        <v>93.364656931428996</v>
      </c>
      <c r="AJ4813">
        <v>89.969115507199604</v>
      </c>
      <c r="AK4813">
        <v>19.000834648676399</v>
      </c>
      <c r="AL4813">
        <v>86.084590204825801</v>
      </c>
      <c r="AM4813">
        <v>93.303370285664201</v>
      </c>
      <c r="AN4813">
        <v>1.0000000432335101</v>
      </c>
    </row>
    <row r="4814" spans="1:40" x14ac:dyDescent="0.25">
      <c r="A4814" t="str">
        <f>"20190312151124536"</f>
        <v>20190312151124536</v>
      </c>
      <c r="B4814" t="str">
        <f>"1552374684525887"</f>
        <v>1552374684525887</v>
      </c>
      <c r="C4814" t="s">
        <v>40</v>
      </c>
      <c r="D4814">
        <v>5.0089430000000004</v>
      </c>
      <c r="E4814">
        <v>0.52615999999999996</v>
      </c>
      <c r="F4814" t="s">
        <v>42</v>
      </c>
      <c r="G4814">
        <v>-422.78129999999999</v>
      </c>
      <c r="H4814" s="1">
        <v>-3.1133529999999999E-6</v>
      </c>
      <c r="I4814">
        <v>85.121380000000002</v>
      </c>
      <c r="J4814">
        <v>-424.44909999999999</v>
      </c>
      <c r="K4814">
        <v>1.1147689999999999</v>
      </c>
      <c r="L4814">
        <v>104.2715</v>
      </c>
      <c r="M4814">
        <v>0.10310850000000001</v>
      </c>
      <c r="N4814">
        <v>0</v>
      </c>
      <c r="O4814">
        <v>-0.99459050000000004</v>
      </c>
      <c r="P4814">
        <v>0.14854500000000001</v>
      </c>
      <c r="Q4814">
        <v>5.7280949999999997E-2</v>
      </c>
      <c r="R4814">
        <v>-0.9872457</v>
      </c>
      <c r="S4814">
        <v>0.26348880000000002</v>
      </c>
      <c r="T4814">
        <v>-0.17248759999999999</v>
      </c>
      <c r="U4814">
        <v>-3.0099490000000002</v>
      </c>
      <c r="V4814">
        <v>-4.6784029999999997E-2</v>
      </c>
      <c r="W4814">
        <v>6.928165E-2</v>
      </c>
      <c r="X4814">
        <v>0.99649949999999998</v>
      </c>
      <c r="Y4814">
        <v>1.6123640000000002E-2</v>
      </c>
      <c r="Z4814">
        <v>5.664396E-2</v>
      </c>
      <c r="AA4814">
        <v>0.99826429999999999</v>
      </c>
      <c r="AB4814">
        <v>32</v>
      </c>
      <c r="AC4814">
        <v>1.66779999999999</v>
      </c>
      <c r="AD4814">
        <v>-1.114772113353</v>
      </c>
      <c r="AE4814">
        <v>-19.150120000000001</v>
      </c>
      <c r="AF4814">
        <v>0.31472863654591698</v>
      </c>
      <c r="AG4814">
        <v>-1.114772113353</v>
      </c>
      <c r="AH4814">
        <v>19.155590499627301</v>
      </c>
      <c r="AI4814">
        <v>93.330160332896995</v>
      </c>
      <c r="AJ4814">
        <v>89.058708203189298</v>
      </c>
      <c r="AK4814">
        <v>19.190581501579899</v>
      </c>
      <c r="AL4814">
        <v>86.027271269088004</v>
      </c>
      <c r="AM4814">
        <v>92.687969878684797</v>
      </c>
      <c r="AN4814">
        <v>0.99999997299500598</v>
      </c>
    </row>
    <row r="4815" spans="1:40" x14ac:dyDescent="0.25">
      <c r="A4815" t="str">
        <f>"20190312151124559"</f>
        <v>20190312151124559</v>
      </c>
      <c r="B4815" t="str">
        <f>"1552374684556144"</f>
        <v>1552374684556144</v>
      </c>
      <c r="C4815" t="s">
        <v>40</v>
      </c>
      <c r="D4815">
        <v>5.1518030000000001</v>
      </c>
      <c r="E4815">
        <v>0.52617230000000004</v>
      </c>
      <c r="F4815" t="s">
        <v>42</v>
      </c>
      <c r="G4815">
        <v>-422.83199999999999</v>
      </c>
      <c r="H4815" s="1">
        <v>-2.8522640000000001E-6</v>
      </c>
      <c r="I4815">
        <v>84.481340000000003</v>
      </c>
      <c r="J4815">
        <v>-424.41250000000002</v>
      </c>
      <c r="K4815">
        <v>1.1143479999999999</v>
      </c>
      <c r="L4815">
        <v>103.96299999999999</v>
      </c>
      <c r="M4815">
        <v>0.1075313</v>
      </c>
      <c r="N4815">
        <v>0</v>
      </c>
      <c r="O4815">
        <v>-0.99412259999999997</v>
      </c>
      <c r="P4815">
        <v>0.1430447</v>
      </c>
      <c r="Q4815">
        <v>5.8239760000000002E-2</v>
      </c>
      <c r="R4815">
        <v>-0.98800180000000004</v>
      </c>
      <c r="S4815">
        <v>0.2460938</v>
      </c>
      <c r="T4815">
        <v>-0.1696416</v>
      </c>
      <c r="U4815">
        <v>-3.0115970000000001</v>
      </c>
      <c r="V4815">
        <v>-3.6734919999999997E-2</v>
      </c>
      <c r="W4815">
        <v>7.0371899999999904E-2</v>
      </c>
      <c r="X4815">
        <v>0.99684419999999996</v>
      </c>
      <c r="Y4815">
        <v>2.6337840000000001E-2</v>
      </c>
      <c r="Z4815">
        <v>5.5650039999999998E-2</v>
      </c>
      <c r="AA4815">
        <v>0.99810290000000002</v>
      </c>
      <c r="AB4815">
        <v>32</v>
      </c>
      <c r="AC4815">
        <v>1.58050000000002</v>
      </c>
      <c r="AD4815">
        <v>-1.114350852264</v>
      </c>
      <c r="AE4815">
        <v>-19.481659999999899</v>
      </c>
      <c r="AF4815">
        <v>0.52202183858389894</v>
      </c>
      <c r="AG4815">
        <v>-1.114350852264</v>
      </c>
      <c r="AH4815">
        <v>19.475344692454499</v>
      </c>
      <c r="AI4815">
        <v>93.273637053276502</v>
      </c>
      <c r="AJ4815">
        <v>88.464597742029895</v>
      </c>
      <c r="AK4815">
        <v>19.514182932211501</v>
      </c>
      <c r="AL4815">
        <v>85.964651839486507</v>
      </c>
      <c r="AM4815">
        <v>92.110464093619697</v>
      </c>
      <c r="AN4815">
        <v>1.00000000886532</v>
      </c>
    </row>
    <row r="4816" spans="1:40" x14ac:dyDescent="0.25">
      <c r="A4816" t="str">
        <f>"20190312151124582"</f>
        <v>20190312151124582</v>
      </c>
      <c r="B4816" t="str">
        <f>"1552374684575664"</f>
        <v>1552374684575664</v>
      </c>
      <c r="C4816" t="s">
        <v>40</v>
      </c>
      <c r="D4816">
        <v>4.9674360000000002</v>
      </c>
      <c r="E4816">
        <v>0.51045659999999904</v>
      </c>
      <c r="F4816" t="s">
        <v>42</v>
      </c>
      <c r="G4816">
        <v>-422.87810000000002</v>
      </c>
      <c r="H4816" s="1">
        <v>-2.560021E-6</v>
      </c>
      <c r="I4816">
        <v>83.771529999999998</v>
      </c>
      <c r="J4816">
        <v>-424.37220000000002</v>
      </c>
      <c r="K4816">
        <v>1.1138680000000001</v>
      </c>
      <c r="L4816">
        <v>103.6324</v>
      </c>
      <c r="M4816">
        <v>0.1116349</v>
      </c>
      <c r="N4816">
        <v>0</v>
      </c>
      <c r="O4816">
        <v>-0.99367019999999995</v>
      </c>
      <c r="P4816">
        <v>0.13705819999999999</v>
      </c>
      <c r="Q4816">
        <v>5.9780239999999998E-2</v>
      </c>
      <c r="R4816">
        <v>-0.98875749999999996</v>
      </c>
      <c r="S4816">
        <v>0.22897339999999999</v>
      </c>
      <c r="T4816">
        <v>-0.166288299999999</v>
      </c>
      <c r="U4816">
        <v>-3.0130620000000001</v>
      </c>
      <c r="V4816">
        <v>-2.6512750000000002E-2</v>
      </c>
      <c r="W4816">
        <v>7.203089E-2</v>
      </c>
      <c r="X4816">
        <v>0.99704999999999999</v>
      </c>
      <c r="Y4816">
        <v>3.61345E-2</v>
      </c>
      <c r="Z4816">
        <v>5.4493369999999999E-2</v>
      </c>
      <c r="AA4816">
        <v>0.99786010000000003</v>
      </c>
      <c r="AB4816">
        <v>32</v>
      </c>
      <c r="AC4816">
        <v>1.4941</v>
      </c>
      <c r="AD4816">
        <v>-1.1138705600209999</v>
      </c>
      <c r="AE4816">
        <v>-19.860869999999998</v>
      </c>
      <c r="AF4816">
        <v>0.73029703337658802</v>
      </c>
      <c r="AG4816">
        <v>-1.1138705600209999</v>
      </c>
      <c r="AH4816">
        <v>19.8414549921056</v>
      </c>
      <c r="AI4816">
        <v>93.210959820217596</v>
      </c>
      <c r="AJ4816">
        <v>87.892087152863795</v>
      </c>
      <c r="AK4816">
        <v>19.886110167279899</v>
      </c>
      <c r="AL4816">
        <v>85.869356965137101</v>
      </c>
      <c r="AM4816">
        <v>91.523204242390307</v>
      </c>
      <c r="AN4816">
        <v>1.0000000387633701</v>
      </c>
    </row>
    <row r="4817" spans="1:40" x14ac:dyDescent="0.25">
      <c r="A4817" t="str">
        <f>"20190312151124604"</f>
        <v>20190312151124604</v>
      </c>
      <c r="B4817" t="str">
        <f>"1552374684595717"</f>
        <v>1552374684595717</v>
      </c>
      <c r="C4817" t="s">
        <v>40</v>
      </c>
      <c r="D4817">
        <v>4.9849909999999999</v>
      </c>
      <c r="E4817">
        <v>0.50534990000000002</v>
      </c>
      <c r="F4817" t="s">
        <v>42</v>
      </c>
      <c r="G4817">
        <v>-422.03859999999997</v>
      </c>
      <c r="H4817" s="1">
        <v>-1.8913129999999999E-6</v>
      </c>
      <c r="I4817">
        <v>82.73339</v>
      </c>
      <c r="J4817">
        <v>-424.33300000000003</v>
      </c>
      <c r="K4817">
        <v>1.1134389999999901</v>
      </c>
      <c r="L4817">
        <v>103.3167</v>
      </c>
      <c r="M4817">
        <v>0.1151055</v>
      </c>
      <c r="N4817">
        <v>0</v>
      </c>
      <c r="O4817">
        <v>-0.99327460000000001</v>
      </c>
      <c r="P4817">
        <v>0.13069420000000001</v>
      </c>
      <c r="Q4817">
        <v>6.0674449999999998E-2</v>
      </c>
      <c r="R4817">
        <v>-0.98956480000000002</v>
      </c>
      <c r="S4817">
        <v>0.33468629999999999</v>
      </c>
      <c r="T4817">
        <v>-0.15975200000000001</v>
      </c>
      <c r="U4817">
        <v>-2.9973450000000001</v>
      </c>
      <c r="V4817">
        <v>-1.6542999999999999E-2</v>
      </c>
      <c r="W4817">
        <v>7.3020580000000002E-2</v>
      </c>
      <c r="X4817">
        <v>0.9971932</v>
      </c>
      <c r="Y4817">
        <v>4.3241620000000003E-3</v>
      </c>
      <c r="Z4817">
        <v>5.2530189999999997E-2</v>
      </c>
      <c r="AA4817">
        <v>0.99861</v>
      </c>
      <c r="AB4817">
        <v>32</v>
      </c>
      <c r="AC4817">
        <v>2.2944000000000502</v>
      </c>
      <c r="AD4817">
        <v>-1.1134408913129901</v>
      </c>
      <c r="AE4817">
        <v>-20.583310000000001</v>
      </c>
      <c r="AF4817">
        <v>9.0029791187238695E-2</v>
      </c>
      <c r="AG4817">
        <v>-1.1134408913129901</v>
      </c>
      <c r="AH4817">
        <v>20.650908545204199</v>
      </c>
      <c r="AI4817">
        <v>93.086215186167195</v>
      </c>
      <c r="AJ4817">
        <v>89.750214651593893</v>
      </c>
      <c r="AK4817">
        <v>20.681099577250102</v>
      </c>
      <c r="AL4817">
        <v>85.812501921300594</v>
      </c>
      <c r="AM4817">
        <v>90.950424793951896</v>
      </c>
      <c r="AN4817">
        <v>0.99999997703938703</v>
      </c>
    </row>
    <row r="4818" spans="1:40" x14ac:dyDescent="0.25">
      <c r="A4818" t="str">
        <f>"20190312151124625"</f>
        <v>20190312151124625</v>
      </c>
      <c r="B4818" t="str">
        <f>"1552374684616213"</f>
        <v>1552374684616213</v>
      </c>
      <c r="C4818" t="s">
        <v>40</v>
      </c>
      <c r="D4818">
        <v>5.0213010000000002</v>
      </c>
      <c r="E4818">
        <v>0.50337559999999903</v>
      </c>
      <c r="F4818" t="s">
        <v>42</v>
      </c>
      <c r="G4818">
        <v>-421.95269999999999</v>
      </c>
      <c r="H4818" s="1">
        <v>-2.1064249999999999E-6</v>
      </c>
      <c r="I4818">
        <v>83.288139999999999</v>
      </c>
      <c r="J4818">
        <v>-424.29520000000002</v>
      </c>
      <c r="K4818">
        <v>1.113059</v>
      </c>
      <c r="L4818">
        <v>103.0172</v>
      </c>
      <c r="M4818">
        <v>0.1179687</v>
      </c>
      <c r="N4818">
        <v>0</v>
      </c>
      <c r="O4818">
        <v>-0.99293869999999895</v>
      </c>
      <c r="P4818">
        <v>0.123908</v>
      </c>
      <c r="Q4818">
        <v>6.1264909999999999E-2</v>
      </c>
      <c r="R4818">
        <v>-0.99040070000000002</v>
      </c>
      <c r="S4818">
        <v>0.35592649999999998</v>
      </c>
      <c r="T4818">
        <v>-0.16649149999999999</v>
      </c>
      <c r="U4818">
        <v>-2.9948429999999999</v>
      </c>
      <c r="V4818">
        <v>-6.762438E-3</v>
      </c>
      <c r="W4818">
        <v>7.3692519999999997E-2</v>
      </c>
      <c r="X4818">
        <v>0.99725810000000004</v>
      </c>
      <c r="Y4818">
        <v>1.398556E-4</v>
      </c>
      <c r="Z4818">
        <v>5.4735499999999999E-2</v>
      </c>
      <c r="AA4818">
        <v>0.99850090000000002</v>
      </c>
      <c r="AB4818">
        <v>32</v>
      </c>
      <c r="AC4818">
        <v>2.3425000000000198</v>
      </c>
      <c r="AD4818">
        <v>-1.113061106425</v>
      </c>
      <c r="AE4818">
        <v>-19.72906</v>
      </c>
      <c r="AF4818">
        <v>1.4482235885266901E-3</v>
      </c>
      <c r="AG4818">
        <v>-1.113061106425</v>
      </c>
      <c r="AH4818">
        <v>19.805477007421999</v>
      </c>
      <c r="AI4818">
        <v>93.216619801479993</v>
      </c>
      <c r="AJ4818">
        <v>89.995810396324401</v>
      </c>
      <c r="AK4818">
        <v>19.8367292317939</v>
      </c>
      <c r="AL4818">
        <v>85.773898761271795</v>
      </c>
      <c r="AM4818">
        <v>90.388518496884501</v>
      </c>
      <c r="AN4818">
        <v>1.0000000180436299</v>
      </c>
    </row>
    <row r="4819" spans="1:40" x14ac:dyDescent="0.25">
      <c r="A4819" t="str">
        <f>"20190312151124648"</f>
        <v>20190312151124648</v>
      </c>
      <c r="B4819" t="str">
        <f>"1552374684635736"</f>
        <v>1552374684635736</v>
      </c>
      <c r="C4819" t="s">
        <v>40</v>
      </c>
      <c r="D4819">
        <v>4.9942349999999998</v>
      </c>
      <c r="E4819">
        <v>0.50223879999999999</v>
      </c>
      <c r="F4819" t="s">
        <v>42</v>
      </c>
      <c r="G4819">
        <v>-421.90170000000001</v>
      </c>
      <c r="H4819" s="1">
        <v>-1.807796E-6</v>
      </c>
      <c r="I4819">
        <v>82.623649999999998</v>
      </c>
      <c r="J4819">
        <v>-424.25630000000001</v>
      </c>
      <c r="K4819">
        <v>1.1126780000000001</v>
      </c>
      <c r="L4819">
        <v>102.7127</v>
      </c>
      <c r="M4819">
        <v>0.1204128</v>
      </c>
      <c r="N4819">
        <v>0</v>
      </c>
      <c r="O4819">
        <v>-0.99264509999999995</v>
      </c>
      <c r="P4819">
        <v>0.1172443</v>
      </c>
      <c r="Q4819">
        <v>6.2871510000000005E-2</v>
      </c>
      <c r="R4819">
        <v>-0.99111090000000002</v>
      </c>
      <c r="S4819">
        <v>0.35153200000000001</v>
      </c>
      <c r="T4819">
        <v>-0.1634755</v>
      </c>
      <c r="U4819">
        <v>-2.995209</v>
      </c>
      <c r="V4819">
        <v>2.4555649999999998E-3</v>
      </c>
      <c r="W4819">
        <v>7.5366799999999998E-2</v>
      </c>
      <c r="X4819">
        <v>0.99715290000000001</v>
      </c>
      <c r="Y4819">
        <v>4.0544029999999998E-3</v>
      </c>
      <c r="Z4819">
        <v>5.372093E-2</v>
      </c>
      <c r="AA4819">
        <v>0.99854770000000004</v>
      </c>
      <c r="AB4819">
        <v>32</v>
      </c>
      <c r="AC4819">
        <v>2.3546</v>
      </c>
      <c r="AD4819">
        <v>-1.1126798077959901</v>
      </c>
      <c r="AE4819">
        <v>-20.08905</v>
      </c>
      <c r="AF4819">
        <v>8.1456496655047006E-2</v>
      </c>
      <c r="AG4819">
        <v>-1.1126798077959901</v>
      </c>
      <c r="AH4819">
        <v>20.165379187803101</v>
      </c>
      <c r="AI4819">
        <v>93.158222639824004</v>
      </c>
      <c r="AJ4819">
        <v>89.768559368772301</v>
      </c>
      <c r="AK4819">
        <v>20.1962176979604</v>
      </c>
      <c r="AL4819">
        <v>85.677702148660401</v>
      </c>
      <c r="AM4819">
        <v>89.858905062183098</v>
      </c>
      <c r="AN4819">
        <v>1.0000000451600499</v>
      </c>
    </row>
    <row r="4820" spans="1:40" x14ac:dyDescent="0.25">
      <c r="A4820" t="str">
        <f>"20190312151124670"</f>
        <v>20190312151124670</v>
      </c>
      <c r="B4820" t="str">
        <f>"1552374684665989"</f>
        <v>1552374684665989</v>
      </c>
      <c r="C4820" t="s">
        <v>40</v>
      </c>
      <c r="D4820">
        <v>5.0233679999999996</v>
      </c>
      <c r="E4820">
        <v>0.50104059999999995</v>
      </c>
      <c r="F4820" t="s">
        <v>42</v>
      </c>
      <c r="G4820">
        <v>-421.92950000000002</v>
      </c>
      <c r="H4820" s="1">
        <v>-1.6466349999999999E-6</v>
      </c>
      <c r="I4820">
        <v>82.230710000000002</v>
      </c>
      <c r="J4820">
        <v>-424.21550000000002</v>
      </c>
      <c r="K4820">
        <v>1.1122799999999999</v>
      </c>
      <c r="L4820">
        <v>102.39619999999999</v>
      </c>
      <c r="M4820">
        <v>0.1224597</v>
      </c>
      <c r="N4820">
        <v>0</v>
      </c>
      <c r="O4820">
        <v>-0.99239460000000002</v>
      </c>
      <c r="P4820">
        <v>0.1116321</v>
      </c>
      <c r="Q4820">
        <v>6.4697660000000004E-2</v>
      </c>
      <c r="R4820">
        <v>-0.99164129999999995</v>
      </c>
      <c r="S4820">
        <v>0.34045409999999998</v>
      </c>
      <c r="T4820">
        <v>-0.16280819999999999</v>
      </c>
      <c r="U4820">
        <v>-2.9969480000000002</v>
      </c>
      <c r="V4820">
        <v>1.021595E-2</v>
      </c>
      <c r="W4820">
        <v>7.7243870000000006E-2</v>
      </c>
      <c r="X4820">
        <v>0.99695990000000001</v>
      </c>
      <c r="Y4820">
        <v>9.8247060000000008E-3</v>
      </c>
      <c r="Z4820">
        <v>5.3461429999999997E-2</v>
      </c>
      <c r="AA4820">
        <v>0.99852160000000001</v>
      </c>
      <c r="AB4820">
        <v>32</v>
      </c>
      <c r="AC4820">
        <v>2.286</v>
      </c>
      <c r="AD4820">
        <v>-1.1122816466349901</v>
      </c>
      <c r="AE4820">
        <v>-20.165489999999899</v>
      </c>
      <c r="AF4820">
        <v>0.20025999155420299</v>
      </c>
      <c r="AG4820">
        <v>-1.1122816466349901</v>
      </c>
      <c r="AH4820">
        <v>20.232880219846599</v>
      </c>
      <c r="AI4820">
        <v>93.146455085270802</v>
      </c>
      <c r="AJ4820">
        <v>89.432919212103798</v>
      </c>
      <c r="AK4820">
        <v>20.264419964961199</v>
      </c>
      <c r="AL4820">
        <v>85.569839325914103</v>
      </c>
      <c r="AM4820">
        <v>89.412904839178495</v>
      </c>
      <c r="AN4820">
        <v>1.0000000116474901</v>
      </c>
    </row>
    <row r="4821" spans="1:40" x14ac:dyDescent="0.25">
      <c r="A4821" t="str">
        <f>"20190312151124693"</f>
        <v>20190312151124693</v>
      </c>
      <c r="B4821" t="str">
        <f>"1552374684686486"</f>
        <v>1552374684686486</v>
      </c>
      <c r="C4821" t="s">
        <v>40</v>
      </c>
      <c r="D4821">
        <v>4.990888</v>
      </c>
      <c r="E4821">
        <v>0.50030129999999995</v>
      </c>
      <c r="F4821" t="s">
        <v>42</v>
      </c>
      <c r="G4821">
        <v>-421.91219999999998</v>
      </c>
      <c r="H4821" s="1">
        <v>-1.403661E-6</v>
      </c>
      <c r="I4821">
        <v>81.675089999999997</v>
      </c>
      <c r="J4821">
        <v>-424.17399999999998</v>
      </c>
      <c r="K4821">
        <v>1.1118589999999999</v>
      </c>
      <c r="L4821">
        <v>102.07559999999999</v>
      </c>
      <c r="M4821">
        <v>0.1240371</v>
      </c>
      <c r="N4821">
        <v>0</v>
      </c>
      <c r="O4821">
        <v>-0.99219849999999998</v>
      </c>
      <c r="P4821">
        <v>0.10604420000000001</v>
      </c>
      <c r="Q4821">
        <v>6.6418409999999997E-2</v>
      </c>
      <c r="R4821">
        <v>-0.9921411</v>
      </c>
      <c r="S4821">
        <v>0.33328249999999998</v>
      </c>
      <c r="T4821">
        <v>-0.16094220000000001</v>
      </c>
      <c r="U4821">
        <v>-2.9982600000000001</v>
      </c>
      <c r="V4821">
        <v>1.748421E-2</v>
      </c>
      <c r="W4821">
        <v>7.9007519999999998E-2</v>
      </c>
      <c r="X4821">
        <v>0.99672070000000001</v>
      </c>
      <c r="Y4821">
        <v>1.381806E-2</v>
      </c>
      <c r="Z4821">
        <v>5.2817589999999998E-2</v>
      </c>
      <c r="AA4821">
        <v>0.99850859999999997</v>
      </c>
      <c r="AB4821">
        <v>32</v>
      </c>
      <c r="AC4821">
        <v>2.2618000000000502</v>
      </c>
      <c r="AD4821">
        <v>-1.111860403661</v>
      </c>
      <c r="AE4821">
        <v>-20.400510000000001</v>
      </c>
      <c r="AF4821">
        <v>0.28545038401108702</v>
      </c>
      <c r="AG4821">
        <v>-1.111860403661</v>
      </c>
      <c r="AH4821">
        <v>20.4634659499606</v>
      </c>
      <c r="AI4821">
        <v>93.109744525933294</v>
      </c>
      <c r="AJ4821">
        <v>89.200817611997493</v>
      </c>
      <c r="AK4821">
        <v>20.495637442249901</v>
      </c>
      <c r="AL4821">
        <v>85.468479845558804</v>
      </c>
      <c r="AM4821">
        <v>88.995035713042398</v>
      </c>
      <c r="AN4821">
        <v>1.0000000198121799</v>
      </c>
    </row>
    <row r="4822" spans="1:40" x14ac:dyDescent="0.25">
      <c r="A4822" t="str">
        <f>"20190312151124715"</f>
        <v>20190312151124715</v>
      </c>
      <c r="B4822" t="str">
        <f>"1552374684706108"</f>
        <v>1552374684706108</v>
      </c>
      <c r="C4822" t="s">
        <v>40</v>
      </c>
      <c r="D4822">
        <v>5.0242250000000004</v>
      </c>
      <c r="E4822">
        <v>0.49967489999999998</v>
      </c>
      <c r="F4822" t="s">
        <v>42</v>
      </c>
      <c r="G4822">
        <v>-421.93419999999998</v>
      </c>
      <c r="H4822" s="1">
        <v>-1.2148499999999999E-6</v>
      </c>
      <c r="I4822">
        <v>81.221279999999993</v>
      </c>
      <c r="J4822">
        <v>-424.13339999999999</v>
      </c>
      <c r="K4822">
        <v>1.111443</v>
      </c>
      <c r="L4822">
        <v>101.7615</v>
      </c>
      <c r="M4822">
        <v>0.12510250000000001</v>
      </c>
      <c r="N4822">
        <v>0</v>
      </c>
      <c r="O4822">
        <v>-0.9920641</v>
      </c>
      <c r="P4822">
        <v>0.1008807</v>
      </c>
      <c r="Q4822">
        <v>6.8537570000000006E-2</v>
      </c>
      <c r="R4822">
        <v>-0.9925351</v>
      </c>
      <c r="S4822">
        <v>0.32220460000000001</v>
      </c>
      <c r="T4822">
        <v>-0.15994849999999999</v>
      </c>
      <c r="U4822">
        <v>-3.0000309999999999</v>
      </c>
      <c r="V4822">
        <v>2.380502E-2</v>
      </c>
      <c r="W4822">
        <v>8.11616E-2</v>
      </c>
      <c r="X4822">
        <v>0.99641659999999999</v>
      </c>
      <c r="Y4822">
        <v>1.859794E-2</v>
      </c>
      <c r="Z4822">
        <v>5.2459430000000001E-2</v>
      </c>
      <c r="AA4822">
        <v>0.9984499</v>
      </c>
      <c r="AB4822">
        <v>32</v>
      </c>
      <c r="AC4822">
        <v>2.19920000000001</v>
      </c>
      <c r="AD4822">
        <v>-1.1114442148499999</v>
      </c>
      <c r="AE4822">
        <v>-20.540219999999898</v>
      </c>
      <c r="AF4822">
        <v>0.38679649739175398</v>
      </c>
      <c r="AG4822">
        <v>-1.1114442148499999</v>
      </c>
      <c r="AH4822">
        <v>20.594357888425499</v>
      </c>
      <c r="AI4822">
        <v>93.088620149883099</v>
      </c>
      <c r="AJ4822">
        <v>88.924015906000704</v>
      </c>
      <c r="AK4822">
        <v>20.6279542516865</v>
      </c>
      <c r="AL4822">
        <v>85.344662171094697</v>
      </c>
      <c r="AM4822">
        <v>88.631428086035996</v>
      </c>
      <c r="AN4822">
        <v>0.99999996252365897</v>
      </c>
    </row>
    <row r="4823" spans="1:40" x14ac:dyDescent="0.25">
      <c r="A4823" t="str">
        <f>"20190312151124737"</f>
        <v>20190312151124737</v>
      </c>
      <c r="B4823" t="str">
        <f>"1552374684726604"</f>
        <v>1552374684726604</v>
      </c>
      <c r="C4823" t="s">
        <v>40</v>
      </c>
      <c r="D4823">
        <v>4.9895809999999896</v>
      </c>
      <c r="E4823">
        <v>0.49907230000000002</v>
      </c>
      <c r="F4823" t="s">
        <v>42</v>
      </c>
      <c r="G4823">
        <v>-421.93029999999999</v>
      </c>
      <c r="H4823" s="1">
        <v>-9.0858420000000004E-7</v>
      </c>
      <c r="I4823">
        <v>80.509829999999994</v>
      </c>
      <c r="J4823">
        <v>-424.09440000000001</v>
      </c>
      <c r="K4823">
        <v>1.1110549999999999</v>
      </c>
      <c r="L4823">
        <v>101.45910000000001</v>
      </c>
      <c r="M4823">
        <v>0.1257016</v>
      </c>
      <c r="N4823">
        <v>0</v>
      </c>
      <c r="O4823">
        <v>-0.99198790000000003</v>
      </c>
      <c r="P4823">
        <v>9.5965439999999999E-2</v>
      </c>
      <c r="Q4823">
        <v>7.0119810000000005E-2</v>
      </c>
      <c r="R4823">
        <v>-0.99291209999999996</v>
      </c>
      <c r="S4823">
        <v>0.31118770000000001</v>
      </c>
      <c r="T4823">
        <v>-0.1569902</v>
      </c>
      <c r="U4823">
        <v>-3.00177</v>
      </c>
      <c r="V4823">
        <v>2.940769E-2</v>
      </c>
      <c r="W4823">
        <v>8.2771220000000006E-2</v>
      </c>
      <c r="X4823">
        <v>0.99613459999999998</v>
      </c>
      <c r="Y4823">
        <v>2.2881769999999999E-2</v>
      </c>
      <c r="Z4823">
        <v>5.146382E-2</v>
      </c>
      <c r="AA4823">
        <v>0.99841270000000004</v>
      </c>
      <c r="AB4823">
        <v>32</v>
      </c>
      <c r="AC4823">
        <v>2.1641000000000101</v>
      </c>
      <c r="AD4823">
        <v>-1.1110559085842</v>
      </c>
      <c r="AE4823">
        <v>-20.949269999999999</v>
      </c>
      <c r="AF4823">
        <v>0.48528388121288302</v>
      </c>
      <c r="AG4823">
        <v>-1.1110559085842</v>
      </c>
      <c r="AH4823">
        <v>20.9966930720691</v>
      </c>
      <c r="AI4823">
        <v>93.028217289532407</v>
      </c>
      <c r="AJ4823">
        <v>88.675992985392298</v>
      </c>
      <c r="AK4823">
        <v>21.031668161133499</v>
      </c>
      <c r="AL4823">
        <v>85.252126596228806</v>
      </c>
      <c r="AM4823">
        <v>88.309016388688207</v>
      </c>
      <c r="AN4823">
        <v>1.00000001420429</v>
      </c>
    </row>
    <row r="4824" spans="1:40" x14ac:dyDescent="0.25">
      <c r="A4824" t="str">
        <f>"20190312151124759"</f>
        <v>20190312151124759</v>
      </c>
      <c r="B4824" t="str">
        <f>"1552374684755884"</f>
        <v>1552374684755884</v>
      </c>
      <c r="C4824" t="s">
        <v>40</v>
      </c>
      <c r="D4824">
        <v>5.0077389999999999</v>
      </c>
      <c r="E4824">
        <v>0.4980155</v>
      </c>
      <c r="F4824" t="s">
        <v>42</v>
      </c>
      <c r="G4824">
        <v>-421.93880000000001</v>
      </c>
      <c r="H4824" s="1">
        <v>-6.7382469999999898E-7</v>
      </c>
      <c r="I4824">
        <v>79.957309999999893</v>
      </c>
      <c r="J4824">
        <v>-424.05410000000001</v>
      </c>
      <c r="K4824">
        <v>1.11067</v>
      </c>
      <c r="L4824">
        <v>101.1446</v>
      </c>
      <c r="M4824">
        <v>0.12587380000000001</v>
      </c>
      <c r="N4824">
        <v>0</v>
      </c>
      <c r="O4824">
        <v>-0.99196580000000001</v>
      </c>
      <c r="P4824">
        <v>9.2000879999999993E-2</v>
      </c>
      <c r="Q4824">
        <v>6.9778010000000001E-2</v>
      </c>
      <c r="R4824">
        <v>-0.99331150000000001</v>
      </c>
      <c r="S4824">
        <v>0.30108639999999998</v>
      </c>
      <c r="T4824">
        <v>-0.15518699999999999</v>
      </c>
      <c r="U4824">
        <v>-3.0032649999999999</v>
      </c>
      <c r="V4824">
        <v>3.3644390000000003E-2</v>
      </c>
      <c r="W4824">
        <v>8.2448080000000007E-2</v>
      </c>
      <c r="X4824">
        <v>0.99602729999999995</v>
      </c>
      <c r="Y4824">
        <v>2.6426640000000001E-2</v>
      </c>
      <c r="Z4824">
        <v>5.0853790000000003E-2</v>
      </c>
      <c r="AA4824">
        <v>0.99835640000000003</v>
      </c>
      <c r="AB4824">
        <v>32</v>
      </c>
      <c r="AC4824">
        <v>2.11529999999998</v>
      </c>
      <c r="AD4824">
        <v>-1.1106706738246901</v>
      </c>
      <c r="AE4824">
        <v>-21.187290000000001</v>
      </c>
      <c r="AF4824">
        <v>0.56712175869061099</v>
      </c>
      <c r="AG4824">
        <v>-1.1106706738246901</v>
      </c>
      <c r="AH4824">
        <v>21.227269698683301</v>
      </c>
      <c r="AI4824">
        <v>92.994079249633899</v>
      </c>
      <c r="AJ4824">
        <v>88.4696121592537</v>
      </c>
      <c r="AK4824">
        <v>21.263870656480002</v>
      </c>
      <c r="AL4824">
        <v>85.270704618387597</v>
      </c>
      <c r="AM4824">
        <v>88.065365381053795</v>
      </c>
      <c r="AN4824">
        <v>1.0000000066097201</v>
      </c>
    </row>
    <row r="4825" spans="1:40" x14ac:dyDescent="0.25">
      <c r="A4825" t="str">
        <f>"20190312151124784"</f>
        <v>20190312151124784</v>
      </c>
      <c r="B4825" t="str">
        <f>"1552374684776379"</f>
        <v>1552374684776379</v>
      </c>
      <c r="C4825" t="s">
        <v>40</v>
      </c>
      <c r="D4825">
        <v>5.0024329999999999</v>
      </c>
      <c r="E4825">
        <v>0.49743019999999999</v>
      </c>
      <c r="F4825" t="s">
        <v>42</v>
      </c>
      <c r="G4825">
        <v>-421.90219999999999</v>
      </c>
      <c r="H4825" s="1">
        <v>-4.5656E-6</v>
      </c>
      <c r="I4825">
        <v>79.411509999999893</v>
      </c>
      <c r="J4825">
        <v>-424.012</v>
      </c>
      <c r="K4825">
        <v>1.1103069999999999</v>
      </c>
      <c r="L4825">
        <v>100.8126</v>
      </c>
      <c r="M4825">
        <v>0.12562390000000001</v>
      </c>
      <c r="N4825">
        <v>0</v>
      </c>
      <c r="O4825">
        <v>-0.99199689999999996</v>
      </c>
      <c r="P4825">
        <v>8.7790229999999997E-2</v>
      </c>
      <c r="Q4825">
        <v>6.9397760000000003E-2</v>
      </c>
      <c r="R4825">
        <v>-0.99371929999999997</v>
      </c>
      <c r="S4825">
        <v>0.29739379999999999</v>
      </c>
      <c r="T4825">
        <v>-0.1534904</v>
      </c>
      <c r="U4825">
        <v>-3.0034179999999999</v>
      </c>
      <c r="V4825">
        <v>3.7697630000000003E-2</v>
      </c>
      <c r="W4825">
        <v>8.2084519999999994E-2</v>
      </c>
      <c r="X4825">
        <v>0.99591209999999997</v>
      </c>
      <c r="Y4825">
        <v>2.739252E-2</v>
      </c>
      <c r="Z4825">
        <v>5.0301510000000001E-2</v>
      </c>
      <c r="AA4825">
        <v>0.99835839999999998</v>
      </c>
      <c r="AB4825">
        <v>32</v>
      </c>
      <c r="AC4825">
        <v>2.1097999999999399</v>
      </c>
      <c r="AD4825">
        <v>-1.1103115656</v>
      </c>
      <c r="AE4825">
        <v>-21.40109</v>
      </c>
      <c r="AF4825">
        <v>0.59403766719742601</v>
      </c>
      <c r="AG4825">
        <v>-1.1103115656</v>
      </c>
      <c r="AH4825">
        <v>21.439432569641198</v>
      </c>
      <c r="AI4825">
        <v>92.963466689493799</v>
      </c>
      <c r="AJ4825">
        <v>88.412870996952805</v>
      </c>
      <c r="AK4825">
        <v>21.476381013358601</v>
      </c>
      <c r="AL4825">
        <v>85.291605630181806</v>
      </c>
      <c r="AM4825">
        <v>87.832254065476405</v>
      </c>
      <c r="AN4825">
        <v>0.99999994532882697</v>
      </c>
    </row>
    <row r="4826" spans="1:40" x14ac:dyDescent="0.25">
      <c r="A4826" t="str">
        <f>"20190312151124805"</f>
        <v>20190312151124805</v>
      </c>
      <c r="B4826" t="str">
        <f>"1552374684796534"</f>
        <v>1552374684796534</v>
      </c>
      <c r="C4826" t="s">
        <v>40</v>
      </c>
      <c r="D4826">
        <v>4.9918440000000004</v>
      </c>
      <c r="E4826">
        <v>0.49721670000000001</v>
      </c>
      <c r="F4826" t="s">
        <v>42</v>
      </c>
      <c r="G4826">
        <v>-421.93639999999999</v>
      </c>
      <c r="H4826" s="1">
        <v>-4.5080410000000004E-6</v>
      </c>
      <c r="I4826">
        <v>79.224519999999998</v>
      </c>
      <c r="J4826">
        <v>-423.97410000000002</v>
      </c>
      <c r="K4826">
        <v>1.1100369999999999</v>
      </c>
      <c r="L4826">
        <v>100.5106</v>
      </c>
      <c r="M4826">
        <v>0.1251099</v>
      </c>
      <c r="N4826">
        <v>0</v>
      </c>
      <c r="O4826">
        <v>-0.99206130000000003</v>
      </c>
      <c r="P4826">
        <v>8.3056640000000001E-2</v>
      </c>
      <c r="Q4826">
        <v>6.8811910000000004E-2</v>
      </c>
      <c r="R4826">
        <v>-0.99416660000000001</v>
      </c>
      <c r="S4826">
        <v>0.28884890000000002</v>
      </c>
      <c r="T4826">
        <v>-0.1545134</v>
      </c>
      <c r="U4826">
        <v>-3.0042420000000001</v>
      </c>
      <c r="V4826">
        <v>4.1991889999999997E-2</v>
      </c>
      <c r="W4826">
        <v>8.1513769999999999E-2</v>
      </c>
      <c r="X4826">
        <v>0.99578719999999998</v>
      </c>
      <c r="Y4826">
        <v>2.9715780000000001E-2</v>
      </c>
      <c r="Z4826">
        <v>5.0632280000000002E-2</v>
      </c>
      <c r="AA4826">
        <v>0.99827520000000003</v>
      </c>
      <c r="AB4826">
        <v>32</v>
      </c>
      <c r="AC4826">
        <v>2.0377000000000201</v>
      </c>
      <c r="AD4826">
        <v>-1.110041508041</v>
      </c>
      <c r="AE4826">
        <v>-21.286079999999998</v>
      </c>
      <c r="AF4826">
        <v>0.63990356076501598</v>
      </c>
      <c r="AG4826">
        <v>-1.110041508041</v>
      </c>
      <c r="AH4826">
        <v>21.316319757951799</v>
      </c>
      <c r="AI4826">
        <v>92.979629535786003</v>
      </c>
      <c r="AJ4826">
        <v>88.280530301781596</v>
      </c>
      <c r="AK4826">
        <v>21.354792360027702</v>
      </c>
      <c r="AL4826">
        <v>85.324417320738704</v>
      </c>
      <c r="AM4826">
        <v>87.585293883473199</v>
      </c>
      <c r="AN4826">
        <v>0.99999998060461204</v>
      </c>
    </row>
    <row r="4827" spans="1:40" x14ac:dyDescent="0.25">
      <c r="A4827" t="str">
        <f>"20190312151124826"</f>
        <v>20190312151124826</v>
      </c>
      <c r="B4827" t="str">
        <f>"1552374684816055"</f>
        <v>1552374684816055</v>
      </c>
      <c r="C4827" t="s">
        <v>40</v>
      </c>
      <c r="D4827">
        <v>5.0306040000000003</v>
      </c>
      <c r="E4827">
        <v>0.48989509999999997</v>
      </c>
      <c r="F4827" t="s">
        <v>42</v>
      </c>
      <c r="G4827">
        <v>-422.01670000000001</v>
      </c>
      <c r="H4827" s="1">
        <v>-4.5308839999999997E-6</v>
      </c>
      <c r="I4827">
        <v>79.24982</v>
      </c>
      <c r="J4827">
        <v>-423.93599999999998</v>
      </c>
      <c r="K4827">
        <v>1.1097889999999999</v>
      </c>
      <c r="L4827">
        <v>100.2029</v>
      </c>
      <c r="M4827">
        <v>0.1243242</v>
      </c>
      <c r="N4827">
        <v>0</v>
      </c>
      <c r="O4827">
        <v>-0.99215920000000002</v>
      </c>
      <c r="P4827">
        <v>7.793725E-2</v>
      </c>
      <c r="Q4827">
        <v>6.9956210000000005E-2</v>
      </c>
      <c r="R4827">
        <v>-0.99450090000000002</v>
      </c>
      <c r="S4827">
        <v>0.27670289999999997</v>
      </c>
      <c r="T4827">
        <v>-0.15691289999999999</v>
      </c>
      <c r="U4827">
        <v>-3.0053709999999998</v>
      </c>
      <c r="V4827">
        <v>4.6376569999999999E-2</v>
      </c>
      <c r="W4827">
        <v>8.2665260000000004E-2</v>
      </c>
      <c r="X4827">
        <v>0.99549770000000004</v>
      </c>
      <c r="Y4827">
        <v>3.2962579999999998E-2</v>
      </c>
      <c r="Z4827">
        <v>5.1411970000000001E-2</v>
      </c>
      <c r="AA4827">
        <v>0.99813339999999995</v>
      </c>
      <c r="AB4827">
        <v>32</v>
      </c>
      <c r="AC4827">
        <v>1.91929999999996</v>
      </c>
      <c r="AD4827">
        <v>-1.1097935308839999</v>
      </c>
      <c r="AE4827">
        <v>-20.95308</v>
      </c>
      <c r="AF4827">
        <v>0.69883691094113698</v>
      </c>
      <c r="AG4827">
        <v>-1.1097935308839999</v>
      </c>
      <c r="AH4827">
        <v>20.970785844474001</v>
      </c>
      <c r="AI4827">
        <v>93.027642644707697</v>
      </c>
      <c r="AJ4827">
        <v>88.091364149151403</v>
      </c>
      <c r="AK4827">
        <v>21.011755605947801</v>
      </c>
      <c r="AL4827">
        <v>85.258218471798699</v>
      </c>
      <c r="AM4827">
        <v>87.332729198484699</v>
      </c>
      <c r="AN4827">
        <v>1.0000000010805601</v>
      </c>
    </row>
    <row r="4828" spans="1:40" x14ac:dyDescent="0.25">
      <c r="A4828" t="str">
        <f>"20190312151124849"</f>
        <v>20190312151124849</v>
      </c>
      <c r="B4828" t="str">
        <f>"1552374684846313"</f>
        <v>1552374684846313</v>
      </c>
      <c r="C4828" t="s">
        <v>40</v>
      </c>
      <c r="D4828">
        <v>5.0660869999999996</v>
      </c>
      <c r="E4828">
        <v>0.48884379999999999</v>
      </c>
      <c r="F4828" t="s">
        <v>42</v>
      </c>
      <c r="G4828">
        <v>-421.93169999999998</v>
      </c>
      <c r="H4828" s="1">
        <v>-1.3158909999999999E-6</v>
      </c>
      <c r="I4828">
        <v>81.458380000000005</v>
      </c>
      <c r="J4828">
        <v>-423.89789999999999</v>
      </c>
      <c r="K4828">
        <v>1.1095569999999999</v>
      </c>
      <c r="L4828">
        <v>99.891630000000006</v>
      </c>
      <c r="M4828">
        <v>0.12328699999999999</v>
      </c>
      <c r="N4828">
        <v>0</v>
      </c>
      <c r="O4828">
        <v>-0.99228830000000001</v>
      </c>
      <c r="P4828">
        <v>7.3071789999999998E-2</v>
      </c>
      <c r="Q4828">
        <v>7.1786119999999995E-2</v>
      </c>
      <c r="R4828">
        <v>-0.99473990000000001</v>
      </c>
      <c r="S4828">
        <v>0.32119750000000002</v>
      </c>
      <c r="T4828">
        <v>-0.17785139999999999</v>
      </c>
      <c r="U4828">
        <v>-3.0039370000000001</v>
      </c>
      <c r="V4828">
        <v>5.024402E-2</v>
      </c>
      <c r="W4828">
        <v>8.4497009999999997E-2</v>
      </c>
      <c r="X4828">
        <v>0.99515620000000005</v>
      </c>
      <c r="Y4828">
        <v>1.7272030000000001E-2</v>
      </c>
      <c r="Z4828">
        <v>5.8258499999999998E-2</v>
      </c>
      <c r="AA4828">
        <v>0.99815209999999999</v>
      </c>
      <c r="AB4828">
        <v>32</v>
      </c>
      <c r="AC4828">
        <v>1.9662000000000099</v>
      </c>
      <c r="AD4828">
        <v>-1.1095583158909901</v>
      </c>
      <c r="AE4828">
        <v>-18.433250000000001</v>
      </c>
      <c r="AF4828">
        <v>0.32042134522205101</v>
      </c>
      <c r="AG4828">
        <v>-1.1095583158909901</v>
      </c>
      <c r="AH4828">
        <v>18.468863183633701</v>
      </c>
      <c r="AI4828">
        <v>93.437523899094202</v>
      </c>
      <c r="AJ4828">
        <v>89.006059608799106</v>
      </c>
      <c r="AK4828">
        <v>18.504937092317199</v>
      </c>
      <c r="AL4828">
        <v>85.152898556665704</v>
      </c>
      <c r="AM4828">
        <v>87.109671890168897</v>
      </c>
      <c r="AN4828">
        <v>1.00000003432156</v>
      </c>
    </row>
    <row r="4829" spans="1:40" x14ac:dyDescent="0.25">
      <c r="A4829" t="str">
        <f>"20190312151124872"</f>
        <v>20190312151124872</v>
      </c>
      <c r="B4829" t="str">
        <f>"1552374684865836"</f>
        <v>1552374684865836</v>
      </c>
      <c r="C4829" t="s">
        <v>40</v>
      </c>
      <c r="D4829">
        <v>4.9883889999999997</v>
      </c>
      <c r="E4829">
        <v>0.48837720000000001</v>
      </c>
      <c r="F4829" t="s">
        <v>42</v>
      </c>
      <c r="G4829">
        <v>-421.83859999999999</v>
      </c>
      <c r="H4829" s="1">
        <v>-7.9157069999999903E-7</v>
      </c>
      <c r="I4829">
        <v>80.293949999999995</v>
      </c>
      <c r="J4829">
        <v>-423.85980000000001</v>
      </c>
      <c r="K4829">
        <v>1.1093329999999999</v>
      </c>
      <c r="L4829">
        <v>99.576049999999995</v>
      </c>
      <c r="M4829">
        <v>0.1220195</v>
      </c>
      <c r="N4829">
        <v>0</v>
      </c>
      <c r="O4829">
        <v>-0.9924442</v>
      </c>
      <c r="P4829">
        <v>6.8728269999999994E-2</v>
      </c>
      <c r="Q4829">
        <v>7.2858300000000001E-2</v>
      </c>
      <c r="R4829">
        <v>-0.9949713</v>
      </c>
      <c r="S4829">
        <v>0.31576539999999997</v>
      </c>
      <c r="T4829">
        <v>-0.17013029999999901</v>
      </c>
      <c r="U4829">
        <v>-3.0049440000000001</v>
      </c>
      <c r="V4829">
        <v>5.3360690000000002E-2</v>
      </c>
      <c r="W4829">
        <v>8.5567439999999995E-2</v>
      </c>
      <c r="X4829">
        <v>0.99490239999999996</v>
      </c>
      <c r="Y4829">
        <v>1.7799550000000001E-2</v>
      </c>
      <c r="Z4829">
        <v>5.5737120000000001E-2</v>
      </c>
      <c r="AA4829">
        <v>0.99828680000000003</v>
      </c>
      <c r="AB4829">
        <v>32</v>
      </c>
      <c r="AC4829">
        <v>2.0212000000000199</v>
      </c>
      <c r="AD4829">
        <v>-1.1093337915707</v>
      </c>
      <c r="AE4829">
        <v>-19.2821</v>
      </c>
      <c r="AF4829">
        <v>0.34576073627551601</v>
      </c>
      <c r="AG4829">
        <v>-1.1093337915707</v>
      </c>
      <c r="AH4829">
        <v>19.321383770681599</v>
      </c>
      <c r="AI4829">
        <v>93.285494472646903</v>
      </c>
      <c r="AJ4829">
        <v>88.974787891190104</v>
      </c>
      <c r="AK4829">
        <v>19.356292071619201</v>
      </c>
      <c r="AL4829">
        <v>85.091344170667099</v>
      </c>
      <c r="AM4829">
        <v>86.929934254591402</v>
      </c>
      <c r="AN4829">
        <v>0.99999996777559397</v>
      </c>
    </row>
    <row r="4830" spans="1:40" x14ac:dyDescent="0.25">
      <c r="A4830" t="str">
        <f>"20190312151124893"</f>
        <v>20190312151124893</v>
      </c>
      <c r="B4830" t="str">
        <f>"1552374684886330"</f>
        <v>1552374684886330</v>
      </c>
      <c r="C4830" t="s">
        <v>40</v>
      </c>
      <c r="D4830">
        <v>5.287979</v>
      </c>
      <c r="E4830">
        <v>0.48798999999999998</v>
      </c>
      <c r="F4830" t="s">
        <v>42</v>
      </c>
      <c r="G4830">
        <v>-421.8528</v>
      </c>
      <c r="H4830" s="1">
        <v>-6.2757569999999998E-7</v>
      </c>
      <c r="I4830">
        <v>79.902819999999906</v>
      </c>
      <c r="J4830">
        <v>-423.82369999999997</v>
      </c>
      <c r="K4830">
        <v>1.109129</v>
      </c>
      <c r="L4830">
        <v>99.271090000000001</v>
      </c>
      <c r="M4830">
        <v>0.1206134</v>
      </c>
      <c r="N4830">
        <v>0</v>
      </c>
      <c r="O4830">
        <v>-0.99261580000000005</v>
      </c>
      <c r="P4830">
        <v>6.4892870000000005E-2</v>
      </c>
      <c r="Q4830">
        <v>7.366106E-2</v>
      </c>
      <c r="R4830">
        <v>-0.99516990000000005</v>
      </c>
      <c r="S4830">
        <v>0.30670170000000002</v>
      </c>
      <c r="T4830">
        <v>-0.16952529999999999</v>
      </c>
      <c r="U4830">
        <v>-3.0064090000000001</v>
      </c>
      <c r="V4830">
        <v>5.5826470000000003E-2</v>
      </c>
      <c r="W4830">
        <v>8.6366040000000005E-2</v>
      </c>
      <c r="X4830">
        <v>0.99469810000000003</v>
      </c>
      <c r="Y4830">
        <v>1.9410210000000001E-2</v>
      </c>
      <c r="Z4830">
        <v>5.5534819999999999E-2</v>
      </c>
      <c r="AA4830">
        <v>0.99826809999999999</v>
      </c>
      <c r="AB4830">
        <v>32</v>
      </c>
      <c r="AC4830">
        <v>1.9708999999999699</v>
      </c>
      <c r="AD4830">
        <v>-1.1091296275756899</v>
      </c>
      <c r="AE4830">
        <v>-19.368269999999999</v>
      </c>
      <c r="AF4830">
        <v>0.37852939666101998</v>
      </c>
      <c r="AG4830">
        <v>-1.1091296275756899</v>
      </c>
      <c r="AH4830">
        <v>19.401614229237801</v>
      </c>
      <c r="AI4830">
        <v>93.271238298818901</v>
      </c>
      <c r="AJ4830">
        <v>88.882289619093797</v>
      </c>
      <c r="AK4830">
        <v>19.4369773302091</v>
      </c>
      <c r="AL4830">
        <v>85.045417893600302</v>
      </c>
      <c r="AM4830">
        <v>86.787699709152506</v>
      </c>
      <c r="AN4830">
        <v>0.99999999888077595</v>
      </c>
    </row>
    <row r="4831" spans="1:40" x14ac:dyDescent="0.25">
      <c r="A4831" t="str">
        <f>"20190312151124916"</f>
        <v>20190312151124916</v>
      </c>
      <c r="B4831" t="str">
        <f>"1552374684905847"</f>
        <v>1552374684905847</v>
      </c>
      <c r="C4831" t="s">
        <v>40</v>
      </c>
      <c r="D4831">
        <v>4.9872199999999998</v>
      </c>
      <c r="E4831">
        <v>0.48724089999999998</v>
      </c>
      <c r="F4831" t="s">
        <v>42</v>
      </c>
      <c r="G4831">
        <v>-421.87259999999998</v>
      </c>
      <c r="H4831" s="1">
        <v>-5.2065399999999899E-7</v>
      </c>
      <c r="I4831">
        <v>79.641359999999906</v>
      </c>
      <c r="J4831">
        <v>-423.78590000000003</v>
      </c>
      <c r="K4831">
        <v>1.108941</v>
      </c>
      <c r="L4831">
        <v>98.946870000000004</v>
      </c>
      <c r="M4831">
        <v>0.1189471</v>
      </c>
      <c r="N4831">
        <v>0</v>
      </c>
      <c r="O4831">
        <v>-0.99281660000000005</v>
      </c>
      <c r="P4831">
        <v>6.0867909999999997E-2</v>
      </c>
      <c r="Q4831">
        <v>7.3777969999999998E-2</v>
      </c>
      <c r="R4831">
        <v>-0.99541590000000002</v>
      </c>
      <c r="S4831">
        <v>0.2989502</v>
      </c>
      <c r="T4831">
        <v>-0.16994039999999999</v>
      </c>
      <c r="U4831">
        <v>-3.00766</v>
      </c>
      <c r="V4831">
        <v>5.8222700000000002E-2</v>
      </c>
      <c r="W4831">
        <v>8.6477680000000001E-2</v>
      </c>
      <c r="X4831">
        <v>0.99455099999999996</v>
      </c>
      <c r="Y4831">
        <v>2.032161E-2</v>
      </c>
      <c r="Z4831">
        <v>5.5670900000000002E-2</v>
      </c>
      <c r="AA4831">
        <v>0.99824230000000003</v>
      </c>
      <c r="AB4831">
        <v>32</v>
      </c>
      <c r="AC4831">
        <v>1.91330000000004</v>
      </c>
      <c r="AD4831">
        <v>-1.1089415206540001</v>
      </c>
      <c r="AE4831">
        <v>-19.305510000000002</v>
      </c>
      <c r="AF4831">
        <v>0.39551917858844998</v>
      </c>
      <c r="AG4831">
        <v>-1.1089415206540001</v>
      </c>
      <c r="AH4831">
        <v>19.332860559474401</v>
      </c>
      <c r="AI4831">
        <v>93.282228857681005</v>
      </c>
      <c r="AJ4831">
        <v>88.827984160013102</v>
      </c>
      <c r="AK4831">
        <v>19.368677913810799</v>
      </c>
      <c r="AL4831">
        <v>85.038997286115702</v>
      </c>
      <c r="AM4831">
        <v>86.649631916704806</v>
      </c>
      <c r="AN4831">
        <v>0.99999998176723504</v>
      </c>
    </row>
    <row r="4832" spans="1:40" x14ac:dyDescent="0.25">
      <c r="A4832" t="str">
        <f>"20190312151124939"</f>
        <v>20190312151124939</v>
      </c>
      <c r="B4832" t="str">
        <f>"1552374684936103"</f>
        <v>1552374684936103</v>
      </c>
      <c r="C4832" t="s">
        <v>40</v>
      </c>
      <c r="D4832">
        <v>5.0139149999999999</v>
      </c>
      <c r="E4832">
        <v>0.48601739999999999</v>
      </c>
      <c r="F4832" t="s">
        <v>42</v>
      </c>
      <c r="G4832">
        <v>-421.91329999999999</v>
      </c>
      <c r="H4832" s="1">
        <v>-5.7604590000000003E-7</v>
      </c>
      <c r="I4832">
        <v>79.745199999999997</v>
      </c>
      <c r="J4832">
        <v>-423.75150000000002</v>
      </c>
      <c r="K4832">
        <v>1.1087830000000001</v>
      </c>
      <c r="L4832">
        <v>98.644869999999997</v>
      </c>
      <c r="M4832">
        <v>0.1172424</v>
      </c>
      <c r="N4832">
        <v>0</v>
      </c>
      <c r="O4832">
        <v>-0.99301890000000004</v>
      </c>
      <c r="P4832">
        <v>5.6600999999999999E-2</v>
      </c>
      <c r="Q4832">
        <v>7.3551770000000002E-2</v>
      </c>
      <c r="R4832">
        <v>-0.99568400000000001</v>
      </c>
      <c r="S4832">
        <v>0.29342649999999998</v>
      </c>
      <c r="T4832">
        <v>-0.1737629</v>
      </c>
      <c r="U4832">
        <v>-3.008759</v>
      </c>
      <c r="V4832">
        <v>6.081483E-2</v>
      </c>
      <c r="W4832">
        <v>8.6243490000000006E-2</v>
      </c>
      <c r="X4832">
        <v>0.99441619999999997</v>
      </c>
      <c r="Y4832">
        <v>2.0462919999999999E-2</v>
      </c>
      <c r="Z4832">
        <v>5.6920850000000002E-2</v>
      </c>
      <c r="AA4832">
        <v>0.99816890000000003</v>
      </c>
      <c r="AB4832">
        <v>32</v>
      </c>
      <c r="AC4832">
        <v>1.83820000000002</v>
      </c>
      <c r="AD4832">
        <v>-1.1087835760458999</v>
      </c>
      <c r="AE4832">
        <v>-18.89967</v>
      </c>
      <c r="AF4832">
        <v>0.38918114060982101</v>
      </c>
      <c r="AG4832">
        <v>-1.1087835760458999</v>
      </c>
      <c r="AH4832">
        <v>18.920326622797599</v>
      </c>
      <c r="AI4832">
        <v>93.353147944284203</v>
      </c>
      <c r="AJ4832">
        <v>88.821622204576897</v>
      </c>
      <c r="AK4832">
        <v>18.9567830206514</v>
      </c>
      <c r="AL4832">
        <v>85.052465699778693</v>
      </c>
      <c r="AM4832">
        <v>86.500359933408703</v>
      </c>
      <c r="AN4832">
        <v>0.99999998096887399</v>
      </c>
    </row>
    <row r="4833" spans="1:40" x14ac:dyDescent="0.25">
      <c r="A4833" t="str">
        <f>"20190312151124960"</f>
        <v>20190312151124960</v>
      </c>
      <c r="B4833" t="str">
        <f>"1552374684956599"</f>
        <v>1552374684956599</v>
      </c>
      <c r="C4833" t="s">
        <v>40</v>
      </c>
      <c r="D4833">
        <v>5.0994250000000001</v>
      </c>
      <c r="E4833">
        <v>0.48667310000000003</v>
      </c>
      <c r="F4833" t="s">
        <v>41</v>
      </c>
      <c r="G4833">
        <v>-423.65539999999999</v>
      </c>
      <c r="H4833">
        <v>1.0143770000000001</v>
      </c>
      <c r="I4833">
        <v>97.654070000000004</v>
      </c>
      <c r="J4833">
        <v>-423.71620000000001</v>
      </c>
      <c r="K4833">
        <v>1.1086400000000001</v>
      </c>
      <c r="L4833">
        <v>98.329099999999997</v>
      </c>
      <c r="M4833">
        <v>0.1153103</v>
      </c>
      <c r="N4833">
        <v>0</v>
      </c>
      <c r="O4833">
        <v>-0.99324460000000003</v>
      </c>
      <c r="P4833">
        <v>5.2210289999999999E-2</v>
      </c>
      <c r="Q4833">
        <v>7.2833960000000003E-2</v>
      </c>
      <c r="R4833">
        <v>-0.99597639999999998</v>
      </c>
      <c r="S4833">
        <v>0.29302979999999901</v>
      </c>
      <c r="T4833">
        <v>-0.28749069999999999</v>
      </c>
      <c r="U4833">
        <v>-3.0175779999999999</v>
      </c>
      <c r="V4833">
        <v>6.3300110000000007E-2</v>
      </c>
      <c r="W4833">
        <v>8.5517560000000006E-2</v>
      </c>
      <c r="X4833">
        <v>0.99432379999999998</v>
      </c>
      <c r="Y4833">
        <v>1.919972E-2</v>
      </c>
      <c r="Z4833">
        <v>9.3670699999999996E-2</v>
      </c>
      <c r="AA4833">
        <v>0.99541809999999997</v>
      </c>
      <c r="AB4833">
        <v>31</v>
      </c>
      <c r="AC4833">
        <v>6.0800000000028803E-2</v>
      </c>
      <c r="AD4833">
        <v>-9.4263E-2</v>
      </c>
      <c r="AE4833">
        <v>-0.67503000000000601</v>
      </c>
      <c r="AF4833">
        <v>1.71189770719768E-2</v>
      </c>
      <c r="AG4833">
        <v>-9.4263E-2</v>
      </c>
      <c r="AH4833">
        <v>0.66468089537447295</v>
      </c>
      <c r="AI4833">
        <v>98.069045201307802</v>
      </c>
      <c r="AJ4833">
        <v>88.5246629556502</v>
      </c>
      <c r="AK4833">
        <v>0.67154989778928698</v>
      </c>
      <c r="AL4833">
        <v>85.094212698451599</v>
      </c>
      <c r="AM4833">
        <v>86.357382330899696</v>
      </c>
      <c r="AN4833">
        <v>0.99999998812040203</v>
      </c>
    </row>
    <row r="4834" spans="1:40" x14ac:dyDescent="0.25">
      <c r="A4834" t="str">
        <f>"20190312151124985"</f>
        <v>20190312151124985</v>
      </c>
      <c r="B4834" t="str">
        <f>"1552374684976120"</f>
        <v>1552374684976120</v>
      </c>
      <c r="C4834" t="s">
        <v>40</v>
      </c>
      <c r="D4834">
        <v>5.2072989999999999</v>
      </c>
      <c r="E4834">
        <v>0.48484660000000002</v>
      </c>
      <c r="F4834" t="s">
        <v>41</v>
      </c>
      <c r="G4834">
        <v>-423.62900000000002</v>
      </c>
      <c r="H4834">
        <v>1.0196540000000001</v>
      </c>
      <c r="I4834">
        <v>97.370859999999993</v>
      </c>
      <c r="J4834">
        <v>-423.67919999999998</v>
      </c>
      <c r="K4834">
        <v>1.1085160000000001</v>
      </c>
      <c r="L4834">
        <v>97.990539999999996</v>
      </c>
      <c r="M4834">
        <v>0.1131167</v>
      </c>
      <c r="N4834">
        <v>0</v>
      </c>
      <c r="O4834">
        <v>-0.99349670000000001</v>
      </c>
      <c r="P4834">
        <v>4.782252E-2</v>
      </c>
      <c r="Q4834">
        <v>7.1715589999999996E-2</v>
      </c>
      <c r="R4834">
        <v>-0.99627790000000005</v>
      </c>
      <c r="S4834">
        <v>0.27462769999999997</v>
      </c>
      <c r="T4834">
        <v>-0.28028239999999999</v>
      </c>
      <c r="U4834">
        <v>-3.0182190000000002</v>
      </c>
      <c r="V4834">
        <v>6.5516829999999998E-2</v>
      </c>
      <c r="W4834">
        <v>8.4392490000000001E-2</v>
      </c>
      <c r="X4834">
        <v>0.9942763</v>
      </c>
      <c r="Y4834">
        <v>2.300839E-2</v>
      </c>
      <c r="Z4834">
        <v>9.1379719999999998E-2</v>
      </c>
      <c r="AA4834">
        <v>0.9955503</v>
      </c>
      <c r="AB4834">
        <v>31</v>
      </c>
      <c r="AC4834">
        <v>5.0199999999961102E-2</v>
      </c>
      <c r="AD4834">
        <v>-8.8861999999999997E-2</v>
      </c>
      <c r="AE4834">
        <v>-0.61968000000000201</v>
      </c>
      <c r="AF4834">
        <v>1.98194306777933E-2</v>
      </c>
      <c r="AG4834">
        <v>-8.8861999999999997E-2</v>
      </c>
      <c r="AH4834">
        <v>0.60894066113438905</v>
      </c>
      <c r="AI4834">
        <v>98.298169813503094</v>
      </c>
      <c r="AJ4834">
        <v>88.135829851342194</v>
      </c>
      <c r="AK4834">
        <v>0.61570934186446902</v>
      </c>
      <c r="AL4834">
        <v>85.158908188680002</v>
      </c>
      <c r="AM4834">
        <v>86.230002786954998</v>
      </c>
      <c r="AN4834">
        <v>0.99999995406166797</v>
      </c>
    </row>
    <row r="4835" spans="1:40" x14ac:dyDescent="0.25">
      <c r="A4835" t="str">
        <f>"20190312151125006"</f>
        <v>20190312151125006</v>
      </c>
      <c r="B4835" t="str">
        <f>"1552374684996146"</f>
        <v>1552374684996146</v>
      </c>
      <c r="C4835" t="s">
        <v>40</v>
      </c>
      <c r="D4835">
        <v>5.2034760000000002</v>
      </c>
      <c r="E4835">
        <v>0.48440909999999898</v>
      </c>
      <c r="F4835" t="s">
        <v>42</v>
      </c>
      <c r="G4835">
        <v>-422.0831</v>
      </c>
      <c r="H4835" s="1">
        <v>-9.209933E-7</v>
      </c>
      <c r="I4835">
        <v>80.443950000000001</v>
      </c>
      <c r="J4835">
        <v>-423.64699999999999</v>
      </c>
      <c r="K4835">
        <v>1.1084130000000001</v>
      </c>
      <c r="L4835">
        <v>97.690280000000001</v>
      </c>
      <c r="M4835">
        <v>0.1110719</v>
      </c>
      <c r="N4835">
        <v>0</v>
      </c>
      <c r="O4835">
        <v>-0.99372729999999998</v>
      </c>
      <c r="P4835">
        <v>4.5375819999999997E-2</v>
      </c>
      <c r="Q4835">
        <v>7.1706420000000007E-2</v>
      </c>
      <c r="R4835">
        <v>-0.99639330000000004</v>
      </c>
      <c r="S4835">
        <v>0.27395629999999999</v>
      </c>
      <c r="T4835">
        <v>-0.1902692</v>
      </c>
      <c r="U4835">
        <v>-3.011749</v>
      </c>
      <c r="V4835">
        <v>6.5932389999999994E-2</v>
      </c>
      <c r="W4835">
        <v>8.4382520000000003E-2</v>
      </c>
      <c r="X4835">
        <v>0.99424970000000001</v>
      </c>
      <c r="Y4835">
        <v>2.0773940000000001E-2</v>
      </c>
      <c r="Z4835">
        <v>6.233139E-2</v>
      </c>
      <c r="AA4835">
        <v>0.99783929999999998</v>
      </c>
      <c r="AB4835">
        <v>31</v>
      </c>
      <c r="AC4835">
        <v>1.5638999999999801</v>
      </c>
      <c r="AD4835">
        <v>-1.1084139209932999</v>
      </c>
      <c r="AE4835">
        <v>-17.24633</v>
      </c>
      <c r="AF4835">
        <v>0.360048006178604</v>
      </c>
      <c r="AG4835">
        <v>-1.1084139209932999</v>
      </c>
      <c r="AH4835">
        <v>17.242676772647901</v>
      </c>
      <c r="AI4835">
        <v>93.677294132408306</v>
      </c>
      <c r="AJ4835">
        <v>88.803768466750995</v>
      </c>
      <c r="AK4835">
        <v>17.282017193401199</v>
      </c>
      <c r="AL4835">
        <v>85.159481587905006</v>
      </c>
      <c r="AM4835">
        <v>86.206058868102303</v>
      </c>
      <c r="AN4835">
        <v>0.99999997784137595</v>
      </c>
    </row>
    <row r="4836" spans="1:40" x14ac:dyDescent="0.25">
      <c r="A4836" t="str">
        <f>"20190312151125028"</f>
        <v>20190312151125028</v>
      </c>
      <c r="B4836" t="str">
        <f>"1552374685015666"</f>
        <v>1552374685015666</v>
      </c>
      <c r="C4836" t="s">
        <v>40</v>
      </c>
      <c r="D4836">
        <v>4.9974780000000001</v>
      </c>
      <c r="E4836">
        <v>0.48402810000000002</v>
      </c>
      <c r="F4836" t="s">
        <v>42</v>
      </c>
      <c r="G4836">
        <v>-422.10579999999999</v>
      </c>
      <c r="H4836" s="1">
        <v>-9.3732490000000002E-7</v>
      </c>
      <c r="I4836">
        <v>80.467959999999906</v>
      </c>
      <c r="J4836">
        <v>-423.6155</v>
      </c>
      <c r="K4836">
        <v>1.1083209999999999</v>
      </c>
      <c r="L4836">
        <v>97.387569999999997</v>
      </c>
      <c r="M4836">
        <v>0.1089101</v>
      </c>
      <c r="N4836">
        <v>0</v>
      </c>
      <c r="O4836">
        <v>-0.99396640000000003</v>
      </c>
      <c r="P4836">
        <v>4.2608470000000002E-2</v>
      </c>
      <c r="Q4836">
        <v>7.148997E-2</v>
      </c>
      <c r="R4836">
        <v>-0.99653099999999994</v>
      </c>
      <c r="S4836">
        <v>0.26959229999999901</v>
      </c>
      <c r="T4836">
        <v>-0.19388459999999999</v>
      </c>
      <c r="U4836">
        <v>-3.012543</v>
      </c>
      <c r="V4836">
        <v>6.6551630000000001E-2</v>
      </c>
      <c r="W4836">
        <v>8.4163009999999996E-2</v>
      </c>
      <c r="X4836">
        <v>0.99422710000000003</v>
      </c>
      <c r="Y4836">
        <v>2.0063370000000001E-2</v>
      </c>
      <c r="Z4836">
        <v>6.3521850000000005E-2</v>
      </c>
      <c r="AA4836">
        <v>0.99777879999999997</v>
      </c>
      <c r="AB4836">
        <v>31</v>
      </c>
      <c r="AC4836">
        <v>1.5097</v>
      </c>
      <c r="AD4836">
        <v>-1.10832193732489</v>
      </c>
      <c r="AE4836">
        <v>-16.919609999999999</v>
      </c>
      <c r="AF4836">
        <v>0.34070393383665099</v>
      </c>
      <c r="AG4836">
        <v>-1.10832193732489</v>
      </c>
      <c r="AH4836">
        <v>16.9113914744377</v>
      </c>
      <c r="AI4836">
        <v>93.748872996698694</v>
      </c>
      <c r="AJ4836">
        <v>88.8458515013415</v>
      </c>
      <c r="AK4836">
        <v>16.951094899414901</v>
      </c>
      <c r="AL4836">
        <v>85.172103732123006</v>
      </c>
      <c r="AM4836">
        <v>86.170444744098504</v>
      </c>
      <c r="AN4836">
        <v>1.0000000290411599</v>
      </c>
    </row>
    <row r="4837" spans="1:40" x14ac:dyDescent="0.25">
      <c r="A4837" t="str">
        <f>"20190312151125041"</f>
        <v>20190312151125041</v>
      </c>
      <c r="B4837" t="str">
        <f>"1552374685036162"</f>
        <v>1552374685036162</v>
      </c>
      <c r="C4837" t="s">
        <v>40</v>
      </c>
      <c r="D4837">
        <v>5.0139880000000003</v>
      </c>
      <c r="E4837">
        <v>0.4825315</v>
      </c>
      <c r="F4837" t="s">
        <v>42</v>
      </c>
      <c r="G4837">
        <v>-422.1139</v>
      </c>
      <c r="H4837" s="1">
        <v>-8.5971809999999896E-7</v>
      </c>
      <c r="I4837">
        <v>80.28201</v>
      </c>
      <c r="J4837">
        <v>-423.59699999999998</v>
      </c>
      <c r="K4837">
        <v>1.108263</v>
      </c>
      <c r="L4837">
        <v>97.207920000000001</v>
      </c>
      <c r="M4837">
        <v>0.1075832</v>
      </c>
      <c r="N4837">
        <v>0</v>
      </c>
      <c r="O4837">
        <v>-0.99411070000000001</v>
      </c>
      <c r="P4837">
        <v>4.1497039999999999E-2</v>
      </c>
      <c r="Q4837">
        <v>7.1348750000000002E-2</v>
      </c>
      <c r="R4837">
        <v>-0.99658789999999997</v>
      </c>
      <c r="S4837">
        <v>0.2644958</v>
      </c>
      <c r="T4837">
        <v>-0.1952294</v>
      </c>
      <c r="U4837">
        <v>-3.0131230000000002</v>
      </c>
      <c r="V4837">
        <v>6.6345360000000006E-2</v>
      </c>
      <c r="W4837">
        <v>8.4022349999999996E-2</v>
      </c>
      <c r="X4837">
        <v>0.99425269999999999</v>
      </c>
      <c r="Y4837">
        <v>2.0422820000000001E-2</v>
      </c>
      <c r="Z4837">
        <v>6.396686E-2</v>
      </c>
      <c r="AA4837">
        <v>0.99774300000000005</v>
      </c>
      <c r="AB4837">
        <v>31</v>
      </c>
      <c r="AC4837">
        <v>1.4830999999999701</v>
      </c>
      <c r="AD4837">
        <v>-1.1082638597181</v>
      </c>
      <c r="AE4837">
        <v>-16.925909999999998</v>
      </c>
      <c r="AF4837">
        <v>0.34513897021683898</v>
      </c>
      <c r="AG4837">
        <v>-1.1082638597181</v>
      </c>
      <c r="AH4837">
        <v>16.915258945385698</v>
      </c>
      <c r="AI4837">
        <v>93.747802954182703</v>
      </c>
      <c r="AJ4837">
        <v>88.831099019950997</v>
      </c>
      <c r="AK4837">
        <v>16.9550392179131</v>
      </c>
      <c r="AL4837">
        <v>85.180191206543995</v>
      </c>
      <c r="AM4837">
        <v>86.182376913872403</v>
      </c>
      <c r="AN4837">
        <v>0.99999994677516901</v>
      </c>
    </row>
    <row r="4838" spans="1:40" x14ac:dyDescent="0.25">
      <c r="A4838" t="str">
        <f>"20190312151125061"</f>
        <v>20190312151125061</v>
      </c>
      <c r="B4838" t="str">
        <f>"1552374685055685"</f>
        <v>1552374685055685</v>
      </c>
      <c r="C4838" t="s">
        <v>40</v>
      </c>
      <c r="D4838">
        <v>5.0326339999999998</v>
      </c>
      <c r="E4838">
        <v>0.48168499999999997</v>
      </c>
      <c r="F4838" t="s">
        <v>41</v>
      </c>
      <c r="G4838">
        <v>-423.51029999999997</v>
      </c>
      <c r="H4838">
        <v>1.023077</v>
      </c>
      <c r="I4838">
        <v>96.249070000000003</v>
      </c>
      <c r="J4838">
        <v>-423.56779999999998</v>
      </c>
      <c r="K4838">
        <v>1.108169</v>
      </c>
      <c r="L4838">
        <v>96.917140000000003</v>
      </c>
      <c r="M4838">
        <v>0.105349</v>
      </c>
      <c r="N4838">
        <v>0</v>
      </c>
      <c r="O4838">
        <v>-0.9943497</v>
      </c>
      <c r="P4838">
        <v>3.9867329999999999E-2</v>
      </c>
      <c r="Q4838">
        <v>7.1428999999999895E-2</v>
      </c>
      <c r="R4838">
        <v>-0.9966486</v>
      </c>
      <c r="S4838">
        <v>0.27420040000000001</v>
      </c>
      <c r="T4838">
        <v>-0.26798450000000001</v>
      </c>
      <c r="U4838">
        <v>-3.0180359999999999</v>
      </c>
      <c r="V4838">
        <v>6.5755960000000002E-2</v>
      </c>
      <c r="W4838">
        <v>8.4102659999999996E-2</v>
      </c>
      <c r="X4838">
        <v>0.99428510000000003</v>
      </c>
      <c r="Y4838">
        <v>1.529732E-2</v>
      </c>
      <c r="Z4838">
        <v>8.7526899999999894E-2</v>
      </c>
      <c r="AA4838">
        <v>0.99604470000000001</v>
      </c>
      <c r="AB4838">
        <v>31</v>
      </c>
      <c r="AC4838">
        <v>5.7500000000004499E-2</v>
      </c>
      <c r="AD4838">
        <v>-8.5091999999999904E-2</v>
      </c>
      <c r="AE4838">
        <v>-0.66807000000001404</v>
      </c>
      <c r="AF4838">
        <v>1.2997218490595E-2</v>
      </c>
      <c r="AG4838">
        <v>-8.5091999999999904E-2</v>
      </c>
      <c r="AH4838">
        <v>0.65978480840461895</v>
      </c>
      <c r="AI4838">
        <v>97.347422572598603</v>
      </c>
      <c r="AJ4838">
        <v>88.871466194943594</v>
      </c>
      <c r="AK4838">
        <v>0.66537626163999297</v>
      </c>
      <c r="AL4838">
        <v>85.175573607376293</v>
      </c>
      <c r="AM4838">
        <v>86.216315956503806</v>
      </c>
      <c r="AN4838">
        <v>0.99999998188830297</v>
      </c>
    </row>
    <row r="4839" spans="1:40" x14ac:dyDescent="0.25">
      <c r="A4839" t="str">
        <f>"20190312151125083"</f>
        <v>20190312151125083</v>
      </c>
      <c r="B4839" t="str">
        <f>"1552374685076181"</f>
        <v>1552374685076181</v>
      </c>
      <c r="C4839" t="s">
        <v>40</v>
      </c>
      <c r="D4839">
        <v>5.0009410000000001</v>
      </c>
      <c r="E4839">
        <v>0.48109740000000001</v>
      </c>
      <c r="F4839" t="s">
        <v>41</v>
      </c>
      <c r="G4839">
        <v>-423.48129999999998</v>
      </c>
      <c r="H4839">
        <v>1.0238259999999999</v>
      </c>
      <c r="I4839">
        <v>95.96884</v>
      </c>
      <c r="J4839">
        <v>-423.53710000000001</v>
      </c>
      <c r="K4839">
        <v>1.1080680000000001</v>
      </c>
      <c r="L4839">
        <v>96.602360000000004</v>
      </c>
      <c r="M4839">
        <v>0.10282429999999999</v>
      </c>
      <c r="N4839">
        <v>0</v>
      </c>
      <c r="O4839">
        <v>-0.99461379999999999</v>
      </c>
      <c r="P4839">
        <v>3.8344589999999998E-2</v>
      </c>
      <c r="Q4839">
        <v>7.1642979999999995E-2</v>
      </c>
      <c r="R4839">
        <v>-0.99669300000000005</v>
      </c>
      <c r="S4839">
        <v>0.27673340000000002</v>
      </c>
      <c r="T4839">
        <v>-0.26826539999999999</v>
      </c>
      <c r="U4839">
        <v>-3.0182190000000002</v>
      </c>
      <c r="V4839">
        <v>6.4770560000000005E-2</v>
      </c>
      <c r="W4839">
        <v>8.4318359999999995E-2</v>
      </c>
      <c r="X4839">
        <v>0.99433150000000003</v>
      </c>
      <c r="Y4839">
        <v>1.1936189999999999E-2</v>
      </c>
      <c r="Z4839">
        <v>8.7646269999999998E-2</v>
      </c>
      <c r="AA4839">
        <v>0.99608019999999997</v>
      </c>
      <c r="AB4839">
        <v>31</v>
      </c>
      <c r="AC4839">
        <v>5.5800000000033302E-2</v>
      </c>
      <c r="AD4839">
        <v>-8.42419999999999E-2</v>
      </c>
      <c r="AE4839">
        <v>-0.63352000000000397</v>
      </c>
      <c r="AF4839">
        <v>9.4763498949424901E-3</v>
      </c>
      <c r="AG4839">
        <v>-8.42419999999999E-2</v>
      </c>
      <c r="AH4839">
        <v>0.62493440240287601</v>
      </c>
      <c r="AI4839">
        <v>97.676397312593295</v>
      </c>
      <c r="AJ4839">
        <v>89.131247628135995</v>
      </c>
      <c r="AK4839">
        <v>0.63065800801858596</v>
      </c>
      <c r="AL4839">
        <v>85.163170802775795</v>
      </c>
      <c r="AM4839">
        <v>86.273029564362403</v>
      </c>
      <c r="AN4839">
        <v>0.99999997158402598</v>
      </c>
    </row>
    <row r="4840" spans="1:40" x14ac:dyDescent="0.25">
      <c r="A4840" t="str">
        <f>"20190312151125096"</f>
        <v>20190312151125096</v>
      </c>
      <c r="B4840" t="str">
        <f>"1552374685085938"</f>
        <v>1552374685085938</v>
      </c>
      <c r="C4840" t="s">
        <v>40</v>
      </c>
      <c r="D4840">
        <v>5.0543909999999999</v>
      </c>
      <c r="E4840">
        <v>0.48090620000000001</v>
      </c>
      <c r="F4840" t="s">
        <v>41</v>
      </c>
      <c r="G4840">
        <v>-423.45359999999999</v>
      </c>
      <c r="H4840">
        <v>1.0265789999999999</v>
      </c>
      <c r="I4840">
        <v>95.687629999999999</v>
      </c>
      <c r="J4840">
        <v>-423.52010000000001</v>
      </c>
      <c r="K4840">
        <v>1.108017</v>
      </c>
      <c r="L4840">
        <v>96.424009999999996</v>
      </c>
      <c r="M4840">
        <v>0.1013575</v>
      </c>
      <c r="N4840">
        <v>0</v>
      </c>
      <c r="O4840">
        <v>-0.99476430000000005</v>
      </c>
      <c r="P4840">
        <v>3.7220540000000003E-2</v>
      </c>
      <c r="Q4840">
        <v>7.2301669999999998E-2</v>
      </c>
      <c r="R4840">
        <v>-0.99668820000000002</v>
      </c>
      <c r="S4840">
        <v>0.27685549999999998</v>
      </c>
      <c r="T4840">
        <v>-0.26875019999999999</v>
      </c>
      <c r="U4840">
        <v>-3.0186160000000002</v>
      </c>
      <c r="V4840">
        <v>6.4435329999999999E-2</v>
      </c>
      <c r="W4840">
        <v>8.4975949999999995E-2</v>
      </c>
      <c r="X4840">
        <v>0.99429730000000005</v>
      </c>
      <c r="Y4840">
        <v>1.043491E-2</v>
      </c>
      <c r="Z4840">
        <v>8.7812509999999996E-2</v>
      </c>
      <c r="AA4840">
        <v>0.99608240000000003</v>
      </c>
      <c r="AB4840">
        <v>31</v>
      </c>
      <c r="AC4840">
        <v>6.6500000000019099E-2</v>
      </c>
      <c r="AD4840">
        <v>-8.1437999999999899E-2</v>
      </c>
      <c r="AE4840">
        <v>-0.73637999999999604</v>
      </c>
      <c r="AF4840">
        <v>8.3848117352952698E-3</v>
      </c>
      <c r="AG4840">
        <v>-8.1437999999999899E-2</v>
      </c>
      <c r="AH4840">
        <v>0.73046607441370504</v>
      </c>
      <c r="AI4840">
        <v>96.361090412856697</v>
      </c>
      <c r="AJ4840">
        <v>89.342346971339495</v>
      </c>
      <c r="AK4840">
        <v>0.735039549127259</v>
      </c>
      <c r="AL4840">
        <v>85.125357962180502</v>
      </c>
      <c r="AM4840">
        <v>86.292137951026305</v>
      </c>
      <c r="AN4840">
        <v>0.99999997230894999</v>
      </c>
    </row>
    <row r="4841" spans="1:40" x14ac:dyDescent="0.25">
      <c r="A4841" t="str">
        <f>"20190312151125109"</f>
        <v>20190312151125109</v>
      </c>
      <c r="B4841" t="str">
        <f>"1552374685106433"</f>
        <v>1552374685106433</v>
      </c>
      <c r="C4841" t="s">
        <v>40</v>
      </c>
      <c r="D4841">
        <v>5.2130989999999997</v>
      </c>
      <c r="E4841">
        <v>0.4805546</v>
      </c>
      <c r="F4841" t="s">
        <v>41</v>
      </c>
      <c r="G4841">
        <v>-423.4522</v>
      </c>
      <c r="H4841">
        <v>1.0416700000000001</v>
      </c>
      <c r="I4841">
        <v>95.67698</v>
      </c>
      <c r="J4841">
        <v>-423.5034</v>
      </c>
      <c r="K4841">
        <v>1.1079680000000001</v>
      </c>
      <c r="L4841">
        <v>96.24539</v>
      </c>
      <c r="M4841">
        <v>9.9844829999999996E-2</v>
      </c>
      <c r="N4841">
        <v>0</v>
      </c>
      <c r="O4841">
        <v>-0.99491700000000005</v>
      </c>
      <c r="P4841">
        <v>3.5978530000000002E-2</v>
      </c>
      <c r="Q4841">
        <v>7.2895600000000005E-2</v>
      </c>
      <c r="R4841">
        <v>-0.99669050000000003</v>
      </c>
      <c r="S4841">
        <v>0.27548220000000001</v>
      </c>
      <c r="T4841">
        <v>-0.26794759999999901</v>
      </c>
      <c r="U4841">
        <v>-3.0191349999999999</v>
      </c>
      <c r="V4841">
        <v>6.4171309999999995E-2</v>
      </c>
      <c r="W4841">
        <v>8.5569339999999994E-2</v>
      </c>
      <c r="X4841">
        <v>0.99426349999999997</v>
      </c>
      <c r="Y4841">
        <v>9.377247E-3</v>
      </c>
      <c r="Z4841">
        <v>8.7559860000000003E-2</v>
      </c>
      <c r="AA4841">
        <v>0.99611510000000003</v>
      </c>
      <c r="AB4841">
        <v>31</v>
      </c>
      <c r="AC4841">
        <v>5.1199999999994299E-2</v>
      </c>
      <c r="AD4841">
        <v>-6.6297999999999899E-2</v>
      </c>
      <c r="AE4841">
        <v>-0.56840999999999997</v>
      </c>
      <c r="AF4841">
        <v>5.7361386936328604E-3</v>
      </c>
      <c r="AG4841">
        <v>-6.6297999999999899E-2</v>
      </c>
      <c r="AH4841">
        <v>0.56308295417270504</v>
      </c>
      <c r="AI4841">
        <v>96.714805484670805</v>
      </c>
      <c r="AJ4841">
        <v>89.416346797048007</v>
      </c>
      <c r="AK4841">
        <v>0.56700153559842603</v>
      </c>
      <c r="AL4841">
        <v>85.091235008462405</v>
      </c>
      <c r="AM4841">
        <v>86.307163389822307</v>
      </c>
      <c r="AN4841">
        <v>0.99999998820369995</v>
      </c>
    </row>
    <row r="4842" spans="1:40" x14ac:dyDescent="0.25">
      <c r="A4842" t="str">
        <f>"20190312151125128"</f>
        <v>20190312151125128</v>
      </c>
      <c r="B4842" t="str">
        <f>"1552374685125954"</f>
        <v>1552374685125954</v>
      </c>
      <c r="C4842" t="s">
        <v>40</v>
      </c>
      <c r="D4842">
        <v>4.9626169999999998</v>
      </c>
      <c r="E4842">
        <v>0.44922790000000001</v>
      </c>
      <c r="F4842" t="s">
        <v>41</v>
      </c>
      <c r="G4842">
        <v>-423.4273</v>
      </c>
      <c r="H4842">
        <v>1.0329699999999999</v>
      </c>
      <c r="I4842">
        <v>95.404499999999999</v>
      </c>
      <c r="J4842">
        <v>-423.4794</v>
      </c>
      <c r="K4842">
        <v>1.1078950000000001</v>
      </c>
      <c r="L4842">
        <v>95.983400000000003</v>
      </c>
      <c r="M4842">
        <v>9.758327E-2</v>
      </c>
      <c r="N4842">
        <v>0</v>
      </c>
      <c r="O4842">
        <v>-0.99514130000000001</v>
      </c>
      <c r="P4842">
        <v>3.4485549999999997E-2</v>
      </c>
      <c r="Q4842">
        <v>7.3458410000000002E-2</v>
      </c>
      <c r="R4842">
        <v>-0.99670179999999997</v>
      </c>
      <c r="S4842">
        <v>0.2748718</v>
      </c>
      <c r="T4842">
        <v>-0.26910970000000001</v>
      </c>
      <c r="U4842">
        <v>-3.0197449999999999</v>
      </c>
      <c r="V4842">
        <v>6.3413140000000007E-2</v>
      </c>
      <c r="W4842">
        <v>8.6133260000000003E-2</v>
      </c>
      <c r="X4842">
        <v>0.99426349999999997</v>
      </c>
      <c r="Y4842">
        <v>7.3254230000000002E-3</v>
      </c>
      <c r="Z4842">
        <v>8.7950329999999993E-2</v>
      </c>
      <c r="AA4842">
        <v>0.99609789999999998</v>
      </c>
      <c r="AB4842">
        <v>31</v>
      </c>
      <c r="AC4842">
        <v>5.2099999999995802E-2</v>
      </c>
      <c r="AD4842">
        <v>-7.4924999999999894E-2</v>
      </c>
      <c r="AE4842">
        <v>-0.57890000000000397</v>
      </c>
      <c r="AF4842">
        <v>4.5685767423466602E-3</v>
      </c>
      <c r="AG4842">
        <v>-7.4924999999999894E-2</v>
      </c>
      <c r="AH4842">
        <v>0.57172109292282902</v>
      </c>
      <c r="AI4842">
        <v>97.465922918738698</v>
      </c>
      <c r="AJ4842">
        <v>89.542163831935298</v>
      </c>
      <c r="AK4842">
        <v>0.5766278137684</v>
      </c>
      <c r="AL4842">
        <v>85.0588052763012</v>
      </c>
      <c r="AM4842">
        <v>86.350674843161698</v>
      </c>
      <c r="AN4842">
        <v>1.0000000361175601</v>
      </c>
    </row>
    <row r="4843" spans="1:40" x14ac:dyDescent="0.25">
      <c r="A4843" t="str">
        <f>"20190312151125140"</f>
        <v>20190312151125140</v>
      </c>
      <c r="B4843" t="str">
        <f>"1552374685135714"</f>
        <v>1552374685135714</v>
      </c>
      <c r="C4843" t="s">
        <v>40</v>
      </c>
      <c r="D4843">
        <v>4.938326</v>
      </c>
      <c r="E4843">
        <v>0.44758740000000002</v>
      </c>
      <c r="F4843" t="s">
        <v>42</v>
      </c>
      <c r="G4843">
        <v>-421.7604</v>
      </c>
      <c r="H4843" s="1">
        <v>-3.2406820000000001E-6</v>
      </c>
      <c r="I4843">
        <v>86.051379999999995</v>
      </c>
      <c r="J4843">
        <v>-423.46370000000002</v>
      </c>
      <c r="K4843">
        <v>1.1078539999999999</v>
      </c>
      <c r="L4843">
        <v>95.808040000000005</v>
      </c>
      <c r="M4843">
        <v>9.6040529999999999E-2</v>
      </c>
      <c r="N4843">
        <v>0</v>
      </c>
      <c r="O4843">
        <v>-0.99529160000000005</v>
      </c>
      <c r="P4843">
        <v>3.3322490000000003E-2</v>
      </c>
      <c r="Q4843">
        <v>7.3640750000000005E-2</v>
      </c>
      <c r="R4843">
        <v>-0.99672839999999996</v>
      </c>
      <c r="S4843">
        <v>0.52212519999999996</v>
      </c>
      <c r="T4843">
        <v>-0.33650289999999999</v>
      </c>
      <c r="U4843">
        <v>-3.0166629999999999</v>
      </c>
      <c r="V4843">
        <v>6.3040059999999995E-2</v>
      </c>
      <c r="W4843">
        <v>8.6316169999999998E-2</v>
      </c>
      <c r="X4843">
        <v>0.99427129999999997</v>
      </c>
      <c r="Y4843">
        <v>-7.4091900000000002E-2</v>
      </c>
      <c r="Z4843">
        <v>0.1091443</v>
      </c>
      <c r="AA4843">
        <v>0.99126080000000005</v>
      </c>
      <c r="AB4843">
        <v>31</v>
      </c>
      <c r="AC4843">
        <v>1.70330000000001</v>
      </c>
      <c r="AD4843">
        <v>-1.107857240682</v>
      </c>
      <c r="AE4843">
        <v>-9.7566599999999895</v>
      </c>
      <c r="AF4843">
        <v>-0.74893943530602103</v>
      </c>
      <c r="AG4843">
        <v>-1.107857240682</v>
      </c>
      <c r="AH4843">
        <v>9.7531201486589794</v>
      </c>
      <c r="AI4843">
        <v>96.461591656424503</v>
      </c>
      <c r="AJ4843">
        <v>94.391109843135993</v>
      </c>
      <c r="AK4843">
        <v>9.8443694860395095</v>
      </c>
      <c r="AL4843">
        <v>85.048285821892804</v>
      </c>
      <c r="AM4843">
        <v>86.372115877607598</v>
      </c>
      <c r="AN4843">
        <v>0.99999997418597997</v>
      </c>
    </row>
    <row r="4844" spans="1:40" x14ac:dyDescent="0.25">
      <c r="A4844" t="str">
        <f>"20190312151125162"</f>
        <v>20190312151125162</v>
      </c>
      <c r="B4844" t="str">
        <f>"1552374685156213"</f>
        <v>1552374685156213</v>
      </c>
      <c r="C4844" t="s">
        <v>40</v>
      </c>
      <c r="D4844">
        <v>5.7484640000000002</v>
      </c>
      <c r="E4844">
        <v>0.44584570000000001</v>
      </c>
      <c r="F4844" t="s">
        <v>42</v>
      </c>
      <c r="G4844">
        <v>-421.71910000000003</v>
      </c>
      <c r="H4844" s="1">
        <v>-3.1717550000000001E-6</v>
      </c>
      <c r="I4844">
        <v>85.916330000000002</v>
      </c>
      <c r="J4844">
        <v>-423.43759999999997</v>
      </c>
      <c r="K4844">
        <v>1.1077939999999999</v>
      </c>
      <c r="L4844">
        <v>95.508300000000006</v>
      </c>
      <c r="M4844">
        <v>9.3345869999999997E-2</v>
      </c>
      <c r="N4844">
        <v>0</v>
      </c>
      <c r="O4844">
        <v>-0.99554779999999998</v>
      </c>
      <c r="P4844">
        <v>3.1418300000000003E-2</v>
      </c>
      <c r="Q4844">
        <v>7.4155760000000001E-2</v>
      </c>
      <c r="R4844">
        <v>-0.99675190000000002</v>
      </c>
      <c r="S4844">
        <v>0.53210449999999998</v>
      </c>
      <c r="T4844">
        <v>-0.33790249999999999</v>
      </c>
      <c r="U4844">
        <v>-3.017029</v>
      </c>
      <c r="V4844">
        <v>6.2259080000000001E-2</v>
      </c>
      <c r="W4844">
        <v>8.6834430000000004E-2</v>
      </c>
      <c r="X4844">
        <v>0.99427540000000003</v>
      </c>
      <c r="Y4844">
        <v>-7.9943620000000007E-2</v>
      </c>
      <c r="Z4844">
        <v>0.1095665</v>
      </c>
      <c r="AA4844">
        <v>0.99075939999999996</v>
      </c>
      <c r="AB4844">
        <v>31</v>
      </c>
      <c r="AC4844">
        <v>1.71849999999994</v>
      </c>
      <c r="AD4844">
        <v>-1.1077971717549999</v>
      </c>
      <c r="AE4844">
        <v>-9.5919699999999999</v>
      </c>
      <c r="AF4844">
        <v>-0.80514254694299603</v>
      </c>
      <c r="AG4844">
        <v>-1.1077971717549999</v>
      </c>
      <c r="AH4844">
        <v>9.5866167311016</v>
      </c>
      <c r="AI4844">
        <v>96.568747979603103</v>
      </c>
      <c r="AJ4844">
        <v>94.800782491038206</v>
      </c>
      <c r="AK4844">
        <v>9.6839397686934898</v>
      </c>
      <c r="AL4844">
        <v>85.018479882475404</v>
      </c>
      <c r="AM4844">
        <v>86.416957311448598</v>
      </c>
      <c r="AN4844">
        <v>0.99999999116051497</v>
      </c>
    </row>
    <row r="4845" spans="1:40" x14ac:dyDescent="0.25">
      <c r="A4845" t="str">
        <f>"20190312151125174"</f>
        <v>20190312151125174</v>
      </c>
      <c r="B4845" t="str">
        <f>"1552374685165971"</f>
        <v>1552374685165971</v>
      </c>
      <c r="C4845" t="s">
        <v>40</v>
      </c>
      <c r="D4845">
        <v>4.9279869999999999</v>
      </c>
      <c r="E4845">
        <v>0.44560240000000001</v>
      </c>
      <c r="F4845" t="s">
        <v>42</v>
      </c>
      <c r="G4845">
        <v>-421.54590000000002</v>
      </c>
      <c r="H4845" s="1">
        <v>-2.7107679999999999E-6</v>
      </c>
      <c r="I4845">
        <v>84.949169999999995</v>
      </c>
      <c r="J4845">
        <v>-423.4228</v>
      </c>
      <c r="K4845">
        <v>1.1077650000000001</v>
      </c>
      <c r="L4845">
        <v>95.334379999999996</v>
      </c>
      <c r="M4845">
        <v>9.1760690000000006E-2</v>
      </c>
      <c r="N4845">
        <v>0</v>
      </c>
      <c r="O4845">
        <v>-0.99569490000000005</v>
      </c>
      <c r="P4845">
        <v>3.0353450000000001E-2</v>
      </c>
      <c r="Q4845">
        <v>7.4210760000000001E-2</v>
      </c>
      <c r="R4845">
        <v>-0.99678069999999996</v>
      </c>
      <c r="S4845">
        <v>0.54037480000000004</v>
      </c>
      <c r="T4845">
        <v>-0.31645079999999998</v>
      </c>
      <c r="U4845">
        <v>-3.0162960000000001</v>
      </c>
      <c r="V4845">
        <v>6.1743810000000003E-2</v>
      </c>
      <c r="W4845">
        <v>8.6891899999999994E-2</v>
      </c>
      <c r="X4845">
        <v>0.99430249999999998</v>
      </c>
      <c r="Y4845">
        <v>-8.4334300000000001E-2</v>
      </c>
      <c r="Z4845">
        <v>0.1026914</v>
      </c>
      <c r="AA4845">
        <v>0.99113180000000001</v>
      </c>
      <c r="AB4845">
        <v>31</v>
      </c>
      <c r="AC4845">
        <v>1.87689999999997</v>
      </c>
      <c r="AD4845">
        <v>-1.107767710768</v>
      </c>
      <c r="AE4845">
        <v>-10.385210000000001</v>
      </c>
      <c r="AF4845">
        <v>-0.90596231171345198</v>
      </c>
      <c r="AG4845">
        <v>-1.107767710768</v>
      </c>
      <c r="AH4845">
        <v>10.399050387228501</v>
      </c>
      <c r="AI4845">
        <v>96.057776996250595</v>
      </c>
      <c r="AJ4845">
        <v>94.9790207426351</v>
      </c>
      <c r="AK4845">
        <v>10.4970551092858</v>
      </c>
      <c r="AL4845">
        <v>85.015174549752103</v>
      </c>
      <c r="AM4845">
        <v>86.446631673652107</v>
      </c>
      <c r="AN4845">
        <v>0.99999998093258702</v>
      </c>
    </row>
    <row r="4846" spans="1:40" x14ac:dyDescent="0.25">
      <c r="A4846" t="str">
        <f>"20190312151125189"</f>
        <v>20190312151125189</v>
      </c>
      <c r="B4846" t="str">
        <f>"1552374685175729"</f>
        <v>1552374685175729</v>
      </c>
      <c r="C4846" t="s">
        <v>40</v>
      </c>
      <c r="D4846">
        <v>4.9488820000000002</v>
      </c>
      <c r="E4846">
        <v>0.44517079999999998</v>
      </c>
      <c r="F4846" t="s">
        <v>42</v>
      </c>
      <c r="G4846">
        <v>-421.56689999999998</v>
      </c>
      <c r="H4846" s="1">
        <v>-2.7168259999999998E-6</v>
      </c>
      <c r="I4846">
        <v>84.95026</v>
      </c>
      <c r="J4846">
        <v>-423.40660000000003</v>
      </c>
      <c r="K4846">
        <v>1.107739</v>
      </c>
      <c r="L4846">
        <v>95.139769999999999</v>
      </c>
      <c r="M4846">
        <v>8.9972060000000006E-2</v>
      </c>
      <c r="N4846">
        <v>0</v>
      </c>
      <c r="O4846">
        <v>-0.99585829999999997</v>
      </c>
      <c r="P4846">
        <v>2.8965049999999999E-2</v>
      </c>
      <c r="Q4846">
        <v>7.4398889999999995E-2</v>
      </c>
      <c r="R4846">
        <v>-0.99680820000000003</v>
      </c>
      <c r="S4846">
        <v>0.53924559999999999</v>
      </c>
      <c r="T4846">
        <v>-0.32187650000000001</v>
      </c>
      <c r="U4846">
        <v>-3.017242</v>
      </c>
      <c r="V4846">
        <v>6.1347739999999998E-2</v>
      </c>
      <c r="W4846">
        <v>8.7081919999999993E-2</v>
      </c>
      <c r="X4846">
        <v>0.99431040000000004</v>
      </c>
      <c r="Y4846">
        <v>-8.5678900000000002E-2</v>
      </c>
      <c r="Z4846">
        <v>0.1044239</v>
      </c>
      <c r="AA4846">
        <v>0.99083540000000003</v>
      </c>
      <c r="AB4846">
        <v>31</v>
      </c>
      <c r="AC4846">
        <v>1.8397000000000501</v>
      </c>
      <c r="AD4846">
        <v>-1.107741716826</v>
      </c>
      <c r="AE4846">
        <v>-10.18951</v>
      </c>
      <c r="AF4846">
        <v>-0.90502908677935301</v>
      </c>
      <c r="AG4846">
        <v>-1.107741716826</v>
      </c>
      <c r="AH4846">
        <v>10.1970019906621</v>
      </c>
      <c r="AI4846">
        <v>96.175871734381303</v>
      </c>
      <c r="AJ4846">
        <v>95.071964165615498</v>
      </c>
      <c r="AK4846">
        <v>10.2968450972461</v>
      </c>
      <c r="AL4846">
        <v>85.004245818762101</v>
      </c>
      <c r="AM4846">
        <v>86.469395717086499</v>
      </c>
      <c r="AN4846">
        <v>0.99999998877107699</v>
      </c>
    </row>
    <row r="4847" spans="1:40" x14ac:dyDescent="0.25">
      <c r="A4847" t="str">
        <f>"20190312151125207"</f>
        <v>20190312151125207</v>
      </c>
      <c r="B4847" t="str">
        <f>"1552374685196227"</f>
        <v>1552374685196227</v>
      </c>
      <c r="C4847" t="s">
        <v>40</v>
      </c>
      <c r="D4847">
        <v>4.9422069999999998</v>
      </c>
      <c r="E4847">
        <v>0.44459860000000001</v>
      </c>
      <c r="F4847" t="s">
        <v>42</v>
      </c>
      <c r="G4847">
        <v>-421.58749999999998</v>
      </c>
      <c r="H4847" s="1">
        <v>-2.7228279999999999E-6</v>
      </c>
      <c r="I4847">
        <v>84.951480000000004</v>
      </c>
      <c r="J4847">
        <v>-423.3852</v>
      </c>
      <c r="K4847">
        <v>1.107715</v>
      </c>
      <c r="L4847">
        <v>94.874049999999997</v>
      </c>
      <c r="M4847">
        <v>8.7514510000000004E-2</v>
      </c>
      <c r="N4847">
        <v>0</v>
      </c>
      <c r="O4847">
        <v>-0.99607710000000005</v>
      </c>
      <c r="P4847">
        <v>2.7023189999999999E-2</v>
      </c>
      <c r="Q4847">
        <v>7.4735129999999997E-2</v>
      </c>
      <c r="R4847">
        <v>-0.99683719999999998</v>
      </c>
      <c r="S4847">
        <v>0.53894039999999999</v>
      </c>
      <c r="T4847">
        <v>-0.3281848</v>
      </c>
      <c r="U4847">
        <v>-3.0184329999999999</v>
      </c>
      <c r="V4847">
        <v>6.0836540000000001E-2</v>
      </c>
      <c r="W4847">
        <v>8.7421570000000004E-2</v>
      </c>
      <c r="X4847">
        <v>0.99431199999999997</v>
      </c>
      <c r="Y4847">
        <v>-8.7934799999999994E-2</v>
      </c>
      <c r="Z4847">
        <v>0.1064317</v>
      </c>
      <c r="AA4847">
        <v>0.99042399999999997</v>
      </c>
      <c r="AB4847">
        <v>31</v>
      </c>
      <c r="AC4847">
        <v>1.7977000000000201</v>
      </c>
      <c r="AD4847">
        <v>-1.107717722828</v>
      </c>
      <c r="AE4847">
        <v>-9.9225699999999897</v>
      </c>
      <c r="AF4847">
        <v>-0.91136110326374697</v>
      </c>
      <c r="AG4847">
        <v>-1.107717722828</v>
      </c>
      <c r="AH4847">
        <v>9.9221055700295508</v>
      </c>
      <c r="AI4847">
        <v>96.343717794533006</v>
      </c>
      <c r="AJ4847">
        <v>95.247982530375396</v>
      </c>
      <c r="AK4847">
        <v>10.025257929690399</v>
      </c>
      <c r="AL4847">
        <v>84.984710784278704</v>
      </c>
      <c r="AM4847">
        <v>86.498747753467597</v>
      </c>
      <c r="AN4847">
        <v>0.99999998442221805</v>
      </c>
    </row>
    <row r="4848" spans="1:40" x14ac:dyDescent="0.25">
      <c r="A4848" t="str">
        <f>"20190312151125228"</f>
        <v>20190312151125228</v>
      </c>
      <c r="B4848" t="str">
        <f>"1552374685215746"</f>
        <v>1552374685215746</v>
      </c>
      <c r="C4848" t="s">
        <v>40</v>
      </c>
      <c r="D4848">
        <v>4.9522750000000002</v>
      </c>
      <c r="E4848">
        <v>0.44432729999999998</v>
      </c>
      <c r="F4848" t="s">
        <v>42</v>
      </c>
      <c r="G4848">
        <v>-421.60160000000002</v>
      </c>
      <c r="H4848" s="1">
        <v>-2.6901680000000001E-6</v>
      </c>
      <c r="I4848">
        <v>84.866609999999994</v>
      </c>
      <c r="J4848">
        <v>-423.36219999999997</v>
      </c>
      <c r="K4848">
        <v>1.107688</v>
      </c>
      <c r="L4848">
        <v>94.580749999999995</v>
      </c>
      <c r="M4848">
        <v>8.4788039999999995E-2</v>
      </c>
      <c r="N4848">
        <v>0</v>
      </c>
      <c r="O4848">
        <v>-0.9963128</v>
      </c>
      <c r="P4848">
        <v>2.468294E-2</v>
      </c>
      <c r="Q4848">
        <v>7.4512389999999998E-2</v>
      </c>
      <c r="R4848">
        <v>-0.99691490000000005</v>
      </c>
      <c r="S4848">
        <v>0.53823849999999995</v>
      </c>
      <c r="T4848">
        <v>-0.33428069999999999</v>
      </c>
      <c r="U4848">
        <v>-3.0199889999999998</v>
      </c>
      <c r="V4848">
        <v>6.0453899999999998E-2</v>
      </c>
      <c r="W4848">
        <v>8.7202589999999996E-2</v>
      </c>
      <c r="X4848">
        <v>0.99435459999999998</v>
      </c>
      <c r="Y4848">
        <v>-9.0312760000000006E-2</v>
      </c>
      <c r="Z4848">
        <v>0.1083599</v>
      </c>
      <c r="AA4848">
        <v>0.99000089999999996</v>
      </c>
      <c r="AB4848">
        <v>31</v>
      </c>
      <c r="AC4848">
        <v>1.76059999999995</v>
      </c>
      <c r="AD4848">
        <v>-1.1076906901679999</v>
      </c>
      <c r="AE4848">
        <v>-9.7141399999999898</v>
      </c>
      <c r="AF4848">
        <v>-0.918976351353885</v>
      </c>
      <c r="AG4848">
        <v>-1.1076906901679999</v>
      </c>
      <c r="AH4848">
        <v>9.7062519558291207</v>
      </c>
      <c r="AI4848">
        <v>96.481767883621202</v>
      </c>
      <c r="AJ4848">
        <v>95.408573520946803</v>
      </c>
      <c r="AK4848">
        <v>9.8123811192528194</v>
      </c>
      <c r="AL4848">
        <v>84.997305682551698</v>
      </c>
      <c r="AM4848">
        <v>86.520863798821097</v>
      </c>
      <c r="AN4848">
        <v>1.0000000181345301</v>
      </c>
    </row>
    <row r="4849" spans="1:40" x14ac:dyDescent="0.25">
      <c r="A4849" t="str">
        <f>"20190312151125242"</f>
        <v>20190312151125242</v>
      </c>
      <c r="B4849" t="str">
        <f>"1552374685236242"</f>
        <v>1552374685236242</v>
      </c>
      <c r="C4849" t="s">
        <v>40</v>
      </c>
      <c r="D4849">
        <v>4.947756</v>
      </c>
      <c r="E4849">
        <v>0.44395469999999998</v>
      </c>
      <c r="F4849" t="s">
        <v>42</v>
      </c>
      <c r="G4849">
        <v>-421.61880000000002</v>
      </c>
      <c r="H4849" s="1">
        <v>-2.6239279999999999E-6</v>
      </c>
      <c r="I4849">
        <v>84.701549999999997</v>
      </c>
      <c r="J4849">
        <v>-423.34780000000001</v>
      </c>
      <c r="K4849">
        <v>1.107677</v>
      </c>
      <c r="L4849">
        <v>94.391660000000002</v>
      </c>
      <c r="M4849">
        <v>8.3026489999999994E-2</v>
      </c>
      <c r="N4849">
        <v>0</v>
      </c>
      <c r="O4849">
        <v>-0.99646129999999999</v>
      </c>
      <c r="P4849">
        <v>2.3564580000000002E-2</v>
      </c>
      <c r="Q4849">
        <v>7.4336769999999996E-2</v>
      </c>
      <c r="R4849">
        <v>-0.99695520000000004</v>
      </c>
      <c r="S4849">
        <v>0.53320310000000004</v>
      </c>
      <c r="T4849">
        <v>-0.33877239999999997</v>
      </c>
      <c r="U4849">
        <v>-3.021423</v>
      </c>
      <c r="V4849">
        <v>5.9812959999999998E-2</v>
      </c>
      <c r="W4849">
        <v>8.7032059999999994E-2</v>
      </c>
      <c r="X4849">
        <v>0.99440830000000002</v>
      </c>
      <c r="Y4849">
        <v>-9.036537E-2</v>
      </c>
      <c r="Z4849">
        <v>0.10978739999999999</v>
      </c>
      <c r="AA4849">
        <v>0.98983880000000002</v>
      </c>
      <c r="AB4849">
        <v>31</v>
      </c>
      <c r="AC4849">
        <v>1.7289999999999801</v>
      </c>
      <c r="AD4849">
        <v>-1.107679623928</v>
      </c>
      <c r="AE4849">
        <v>-9.6901100000000007</v>
      </c>
      <c r="AF4849">
        <v>-0.90693932927052501</v>
      </c>
      <c r="AG4849">
        <v>-1.107679623928</v>
      </c>
      <c r="AH4849">
        <v>9.6776579826995501</v>
      </c>
      <c r="AI4849">
        <v>96.501271231022699</v>
      </c>
      <c r="AJ4849">
        <v>95.3538231374487</v>
      </c>
      <c r="AK4849">
        <v>9.7829728163964198</v>
      </c>
      <c r="AL4849">
        <v>85.0071136221042</v>
      </c>
      <c r="AM4849">
        <v>86.557846320050601</v>
      </c>
      <c r="AN4849">
        <v>1.0000000183803399</v>
      </c>
    </row>
    <row r="4850" spans="1:40" x14ac:dyDescent="0.25">
      <c r="A4850" t="str">
        <f>"20190312151125255"</f>
        <v>20190312151125255</v>
      </c>
      <c r="B4850" t="str">
        <f>"1552374685246002"</f>
        <v>1552374685246002</v>
      </c>
      <c r="C4850" t="s">
        <v>40</v>
      </c>
      <c r="D4850">
        <v>4.9125639999999997</v>
      </c>
      <c r="E4850">
        <v>0.4437893</v>
      </c>
      <c r="F4850" t="s">
        <v>42</v>
      </c>
      <c r="G4850">
        <v>-421.62849999999997</v>
      </c>
      <c r="H4850" s="1">
        <v>-2.603204E-6</v>
      </c>
      <c r="I4850">
        <v>84.647219999999905</v>
      </c>
      <c r="J4850">
        <v>-423.33370000000002</v>
      </c>
      <c r="K4850">
        <v>1.107669</v>
      </c>
      <c r="L4850">
        <v>94.201779999999999</v>
      </c>
      <c r="M4850">
        <v>8.1255170000000002E-2</v>
      </c>
      <c r="N4850">
        <v>0</v>
      </c>
      <c r="O4850">
        <v>-0.99660720000000003</v>
      </c>
      <c r="P4850">
        <v>2.2050940000000002E-2</v>
      </c>
      <c r="Q4850">
        <v>7.4125979999999994E-2</v>
      </c>
      <c r="R4850">
        <v>-0.99700540000000004</v>
      </c>
      <c r="S4850">
        <v>0.53323359999999997</v>
      </c>
      <c r="T4850">
        <v>-0.34354069999999998</v>
      </c>
      <c r="U4850">
        <v>-3.022186</v>
      </c>
      <c r="V4850">
        <v>5.9556480000000002E-2</v>
      </c>
      <c r="W4850">
        <v>8.6823999999999998E-2</v>
      </c>
      <c r="X4850">
        <v>0.99444189999999999</v>
      </c>
      <c r="Y4850">
        <v>-9.2073020000000005E-2</v>
      </c>
      <c r="Z4850">
        <v>0.1113017</v>
      </c>
      <c r="AA4850">
        <v>0.98951230000000001</v>
      </c>
      <c r="AB4850">
        <v>31</v>
      </c>
      <c r="AC4850">
        <v>1.70520000000004</v>
      </c>
      <c r="AD4850">
        <v>-1.1076716032039999</v>
      </c>
      <c r="AE4850">
        <v>-9.5545600000000093</v>
      </c>
      <c r="AF4850">
        <v>-0.91126703842842505</v>
      </c>
      <c r="AG4850">
        <v>-1.1076716032039999</v>
      </c>
      <c r="AH4850">
        <v>9.5373039877231491</v>
      </c>
      <c r="AI4850">
        <v>96.594937735232406</v>
      </c>
      <c r="AJ4850">
        <v>95.4579085997931</v>
      </c>
      <c r="AK4850">
        <v>9.6445586394666307</v>
      </c>
      <c r="AL4850">
        <v>85.019079971311797</v>
      </c>
      <c r="AM4850">
        <v>86.572686658789607</v>
      </c>
      <c r="AN4850">
        <v>1.00000003688079</v>
      </c>
    </row>
    <row r="4851" spans="1:40" x14ac:dyDescent="0.25">
      <c r="A4851" t="str">
        <f>"20190312151125273"</f>
        <v>20190312151125273</v>
      </c>
      <c r="B4851" t="str">
        <f>"1552374685266498"</f>
        <v>1552374685266498</v>
      </c>
      <c r="C4851" t="s">
        <v>40</v>
      </c>
      <c r="D4851">
        <v>4.9319199999999999</v>
      </c>
      <c r="E4851">
        <v>0.44339770000000001</v>
      </c>
      <c r="F4851" t="s">
        <v>42</v>
      </c>
      <c r="G4851">
        <v>-421.6386</v>
      </c>
      <c r="H4851" s="1">
        <v>-2.554214E-6</v>
      </c>
      <c r="I4851">
        <v>84.526700000000005</v>
      </c>
      <c r="J4851">
        <v>-423.31599999999997</v>
      </c>
      <c r="K4851">
        <v>1.1076569999999999</v>
      </c>
      <c r="L4851">
        <v>93.9559</v>
      </c>
      <c r="M4851">
        <v>7.8962009999999999E-2</v>
      </c>
      <c r="N4851">
        <v>0</v>
      </c>
      <c r="O4851">
        <v>-0.9967916</v>
      </c>
      <c r="P4851">
        <v>2.0826399999999998E-2</v>
      </c>
      <c r="Q4851">
        <v>7.4421070000000006E-2</v>
      </c>
      <c r="R4851">
        <v>-0.9970097</v>
      </c>
      <c r="S4851">
        <v>0.52963260000000001</v>
      </c>
      <c r="T4851">
        <v>-0.34609909999999999</v>
      </c>
      <c r="U4851">
        <v>-3.0230410000000001</v>
      </c>
      <c r="V4851">
        <v>5.8490180000000003E-2</v>
      </c>
      <c r="W4851">
        <v>8.7127060000000006E-2</v>
      </c>
      <c r="X4851">
        <v>0.99447859999999999</v>
      </c>
      <c r="Y4851">
        <v>-9.3156660000000002E-2</v>
      </c>
      <c r="Z4851">
        <v>0.1121259</v>
      </c>
      <c r="AA4851">
        <v>0.98931780000000002</v>
      </c>
      <c r="AB4851">
        <v>31</v>
      </c>
      <c r="AC4851">
        <v>1.67739999999997</v>
      </c>
      <c r="AD4851">
        <v>-1.107659554214</v>
      </c>
      <c r="AE4851">
        <v>-9.4291999999999891</v>
      </c>
      <c r="AF4851">
        <v>-0.91530589417889596</v>
      </c>
      <c r="AG4851">
        <v>-1.107659554214</v>
      </c>
      <c r="AH4851">
        <v>9.4063940804903208</v>
      </c>
      <c r="AI4851">
        <v>96.684709515305201</v>
      </c>
      <c r="AJ4851">
        <v>95.557770280580698</v>
      </c>
      <c r="AK4851">
        <v>9.5155107149035096</v>
      </c>
      <c r="AL4851">
        <v>85.001649454337894</v>
      </c>
      <c r="AM4851">
        <v>86.634030878650904</v>
      </c>
      <c r="AN4851">
        <v>0.999999955799317</v>
      </c>
    </row>
    <row r="4852" spans="1:40" x14ac:dyDescent="0.25">
      <c r="A4852" t="str">
        <f>"20190312151125296"</f>
        <v>20190312151125296</v>
      </c>
      <c r="B4852" t="str">
        <f>"1552374685286018"</f>
        <v>1552374685286018</v>
      </c>
      <c r="C4852" t="s">
        <v>40</v>
      </c>
      <c r="D4852">
        <v>4.9293430000000003</v>
      </c>
      <c r="E4852">
        <v>0.44307449999999998</v>
      </c>
      <c r="F4852" t="s">
        <v>42</v>
      </c>
      <c r="G4852">
        <v>-421.63600000000002</v>
      </c>
      <c r="H4852" s="1">
        <v>-2.478243E-6</v>
      </c>
      <c r="I4852">
        <v>84.35127</v>
      </c>
      <c r="J4852">
        <v>-423.29390000000001</v>
      </c>
      <c r="K4852">
        <v>1.1076539999999999</v>
      </c>
      <c r="L4852">
        <v>93.637730000000005</v>
      </c>
      <c r="M4852">
        <v>7.5996040000000001E-2</v>
      </c>
      <c r="N4852">
        <v>0</v>
      </c>
      <c r="O4852">
        <v>-0.99702190000000002</v>
      </c>
      <c r="P4852">
        <v>1.852411E-2</v>
      </c>
      <c r="Q4852">
        <v>7.433004E-2</v>
      </c>
      <c r="R4852">
        <v>-0.9970618</v>
      </c>
      <c r="S4852">
        <v>0.52896119999999902</v>
      </c>
      <c r="T4852">
        <v>-0.34874280000000002</v>
      </c>
      <c r="U4852">
        <v>-3.023987</v>
      </c>
      <c r="V4852">
        <v>5.7828419999999998E-2</v>
      </c>
      <c r="W4852">
        <v>8.7041540000000001E-2</v>
      </c>
      <c r="X4852">
        <v>0.99452479999999999</v>
      </c>
      <c r="Y4852">
        <v>-9.5836389999999994E-2</v>
      </c>
      <c r="Z4852">
        <v>0.1129636</v>
      </c>
      <c r="AA4852">
        <v>0.98896640000000002</v>
      </c>
      <c r="AB4852">
        <v>31</v>
      </c>
      <c r="AC4852">
        <v>1.6579000000000399</v>
      </c>
      <c r="AD4852">
        <v>-1.1076564782430001</v>
      </c>
      <c r="AE4852">
        <v>-9.2864599999999999</v>
      </c>
      <c r="AF4852">
        <v>-0.93442650971400099</v>
      </c>
      <c r="AG4852">
        <v>-1.1076564782430001</v>
      </c>
      <c r="AH4852">
        <v>9.2579610911858108</v>
      </c>
      <c r="AI4852">
        <v>96.788480146137701</v>
      </c>
      <c r="AJ4852">
        <v>95.763471336630801</v>
      </c>
      <c r="AK4852">
        <v>9.3706936425090905</v>
      </c>
      <c r="AL4852">
        <v>85.006568130951806</v>
      </c>
      <c r="AM4852">
        <v>86.672181740876397</v>
      </c>
      <c r="AN4852">
        <v>0.99999996683015302</v>
      </c>
    </row>
    <row r="4853" spans="1:40" x14ac:dyDescent="0.25">
      <c r="A4853" t="str">
        <f>"20190312151125309"</f>
        <v>20190312151125309</v>
      </c>
      <c r="B4853" t="str">
        <f>"1552374685306514"</f>
        <v>1552374685306514</v>
      </c>
      <c r="C4853" t="s">
        <v>40</v>
      </c>
      <c r="D4853">
        <v>4.9271580000000004</v>
      </c>
      <c r="E4853">
        <v>0.44268730000000001</v>
      </c>
      <c r="F4853" t="s">
        <v>42</v>
      </c>
      <c r="G4853">
        <v>-421.64490000000001</v>
      </c>
      <c r="H4853" s="1">
        <v>-2.3894080000000002E-6</v>
      </c>
      <c r="I4853">
        <v>84.138689999999997</v>
      </c>
      <c r="J4853">
        <v>-423.2817</v>
      </c>
      <c r="K4853">
        <v>1.107653</v>
      </c>
      <c r="L4853">
        <v>93.45532</v>
      </c>
      <c r="M4853">
        <v>7.4297940000000007E-2</v>
      </c>
      <c r="N4853">
        <v>0</v>
      </c>
      <c r="O4853">
        <v>-0.99714990000000003</v>
      </c>
      <c r="P4853">
        <v>1.752182E-2</v>
      </c>
      <c r="Q4853">
        <v>7.4082930000000005E-2</v>
      </c>
      <c r="R4853">
        <v>-0.99709840000000005</v>
      </c>
      <c r="S4853">
        <v>0.52520749999999905</v>
      </c>
      <c r="T4853">
        <v>-0.3527825</v>
      </c>
      <c r="U4853">
        <v>-3.0253909999999999</v>
      </c>
      <c r="V4853">
        <v>5.7134039999999997E-2</v>
      </c>
      <c r="W4853">
        <v>8.6800230000000006E-2</v>
      </c>
      <c r="X4853">
        <v>0.99458610000000003</v>
      </c>
      <c r="Y4853">
        <v>-9.6237879999999998E-2</v>
      </c>
      <c r="Z4853">
        <v>0.11423510000000001</v>
      </c>
      <c r="AA4853">
        <v>0.98878140000000003</v>
      </c>
      <c r="AB4853">
        <v>31</v>
      </c>
      <c r="AC4853">
        <v>1.63679999999999</v>
      </c>
      <c r="AD4853">
        <v>-1.1076553894079999</v>
      </c>
      <c r="AE4853">
        <v>-9.31663</v>
      </c>
      <c r="AF4853">
        <v>-0.92729459747239995</v>
      </c>
      <c r="AG4853">
        <v>-1.1076553894079999</v>
      </c>
      <c r="AH4853">
        <v>9.2851814179562595</v>
      </c>
      <c r="AI4853">
        <v>96.769466690981304</v>
      </c>
      <c r="AJ4853">
        <v>95.703117706533703</v>
      </c>
      <c r="AK4853">
        <v>9.3968808493322005</v>
      </c>
      <c r="AL4853">
        <v>85.020447090538397</v>
      </c>
      <c r="AM4853">
        <v>86.712254825135403</v>
      </c>
      <c r="AN4853">
        <v>1.00000004438399</v>
      </c>
    </row>
    <row r="4854" spans="1:40" x14ac:dyDescent="0.25">
      <c r="A4854" t="str">
        <f>"20190312151125328"</f>
        <v>20190312151125328</v>
      </c>
      <c r="B4854" t="str">
        <f>"1552374685326033"</f>
        <v>1552374685326033</v>
      </c>
      <c r="C4854" t="s">
        <v>40</v>
      </c>
      <c r="D4854">
        <v>4.9403280000000001</v>
      </c>
      <c r="E4854">
        <v>0.44230459999999999</v>
      </c>
      <c r="F4854" t="s">
        <v>42</v>
      </c>
      <c r="G4854">
        <v>-421.65370000000001</v>
      </c>
      <c r="H4854" s="1">
        <v>-2.3600339999999999E-6</v>
      </c>
      <c r="I4854">
        <v>84.064750000000004</v>
      </c>
      <c r="J4854">
        <v>-423.2636</v>
      </c>
      <c r="K4854">
        <v>1.107656</v>
      </c>
      <c r="L4854">
        <v>93.175749999999994</v>
      </c>
      <c r="M4854">
        <v>7.1696380000000004E-2</v>
      </c>
      <c r="N4854">
        <v>0</v>
      </c>
      <c r="O4854">
        <v>-0.99734020000000001</v>
      </c>
      <c r="P4854">
        <v>1.5719110000000001E-2</v>
      </c>
      <c r="Q4854">
        <v>7.3932159999999997E-2</v>
      </c>
      <c r="R4854">
        <v>-0.99713940000000001</v>
      </c>
      <c r="S4854">
        <v>0.52462769999999903</v>
      </c>
      <c r="T4854">
        <v>-0.35693609999999998</v>
      </c>
      <c r="U4854">
        <v>-3.026062</v>
      </c>
      <c r="V4854">
        <v>5.6337140000000001E-2</v>
      </c>
      <c r="W4854">
        <v>8.6655830000000003E-2</v>
      </c>
      <c r="X4854">
        <v>0.99464410000000003</v>
      </c>
      <c r="Y4854">
        <v>-9.8587049999999996E-2</v>
      </c>
      <c r="Z4854">
        <v>0.11555849999999999</v>
      </c>
      <c r="AA4854">
        <v>0.9883961</v>
      </c>
      <c r="AB4854">
        <v>31</v>
      </c>
      <c r="AC4854">
        <v>1.6098999999999799</v>
      </c>
      <c r="AD4854">
        <v>-1.107658360034</v>
      </c>
      <c r="AE4854">
        <v>-9.11099999999999</v>
      </c>
      <c r="AF4854">
        <v>-0.93901565377634</v>
      </c>
      <c r="AG4854">
        <v>-1.107658360034</v>
      </c>
      <c r="AH4854">
        <v>9.0729432220019799</v>
      </c>
      <c r="AI4854">
        <v>96.923814437677194</v>
      </c>
      <c r="AJ4854">
        <v>95.908861048369303</v>
      </c>
      <c r="AK4854">
        <v>9.1884142347992697</v>
      </c>
      <c r="AL4854">
        <v>85.028751651590397</v>
      </c>
      <c r="AM4854">
        <v>86.758202111147</v>
      </c>
      <c r="AN4854">
        <v>0.99999999594058897</v>
      </c>
    </row>
    <row r="4855" spans="1:40" x14ac:dyDescent="0.25">
      <c r="A4855" t="str">
        <f>"20190312151125352"</f>
        <v>20190312151125352</v>
      </c>
      <c r="B4855" t="str">
        <f>"1552374685346530"</f>
        <v>1552374685346530</v>
      </c>
      <c r="C4855" t="s">
        <v>40</v>
      </c>
      <c r="D4855">
        <v>4.9550340000000004</v>
      </c>
      <c r="E4855">
        <v>0.44192599999999999</v>
      </c>
      <c r="F4855" t="s">
        <v>42</v>
      </c>
      <c r="G4855">
        <v>-421.64890000000003</v>
      </c>
      <c r="H4855" s="1">
        <v>-2.2621610000000001E-6</v>
      </c>
      <c r="I4855">
        <v>83.839550000000003</v>
      </c>
      <c r="J4855">
        <v>-423.24369999999999</v>
      </c>
      <c r="K4855">
        <v>1.107653</v>
      </c>
      <c r="L4855">
        <v>92.855559999999997</v>
      </c>
      <c r="M4855">
        <v>6.8718940000000006E-2</v>
      </c>
      <c r="N4855">
        <v>0</v>
      </c>
      <c r="O4855">
        <v>-0.99754989999999999</v>
      </c>
      <c r="P4855">
        <v>1.362214E-2</v>
      </c>
      <c r="Q4855">
        <v>7.3527919999999997E-2</v>
      </c>
      <c r="R4855">
        <v>-0.99720030000000004</v>
      </c>
      <c r="S4855">
        <v>0.52349849999999998</v>
      </c>
      <c r="T4855">
        <v>-0.3591239</v>
      </c>
      <c r="U4855">
        <v>-3.0269780000000002</v>
      </c>
      <c r="V4855">
        <v>5.5458779999999999E-2</v>
      </c>
      <c r="W4855">
        <v>8.6259150000000007E-2</v>
      </c>
      <c r="X4855">
        <v>0.99472799999999995</v>
      </c>
      <c r="Y4855">
        <v>-0.10113519999999999</v>
      </c>
      <c r="Z4855">
        <v>0.1162482</v>
      </c>
      <c r="AA4855">
        <v>0.98805770000000004</v>
      </c>
      <c r="AB4855">
        <v>31</v>
      </c>
      <c r="AC4855">
        <v>1.59479999999996</v>
      </c>
      <c r="AD4855">
        <v>-1.1076552621610001</v>
      </c>
      <c r="AE4855">
        <v>-9.0160099999999908</v>
      </c>
      <c r="AF4855">
        <v>-0.95739372616968399</v>
      </c>
      <c r="AG4855">
        <v>-1.1076552621610001</v>
      </c>
      <c r="AH4855">
        <v>8.9729736421682809</v>
      </c>
      <c r="AI4855">
        <v>96.997867447171501</v>
      </c>
      <c r="AJ4855">
        <v>96.090274079757904</v>
      </c>
      <c r="AK4855">
        <v>9.0916312568069308</v>
      </c>
      <c r="AL4855">
        <v>85.051565461940498</v>
      </c>
      <c r="AM4855">
        <v>86.808908741306993</v>
      </c>
      <c r="AN4855">
        <v>1.0000000556109001</v>
      </c>
    </row>
    <row r="4856" spans="1:40" x14ac:dyDescent="0.25">
      <c r="A4856" t="str">
        <f>"20190312151125365"</f>
        <v>20190312151125365</v>
      </c>
      <c r="B4856" t="str">
        <f>"1552374685356290"</f>
        <v>1552374685356290</v>
      </c>
      <c r="C4856" t="s">
        <v>40</v>
      </c>
      <c r="D4856">
        <v>5.0929270000000004</v>
      </c>
      <c r="E4856">
        <v>0.4416659</v>
      </c>
      <c r="F4856" t="s">
        <v>42</v>
      </c>
      <c r="G4856">
        <v>-421.67219999999998</v>
      </c>
      <c r="H4856" s="1">
        <v>-2.2132499999999999E-6</v>
      </c>
      <c r="I4856">
        <v>83.711109999999906</v>
      </c>
      <c r="J4856">
        <v>-423.23320000000001</v>
      </c>
      <c r="K4856">
        <v>1.1076469999999901</v>
      </c>
      <c r="L4856">
        <v>92.680109999999999</v>
      </c>
      <c r="M4856">
        <v>6.7088110000000006E-2</v>
      </c>
      <c r="N4856">
        <v>0</v>
      </c>
      <c r="O4856">
        <v>-0.99766089999999996</v>
      </c>
      <c r="P4856">
        <v>1.228389E-2</v>
      </c>
      <c r="Q4856">
        <v>7.3483740000000006E-2</v>
      </c>
      <c r="R4856">
        <v>-0.99722089999999997</v>
      </c>
      <c r="S4856">
        <v>0.52041629999999905</v>
      </c>
      <c r="T4856">
        <v>-0.36682009999999998</v>
      </c>
      <c r="U4856">
        <v>-3.0283509999999998</v>
      </c>
      <c r="V4856">
        <v>5.5167290000000001E-2</v>
      </c>
      <c r="W4856">
        <v>8.6217820000000001E-2</v>
      </c>
      <c r="X4856">
        <v>0.99474779999999996</v>
      </c>
      <c r="Y4856">
        <v>-0.1016608</v>
      </c>
      <c r="Z4856">
        <v>0.1186787</v>
      </c>
      <c r="AA4856">
        <v>0.9877148</v>
      </c>
      <c r="AB4856">
        <v>31</v>
      </c>
      <c r="AC4856">
        <v>1.5610000000000299</v>
      </c>
      <c r="AD4856">
        <v>-1.10764921324999</v>
      </c>
      <c r="AE4856">
        <v>-8.9689999999999994</v>
      </c>
      <c r="AF4856">
        <v>-0.94177623277183597</v>
      </c>
      <c r="AG4856">
        <v>-1.10764921324999</v>
      </c>
      <c r="AH4856">
        <v>8.9214570421108501</v>
      </c>
      <c r="AI4856">
        <v>97.038663757813495</v>
      </c>
      <c r="AJ4856">
        <v>96.025999784163702</v>
      </c>
      <c r="AK4856">
        <v>9.0391495731875509</v>
      </c>
      <c r="AL4856">
        <v>85.053942392961801</v>
      </c>
      <c r="AM4856">
        <v>86.825709703475695</v>
      </c>
      <c r="AN4856">
        <v>1.0000000639881601</v>
      </c>
    </row>
    <row r="4857" spans="1:40" x14ac:dyDescent="0.25">
      <c r="A4857" t="str">
        <f>"20190312151125385"</f>
        <v>20190312151125385</v>
      </c>
      <c r="B4857" t="str">
        <f>"1552374685375810"</f>
        <v>1552374685375810</v>
      </c>
      <c r="C4857" t="s">
        <v>40</v>
      </c>
      <c r="D4857">
        <v>5.0149359999999996</v>
      </c>
      <c r="E4857">
        <v>0.44066359999999899</v>
      </c>
      <c r="F4857" t="s">
        <v>42</v>
      </c>
      <c r="G4857">
        <v>-421.66180000000003</v>
      </c>
      <c r="H4857" s="1">
        <v>-2.1188809999999998E-6</v>
      </c>
      <c r="I4857">
        <v>83.497579999999999</v>
      </c>
      <c r="J4857">
        <v>-423.2167</v>
      </c>
      <c r="K4857">
        <v>1.1076459999999999</v>
      </c>
      <c r="L4857">
        <v>92.392489999999995</v>
      </c>
      <c r="M4857">
        <v>6.4415230000000004E-2</v>
      </c>
      <c r="N4857">
        <v>0</v>
      </c>
      <c r="O4857">
        <v>-0.99783690000000003</v>
      </c>
      <c r="P4857">
        <v>1.0245779999999999E-2</v>
      </c>
      <c r="Q4857">
        <v>7.2613479999999994E-2</v>
      </c>
      <c r="R4857">
        <v>-0.99730779999999997</v>
      </c>
      <c r="S4857">
        <v>0.5183411</v>
      </c>
      <c r="T4857">
        <v>-0.3653631</v>
      </c>
      <c r="U4857">
        <v>-3.0289000000000001</v>
      </c>
      <c r="V4857">
        <v>5.4533730000000002E-2</v>
      </c>
      <c r="W4857">
        <v>8.5352709999999998E-2</v>
      </c>
      <c r="X4857">
        <v>0.99485730000000006</v>
      </c>
      <c r="Y4857">
        <v>-0.1036475</v>
      </c>
      <c r="Z4857">
        <v>0.1182187</v>
      </c>
      <c r="AA4857">
        <v>0.98756339999999998</v>
      </c>
      <c r="AB4857">
        <v>31</v>
      </c>
      <c r="AC4857">
        <v>1.55489999999997</v>
      </c>
      <c r="AD4857">
        <v>-1.1076481188809999</v>
      </c>
      <c r="AE4857">
        <v>-8.8949100000000101</v>
      </c>
      <c r="AF4857">
        <v>-0.96414574518861296</v>
      </c>
      <c r="AG4857">
        <v>-1.1076481188809999</v>
      </c>
      <c r="AH4857">
        <v>8.8435334659195899</v>
      </c>
      <c r="AI4857">
        <v>97.097468334039107</v>
      </c>
      <c r="AJ4857">
        <v>96.221965939970303</v>
      </c>
      <c r="AK4857">
        <v>8.9646274622019693</v>
      </c>
      <c r="AL4857">
        <v>85.103692774735293</v>
      </c>
      <c r="AM4857">
        <v>86.862435751529603</v>
      </c>
      <c r="AN4857">
        <v>1.0000000300876699</v>
      </c>
    </row>
    <row r="4858" spans="1:40" x14ac:dyDescent="0.25">
      <c r="A4858" t="str">
        <f>"20190312151125408"</f>
        <v>20190312151125408</v>
      </c>
      <c r="B4858" t="str">
        <f>"1552374685396306"</f>
        <v>1552374685396306</v>
      </c>
      <c r="C4858" t="s">
        <v>40</v>
      </c>
      <c r="D4858">
        <v>4.9403160000000002</v>
      </c>
      <c r="E4858">
        <v>0.42586940000000001</v>
      </c>
      <c r="F4858" t="s">
        <v>42</v>
      </c>
      <c r="G4858">
        <v>-421.65</v>
      </c>
      <c r="H4858" s="1">
        <v>-2.0204120000000001E-6</v>
      </c>
      <c r="I4858">
        <v>83.275379999999998</v>
      </c>
      <c r="J4858">
        <v>-423.19929999999999</v>
      </c>
      <c r="K4858">
        <v>1.1076440000000001</v>
      </c>
      <c r="L4858">
        <v>92.075159999999997</v>
      </c>
      <c r="M4858">
        <v>6.1465829999999999E-2</v>
      </c>
      <c r="N4858">
        <v>0</v>
      </c>
      <c r="O4858">
        <v>-0.99802310000000005</v>
      </c>
      <c r="P4858">
        <v>8.3402540000000001E-3</v>
      </c>
      <c r="Q4858">
        <v>7.2552320000000003E-2</v>
      </c>
      <c r="R4858">
        <v>-0.99733000000000005</v>
      </c>
      <c r="S4858">
        <v>0.52059940000000005</v>
      </c>
      <c r="T4858">
        <v>-0.36806230000000001</v>
      </c>
      <c r="U4858">
        <v>-3.029541</v>
      </c>
      <c r="V4858">
        <v>5.3492869999999998E-2</v>
      </c>
      <c r="W4858">
        <v>8.5299020000000003E-2</v>
      </c>
      <c r="X4858">
        <v>0.99491839999999998</v>
      </c>
      <c r="Y4858">
        <v>-0.1072497</v>
      </c>
      <c r="Z4858">
        <v>0.1190581</v>
      </c>
      <c r="AA4858">
        <v>0.98707780000000001</v>
      </c>
      <c r="AB4858">
        <v>31</v>
      </c>
      <c r="AC4858">
        <v>1.5493000000000099</v>
      </c>
      <c r="AD4858">
        <v>-1.107646020412</v>
      </c>
      <c r="AE4858">
        <v>-8.7997799999999895</v>
      </c>
      <c r="AF4858">
        <v>-0.99022067157454496</v>
      </c>
      <c r="AG4858">
        <v>-1.107646020412</v>
      </c>
      <c r="AH4858">
        <v>8.7440029137278596</v>
      </c>
      <c r="AI4858">
        <v>97.174113561071806</v>
      </c>
      <c r="AJ4858">
        <v>96.460974321595401</v>
      </c>
      <c r="AK4858">
        <v>8.8693293793966994</v>
      </c>
      <c r="AL4858">
        <v>85.106780177143406</v>
      </c>
      <c r="AM4858">
        <v>86.922393381995093</v>
      </c>
      <c r="AN4858">
        <v>1.00000001630617</v>
      </c>
    </row>
    <row r="4859" spans="1:40" x14ac:dyDescent="0.25">
      <c r="A4859" t="str">
        <f>"20190312151125429"</f>
        <v>20190312151125429</v>
      </c>
      <c r="B4859" t="str">
        <f>"1552374685426563"</f>
        <v>1552374685426563</v>
      </c>
      <c r="C4859" t="s">
        <v>40</v>
      </c>
      <c r="D4859">
        <v>5.0167159999999997</v>
      </c>
      <c r="E4859">
        <v>0.42624600000000001</v>
      </c>
      <c r="F4859" t="s">
        <v>42</v>
      </c>
      <c r="G4859">
        <v>-421.37979999999999</v>
      </c>
      <c r="H4859" s="1">
        <v>-1.989395E-6</v>
      </c>
      <c r="I4859">
        <v>83.370669999999905</v>
      </c>
      <c r="J4859">
        <v>-423.18380000000002</v>
      </c>
      <c r="K4859">
        <v>1.1076490000000001</v>
      </c>
      <c r="L4859">
        <v>91.776089999999996</v>
      </c>
      <c r="M4859">
        <v>5.8685519999999998E-2</v>
      </c>
      <c r="N4859">
        <v>0</v>
      </c>
      <c r="O4859">
        <v>-0.99819029999999997</v>
      </c>
      <c r="P4859">
        <v>6.8441709999999996E-3</v>
      </c>
      <c r="Q4859">
        <v>7.2247130000000007E-2</v>
      </c>
      <c r="R4859">
        <v>-0.99736369999999996</v>
      </c>
      <c r="S4859">
        <v>0.63354489999999997</v>
      </c>
      <c r="T4859">
        <v>-0.38566820000000002</v>
      </c>
      <c r="U4859">
        <v>-3.0307919999999999</v>
      </c>
      <c r="V4859">
        <v>5.2211769999999998E-2</v>
      </c>
      <c r="W4859">
        <v>8.5003029999999993E-2</v>
      </c>
      <c r="X4859">
        <v>0.99501170000000005</v>
      </c>
      <c r="Y4859">
        <v>-0.14523449999999999</v>
      </c>
      <c r="Z4859">
        <v>0.1239229</v>
      </c>
      <c r="AA4859">
        <v>0.98160590000000003</v>
      </c>
      <c r="AB4859">
        <v>31</v>
      </c>
      <c r="AC4859">
        <v>1.80400000000003</v>
      </c>
      <c r="AD4859">
        <v>-1.107650989395</v>
      </c>
      <c r="AE4859">
        <v>-8.4054199999999994</v>
      </c>
      <c r="AF4859">
        <v>-1.2862191305586199</v>
      </c>
      <c r="AG4859">
        <v>-1.107650989395</v>
      </c>
      <c r="AH4859">
        <v>8.3580582355503594</v>
      </c>
      <c r="AI4859">
        <v>97.462292098448003</v>
      </c>
      <c r="AJ4859">
        <v>98.748599945046394</v>
      </c>
      <c r="AK4859">
        <v>8.5286803102809401</v>
      </c>
      <c r="AL4859">
        <v>85.1238005689505</v>
      </c>
      <c r="AM4859">
        <v>86.996243454217407</v>
      </c>
      <c r="AN4859">
        <v>0.99999993358629902</v>
      </c>
    </row>
    <row r="4860" spans="1:40" x14ac:dyDescent="0.25">
      <c r="A4860" t="str">
        <f>"20190312151125463"</f>
        <v>20190312151125463</v>
      </c>
      <c r="B4860" t="str">
        <f>"1552374685455847"</f>
        <v>1552374685455847</v>
      </c>
      <c r="C4860" t="s">
        <v>40</v>
      </c>
      <c r="D4860">
        <v>4.9042669999999999</v>
      </c>
      <c r="E4860">
        <v>0.42601359999999999</v>
      </c>
      <c r="F4860" t="s">
        <v>42</v>
      </c>
      <c r="G4860">
        <v>-421.36619999999999</v>
      </c>
      <c r="H4860" s="1">
        <v>-1.8188419999999999E-6</v>
      </c>
      <c r="I4860">
        <v>82.981530000000006</v>
      </c>
      <c r="J4860">
        <v>-423.16129999999998</v>
      </c>
      <c r="K4860">
        <v>1.107645</v>
      </c>
      <c r="L4860">
        <v>91.309839999999994</v>
      </c>
      <c r="M4860">
        <v>5.4349120000000001E-2</v>
      </c>
      <c r="N4860">
        <v>0</v>
      </c>
      <c r="O4860">
        <v>-0.99843599999999999</v>
      </c>
      <c r="P4860">
        <v>4.1385170000000004E-3</v>
      </c>
      <c r="Q4860">
        <v>7.2221439999999998E-2</v>
      </c>
      <c r="R4860">
        <v>-0.99738009999999999</v>
      </c>
      <c r="S4860">
        <v>0.62649540000000004</v>
      </c>
      <c r="T4860">
        <v>-0.3817816</v>
      </c>
      <c r="U4860">
        <v>-3.0312809999999999</v>
      </c>
      <c r="V4860">
        <v>5.0586640000000002E-2</v>
      </c>
      <c r="W4860">
        <v>8.498021E-2</v>
      </c>
      <c r="X4860">
        <v>0.99509760000000003</v>
      </c>
      <c r="Y4860">
        <v>-0.1473411</v>
      </c>
      <c r="Z4860">
        <v>0.1227282</v>
      </c>
      <c r="AA4860">
        <v>0.98144200000000004</v>
      </c>
      <c r="AB4860">
        <v>31</v>
      </c>
      <c r="AC4860">
        <v>1.7950999999999899</v>
      </c>
      <c r="AD4860">
        <v>-1.1076468188419999</v>
      </c>
      <c r="AE4860">
        <v>-8.3283100000000001</v>
      </c>
      <c r="AF4860">
        <v>-1.3175013021162301</v>
      </c>
      <c r="AG4860">
        <v>-1.1076468188419999</v>
      </c>
      <c r="AH4860">
        <v>8.2737174289480908</v>
      </c>
      <c r="AI4860">
        <v>97.531374273268696</v>
      </c>
      <c r="AJ4860">
        <v>99.047777138861704</v>
      </c>
      <c r="AK4860">
        <v>8.4508633434962306</v>
      </c>
      <c r="AL4860">
        <v>85.125112832719495</v>
      </c>
      <c r="AM4860">
        <v>87.089825086646499</v>
      </c>
      <c r="AN4860">
        <v>0.99999993888194405</v>
      </c>
    </row>
    <row r="4861" spans="1:40" x14ac:dyDescent="0.25">
      <c r="A4861" t="str">
        <f>"20190312151125486"</f>
        <v>20190312151125486</v>
      </c>
      <c r="B4861" t="str">
        <f>"1552374685476338"</f>
        <v>1552374685476338</v>
      </c>
      <c r="C4861" t="s">
        <v>40</v>
      </c>
      <c r="D4861">
        <v>4.939673</v>
      </c>
      <c r="E4861">
        <v>0.42089949999999998</v>
      </c>
      <c r="F4861" t="s">
        <v>42</v>
      </c>
      <c r="G4861">
        <v>-421.36320000000001</v>
      </c>
      <c r="H4861" s="1">
        <v>-1.6194739999999901E-6</v>
      </c>
      <c r="I4861">
        <v>82.518619999999999</v>
      </c>
      <c r="J4861">
        <v>-423.1472</v>
      </c>
      <c r="K4861">
        <v>1.1076429999999999</v>
      </c>
      <c r="L4861">
        <v>90.995329999999996</v>
      </c>
      <c r="M4861">
        <v>5.1422200000000001E-2</v>
      </c>
      <c r="N4861">
        <v>0</v>
      </c>
      <c r="O4861">
        <v>-0.99859120000000001</v>
      </c>
      <c r="P4861">
        <v>2.5534400000000001E-3</v>
      </c>
      <c r="Q4861">
        <v>7.2035920000000003E-2</v>
      </c>
      <c r="R4861">
        <v>-0.99739909999999998</v>
      </c>
      <c r="S4861">
        <v>0.62033079999999996</v>
      </c>
      <c r="T4861">
        <v>-0.38214019999999999</v>
      </c>
      <c r="U4861">
        <v>-3.0329899999999999</v>
      </c>
      <c r="V4861">
        <v>4.9249000000000001E-2</v>
      </c>
      <c r="W4861">
        <v>8.4787329999999994E-2</v>
      </c>
      <c r="X4861">
        <v>0.99518119999999999</v>
      </c>
      <c r="Y4861">
        <v>-0.14821400000000001</v>
      </c>
      <c r="Z4861">
        <v>0.12281980000000001</v>
      </c>
      <c r="AA4861">
        <v>0.98129909999999998</v>
      </c>
      <c r="AB4861">
        <v>31</v>
      </c>
      <c r="AC4861">
        <v>1.78399999999999</v>
      </c>
      <c r="AD4861">
        <v>-1.1076446194739999</v>
      </c>
      <c r="AE4861">
        <v>-8.4767100000000095</v>
      </c>
      <c r="AF4861">
        <v>-1.3240622159237201</v>
      </c>
      <c r="AG4861">
        <v>-1.1076446194739999</v>
      </c>
      <c r="AH4861">
        <v>8.4195764729207898</v>
      </c>
      <c r="AI4861">
        <v>97.404584546839502</v>
      </c>
      <c r="AJ4861">
        <v>98.937137503124802</v>
      </c>
      <c r="AK4861">
        <v>8.5947242735324494</v>
      </c>
      <c r="AL4861">
        <v>85.136204313084306</v>
      </c>
      <c r="AM4861">
        <v>87.1668880819267</v>
      </c>
      <c r="AN4861">
        <v>0.99999998808148405</v>
      </c>
    </row>
    <row r="4862" spans="1:40" x14ac:dyDescent="0.25">
      <c r="A4862" t="str">
        <f>"20190312151125507"</f>
        <v>20190312151125507</v>
      </c>
      <c r="B4862" t="str">
        <f>"1552374685495857"</f>
        <v>1552374685495857</v>
      </c>
      <c r="C4862" t="s">
        <v>40</v>
      </c>
      <c r="D4862">
        <v>4.9379019999999896</v>
      </c>
      <c r="E4862">
        <v>0.4198498</v>
      </c>
      <c r="F4862" t="s">
        <v>42</v>
      </c>
      <c r="G4862">
        <v>-421.55590000000001</v>
      </c>
      <c r="H4862" s="1">
        <v>-2.1557209999999999E-6</v>
      </c>
      <c r="I4862">
        <v>83.649140000000003</v>
      </c>
      <c r="J4862">
        <v>-423.13459999999998</v>
      </c>
      <c r="K4862">
        <v>1.10764</v>
      </c>
      <c r="L4862">
        <v>90.691770000000005</v>
      </c>
      <c r="M4862">
        <v>4.8597620000000001E-2</v>
      </c>
      <c r="N4862">
        <v>0</v>
      </c>
      <c r="O4862">
        <v>-0.99873290000000003</v>
      </c>
      <c r="P4862">
        <v>7.5547389999999998E-4</v>
      </c>
      <c r="Q4862">
        <v>7.2250250000000002E-2</v>
      </c>
      <c r="R4862">
        <v>-0.99738649999999995</v>
      </c>
      <c r="S4862">
        <v>0.65835569999999999</v>
      </c>
      <c r="T4862">
        <v>-0.45824740000000003</v>
      </c>
      <c r="U4862">
        <v>-3.039215</v>
      </c>
      <c r="V4862">
        <v>4.8227279999999997E-2</v>
      </c>
      <c r="W4862">
        <v>8.4989729999999999E-2</v>
      </c>
      <c r="X4862">
        <v>0.99521400000000004</v>
      </c>
      <c r="Y4862">
        <v>-0.16168589999999999</v>
      </c>
      <c r="Z4862">
        <v>0.14619550000000001</v>
      </c>
      <c r="AA4862">
        <v>0.97595319999999997</v>
      </c>
      <c r="AB4862">
        <v>31</v>
      </c>
      <c r="AC4862">
        <v>1.57869999999996</v>
      </c>
      <c r="AD4862">
        <v>-1.1076421557210001</v>
      </c>
      <c r="AE4862">
        <v>-7.0426299999999804</v>
      </c>
      <c r="AF4862">
        <v>-1.2061423914526399</v>
      </c>
      <c r="AG4862">
        <v>-1.1076421557210001</v>
      </c>
      <c r="AH4862">
        <v>6.9474061722650697</v>
      </c>
      <c r="AI4862">
        <v>98.927229985166804</v>
      </c>
      <c r="AJ4862">
        <v>99.848978377414696</v>
      </c>
      <c r="AK4862">
        <v>7.1377939964681003</v>
      </c>
      <c r="AL4862">
        <v>85.124565769688701</v>
      </c>
      <c r="AM4862">
        <v>87.225662327300995</v>
      </c>
      <c r="AN4862">
        <v>1.00000001526883</v>
      </c>
    </row>
    <row r="4863" spans="1:40" x14ac:dyDescent="0.25">
      <c r="A4863" t="str">
        <f>"20190312151125530"</f>
        <v>20190312151125530</v>
      </c>
      <c r="B4863" t="str">
        <f>"1552374685526114"</f>
        <v>1552374685526114</v>
      </c>
      <c r="C4863" t="s">
        <v>40</v>
      </c>
      <c r="D4863">
        <v>4.9200920000000004</v>
      </c>
      <c r="E4863">
        <v>0.4185449</v>
      </c>
      <c r="F4863" t="s">
        <v>42</v>
      </c>
      <c r="G4863">
        <v>-421.58479999999997</v>
      </c>
      <c r="H4863" s="1">
        <v>-2.129227E-6</v>
      </c>
      <c r="I4863">
        <v>83.56944</v>
      </c>
      <c r="J4863">
        <v>-423.1223</v>
      </c>
      <c r="K4863">
        <v>1.1076429999999999</v>
      </c>
      <c r="L4863">
        <v>90.37509</v>
      </c>
      <c r="M4863">
        <v>4.5649710000000003E-2</v>
      </c>
      <c r="N4863">
        <v>0</v>
      </c>
      <c r="O4863">
        <v>-0.99887210000000004</v>
      </c>
      <c r="P4863">
        <v>-9.2128149999999998E-4</v>
      </c>
      <c r="Q4863">
        <v>7.209923E-2</v>
      </c>
      <c r="R4863">
        <v>-0.99739710000000004</v>
      </c>
      <c r="S4863">
        <v>0.6618347</v>
      </c>
      <c r="T4863">
        <v>-0.47302369999999999</v>
      </c>
      <c r="U4863">
        <v>-3.0416259999999999</v>
      </c>
      <c r="V4863">
        <v>4.6960740000000001E-2</v>
      </c>
      <c r="W4863">
        <v>8.4828180000000003E-2</v>
      </c>
      <c r="X4863">
        <v>0.99528830000000001</v>
      </c>
      <c r="Y4863">
        <v>-0.16536020000000001</v>
      </c>
      <c r="Z4863">
        <v>0.1506557</v>
      </c>
      <c r="AA4863">
        <v>0.97465829999999998</v>
      </c>
      <c r="AB4863">
        <v>31</v>
      </c>
      <c r="AC4863">
        <v>1.5375000000000201</v>
      </c>
      <c r="AD4863">
        <v>-1.107645129227</v>
      </c>
      <c r="AE4863">
        <v>-6.80565</v>
      </c>
      <c r="AF4863">
        <v>-1.1950755363985801</v>
      </c>
      <c r="AG4863">
        <v>-1.107645129227</v>
      </c>
      <c r="AH4863">
        <v>6.6998922817417004</v>
      </c>
      <c r="AI4863">
        <v>99.244061786404899</v>
      </c>
      <c r="AJ4863">
        <v>100.113617440543</v>
      </c>
      <c r="AK4863">
        <v>6.8951896171853502</v>
      </c>
      <c r="AL4863">
        <v>85.133855208494893</v>
      </c>
      <c r="AM4863">
        <v>87.298613690068905</v>
      </c>
      <c r="AN4863">
        <v>0.99999996567017402</v>
      </c>
    </row>
    <row r="4864" spans="1:40" x14ac:dyDescent="0.25">
      <c r="A4864" t="str">
        <f>"20190312151125552"</f>
        <v>20190312151125552</v>
      </c>
      <c r="B4864" t="str">
        <f>"1552374685546610"</f>
        <v>1552374685546610</v>
      </c>
      <c r="C4864" t="s">
        <v>40</v>
      </c>
      <c r="D4864">
        <v>4.9598009999999997</v>
      </c>
      <c r="E4864">
        <v>0.4180856</v>
      </c>
      <c r="F4864" t="s">
        <v>42</v>
      </c>
      <c r="G4864">
        <v>-421.60270000000003</v>
      </c>
      <c r="H4864" s="1">
        <v>-2.0805010000000001E-6</v>
      </c>
      <c r="I4864">
        <v>83.444760000000002</v>
      </c>
      <c r="J4864">
        <v>-423.11110000000002</v>
      </c>
      <c r="K4864">
        <v>1.10764</v>
      </c>
      <c r="L4864">
        <v>90.063289999999995</v>
      </c>
      <c r="M4864">
        <v>4.2746140000000002E-2</v>
      </c>
      <c r="N4864">
        <v>0</v>
      </c>
      <c r="O4864">
        <v>-0.99900100000000003</v>
      </c>
      <c r="P4864">
        <v>-2.2516139999999999E-3</v>
      </c>
      <c r="Q4864">
        <v>7.1946200000000002E-2</v>
      </c>
      <c r="R4864">
        <v>-0.99740629999999997</v>
      </c>
      <c r="S4864">
        <v>0.66735840000000002</v>
      </c>
      <c r="T4864">
        <v>-0.48644730000000003</v>
      </c>
      <c r="U4864">
        <v>-3.0436100000000001</v>
      </c>
      <c r="V4864">
        <v>4.5392630000000003E-2</v>
      </c>
      <c r="W4864">
        <v>8.4667599999999996E-2</v>
      </c>
      <c r="X4864">
        <v>0.99537469999999995</v>
      </c>
      <c r="Y4864">
        <v>-0.16964760000000001</v>
      </c>
      <c r="Z4864">
        <v>0.15467620000000001</v>
      </c>
      <c r="AA4864">
        <v>0.97329080000000001</v>
      </c>
      <c r="AB4864">
        <v>31</v>
      </c>
      <c r="AC4864">
        <v>1.50839999999999</v>
      </c>
      <c r="AD4864">
        <v>-1.1076420805010001</v>
      </c>
      <c r="AE4864">
        <v>-6.6185299999999998</v>
      </c>
      <c r="AF4864">
        <v>-1.1923348707247099</v>
      </c>
      <c r="AG4864">
        <v>-1.1076420805010001</v>
      </c>
      <c r="AH4864">
        <v>6.5038015095275998</v>
      </c>
      <c r="AI4864">
        <v>99.509612716952503</v>
      </c>
      <c r="AJ4864">
        <v>100.38861286653901</v>
      </c>
      <c r="AK4864">
        <v>6.7043245370265501</v>
      </c>
      <c r="AL4864">
        <v>85.143088875736098</v>
      </c>
      <c r="AM4864">
        <v>87.388917546150694</v>
      </c>
      <c r="AN4864">
        <v>0.99999994337408105</v>
      </c>
    </row>
    <row r="4865" spans="1:40" x14ac:dyDescent="0.25">
      <c r="A4865" t="str">
        <f>"20190312151125574"</f>
        <v>20190312151125574</v>
      </c>
      <c r="B4865" t="str">
        <f>"1552374685566130"</f>
        <v>1552374685566130</v>
      </c>
      <c r="C4865" t="s">
        <v>40</v>
      </c>
      <c r="D4865">
        <v>4.9353920000000002</v>
      </c>
      <c r="E4865">
        <v>0.41774519999999998</v>
      </c>
      <c r="F4865" t="s">
        <v>42</v>
      </c>
      <c r="G4865">
        <v>-421.58620000000002</v>
      </c>
      <c r="H4865" s="1">
        <v>-1.9290570000000002E-6</v>
      </c>
      <c r="I4865">
        <v>83.102009999999893</v>
      </c>
      <c r="J4865">
        <v>-423.10070000000002</v>
      </c>
      <c r="K4865">
        <v>1.107642</v>
      </c>
      <c r="L4865">
        <v>89.749690000000001</v>
      </c>
      <c r="M4865">
        <v>3.9825760000000002E-2</v>
      </c>
      <c r="N4865">
        <v>0</v>
      </c>
      <c r="O4865">
        <v>-0.99912190000000001</v>
      </c>
      <c r="P4865">
        <v>-3.434164E-3</v>
      </c>
      <c r="Q4865">
        <v>7.2504009999999994E-2</v>
      </c>
      <c r="R4865">
        <v>-0.99736230000000003</v>
      </c>
      <c r="S4865">
        <v>0.66687010000000002</v>
      </c>
      <c r="T4865">
        <v>-0.4843848</v>
      </c>
      <c r="U4865">
        <v>-3.0442499999999999</v>
      </c>
      <c r="V4865">
        <v>4.366254E-2</v>
      </c>
      <c r="W4865">
        <v>8.5218719999999998E-2</v>
      </c>
      <c r="X4865">
        <v>0.99540510000000004</v>
      </c>
      <c r="Y4865">
        <v>-0.17235739999999999</v>
      </c>
      <c r="Z4865">
        <v>0.153999</v>
      </c>
      <c r="AA4865">
        <v>0.97292199999999995</v>
      </c>
      <c r="AB4865">
        <v>31</v>
      </c>
      <c r="AC4865">
        <v>1.51449999999999</v>
      </c>
      <c r="AD4865">
        <v>-1.1076439290569999</v>
      </c>
      <c r="AE4865">
        <v>-6.6476800000000003</v>
      </c>
      <c r="AF4865">
        <v>-1.2164222339469</v>
      </c>
      <c r="AG4865">
        <v>-1.1076439290569999</v>
      </c>
      <c r="AH4865">
        <v>6.5303720423556104</v>
      </c>
      <c r="AI4865">
        <v>99.466749308338095</v>
      </c>
      <c r="AJ4865">
        <v>100.55164316277499</v>
      </c>
      <c r="AK4865">
        <v>6.7344129021316297</v>
      </c>
      <c r="AL4865">
        <v>85.111397665753898</v>
      </c>
      <c r="AM4865">
        <v>87.488382714286104</v>
      </c>
      <c r="AN4865">
        <v>0.99999998037184901</v>
      </c>
    </row>
    <row r="4866" spans="1:40" x14ac:dyDescent="0.25">
      <c r="A4866" t="str">
        <f>"20190312151125598"</f>
        <v>20190312151125598</v>
      </c>
      <c r="B4866" t="str">
        <f>"1552374685586626"</f>
        <v>1552374685586626</v>
      </c>
      <c r="C4866" t="s">
        <v>40</v>
      </c>
      <c r="D4866">
        <v>4.9355409999999997</v>
      </c>
      <c r="E4866">
        <v>0.41732639999999999</v>
      </c>
      <c r="F4866" t="s">
        <v>42</v>
      </c>
      <c r="G4866">
        <v>-421.56939999999997</v>
      </c>
      <c r="H4866" s="1">
        <v>-1.770623E-6</v>
      </c>
      <c r="I4866">
        <v>82.743089999999995</v>
      </c>
      <c r="J4866">
        <v>-423.09129999999999</v>
      </c>
      <c r="K4866">
        <v>1.1076410000000001</v>
      </c>
      <c r="L4866">
        <v>89.439539999999994</v>
      </c>
      <c r="M4866">
        <v>3.6937020000000001E-2</v>
      </c>
      <c r="N4866">
        <v>0</v>
      </c>
      <c r="O4866">
        <v>-0.99923289999999998</v>
      </c>
      <c r="P4866">
        <v>-4.6888269999999996E-3</v>
      </c>
      <c r="Q4866">
        <v>7.2886240000000005E-2</v>
      </c>
      <c r="R4866">
        <v>-0.99732929999999997</v>
      </c>
      <c r="S4866">
        <v>0.66552730000000004</v>
      </c>
      <c r="T4866">
        <v>-0.48140670000000002</v>
      </c>
      <c r="U4866">
        <v>-3.0452270000000001</v>
      </c>
      <c r="V4866">
        <v>4.2035950000000002E-2</v>
      </c>
      <c r="W4866">
        <v>8.5595489999999996E-2</v>
      </c>
      <c r="X4866">
        <v>0.99544279999999996</v>
      </c>
      <c r="Y4866">
        <v>-0.1747611</v>
      </c>
      <c r="Z4866">
        <v>0.15302739999999901</v>
      </c>
      <c r="AA4866">
        <v>0.97264649999999997</v>
      </c>
      <c r="AB4866">
        <v>31</v>
      </c>
      <c r="AC4866">
        <v>1.52190000000001</v>
      </c>
      <c r="AD4866">
        <v>-1.1076427706230001</v>
      </c>
      <c r="AE4866">
        <v>-6.6964499999999898</v>
      </c>
      <c r="AF4866">
        <v>-1.2412024683857299</v>
      </c>
      <c r="AG4866">
        <v>-1.1076427706230001</v>
      </c>
      <c r="AH4866">
        <v>6.57699257409375</v>
      </c>
      <c r="AI4866">
        <v>99.396745346834393</v>
      </c>
      <c r="AJ4866">
        <v>100.687103505726</v>
      </c>
      <c r="AK4866">
        <v>6.7841202373281</v>
      </c>
      <c r="AL4866">
        <v>85.089731208140407</v>
      </c>
      <c r="AM4866">
        <v>87.581927941248495</v>
      </c>
      <c r="AN4866">
        <v>0.99999998853629102</v>
      </c>
    </row>
    <row r="4867" spans="1:40" x14ac:dyDescent="0.25">
      <c r="A4867" t="str">
        <f>"20190312151125620"</f>
        <v>20190312151125620</v>
      </c>
      <c r="B4867" t="str">
        <f>"1552374685615906"</f>
        <v>1552374685615906</v>
      </c>
      <c r="C4867" t="s">
        <v>40</v>
      </c>
      <c r="D4867">
        <v>4.9919039999999999</v>
      </c>
      <c r="E4867">
        <v>0.41687190000000002</v>
      </c>
      <c r="F4867" t="s">
        <v>42</v>
      </c>
      <c r="G4867">
        <v>-421.55110000000002</v>
      </c>
      <c r="H4867" s="1">
        <v>-1.6112140000000001E-6</v>
      </c>
      <c r="I4867">
        <v>82.382869999999997</v>
      </c>
      <c r="J4867">
        <v>-423.0829</v>
      </c>
      <c r="K4867">
        <v>1.1076410000000001</v>
      </c>
      <c r="L4867">
        <v>89.128079999999997</v>
      </c>
      <c r="M4867">
        <v>3.403639E-2</v>
      </c>
      <c r="N4867">
        <v>0</v>
      </c>
      <c r="O4867">
        <v>-0.99933609999999995</v>
      </c>
      <c r="P4867">
        <v>-6.0309150000000004E-3</v>
      </c>
      <c r="Q4867">
        <v>7.3302469999999995E-2</v>
      </c>
      <c r="R4867">
        <v>-0.9972917</v>
      </c>
      <c r="S4867">
        <v>0.664856</v>
      </c>
      <c r="T4867">
        <v>-0.47812939999999998</v>
      </c>
      <c r="U4867">
        <v>-3.0461119999999999</v>
      </c>
      <c r="V4867">
        <v>4.0485460000000001E-2</v>
      </c>
      <c r="W4867">
        <v>8.600642E-2</v>
      </c>
      <c r="X4867">
        <v>0.99547169999999896</v>
      </c>
      <c r="Y4867">
        <v>-0.17738899999999999</v>
      </c>
      <c r="Z4867">
        <v>0.1519587</v>
      </c>
      <c r="AA4867">
        <v>0.97233829999999999</v>
      </c>
      <c r="AB4867">
        <v>31</v>
      </c>
      <c r="AC4867">
        <v>1.5317999999999701</v>
      </c>
      <c r="AD4867">
        <v>-1.1076426112140001</v>
      </c>
      <c r="AE4867">
        <v>-6.7452100000000099</v>
      </c>
      <c r="AF4867">
        <v>-1.2687750883334901</v>
      </c>
      <c r="AG4867">
        <v>-1.1076426112140001</v>
      </c>
      <c r="AH4867">
        <v>6.6235934486114001</v>
      </c>
      <c r="AI4867">
        <v>99.327031208953898</v>
      </c>
      <c r="AJ4867">
        <v>100.84387181557</v>
      </c>
      <c r="AK4867">
        <v>6.8343728718471697</v>
      </c>
      <c r="AL4867">
        <v>85.066099766479596</v>
      </c>
      <c r="AM4867">
        <v>87.671085632047095</v>
      </c>
      <c r="AN4867">
        <v>1.00000004112675</v>
      </c>
    </row>
    <row r="4868" spans="1:40" x14ac:dyDescent="0.25">
      <c r="A4868" t="str">
        <f>"20190312151125642"</f>
        <v>20190312151125642</v>
      </c>
      <c r="B4868" t="str">
        <f>"1552374685636402"</f>
        <v>1552374685636402</v>
      </c>
      <c r="C4868" t="s">
        <v>40</v>
      </c>
      <c r="D4868">
        <v>4.9561489999999999</v>
      </c>
      <c r="E4868">
        <v>0.41654649999999999</v>
      </c>
      <c r="F4868" t="s">
        <v>42</v>
      </c>
      <c r="G4868">
        <v>-421.57010000000002</v>
      </c>
      <c r="H4868" s="1">
        <v>-1.5311400000000001E-6</v>
      </c>
      <c r="I4868">
        <v>82.184430000000006</v>
      </c>
      <c r="J4868">
        <v>-423.0754</v>
      </c>
      <c r="K4868">
        <v>1.1076330000000001</v>
      </c>
      <c r="L4868">
        <v>88.822689999999994</v>
      </c>
      <c r="M4868">
        <v>3.1190829999999999E-2</v>
      </c>
      <c r="N4868">
        <v>0</v>
      </c>
      <c r="O4868">
        <v>-0.99942920000000002</v>
      </c>
      <c r="P4868">
        <v>-7.0304869999999898E-3</v>
      </c>
      <c r="Q4868">
        <v>7.3340559999999999E-2</v>
      </c>
      <c r="R4868">
        <v>-0.99728240000000001</v>
      </c>
      <c r="S4868">
        <v>0.66403199999999996</v>
      </c>
      <c r="T4868">
        <v>-0.48619430000000002</v>
      </c>
      <c r="U4868">
        <v>-3.047882</v>
      </c>
      <c r="V4868">
        <v>3.8646569999999998E-2</v>
      </c>
      <c r="W4868">
        <v>8.603777E-2</v>
      </c>
      <c r="X4868">
        <v>0.99554200000000004</v>
      </c>
      <c r="Y4868">
        <v>-0.1797414</v>
      </c>
      <c r="Z4868">
        <v>0.15436710000000001</v>
      </c>
      <c r="AA4868">
        <v>0.97152660000000002</v>
      </c>
      <c r="AB4868">
        <v>31</v>
      </c>
      <c r="AC4868">
        <v>1.5052999999999701</v>
      </c>
      <c r="AD4868">
        <v>-1.10763453114</v>
      </c>
      <c r="AE4868">
        <v>-6.6382599999999998</v>
      </c>
      <c r="AF4868">
        <v>-1.26402654359888</v>
      </c>
      <c r="AG4868">
        <v>-1.10763453114</v>
      </c>
      <c r="AH4868">
        <v>6.5096144941252598</v>
      </c>
      <c r="AI4868">
        <v>99.482784400247496</v>
      </c>
      <c r="AJ4868">
        <v>100.98885236547299</v>
      </c>
      <c r="AK4868">
        <v>6.7230720819891499</v>
      </c>
      <c r="AL4868">
        <v>85.064296481772004</v>
      </c>
      <c r="AM4868">
        <v>87.776915413044094</v>
      </c>
      <c r="AN4868">
        <v>0.99999996450166795</v>
      </c>
    </row>
    <row r="4869" spans="1:40" x14ac:dyDescent="0.25">
      <c r="A4869" t="str">
        <f>"20190312151125664"</f>
        <v>20190312151125664</v>
      </c>
      <c r="B4869" t="str">
        <f>"1552374685655922"</f>
        <v>1552374685655922</v>
      </c>
      <c r="C4869" t="s">
        <v>40</v>
      </c>
      <c r="D4869">
        <v>4.996848</v>
      </c>
      <c r="E4869">
        <v>0.4164407</v>
      </c>
      <c r="F4869" t="s">
        <v>42</v>
      </c>
      <c r="G4869">
        <v>-421.56130000000002</v>
      </c>
      <c r="H4869" s="1">
        <v>-1.3924629999999901E-6</v>
      </c>
      <c r="I4869">
        <v>81.866590000000002</v>
      </c>
      <c r="J4869">
        <v>-423.06869999999998</v>
      </c>
      <c r="K4869">
        <v>1.1076330000000001</v>
      </c>
      <c r="L4869">
        <v>88.509609999999995</v>
      </c>
      <c r="M4869">
        <v>2.827416E-2</v>
      </c>
      <c r="N4869">
        <v>0</v>
      </c>
      <c r="O4869">
        <v>-0.99951630000000002</v>
      </c>
      <c r="P4869">
        <v>-8.3982190000000002E-3</v>
      </c>
      <c r="Q4869">
        <v>7.3491710000000002E-2</v>
      </c>
      <c r="R4869">
        <v>-0.99726060000000005</v>
      </c>
      <c r="S4869">
        <v>0.66354369999999996</v>
      </c>
      <c r="T4869">
        <v>-0.48542770000000002</v>
      </c>
      <c r="U4869">
        <v>-3.0485530000000001</v>
      </c>
      <c r="V4869">
        <v>3.7105359999999997E-2</v>
      </c>
      <c r="W4869">
        <v>8.6177450000000003E-2</v>
      </c>
      <c r="X4869">
        <v>0.99558860000000005</v>
      </c>
      <c r="Y4869">
        <v>-0.18242639999999999</v>
      </c>
      <c r="Z4869">
        <v>0.1540811</v>
      </c>
      <c r="AA4869">
        <v>0.97107140000000003</v>
      </c>
      <c r="AB4869">
        <v>31</v>
      </c>
      <c r="AC4869">
        <v>1.5073999999999601</v>
      </c>
      <c r="AD4869">
        <v>-1.1076343924629899</v>
      </c>
      <c r="AE4869">
        <v>-6.6430199999999902</v>
      </c>
      <c r="AF4869">
        <v>-1.2849811732837999</v>
      </c>
      <c r="AG4869">
        <v>-1.1076343924629899</v>
      </c>
      <c r="AH4869">
        <v>6.5108430504944499</v>
      </c>
      <c r="AI4869">
        <v>99.475443538657998</v>
      </c>
      <c r="AJ4869">
        <v>101.16442584604</v>
      </c>
      <c r="AK4869">
        <v>6.7282321445705602</v>
      </c>
      <c r="AL4869">
        <v>85.056263799666795</v>
      </c>
      <c r="AM4869">
        <v>87.8655872611821</v>
      </c>
      <c r="AN4869">
        <v>1.0000000105395901</v>
      </c>
    </row>
    <row r="4870" spans="1:40" x14ac:dyDescent="0.25">
      <c r="A4870" t="str">
        <f>"20190312151125687"</f>
        <v>20190312151125687</v>
      </c>
      <c r="B4870" t="str">
        <f>"1552374685676418"</f>
        <v>1552374685676418</v>
      </c>
      <c r="C4870" t="s">
        <v>40</v>
      </c>
      <c r="D4870">
        <v>4.9769009999999998</v>
      </c>
      <c r="E4870">
        <v>0.41582859999999999</v>
      </c>
      <c r="F4870" t="s">
        <v>42</v>
      </c>
      <c r="G4870">
        <v>-421.54969999999997</v>
      </c>
      <c r="H4870" s="1">
        <v>-1.2282599999999999E-6</v>
      </c>
      <c r="I4870">
        <v>81.491069999999993</v>
      </c>
      <c r="J4870">
        <v>-423.06299999999999</v>
      </c>
      <c r="K4870">
        <v>1.1076319999999999</v>
      </c>
      <c r="L4870">
        <v>88.197109999999995</v>
      </c>
      <c r="M4870">
        <v>2.536188E-2</v>
      </c>
      <c r="N4870">
        <v>0</v>
      </c>
      <c r="O4870">
        <v>-0.99959489999999995</v>
      </c>
      <c r="P4870">
        <v>-1.056267E-2</v>
      </c>
      <c r="Q4870">
        <v>7.3241360000000005E-2</v>
      </c>
      <c r="R4870">
        <v>-0.99725839999999999</v>
      </c>
      <c r="S4870">
        <v>0.65997309999999998</v>
      </c>
      <c r="T4870">
        <v>-0.48122379999999998</v>
      </c>
      <c r="U4870">
        <v>-3.0492859999999999</v>
      </c>
      <c r="V4870">
        <v>3.6363239999999998E-2</v>
      </c>
      <c r="W4870">
        <v>8.5911870000000001E-2</v>
      </c>
      <c r="X4870">
        <v>0.99563889999999999</v>
      </c>
      <c r="Y4870">
        <v>-0.18419849999999999</v>
      </c>
      <c r="Z4870">
        <v>0.1527541</v>
      </c>
      <c r="AA4870">
        <v>0.97094650000000005</v>
      </c>
      <c r="AB4870">
        <v>31</v>
      </c>
      <c r="AC4870">
        <v>1.51330000000007</v>
      </c>
      <c r="AD4870">
        <v>-1.1076332282600001</v>
      </c>
      <c r="AE4870">
        <v>-6.7060399999999998</v>
      </c>
      <c r="AF4870">
        <v>-1.30874735332421</v>
      </c>
      <c r="AG4870">
        <v>-1.1076332282600001</v>
      </c>
      <c r="AH4870">
        <v>6.5716716096018999</v>
      </c>
      <c r="AI4870">
        <v>99.386148533077602</v>
      </c>
      <c r="AJ4870">
        <v>101.26308776099199</v>
      </c>
      <c r="AK4870">
        <v>6.7916521368240401</v>
      </c>
      <c r="AL4870">
        <v>85.071536890750707</v>
      </c>
      <c r="AM4870">
        <v>87.908343526748894</v>
      </c>
      <c r="AN4870">
        <v>0.99999997691170195</v>
      </c>
    </row>
    <row r="4871" spans="1:40" x14ac:dyDescent="0.25">
      <c r="A4871" t="str">
        <f>"20190312151125709"</f>
        <v>20190312151125709</v>
      </c>
      <c r="B4871" t="str">
        <f>"1552374685705698"</f>
        <v>1552374685705698</v>
      </c>
      <c r="C4871" t="s">
        <v>40</v>
      </c>
      <c r="D4871">
        <v>4.9846209999999997</v>
      </c>
      <c r="E4871">
        <v>0.40264270000000002</v>
      </c>
      <c r="F4871" t="s">
        <v>42</v>
      </c>
      <c r="G4871">
        <v>-421.53190000000001</v>
      </c>
      <c r="H4871" s="1">
        <v>-1.058074E-6</v>
      </c>
      <c r="I4871">
        <v>81.105379999999997</v>
      </c>
      <c r="J4871">
        <v>-423.0582</v>
      </c>
      <c r="K4871">
        <v>1.1076299999999999</v>
      </c>
      <c r="L4871">
        <v>87.892150000000001</v>
      </c>
      <c r="M4871">
        <v>2.2519930000000001E-2</v>
      </c>
      <c r="N4871">
        <v>0</v>
      </c>
      <c r="O4871">
        <v>-0.99966319999999997</v>
      </c>
      <c r="P4871">
        <v>-1.234902E-2</v>
      </c>
      <c r="Q4871">
        <v>7.3323589999999994E-2</v>
      </c>
      <c r="R4871">
        <v>-0.99723200000000001</v>
      </c>
      <c r="S4871">
        <v>0.65853879999999998</v>
      </c>
      <c r="T4871">
        <v>-0.47640070000000001</v>
      </c>
      <c r="U4871">
        <v>-3.0502009999999999</v>
      </c>
      <c r="V4871">
        <v>3.5314949999999998E-2</v>
      </c>
      <c r="W4871">
        <v>8.5982669999999997E-2</v>
      </c>
      <c r="X4871">
        <v>0.99567059999999996</v>
      </c>
      <c r="Y4871">
        <v>-0.18654480000000001</v>
      </c>
      <c r="Z4871">
        <v>0.15120430000000001</v>
      </c>
      <c r="AA4871">
        <v>0.97074110000000002</v>
      </c>
      <c r="AB4871">
        <v>31</v>
      </c>
      <c r="AC4871">
        <v>1.52629999999999</v>
      </c>
      <c r="AD4871">
        <v>-1.1076310580740001</v>
      </c>
      <c r="AE4871">
        <v>-6.78676999999999</v>
      </c>
      <c r="AF4871">
        <v>-1.33911153865674</v>
      </c>
      <c r="AG4871">
        <v>-1.1076310580740001</v>
      </c>
      <c r="AH4871">
        <v>6.6508031567076902</v>
      </c>
      <c r="AI4871">
        <v>99.2725535893928</v>
      </c>
      <c r="AJ4871">
        <v>101.384058314258</v>
      </c>
      <c r="AK4871">
        <v>6.8740998612943303</v>
      </c>
      <c r="AL4871">
        <v>85.067465666747097</v>
      </c>
      <c r="AM4871">
        <v>87.968655757832806</v>
      </c>
      <c r="AN4871">
        <v>1.0000000544690899</v>
      </c>
    </row>
    <row r="4872" spans="1:40" x14ac:dyDescent="0.25">
      <c r="A4872" t="str">
        <f>"20190312151125732"</f>
        <v>20190312151125732</v>
      </c>
      <c r="B4872" t="str">
        <f>"1552374685726194"</f>
        <v>1552374685726194</v>
      </c>
      <c r="C4872" t="s">
        <v>40</v>
      </c>
      <c r="D4872">
        <v>4.9248190000000003</v>
      </c>
      <c r="E4872">
        <v>0.40232600000000002</v>
      </c>
      <c r="F4872" t="s">
        <v>42</v>
      </c>
      <c r="G4872">
        <v>-421.2362</v>
      </c>
      <c r="H4872" s="1">
        <v>-7.4426249999999898E-7</v>
      </c>
      <c r="I4872">
        <v>80.557259999999999</v>
      </c>
      <c r="J4872">
        <v>-423.05419999999998</v>
      </c>
      <c r="K4872">
        <v>1.1076280000000001</v>
      </c>
      <c r="L4872">
        <v>87.573300000000003</v>
      </c>
      <c r="M4872">
        <v>1.9547309999999998E-2</v>
      </c>
      <c r="N4872">
        <v>0</v>
      </c>
      <c r="O4872">
        <v>-0.99972589999999995</v>
      </c>
      <c r="P4872">
        <v>-1.428187E-2</v>
      </c>
      <c r="Q4872">
        <v>7.3219110000000004E-2</v>
      </c>
      <c r="R4872">
        <v>-0.99721369999999998</v>
      </c>
      <c r="S4872">
        <v>0.75802609999999904</v>
      </c>
      <c r="T4872">
        <v>-0.46081840000000002</v>
      </c>
      <c r="U4872">
        <v>-3.0516049999999999</v>
      </c>
      <c r="V4872">
        <v>3.4282130000000001E-2</v>
      </c>
      <c r="W4872">
        <v>8.5867219999999994E-2</v>
      </c>
      <c r="X4872">
        <v>0.99571659999999995</v>
      </c>
      <c r="Y4872">
        <v>-0.21950149999999999</v>
      </c>
      <c r="Z4872">
        <v>0.14529500000000001</v>
      </c>
      <c r="AA4872">
        <v>0.96473229999999999</v>
      </c>
      <c r="AB4872">
        <v>31</v>
      </c>
      <c r="AC4872">
        <v>1.8179999999999801</v>
      </c>
      <c r="AD4872">
        <v>-1.1076287442624999</v>
      </c>
      <c r="AE4872">
        <v>-7.0160400000000003</v>
      </c>
      <c r="AF4872">
        <v>-1.6421440672311001</v>
      </c>
      <c r="AG4872">
        <v>-1.1076287442624999</v>
      </c>
      <c r="AH4872">
        <v>6.8893381021723004</v>
      </c>
      <c r="AI4872">
        <v>98.8886530380382</v>
      </c>
      <c r="AJ4872">
        <v>103.406864119549</v>
      </c>
      <c r="AK4872">
        <v>7.1684348402354896</v>
      </c>
      <c r="AL4872">
        <v>85.074104728879703</v>
      </c>
      <c r="AM4872">
        <v>88.028107811599497</v>
      </c>
      <c r="AN4872">
        <v>0.99999999571171205</v>
      </c>
    </row>
    <row r="4873" spans="1:40" x14ac:dyDescent="0.25">
      <c r="A4873" t="str">
        <f>"20190312151125754"</f>
        <v>20190312151125754</v>
      </c>
      <c r="B4873" t="str">
        <f>"1552374685745714"</f>
        <v>1552374685745714</v>
      </c>
      <c r="C4873" t="s">
        <v>40</v>
      </c>
      <c r="D4873">
        <v>4.932525</v>
      </c>
      <c r="E4873">
        <v>0.40208880000000002</v>
      </c>
      <c r="F4873" t="s">
        <v>42</v>
      </c>
      <c r="G4873">
        <v>-421.32459999999998</v>
      </c>
      <c r="H4873" s="1">
        <v>-7.758865E-7</v>
      </c>
      <c r="I4873">
        <v>80.576149999999998</v>
      </c>
      <c r="J4873">
        <v>-423.05110000000002</v>
      </c>
      <c r="K4873">
        <v>1.107621</v>
      </c>
      <c r="L4873">
        <v>87.267089999999996</v>
      </c>
      <c r="M4873">
        <v>1.6692209999999999E-2</v>
      </c>
      <c r="N4873">
        <v>0</v>
      </c>
      <c r="O4873">
        <v>-0.99977780000000005</v>
      </c>
      <c r="P4873">
        <v>-1.5843550000000001E-2</v>
      </c>
      <c r="Q4873">
        <v>7.3333850000000006E-2</v>
      </c>
      <c r="R4873">
        <v>-0.99718169999999995</v>
      </c>
      <c r="S4873">
        <v>0.75506589999999996</v>
      </c>
      <c r="T4873">
        <v>-0.48354789999999997</v>
      </c>
      <c r="U4873">
        <v>-3.0546880000000001</v>
      </c>
      <c r="V4873">
        <v>3.299668E-2</v>
      </c>
      <c r="W4873">
        <v>8.5975070000000001E-2</v>
      </c>
      <c r="X4873">
        <v>0.99575069999999999</v>
      </c>
      <c r="Y4873">
        <v>-0.2209295</v>
      </c>
      <c r="Z4873">
        <v>0.15215339999999999</v>
      </c>
      <c r="AA4873">
        <v>0.96334799999999998</v>
      </c>
      <c r="AB4873">
        <v>31</v>
      </c>
      <c r="AC4873">
        <v>1.7265000000000399</v>
      </c>
      <c r="AD4873">
        <v>-1.1076217758864999</v>
      </c>
      <c r="AE4873">
        <v>-6.6909399999999897</v>
      </c>
      <c r="AF4873">
        <v>-1.57411977185939</v>
      </c>
      <c r="AG4873">
        <v>-1.1076217758864999</v>
      </c>
      <c r="AH4873">
        <v>6.5505266327293299</v>
      </c>
      <c r="AI4873">
        <v>99.336395488114604</v>
      </c>
      <c r="AJ4873">
        <v>103.512218133437</v>
      </c>
      <c r="AK4873">
        <v>6.82745034552965</v>
      </c>
      <c r="AL4873">
        <v>85.067902340455802</v>
      </c>
      <c r="AM4873">
        <v>88.102056117151307</v>
      </c>
      <c r="AN4873">
        <v>0.99999997505150795</v>
      </c>
    </row>
    <row r="4874" spans="1:40" x14ac:dyDescent="0.25">
      <c r="A4874" t="str">
        <f>"20190312151125775"</f>
        <v>20190312151125775</v>
      </c>
      <c r="B4874" t="str">
        <f>"1552374685766210"</f>
        <v>1552374685766210</v>
      </c>
      <c r="C4874" t="s">
        <v>40</v>
      </c>
      <c r="D4874">
        <v>4.8768390000000004</v>
      </c>
      <c r="E4874">
        <v>0.40181119999999998</v>
      </c>
      <c r="F4874" t="s">
        <v>42</v>
      </c>
      <c r="G4874">
        <v>-421.39479999999998</v>
      </c>
      <c r="H4874" s="1">
        <v>-7.8034570000000004E-7</v>
      </c>
      <c r="I4874">
        <v>80.543040000000005</v>
      </c>
      <c r="J4874">
        <v>-423.04899999999998</v>
      </c>
      <c r="K4874">
        <v>1.1076280000000001</v>
      </c>
      <c r="L4874">
        <v>86.963229999999996</v>
      </c>
      <c r="M4874">
        <v>1.385892E-2</v>
      </c>
      <c r="N4874">
        <v>0</v>
      </c>
      <c r="O4874">
        <v>-0.99982130000000002</v>
      </c>
      <c r="P4874">
        <v>-1.8008929999999999E-2</v>
      </c>
      <c r="Q4874">
        <v>7.3046410000000006E-2</v>
      </c>
      <c r="R4874">
        <v>-0.997166</v>
      </c>
      <c r="S4874">
        <v>0.7531738</v>
      </c>
      <c r="T4874">
        <v>-0.5036467</v>
      </c>
      <c r="U4874">
        <v>-3.0574949999999999</v>
      </c>
      <c r="V4874">
        <v>3.2334710000000003E-2</v>
      </c>
      <c r="W4874">
        <v>8.567814E-2</v>
      </c>
      <c r="X4874">
        <v>0.99579810000000002</v>
      </c>
      <c r="Y4874">
        <v>-0.22269700000000001</v>
      </c>
      <c r="Z4874">
        <v>0.15817000000000001</v>
      </c>
      <c r="AA4874">
        <v>0.96197100000000002</v>
      </c>
      <c r="AB4874">
        <v>31</v>
      </c>
      <c r="AC4874">
        <v>1.6542000000000501</v>
      </c>
      <c r="AD4874">
        <v>-1.1076287803456999</v>
      </c>
      <c r="AE4874">
        <v>-6.4201899999999998</v>
      </c>
      <c r="AF4874">
        <v>-1.52256040941338</v>
      </c>
      <c r="AG4874">
        <v>-1.1076287803456999</v>
      </c>
      <c r="AH4874">
        <v>6.2675655434894502</v>
      </c>
      <c r="AI4874">
        <v>99.744320721490098</v>
      </c>
      <c r="AJ4874">
        <v>103.65419448456301</v>
      </c>
      <c r="AK4874">
        <v>6.5442653947788001</v>
      </c>
      <c r="AL4874">
        <v>85.084978635945703</v>
      </c>
      <c r="AM4874">
        <v>88.140193580011001</v>
      </c>
      <c r="AN4874">
        <v>1.00000006655412</v>
      </c>
    </row>
    <row r="4875" spans="1:40" x14ac:dyDescent="0.25">
      <c r="A4875" t="str">
        <f>"20190312151125799"</f>
        <v>20190312151125799</v>
      </c>
      <c r="B4875" t="str">
        <f>"1552374685796466"</f>
        <v>1552374685796466</v>
      </c>
      <c r="C4875" t="s">
        <v>40</v>
      </c>
      <c r="D4875">
        <v>4.9320000000000004</v>
      </c>
      <c r="E4875">
        <v>0.4013661</v>
      </c>
      <c r="F4875" t="s">
        <v>42</v>
      </c>
      <c r="G4875">
        <v>-421.4196</v>
      </c>
      <c r="H4875" s="1">
        <v>-6.8358909999999996E-7</v>
      </c>
      <c r="I4875">
        <v>80.302099999999996</v>
      </c>
      <c r="J4875">
        <v>-423.04770000000002</v>
      </c>
      <c r="K4875">
        <v>1.1076299999999999</v>
      </c>
      <c r="L4875">
        <v>86.650509999999997</v>
      </c>
      <c r="M4875">
        <v>1.0942790000000001E-2</v>
      </c>
      <c r="N4875">
        <v>0</v>
      </c>
      <c r="O4875">
        <v>-0.99985740000000001</v>
      </c>
      <c r="P4875">
        <v>-1.976464E-2</v>
      </c>
      <c r="Q4875">
        <v>7.2836529999999997E-2</v>
      </c>
      <c r="R4875">
        <v>-0.99714809999999998</v>
      </c>
      <c r="S4875">
        <v>0.74835209999999996</v>
      </c>
      <c r="T4875">
        <v>-0.50871290000000002</v>
      </c>
      <c r="U4875">
        <v>-3.059326</v>
      </c>
      <c r="V4875">
        <v>3.11811E-2</v>
      </c>
      <c r="W4875">
        <v>8.5462919999999998E-2</v>
      </c>
      <c r="X4875">
        <v>0.99585330000000005</v>
      </c>
      <c r="Y4875">
        <v>-0.2239177</v>
      </c>
      <c r="Z4875">
        <v>0.1596437</v>
      </c>
      <c r="AA4875">
        <v>0.96144410000000002</v>
      </c>
      <c r="AB4875">
        <v>31</v>
      </c>
      <c r="AC4875">
        <v>1.6281000000000101</v>
      </c>
      <c r="AD4875">
        <v>-1.1076306835891001</v>
      </c>
      <c r="AE4875">
        <v>-6.3484100000000003</v>
      </c>
      <c r="AF4875">
        <v>-1.51524815847766</v>
      </c>
      <c r="AG4875">
        <v>-1.1076306835891001</v>
      </c>
      <c r="AH4875">
        <v>6.1890718787921104</v>
      </c>
      <c r="AI4875">
        <v>99.861279520621693</v>
      </c>
      <c r="AJ4875">
        <v>103.756916742301</v>
      </c>
      <c r="AK4875">
        <v>6.4674131949221598</v>
      </c>
      <c r="AL4875">
        <v>85.097354820081904</v>
      </c>
      <c r="AM4875">
        <v>88.206601368163803</v>
      </c>
      <c r="AN4875">
        <v>0.99999998340651297</v>
      </c>
    </row>
    <row r="4876" spans="1:40" x14ac:dyDescent="0.25">
      <c r="A4876" t="str">
        <f>"20190312151125821"</f>
        <v>20190312151125821</v>
      </c>
      <c r="B4876" t="str">
        <f>"1552374685815986"</f>
        <v>1552374685815986</v>
      </c>
      <c r="C4876" t="s">
        <v>40</v>
      </c>
      <c r="D4876">
        <v>4.9254160000000002</v>
      </c>
      <c r="E4876">
        <v>0.40083410000000003</v>
      </c>
      <c r="F4876" t="s">
        <v>42</v>
      </c>
      <c r="G4876">
        <v>-421.42770000000002</v>
      </c>
      <c r="H4876" s="1">
        <v>-5.5914519999999897E-7</v>
      </c>
      <c r="I4876">
        <v>80.006969999999995</v>
      </c>
      <c r="J4876">
        <v>-423.04739999999998</v>
      </c>
      <c r="K4876">
        <v>1.1076299999999999</v>
      </c>
      <c r="L4876">
        <v>86.336179999999999</v>
      </c>
      <c r="M4876">
        <v>8.0122030000000007E-3</v>
      </c>
      <c r="N4876">
        <v>0</v>
      </c>
      <c r="O4876">
        <v>-0.99988560000000004</v>
      </c>
      <c r="P4876">
        <v>-2.17778E-2</v>
      </c>
      <c r="Q4876">
        <v>7.2605740000000002E-2</v>
      </c>
      <c r="R4876">
        <v>-0.99712330000000005</v>
      </c>
      <c r="S4876">
        <v>0.74630739999999995</v>
      </c>
      <c r="T4876">
        <v>-0.51027820000000002</v>
      </c>
      <c r="U4876">
        <v>-3.060638</v>
      </c>
      <c r="V4876">
        <v>3.0270370000000001E-2</v>
      </c>
      <c r="W4876">
        <v>8.5226800000000005E-2</v>
      </c>
      <c r="X4876">
        <v>0.99590160000000005</v>
      </c>
      <c r="Y4876">
        <v>-0.2260549</v>
      </c>
      <c r="Z4876">
        <v>0.1600356</v>
      </c>
      <c r="AA4876">
        <v>0.96087869999999997</v>
      </c>
      <c r="AB4876">
        <v>31</v>
      </c>
      <c r="AC4876">
        <v>1.6196999999999599</v>
      </c>
      <c r="AD4876">
        <v>-1.10763055914519</v>
      </c>
      <c r="AE4876">
        <v>-6.3292099999999998</v>
      </c>
      <c r="AF4876">
        <v>-1.52509609938643</v>
      </c>
      <c r="AG4876">
        <v>-1.10763055914519</v>
      </c>
      <c r="AH4876">
        <v>6.1647868295261201</v>
      </c>
      <c r="AI4876">
        <v>99.893591037590397</v>
      </c>
      <c r="AJ4876">
        <v>103.895319781757</v>
      </c>
      <c r="AK4876">
        <v>6.44649984265995</v>
      </c>
      <c r="AL4876">
        <v>85.110932875668198</v>
      </c>
      <c r="AM4876">
        <v>88.259034183463498</v>
      </c>
      <c r="AN4876">
        <v>0.99999994981036699</v>
      </c>
    </row>
    <row r="4877" spans="1:40" x14ac:dyDescent="0.25">
      <c r="A4877" t="str">
        <f>"20190312151125843"</f>
        <v>20190312151125843</v>
      </c>
      <c r="B4877" t="str">
        <f>"1552374685836482"</f>
        <v>1552374685836482</v>
      </c>
      <c r="C4877" t="s">
        <v>40</v>
      </c>
      <c r="D4877">
        <v>4.8910179999999999</v>
      </c>
      <c r="E4877">
        <v>0.40038960000000001</v>
      </c>
      <c r="F4877" t="s">
        <v>42</v>
      </c>
      <c r="G4877">
        <v>-421.45080000000002</v>
      </c>
      <c r="H4877" s="1">
        <v>-4.6102539999999998E-7</v>
      </c>
      <c r="I4877">
        <v>79.763940000000005</v>
      </c>
      <c r="J4877">
        <v>-423.04790000000003</v>
      </c>
      <c r="K4877">
        <v>1.1076299999999999</v>
      </c>
      <c r="L4877">
        <v>86.03604</v>
      </c>
      <c r="M4877">
        <v>5.2128290000000004E-3</v>
      </c>
      <c r="N4877">
        <v>0</v>
      </c>
      <c r="O4877">
        <v>-0.99990409999999996</v>
      </c>
      <c r="P4877">
        <v>-2.3616209999999999E-2</v>
      </c>
      <c r="Q4877">
        <v>7.2561249999999994E-2</v>
      </c>
      <c r="R4877">
        <v>-0.99708459999999999</v>
      </c>
      <c r="S4877">
        <v>0.74395749999999905</v>
      </c>
      <c r="T4877">
        <v>-0.51612789999999997</v>
      </c>
      <c r="U4877">
        <v>-3.0625</v>
      </c>
      <c r="V4877">
        <v>2.9316809999999999E-2</v>
      </c>
      <c r="W4877">
        <v>8.5179279999999996E-2</v>
      </c>
      <c r="X4877">
        <v>0.99593419999999999</v>
      </c>
      <c r="Y4877">
        <v>-0.22788420000000001</v>
      </c>
      <c r="Z4877">
        <v>0.16171150000000001</v>
      </c>
      <c r="AA4877">
        <v>0.96016570000000001</v>
      </c>
      <c r="AB4877">
        <v>31</v>
      </c>
      <c r="AC4877">
        <v>1.59710000000001</v>
      </c>
      <c r="AD4877">
        <v>-1.1076304610254</v>
      </c>
      <c r="AE4877">
        <v>-6.2720999999999902</v>
      </c>
      <c r="AF4877">
        <v>-1.5198673651071899</v>
      </c>
      <c r="AG4877">
        <v>-1.1076304610254</v>
      </c>
      <c r="AH4877">
        <v>6.1016401208125002</v>
      </c>
      <c r="AI4877">
        <v>99.990026861582095</v>
      </c>
      <c r="AJ4877">
        <v>103.987247710902</v>
      </c>
      <c r="AK4877">
        <v>6.3848926545101801</v>
      </c>
      <c r="AL4877">
        <v>85.113665547840498</v>
      </c>
      <c r="AM4877">
        <v>88.313900086951193</v>
      </c>
      <c r="AN4877">
        <v>0.99999995790976604</v>
      </c>
    </row>
    <row r="4878" spans="1:40" x14ac:dyDescent="0.25">
      <c r="A4878" t="str">
        <f>"20190312151125865"</f>
        <v>20190312151125865</v>
      </c>
      <c r="B4878" t="str">
        <f>"1552374685856002"</f>
        <v>1552374685856002</v>
      </c>
      <c r="C4878" t="s">
        <v>40</v>
      </c>
      <c r="D4878">
        <v>4.9295309999999999</v>
      </c>
      <c r="E4878">
        <v>0.39969749999999998</v>
      </c>
      <c r="F4878" t="s">
        <v>42</v>
      </c>
      <c r="G4878">
        <v>-421.47050000000002</v>
      </c>
      <c r="H4878" s="1">
        <v>-4.5254839999999997E-6</v>
      </c>
      <c r="I4878">
        <v>79.518659999999997</v>
      </c>
      <c r="J4878">
        <v>-423.04939999999999</v>
      </c>
      <c r="K4878">
        <v>1.107634</v>
      </c>
      <c r="L4878">
        <v>85.716549999999998</v>
      </c>
      <c r="M4878">
        <v>2.2350820000000002E-3</v>
      </c>
      <c r="N4878">
        <v>0</v>
      </c>
      <c r="O4878">
        <v>-0.99991540000000001</v>
      </c>
      <c r="P4878">
        <v>-2.579325E-2</v>
      </c>
      <c r="Q4878">
        <v>7.219035E-2</v>
      </c>
      <c r="R4878">
        <v>-0.99705730000000004</v>
      </c>
      <c r="S4878">
        <v>0.74166869999999996</v>
      </c>
      <c r="T4878">
        <v>-0.52076979999999995</v>
      </c>
      <c r="U4878">
        <v>-3.0642399999999999</v>
      </c>
      <c r="V4878">
        <v>2.852213E-2</v>
      </c>
      <c r="W4878">
        <v>8.480443E-2</v>
      </c>
      <c r="X4878">
        <v>0.99598929999999997</v>
      </c>
      <c r="Y4878">
        <v>-0.22992789999999999</v>
      </c>
      <c r="Z4878">
        <v>0.1630152</v>
      </c>
      <c r="AA4878">
        <v>0.95945780000000003</v>
      </c>
      <c r="AB4878">
        <v>31</v>
      </c>
      <c r="AC4878">
        <v>1.57889999999997</v>
      </c>
      <c r="AD4878">
        <v>-1.107638525484</v>
      </c>
      <c r="AE4878">
        <v>-6.1978900000000001</v>
      </c>
      <c r="AF4878">
        <v>-1.51947063108936</v>
      </c>
      <c r="AG4878">
        <v>-1.107638525484</v>
      </c>
      <c r="AH4878">
        <v>6.0208289321465003</v>
      </c>
      <c r="AI4878">
        <v>100.113769491855</v>
      </c>
      <c r="AJ4878">
        <v>104.163921939435</v>
      </c>
      <c r="AK4878">
        <v>6.3076172309400498</v>
      </c>
      <c r="AL4878">
        <v>85.135221044943094</v>
      </c>
      <c r="AM4878">
        <v>88.359669959475596</v>
      </c>
      <c r="AN4878">
        <v>0.99999999448092503</v>
      </c>
    </row>
    <row r="4879" spans="1:40" x14ac:dyDescent="0.25">
      <c r="A4879" t="str">
        <f>"20190312151125888"</f>
        <v>20190312151125888</v>
      </c>
      <c r="B4879" t="str">
        <f>"1552374685876498"</f>
        <v>1552374685876498</v>
      </c>
      <c r="C4879" t="s">
        <v>40</v>
      </c>
      <c r="D4879">
        <v>4.9285610000000002</v>
      </c>
      <c r="E4879">
        <v>0.39894610000000003</v>
      </c>
      <c r="F4879" t="s">
        <v>42</v>
      </c>
      <c r="G4879">
        <v>-421.48009999999999</v>
      </c>
      <c r="H4879" s="1">
        <v>-4.4236490000000002E-6</v>
      </c>
      <c r="I4879">
        <v>79.214359999999999</v>
      </c>
      <c r="J4879">
        <v>-423.05160000000001</v>
      </c>
      <c r="K4879">
        <v>1.1076349999999999</v>
      </c>
      <c r="L4879">
        <v>85.417999999999907</v>
      </c>
      <c r="M4879">
        <v>-5.4397750000000002E-4</v>
      </c>
      <c r="N4879">
        <v>0</v>
      </c>
      <c r="O4879">
        <v>-0.99991790000000003</v>
      </c>
      <c r="P4879">
        <v>-2.8111069999999998E-2</v>
      </c>
      <c r="Q4879">
        <v>7.2085369999999996E-2</v>
      </c>
      <c r="R4879">
        <v>-0.99700239999999996</v>
      </c>
      <c r="S4879">
        <v>0.73992919999999995</v>
      </c>
      <c r="T4879">
        <v>-0.52225329999999903</v>
      </c>
      <c r="U4879">
        <v>-3.0657960000000002</v>
      </c>
      <c r="V4879">
        <v>2.8067499999999999E-2</v>
      </c>
      <c r="W4879">
        <v>8.4695149999999997E-2</v>
      </c>
      <c r="X4879">
        <v>0.99601150000000005</v>
      </c>
      <c r="Y4879">
        <v>-0.23199049999999999</v>
      </c>
      <c r="Z4879">
        <v>0.16335839999999999</v>
      </c>
      <c r="AA4879">
        <v>0.9589027</v>
      </c>
      <c r="AB4879">
        <v>31</v>
      </c>
      <c r="AC4879">
        <v>1.5715000000000101</v>
      </c>
      <c r="AD4879">
        <v>-1.1076394236489999</v>
      </c>
      <c r="AE4879">
        <v>-6.2036399999999903</v>
      </c>
      <c r="AF4879">
        <v>-1.52906898833294</v>
      </c>
      <c r="AG4879">
        <v>-1.1076394236489999</v>
      </c>
      <c r="AH4879">
        <v>6.0223743385665802</v>
      </c>
      <c r="AI4879">
        <v>100.107634420482</v>
      </c>
      <c r="AJ4879">
        <v>104.24625296063699</v>
      </c>
      <c r="AK4879">
        <v>6.3114110734231499</v>
      </c>
      <c r="AL4879">
        <v>85.141504867749006</v>
      </c>
      <c r="AM4879">
        <v>88.385838101686403</v>
      </c>
      <c r="AN4879">
        <v>0.99999998056101103</v>
      </c>
    </row>
    <row r="4880" spans="1:40" x14ac:dyDescent="0.25">
      <c r="A4880" t="str">
        <f>"20190312151125910"</f>
        <v>20190312151125910</v>
      </c>
      <c r="B4880" t="str">
        <f>"1552374685905778"</f>
        <v>1552374685905778</v>
      </c>
      <c r="C4880" t="s">
        <v>40</v>
      </c>
      <c r="D4880">
        <v>4.8818390000000003</v>
      </c>
      <c r="E4880">
        <v>0.39794220000000002</v>
      </c>
      <c r="F4880" t="s">
        <v>42</v>
      </c>
      <c r="G4880">
        <v>-421.49369999999999</v>
      </c>
      <c r="H4880" s="1">
        <v>-4.3365379999999997E-6</v>
      </c>
      <c r="I4880">
        <v>78.95129</v>
      </c>
      <c r="J4880">
        <v>-423.0548</v>
      </c>
      <c r="K4880">
        <v>1.107642</v>
      </c>
      <c r="L4880">
        <v>85.109859999999998</v>
      </c>
      <c r="M4880">
        <v>-3.4019319999999999E-3</v>
      </c>
      <c r="N4880">
        <v>0</v>
      </c>
      <c r="O4880">
        <v>-0.99991240000000003</v>
      </c>
      <c r="P4880">
        <v>-3.0392490000000001E-2</v>
      </c>
      <c r="Q4880">
        <v>7.1990299999999993E-2</v>
      </c>
      <c r="R4880">
        <v>-0.99694229999999995</v>
      </c>
      <c r="S4880">
        <v>0.73907469999999997</v>
      </c>
      <c r="T4880">
        <v>-0.52546969999999904</v>
      </c>
      <c r="U4880">
        <v>-3.067841</v>
      </c>
      <c r="V4880">
        <v>2.7497069999999998E-2</v>
      </c>
      <c r="W4880">
        <v>8.4596790000000005E-2</v>
      </c>
      <c r="X4880">
        <v>0.99603580000000003</v>
      </c>
      <c r="Y4880">
        <v>-0.23433680000000001</v>
      </c>
      <c r="Z4880">
        <v>0.16418969999999999</v>
      </c>
      <c r="AA4880">
        <v>0.95818999999999999</v>
      </c>
      <c r="AB4880">
        <v>31</v>
      </c>
      <c r="AC4880">
        <v>1.5611000000000099</v>
      </c>
      <c r="AD4880">
        <v>-1.107646336538</v>
      </c>
      <c r="AE4880">
        <v>-6.1585699999999903</v>
      </c>
      <c r="AF4880">
        <v>-1.5353764913053101</v>
      </c>
      <c r="AG4880">
        <v>-1.107646336538</v>
      </c>
      <c r="AH4880">
        <v>5.9717150052009602</v>
      </c>
      <c r="AI4880">
        <v>100.183972394759</v>
      </c>
      <c r="AJ4880">
        <v>104.418906919199</v>
      </c>
      <c r="AK4880">
        <v>6.2646341856680996</v>
      </c>
      <c r="AL4880">
        <v>85.147160924003202</v>
      </c>
      <c r="AM4880">
        <v>88.418665260950604</v>
      </c>
      <c r="AN4880">
        <v>1.0000000103092599</v>
      </c>
    </row>
    <row r="4881" spans="1:40" x14ac:dyDescent="0.25">
      <c r="A4881" t="str">
        <f>"20190312151125932"</f>
        <v>20190312151125932</v>
      </c>
      <c r="B4881" t="str">
        <f>"1552374685926274"</f>
        <v>1552374685926274</v>
      </c>
      <c r="C4881" t="s">
        <v>40</v>
      </c>
      <c r="D4881">
        <v>4.9614479999999999</v>
      </c>
      <c r="E4881">
        <v>0.397455</v>
      </c>
      <c r="F4881" t="s">
        <v>42</v>
      </c>
      <c r="G4881">
        <v>-421.51130000000001</v>
      </c>
      <c r="H4881" s="1">
        <v>-4.2541789999999999E-6</v>
      </c>
      <c r="I4881">
        <v>78.700130000000001</v>
      </c>
      <c r="J4881">
        <v>-423.05889999999999</v>
      </c>
      <c r="K4881">
        <v>1.107648</v>
      </c>
      <c r="L4881">
        <v>84.800749999999994</v>
      </c>
      <c r="M4881">
        <v>-6.2513660000000004E-3</v>
      </c>
      <c r="N4881">
        <v>0</v>
      </c>
      <c r="O4881">
        <v>-0.99989850000000002</v>
      </c>
      <c r="P4881">
        <v>-3.2612139999999998E-2</v>
      </c>
      <c r="Q4881">
        <v>7.1770360000000005E-2</v>
      </c>
      <c r="R4881">
        <v>-0.99688810000000005</v>
      </c>
      <c r="S4881">
        <v>0.73928830000000001</v>
      </c>
      <c r="T4881">
        <v>-0.53052900000000003</v>
      </c>
      <c r="U4881">
        <v>-3.070068</v>
      </c>
      <c r="V4881">
        <v>2.6871579999999999E-2</v>
      </c>
      <c r="W4881">
        <v>8.4374909999999997E-2</v>
      </c>
      <c r="X4881">
        <v>0.9960717</v>
      </c>
      <c r="Y4881">
        <v>-0.23695469999999999</v>
      </c>
      <c r="Z4881">
        <v>0.1655539</v>
      </c>
      <c r="AA4881">
        <v>0.95731100000000002</v>
      </c>
      <c r="AB4881">
        <v>31</v>
      </c>
      <c r="AC4881">
        <v>1.5475999999999801</v>
      </c>
      <c r="AD4881">
        <v>-1.1076522541789999</v>
      </c>
      <c r="AE4881">
        <v>-6.1006199999999904</v>
      </c>
      <c r="AF4881">
        <v>-1.53807247624298</v>
      </c>
      <c r="AG4881">
        <v>-1.1076522541789999</v>
      </c>
      <c r="AH4881">
        <v>5.9078459034135404</v>
      </c>
      <c r="AI4881">
        <v>100.28388293074801</v>
      </c>
      <c r="AJ4881">
        <v>104.59267858705201</v>
      </c>
      <c r="AK4881">
        <v>6.2044503122230203</v>
      </c>
      <c r="AL4881">
        <v>85.159919370921401</v>
      </c>
      <c r="AM4881">
        <v>88.454674720734204</v>
      </c>
      <c r="AN4881">
        <v>1.00000001939504</v>
      </c>
    </row>
    <row r="4882" spans="1:40" x14ac:dyDescent="0.25">
      <c r="A4882" t="str">
        <f>"20190312151125954"</f>
        <v>20190312151125954</v>
      </c>
      <c r="B4882" t="str">
        <f>"1552374685945794"</f>
        <v>1552374685945794</v>
      </c>
      <c r="C4882" t="s">
        <v>40</v>
      </c>
      <c r="D4882">
        <v>5.0549540000000004</v>
      </c>
      <c r="E4882">
        <v>0.39992070000000002</v>
      </c>
      <c r="F4882" t="s">
        <v>42</v>
      </c>
      <c r="G4882">
        <v>-421.53199999999998</v>
      </c>
      <c r="H4882" s="1">
        <v>-4.1640869999999999E-6</v>
      </c>
      <c r="I4882">
        <v>78.424610000000001</v>
      </c>
      <c r="J4882">
        <v>-423.06369999999998</v>
      </c>
      <c r="K4882">
        <v>1.107666</v>
      </c>
      <c r="L4882">
        <v>84.493960000000001</v>
      </c>
      <c r="M4882">
        <v>-9.0536939999999993E-3</v>
      </c>
      <c r="N4882">
        <v>0</v>
      </c>
      <c r="O4882">
        <v>-0.99987740000000003</v>
      </c>
      <c r="P4882">
        <v>-3.5536970000000001E-2</v>
      </c>
      <c r="Q4882">
        <v>7.1774320000000003E-2</v>
      </c>
      <c r="R4882">
        <v>-0.99678789999999995</v>
      </c>
      <c r="S4882">
        <v>0.73562620000000001</v>
      </c>
      <c r="T4882">
        <v>-0.53363969999999905</v>
      </c>
      <c r="U4882">
        <v>-3.071869</v>
      </c>
      <c r="V4882">
        <v>2.699853E-2</v>
      </c>
      <c r="W4882">
        <v>8.4373500000000004E-2</v>
      </c>
      <c r="X4882">
        <v>0.99606839999999996</v>
      </c>
      <c r="Y4882">
        <v>-0.2384348</v>
      </c>
      <c r="Z4882">
        <v>0.1663906</v>
      </c>
      <c r="AA4882">
        <v>0.95679829999999999</v>
      </c>
      <c r="AB4882">
        <v>31</v>
      </c>
      <c r="AC4882">
        <v>1.5317000000000001</v>
      </c>
      <c r="AD4882">
        <v>-1.1076701640869999</v>
      </c>
      <c r="AE4882">
        <v>-6.06935</v>
      </c>
      <c r="AF4882">
        <v>-1.53841950580093</v>
      </c>
      <c r="AG4882">
        <v>-1.1076701640869999</v>
      </c>
      <c r="AH4882">
        <v>5.8713830599064902</v>
      </c>
      <c r="AI4882">
        <v>100.342389725443</v>
      </c>
      <c r="AJ4882">
        <v>104.682569199105</v>
      </c>
      <c r="AK4882">
        <v>6.1698303707958004</v>
      </c>
      <c r="AL4882">
        <v>85.160000512117094</v>
      </c>
      <c r="AM4882">
        <v>88.447372530043594</v>
      </c>
      <c r="AN4882">
        <v>1.00000003280148</v>
      </c>
    </row>
    <row r="4883" spans="1:40" x14ac:dyDescent="0.25">
      <c r="A4883" t="str">
        <f>"20190312151125977"</f>
        <v>20190312151125977</v>
      </c>
      <c r="B4883" t="str">
        <f>"1552374685966295"</f>
        <v>1552374685966295</v>
      </c>
      <c r="C4883" t="s">
        <v>40</v>
      </c>
      <c r="D4883">
        <v>4.9955790000000002</v>
      </c>
      <c r="E4883">
        <v>0.48453249999999998</v>
      </c>
      <c r="F4883" t="s">
        <v>42</v>
      </c>
      <c r="G4883">
        <v>-421.59179999999998</v>
      </c>
      <c r="H4883" s="1">
        <v>-4.0648600000000004E-6</v>
      </c>
      <c r="I4883">
        <v>78.10181</v>
      </c>
      <c r="J4883">
        <v>-423.06950000000001</v>
      </c>
      <c r="K4883">
        <v>1.1076979999999901</v>
      </c>
      <c r="L4883">
        <v>84.181550000000001</v>
      </c>
      <c r="M4883">
        <v>-1.187327E-2</v>
      </c>
      <c r="N4883">
        <v>0</v>
      </c>
      <c r="O4883">
        <v>-0.99984779999999995</v>
      </c>
      <c r="P4883">
        <v>-3.8132260000000001E-2</v>
      </c>
      <c r="Q4883">
        <v>7.1543700000000002E-2</v>
      </c>
      <c r="R4883">
        <v>-0.99670840000000005</v>
      </c>
      <c r="S4883">
        <v>0.70764159999999998</v>
      </c>
      <c r="T4883">
        <v>-0.53255030000000003</v>
      </c>
      <c r="U4883">
        <v>-3.073242</v>
      </c>
      <c r="V4883">
        <v>2.6775859999999999E-2</v>
      </c>
      <c r="W4883">
        <v>8.4140190000000004E-2</v>
      </c>
      <c r="X4883">
        <v>0.99609409999999998</v>
      </c>
      <c r="Y4883">
        <v>-0.2328173</v>
      </c>
      <c r="Z4883">
        <v>0.166263299999999</v>
      </c>
      <c r="AA4883">
        <v>0.95820280000000002</v>
      </c>
      <c r="AB4883">
        <v>31</v>
      </c>
      <c r="AC4883">
        <v>1.47770000000002</v>
      </c>
      <c r="AD4883">
        <v>-1.10770206485999</v>
      </c>
      <c r="AE4883">
        <v>-6.0797400000000001</v>
      </c>
      <c r="AF4883">
        <v>-1.50268840656078</v>
      </c>
      <c r="AG4883">
        <v>-1.10770206485999</v>
      </c>
      <c r="AH4883">
        <v>5.87754133561657</v>
      </c>
      <c r="AI4883">
        <v>100.347671586922</v>
      </c>
      <c r="AJ4883">
        <v>104.34138377491</v>
      </c>
      <c r="AK4883">
        <v>6.1668929343380601</v>
      </c>
      <c r="AL4883">
        <v>85.173415673341296</v>
      </c>
      <c r="AM4883">
        <v>88.460211322477804</v>
      </c>
      <c r="AN4883">
        <v>0.999999987153392</v>
      </c>
    </row>
    <row r="4884" spans="1:40" x14ac:dyDescent="0.25">
      <c r="A4884" t="str">
        <f>"20190312151126000"</f>
        <v>20190312151126000</v>
      </c>
      <c r="B4884" t="str">
        <f>"1552374685996547"</f>
        <v>1552374685996547</v>
      </c>
      <c r="C4884" t="s">
        <v>40</v>
      </c>
      <c r="D4884">
        <v>4.9919699999999896</v>
      </c>
      <c r="E4884">
        <v>0.4912128</v>
      </c>
      <c r="F4884" t="s">
        <v>42</v>
      </c>
      <c r="G4884">
        <v>-422.9796</v>
      </c>
      <c r="H4884" s="1">
        <v>-4.7169929999999999E-6</v>
      </c>
      <c r="I4884">
        <v>69.294759999999997</v>
      </c>
      <c r="J4884">
        <v>-423.07619999999997</v>
      </c>
      <c r="K4884">
        <v>1.1077330000000001</v>
      </c>
      <c r="L4884">
        <v>83.866240000000005</v>
      </c>
      <c r="M4884">
        <v>-1.467243E-2</v>
      </c>
      <c r="N4884">
        <v>0</v>
      </c>
      <c r="O4884">
        <v>-0.9998108</v>
      </c>
      <c r="P4884">
        <v>-4.0261850000000002E-2</v>
      </c>
      <c r="Q4884">
        <v>7.1430010000000002E-2</v>
      </c>
      <c r="R4884">
        <v>-0.99663310000000005</v>
      </c>
      <c r="S4884">
        <v>1.8280029999999999E-2</v>
      </c>
      <c r="T4884">
        <v>-0.22521669999999999</v>
      </c>
      <c r="U4884">
        <v>-3.026764</v>
      </c>
      <c r="V4884">
        <v>2.610707E-2</v>
      </c>
      <c r="W4884">
        <v>8.4027110000000002E-2</v>
      </c>
      <c r="X4884">
        <v>0.99612140000000005</v>
      </c>
      <c r="Y4884">
        <v>-2.0695419999999999E-2</v>
      </c>
      <c r="Z4884">
        <v>7.4182709999999999E-2</v>
      </c>
      <c r="AA4884">
        <v>0.99702990000000002</v>
      </c>
      <c r="AB4884">
        <v>31</v>
      </c>
      <c r="AC4884">
        <v>9.6599999999966699E-2</v>
      </c>
      <c r="AD4884">
        <v>-1.1077377169930001</v>
      </c>
      <c r="AE4884">
        <v>-14.571479999999999</v>
      </c>
      <c r="AF4884">
        <v>-0.30862254748919898</v>
      </c>
      <c r="AG4884">
        <v>-1.1077377169930001</v>
      </c>
      <c r="AH4884">
        <v>14.4847871337789</v>
      </c>
      <c r="AI4884">
        <v>94.372247666422993</v>
      </c>
      <c r="AJ4884">
        <v>91.220597455751502</v>
      </c>
      <c r="AK4884">
        <v>14.530360939679101</v>
      </c>
      <c r="AL4884">
        <v>85.179917714403004</v>
      </c>
      <c r="AM4884">
        <v>88.498694461436301</v>
      </c>
      <c r="AN4884">
        <v>0.99999998892844799</v>
      </c>
    </row>
    <row r="4885" spans="1:40" x14ac:dyDescent="0.25">
      <c r="A4885" t="str">
        <f>"20190312151126022"</f>
        <v>20190312151126022</v>
      </c>
      <c r="B4885" t="str">
        <f>"1552374686016066"</f>
        <v>1552374686016066</v>
      </c>
      <c r="C4885" t="s">
        <v>40</v>
      </c>
      <c r="D4885">
        <v>5.0180949999999998</v>
      </c>
      <c r="E4885">
        <v>0.49205739999999998</v>
      </c>
      <c r="F4885" t="s">
        <v>41</v>
      </c>
      <c r="G4885">
        <v>-423.089</v>
      </c>
      <c r="H4885">
        <v>1.0137350000000001</v>
      </c>
      <c r="I4885">
        <v>82.902730000000005</v>
      </c>
      <c r="J4885">
        <v>-423.08370000000002</v>
      </c>
      <c r="K4885">
        <v>1.1077699999999999</v>
      </c>
      <c r="L4885">
        <v>83.554500000000004</v>
      </c>
      <c r="M4885">
        <v>-1.7388460000000001E-2</v>
      </c>
      <c r="N4885">
        <v>0</v>
      </c>
      <c r="O4885">
        <v>-0.99976719999999997</v>
      </c>
      <c r="P4885">
        <v>-4.1885529999999997E-2</v>
      </c>
      <c r="Q4885">
        <v>7.1247870000000005E-2</v>
      </c>
      <c r="R4885">
        <v>-0.99657879999999999</v>
      </c>
      <c r="S4885">
        <v>-4.0161130000000003E-2</v>
      </c>
      <c r="T4885">
        <v>-0.29555979999999998</v>
      </c>
      <c r="U4885">
        <v>-3.0296940000000001</v>
      </c>
      <c r="V4885">
        <v>2.5013779999999999E-2</v>
      </c>
      <c r="W4885">
        <v>8.3848439999999996E-2</v>
      </c>
      <c r="X4885">
        <v>0.99616450000000001</v>
      </c>
      <c r="Y4885">
        <v>-4.1982740000000001E-3</v>
      </c>
      <c r="Z4885">
        <v>9.7066799999999995E-2</v>
      </c>
      <c r="AA4885">
        <v>0.99526899999999996</v>
      </c>
      <c r="AB4885">
        <v>31</v>
      </c>
      <c r="AC4885">
        <v>-5.2999999999769898E-3</v>
      </c>
      <c r="AD4885">
        <v>-9.4034999999999994E-2</v>
      </c>
      <c r="AE4885">
        <v>-0.65176999999999896</v>
      </c>
      <c r="AF4885">
        <v>-5.9119498123570797E-3</v>
      </c>
      <c r="AG4885">
        <v>-9.4034999999999994E-2</v>
      </c>
      <c r="AH4885">
        <v>0.63847422091508399</v>
      </c>
      <c r="AI4885">
        <v>98.377981285895601</v>
      </c>
      <c r="AJ4885">
        <v>90.530514908262901</v>
      </c>
      <c r="AK4885">
        <v>0.64538892394331304</v>
      </c>
      <c r="AL4885">
        <v>85.190190965626897</v>
      </c>
      <c r="AM4885">
        <v>88.561600095036894</v>
      </c>
      <c r="AN4885">
        <v>0.99999998057028505</v>
      </c>
    </row>
    <row r="4886" spans="1:40" x14ac:dyDescent="0.25">
      <c r="A4886" t="str">
        <f>"20190312151126044"</f>
        <v>20190312151126044</v>
      </c>
      <c r="B4886" t="str">
        <f>"1552374686036562"</f>
        <v>1552374686036562</v>
      </c>
      <c r="C4886" t="s">
        <v>40</v>
      </c>
      <c r="D4886">
        <v>5.0599249999999998</v>
      </c>
      <c r="E4886">
        <v>0.49273080000000002</v>
      </c>
      <c r="F4886" t="s">
        <v>41</v>
      </c>
      <c r="G4886">
        <v>-423.09989999999999</v>
      </c>
      <c r="H4886">
        <v>1.016438</v>
      </c>
      <c r="I4886">
        <v>82.625690000000006</v>
      </c>
      <c r="J4886">
        <v>-423.09160000000003</v>
      </c>
      <c r="K4886">
        <v>1.1078030000000001</v>
      </c>
      <c r="L4886">
        <v>83.256839999999997</v>
      </c>
      <c r="M4886">
        <v>-1.9940139999999999E-2</v>
      </c>
      <c r="N4886">
        <v>0</v>
      </c>
      <c r="O4886">
        <v>-0.99971969999999999</v>
      </c>
      <c r="P4886">
        <v>-4.3545140000000003E-2</v>
      </c>
      <c r="Q4886">
        <v>7.1134310000000006E-2</v>
      </c>
      <c r="R4886">
        <v>-0.99651599999999996</v>
      </c>
      <c r="S4886">
        <v>-5.130005E-2</v>
      </c>
      <c r="T4886">
        <v>-0.29770639999999998</v>
      </c>
      <c r="U4886">
        <v>-3.0294189999999999</v>
      </c>
      <c r="V4886">
        <v>2.4121110000000001E-2</v>
      </c>
      <c r="W4886">
        <v>8.3737740000000005E-2</v>
      </c>
      <c r="X4886">
        <v>0.99619590000000002</v>
      </c>
      <c r="Y4886">
        <v>-3.0918690000000001E-3</v>
      </c>
      <c r="Z4886">
        <v>9.7764409999999996E-2</v>
      </c>
      <c r="AA4886">
        <v>0.9952048</v>
      </c>
      <c r="AB4886">
        <v>31</v>
      </c>
      <c r="AC4886">
        <v>-8.2999999999628891E-3</v>
      </c>
      <c r="AD4886">
        <v>-9.1365000000000099E-2</v>
      </c>
      <c r="AE4886">
        <v>-0.631149999999991</v>
      </c>
      <c r="AF4886">
        <v>-4.1999000585747903E-3</v>
      </c>
      <c r="AG4886">
        <v>-9.1365000000000099E-2</v>
      </c>
      <c r="AH4886">
        <v>0.61823688908188101</v>
      </c>
      <c r="AI4886">
        <v>98.406313482355301</v>
      </c>
      <c r="AJ4886">
        <v>90.389224341548996</v>
      </c>
      <c r="AK4886">
        <v>0.62496564178132497</v>
      </c>
      <c r="AL4886">
        <v>85.196556347319799</v>
      </c>
      <c r="AM4886">
        <v>88.612955736819401</v>
      </c>
      <c r="AN4886">
        <v>1.0000000541123699</v>
      </c>
    </row>
    <row r="4887" spans="1:40" x14ac:dyDescent="0.25">
      <c r="A4887" t="str">
        <f>"20190312151126067"</f>
        <v>20190312151126067</v>
      </c>
      <c r="B4887" t="str">
        <f>"1552374686056082"</f>
        <v>1552374686056082</v>
      </c>
      <c r="C4887" t="s">
        <v>40</v>
      </c>
      <c r="D4887">
        <v>5.0671939999999998</v>
      </c>
      <c r="E4887">
        <v>0.49317490000000003</v>
      </c>
      <c r="F4887" t="s">
        <v>41</v>
      </c>
      <c r="G4887">
        <v>-423.11040000000003</v>
      </c>
      <c r="H4887">
        <v>1.019544</v>
      </c>
      <c r="I4887">
        <v>82.348590000000002</v>
      </c>
      <c r="J4887">
        <v>-423.10070000000002</v>
      </c>
      <c r="K4887">
        <v>1.107842</v>
      </c>
      <c r="L4887">
        <v>82.941829999999996</v>
      </c>
      <c r="M4887">
        <v>-2.2587490000000002E-2</v>
      </c>
      <c r="N4887">
        <v>0</v>
      </c>
      <c r="O4887">
        <v>-0.99966359999999999</v>
      </c>
      <c r="P4887">
        <v>-4.4913040000000001E-2</v>
      </c>
      <c r="Q4887">
        <v>7.1537020000000007E-2</v>
      </c>
      <c r="R4887">
        <v>-0.9964269</v>
      </c>
      <c r="S4887">
        <v>-6.2011719999999999E-2</v>
      </c>
      <c r="T4887">
        <v>-0.29423549999999998</v>
      </c>
      <c r="U4887">
        <v>-3.0288089999999999</v>
      </c>
      <c r="V4887">
        <v>2.2843970000000002E-2</v>
      </c>
      <c r="W4887">
        <v>8.4144960000000005E-2</v>
      </c>
      <c r="X4887">
        <v>0.99619159999999995</v>
      </c>
      <c r="Y4887">
        <v>-2.2159850000000002E-3</v>
      </c>
      <c r="Z4887">
        <v>9.6643419999999994E-2</v>
      </c>
      <c r="AA4887">
        <v>0.9953166</v>
      </c>
      <c r="AB4887">
        <v>31</v>
      </c>
      <c r="AC4887">
        <v>-9.7000000000093695E-3</v>
      </c>
      <c r="AD4887">
        <v>-8.8297999999999904E-2</v>
      </c>
      <c r="AE4887">
        <v>-0.59324000000000798</v>
      </c>
      <c r="AF4887">
        <v>-3.6231234040005598E-3</v>
      </c>
      <c r="AG4887">
        <v>-8.8297999999999904E-2</v>
      </c>
      <c r="AH4887">
        <v>0.58045217184627496</v>
      </c>
      <c r="AI4887">
        <v>98.649319661364501</v>
      </c>
      <c r="AJ4887">
        <v>90.357629782174001</v>
      </c>
      <c r="AK4887">
        <v>0.58714085842177499</v>
      </c>
      <c r="AL4887">
        <v>85.173141280949096</v>
      </c>
      <c r="AM4887">
        <v>88.6863634253111</v>
      </c>
      <c r="AN4887">
        <v>0.99999996258465995</v>
      </c>
    </row>
    <row r="4888" spans="1:40" x14ac:dyDescent="0.25">
      <c r="A4888" t="str">
        <f>"20190312151126088"</f>
        <v>20190312151126088</v>
      </c>
      <c r="B4888" t="str">
        <f>"1552374686076578"</f>
        <v>1552374686076578</v>
      </c>
      <c r="C4888" t="s">
        <v>40</v>
      </c>
      <c r="D4888">
        <v>5.0162149999999999</v>
      </c>
      <c r="E4888">
        <v>0.49324609999999902</v>
      </c>
      <c r="F4888" t="s">
        <v>41</v>
      </c>
      <c r="G4888">
        <v>-423.12110000000001</v>
      </c>
      <c r="H4888">
        <v>1.022389</v>
      </c>
      <c r="I4888">
        <v>82.071690000000004</v>
      </c>
      <c r="J4888">
        <v>-423.10989999999998</v>
      </c>
      <c r="K4888">
        <v>1.1078809999999999</v>
      </c>
      <c r="L4888">
        <v>82.647919999999999</v>
      </c>
      <c r="M4888">
        <v>-2.5002429999999999E-2</v>
      </c>
      <c r="N4888">
        <v>0</v>
      </c>
      <c r="O4888">
        <v>-0.99960579999999999</v>
      </c>
      <c r="P4888">
        <v>-4.6382270000000003E-2</v>
      </c>
      <c r="Q4888">
        <v>7.2090260000000003E-2</v>
      </c>
      <c r="R4888">
        <v>-0.99631899999999995</v>
      </c>
      <c r="S4888">
        <v>-6.9274899999999903E-2</v>
      </c>
      <c r="T4888">
        <v>-0.29726580000000002</v>
      </c>
      <c r="U4888">
        <v>-3.0289920000000001</v>
      </c>
      <c r="V4888">
        <v>2.1900860000000001E-2</v>
      </c>
      <c r="W4888">
        <v>8.4700380000000006E-2</v>
      </c>
      <c r="X4888">
        <v>0.99616579999999999</v>
      </c>
      <c r="Y4888">
        <v>-2.249675E-3</v>
      </c>
      <c r="Z4888">
        <v>9.7612530000000003E-2</v>
      </c>
      <c r="AA4888">
        <v>0.99522200000000005</v>
      </c>
      <c r="AB4888">
        <v>31</v>
      </c>
      <c r="AC4888">
        <v>-1.1200000000030699E-2</v>
      </c>
      <c r="AD4888">
        <v>-8.5491999999999901E-2</v>
      </c>
      <c r="AE4888">
        <v>-0.57622999999999502</v>
      </c>
      <c r="AF4888">
        <v>-3.1426768176232999E-3</v>
      </c>
      <c r="AG4888">
        <v>-8.5491999999999901E-2</v>
      </c>
      <c r="AH4888">
        <v>0.56392154036451403</v>
      </c>
      <c r="AI4888">
        <v>98.620417065883899</v>
      </c>
      <c r="AJ4888">
        <v>90.319300188227601</v>
      </c>
      <c r="AK4888">
        <v>0.57037379162148205</v>
      </c>
      <c r="AL4888">
        <v>85.141204475996901</v>
      </c>
      <c r="AM4888">
        <v>88.740546270481502</v>
      </c>
      <c r="AN4888">
        <v>1.0000000515652601</v>
      </c>
    </row>
    <row r="4889" spans="1:40" x14ac:dyDescent="0.25">
      <c r="A4889" t="str">
        <f>"20190312151126102"</f>
        <v>20190312151126102</v>
      </c>
      <c r="B4889" t="str">
        <f>"1552374686096099"</f>
        <v>1552374686096099</v>
      </c>
      <c r="C4889" t="s">
        <v>40</v>
      </c>
      <c r="D4889">
        <v>4.9712239999999897</v>
      </c>
      <c r="E4889">
        <v>0.49342550000000002</v>
      </c>
      <c r="F4889" t="s">
        <v>41</v>
      </c>
      <c r="G4889">
        <v>-423.13099999999997</v>
      </c>
      <c r="H4889">
        <v>1.0243279999999999</v>
      </c>
      <c r="I4889">
        <v>81.795339999999996</v>
      </c>
      <c r="J4889">
        <v>-423.11669999999998</v>
      </c>
      <c r="K4889">
        <v>1.1079110000000001</v>
      </c>
      <c r="L4889">
        <v>82.443820000000002</v>
      </c>
      <c r="M4889">
        <v>-2.6646599999999999E-2</v>
      </c>
      <c r="N4889">
        <v>0</v>
      </c>
      <c r="O4889">
        <v>-0.9995636</v>
      </c>
      <c r="P4889">
        <v>-4.7488139999999998E-2</v>
      </c>
      <c r="Q4889">
        <v>7.2016579999999997E-2</v>
      </c>
      <c r="R4889">
        <v>-0.99627259999999995</v>
      </c>
      <c r="S4889">
        <v>-7.3852539999999994E-2</v>
      </c>
      <c r="T4889">
        <v>-0.29668440000000001</v>
      </c>
      <c r="U4889">
        <v>-3.0291139999999999</v>
      </c>
      <c r="V4889">
        <v>2.136043E-2</v>
      </c>
      <c r="W4889">
        <v>8.4628159999999994E-2</v>
      </c>
      <c r="X4889">
        <v>0.99618359999999995</v>
      </c>
      <c r="Y4889">
        <v>-2.3917999999999999E-3</v>
      </c>
      <c r="Z4889">
        <v>9.7411609999999996E-2</v>
      </c>
      <c r="AA4889">
        <v>0.9952413</v>
      </c>
      <c r="AB4889">
        <v>31</v>
      </c>
      <c r="AC4889">
        <v>-1.42999999999915E-2</v>
      </c>
      <c r="AD4889">
        <v>-8.3582999999999893E-2</v>
      </c>
      <c r="AE4889">
        <v>-0.64848000000000605</v>
      </c>
      <c r="AF4889">
        <v>-2.9374941609723098E-3</v>
      </c>
      <c r="AG4889">
        <v>-8.3582999999999893E-2</v>
      </c>
      <c r="AH4889">
        <v>0.63803635900732303</v>
      </c>
      <c r="AI4889">
        <v>97.463191197876597</v>
      </c>
      <c r="AJ4889">
        <v>90.263785638927402</v>
      </c>
      <c r="AK4889">
        <v>0.64349447719173702</v>
      </c>
      <c r="AL4889">
        <v>85.145356935216398</v>
      </c>
      <c r="AM4889">
        <v>88.771637101859994</v>
      </c>
      <c r="AN4889">
        <v>0.99999997917186501</v>
      </c>
    </row>
    <row r="4890" spans="1:40" x14ac:dyDescent="0.25">
      <c r="A4890" t="str">
        <f>"20190312151126122"</f>
        <v>20190312151126122</v>
      </c>
      <c r="B4890" t="str">
        <f>"1552374686116596"</f>
        <v>1552374686116596</v>
      </c>
      <c r="C4890" t="s">
        <v>40</v>
      </c>
      <c r="D4890">
        <v>5.0992519999999999</v>
      </c>
      <c r="E4890">
        <v>0.49360150000000003</v>
      </c>
      <c r="F4890" t="s">
        <v>41</v>
      </c>
      <c r="G4890">
        <v>-423.14120000000003</v>
      </c>
      <c r="H4890">
        <v>1.0163219999999999</v>
      </c>
      <c r="I4890">
        <v>81.523880000000005</v>
      </c>
      <c r="J4890">
        <v>-423.12580000000003</v>
      </c>
      <c r="K4890">
        <v>1.107955</v>
      </c>
      <c r="L4890">
        <v>82.182280000000006</v>
      </c>
      <c r="M4890">
        <v>-2.8707340000000001E-2</v>
      </c>
      <c r="N4890">
        <v>0</v>
      </c>
      <c r="O4890">
        <v>-0.99950669999999997</v>
      </c>
      <c r="P4890">
        <v>-4.8428810000000003E-2</v>
      </c>
      <c r="Q4890">
        <v>7.1949109999999997E-2</v>
      </c>
      <c r="R4890">
        <v>-0.99623229999999996</v>
      </c>
      <c r="S4890">
        <v>-7.8826899999999894E-2</v>
      </c>
      <c r="T4890">
        <v>-0.30131039999999998</v>
      </c>
      <c r="U4890">
        <v>-3.0292659999999998</v>
      </c>
      <c r="V4890">
        <v>2.0236170000000001E-2</v>
      </c>
      <c r="W4890">
        <v>8.4565440000000006E-2</v>
      </c>
      <c r="X4890">
        <v>0.9962124</v>
      </c>
      <c r="Y4890">
        <v>-2.8252899999999998E-3</v>
      </c>
      <c r="Z4890">
        <v>9.8900290000000002E-2</v>
      </c>
      <c r="AA4890">
        <v>0.99509329999999996</v>
      </c>
      <c r="AB4890">
        <v>31</v>
      </c>
      <c r="AC4890">
        <v>-1.53999999999996E-2</v>
      </c>
      <c r="AD4890">
        <v>-9.1633000000000006E-2</v>
      </c>
      <c r="AE4890">
        <v>-0.65839999999999999</v>
      </c>
      <c r="AF4890">
        <v>-3.44215684632779E-3</v>
      </c>
      <c r="AG4890">
        <v>-9.1633000000000006E-2</v>
      </c>
      <c r="AH4890">
        <v>0.64606348165280103</v>
      </c>
      <c r="AI4890">
        <v>98.072464993697295</v>
      </c>
      <c r="AJ4890">
        <v>90.305262871551406</v>
      </c>
      <c r="AK4890">
        <v>0.65253848733855802</v>
      </c>
      <c r="AL4890">
        <v>85.148963464210695</v>
      </c>
      <c r="AM4890">
        <v>88.836304684914595</v>
      </c>
      <c r="AN4890">
        <v>0.99999998106621102</v>
      </c>
    </row>
    <row r="4891" spans="1:40" x14ac:dyDescent="0.25">
      <c r="A4891" t="str">
        <f>"20190312151126144"</f>
        <v>20190312151126144</v>
      </c>
      <c r="B4891" t="str">
        <f>"1552374686136118"</f>
        <v>1552374686136118</v>
      </c>
      <c r="C4891" t="s">
        <v>40</v>
      </c>
      <c r="D4891">
        <v>5.0277370000000001</v>
      </c>
      <c r="E4891">
        <v>0.4938592</v>
      </c>
      <c r="F4891" t="s">
        <v>41</v>
      </c>
      <c r="G4891">
        <v>-423.15159999999997</v>
      </c>
      <c r="H4891">
        <v>1.015496</v>
      </c>
      <c r="I4891">
        <v>81.249049999999997</v>
      </c>
      <c r="J4891">
        <v>-423.13709999999998</v>
      </c>
      <c r="K4891">
        <v>1.108015</v>
      </c>
      <c r="L4891">
        <v>81.877229999999997</v>
      </c>
      <c r="M4891">
        <v>-3.104198E-2</v>
      </c>
      <c r="N4891">
        <v>0</v>
      </c>
      <c r="O4891">
        <v>-0.99943680000000001</v>
      </c>
      <c r="P4891">
        <v>-4.9598280000000002E-2</v>
      </c>
      <c r="Q4891">
        <v>7.15446E-2</v>
      </c>
      <c r="R4891">
        <v>-0.99620359999999997</v>
      </c>
      <c r="S4891">
        <v>-8.3282469999999997E-2</v>
      </c>
      <c r="T4891">
        <v>-0.300035099999999</v>
      </c>
      <c r="U4891">
        <v>-3.0289609999999998</v>
      </c>
      <c r="V4891">
        <v>1.906236E-2</v>
      </c>
      <c r="W4891">
        <v>8.4165840000000006E-2</v>
      </c>
      <c r="X4891">
        <v>0.99626939999999997</v>
      </c>
      <c r="Y4891">
        <v>-3.6946919999999999E-3</v>
      </c>
      <c r="Z4891">
        <v>9.8483230000000005E-2</v>
      </c>
      <c r="AA4891">
        <v>0.99513189999999996</v>
      </c>
      <c r="AB4891">
        <v>31</v>
      </c>
      <c r="AC4891">
        <v>-1.4499999999998099E-2</v>
      </c>
      <c r="AD4891">
        <v>-9.2519000000000004E-2</v>
      </c>
      <c r="AE4891">
        <v>-0.62818000000001395</v>
      </c>
      <c r="AF4891">
        <v>-4.9022429306175503E-3</v>
      </c>
      <c r="AG4891">
        <v>-9.2519000000000004E-2</v>
      </c>
      <c r="AH4891">
        <v>0.61499419708063996</v>
      </c>
      <c r="AI4891">
        <v>98.555085411921198</v>
      </c>
      <c r="AJ4891">
        <v>90.456706555337007</v>
      </c>
      <c r="AK4891">
        <v>0.62193380659810704</v>
      </c>
      <c r="AL4891">
        <v>85.171940817720298</v>
      </c>
      <c r="AM4891">
        <v>88.903851186339196</v>
      </c>
      <c r="AN4891">
        <v>0.99999998978401705</v>
      </c>
    </row>
    <row r="4892" spans="1:40" x14ac:dyDescent="0.25">
      <c r="A4892" t="str">
        <f>"20190312151126167"</f>
        <v>20190312151126167</v>
      </c>
      <c r="B4892" t="str">
        <f>"1552374686156610"</f>
        <v>1552374686156610</v>
      </c>
      <c r="C4892" t="s">
        <v>40</v>
      </c>
      <c r="D4892">
        <v>5.0014200000000004</v>
      </c>
      <c r="E4892">
        <v>0.49398259999999999</v>
      </c>
      <c r="F4892" t="s">
        <v>41</v>
      </c>
      <c r="G4892">
        <v>-423.16390000000001</v>
      </c>
      <c r="H4892">
        <v>1.0173749999999999</v>
      </c>
      <c r="I4892">
        <v>80.973140000000001</v>
      </c>
      <c r="J4892">
        <v>-423.14929999999998</v>
      </c>
      <c r="K4892">
        <v>1.108079</v>
      </c>
      <c r="L4892">
        <v>81.563719999999904</v>
      </c>
      <c r="M4892">
        <v>-3.336484E-2</v>
      </c>
      <c r="N4892">
        <v>0</v>
      </c>
      <c r="O4892">
        <v>-0.99936210000000003</v>
      </c>
      <c r="P4892">
        <v>-5.076423E-2</v>
      </c>
      <c r="Q4892">
        <v>7.1488640000000006E-2</v>
      </c>
      <c r="R4892">
        <v>-0.99614939999999996</v>
      </c>
      <c r="S4892">
        <v>-8.9050290000000004E-2</v>
      </c>
      <c r="T4892">
        <v>-0.3035429</v>
      </c>
      <c r="U4892">
        <v>-3.0288089999999999</v>
      </c>
      <c r="V4892">
        <v>1.789818E-2</v>
      </c>
      <c r="W4892">
        <v>8.4114049999999996E-2</v>
      </c>
      <c r="X4892">
        <v>0.99629540000000005</v>
      </c>
      <c r="Y4892">
        <v>-4.1273619999999999E-3</v>
      </c>
      <c r="Z4892">
        <v>9.9614279999999999E-2</v>
      </c>
      <c r="AA4892">
        <v>0.99501759999999995</v>
      </c>
      <c r="AB4892">
        <v>31</v>
      </c>
      <c r="AC4892">
        <v>-1.46000000000299E-2</v>
      </c>
      <c r="AD4892">
        <v>-9.0704000000000104E-2</v>
      </c>
      <c r="AE4892">
        <v>-0.590579999999988</v>
      </c>
      <c r="AF4892">
        <v>-4.9965475453437897E-3</v>
      </c>
      <c r="AG4892">
        <v>-9.0704000000000104E-2</v>
      </c>
      <c r="AH4892">
        <v>0.57713306637828998</v>
      </c>
      <c r="AI4892">
        <v>98.931390548092907</v>
      </c>
      <c r="AJ4892">
        <v>90.496027607766905</v>
      </c>
      <c r="AK4892">
        <v>0.58423861341970595</v>
      </c>
      <c r="AL4892">
        <v>85.174918877731599</v>
      </c>
      <c r="AM4892">
        <v>88.970807376044604</v>
      </c>
      <c r="AN4892">
        <v>1.0000000211579301</v>
      </c>
    </row>
    <row r="4893" spans="1:40" x14ac:dyDescent="0.25">
      <c r="A4893" t="str">
        <f>"20190312151126188"</f>
        <v>20190312151126188</v>
      </c>
      <c r="B4893" t="str">
        <f>"1552374686185890"</f>
        <v>1552374686185890</v>
      </c>
      <c r="C4893" t="s">
        <v>40</v>
      </c>
      <c r="D4893">
        <v>5.0312289999999997</v>
      </c>
      <c r="E4893">
        <v>0.49408419999999997</v>
      </c>
      <c r="F4893" t="s">
        <v>41</v>
      </c>
      <c r="G4893">
        <v>-423.17610000000002</v>
      </c>
      <c r="H4893">
        <v>1.0207580000000001</v>
      </c>
      <c r="I4893">
        <v>80.696650000000005</v>
      </c>
      <c r="J4893">
        <v>-423.16149999999999</v>
      </c>
      <c r="K4893">
        <v>1.108147</v>
      </c>
      <c r="L4893">
        <v>81.265230000000003</v>
      </c>
      <c r="M4893">
        <v>-3.549799E-2</v>
      </c>
      <c r="N4893">
        <v>0</v>
      </c>
      <c r="O4893">
        <v>-0.99928870000000003</v>
      </c>
      <c r="P4893">
        <v>-5.1669189999999997E-2</v>
      </c>
      <c r="Q4893">
        <v>7.1820010000000004E-2</v>
      </c>
      <c r="R4893">
        <v>-0.99607860000000004</v>
      </c>
      <c r="S4893">
        <v>-9.3536380000000002E-2</v>
      </c>
      <c r="T4893">
        <v>-0.30498799999999998</v>
      </c>
      <c r="U4893">
        <v>-3.0287169999999999</v>
      </c>
      <c r="V4893">
        <v>1.6664740000000001E-2</v>
      </c>
      <c r="W4893">
        <v>8.4449979999999994E-2</v>
      </c>
      <c r="X4893">
        <v>0.99628839999999996</v>
      </c>
      <c r="Y4893">
        <v>-4.7900099999999999E-3</v>
      </c>
      <c r="Z4893">
        <v>0.10007340000000001</v>
      </c>
      <c r="AA4893">
        <v>0.99496850000000003</v>
      </c>
      <c r="AB4893">
        <v>31</v>
      </c>
      <c r="AC4893">
        <v>-1.46000000000299E-2</v>
      </c>
      <c r="AD4893">
        <v>-8.7388999999999897E-2</v>
      </c>
      <c r="AE4893">
        <v>-0.56857999999999698</v>
      </c>
      <c r="AF4893">
        <v>-5.46526573829183E-3</v>
      </c>
      <c r="AG4893">
        <v>-8.7388999999999897E-2</v>
      </c>
      <c r="AH4893">
        <v>0.55562320840920199</v>
      </c>
      <c r="AI4893">
        <v>98.937891439783598</v>
      </c>
      <c r="AJ4893">
        <v>90.563559184820505</v>
      </c>
      <c r="AK4893">
        <v>0.56248009402424703</v>
      </c>
      <c r="AL4893">
        <v>85.155602891532297</v>
      </c>
      <c r="AM4893">
        <v>89.041712986844303</v>
      </c>
      <c r="AN4893">
        <v>1.00000004432791</v>
      </c>
    </row>
    <row r="4894" spans="1:40" x14ac:dyDescent="0.25">
      <c r="A4894" t="str">
        <f>"20190312151126213"</f>
        <v>20190312151126213</v>
      </c>
      <c r="B4894" t="str">
        <f>"1552374686206376"</f>
        <v>1552374686206376</v>
      </c>
      <c r="C4894" t="s">
        <v>40</v>
      </c>
      <c r="D4894">
        <v>5.0681919999999998</v>
      </c>
      <c r="E4894">
        <v>0.49407250000000003</v>
      </c>
      <c r="F4894" t="s">
        <v>41</v>
      </c>
      <c r="G4894">
        <v>-423.1891</v>
      </c>
      <c r="H4894">
        <v>1.0235529999999999</v>
      </c>
      <c r="I4894">
        <v>80.420519999999996</v>
      </c>
      <c r="J4894">
        <v>-423.17570000000001</v>
      </c>
      <c r="K4894">
        <v>1.108225</v>
      </c>
      <c r="L4894">
        <v>80.935239999999993</v>
      </c>
      <c r="M4894">
        <v>-3.7759029999999999E-2</v>
      </c>
      <c r="N4894">
        <v>0</v>
      </c>
      <c r="O4894">
        <v>-0.99920560000000003</v>
      </c>
      <c r="P4894">
        <v>-5.2418569999999998E-2</v>
      </c>
      <c r="Q4894">
        <v>7.1891849999999993E-2</v>
      </c>
      <c r="R4894">
        <v>-0.99603399999999997</v>
      </c>
      <c r="S4894">
        <v>-9.7686770000000006E-2</v>
      </c>
      <c r="T4894">
        <v>-0.30315110000000001</v>
      </c>
      <c r="U4894">
        <v>-3.0285950000000001</v>
      </c>
      <c r="V4894">
        <v>1.514362E-2</v>
      </c>
      <c r="W4894">
        <v>8.4526959999999998E-2</v>
      </c>
      <c r="X4894">
        <v>0.99630609999999997</v>
      </c>
      <c r="Y4894">
        <v>-5.6873969999999899E-3</v>
      </c>
      <c r="Z4894">
        <v>9.9465970000000001E-2</v>
      </c>
      <c r="AA4894">
        <v>0.99502469999999998</v>
      </c>
      <c r="AB4894">
        <v>31</v>
      </c>
      <c r="AC4894">
        <v>-1.339999999999E-2</v>
      </c>
      <c r="AD4894">
        <v>-8.4671999999999803E-2</v>
      </c>
      <c r="AE4894">
        <v>-0.51472000000001095</v>
      </c>
      <c r="AF4894">
        <v>-5.8872590406080297E-3</v>
      </c>
      <c r="AG4894">
        <v>-8.4671999999999803E-2</v>
      </c>
      <c r="AH4894">
        <v>0.50130252859743596</v>
      </c>
      <c r="AI4894">
        <v>99.586352909093904</v>
      </c>
      <c r="AJ4894">
        <v>90.672846376181795</v>
      </c>
      <c r="AK4894">
        <v>0.50843704878892804</v>
      </c>
      <c r="AL4894">
        <v>85.151176174231296</v>
      </c>
      <c r="AM4894">
        <v>89.129184592916403</v>
      </c>
      <c r="AN4894">
        <v>0.99999999054537703</v>
      </c>
    </row>
    <row r="4895" spans="1:40" x14ac:dyDescent="0.25">
      <c r="A4895" t="str">
        <f>"20190312151126234"</f>
        <v>20190312151126234</v>
      </c>
      <c r="B4895" t="str">
        <f>"1552374686225895"</f>
        <v>1552374686225895</v>
      </c>
      <c r="C4895" t="s">
        <v>40</v>
      </c>
      <c r="D4895">
        <v>5.0090440000000003</v>
      </c>
      <c r="E4895">
        <v>0.49416399999999999</v>
      </c>
      <c r="F4895" t="s">
        <v>41</v>
      </c>
      <c r="G4895">
        <v>-423.20170000000002</v>
      </c>
      <c r="H4895">
        <v>1.0288280000000001</v>
      </c>
      <c r="I4895">
        <v>80.143059999999906</v>
      </c>
      <c r="J4895">
        <v>-423.18889999999999</v>
      </c>
      <c r="K4895">
        <v>1.1082939999999999</v>
      </c>
      <c r="L4895">
        <v>80.640869999999893</v>
      </c>
      <c r="M4895">
        <v>-3.9680989999999999E-2</v>
      </c>
      <c r="N4895">
        <v>0</v>
      </c>
      <c r="O4895">
        <v>-0.9991312</v>
      </c>
      <c r="P4895">
        <v>-5.2848699999999998E-2</v>
      </c>
      <c r="Q4895">
        <v>7.1573810000000002E-2</v>
      </c>
      <c r="R4895">
        <v>-0.99603439999999999</v>
      </c>
      <c r="S4895">
        <v>-9.9945069999999997E-2</v>
      </c>
      <c r="T4895">
        <v>-0.30358790000000002</v>
      </c>
      <c r="U4895">
        <v>-3.0285950000000001</v>
      </c>
      <c r="V4895">
        <v>1.363874E-2</v>
      </c>
      <c r="W4895">
        <v>8.4214319999999995E-2</v>
      </c>
      <c r="X4895">
        <v>0.99635430000000003</v>
      </c>
      <c r="Y4895">
        <v>-6.8701999999999999E-3</v>
      </c>
      <c r="Z4895">
        <v>9.9595180000000005E-2</v>
      </c>
      <c r="AA4895">
        <v>0.99500429999999995</v>
      </c>
      <c r="AB4895">
        <v>31</v>
      </c>
      <c r="AC4895">
        <v>-1.2800000000027E-2</v>
      </c>
      <c r="AD4895">
        <v>-7.9465999999999995E-2</v>
      </c>
      <c r="AE4895">
        <v>-0.49781000000000097</v>
      </c>
      <c r="AF4895">
        <v>-6.7923113002493702E-3</v>
      </c>
      <c r="AG4895">
        <v>-7.9465999999999995E-2</v>
      </c>
      <c r="AH4895">
        <v>0.48556087558351202</v>
      </c>
      <c r="AI4895">
        <v>99.293631547927006</v>
      </c>
      <c r="AJ4895">
        <v>90.801434812400004</v>
      </c>
      <c r="AK4895">
        <v>0.49206741870014697</v>
      </c>
      <c r="AL4895">
        <v>85.1691531694362</v>
      </c>
      <c r="AM4895">
        <v>89.215747413602898</v>
      </c>
      <c r="AN4895">
        <v>0.99999997902516902</v>
      </c>
    </row>
    <row r="4896" spans="1:40" x14ac:dyDescent="0.25">
      <c r="A4896" t="str">
        <f>"20190312151126256"</f>
        <v>20190312151126256</v>
      </c>
      <c r="B4896" t="str">
        <f>"1552374686246392"</f>
        <v>1552374686246392</v>
      </c>
      <c r="C4896" t="s">
        <v>40</v>
      </c>
      <c r="D4896">
        <v>4.9988989999999998</v>
      </c>
      <c r="E4896">
        <v>0.49413809999999903</v>
      </c>
      <c r="F4896" t="s">
        <v>41</v>
      </c>
      <c r="G4896">
        <v>-423.21539999999999</v>
      </c>
      <c r="H4896">
        <v>1.030378</v>
      </c>
      <c r="I4896">
        <v>79.86721</v>
      </c>
      <c r="J4896">
        <v>-423.20269999999999</v>
      </c>
      <c r="K4896">
        <v>1.108376</v>
      </c>
      <c r="L4896">
        <v>80.341059999999999</v>
      </c>
      <c r="M4896">
        <v>-4.1540309999999997E-2</v>
      </c>
      <c r="N4896">
        <v>0</v>
      </c>
      <c r="O4896">
        <v>-0.99905580000000005</v>
      </c>
      <c r="P4896">
        <v>-5.3462160000000002E-2</v>
      </c>
      <c r="Q4896">
        <v>7.0920079999999996E-2</v>
      </c>
      <c r="R4896">
        <v>-0.9960483</v>
      </c>
      <c r="S4896">
        <v>-0.10229489999999999</v>
      </c>
      <c r="T4896">
        <v>-0.30487779999999998</v>
      </c>
      <c r="U4896">
        <v>-3.0284420000000001</v>
      </c>
      <c r="V4896">
        <v>1.2375789999999999E-2</v>
      </c>
      <c r="W4896">
        <v>8.356479E-2</v>
      </c>
      <c r="X4896">
        <v>0.99642549999999996</v>
      </c>
      <c r="Y4896">
        <v>-7.95971E-3</v>
      </c>
      <c r="Z4896">
        <v>0.1000061</v>
      </c>
      <c r="AA4896">
        <v>0.99495500000000003</v>
      </c>
      <c r="AB4896">
        <v>31</v>
      </c>
      <c r="AC4896">
        <v>-1.26999999999952E-2</v>
      </c>
      <c r="AD4896">
        <v>-7.7997999999999998E-2</v>
      </c>
      <c r="AE4896">
        <v>-0.473849999999998</v>
      </c>
      <c r="AF4896">
        <v>-6.8119967871953097E-3</v>
      </c>
      <c r="AG4896">
        <v>-7.7997999999999998E-2</v>
      </c>
      <c r="AH4896">
        <v>0.46147397745661001</v>
      </c>
      <c r="AI4896">
        <v>99.592398139679702</v>
      </c>
      <c r="AJ4896">
        <v>90.845703853787896</v>
      </c>
      <c r="AK4896">
        <v>0.46806871629479002</v>
      </c>
      <c r="AL4896">
        <v>85.206500272517403</v>
      </c>
      <c r="AM4896">
        <v>89.288412352601796</v>
      </c>
      <c r="AN4896">
        <v>1.00000000567805</v>
      </c>
    </row>
    <row r="4897" spans="1:40" x14ac:dyDescent="0.25">
      <c r="A4897" t="str">
        <f>"20190312151126278"</f>
        <v>20190312151126278</v>
      </c>
      <c r="B4897" t="str">
        <f>"1552374686276648"</f>
        <v>1552374686276648</v>
      </c>
      <c r="C4897" t="s">
        <v>40</v>
      </c>
      <c r="D4897">
        <v>5.0001829999999998</v>
      </c>
      <c r="E4897">
        <v>0.49402030000000002</v>
      </c>
      <c r="F4897" t="s">
        <v>41</v>
      </c>
      <c r="G4897">
        <v>-423.22859999999997</v>
      </c>
      <c r="H4897">
        <v>1.03226</v>
      </c>
      <c r="I4897">
        <v>79.591070000000002</v>
      </c>
      <c r="J4897">
        <v>-423.21719999999999</v>
      </c>
      <c r="K4897">
        <v>1.1084670000000001</v>
      </c>
      <c r="L4897">
        <v>80.038480000000007</v>
      </c>
      <c r="M4897">
        <v>-4.3307909999999998E-2</v>
      </c>
      <c r="N4897">
        <v>0</v>
      </c>
      <c r="O4897">
        <v>-0.99898109999999996</v>
      </c>
      <c r="P4897">
        <v>-5.3745500000000002E-2</v>
      </c>
      <c r="Q4897">
        <v>7.0607760000000006E-2</v>
      </c>
      <c r="R4897">
        <v>-0.99605549999999998</v>
      </c>
      <c r="S4897">
        <v>-0.1044312</v>
      </c>
      <c r="T4897">
        <v>-0.3073205</v>
      </c>
      <c r="U4897">
        <v>-3.0281980000000002</v>
      </c>
      <c r="V4897">
        <v>1.087465E-2</v>
      </c>
      <c r="W4897">
        <v>8.3257330000000004E-2</v>
      </c>
      <c r="X4897">
        <v>0.99646869999999999</v>
      </c>
      <c r="Y4897">
        <v>-9.0279509999999993E-3</v>
      </c>
      <c r="Z4897">
        <v>0.1007943</v>
      </c>
      <c r="AA4897">
        <v>0.99486629999999998</v>
      </c>
      <c r="AB4897">
        <v>31</v>
      </c>
      <c r="AC4897">
        <v>-1.13999999999805E-2</v>
      </c>
      <c r="AD4897">
        <v>-7.6207000000000094E-2</v>
      </c>
      <c r="AE4897">
        <v>-0.44741000000000403</v>
      </c>
      <c r="AF4897">
        <v>-7.7635606873606199E-3</v>
      </c>
      <c r="AG4897">
        <v>-7.6207000000000094E-2</v>
      </c>
      <c r="AH4897">
        <v>0.43487546850484898</v>
      </c>
      <c r="AI4897">
        <v>99.937961623003801</v>
      </c>
      <c r="AJ4897">
        <v>91.022757195800594</v>
      </c>
      <c r="AK4897">
        <v>0.44157043926293099</v>
      </c>
      <c r="AL4897">
        <v>85.224177795892302</v>
      </c>
      <c r="AM4897">
        <v>89.374745222811796</v>
      </c>
      <c r="AN4897">
        <v>0.99999995554551901</v>
      </c>
    </row>
    <row r="4898" spans="1:40" x14ac:dyDescent="0.25">
      <c r="A4898" t="str">
        <f>"20190312151126301"</f>
        <v>20190312151126301</v>
      </c>
      <c r="B4898" t="str">
        <f>"1552374686296171"</f>
        <v>1552374686296171</v>
      </c>
      <c r="C4898" t="s">
        <v>40</v>
      </c>
      <c r="D4898">
        <v>4.9869750000000002</v>
      </c>
      <c r="E4898">
        <v>0.49391980000000002</v>
      </c>
      <c r="F4898" t="s">
        <v>41</v>
      </c>
      <c r="G4898">
        <v>-423.2516</v>
      </c>
      <c r="H4898">
        <v>1.009906</v>
      </c>
      <c r="I4898">
        <v>79.055019999999999</v>
      </c>
      <c r="J4898">
        <v>-423.23270000000002</v>
      </c>
      <c r="K4898">
        <v>1.108557</v>
      </c>
      <c r="L4898">
        <v>79.724789999999999</v>
      </c>
      <c r="M4898">
        <v>-4.501608E-2</v>
      </c>
      <c r="N4898">
        <v>0</v>
      </c>
      <c r="O4898">
        <v>-0.99890540000000005</v>
      </c>
      <c r="P4898">
        <v>-5.368436E-2</v>
      </c>
      <c r="Q4898">
        <v>7.0080619999999996E-2</v>
      </c>
      <c r="R4898">
        <v>-0.99609579999999998</v>
      </c>
      <c r="S4898">
        <v>-0.10485839999999901</v>
      </c>
      <c r="T4898">
        <v>-0.30333379999999999</v>
      </c>
      <c r="U4898">
        <v>-3.0277400000000001</v>
      </c>
      <c r="V4898">
        <v>9.0847800000000006E-3</v>
      </c>
      <c r="W4898">
        <v>8.2735580000000003E-2</v>
      </c>
      <c r="X4898">
        <v>0.99653009999999997</v>
      </c>
      <c r="Y4898">
        <v>-1.058796E-2</v>
      </c>
      <c r="Z4898">
        <v>9.9502389999999996E-2</v>
      </c>
      <c r="AA4898">
        <v>0.994981</v>
      </c>
      <c r="AB4898">
        <v>31</v>
      </c>
      <c r="AC4898">
        <v>-1.8899999999973702E-2</v>
      </c>
      <c r="AD4898">
        <v>-9.8651000000000003E-2</v>
      </c>
      <c r="AE4898">
        <v>-0.66976999999999898</v>
      </c>
      <c r="AF4898">
        <v>-1.10328554822266E-2</v>
      </c>
      <c r="AG4898">
        <v>-9.8651000000000003E-2</v>
      </c>
      <c r="AH4898">
        <v>0.65572736919707597</v>
      </c>
      <c r="AI4898">
        <v>98.554514890765304</v>
      </c>
      <c r="AJ4898">
        <v>90.963931725011406</v>
      </c>
      <c r="AK4898">
        <v>0.66319840652342499</v>
      </c>
      <c r="AL4898">
        <v>85.254175458549497</v>
      </c>
      <c r="AM4898">
        <v>89.477682477856803</v>
      </c>
      <c r="AN4898">
        <v>0.99999997481579705</v>
      </c>
    </row>
    <row r="4899" spans="1:40" x14ac:dyDescent="0.25">
      <c r="A4899" t="str">
        <f>"20190312151126323"</f>
        <v>20190312151126323</v>
      </c>
      <c r="B4899" t="str">
        <f>"1552374686316314"</f>
        <v>1552374686316314</v>
      </c>
      <c r="C4899" t="s">
        <v>40</v>
      </c>
      <c r="D4899">
        <v>5.0026289999999998</v>
      </c>
      <c r="E4899">
        <v>0.49378810000000001</v>
      </c>
      <c r="F4899" t="s">
        <v>41</v>
      </c>
      <c r="G4899">
        <v>-423.26549999999997</v>
      </c>
      <c r="H4899">
        <v>1.0141549999999999</v>
      </c>
      <c r="I4899">
        <v>78.778980000000004</v>
      </c>
      <c r="J4899">
        <v>-423.24799999999999</v>
      </c>
      <c r="K4899">
        <v>1.1086400000000001</v>
      </c>
      <c r="L4899">
        <v>79.422849999999997</v>
      </c>
      <c r="M4899">
        <v>-4.6567629999999999E-2</v>
      </c>
      <c r="N4899">
        <v>0</v>
      </c>
      <c r="O4899">
        <v>-0.99883429999999995</v>
      </c>
      <c r="P4899">
        <v>-5.3165770000000001E-2</v>
      </c>
      <c r="Q4899">
        <v>6.9991940000000002E-2</v>
      </c>
      <c r="R4899">
        <v>-0.99613030000000002</v>
      </c>
      <c r="S4899">
        <v>-0.1041565</v>
      </c>
      <c r="T4899">
        <v>-0.30210710000000002</v>
      </c>
      <c r="U4899">
        <v>-3.0274049999999999</v>
      </c>
      <c r="V4899">
        <v>6.9983930000000003E-3</v>
      </c>
      <c r="W4899">
        <v>8.2652420000000004E-2</v>
      </c>
      <c r="X4899">
        <v>0.99655380000000005</v>
      </c>
      <c r="Y4899">
        <v>-1.23664E-2</v>
      </c>
      <c r="Z4899">
        <v>9.9103659999999996E-2</v>
      </c>
      <c r="AA4899">
        <v>0.9950002</v>
      </c>
      <c r="AB4899">
        <v>31</v>
      </c>
      <c r="AC4899">
        <v>-1.7499999999927199E-2</v>
      </c>
      <c r="AD4899">
        <v>-9.4485000000000097E-2</v>
      </c>
      <c r="AE4899">
        <v>-0.64386999999999195</v>
      </c>
      <c r="AF4899">
        <v>-1.22414929340042E-2</v>
      </c>
      <c r="AG4899">
        <v>-9.4485000000000097E-2</v>
      </c>
      <c r="AH4899">
        <v>0.63042077235313898</v>
      </c>
      <c r="AI4899">
        <v>98.522239211907205</v>
      </c>
      <c r="AJ4899">
        <v>91.112428042427894</v>
      </c>
      <c r="AK4899">
        <v>0.63757950060253799</v>
      </c>
      <c r="AL4899">
        <v>85.258956376846797</v>
      </c>
      <c r="AM4899">
        <v>89.597641601679697</v>
      </c>
      <c r="AN4899">
        <v>0.99999993816543697</v>
      </c>
    </row>
    <row r="4900" spans="1:40" x14ac:dyDescent="0.25">
      <c r="A4900" t="str">
        <f>"20190312151126345"</f>
        <v>20190312151126345</v>
      </c>
      <c r="B4900" t="str">
        <f>"1552374686335828"</f>
        <v>1552374686335828</v>
      </c>
      <c r="C4900" t="s">
        <v>40</v>
      </c>
      <c r="D4900">
        <v>4.9863210000000002</v>
      </c>
      <c r="E4900">
        <v>0.49360779999999899</v>
      </c>
      <c r="F4900" t="s">
        <v>41</v>
      </c>
      <c r="G4900">
        <v>-423.27940000000001</v>
      </c>
      <c r="H4900">
        <v>1.0177069999999999</v>
      </c>
      <c r="I4900">
        <v>78.503399999999999</v>
      </c>
      <c r="J4900">
        <v>-423.26420000000002</v>
      </c>
      <c r="K4900">
        <v>1.108727</v>
      </c>
      <c r="L4900">
        <v>79.112639999999999</v>
      </c>
      <c r="M4900">
        <v>-4.8057849999999999E-2</v>
      </c>
      <c r="N4900">
        <v>0</v>
      </c>
      <c r="O4900">
        <v>-0.99876390000000004</v>
      </c>
      <c r="P4900">
        <v>-5.2964150000000002E-2</v>
      </c>
      <c r="Q4900">
        <v>6.9994730000000005E-2</v>
      </c>
      <c r="R4900">
        <v>-0.99614080000000005</v>
      </c>
      <c r="S4900">
        <v>-0.1022034</v>
      </c>
      <c r="T4900">
        <v>-0.29933799999999999</v>
      </c>
      <c r="U4900">
        <v>-3.0272519999999998</v>
      </c>
      <c r="V4900">
        <v>5.2915449999999999E-3</v>
      </c>
      <c r="W4900">
        <v>8.2658599999999999E-2</v>
      </c>
      <c r="X4900">
        <v>0.99656389999999995</v>
      </c>
      <c r="Y4900">
        <v>-1.4494730000000001E-2</v>
      </c>
      <c r="Z4900">
        <v>9.8198259999999996E-2</v>
      </c>
      <c r="AA4900">
        <v>0.99506130000000004</v>
      </c>
      <c r="AB4900">
        <v>31</v>
      </c>
      <c r="AC4900">
        <v>-1.51999999999929E-2</v>
      </c>
      <c r="AD4900">
        <v>-9.1020000000000101E-2</v>
      </c>
      <c r="AE4900">
        <v>-0.609239999999999</v>
      </c>
      <c r="AF4900">
        <v>-1.3791062152882699E-2</v>
      </c>
      <c r="AG4900">
        <v>-9.1020000000000101E-2</v>
      </c>
      <c r="AH4900">
        <v>0.59597256670638199</v>
      </c>
      <c r="AI4900">
        <v>98.681119465845399</v>
      </c>
      <c r="AJ4900">
        <v>91.325612462545706</v>
      </c>
      <c r="AK4900">
        <v>0.60304073996861696</v>
      </c>
      <c r="AL4900">
        <v>85.258601489073797</v>
      </c>
      <c r="AM4900">
        <v>89.695774303735803</v>
      </c>
      <c r="AN4900">
        <v>1.0000000256928201</v>
      </c>
    </row>
    <row r="4901" spans="1:40" x14ac:dyDescent="0.25">
      <c r="A4901" t="str">
        <f>"20190312151126368"</f>
        <v>20190312151126368</v>
      </c>
      <c r="B4901" t="str">
        <f>"1552374686356324"</f>
        <v>1552374686356324</v>
      </c>
      <c r="C4901" t="s">
        <v>40</v>
      </c>
      <c r="D4901">
        <v>4.9686729999999999</v>
      </c>
      <c r="E4901">
        <v>0.49346479999999998</v>
      </c>
      <c r="F4901" t="s">
        <v>41</v>
      </c>
      <c r="G4901">
        <v>-423.29360000000003</v>
      </c>
      <c r="H4901">
        <v>1.0213620000000001</v>
      </c>
      <c r="I4901">
        <v>78.22784</v>
      </c>
      <c r="J4901">
        <v>-423.28039999999999</v>
      </c>
      <c r="K4901">
        <v>1.108814</v>
      </c>
      <c r="L4901">
        <v>78.806030000000007</v>
      </c>
      <c r="M4901">
        <v>-4.9414220000000002E-2</v>
      </c>
      <c r="N4901">
        <v>0</v>
      </c>
      <c r="O4901">
        <v>-0.99869750000000002</v>
      </c>
      <c r="P4901">
        <v>-5.2860860000000003E-2</v>
      </c>
      <c r="Q4901">
        <v>7.0176530000000001E-2</v>
      </c>
      <c r="R4901">
        <v>-0.9961333</v>
      </c>
      <c r="S4901">
        <v>-0.1000366</v>
      </c>
      <c r="T4901">
        <v>-0.29887740000000002</v>
      </c>
      <c r="U4901">
        <v>-3.0273129999999999</v>
      </c>
      <c r="V4901">
        <v>3.817239E-3</v>
      </c>
      <c r="W4901">
        <v>8.2841540000000005E-2</v>
      </c>
      <c r="X4901">
        <v>0.99655539999999998</v>
      </c>
      <c r="Y4901">
        <v>-1.6564220000000001E-2</v>
      </c>
      <c r="Z4901">
        <v>9.8036509999999993E-2</v>
      </c>
      <c r="AA4901">
        <v>0.99504490000000001</v>
      </c>
      <c r="AB4901">
        <v>31</v>
      </c>
      <c r="AC4901">
        <v>-1.32000000000402E-2</v>
      </c>
      <c r="AD4901">
        <v>-8.7451999999999794E-2</v>
      </c>
      <c r="AE4901">
        <v>-0.57819000000000598</v>
      </c>
      <c r="AF4901">
        <v>-1.50452339506743E-2</v>
      </c>
      <c r="AG4901">
        <v>-8.7451999999999794E-2</v>
      </c>
      <c r="AH4901">
        <v>0.56521226920947498</v>
      </c>
      <c r="AI4901">
        <v>98.792233643520703</v>
      </c>
      <c r="AJ4901">
        <v>91.524780939654093</v>
      </c>
      <c r="AK4901">
        <v>0.57213557889153799</v>
      </c>
      <c r="AL4901">
        <v>85.248083503009397</v>
      </c>
      <c r="AM4901">
        <v>89.7805334109471</v>
      </c>
      <c r="AN4901">
        <v>0.99999997866615697</v>
      </c>
    </row>
    <row r="4902" spans="1:40" x14ac:dyDescent="0.25">
      <c r="A4902" t="str">
        <f>"20190312151126390"</f>
        <v>20190312151126390</v>
      </c>
      <c r="B4902" t="str">
        <f>"1552374686386581"</f>
        <v>1552374686386581</v>
      </c>
      <c r="C4902" t="s">
        <v>40</v>
      </c>
      <c r="D4902">
        <v>4.9627080000000001</v>
      </c>
      <c r="E4902">
        <v>0.49323400000000001</v>
      </c>
      <c r="F4902" t="s">
        <v>41</v>
      </c>
      <c r="G4902">
        <v>-423.30840000000001</v>
      </c>
      <c r="H4902">
        <v>1.025226</v>
      </c>
      <c r="I4902">
        <v>77.951689999999999</v>
      </c>
      <c r="J4902">
        <v>-423.29649999999998</v>
      </c>
      <c r="K4902">
        <v>1.1089119999999999</v>
      </c>
      <c r="L4902">
        <v>78.507419999999996</v>
      </c>
      <c r="M4902">
        <v>-5.060912E-2</v>
      </c>
      <c r="N4902">
        <v>0</v>
      </c>
      <c r="O4902">
        <v>-0.99863780000000002</v>
      </c>
      <c r="P4902">
        <v>-5.2585020000000003E-2</v>
      </c>
      <c r="Q4902">
        <v>7.0362599999999997E-2</v>
      </c>
      <c r="R4902">
        <v>-0.99613459999999998</v>
      </c>
      <c r="S4902">
        <v>-9.8449709999999996E-2</v>
      </c>
      <c r="T4902">
        <v>-0.29617569999999999</v>
      </c>
      <c r="U4902">
        <v>-3.0272830000000002</v>
      </c>
      <c r="V4902">
        <v>2.3291090000000002E-3</v>
      </c>
      <c r="W4902">
        <v>8.3029259999999994E-2</v>
      </c>
      <c r="X4902">
        <v>0.9965444</v>
      </c>
      <c r="Y4902">
        <v>-1.827842E-2</v>
      </c>
      <c r="Z4902">
        <v>9.7150390000000003E-2</v>
      </c>
      <c r="AA4902">
        <v>0.99510189999999998</v>
      </c>
      <c r="AB4902">
        <v>31</v>
      </c>
      <c r="AC4902">
        <v>-1.19000000000255E-2</v>
      </c>
      <c r="AD4902">
        <v>-8.3686000000000094E-2</v>
      </c>
      <c r="AE4902">
        <v>-0.55572999999999695</v>
      </c>
      <c r="AF4902">
        <v>-1.5882529440782799E-2</v>
      </c>
      <c r="AG4902">
        <v>-8.3686000000000094E-2</v>
      </c>
      <c r="AH4902">
        <v>0.54330536327412104</v>
      </c>
      <c r="AI4902">
        <v>98.752840308842906</v>
      </c>
      <c r="AJ4902">
        <v>91.674459478876997</v>
      </c>
      <c r="AK4902">
        <v>0.54994210522550602</v>
      </c>
      <c r="AL4902">
        <v>85.237290916191895</v>
      </c>
      <c r="AM4902">
        <v>89.866089385738505</v>
      </c>
      <c r="AN4902">
        <v>1.0000000119681201</v>
      </c>
    </row>
    <row r="4903" spans="1:40" x14ac:dyDescent="0.25">
      <c r="A4903" t="str">
        <f>"20190312151126413"</f>
        <v>20190312151126413</v>
      </c>
      <c r="B4903" t="str">
        <f>"1552374686406100"</f>
        <v>1552374686406100</v>
      </c>
      <c r="C4903" t="s">
        <v>40</v>
      </c>
      <c r="D4903">
        <v>4.9892589999999997</v>
      </c>
      <c r="E4903">
        <v>0.49312929999999999</v>
      </c>
      <c r="F4903" t="s">
        <v>41</v>
      </c>
      <c r="G4903">
        <v>-423.32339999999999</v>
      </c>
      <c r="H4903">
        <v>1.027963</v>
      </c>
      <c r="I4903">
        <v>77.67577</v>
      </c>
      <c r="J4903">
        <v>-423.31389999999999</v>
      </c>
      <c r="K4903">
        <v>1.1090420000000001</v>
      </c>
      <c r="L4903">
        <v>78.190460000000002</v>
      </c>
      <c r="M4903">
        <v>-5.172355E-2</v>
      </c>
      <c r="N4903">
        <v>0</v>
      </c>
      <c r="O4903">
        <v>-0.99858080000000005</v>
      </c>
      <c r="P4903">
        <v>-5.175536E-2</v>
      </c>
      <c r="Q4903">
        <v>7.0388629999999994E-2</v>
      </c>
      <c r="R4903">
        <v>-0.99617670000000003</v>
      </c>
      <c r="S4903">
        <v>-9.5703129999999997E-2</v>
      </c>
      <c r="T4903">
        <v>-0.2946124</v>
      </c>
      <c r="U4903">
        <v>-3.027374</v>
      </c>
      <c r="V4903">
        <v>3.6021499999999999E-4</v>
      </c>
      <c r="W4903">
        <v>8.3056809999999995E-2</v>
      </c>
      <c r="X4903">
        <v>0.99654480000000001</v>
      </c>
      <c r="Y4903">
        <v>-2.0295440000000001E-2</v>
      </c>
      <c r="Z4903">
        <v>9.6630740000000007E-2</v>
      </c>
      <c r="AA4903">
        <v>0.99511340000000004</v>
      </c>
      <c r="AB4903">
        <v>31</v>
      </c>
      <c r="AC4903">
        <v>-9.5000000000027198E-3</v>
      </c>
      <c r="AD4903">
        <v>-8.1079000000000095E-2</v>
      </c>
      <c r="AE4903">
        <v>-0.51469000000000098</v>
      </c>
      <c r="AF4903">
        <v>-1.6721639703587299E-2</v>
      </c>
      <c r="AG4903">
        <v>-8.1079000000000095E-2</v>
      </c>
      <c r="AH4903">
        <v>0.50203820799433796</v>
      </c>
      <c r="AI4903">
        <v>99.169038538873906</v>
      </c>
      <c r="AJ4903">
        <v>91.907674171882704</v>
      </c>
      <c r="AK4903">
        <v>0.50881802224522499</v>
      </c>
      <c r="AL4903">
        <v>85.235707132422604</v>
      </c>
      <c r="AM4903">
        <v>89.979289643256905</v>
      </c>
      <c r="AN4903">
        <v>1.0000000509246201</v>
      </c>
    </row>
    <row r="4904" spans="1:40" x14ac:dyDescent="0.25">
      <c r="A4904" t="str">
        <f>"20190312151126435"</f>
        <v>20190312151126435</v>
      </c>
      <c r="B4904" t="str">
        <f>"1552374686426597"</f>
        <v>1552374686426597</v>
      </c>
      <c r="C4904" t="s">
        <v>40</v>
      </c>
      <c r="D4904">
        <v>4.9960110000000002</v>
      </c>
      <c r="E4904">
        <v>0.49315249999999999</v>
      </c>
      <c r="F4904" t="s">
        <v>41</v>
      </c>
      <c r="G4904">
        <v>-423.33800000000002</v>
      </c>
      <c r="H4904">
        <v>1.031722</v>
      </c>
      <c r="I4904">
        <v>77.399019999999993</v>
      </c>
      <c r="J4904">
        <v>-423.33049999999997</v>
      </c>
      <c r="K4904">
        <v>1.1091799999999901</v>
      </c>
      <c r="L4904">
        <v>77.889499999999998</v>
      </c>
      <c r="M4904">
        <v>-5.2620109999999998E-2</v>
      </c>
      <c r="N4904">
        <v>0</v>
      </c>
      <c r="O4904">
        <v>-0.99853389999999997</v>
      </c>
      <c r="P4904">
        <v>-5.0344550000000002E-2</v>
      </c>
      <c r="Q4904">
        <v>7.0227800000000007E-2</v>
      </c>
      <c r="R4904">
        <v>-0.99626009999999998</v>
      </c>
      <c r="S4904">
        <v>-9.2102050000000005E-2</v>
      </c>
      <c r="T4904">
        <v>-0.29578769999999999</v>
      </c>
      <c r="U4904">
        <v>-3.0276179999999999</v>
      </c>
      <c r="V4904">
        <v>-1.9761650000000002E-3</v>
      </c>
      <c r="W4904">
        <v>8.2896670000000006E-2</v>
      </c>
      <c r="X4904">
        <v>0.9965562</v>
      </c>
      <c r="Y4904">
        <v>-2.2379139999999999E-2</v>
      </c>
      <c r="Z4904">
        <v>9.6997630000000001E-2</v>
      </c>
      <c r="AA4904">
        <v>0.99503299999999995</v>
      </c>
      <c r="AB4904">
        <v>31</v>
      </c>
      <c r="AC4904">
        <v>-7.5000000000500196E-3</v>
      </c>
      <c r="AD4904">
        <v>-7.7457999999999805E-2</v>
      </c>
      <c r="AE4904">
        <v>-0.49048000000000502</v>
      </c>
      <c r="AF4904">
        <v>-1.7875870523974699E-2</v>
      </c>
      <c r="AG4904">
        <v>-7.7457999999999805E-2</v>
      </c>
      <c r="AH4904">
        <v>0.47826997671750998</v>
      </c>
      <c r="AI4904">
        <v>99.193126463809193</v>
      </c>
      <c r="AJ4904">
        <v>92.140496901405498</v>
      </c>
      <c r="AK4904">
        <v>0.48483137186073</v>
      </c>
      <c r="AL4904">
        <v>85.244914040734898</v>
      </c>
      <c r="AM4904">
        <v>90.113617040072995</v>
      </c>
      <c r="AN4904">
        <v>1.0000000114418099</v>
      </c>
    </row>
    <row r="4905" spans="1:40" x14ac:dyDescent="0.25">
      <c r="A4905" t="str">
        <f>"20190312151126457"</f>
        <v>20190312151126457</v>
      </c>
      <c r="B4905" t="str">
        <f>"1552374686446117"</f>
        <v>1552374686446117</v>
      </c>
      <c r="C4905" t="s">
        <v>40</v>
      </c>
      <c r="D4905">
        <v>5.2567009999999996</v>
      </c>
      <c r="E4905">
        <v>0.4928652</v>
      </c>
      <c r="F4905" t="s">
        <v>41</v>
      </c>
      <c r="G4905">
        <v>-423.35359999999997</v>
      </c>
      <c r="H4905">
        <v>1.0331680000000001</v>
      </c>
      <c r="I4905">
        <v>77.114800000000002</v>
      </c>
      <c r="J4905">
        <v>-423.34710000000001</v>
      </c>
      <c r="K4905">
        <v>1.109329</v>
      </c>
      <c r="L4905">
        <v>77.590999999999994</v>
      </c>
      <c r="M4905">
        <v>-5.3341279999999998E-2</v>
      </c>
      <c r="N4905">
        <v>0</v>
      </c>
      <c r="O4905">
        <v>-0.99849560000000004</v>
      </c>
      <c r="P4905">
        <v>-4.7686699999999999E-2</v>
      </c>
      <c r="Q4905">
        <v>7.0560029999999996E-2</v>
      </c>
      <c r="R4905">
        <v>-0.996367</v>
      </c>
      <c r="S4905">
        <v>-8.7860110000000005E-2</v>
      </c>
      <c r="T4905">
        <v>-0.2970585</v>
      </c>
      <c r="U4905">
        <v>-3.027771</v>
      </c>
      <c r="V4905">
        <v>-5.3850449999999998E-3</v>
      </c>
      <c r="W4905">
        <v>8.3230730000000003E-2</v>
      </c>
      <c r="X4905">
        <v>0.99651579999999995</v>
      </c>
      <c r="Y4905">
        <v>-2.449664E-2</v>
      </c>
      <c r="Z4905">
        <v>9.7399509999999995E-2</v>
      </c>
      <c r="AA4905">
        <v>0.99494389999999999</v>
      </c>
      <c r="AB4905">
        <v>31</v>
      </c>
      <c r="AC4905">
        <v>-6.4999999999599796E-3</v>
      </c>
      <c r="AD4905">
        <v>-7.6160999999999895E-2</v>
      </c>
      <c r="AE4905">
        <v>-0.47620000000000501</v>
      </c>
      <c r="AF4905">
        <v>-1.8440808212064199E-2</v>
      </c>
      <c r="AG4905">
        <v>-7.6160999999999895E-2</v>
      </c>
      <c r="AH4905">
        <v>0.464002111033888</v>
      </c>
      <c r="AI4905">
        <v>99.314149251433804</v>
      </c>
      <c r="AJ4905">
        <v>92.275904985706802</v>
      </c>
      <c r="AK4905">
        <v>0.47057254528119102</v>
      </c>
      <c r="AL4905">
        <v>85.225707606579505</v>
      </c>
      <c r="AM4905">
        <v>90.309616112182795</v>
      </c>
      <c r="AN4905">
        <v>1.00000004638781</v>
      </c>
    </row>
    <row r="4906" spans="1:40" x14ac:dyDescent="0.25">
      <c r="A4906" t="str">
        <f>"20190312151126491"</f>
        <v>20190312151126491</v>
      </c>
      <c r="B4906" t="str">
        <f>"1552374686486136"</f>
        <v>1552374686486136</v>
      </c>
      <c r="C4906" t="s">
        <v>40</v>
      </c>
      <c r="D4906">
        <v>4.887632</v>
      </c>
      <c r="E4906">
        <v>0.45673789999999997</v>
      </c>
      <c r="F4906" t="s">
        <v>42</v>
      </c>
      <c r="G4906">
        <v>-423.63600000000002</v>
      </c>
      <c r="H4906" s="1">
        <v>-3.8052649999999999E-6</v>
      </c>
      <c r="I4906">
        <v>66.273480000000006</v>
      </c>
      <c r="J4906">
        <v>-423.37299999999999</v>
      </c>
      <c r="K4906">
        <v>1.109558</v>
      </c>
      <c r="L4906">
        <v>77.125369999999904</v>
      </c>
      <c r="M4906">
        <v>-5.4072189999999999E-2</v>
      </c>
      <c r="N4906">
        <v>0</v>
      </c>
      <c r="O4906">
        <v>-0.99845649999999997</v>
      </c>
      <c r="P4906">
        <v>-4.3140379999999999E-2</v>
      </c>
      <c r="Q4906">
        <v>7.0391159999999994E-2</v>
      </c>
      <c r="R4906">
        <v>-0.99658630000000004</v>
      </c>
      <c r="S4906">
        <v>-7.7301030000000007E-2</v>
      </c>
      <c r="T4906">
        <v>-0.29682709999999901</v>
      </c>
      <c r="U4906">
        <v>-3.0282589999999998</v>
      </c>
      <c r="V4906">
        <v>-1.071419E-2</v>
      </c>
      <c r="W4906">
        <v>8.3060610000000007E-2</v>
      </c>
      <c r="X4906">
        <v>0.99648689999999995</v>
      </c>
      <c r="Y4906">
        <v>-2.8699240000000001E-2</v>
      </c>
      <c r="Z4906">
        <v>9.730221E-2</v>
      </c>
      <c r="AA4906">
        <v>0.99484099999999998</v>
      </c>
      <c r="AB4906">
        <v>31</v>
      </c>
      <c r="AC4906">
        <v>-0.26299999999992002</v>
      </c>
      <c r="AD4906">
        <v>-1.109561805265</v>
      </c>
      <c r="AE4906">
        <v>-10.8518899999999</v>
      </c>
      <c r="AF4906">
        <v>-0.32086503989134602</v>
      </c>
      <c r="AG4906">
        <v>-1.109561805265</v>
      </c>
      <c r="AH4906">
        <v>10.738041468414799</v>
      </c>
      <c r="AI4906">
        <v>95.896822533943194</v>
      </c>
      <c r="AJ4906">
        <v>91.711554561520003</v>
      </c>
      <c r="AK4906">
        <v>10.799982238454101</v>
      </c>
      <c r="AL4906">
        <v>85.235488411965903</v>
      </c>
      <c r="AM4906">
        <v>90.616018347877102</v>
      </c>
      <c r="AN4906">
        <v>1.0000000003362599</v>
      </c>
    </row>
    <row r="4907" spans="1:40" x14ac:dyDescent="0.25">
      <c r="A4907" t="str">
        <f>"20190312151126513"</f>
        <v>20190312151126513</v>
      </c>
      <c r="B4907" t="str">
        <f>"1552374686506629"</f>
        <v>1552374686506629</v>
      </c>
      <c r="C4907" t="s">
        <v>40</v>
      </c>
      <c r="D4907">
        <v>5.1746499999999997</v>
      </c>
      <c r="E4907">
        <v>0.45675250000000001</v>
      </c>
      <c r="F4907" t="s">
        <v>42</v>
      </c>
      <c r="G4907">
        <v>-422.67239999999998</v>
      </c>
      <c r="H4907" s="1">
        <v>-4.1023370000000001E-6</v>
      </c>
      <c r="I4907">
        <v>67.648700000000005</v>
      </c>
      <c r="J4907">
        <v>-423.3895</v>
      </c>
      <c r="K4907">
        <v>1.109699</v>
      </c>
      <c r="L4907">
        <v>76.827240000000003</v>
      </c>
      <c r="M4907">
        <v>-5.433081E-2</v>
      </c>
      <c r="N4907">
        <v>0</v>
      </c>
      <c r="O4907">
        <v>-0.99844239999999995</v>
      </c>
      <c r="P4907">
        <v>-3.9812109999999998E-2</v>
      </c>
      <c r="Q4907">
        <v>7.0569709999999994E-2</v>
      </c>
      <c r="R4907">
        <v>-0.99671220000000005</v>
      </c>
      <c r="S4907">
        <v>0.2251282</v>
      </c>
      <c r="T4907">
        <v>-0.35654639999999999</v>
      </c>
      <c r="U4907">
        <v>-3.0452270000000001</v>
      </c>
      <c r="V4907">
        <v>-1.4331790000000001E-2</v>
      </c>
      <c r="W4907">
        <v>8.3235009999999998E-2</v>
      </c>
      <c r="X4907">
        <v>0.9964269</v>
      </c>
      <c r="Y4907">
        <v>-0.1273106</v>
      </c>
      <c r="Z4907">
        <v>0.1154028</v>
      </c>
      <c r="AA4907">
        <v>0.98512650000000002</v>
      </c>
      <c r="AB4907">
        <v>31</v>
      </c>
      <c r="AC4907">
        <v>0.71710000000001595</v>
      </c>
      <c r="AD4907">
        <v>-1.1097031023370001</v>
      </c>
      <c r="AE4907">
        <v>-9.1785399999999893</v>
      </c>
      <c r="AF4907">
        <v>-1.1973623228474399</v>
      </c>
      <c r="AG4907">
        <v>-1.1097031023370001</v>
      </c>
      <c r="AH4907">
        <v>8.9953278204720295</v>
      </c>
      <c r="AI4907">
        <v>96.971846256451201</v>
      </c>
      <c r="AJ4907">
        <v>97.582034384947505</v>
      </c>
      <c r="AK4907">
        <v>9.14226668311907</v>
      </c>
      <c r="AL4907">
        <v>85.225461386479495</v>
      </c>
      <c r="AM4907">
        <v>90.824038834587995</v>
      </c>
      <c r="AN4907">
        <v>1.00000001706895</v>
      </c>
    </row>
    <row r="4908" spans="1:40" x14ac:dyDescent="0.25">
      <c r="A4908" t="str">
        <f>"20190312151126535"</f>
        <v>20190312151126535</v>
      </c>
      <c r="B4908" t="str">
        <f>"1552374686526152"</f>
        <v>1552374686526152</v>
      </c>
      <c r="C4908" t="s">
        <v>40</v>
      </c>
      <c r="D4908">
        <v>4.8731429999999998</v>
      </c>
      <c r="E4908">
        <v>0.45797719999999997</v>
      </c>
      <c r="F4908" t="s">
        <v>42</v>
      </c>
      <c r="G4908">
        <v>-422.64159999999998</v>
      </c>
      <c r="H4908" s="1">
        <v>-3.9372019999999998E-6</v>
      </c>
      <c r="I4908">
        <v>67.179490000000001</v>
      </c>
      <c r="J4908">
        <v>-423.40640000000002</v>
      </c>
      <c r="K4908">
        <v>1.109836</v>
      </c>
      <c r="L4908">
        <v>76.519379999999998</v>
      </c>
      <c r="M4908">
        <v>-5.4441490000000002E-2</v>
      </c>
      <c r="N4908">
        <v>0</v>
      </c>
      <c r="O4908">
        <v>-0.99843660000000001</v>
      </c>
      <c r="P4908">
        <v>-3.7228230000000001E-2</v>
      </c>
      <c r="Q4908">
        <v>7.1095740000000004E-2</v>
      </c>
      <c r="R4908">
        <v>-0.99677470000000001</v>
      </c>
      <c r="S4908">
        <v>0.2359619</v>
      </c>
      <c r="T4908">
        <v>-0.35013810000000001</v>
      </c>
      <c r="U4908">
        <v>-3.044098</v>
      </c>
      <c r="V4908">
        <v>-1.7052069999999999E-2</v>
      </c>
      <c r="W4908">
        <v>8.3753889999999998E-2</v>
      </c>
      <c r="X4908">
        <v>0.99634060000000002</v>
      </c>
      <c r="Y4908">
        <v>-0.1309507</v>
      </c>
      <c r="Z4908">
        <v>0.1133541</v>
      </c>
      <c r="AA4908">
        <v>0.98488719999999996</v>
      </c>
      <c r="AB4908">
        <v>31</v>
      </c>
      <c r="AC4908">
        <v>0.76480000000003601</v>
      </c>
      <c r="AD4908">
        <v>-1.109839937202</v>
      </c>
      <c r="AE4908">
        <v>-9.3398899999999898</v>
      </c>
      <c r="AF4908">
        <v>-1.2545870444071801</v>
      </c>
      <c r="AG4908">
        <v>-1.109839937202</v>
      </c>
      <c r="AH4908">
        <v>9.1559741771634204</v>
      </c>
      <c r="AI4908">
        <v>96.8480081125483</v>
      </c>
      <c r="AJ4908">
        <v>97.802300927157404</v>
      </c>
      <c r="AK4908">
        <v>9.3079319116056194</v>
      </c>
      <c r="AL4908">
        <v>85.195627686699595</v>
      </c>
      <c r="AM4908">
        <v>90.980504324129299</v>
      </c>
      <c r="AN4908">
        <v>1.00000003919488</v>
      </c>
    </row>
    <row r="4909" spans="1:40" x14ac:dyDescent="0.25">
      <c r="A4909" t="str">
        <f>"20190312151126557"</f>
        <v>20190312151126557</v>
      </c>
      <c r="B4909" t="str">
        <f>"1552374686546645"</f>
        <v>1552374686546645</v>
      </c>
      <c r="C4909" t="s">
        <v>40</v>
      </c>
      <c r="D4909">
        <v>4.9240329999999997</v>
      </c>
      <c r="E4909">
        <v>0.45780539999999997</v>
      </c>
      <c r="F4909" t="s">
        <v>42</v>
      </c>
      <c r="G4909">
        <v>-422.6748</v>
      </c>
      <c r="H4909" s="1">
        <v>-3.9010579999999999E-6</v>
      </c>
      <c r="I4909">
        <v>67.055959999999999</v>
      </c>
      <c r="J4909">
        <v>-423.42250000000001</v>
      </c>
      <c r="K4909">
        <v>1.1099589999999999</v>
      </c>
      <c r="L4909">
        <v>76.224699999999999</v>
      </c>
      <c r="M4909">
        <v>-5.4387919999999999E-2</v>
      </c>
      <c r="N4909">
        <v>0</v>
      </c>
      <c r="O4909">
        <v>-0.99843970000000004</v>
      </c>
      <c r="P4909">
        <v>-3.4328989999999997E-2</v>
      </c>
      <c r="Q4909">
        <v>7.0770169999999993E-2</v>
      </c>
      <c r="R4909">
        <v>-0.99690210000000001</v>
      </c>
      <c r="S4909">
        <v>0.235321</v>
      </c>
      <c r="T4909">
        <v>-0.35698780000000002</v>
      </c>
      <c r="U4909">
        <v>-3.0439759999999998</v>
      </c>
      <c r="V4909">
        <v>-1.9925439999999999E-2</v>
      </c>
      <c r="W4909">
        <v>8.3421270000000006E-2</v>
      </c>
      <c r="X4909">
        <v>0.99631510000000001</v>
      </c>
      <c r="Y4909">
        <v>-0.13067490000000001</v>
      </c>
      <c r="Z4909">
        <v>0.11555</v>
      </c>
      <c r="AA4909">
        <v>0.9846686</v>
      </c>
      <c r="AB4909">
        <v>31</v>
      </c>
      <c r="AC4909">
        <v>0.74770000000000802</v>
      </c>
      <c r="AD4909">
        <v>-1.1099629010580001</v>
      </c>
      <c r="AE4909">
        <v>-9.1687399999999997</v>
      </c>
      <c r="AF4909">
        <v>-1.22743209535104</v>
      </c>
      <c r="AG4909">
        <v>-1.1099629010580001</v>
      </c>
      <c r="AH4909">
        <v>8.9837078700517594</v>
      </c>
      <c r="AI4909">
        <v>96.9791711341922</v>
      </c>
      <c r="AJ4909">
        <v>97.780073815492997</v>
      </c>
      <c r="AK4909">
        <v>9.1348571025962393</v>
      </c>
      <c r="AL4909">
        <v>85.214751932190794</v>
      </c>
      <c r="AM4909">
        <v>91.145713286366501</v>
      </c>
      <c r="AN4909">
        <v>0.99999995496780703</v>
      </c>
    </row>
    <row r="4910" spans="1:40" x14ac:dyDescent="0.25">
      <c r="A4910" t="str">
        <f>"20190312151126580"</f>
        <v>20190312151126580</v>
      </c>
      <c r="B4910" t="str">
        <f>"1552374686575925"</f>
        <v>1552374686575925</v>
      </c>
      <c r="C4910" t="s">
        <v>40</v>
      </c>
      <c r="D4910">
        <v>4.9394410000000004</v>
      </c>
      <c r="E4910">
        <v>0.45778160000000001</v>
      </c>
      <c r="F4910" t="s">
        <v>42</v>
      </c>
      <c r="G4910">
        <v>-422.67500000000001</v>
      </c>
      <c r="H4910" s="1">
        <v>-3.8734949999999999E-6</v>
      </c>
      <c r="I4910">
        <v>66.974890000000002</v>
      </c>
      <c r="J4910">
        <v>-423.43920000000003</v>
      </c>
      <c r="K4910">
        <v>1.110096</v>
      </c>
      <c r="L4910">
        <v>75.915099999999995</v>
      </c>
      <c r="M4910">
        <v>-5.4145779999999998E-2</v>
      </c>
      <c r="N4910">
        <v>0</v>
      </c>
      <c r="O4910">
        <v>-0.99845269999999997</v>
      </c>
      <c r="P4910">
        <v>-3.080331E-2</v>
      </c>
      <c r="Q4910">
        <v>6.9848919999999995E-2</v>
      </c>
      <c r="R4910">
        <v>-0.99708189999999997</v>
      </c>
      <c r="S4910">
        <v>0.24597169999999999</v>
      </c>
      <c r="T4910">
        <v>-0.36524309999999899</v>
      </c>
      <c r="U4910">
        <v>-3.0437319999999999</v>
      </c>
      <c r="V4910">
        <v>-2.3241290000000001E-2</v>
      </c>
      <c r="W4910">
        <v>8.2490839999999996E-2</v>
      </c>
      <c r="X4910">
        <v>0.99632080000000001</v>
      </c>
      <c r="Y4910">
        <v>-0.13383909999999999</v>
      </c>
      <c r="Z4910">
        <v>0.1181552</v>
      </c>
      <c r="AA4910">
        <v>0.98393419999999998</v>
      </c>
      <c r="AB4910">
        <v>31</v>
      </c>
      <c r="AC4910">
        <v>0.76420000000001598</v>
      </c>
      <c r="AD4910">
        <v>-1.1100998734950001</v>
      </c>
      <c r="AE4910">
        <v>-8.9402099999999898</v>
      </c>
      <c r="AF4910">
        <v>-1.22839028206539</v>
      </c>
      <c r="AG4910">
        <v>-1.1100998734950001</v>
      </c>
      <c r="AH4910">
        <v>8.7517554605263399</v>
      </c>
      <c r="AI4910">
        <v>97.159529226910607</v>
      </c>
      <c r="AJ4910">
        <v>97.989800110632004</v>
      </c>
      <c r="AK4910">
        <v>8.9069909652507793</v>
      </c>
      <c r="AL4910">
        <v>85.268246323087595</v>
      </c>
      <c r="AM4910">
        <v>91.336302894877093</v>
      </c>
      <c r="AN4910">
        <v>1.0000000163787</v>
      </c>
    </row>
    <row r="4911" spans="1:40" x14ac:dyDescent="0.25">
      <c r="A4911" t="str">
        <f>"20190312151126602"</f>
        <v>20190312151126602</v>
      </c>
      <c r="B4911" t="str">
        <f>"1552374686596421"</f>
        <v>1552374686596421</v>
      </c>
      <c r="C4911" t="s">
        <v>40</v>
      </c>
      <c r="D4911">
        <v>4.9350139999999998</v>
      </c>
      <c r="E4911">
        <v>0.4578757</v>
      </c>
      <c r="F4911" t="s">
        <v>42</v>
      </c>
      <c r="G4911">
        <v>-422.66460000000001</v>
      </c>
      <c r="H4911" s="1">
        <v>-3.7708750000000001E-6</v>
      </c>
      <c r="I4911">
        <v>66.726429999999993</v>
      </c>
      <c r="J4911">
        <v>-423.45530000000002</v>
      </c>
      <c r="K4911">
        <v>1.1102339999999999</v>
      </c>
      <c r="L4911">
        <v>75.612179999999995</v>
      </c>
      <c r="M4911">
        <v>-5.3748280000000002E-2</v>
      </c>
      <c r="N4911">
        <v>0</v>
      </c>
      <c r="O4911">
        <v>-0.99847419999999998</v>
      </c>
      <c r="P4911">
        <v>-2.7052739999999999E-2</v>
      </c>
      <c r="Q4911">
        <v>6.9080550000000004E-2</v>
      </c>
      <c r="R4911">
        <v>-0.99724460000000004</v>
      </c>
      <c r="S4911">
        <v>0.25646970000000002</v>
      </c>
      <c r="T4911">
        <v>-0.3675641</v>
      </c>
      <c r="U4911">
        <v>-3.0424500000000001</v>
      </c>
      <c r="V4911">
        <v>-2.6625929999999999E-2</v>
      </c>
      <c r="W4911">
        <v>8.1711010000000001E-2</v>
      </c>
      <c r="X4911">
        <v>0.99630030000000003</v>
      </c>
      <c r="Y4911">
        <v>-0.13684170000000001</v>
      </c>
      <c r="Z4911">
        <v>0.1189071</v>
      </c>
      <c r="AA4911">
        <v>0.98343040000000004</v>
      </c>
      <c r="AB4911">
        <v>30</v>
      </c>
      <c r="AC4911">
        <v>0.79070000000001495</v>
      </c>
      <c r="AD4911">
        <v>-1.110237770875</v>
      </c>
      <c r="AE4911">
        <v>-8.8857499999999998</v>
      </c>
      <c r="AF4911">
        <v>-1.2478610570629201</v>
      </c>
      <c r="AG4911">
        <v>-1.110237770875</v>
      </c>
      <c r="AH4911">
        <v>8.6957151532357297</v>
      </c>
      <c r="AI4911">
        <v>97.202953730875393</v>
      </c>
      <c r="AJ4911">
        <v>98.166362863315001</v>
      </c>
      <c r="AK4911">
        <v>8.8546737462102598</v>
      </c>
      <c r="AL4911">
        <v>85.313078372568398</v>
      </c>
      <c r="AM4911">
        <v>91.530854079895605</v>
      </c>
      <c r="AN4911">
        <v>0.99999995854183599</v>
      </c>
    </row>
    <row r="4912" spans="1:40" x14ac:dyDescent="0.25">
      <c r="A4912" t="str">
        <f>"20190312151126625"</f>
        <v>20190312151126625</v>
      </c>
      <c r="B4912" t="str">
        <f>"1552374686615941"</f>
        <v>1552374686615941</v>
      </c>
      <c r="C4912" t="s">
        <v>40</v>
      </c>
      <c r="D4912">
        <v>4.9081700000000001</v>
      </c>
      <c r="E4912">
        <v>0.4580632</v>
      </c>
      <c r="F4912" t="s">
        <v>42</v>
      </c>
      <c r="G4912">
        <v>-422.66300000000001</v>
      </c>
      <c r="H4912" s="1">
        <v>-3.6990239999999999E-6</v>
      </c>
      <c r="I4912">
        <v>66.559960000000004</v>
      </c>
      <c r="J4912">
        <v>-423.47179999999997</v>
      </c>
      <c r="K4912">
        <v>1.1103670000000001</v>
      </c>
      <c r="L4912">
        <v>75.296840000000003</v>
      </c>
      <c r="M4912">
        <v>-5.3196550000000002E-2</v>
      </c>
      <c r="N4912">
        <v>0</v>
      </c>
      <c r="O4912">
        <v>-0.99850360000000005</v>
      </c>
      <c r="P4912">
        <v>-2.3227660000000001E-2</v>
      </c>
      <c r="Q4912">
        <v>6.8157259999999997E-2</v>
      </c>
      <c r="R4912">
        <v>-0.99740430000000002</v>
      </c>
      <c r="S4912">
        <v>0.26620480000000002</v>
      </c>
      <c r="T4912">
        <v>-0.37301590000000001</v>
      </c>
      <c r="U4912">
        <v>-3.0413510000000001</v>
      </c>
      <c r="V4912">
        <v>-2.9929830000000001E-2</v>
      </c>
      <c r="W4912">
        <v>8.0774739999999998E-2</v>
      </c>
      <c r="X4912">
        <v>0.99628289999999997</v>
      </c>
      <c r="Y4912">
        <v>-0.13943</v>
      </c>
      <c r="Z4912">
        <v>0.1206549</v>
      </c>
      <c r="AA4912">
        <v>0.9828538</v>
      </c>
      <c r="AB4912">
        <v>30</v>
      </c>
      <c r="AC4912">
        <v>0.80879999999996199</v>
      </c>
      <c r="AD4912">
        <v>-1.1103706990240001</v>
      </c>
      <c r="AE4912">
        <v>-8.7368799999999993</v>
      </c>
      <c r="AF4912">
        <v>-1.25240697224382</v>
      </c>
      <c r="AG4912">
        <v>-1.1103706990240001</v>
      </c>
      <c r="AH4912">
        <v>8.5446389427641201</v>
      </c>
      <c r="AI4912">
        <v>97.326642698100002</v>
      </c>
      <c r="AJ4912">
        <v>98.338595864766006</v>
      </c>
      <c r="AK4912">
        <v>8.70702595468609</v>
      </c>
      <c r="AL4912">
        <v>85.366900737928901</v>
      </c>
      <c r="AM4912">
        <v>91.7207334780216</v>
      </c>
      <c r="AN4912">
        <v>0.999999985089153</v>
      </c>
    </row>
    <row r="4913" spans="1:40" x14ac:dyDescent="0.25">
      <c r="A4913" t="str">
        <f>"20190312151126647"</f>
        <v>20190312151126647</v>
      </c>
      <c r="B4913" t="str">
        <f>"1552374686636437"</f>
        <v>1552374686636437</v>
      </c>
      <c r="C4913" t="s">
        <v>40</v>
      </c>
      <c r="D4913">
        <v>4.9632230000000002</v>
      </c>
      <c r="E4913">
        <v>0.45846510000000001</v>
      </c>
      <c r="F4913" t="s">
        <v>42</v>
      </c>
      <c r="G4913">
        <v>-422.6515</v>
      </c>
      <c r="H4913" s="1">
        <v>-3.5668010000000001E-6</v>
      </c>
      <c r="I4913">
        <v>66.258870000000002</v>
      </c>
      <c r="J4913">
        <v>-423.48669999999998</v>
      </c>
      <c r="K4913">
        <v>1.110473</v>
      </c>
      <c r="L4913">
        <v>75.004819999999995</v>
      </c>
      <c r="M4913">
        <v>-5.2551710000000001E-2</v>
      </c>
      <c r="N4913">
        <v>0</v>
      </c>
      <c r="O4913">
        <v>-0.99853780000000003</v>
      </c>
      <c r="P4913">
        <v>-1.920873E-2</v>
      </c>
      <c r="Q4913">
        <v>6.7421120000000001E-2</v>
      </c>
      <c r="R4913">
        <v>-0.99753979999999998</v>
      </c>
      <c r="S4913">
        <v>0.27587889999999998</v>
      </c>
      <c r="T4913">
        <v>-0.37345339999999999</v>
      </c>
      <c r="U4913">
        <v>-3.0397639999999999</v>
      </c>
      <c r="V4913">
        <v>-3.3329329999999997E-2</v>
      </c>
      <c r="W4913">
        <v>8.0024250000000005E-2</v>
      </c>
      <c r="X4913">
        <v>0.99623550000000005</v>
      </c>
      <c r="Y4913">
        <v>-0.14193599999999901</v>
      </c>
      <c r="Z4913">
        <v>0.1208239</v>
      </c>
      <c r="AA4913">
        <v>0.98247430000000002</v>
      </c>
      <c r="AB4913">
        <v>30</v>
      </c>
      <c r="AC4913">
        <v>0.83519999999998595</v>
      </c>
      <c r="AD4913">
        <v>-1.1104765668009999</v>
      </c>
      <c r="AE4913">
        <v>-8.7459499999999899</v>
      </c>
      <c r="AF4913">
        <v>-1.27335443469373</v>
      </c>
      <c r="AG4913">
        <v>-1.1104765668009999</v>
      </c>
      <c r="AH4913">
        <v>8.5533221771039596</v>
      </c>
      <c r="AI4913">
        <v>97.317568354829803</v>
      </c>
      <c r="AJ4913">
        <v>98.467575591658701</v>
      </c>
      <c r="AK4913">
        <v>8.7185956430555294</v>
      </c>
      <c r="AL4913">
        <v>85.410040134060793</v>
      </c>
      <c r="AM4913">
        <v>91.9161312426845</v>
      </c>
      <c r="AN4913">
        <v>0.99999994814327897</v>
      </c>
    </row>
    <row r="4914" spans="1:40" x14ac:dyDescent="0.25">
      <c r="A4914" t="str">
        <f>"20190312151126669"</f>
        <v>20190312151126669</v>
      </c>
      <c r="B4914" t="str">
        <f>"1552374686666693"</f>
        <v>1552374686666693</v>
      </c>
      <c r="C4914" t="s">
        <v>40</v>
      </c>
      <c r="D4914">
        <v>5.1845239999999997</v>
      </c>
      <c r="E4914">
        <v>0.4590147</v>
      </c>
      <c r="F4914" t="s">
        <v>42</v>
      </c>
      <c r="G4914">
        <v>-422.63060000000002</v>
      </c>
      <c r="H4914" s="1">
        <v>-3.3953750000000001E-6</v>
      </c>
      <c r="I4914">
        <v>65.872219999999999</v>
      </c>
      <c r="J4914">
        <v>-423.50200000000001</v>
      </c>
      <c r="K4914">
        <v>1.1105929999999999</v>
      </c>
      <c r="L4914">
        <v>74.698179999999994</v>
      </c>
      <c r="M4914">
        <v>-5.1728959999999997E-2</v>
      </c>
      <c r="N4914">
        <v>0</v>
      </c>
      <c r="O4914">
        <v>-0.99858089999999999</v>
      </c>
      <c r="P4914">
        <v>-1.4941940000000001E-2</v>
      </c>
      <c r="Q4914">
        <v>6.6848580000000005E-2</v>
      </c>
      <c r="R4914">
        <v>-0.99765159999999997</v>
      </c>
      <c r="S4914">
        <v>0.2847595</v>
      </c>
      <c r="T4914">
        <v>-0.36938559999999998</v>
      </c>
      <c r="U4914">
        <v>-3.0378419999999999</v>
      </c>
      <c r="V4914">
        <v>-3.6797249999999997E-2</v>
      </c>
      <c r="W4914">
        <v>7.9435809999999996E-2</v>
      </c>
      <c r="X4914">
        <v>0.99616059999999995</v>
      </c>
      <c r="Y4914">
        <v>-0.14403820000000001</v>
      </c>
      <c r="Z4914">
        <v>0.1195749</v>
      </c>
      <c r="AA4914">
        <v>0.98232109999999995</v>
      </c>
      <c r="AB4914">
        <v>30</v>
      </c>
      <c r="AC4914">
        <v>0.871399999999937</v>
      </c>
      <c r="AD4914">
        <v>-1.110596395375</v>
      </c>
      <c r="AE4914">
        <v>-8.8259600000000091</v>
      </c>
      <c r="AF4914">
        <v>-1.3063426299641201</v>
      </c>
      <c r="AG4914">
        <v>-1.110596395375</v>
      </c>
      <c r="AH4914">
        <v>8.6336760714850804</v>
      </c>
      <c r="AI4914">
        <v>97.248401644428</v>
      </c>
      <c r="AJ4914">
        <v>98.604034709684598</v>
      </c>
      <c r="AK4914">
        <v>8.8022904932531993</v>
      </c>
      <c r="AL4914">
        <v>85.443863237213506</v>
      </c>
      <c r="AM4914">
        <v>92.115491189809106</v>
      </c>
      <c r="AN4914">
        <v>1.0000000132551301</v>
      </c>
    </row>
    <row r="4915" spans="1:40" x14ac:dyDescent="0.25">
      <c r="A4915" t="str">
        <f>"20190312151126693"</f>
        <v>20190312151126693</v>
      </c>
      <c r="B4915" t="str">
        <f>"1552374686686213"</f>
        <v>1552374686686213</v>
      </c>
      <c r="C4915" t="s">
        <v>40</v>
      </c>
      <c r="D4915">
        <v>5.1360510000000001</v>
      </c>
      <c r="E4915">
        <v>0.45936189999999999</v>
      </c>
      <c r="F4915" t="s">
        <v>42</v>
      </c>
      <c r="G4915">
        <v>-422.61219999999997</v>
      </c>
      <c r="H4915" s="1">
        <v>-3.2227090000000001E-6</v>
      </c>
      <c r="I4915">
        <v>65.481139999999996</v>
      </c>
      <c r="J4915">
        <v>-423.5172</v>
      </c>
      <c r="K4915">
        <v>1.1107119999999999</v>
      </c>
      <c r="L4915">
        <v>74.386659999999907</v>
      </c>
      <c r="M4915">
        <v>-5.074832E-2</v>
      </c>
      <c r="N4915">
        <v>0</v>
      </c>
      <c r="O4915">
        <v>-0.99863100000000005</v>
      </c>
      <c r="P4915">
        <v>-1.102765E-2</v>
      </c>
      <c r="Q4915">
        <v>6.7347240000000003E-2</v>
      </c>
      <c r="R4915">
        <v>-0.99766869999999996</v>
      </c>
      <c r="S4915">
        <v>0.29309079999999998</v>
      </c>
      <c r="T4915">
        <v>-0.3658131</v>
      </c>
      <c r="U4915">
        <v>-3.0359500000000001</v>
      </c>
      <c r="V4915">
        <v>-3.9751990000000001E-2</v>
      </c>
      <c r="W4915">
        <v>7.991587E-2</v>
      </c>
      <c r="X4915">
        <v>0.99600860000000002</v>
      </c>
      <c r="Y4915">
        <v>-0.145807299999999</v>
      </c>
      <c r="Z4915">
        <v>0.1184858</v>
      </c>
      <c r="AA4915">
        <v>0.98219210000000001</v>
      </c>
      <c r="AB4915">
        <v>30</v>
      </c>
      <c r="AC4915">
        <v>0.905000000000029</v>
      </c>
      <c r="AD4915">
        <v>-1.110715222709</v>
      </c>
      <c r="AE4915">
        <v>-8.9055199999999903</v>
      </c>
      <c r="AF4915">
        <v>-1.3352518592606699</v>
      </c>
      <c r="AG4915">
        <v>-1.110715222709</v>
      </c>
      <c r="AH4915">
        <v>8.7139470648563098</v>
      </c>
      <c r="AI4915">
        <v>97.181057152241905</v>
      </c>
      <c r="AJ4915">
        <v>98.711760650640201</v>
      </c>
      <c r="AK4915">
        <v>8.88535082496659</v>
      </c>
      <c r="AL4915">
        <v>85.416269807478301</v>
      </c>
      <c r="AM4915">
        <v>92.285535545856007</v>
      </c>
      <c r="AN4915">
        <v>0.99999994913038703</v>
      </c>
    </row>
    <row r="4916" spans="1:40" x14ac:dyDescent="0.25">
      <c r="A4916" t="str">
        <f>"20190312151126714"</f>
        <v>20190312151126714</v>
      </c>
      <c r="B4916" t="str">
        <f>"1552374686705733"</f>
        <v>1552374686705733</v>
      </c>
      <c r="C4916" t="s">
        <v>40</v>
      </c>
      <c r="D4916">
        <v>4.9604569999999999</v>
      </c>
      <c r="E4916">
        <v>0.45975290000000002</v>
      </c>
      <c r="F4916" t="s">
        <v>42</v>
      </c>
      <c r="G4916">
        <v>-422.58859999999999</v>
      </c>
      <c r="H4916" s="1">
        <v>-3.034764E-6</v>
      </c>
      <c r="I4916">
        <v>65.057680000000005</v>
      </c>
      <c r="J4916">
        <v>-423.53129999999999</v>
      </c>
      <c r="K4916">
        <v>1.110825</v>
      </c>
      <c r="L4916">
        <v>74.088169999999906</v>
      </c>
      <c r="M4916">
        <v>-4.9683079999999998E-2</v>
      </c>
      <c r="N4916">
        <v>0</v>
      </c>
      <c r="O4916">
        <v>-0.99868469999999998</v>
      </c>
      <c r="P4916">
        <v>-7.0612230000000002E-3</v>
      </c>
      <c r="Q4916">
        <v>6.759482E-2</v>
      </c>
      <c r="R4916">
        <v>-0.99768809999999997</v>
      </c>
      <c r="S4916">
        <v>0.30206300000000003</v>
      </c>
      <c r="T4916">
        <v>-0.36132069999999999</v>
      </c>
      <c r="U4916">
        <v>-3.0347599999999999</v>
      </c>
      <c r="V4916">
        <v>-4.2672340000000003E-2</v>
      </c>
      <c r="W4916">
        <v>8.0145460000000002E-2</v>
      </c>
      <c r="X4916">
        <v>0.99586929999999996</v>
      </c>
      <c r="Y4916">
        <v>-0.14768149999999999</v>
      </c>
      <c r="Z4916">
        <v>0.1170726</v>
      </c>
      <c r="AA4916">
        <v>0.98208150000000005</v>
      </c>
      <c r="AB4916">
        <v>30</v>
      </c>
      <c r="AC4916">
        <v>0.94270000000000198</v>
      </c>
      <c r="AD4916">
        <v>-1.110828034764</v>
      </c>
      <c r="AE4916">
        <v>-9.0304899999999808</v>
      </c>
      <c r="AF4916">
        <v>-1.3697320114677001</v>
      </c>
      <c r="AG4916">
        <v>-1.110828034764</v>
      </c>
      <c r="AH4916">
        <v>8.8401760518188901</v>
      </c>
      <c r="AI4916">
        <v>97.078472277488899</v>
      </c>
      <c r="AJ4916">
        <v>98.807598238087607</v>
      </c>
      <c r="AK4916">
        <v>9.0143672730374806</v>
      </c>
      <c r="AL4916">
        <v>85.403072910361601</v>
      </c>
      <c r="AM4916">
        <v>92.453585295103693</v>
      </c>
      <c r="AN4916">
        <v>0.99999994302108697</v>
      </c>
    </row>
    <row r="4917" spans="1:40" x14ac:dyDescent="0.25">
      <c r="A4917" t="str">
        <f>"20190312151126736"</f>
        <v>20190312151126736</v>
      </c>
      <c r="B4917" t="str">
        <f>"1552374686726229"</f>
        <v>1552374686726229</v>
      </c>
      <c r="C4917" t="s">
        <v>40</v>
      </c>
      <c r="D4917">
        <v>4.9458270000000004</v>
      </c>
      <c r="E4917">
        <v>0.46004869999999998</v>
      </c>
      <c r="F4917" t="s">
        <v>42</v>
      </c>
      <c r="G4917">
        <v>-422.56630000000001</v>
      </c>
      <c r="H4917" s="1">
        <v>-2.8634110000000001E-6</v>
      </c>
      <c r="I4917">
        <v>64.672079999999994</v>
      </c>
      <c r="J4917">
        <v>-423.54500000000002</v>
      </c>
      <c r="K4917">
        <v>1.1109309999999999</v>
      </c>
      <c r="L4917">
        <v>73.788640000000001</v>
      </c>
      <c r="M4917">
        <v>-4.8506779999999999E-2</v>
      </c>
      <c r="N4917">
        <v>0</v>
      </c>
      <c r="O4917">
        <v>-0.99874249999999998</v>
      </c>
      <c r="P4917">
        <v>-3.4468369999999999E-3</v>
      </c>
      <c r="Q4917">
        <v>6.7927109999999999E-2</v>
      </c>
      <c r="R4917">
        <v>-0.99768449999999997</v>
      </c>
      <c r="S4917">
        <v>0.31085210000000002</v>
      </c>
      <c r="T4917">
        <v>-0.35785630000000002</v>
      </c>
      <c r="U4917">
        <v>-3.033417</v>
      </c>
      <c r="V4917">
        <v>-4.5128500000000002E-2</v>
      </c>
      <c r="W4917">
        <v>8.0460089999999998E-2</v>
      </c>
      <c r="X4917">
        <v>0.9957357</v>
      </c>
      <c r="Y4917">
        <v>-0.1493891</v>
      </c>
      <c r="Z4917">
        <v>0.1159944</v>
      </c>
      <c r="AA4917">
        <v>0.98195120000000002</v>
      </c>
      <c r="AB4917">
        <v>30</v>
      </c>
      <c r="AC4917">
        <v>0.97870000000000301</v>
      </c>
      <c r="AD4917">
        <v>-1.110933863411</v>
      </c>
      <c r="AE4917">
        <v>-9.1165599999999891</v>
      </c>
      <c r="AF4917">
        <v>-1.3992565623551001</v>
      </c>
      <c r="AG4917">
        <v>-1.110933863411</v>
      </c>
      <c r="AH4917">
        <v>8.9272931315557393</v>
      </c>
      <c r="AI4917">
        <v>97.008853190001702</v>
      </c>
      <c r="AJ4917">
        <v>98.908016820814098</v>
      </c>
      <c r="AK4917">
        <v>9.1043207123260697</v>
      </c>
      <c r="AL4917">
        <v>85.384987776407996</v>
      </c>
      <c r="AM4917">
        <v>92.594970117868598</v>
      </c>
      <c r="AN4917">
        <v>0.99999999592477395</v>
      </c>
    </row>
    <row r="4918" spans="1:40" x14ac:dyDescent="0.25">
      <c r="A4918" t="str">
        <f>"20190312151126759"</f>
        <v>20190312151126759</v>
      </c>
      <c r="B4918" t="str">
        <f>"1552374686756485"</f>
        <v>1552374686756485</v>
      </c>
      <c r="C4918" t="s">
        <v>40</v>
      </c>
      <c r="D4918">
        <v>5.0233299999999996</v>
      </c>
      <c r="E4918">
        <v>0.46047369999999999</v>
      </c>
      <c r="F4918" t="s">
        <v>42</v>
      </c>
      <c r="G4918">
        <v>-422.5496</v>
      </c>
      <c r="H4918" s="1">
        <v>-2.7164270000000001E-6</v>
      </c>
      <c r="I4918">
        <v>64.339860000000002</v>
      </c>
      <c r="J4918">
        <v>-423.5582</v>
      </c>
      <c r="K4918">
        <v>1.1110089999999999</v>
      </c>
      <c r="L4918">
        <v>73.488529999999997</v>
      </c>
      <c r="M4918">
        <v>-4.7237340000000003E-2</v>
      </c>
      <c r="N4918">
        <v>0</v>
      </c>
      <c r="O4918">
        <v>-0.99880360000000001</v>
      </c>
      <c r="P4918">
        <v>-7.1230299999999996E-4</v>
      </c>
      <c r="Q4918">
        <v>6.8715239999999997E-2</v>
      </c>
      <c r="R4918">
        <v>-0.99763639999999998</v>
      </c>
      <c r="S4918">
        <v>0.31945800000000002</v>
      </c>
      <c r="T4918">
        <v>-0.35652650000000002</v>
      </c>
      <c r="U4918">
        <v>-3.032349</v>
      </c>
      <c r="V4918">
        <v>-4.6608799999999999E-2</v>
      </c>
      <c r="W4918">
        <v>8.1234319999999999E-2</v>
      </c>
      <c r="X4918">
        <v>0.99560459999999995</v>
      </c>
      <c r="Y4918">
        <v>-0.15092949999999999</v>
      </c>
      <c r="Z4918">
        <v>0.1155895</v>
      </c>
      <c r="AA4918">
        <v>0.98176339999999995</v>
      </c>
      <c r="AB4918">
        <v>30</v>
      </c>
      <c r="AC4918">
        <v>1.0085999999999999</v>
      </c>
      <c r="AD4918">
        <v>-1.1110117164269999</v>
      </c>
      <c r="AE4918">
        <v>-9.1486700000000098</v>
      </c>
      <c r="AF4918">
        <v>-1.4189918918301501</v>
      </c>
      <c r="AG4918">
        <v>-1.1110117164269999</v>
      </c>
      <c r="AH4918">
        <v>8.9602528101724292</v>
      </c>
      <c r="AI4918">
        <v>96.982082873454402</v>
      </c>
      <c r="AJ4918">
        <v>98.998922485694095</v>
      </c>
      <c r="AK4918">
        <v>9.1396944940911808</v>
      </c>
      <c r="AL4918">
        <v>85.340481793730603</v>
      </c>
      <c r="AM4918">
        <v>92.680320285701697</v>
      </c>
      <c r="AN4918">
        <v>0.99999995726223001</v>
      </c>
    </row>
    <row r="4919" spans="1:40" x14ac:dyDescent="0.25">
      <c r="A4919" t="str">
        <f>"20190312151126781"</f>
        <v>20190312151126781</v>
      </c>
      <c r="B4919" t="str">
        <f>"1552374686776005"</f>
        <v>1552374686776005</v>
      </c>
      <c r="C4919" t="s">
        <v>40</v>
      </c>
      <c r="D4919">
        <v>4.9757259999999999</v>
      </c>
      <c r="E4919">
        <v>0.460839</v>
      </c>
      <c r="F4919" t="s">
        <v>42</v>
      </c>
      <c r="G4919">
        <v>-422.54919999999998</v>
      </c>
      <c r="H4919" s="1">
        <v>-2.5923499999999998E-6</v>
      </c>
      <c r="I4919">
        <v>64.050869999999904</v>
      </c>
      <c r="J4919">
        <v>-423.57100000000003</v>
      </c>
      <c r="K4919">
        <v>1.1110709999999999</v>
      </c>
      <c r="L4919">
        <v>73.185699999999997</v>
      </c>
      <c r="M4919">
        <v>-4.5890180000000003E-2</v>
      </c>
      <c r="N4919">
        <v>0</v>
      </c>
      <c r="O4919">
        <v>-0.99886629999999998</v>
      </c>
      <c r="P4919">
        <v>2.4707430000000001E-3</v>
      </c>
      <c r="Q4919">
        <v>6.8135050000000003E-2</v>
      </c>
      <c r="R4919">
        <v>-0.99767329999999999</v>
      </c>
      <c r="S4919">
        <v>0.32415769999999999</v>
      </c>
      <c r="T4919">
        <v>-0.3569214</v>
      </c>
      <c r="U4919">
        <v>-3.0319210000000001</v>
      </c>
      <c r="V4919">
        <v>-4.8456850000000003E-2</v>
      </c>
      <c r="W4919">
        <v>8.0641169999999998E-2</v>
      </c>
      <c r="X4919">
        <v>0.99556460000000002</v>
      </c>
      <c r="Y4919">
        <v>-0.151114</v>
      </c>
      <c r="Z4919">
        <v>0.1157318</v>
      </c>
      <c r="AA4919">
        <v>0.98171819999999999</v>
      </c>
      <c r="AB4919">
        <v>30</v>
      </c>
      <c r="AC4919">
        <v>1.0217999999999801</v>
      </c>
      <c r="AD4919">
        <v>-1.1110735923499999</v>
      </c>
      <c r="AE4919">
        <v>-9.1348299999999991</v>
      </c>
      <c r="AF4919">
        <v>-1.4192194949180601</v>
      </c>
      <c r="AG4919">
        <v>-1.1110735923499999</v>
      </c>
      <c r="AH4919">
        <v>8.9475760855663697</v>
      </c>
      <c r="AI4919">
        <v>96.991995258095997</v>
      </c>
      <c r="AJ4919">
        <v>99.012884577195507</v>
      </c>
      <c r="AK4919">
        <v>9.1273099163648599</v>
      </c>
      <c r="AL4919">
        <v>85.374578706689405</v>
      </c>
      <c r="AM4919">
        <v>92.786543096322404</v>
      </c>
      <c r="AN4919">
        <v>0.99999996869202501</v>
      </c>
    </row>
    <row r="4920" spans="1:40" x14ac:dyDescent="0.25">
      <c r="A4920" t="str">
        <f>"20190312151126803"</f>
        <v>20190312151126803</v>
      </c>
      <c r="B4920" t="str">
        <f>"1552374686796501"</f>
        <v>1552374686796501</v>
      </c>
      <c r="C4920" t="s">
        <v>40</v>
      </c>
      <c r="D4920">
        <v>4.9647699999999997</v>
      </c>
      <c r="E4920">
        <v>0.46121590000000001</v>
      </c>
      <c r="F4920" t="s">
        <v>42</v>
      </c>
      <c r="G4920">
        <v>-422.5523</v>
      </c>
      <c r="H4920" s="1">
        <v>-2.5079609999999999E-6</v>
      </c>
      <c r="I4920">
        <v>63.852209999999999</v>
      </c>
      <c r="J4920">
        <v>-423.58330000000001</v>
      </c>
      <c r="K4920">
        <v>1.111103</v>
      </c>
      <c r="L4920">
        <v>72.887450000000001</v>
      </c>
      <c r="M4920">
        <v>-4.4523319999999998E-2</v>
      </c>
      <c r="N4920">
        <v>0</v>
      </c>
      <c r="O4920">
        <v>-0.99892780000000003</v>
      </c>
      <c r="P4920">
        <v>4.5905119999999997E-3</v>
      </c>
      <c r="Q4920">
        <v>6.7445649999999996E-2</v>
      </c>
      <c r="R4920">
        <v>-0.99771240000000005</v>
      </c>
      <c r="S4920">
        <v>0.33081050000000001</v>
      </c>
      <c r="T4920">
        <v>-0.36079430000000001</v>
      </c>
      <c r="U4920">
        <v>-3.0308229999999998</v>
      </c>
      <c r="V4920">
        <v>-4.921917E-2</v>
      </c>
      <c r="W4920">
        <v>7.9944870000000001E-2</v>
      </c>
      <c r="X4920">
        <v>0.99558340000000001</v>
      </c>
      <c r="Y4920">
        <v>-0.15191299999999999</v>
      </c>
      <c r="Z4920">
        <v>0.11700199999999999</v>
      </c>
      <c r="AA4920">
        <v>0.98144439999999999</v>
      </c>
      <c r="AB4920">
        <v>30</v>
      </c>
      <c r="AC4920">
        <v>1.0309999999999999</v>
      </c>
      <c r="AD4920">
        <v>-1.1111055079609999</v>
      </c>
      <c r="AE4920">
        <v>-9.0352399999999999</v>
      </c>
      <c r="AF4920">
        <v>-1.41122143534713</v>
      </c>
      <c r="AG4920">
        <v>-1.1111055079609999</v>
      </c>
      <c r="AH4920">
        <v>8.8482809311788504</v>
      </c>
      <c r="AI4920">
        <v>97.068919579816907</v>
      </c>
      <c r="AJ4920">
        <v>99.061840714955196</v>
      </c>
      <c r="AK4920">
        <v>9.0287417078166392</v>
      </c>
      <c r="AL4920">
        <v>85.414603165308904</v>
      </c>
      <c r="AM4920">
        <v>92.830256722002801</v>
      </c>
      <c r="AN4920">
        <v>1.00000000764518</v>
      </c>
    </row>
    <row r="4921" spans="1:40" x14ac:dyDescent="0.25">
      <c r="A4921" t="str">
        <f>"20190312151126826"</f>
        <v>20190312151126826</v>
      </c>
      <c r="B4921" t="str">
        <f>"1552374686816021"</f>
        <v>1552374686816021</v>
      </c>
      <c r="C4921" t="s">
        <v>40</v>
      </c>
      <c r="D4921">
        <v>4.9561789999999997</v>
      </c>
      <c r="E4921">
        <v>0.46151930000000002</v>
      </c>
      <c r="F4921" t="s">
        <v>42</v>
      </c>
      <c r="G4921">
        <v>-422.5643</v>
      </c>
      <c r="H4921" s="1">
        <v>-2.4228139999999999E-6</v>
      </c>
      <c r="I4921">
        <v>63.64629</v>
      </c>
      <c r="J4921">
        <v>-423.59570000000002</v>
      </c>
      <c r="K4921">
        <v>1.111124</v>
      </c>
      <c r="L4921">
        <v>72.572749999999999</v>
      </c>
      <c r="M4921">
        <v>-4.3056839999999999E-2</v>
      </c>
      <c r="N4921">
        <v>0</v>
      </c>
      <c r="O4921">
        <v>-0.99899230000000006</v>
      </c>
      <c r="P4921">
        <v>6.296879E-3</v>
      </c>
      <c r="Q4921">
        <v>6.5466280000000002E-2</v>
      </c>
      <c r="R4921">
        <v>-0.99783529999999998</v>
      </c>
      <c r="S4921">
        <v>0.33410640000000003</v>
      </c>
      <c r="T4921">
        <v>-0.36430639999999997</v>
      </c>
      <c r="U4921">
        <v>-3.0299680000000002</v>
      </c>
      <c r="V4921">
        <v>-4.9465740000000001E-2</v>
      </c>
      <c r="W4921">
        <v>7.7962660000000003E-2</v>
      </c>
      <c r="X4921">
        <v>0.99572839999999996</v>
      </c>
      <c r="Y4921">
        <v>-0.15153179999999999</v>
      </c>
      <c r="Z4921">
        <v>0.1181656</v>
      </c>
      <c r="AA4921">
        <v>0.98136380000000001</v>
      </c>
      <c r="AB4921">
        <v>30</v>
      </c>
      <c r="AC4921">
        <v>1.0314000000000101</v>
      </c>
      <c r="AD4921">
        <v>-1.1111264228139901</v>
      </c>
      <c r="AE4921">
        <v>-8.9264599999999898</v>
      </c>
      <c r="AF4921">
        <v>-1.39351248854042</v>
      </c>
      <c r="AG4921">
        <v>-1.1111264228139901</v>
      </c>
      <c r="AH4921">
        <v>8.7401311018778305</v>
      </c>
      <c r="AI4921">
        <v>97.155679982638802</v>
      </c>
      <c r="AJ4921">
        <v>99.058899850296797</v>
      </c>
      <c r="AK4921">
        <v>8.9199983554486</v>
      </c>
      <c r="AL4921">
        <v>85.528531252089493</v>
      </c>
      <c r="AM4921">
        <v>92.843998515141905</v>
      </c>
      <c r="AN4921">
        <v>1.00000004117729</v>
      </c>
    </row>
    <row r="4922" spans="1:40" x14ac:dyDescent="0.25">
      <c r="A4922" t="str">
        <f>"20190312151126849"</f>
        <v>20190312151126849</v>
      </c>
      <c r="B4922" t="str">
        <f>"1552374686846278"</f>
        <v>1552374686846278</v>
      </c>
      <c r="C4922" t="s">
        <v>40</v>
      </c>
      <c r="D4922">
        <v>4.9401799999999998</v>
      </c>
      <c r="E4922">
        <v>0.46202149999999997</v>
      </c>
      <c r="F4922" t="s">
        <v>42</v>
      </c>
      <c r="G4922">
        <v>-422.58789999999999</v>
      </c>
      <c r="H4922" s="1">
        <v>-2.3691220000000001E-6</v>
      </c>
      <c r="I4922">
        <v>63.506529999999998</v>
      </c>
      <c r="J4922">
        <v>-423.60739999999998</v>
      </c>
      <c r="K4922">
        <v>1.11114</v>
      </c>
      <c r="L4922">
        <v>72.266419999999997</v>
      </c>
      <c r="M4922">
        <v>-4.1620579999999997E-2</v>
      </c>
      <c r="N4922">
        <v>0</v>
      </c>
      <c r="O4922">
        <v>-0.99905319999999997</v>
      </c>
      <c r="P4922">
        <v>8.5331179999999993E-3</v>
      </c>
      <c r="Q4922">
        <v>6.3695160000000001E-2</v>
      </c>
      <c r="R4922">
        <v>-0.99793290000000001</v>
      </c>
      <c r="S4922">
        <v>0.33670040000000001</v>
      </c>
      <c r="T4922">
        <v>-0.3711931</v>
      </c>
      <c r="U4922">
        <v>-3.0287480000000002</v>
      </c>
      <c r="V4922">
        <v>-5.0269370000000001E-2</v>
      </c>
      <c r="W4922">
        <v>7.6187920000000006E-2</v>
      </c>
      <c r="X4922">
        <v>0.99582550000000003</v>
      </c>
      <c r="Y4922">
        <v>-0.15095439999999999</v>
      </c>
      <c r="Z4922">
        <v>0.12042509999999999</v>
      </c>
      <c r="AA4922">
        <v>0.9811782</v>
      </c>
      <c r="AB4922">
        <v>30</v>
      </c>
      <c r="AC4922">
        <v>1.0194999999999901</v>
      </c>
      <c r="AD4922">
        <v>-1.1111423691219999</v>
      </c>
      <c r="AE4922">
        <v>-8.7598899999999897</v>
      </c>
      <c r="AF4922">
        <v>-1.36162237454452</v>
      </c>
      <c r="AG4922">
        <v>-1.1111423691219999</v>
      </c>
      <c r="AH4922">
        <v>8.5737588134249894</v>
      </c>
      <c r="AI4922">
        <v>97.293857784099899</v>
      </c>
      <c r="AJ4922">
        <v>99.023939246358594</v>
      </c>
      <c r="AK4922">
        <v>8.7520279390608096</v>
      </c>
      <c r="AL4922">
        <v>85.6305196577093</v>
      </c>
      <c r="AM4922">
        <v>92.889843625770098</v>
      </c>
      <c r="AN4922">
        <v>1.0000000175821799</v>
      </c>
    </row>
    <row r="4923" spans="1:40" x14ac:dyDescent="0.25">
      <c r="A4923" t="str">
        <f>"20190312151126870"</f>
        <v>20190312151126870</v>
      </c>
      <c r="B4923" t="str">
        <f>"1552374686866773"</f>
        <v>1552374686866773</v>
      </c>
      <c r="C4923" t="s">
        <v>40</v>
      </c>
      <c r="D4923">
        <v>4.9950479999999997</v>
      </c>
      <c r="E4923">
        <v>0.46231319999999998</v>
      </c>
      <c r="F4923" t="s">
        <v>42</v>
      </c>
      <c r="G4923">
        <v>-422.61410000000001</v>
      </c>
      <c r="H4923" s="1">
        <v>-2.3276369999999999E-6</v>
      </c>
      <c r="I4923">
        <v>63.393540000000002</v>
      </c>
      <c r="J4923">
        <v>-423.61829999999998</v>
      </c>
      <c r="K4923">
        <v>1.111148</v>
      </c>
      <c r="L4923">
        <v>71.971310000000003</v>
      </c>
      <c r="M4923">
        <v>-4.0238320000000001E-2</v>
      </c>
      <c r="N4923">
        <v>0</v>
      </c>
      <c r="O4923">
        <v>-0.99911000000000005</v>
      </c>
      <c r="P4923">
        <v>1.1221129999999999E-2</v>
      </c>
      <c r="Q4923">
        <v>6.2864980000000001E-2</v>
      </c>
      <c r="R4923">
        <v>-0.99795929999999999</v>
      </c>
      <c r="S4923">
        <v>0.33892820000000001</v>
      </c>
      <c r="T4923">
        <v>-0.37913449999999999</v>
      </c>
      <c r="U4923">
        <v>-3.0275270000000001</v>
      </c>
      <c r="V4923">
        <v>-5.1576049999999998E-2</v>
      </c>
      <c r="W4923">
        <v>7.5352520000000006E-2</v>
      </c>
      <c r="X4923">
        <v>0.99582230000000005</v>
      </c>
      <c r="Y4923">
        <v>-0.150308</v>
      </c>
      <c r="Z4923">
        <v>0.1230226</v>
      </c>
      <c r="AA4923">
        <v>0.98095509999999997</v>
      </c>
      <c r="AB4923">
        <v>30</v>
      </c>
      <c r="AC4923">
        <v>1.00419999999996</v>
      </c>
      <c r="AD4923">
        <v>-1.1111503276369901</v>
      </c>
      <c r="AE4923">
        <v>-8.5777699999999992</v>
      </c>
      <c r="AF4923">
        <v>-1.3266094738677801</v>
      </c>
      <c r="AG4923">
        <v>-1.1111503276369901</v>
      </c>
      <c r="AH4923">
        <v>8.3915040454228293</v>
      </c>
      <c r="AI4923">
        <v>97.451387916171797</v>
      </c>
      <c r="AJ4923">
        <v>98.983519253614702</v>
      </c>
      <c r="AK4923">
        <v>8.5680737561666191</v>
      </c>
      <c r="AL4923">
        <v>85.678522782595905</v>
      </c>
      <c r="AM4923">
        <v>92.964838139087703</v>
      </c>
      <c r="AN4923">
        <v>1.0000000721906099</v>
      </c>
    </row>
    <row r="4924" spans="1:40" x14ac:dyDescent="0.25">
      <c r="A4924" t="str">
        <f>"20190312151126894"</f>
        <v>20190312151126894</v>
      </c>
      <c r="B4924" t="str">
        <f>"1552374686886293"</f>
        <v>1552374686886293</v>
      </c>
      <c r="C4924" t="s">
        <v>40</v>
      </c>
      <c r="D4924">
        <v>5.0010000000000003</v>
      </c>
      <c r="E4924">
        <v>0.46268310000000001</v>
      </c>
      <c r="F4924" t="s">
        <v>42</v>
      </c>
      <c r="G4924">
        <v>-422.61939999999998</v>
      </c>
      <c r="H4924" s="1">
        <v>-2.2348319999999998E-6</v>
      </c>
      <c r="I4924">
        <v>63.173949999999998</v>
      </c>
      <c r="J4924">
        <v>-423.62900000000002</v>
      </c>
      <c r="K4924">
        <v>1.1111500000000001</v>
      </c>
      <c r="L4924">
        <v>71.667569999999998</v>
      </c>
      <c r="M4924">
        <v>-3.8821469999999997E-2</v>
      </c>
      <c r="N4924">
        <v>0</v>
      </c>
      <c r="O4924">
        <v>-0.999166</v>
      </c>
      <c r="P4924">
        <v>1.414869E-2</v>
      </c>
      <c r="Q4924">
        <v>6.2829960000000004E-2</v>
      </c>
      <c r="R4924">
        <v>-0.99792400000000003</v>
      </c>
      <c r="S4924">
        <v>0.34362789999999999</v>
      </c>
      <c r="T4924">
        <v>-0.38224530000000001</v>
      </c>
      <c r="U4924">
        <v>-3.026367</v>
      </c>
      <c r="V4924">
        <v>-5.3087599999999999E-2</v>
      </c>
      <c r="W4924">
        <v>7.5311169999999997E-2</v>
      </c>
      <c r="X4924">
        <v>0.99574589999999996</v>
      </c>
      <c r="Y4924">
        <v>-0.1504374</v>
      </c>
      <c r="Z4924">
        <v>0.12406150000000001</v>
      </c>
      <c r="AA4924">
        <v>0.98080440000000002</v>
      </c>
      <c r="AB4924">
        <v>30</v>
      </c>
      <c r="AC4924">
        <v>1.00960000000003</v>
      </c>
      <c r="AD4924">
        <v>-1.111152234832</v>
      </c>
      <c r="AE4924">
        <v>-8.4936199999999999</v>
      </c>
      <c r="AF4924">
        <v>-1.3163847875079899</v>
      </c>
      <c r="AG4924">
        <v>-1.111152234832</v>
      </c>
      <c r="AH4924">
        <v>8.3078165659991594</v>
      </c>
      <c r="AI4924">
        <v>97.525189437676104</v>
      </c>
      <c r="AJ4924">
        <v>99.003740036863704</v>
      </c>
      <c r="AK4924">
        <v>8.4845355967221092</v>
      </c>
      <c r="AL4924">
        <v>85.680898321553499</v>
      </c>
      <c r="AM4924">
        <v>93.051801065295706</v>
      </c>
      <c r="AN4924">
        <v>0.99999998148366898</v>
      </c>
    </row>
    <row r="4925" spans="1:40" x14ac:dyDescent="0.25">
      <c r="A4925" t="str">
        <f>"20190312151126915"</f>
        <v>20190312151126915</v>
      </c>
      <c r="B4925" t="str">
        <f>"1552374686906789"</f>
        <v>1552374686906789</v>
      </c>
      <c r="C4925" t="s">
        <v>40</v>
      </c>
      <c r="D4925">
        <v>5.1567699999999999</v>
      </c>
      <c r="E4925">
        <v>0.46286909999999998</v>
      </c>
      <c r="F4925" t="s">
        <v>42</v>
      </c>
      <c r="G4925">
        <v>-422.6103</v>
      </c>
      <c r="H4925" s="1">
        <v>-2.0933080000000002E-6</v>
      </c>
      <c r="I4925">
        <v>62.849670000000003</v>
      </c>
      <c r="J4925">
        <v>-423.63900000000001</v>
      </c>
      <c r="K4925">
        <v>1.111151</v>
      </c>
      <c r="L4925">
        <v>71.369959999999907</v>
      </c>
      <c r="M4925">
        <v>-3.7440050000000002E-2</v>
      </c>
      <c r="N4925">
        <v>0</v>
      </c>
      <c r="O4925">
        <v>-0.99921850000000001</v>
      </c>
      <c r="P4925">
        <v>1.6697090000000001E-2</v>
      </c>
      <c r="Q4925">
        <v>6.3107540000000004E-2</v>
      </c>
      <c r="R4925">
        <v>-0.99786710000000001</v>
      </c>
      <c r="S4925">
        <v>0.3494873</v>
      </c>
      <c r="T4925">
        <v>-0.38122089999999997</v>
      </c>
      <c r="U4925">
        <v>-3.025299</v>
      </c>
      <c r="V4925">
        <v>-5.4255419999999999E-2</v>
      </c>
      <c r="W4925">
        <v>7.5583129999999998E-2</v>
      </c>
      <c r="X4925">
        <v>0.99566239999999995</v>
      </c>
      <c r="Y4925">
        <v>-0.15098900000000001</v>
      </c>
      <c r="Z4925">
        <v>0.12376819999999999</v>
      </c>
      <c r="AA4925">
        <v>0.98075679999999998</v>
      </c>
      <c r="AB4925">
        <v>30</v>
      </c>
      <c r="AC4925">
        <v>1.0287000000000099</v>
      </c>
      <c r="AD4925">
        <v>-1.1111530933080001</v>
      </c>
      <c r="AE4925">
        <v>-8.5202899999999904</v>
      </c>
      <c r="AF4925">
        <v>-1.3247966618475999</v>
      </c>
      <c r="AG4925">
        <v>-1.1111530933080001</v>
      </c>
      <c r="AH4925">
        <v>8.3360594844768698</v>
      </c>
      <c r="AI4925">
        <v>97.499448246834703</v>
      </c>
      <c r="AJ4925">
        <v>99.0301336182619</v>
      </c>
      <c r="AK4925">
        <v>8.5134972320866602</v>
      </c>
      <c r="AL4925">
        <v>85.665271864921493</v>
      </c>
      <c r="AM4925">
        <v>93.119064454222197</v>
      </c>
      <c r="AN4925">
        <v>1.0000000374568601</v>
      </c>
    </row>
    <row r="4926" spans="1:40" x14ac:dyDescent="0.25">
      <c r="A4926" t="str">
        <f>"20190312151126938"</f>
        <v>20190312151126938</v>
      </c>
      <c r="B4926" t="str">
        <f>"1552374686926309"</f>
        <v>1552374686926309</v>
      </c>
      <c r="C4926" t="s">
        <v>40</v>
      </c>
      <c r="D4926">
        <v>5.1413120000000001</v>
      </c>
      <c r="E4926">
        <v>0.47381659999999998</v>
      </c>
      <c r="F4926" t="s">
        <v>42</v>
      </c>
      <c r="G4926">
        <v>-422.5992</v>
      </c>
      <c r="H4926" s="1">
        <v>-1.951695E-6</v>
      </c>
      <c r="I4926">
        <v>62.526449999999997</v>
      </c>
      <c r="J4926">
        <v>-423.64870000000002</v>
      </c>
      <c r="K4926">
        <v>1.111156</v>
      </c>
      <c r="L4926">
        <v>71.070980000000006</v>
      </c>
      <c r="M4926">
        <v>-3.6057470000000001E-2</v>
      </c>
      <c r="N4926">
        <v>0</v>
      </c>
      <c r="O4926">
        <v>-0.99926970000000004</v>
      </c>
      <c r="P4926">
        <v>1.9172379999999999E-2</v>
      </c>
      <c r="Q4926">
        <v>6.4079819999999996E-2</v>
      </c>
      <c r="R4926">
        <v>-0.99776100000000001</v>
      </c>
      <c r="S4926">
        <v>0.35562129999999997</v>
      </c>
      <c r="T4926">
        <v>-0.3800173</v>
      </c>
      <c r="U4926">
        <v>-3.0245060000000001</v>
      </c>
      <c r="V4926">
        <v>-5.5349429999999998E-2</v>
      </c>
      <c r="W4926">
        <v>7.6550220000000002E-2</v>
      </c>
      <c r="X4926">
        <v>0.99552830000000003</v>
      </c>
      <c r="Y4926">
        <v>-0.15161849999999999</v>
      </c>
      <c r="Z4926">
        <v>0.123404399999999</v>
      </c>
      <c r="AA4926">
        <v>0.98070539999999995</v>
      </c>
      <c r="AB4926">
        <v>30</v>
      </c>
      <c r="AC4926">
        <v>1.0495000000000201</v>
      </c>
      <c r="AD4926">
        <v>-1.1111579516949901</v>
      </c>
      <c r="AE4926">
        <v>-8.54453</v>
      </c>
      <c r="AF4926">
        <v>-1.3347002310309799</v>
      </c>
      <c r="AG4926">
        <v>-1.1111579516949901</v>
      </c>
      <c r="AH4926">
        <v>8.3618203895356604</v>
      </c>
      <c r="AI4926">
        <v>97.475840518438602</v>
      </c>
      <c r="AJ4926">
        <v>99.068956258820705</v>
      </c>
      <c r="AK4926">
        <v>8.54026562392432</v>
      </c>
      <c r="AL4926">
        <v>85.609700721752105</v>
      </c>
      <c r="AM4926">
        <v>93.182257248707799</v>
      </c>
      <c r="AN4926">
        <v>1.0000000458421301</v>
      </c>
    </row>
    <row r="4927" spans="1:40" x14ac:dyDescent="0.25">
      <c r="A4927" t="str">
        <f>"20190312151126960"</f>
        <v>20190312151126960</v>
      </c>
      <c r="B4927" t="str">
        <f>"1552374686956566"</f>
        <v>1552374686956566</v>
      </c>
      <c r="C4927" t="s">
        <v>40</v>
      </c>
      <c r="D4927">
        <v>5.0047759999999997</v>
      </c>
      <c r="E4927">
        <v>0.473053</v>
      </c>
      <c r="F4927" t="s">
        <v>42</v>
      </c>
      <c r="G4927">
        <v>-422.72919999999999</v>
      </c>
      <c r="H4927" s="1">
        <v>-1.328366E-6</v>
      </c>
      <c r="I4927">
        <v>60.992849999999997</v>
      </c>
      <c r="J4927">
        <v>-423.65809999999999</v>
      </c>
      <c r="K4927">
        <v>1.111162</v>
      </c>
      <c r="L4927">
        <v>70.771000000000001</v>
      </c>
      <c r="M4927">
        <v>-3.467406E-2</v>
      </c>
      <c r="N4927">
        <v>0</v>
      </c>
      <c r="O4927">
        <v>-0.99931840000000005</v>
      </c>
      <c r="P4927">
        <v>2.0949220000000001E-2</v>
      </c>
      <c r="Q4927">
        <v>6.4756939999999999E-2</v>
      </c>
      <c r="R4927">
        <v>-0.99768109999999999</v>
      </c>
      <c r="S4927">
        <v>0.2758179</v>
      </c>
      <c r="T4927">
        <v>-0.333283099999999</v>
      </c>
      <c r="U4927">
        <v>-3.0228579999999998</v>
      </c>
      <c r="V4927">
        <v>-5.5744790000000002E-2</v>
      </c>
      <c r="W4927">
        <v>7.7223899999999998E-2</v>
      </c>
      <c r="X4927">
        <v>0.99545410000000001</v>
      </c>
      <c r="Y4927">
        <v>-0.124804399999999</v>
      </c>
      <c r="Z4927">
        <v>0.1088392</v>
      </c>
      <c r="AA4927">
        <v>0.98619369999999995</v>
      </c>
      <c r="AB4927">
        <v>30</v>
      </c>
      <c r="AC4927">
        <v>0.92889999999999795</v>
      </c>
      <c r="AD4927">
        <v>-1.1111633283660001</v>
      </c>
      <c r="AE4927">
        <v>-9.7781500000000001</v>
      </c>
      <c r="AF4927">
        <v>-1.25140131923861</v>
      </c>
      <c r="AG4927">
        <v>-1.1111633283660001</v>
      </c>
      <c r="AH4927">
        <v>9.6169801718956407</v>
      </c>
      <c r="AI4927">
        <v>96.536211518344004</v>
      </c>
      <c r="AJ4927">
        <v>97.413906772109101</v>
      </c>
      <c r="AK4927">
        <v>9.7615058690107599</v>
      </c>
      <c r="AL4927">
        <v>85.570986627172303</v>
      </c>
      <c r="AM4927">
        <v>93.205179232367001</v>
      </c>
      <c r="AN4927">
        <v>0.99999993877507998</v>
      </c>
    </row>
    <row r="4928" spans="1:40" x14ac:dyDescent="0.25">
      <c r="A4928" t="str">
        <f>"20190312151126983"</f>
        <v>20190312151126983</v>
      </c>
      <c r="B4928" t="str">
        <f>"1552374686976084"</f>
        <v>1552374686976084</v>
      </c>
      <c r="C4928" t="s">
        <v>40</v>
      </c>
      <c r="D4928">
        <v>4.9868569999999997</v>
      </c>
      <c r="E4928">
        <v>0.47304420000000003</v>
      </c>
      <c r="F4928" t="s">
        <v>42</v>
      </c>
      <c r="G4928">
        <v>-422.71800000000002</v>
      </c>
      <c r="H4928" s="1">
        <v>-1.288192E-6</v>
      </c>
      <c r="I4928">
        <v>60.906109999999998</v>
      </c>
      <c r="J4928">
        <v>-423.66750000000002</v>
      </c>
      <c r="K4928">
        <v>1.1111610000000001</v>
      </c>
      <c r="L4928">
        <v>70.45111</v>
      </c>
      <c r="M4928">
        <v>-3.3199640000000002E-2</v>
      </c>
      <c r="N4928">
        <v>0</v>
      </c>
      <c r="O4928">
        <v>-0.99936849999999999</v>
      </c>
      <c r="P4928">
        <v>2.215545E-2</v>
      </c>
      <c r="Q4928">
        <v>6.4578090000000005E-2</v>
      </c>
      <c r="R4928">
        <v>-0.99766679999999996</v>
      </c>
      <c r="S4928">
        <v>0.28805540000000002</v>
      </c>
      <c r="T4928">
        <v>-0.34050619999999998</v>
      </c>
      <c r="U4928">
        <v>-3.0230100000000002</v>
      </c>
      <c r="V4928">
        <v>-5.5479279999999999E-2</v>
      </c>
      <c r="W4928">
        <v>7.704561E-2</v>
      </c>
      <c r="X4928">
        <v>0.9954828</v>
      </c>
      <c r="Y4928">
        <v>-0.1272694</v>
      </c>
      <c r="Z4928">
        <v>0.1111337</v>
      </c>
      <c r="AA4928">
        <v>0.98562249999999996</v>
      </c>
      <c r="AB4928">
        <v>30</v>
      </c>
      <c r="AC4928">
        <v>0.94950000000000001</v>
      </c>
      <c r="AD4928">
        <v>-1.111162288192</v>
      </c>
      <c r="AE4928">
        <v>-9.5449999999999999</v>
      </c>
      <c r="AF4928">
        <v>-1.2491301443987901</v>
      </c>
      <c r="AG4928">
        <v>-1.111162288192</v>
      </c>
      <c r="AH4928">
        <v>9.3823086997154501</v>
      </c>
      <c r="AI4928">
        <v>96.695635477521407</v>
      </c>
      <c r="AJ4928">
        <v>97.583576768682093</v>
      </c>
      <c r="AK4928">
        <v>9.5300957122739405</v>
      </c>
      <c r="AL4928">
        <v>85.5812326482679</v>
      </c>
      <c r="AM4928">
        <v>93.189852929437393</v>
      </c>
      <c r="AN4928">
        <v>0.99999999081271496</v>
      </c>
    </row>
    <row r="4929" spans="1:40" x14ac:dyDescent="0.25">
      <c r="A4929" t="str">
        <f>"20190312151127004"</f>
        <v>20190312151127004</v>
      </c>
      <c r="B4929" t="str">
        <f>"1552374686996581"</f>
        <v>1552374686996581</v>
      </c>
      <c r="C4929" t="s">
        <v>40</v>
      </c>
      <c r="D4929">
        <v>5.0336930000000004</v>
      </c>
      <c r="E4929">
        <v>0.4729855</v>
      </c>
      <c r="F4929" t="s">
        <v>42</v>
      </c>
      <c r="G4929">
        <v>-422.72989999999999</v>
      </c>
      <c r="H4929" s="1">
        <v>-1.2224689999999999E-6</v>
      </c>
      <c r="I4929">
        <v>60.745570000000001</v>
      </c>
      <c r="J4929">
        <v>-423.67570000000001</v>
      </c>
      <c r="K4929">
        <v>1.1111580000000001</v>
      </c>
      <c r="L4929">
        <v>70.162080000000003</v>
      </c>
      <c r="M4929">
        <v>-3.1867630000000001E-2</v>
      </c>
      <c r="N4929">
        <v>0</v>
      </c>
      <c r="O4929">
        <v>-0.99941190000000002</v>
      </c>
      <c r="P4929">
        <v>2.4315110000000001E-2</v>
      </c>
      <c r="Q4929">
        <v>6.4034889999999997E-2</v>
      </c>
      <c r="R4929">
        <v>-0.99765150000000002</v>
      </c>
      <c r="S4929">
        <v>0.29205320000000001</v>
      </c>
      <c r="T4929">
        <v>-0.3460897</v>
      </c>
      <c r="U4929">
        <v>-3.0229490000000001</v>
      </c>
      <c r="V4929">
        <v>-5.6307570000000001E-2</v>
      </c>
      <c r="W4929">
        <v>7.6499339999999999E-2</v>
      </c>
      <c r="X4929">
        <v>0.99547850000000004</v>
      </c>
      <c r="Y4929">
        <v>-0.12722149999999999</v>
      </c>
      <c r="Z4929">
        <v>0.1129357</v>
      </c>
      <c r="AA4929">
        <v>0.98542390000000002</v>
      </c>
      <c r="AB4929">
        <v>30</v>
      </c>
      <c r="AC4929">
        <v>0.94580000000001896</v>
      </c>
      <c r="AD4929">
        <v>-1.1111592224689999</v>
      </c>
      <c r="AE4929">
        <v>-9.4165100000000095</v>
      </c>
      <c r="AF4929">
        <v>-1.22849046596139</v>
      </c>
      <c r="AG4929">
        <v>-1.1111592224689999</v>
      </c>
      <c r="AH4929">
        <v>9.2540152313746802</v>
      </c>
      <c r="AI4929">
        <v>96.787919813257602</v>
      </c>
      <c r="AJ4929">
        <v>97.561923468074795</v>
      </c>
      <c r="AK4929">
        <v>9.4010989541196999</v>
      </c>
      <c r="AL4929">
        <v>85.612624600481396</v>
      </c>
      <c r="AM4929">
        <v>93.237389934015695</v>
      </c>
      <c r="AN4929">
        <v>1.0000000677109899</v>
      </c>
    </row>
    <row r="4930" spans="1:40" x14ac:dyDescent="0.25">
      <c r="A4930" t="str">
        <f>"20190312151127027"</f>
        <v>20190312151127027</v>
      </c>
      <c r="B4930" t="str">
        <f>"1552374687016101"</f>
        <v>1552374687016101</v>
      </c>
      <c r="C4930" t="s">
        <v>40</v>
      </c>
      <c r="D4930">
        <v>5.1505260000000002</v>
      </c>
      <c r="E4930">
        <v>0.47337079999999998</v>
      </c>
      <c r="F4930" t="s">
        <v>42</v>
      </c>
      <c r="G4930">
        <v>-422.73090000000002</v>
      </c>
      <c r="H4930" s="1">
        <v>-1.162667E-6</v>
      </c>
      <c r="I4930">
        <v>60.605510000000002</v>
      </c>
      <c r="J4930">
        <v>-423.68389999999999</v>
      </c>
      <c r="K4930">
        <v>1.1111629999999999</v>
      </c>
      <c r="L4930">
        <v>69.857669999999999</v>
      </c>
      <c r="M4930">
        <v>-3.0464060000000001E-2</v>
      </c>
      <c r="N4930">
        <v>0</v>
      </c>
      <c r="O4930">
        <v>-0.99945569999999895</v>
      </c>
      <c r="P4930">
        <v>2.671724E-2</v>
      </c>
      <c r="Q4930">
        <v>6.3358209999999998E-2</v>
      </c>
      <c r="R4930">
        <v>-0.9976334</v>
      </c>
      <c r="S4930">
        <v>0.298797599999999</v>
      </c>
      <c r="T4930">
        <v>-0.35141289999999997</v>
      </c>
      <c r="U4930">
        <v>-3.0223390000000001</v>
      </c>
      <c r="V4930">
        <v>-5.7306889999999999E-2</v>
      </c>
      <c r="W4930">
        <v>7.5818969999999999E-2</v>
      </c>
      <c r="X4930">
        <v>0.99547339999999995</v>
      </c>
      <c r="Y4930">
        <v>-0.12800639999999999</v>
      </c>
      <c r="Z4930">
        <v>0.1146621</v>
      </c>
      <c r="AA4930">
        <v>0.98512279999999997</v>
      </c>
      <c r="AB4930">
        <v>30</v>
      </c>
      <c r="AC4930">
        <v>0.95299999999997398</v>
      </c>
      <c r="AD4930">
        <v>-1.1111641626669999</v>
      </c>
      <c r="AE4930">
        <v>-9.2521599999999999</v>
      </c>
      <c r="AF4930">
        <v>-1.21706847153745</v>
      </c>
      <c r="AG4930">
        <v>-1.1111641626669999</v>
      </c>
      <c r="AH4930">
        <v>9.0891101111357404</v>
      </c>
      <c r="AI4930">
        <v>96.908891768907907</v>
      </c>
      <c r="AJ4930">
        <v>97.626768311779998</v>
      </c>
      <c r="AK4930">
        <v>9.2373082698996196</v>
      </c>
      <c r="AL4930">
        <v>85.651719931861905</v>
      </c>
      <c r="AM4930">
        <v>93.294736960052404</v>
      </c>
      <c r="AN4930">
        <v>0.99999994298044403</v>
      </c>
    </row>
    <row r="4931" spans="1:40" x14ac:dyDescent="0.25">
      <c r="A4931" t="str">
        <f>"20190312151127072"</f>
        <v>20190312151127072</v>
      </c>
      <c r="B4931" t="str">
        <f>"1552374687065877"</f>
        <v>1552374687065877</v>
      </c>
      <c r="C4931" t="s">
        <v>40</v>
      </c>
      <c r="D4931">
        <v>5.0127139999999999</v>
      </c>
      <c r="E4931">
        <v>0.47375800000000001</v>
      </c>
      <c r="F4931" t="s">
        <v>42</v>
      </c>
      <c r="G4931">
        <v>-422.69650000000001</v>
      </c>
      <c r="H4931" s="1">
        <v>-8.9066729999999997E-7</v>
      </c>
      <c r="I4931">
        <v>59.992840000000001</v>
      </c>
      <c r="J4931">
        <v>-423.69889999999998</v>
      </c>
      <c r="K4931">
        <v>1.111189</v>
      </c>
      <c r="L4931">
        <v>69.249600000000001</v>
      </c>
      <c r="M4931">
        <v>-2.7640319999999999E-2</v>
      </c>
      <c r="N4931">
        <v>0</v>
      </c>
      <c r="O4931">
        <v>-0.99953789999999998</v>
      </c>
      <c r="P4931">
        <v>3.1841010000000003E-2</v>
      </c>
      <c r="Q4931">
        <v>6.4367469999999996E-2</v>
      </c>
      <c r="R4931">
        <v>-0.99741840000000004</v>
      </c>
      <c r="S4931">
        <v>0.30233759999999998</v>
      </c>
      <c r="T4931">
        <v>-0.3402406</v>
      </c>
      <c r="U4931">
        <v>-3.0206300000000001</v>
      </c>
      <c r="V4931">
        <v>-5.9611949999999997E-2</v>
      </c>
      <c r="W4931">
        <v>7.6817410000000003E-2</v>
      </c>
      <c r="X4931">
        <v>0.99526150000000002</v>
      </c>
      <c r="Y4931">
        <v>-0.12644240000000001</v>
      </c>
      <c r="Z4931">
        <v>0.1111432</v>
      </c>
      <c r="AA4931">
        <v>0.98572789999999999</v>
      </c>
      <c r="AB4931">
        <v>30</v>
      </c>
      <c r="AC4931">
        <v>1.00239999999996</v>
      </c>
      <c r="AD4931">
        <v>-1.1111898906672999</v>
      </c>
      <c r="AE4931">
        <v>-9.2567599999999999</v>
      </c>
      <c r="AF4931">
        <v>-1.24023284225884</v>
      </c>
      <c r="AG4931">
        <v>-1.1111898906672999</v>
      </c>
      <c r="AH4931">
        <v>9.0959618646378804</v>
      </c>
      <c r="AI4931">
        <v>96.901677234197095</v>
      </c>
      <c r="AJ4931">
        <v>97.764389339457495</v>
      </c>
      <c r="AK4931">
        <v>9.2471315941261096</v>
      </c>
      <c r="AL4931">
        <v>85.5943463451013</v>
      </c>
      <c r="AM4931">
        <v>93.427679584792898</v>
      </c>
      <c r="AN4931">
        <v>0.99999997622208003</v>
      </c>
    </row>
    <row r="4932" spans="1:40" x14ac:dyDescent="0.25">
      <c r="A4932" t="str">
        <f>"20190312151127094"</f>
        <v>20190312151127094</v>
      </c>
      <c r="B4932" t="str">
        <f>"1552374687086377"</f>
        <v>1552374687086377</v>
      </c>
      <c r="C4932" t="s">
        <v>40</v>
      </c>
      <c r="D4932">
        <v>4.9636879999999897</v>
      </c>
      <c r="E4932">
        <v>0.4495324</v>
      </c>
      <c r="F4932" t="s">
        <v>42</v>
      </c>
      <c r="G4932">
        <v>-422.63979999999998</v>
      </c>
      <c r="H4932" s="1">
        <v>-4.5749149999999901E-6</v>
      </c>
      <c r="I4932">
        <v>59.054400000000001</v>
      </c>
      <c r="J4932">
        <v>-423.7056</v>
      </c>
      <c r="K4932">
        <v>1.1112059999999999</v>
      </c>
      <c r="L4932">
        <v>68.95523</v>
      </c>
      <c r="M4932">
        <v>-2.6248110000000002E-2</v>
      </c>
      <c r="N4932">
        <v>0</v>
      </c>
      <c r="O4932">
        <v>-0.9995752</v>
      </c>
      <c r="P4932">
        <v>3.3949260000000002E-2</v>
      </c>
      <c r="Q4932">
        <v>6.5371869999999999E-2</v>
      </c>
      <c r="R4932">
        <v>-0.99728329999999998</v>
      </c>
      <c r="S4932">
        <v>0.3136292</v>
      </c>
      <c r="T4932">
        <v>-0.32904420000000001</v>
      </c>
      <c r="U4932">
        <v>-3.0189819999999998</v>
      </c>
      <c r="V4932">
        <v>-6.0333360000000003E-2</v>
      </c>
      <c r="W4932">
        <v>7.7816259999999998E-2</v>
      </c>
      <c r="X4932">
        <v>0.99514040000000004</v>
      </c>
      <c r="Y4932">
        <v>-0.12880349999999999</v>
      </c>
      <c r="Z4932">
        <v>0.1075565</v>
      </c>
      <c r="AA4932">
        <v>0.98582009999999998</v>
      </c>
      <c r="AB4932">
        <v>30</v>
      </c>
      <c r="AC4932">
        <v>1.0658000000000201</v>
      </c>
      <c r="AD4932">
        <v>-1.1112105749150001</v>
      </c>
      <c r="AE4932">
        <v>-9.9008299999999991</v>
      </c>
      <c r="AF4932">
        <v>-1.3090313447284101</v>
      </c>
      <c r="AG4932">
        <v>-1.1112105749150001</v>
      </c>
      <c r="AH4932">
        <v>9.7480560508173593</v>
      </c>
      <c r="AI4932">
        <v>96.445882961712201</v>
      </c>
      <c r="AJ4932">
        <v>97.648289469799295</v>
      </c>
      <c r="AK4932">
        <v>9.8981285490319504</v>
      </c>
      <c r="AL4932">
        <v>85.536944507619907</v>
      </c>
      <c r="AM4932">
        <v>93.469480993428206</v>
      </c>
      <c r="AN4932">
        <v>0.99999995018071697</v>
      </c>
    </row>
    <row r="4933" spans="1:40" x14ac:dyDescent="0.25">
      <c r="A4933" t="str">
        <f>"20190312151127116"</f>
        <v>20190312151127116</v>
      </c>
      <c r="B4933" t="str">
        <f>"1552374687105893"</f>
        <v>1552374687105893</v>
      </c>
      <c r="C4933" t="s">
        <v>40</v>
      </c>
      <c r="D4933">
        <v>5.057944</v>
      </c>
      <c r="E4933">
        <v>0.44919989999999999</v>
      </c>
      <c r="F4933" t="s">
        <v>42</v>
      </c>
      <c r="G4933">
        <v>-422.08089999999999</v>
      </c>
      <c r="H4933" s="1">
        <v>-4.6069349999999998E-6</v>
      </c>
      <c r="I4933">
        <v>59.439799999999998</v>
      </c>
      <c r="J4933">
        <v>-423.71190000000001</v>
      </c>
      <c r="K4933">
        <v>1.1112280000000001</v>
      </c>
      <c r="L4933">
        <v>68.653109999999998</v>
      </c>
      <c r="M4933">
        <v>-2.4788029999999999E-2</v>
      </c>
      <c r="N4933">
        <v>0</v>
      </c>
      <c r="O4933">
        <v>-0.99961270000000002</v>
      </c>
      <c r="P4933">
        <v>3.6030109999999997E-2</v>
      </c>
      <c r="Q4933">
        <v>6.6662410000000005E-2</v>
      </c>
      <c r="R4933">
        <v>-0.99712509999999999</v>
      </c>
      <c r="S4933">
        <v>0.51455689999999998</v>
      </c>
      <c r="T4933">
        <v>-0.35193970000000002</v>
      </c>
      <c r="U4933">
        <v>-3.0137019999999999</v>
      </c>
      <c r="V4933">
        <v>-6.096207E-2</v>
      </c>
      <c r="W4933">
        <v>7.9100210000000004E-2</v>
      </c>
      <c r="X4933">
        <v>0.99500089999999997</v>
      </c>
      <c r="Y4933">
        <v>-0.19158829999999999</v>
      </c>
      <c r="Z4933">
        <v>0.11404889999999999</v>
      </c>
      <c r="AA4933">
        <v>0.97482659999999999</v>
      </c>
      <c r="AB4933">
        <v>30</v>
      </c>
      <c r="AC4933">
        <v>1.63100000000002</v>
      </c>
      <c r="AD4933">
        <v>-1.111232606935</v>
      </c>
      <c r="AE4933">
        <v>-9.2133099999999999</v>
      </c>
      <c r="AF4933">
        <v>-1.8330415317556401</v>
      </c>
      <c r="AG4933">
        <v>-1.111232606935</v>
      </c>
      <c r="AH4933">
        <v>9.0425003234743695</v>
      </c>
      <c r="AI4933">
        <v>96.867639101233095</v>
      </c>
      <c r="AJ4933">
        <v>101.459374823166</v>
      </c>
      <c r="AK4933">
        <v>9.29309912052436</v>
      </c>
      <c r="AL4933">
        <v>85.463152355451996</v>
      </c>
      <c r="AM4933">
        <v>93.506035637120505</v>
      </c>
      <c r="AN4933">
        <v>1.00000000410076</v>
      </c>
    </row>
    <row r="4934" spans="1:40" x14ac:dyDescent="0.25">
      <c r="A4934" t="str">
        <f>"20190312151127139"</f>
        <v>20190312151127139</v>
      </c>
      <c r="B4934" t="str">
        <f>"1552374687136149"</f>
        <v>1552374687136149</v>
      </c>
      <c r="C4934" t="s">
        <v>40</v>
      </c>
      <c r="D4934">
        <v>4.9971769999999998</v>
      </c>
      <c r="E4934">
        <v>0.44941019999999998</v>
      </c>
      <c r="F4934" t="s">
        <v>42</v>
      </c>
      <c r="G4934">
        <v>-422.04629999999997</v>
      </c>
      <c r="H4934" s="1">
        <v>-4.473424E-6</v>
      </c>
      <c r="I4934">
        <v>59.065530000000003</v>
      </c>
      <c r="J4934">
        <v>-423.71769999999998</v>
      </c>
      <c r="K4934">
        <v>1.1112629999999999</v>
      </c>
      <c r="L4934">
        <v>68.357209999999995</v>
      </c>
      <c r="M4934">
        <v>-2.3319050000000001E-2</v>
      </c>
      <c r="N4934">
        <v>0</v>
      </c>
      <c r="O4934">
        <v>-0.99964770000000003</v>
      </c>
      <c r="P4934">
        <v>3.8288019999999999E-2</v>
      </c>
      <c r="Q4934">
        <v>6.7069379999999998E-2</v>
      </c>
      <c r="R4934">
        <v>-0.99701360000000006</v>
      </c>
      <c r="S4934">
        <v>0.52346800000000004</v>
      </c>
      <c r="T4934">
        <v>-0.34922399999999998</v>
      </c>
      <c r="U4934">
        <v>-3.0130620000000001</v>
      </c>
      <c r="V4934">
        <v>-6.1760000000000002E-2</v>
      </c>
      <c r="W4934">
        <v>7.9499500000000001E-2</v>
      </c>
      <c r="X4934">
        <v>0.99491980000000002</v>
      </c>
      <c r="Y4934">
        <v>-0.1929978</v>
      </c>
      <c r="Z4934">
        <v>0.11316619999999999</v>
      </c>
      <c r="AA4934">
        <v>0.9746513</v>
      </c>
      <c r="AB4934">
        <v>30</v>
      </c>
      <c r="AC4934">
        <v>1.6714</v>
      </c>
      <c r="AD4934">
        <v>-1.11126747342399</v>
      </c>
      <c r="AE4934">
        <v>-9.2916799999999906</v>
      </c>
      <c r="AF4934">
        <v>-1.8618394839711201</v>
      </c>
      <c r="AG4934">
        <v>-1.11126747342399</v>
      </c>
      <c r="AH4934">
        <v>9.1237611047894998</v>
      </c>
      <c r="AI4934">
        <v>96.805481563081301</v>
      </c>
      <c r="AJ4934">
        <v>101.53370079478999</v>
      </c>
      <c r="AK4934">
        <v>9.3778664076021894</v>
      </c>
      <c r="AL4934">
        <v>85.440202149097203</v>
      </c>
      <c r="AM4934">
        <v>93.552098052633497</v>
      </c>
      <c r="AN4934">
        <v>0.99999993826614297</v>
      </c>
    </row>
    <row r="4935" spans="1:40" x14ac:dyDescent="0.25">
      <c r="A4935" t="str">
        <f>"20190312151127152"</f>
        <v>20190312151127152</v>
      </c>
      <c r="B4935" t="str">
        <f>"1552374687146886"</f>
        <v>1552374687146886</v>
      </c>
      <c r="C4935" t="s">
        <v>40</v>
      </c>
      <c r="D4935">
        <v>5.0053869999999998</v>
      </c>
      <c r="E4935">
        <v>0.44953520000000002</v>
      </c>
      <c r="F4935" t="s">
        <v>42</v>
      </c>
      <c r="G4935">
        <v>-422.0301</v>
      </c>
      <c r="H4935" s="1">
        <v>-4.3633670000000002E-6</v>
      </c>
      <c r="I4935">
        <v>58.750549999999997</v>
      </c>
      <c r="J4935">
        <v>-423.72129999999999</v>
      </c>
      <c r="K4935">
        <v>1.1112839999999999</v>
      </c>
      <c r="L4935">
        <v>68.159819999999996</v>
      </c>
      <c r="M4935">
        <v>-2.2311370000000001E-2</v>
      </c>
      <c r="N4935">
        <v>0</v>
      </c>
      <c r="O4935">
        <v>-0.99967099999999998</v>
      </c>
      <c r="P4935">
        <v>3.9799729999999998E-2</v>
      </c>
      <c r="Q4935">
        <v>6.6978109999999993E-2</v>
      </c>
      <c r="R4935">
        <v>-0.99696059999999997</v>
      </c>
      <c r="S4935">
        <v>0.52914430000000001</v>
      </c>
      <c r="T4935">
        <v>-0.34843190000000002</v>
      </c>
      <c r="U4935">
        <v>-3.0121150000000001</v>
      </c>
      <c r="V4935">
        <v>-6.2269999999999999E-2</v>
      </c>
      <c r="W4935">
        <v>7.9402539999999994E-2</v>
      </c>
      <c r="X4935">
        <v>0.9948958</v>
      </c>
      <c r="Y4935">
        <v>-0.19384770000000001</v>
      </c>
      <c r="Z4935">
        <v>0.11292389999999999</v>
      </c>
      <c r="AA4935">
        <v>0.97451080000000001</v>
      </c>
      <c r="AB4935">
        <v>30</v>
      </c>
      <c r="AC4935">
        <v>1.6911999999999801</v>
      </c>
      <c r="AD4935">
        <v>-1.1112883633670001</v>
      </c>
      <c r="AE4935">
        <v>-9.4092699999999994</v>
      </c>
      <c r="AF4935">
        <v>-1.8753884038431099</v>
      </c>
      <c r="AG4935">
        <v>-1.1112883633670001</v>
      </c>
      <c r="AH4935">
        <v>9.2442787223788603</v>
      </c>
      <c r="AI4935">
        <v>96.719253701671704</v>
      </c>
      <c r="AJ4935">
        <v>101.46796857145399</v>
      </c>
      <c r="AK4935">
        <v>9.4978277826485495</v>
      </c>
      <c r="AL4935">
        <v>85.445775377076899</v>
      </c>
      <c r="AM4935">
        <v>93.581440605969206</v>
      </c>
      <c r="AN4935">
        <v>0.99999998455804495</v>
      </c>
    </row>
    <row r="4936" spans="1:40" x14ac:dyDescent="0.25">
      <c r="A4936" t="str">
        <f>"20190312151127173"</f>
        <v>20190312151127173</v>
      </c>
      <c r="B4936" t="str">
        <f>"1552374687166409"</f>
        <v>1552374687166409</v>
      </c>
      <c r="C4936" t="s">
        <v>40</v>
      </c>
      <c r="D4936">
        <v>4.9745650000000001</v>
      </c>
      <c r="E4936">
        <v>0.44976179999999899</v>
      </c>
      <c r="F4936" t="s">
        <v>42</v>
      </c>
      <c r="G4936">
        <v>-422.0213</v>
      </c>
      <c r="H4936" s="1">
        <v>-4.2954819999999997E-6</v>
      </c>
      <c r="I4936">
        <v>58.555630000000001</v>
      </c>
      <c r="J4936">
        <v>-423.72570000000002</v>
      </c>
      <c r="K4936">
        <v>1.1113139999999999</v>
      </c>
      <c r="L4936">
        <v>67.896999999999906</v>
      </c>
      <c r="M4936">
        <v>-2.0947730000000001E-2</v>
      </c>
      <c r="N4936">
        <v>0</v>
      </c>
      <c r="O4936">
        <v>-0.99970029999999999</v>
      </c>
      <c r="P4936">
        <v>4.163874E-2</v>
      </c>
      <c r="Q4936">
        <v>6.6917489999999996E-2</v>
      </c>
      <c r="R4936">
        <v>-0.99688960000000004</v>
      </c>
      <c r="S4936">
        <v>0.5329895</v>
      </c>
      <c r="T4936">
        <v>-0.34843269999999998</v>
      </c>
      <c r="U4936">
        <v>-3.0112920000000001</v>
      </c>
      <c r="V4936">
        <v>-6.2754210000000005E-2</v>
      </c>
      <c r="W4936">
        <v>7.9336439999999994E-2</v>
      </c>
      <c r="X4936">
        <v>0.9948707</v>
      </c>
      <c r="Y4936">
        <v>-0.19376170000000001</v>
      </c>
      <c r="Z4936">
        <v>0.1129479</v>
      </c>
      <c r="AA4936">
        <v>0.97452510000000003</v>
      </c>
      <c r="AB4936">
        <v>30</v>
      </c>
      <c r="AC4936">
        <v>1.7044000000000199</v>
      </c>
      <c r="AD4936">
        <v>-1.111318295482</v>
      </c>
      <c r="AE4936">
        <v>-9.34136999999998</v>
      </c>
      <c r="AF4936">
        <v>-1.8740527852082201</v>
      </c>
      <c r="AG4936">
        <v>-1.111318295482</v>
      </c>
      <c r="AH4936">
        <v>9.1779017497506494</v>
      </c>
      <c r="AI4936">
        <v>96.765848911774498</v>
      </c>
      <c r="AJ4936">
        <v>101.540683299479</v>
      </c>
      <c r="AK4936">
        <v>9.4329731645805008</v>
      </c>
      <c r="AL4936">
        <v>85.449574846731096</v>
      </c>
      <c r="AM4936">
        <v>93.6093072877309</v>
      </c>
      <c r="AN4936">
        <v>1.0000000356515399</v>
      </c>
    </row>
    <row r="4937" spans="1:40" x14ac:dyDescent="0.25">
      <c r="A4937" t="str">
        <f>"20190312151127194"</f>
        <v>20190312151127194</v>
      </c>
      <c r="B4937" t="str">
        <f>"1552374687185925"</f>
        <v>1552374687185925</v>
      </c>
      <c r="C4937" t="s">
        <v>40</v>
      </c>
      <c r="D4937">
        <v>4.9550519999999896</v>
      </c>
      <c r="E4937">
        <v>0.4501193</v>
      </c>
      <c r="F4937" t="s">
        <v>42</v>
      </c>
      <c r="G4937">
        <v>-422.01909999999998</v>
      </c>
      <c r="H4937" s="1">
        <v>-4.2196469999999996E-6</v>
      </c>
      <c r="I4937">
        <v>58.333950000000002</v>
      </c>
      <c r="J4937">
        <v>-423.73020000000002</v>
      </c>
      <c r="K4937">
        <v>1.111343</v>
      </c>
      <c r="L4937">
        <v>67.602170000000001</v>
      </c>
      <c r="M4937">
        <v>-1.9385119999999999E-2</v>
      </c>
      <c r="N4937">
        <v>0</v>
      </c>
      <c r="O4937">
        <v>-0.99973199999999995</v>
      </c>
      <c r="P4937">
        <v>4.3682850000000002E-2</v>
      </c>
      <c r="Q4937">
        <v>6.6745490000000005E-2</v>
      </c>
      <c r="R4937">
        <v>-0.99681350000000002</v>
      </c>
      <c r="S4937">
        <v>0.53723140000000003</v>
      </c>
      <c r="T4937">
        <v>-0.34983789999999998</v>
      </c>
      <c r="U4937">
        <v>-3.0104060000000001</v>
      </c>
      <c r="V4937">
        <v>-6.3244690000000006E-2</v>
      </c>
      <c r="W4937">
        <v>7.9157720000000001E-2</v>
      </c>
      <c r="X4937">
        <v>0.99485389999999996</v>
      </c>
      <c r="Y4937">
        <v>-0.19359950000000001</v>
      </c>
      <c r="Z4937">
        <v>0.1134235</v>
      </c>
      <c r="AA4937">
        <v>0.97450210000000004</v>
      </c>
      <c r="AB4937">
        <v>30</v>
      </c>
      <c r="AC4937">
        <v>1.71110000000004</v>
      </c>
      <c r="AD4937">
        <v>-1.111347219647</v>
      </c>
      <c r="AE4937">
        <v>-9.2682199999999995</v>
      </c>
      <c r="AF4937">
        <v>-1.8645332330773701</v>
      </c>
      <c r="AG4937">
        <v>-1.111347219647</v>
      </c>
      <c r="AH4937">
        <v>9.1066830630474591</v>
      </c>
      <c r="AI4937">
        <v>96.817709616435806</v>
      </c>
      <c r="AJ4937">
        <v>101.571016232652</v>
      </c>
      <c r="AK4937">
        <v>9.3617975427084801</v>
      </c>
      <c r="AL4937">
        <v>85.4598471598961</v>
      </c>
      <c r="AM4937">
        <v>93.637503052018801</v>
      </c>
      <c r="AN4937">
        <v>1.0000000588969999</v>
      </c>
    </row>
    <row r="4938" spans="1:40" x14ac:dyDescent="0.25">
      <c r="A4938" t="str">
        <f>"20190312151127217"</f>
        <v>20190312151127217</v>
      </c>
      <c r="B4938" t="str">
        <f>"1552374687206421"</f>
        <v>1552374687206421</v>
      </c>
      <c r="C4938" t="s">
        <v>40</v>
      </c>
      <c r="D4938">
        <v>5.0056649999999996</v>
      </c>
      <c r="E4938">
        <v>0.45034819999999998</v>
      </c>
      <c r="F4938" t="s">
        <v>42</v>
      </c>
      <c r="G4938">
        <v>-422.01839999999999</v>
      </c>
      <c r="H4938" s="1">
        <v>-4.134886E-6</v>
      </c>
      <c r="I4938">
        <v>58.0852199999999</v>
      </c>
      <c r="J4938">
        <v>-423.73430000000002</v>
      </c>
      <c r="K4938">
        <v>1.1113599999999999</v>
      </c>
      <c r="L4938">
        <v>67.300929999999994</v>
      </c>
      <c r="M4938">
        <v>-1.7757240000000001E-2</v>
      </c>
      <c r="N4938">
        <v>0</v>
      </c>
      <c r="O4938">
        <v>-0.99976209999999999</v>
      </c>
      <c r="P4938">
        <v>4.6069640000000002E-2</v>
      </c>
      <c r="Q4938">
        <v>6.6533449999999994E-2</v>
      </c>
      <c r="R4938">
        <v>-0.99672000000000005</v>
      </c>
      <c r="S4938">
        <v>0.5412903</v>
      </c>
      <c r="T4938">
        <v>-0.35142410000000002</v>
      </c>
      <c r="U4938">
        <v>-3.0093990000000002</v>
      </c>
      <c r="V4938">
        <v>-6.4011899999999997E-2</v>
      </c>
      <c r="W4938">
        <v>7.8939529999999994E-2</v>
      </c>
      <c r="X4938">
        <v>0.99482210000000004</v>
      </c>
      <c r="Y4938">
        <v>-0.19332150000000001</v>
      </c>
      <c r="Z4938">
        <v>0.1139631</v>
      </c>
      <c r="AA4938">
        <v>0.97449430000000004</v>
      </c>
      <c r="AB4938">
        <v>30</v>
      </c>
      <c r="AC4938">
        <v>1.71590000000003</v>
      </c>
      <c r="AD4938">
        <v>-1.1113641348859999</v>
      </c>
      <c r="AE4938">
        <v>-9.2157100000000103</v>
      </c>
      <c r="AF4938">
        <v>-1.85323942718799</v>
      </c>
      <c r="AG4938">
        <v>-1.1113641348859999</v>
      </c>
      <c r="AH4938">
        <v>9.0564888131224102</v>
      </c>
      <c r="AI4938">
        <v>96.855390290706197</v>
      </c>
      <c r="AJ4938">
        <v>101.564841741469</v>
      </c>
      <c r="AK4938">
        <v>9.3107258705756308</v>
      </c>
      <c r="AL4938">
        <v>85.472387462960299</v>
      </c>
      <c r="AM4938">
        <v>93.681625678519495</v>
      </c>
      <c r="AN4938">
        <v>0.99999999169331999</v>
      </c>
    </row>
    <row r="4939" spans="1:40" x14ac:dyDescent="0.25">
      <c r="A4939" t="str">
        <f>"20190312151127240"</f>
        <v>20190312151127240</v>
      </c>
      <c r="B4939" t="str">
        <f>"1552374687236677"</f>
        <v>1552374687236677</v>
      </c>
      <c r="C4939" t="s">
        <v>40</v>
      </c>
      <c r="D4939">
        <v>5.2676020000000001</v>
      </c>
      <c r="E4939">
        <v>0.45058189999999998</v>
      </c>
      <c r="F4939" t="s">
        <v>42</v>
      </c>
      <c r="G4939">
        <v>-422.0138</v>
      </c>
      <c r="H4939" s="1">
        <v>-4.047699E-6</v>
      </c>
      <c r="I4939">
        <v>57.83146</v>
      </c>
      <c r="J4939">
        <v>-423.73790000000002</v>
      </c>
      <c r="K4939">
        <v>1.1113729999999999</v>
      </c>
      <c r="L4939">
        <v>66.995419999999996</v>
      </c>
      <c r="M4939">
        <v>-1.608327E-2</v>
      </c>
      <c r="N4939">
        <v>0</v>
      </c>
      <c r="O4939">
        <v>-0.99979059999999997</v>
      </c>
      <c r="P4939">
        <v>4.8618370000000001E-2</v>
      </c>
      <c r="Q4939">
        <v>6.5882239999999995E-2</v>
      </c>
      <c r="R4939">
        <v>-0.99664240000000004</v>
      </c>
      <c r="S4939">
        <v>0.54656979999999999</v>
      </c>
      <c r="T4939">
        <v>-0.35304829999999998</v>
      </c>
      <c r="U4939">
        <v>-3.0081790000000002</v>
      </c>
      <c r="V4939">
        <v>-6.4892370000000005E-2</v>
      </c>
      <c r="W4939">
        <v>7.8282130000000005E-2</v>
      </c>
      <c r="X4939">
        <v>0.99481699999999995</v>
      </c>
      <c r="Y4939">
        <v>-0.19339290000000001</v>
      </c>
      <c r="Z4939">
        <v>0.11451459999999999</v>
      </c>
      <c r="AA4939">
        <v>0.97441549999999999</v>
      </c>
      <c r="AB4939">
        <v>30</v>
      </c>
      <c r="AC4939">
        <v>1.7241000000000199</v>
      </c>
      <c r="AD4939">
        <v>-1.1113770476989999</v>
      </c>
      <c r="AE4939">
        <v>-9.1639599999999906</v>
      </c>
      <c r="AF4939">
        <v>-1.8450655282612001</v>
      </c>
      <c r="AG4939">
        <v>-1.1113770476989999</v>
      </c>
      <c r="AH4939">
        <v>9.0070948024459199</v>
      </c>
      <c r="AI4939">
        <v>96.892415229588806</v>
      </c>
      <c r="AJ4939">
        <v>101.576647200922</v>
      </c>
      <c r="AK4939">
        <v>9.2610573114509105</v>
      </c>
      <c r="AL4939">
        <v>85.5101706152128</v>
      </c>
      <c r="AM4939">
        <v>93.732142578168094</v>
      </c>
      <c r="AN4939">
        <v>0.99999998752527597</v>
      </c>
    </row>
    <row r="4940" spans="1:40" x14ac:dyDescent="0.25">
      <c r="A4940" t="str">
        <f>"20190312151127262"</f>
        <v>20190312151127262</v>
      </c>
      <c r="B4940" t="str">
        <f>"1552374687256197"</f>
        <v>1552374687256197</v>
      </c>
      <c r="C4940" t="s">
        <v>40</v>
      </c>
      <c r="D4940">
        <v>5.0103980000000004</v>
      </c>
      <c r="E4940">
        <v>0.4507236</v>
      </c>
      <c r="F4940" t="s">
        <v>42</v>
      </c>
      <c r="G4940">
        <v>-422.0147</v>
      </c>
      <c r="H4940" s="1">
        <v>-3.9747240000000001E-6</v>
      </c>
      <c r="I4940">
        <v>57.616520000000001</v>
      </c>
      <c r="J4940">
        <v>-423.74099999999999</v>
      </c>
      <c r="K4940">
        <v>1.111383</v>
      </c>
      <c r="L4940">
        <v>66.69171</v>
      </c>
      <c r="M4940">
        <v>-1.440605E-2</v>
      </c>
      <c r="N4940">
        <v>0</v>
      </c>
      <c r="O4940">
        <v>-0.99981609999999999</v>
      </c>
      <c r="P4940">
        <v>5.0752770000000003E-2</v>
      </c>
      <c r="Q4940">
        <v>6.5765309999999993E-2</v>
      </c>
      <c r="R4940">
        <v>-0.99654359999999997</v>
      </c>
      <c r="S4940">
        <v>0.55242919999999995</v>
      </c>
      <c r="T4940">
        <v>-0.35628840000000001</v>
      </c>
      <c r="U4940">
        <v>-3.0067140000000001</v>
      </c>
      <c r="V4940">
        <v>-6.5355479999999994E-2</v>
      </c>
      <c r="W4940">
        <v>7.8161839999999996E-2</v>
      </c>
      <c r="X4940">
        <v>0.99479620000000002</v>
      </c>
      <c r="Y4940">
        <v>-0.19364609999999999</v>
      </c>
      <c r="Z4940">
        <v>0.1155877</v>
      </c>
      <c r="AA4940">
        <v>0.97423850000000001</v>
      </c>
      <c r="AB4940">
        <v>30</v>
      </c>
      <c r="AC4940">
        <v>1.72629999999998</v>
      </c>
      <c r="AD4940">
        <v>-1.1113869747239999</v>
      </c>
      <c r="AE4940">
        <v>-9.0751899999999992</v>
      </c>
      <c r="AF4940">
        <v>-1.8303764698643601</v>
      </c>
      <c r="AG4940">
        <v>-1.1113869747239999</v>
      </c>
      <c r="AH4940">
        <v>8.9202669126974996</v>
      </c>
      <c r="AI4940">
        <v>96.958440589158698</v>
      </c>
      <c r="AJ4940">
        <v>101.595738803865</v>
      </c>
      <c r="AK4940">
        <v>9.17369177718464</v>
      </c>
      <c r="AL4940">
        <v>85.517084168804004</v>
      </c>
      <c r="AM4940">
        <v>93.758779618898799</v>
      </c>
      <c r="AN4940">
        <v>1.0000000457663201</v>
      </c>
    </row>
    <row r="4941" spans="1:40" x14ac:dyDescent="0.25">
      <c r="A4941" t="str">
        <f>"20190312151127284"</f>
        <v>20190312151127284</v>
      </c>
      <c r="B4941" t="str">
        <f>"1552374687276693"</f>
        <v>1552374687276693</v>
      </c>
      <c r="C4941" t="s">
        <v>40</v>
      </c>
      <c r="D4941">
        <v>5.0171140000000003</v>
      </c>
      <c r="E4941">
        <v>0.4508334</v>
      </c>
      <c r="F4941" t="s">
        <v>42</v>
      </c>
      <c r="G4941">
        <v>-421.99799999999999</v>
      </c>
      <c r="H4941" s="1">
        <v>-3.841279E-6</v>
      </c>
      <c r="I4941">
        <v>57.304020000000001</v>
      </c>
      <c r="J4941">
        <v>-423.74349999999998</v>
      </c>
      <c r="K4941">
        <v>1.1113949999999999</v>
      </c>
      <c r="L4941">
        <v>66.399199999999993</v>
      </c>
      <c r="M4941">
        <v>-1.278637E-2</v>
      </c>
      <c r="N4941">
        <v>0</v>
      </c>
      <c r="O4941">
        <v>-0.99983809999999995</v>
      </c>
      <c r="P4941">
        <v>5.2484169999999997E-2</v>
      </c>
      <c r="Q4941">
        <v>6.6268679999999996E-2</v>
      </c>
      <c r="R4941">
        <v>-0.99642059999999999</v>
      </c>
      <c r="S4941">
        <v>0.55801389999999995</v>
      </c>
      <c r="T4941">
        <v>-0.355809599999999</v>
      </c>
      <c r="U4941">
        <v>-3.0054630000000002</v>
      </c>
      <c r="V4941">
        <v>-6.54748E-2</v>
      </c>
      <c r="W4941">
        <v>7.8662889999999999E-2</v>
      </c>
      <c r="X4941">
        <v>0.99474879999999999</v>
      </c>
      <c r="Y4941">
        <v>-0.19388259999999999</v>
      </c>
      <c r="Z4941">
        <v>0.1154632</v>
      </c>
      <c r="AA4941">
        <v>0.97420620000000002</v>
      </c>
      <c r="AB4941">
        <v>30</v>
      </c>
      <c r="AC4941">
        <v>1.7454999999999301</v>
      </c>
      <c r="AD4941">
        <v>-1.1113988412789999</v>
      </c>
      <c r="AE4941">
        <v>-9.0951799999999992</v>
      </c>
      <c r="AF4941">
        <v>-1.8352307776679599</v>
      </c>
      <c r="AG4941">
        <v>-1.1113988412789999</v>
      </c>
      <c r="AH4941">
        <v>8.9433183318849991</v>
      </c>
      <c r="AI4941">
        <v>96.940734936309596</v>
      </c>
      <c r="AJ4941">
        <v>101.596503069216</v>
      </c>
      <c r="AK4941">
        <v>9.1970768278364599</v>
      </c>
      <c r="AL4941">
        <v>85.488287190831997</v>
      </c>
      <c r="AM4941">
        <v>93.765801241751007</v>
      </c>
      <c r="AN4941">
        <v>0.99999998739981599</v>
      </c>
    </row>
    <row r="4942" spans="1:40" x14ac:dyDescent="0.25">
      <c r="A4942" t="str">
        <f>"20190312151127305"</f>
        <v>20190312151127305</v>
      </c>
      <c r="B4942" t="str">
        <f>"1552374687296213"</f>
        <v>1552374687296213</v>
      </c>
      <c r="C4942" t="s">
        <v>40</v>
      </c>
      <c r="D4942">
        <v>5.027736</v>
      </c>
      <c r="E4942">
        <v>0.45095550000000001</v>
      </c>
      <c r="F4942" t="s">
        <v>42</v>
      </c>
      <c r="G4942">
        <v>-421.98</v>
      </c>
      <c r="H4942" s="1">
        <v>-3.701696E-6</v>
      </c>
      <c r="I4942">
        <v>56.989809999999999</v>
      </c>
      <c r="J4942">
        <v>-423.74549999999999</v>
      </c>
      <c r="K4942">
        <v>1.111402</v>
      </c>
      <c r="L4942">
        <v>66.097629999999995</v>
      </c>
      <c r="M4942">
        <v>-1.1116620000000001E-2</v>
      </c>
      <c r="N4942">
        <v>0</v>
      </c>
      <c r="O4942">
        <v>-0.99985809999999997</v>
      </c>
      <c r="P4942">
        <v>5.4545780000000002E-2</v>
      </c>
      <c r="Q4942">
        <v>6.6931229999999994E-2</v>
      </c>
      <c r="R4942">
        <v>-0.99626559999999997</v>
      </c>
      <c r="S4942">
        <v>0.56314090000000006</v>
      </c>
      <c r="T4942">
        <v>-0.35490660000000002</v>
      </c>
      <c r="U4942">
        <v>-3.0047299999999999</v>
      </c>
      <c r="V4942">
        <v>-6.5874530000000001E-2</v>
      </c>
      <c r="W4942">
        <v>7.9322199999999995E-2</v>
      </c>
      <c r="X4942">
        <v>0.9946701</v>
      </c>
      <c r="Y4942">
        <v>-0.19389980000000001</v>
      </c>
      <c r="Z4942">
        <v>0.1151871</v>
      </c>
      <c r="AA4942">
        <v>0.97423550000000003</v>
      </c>
      <c r="AB4942">
        <v>30</v>
      </c>
      <c r="AC4942">
        <v>1.7654999999999701</v>
      </c>
      <c r="AD4942">
        <v>-1.1114057016959999</v>
      </c>
      <c r="AE4942">
        <v>-9.1078200000000091</v>
      </c>
      <c r="AF4942">
        <v>-1.8402370553468601</v>
      </c>
      <c r="AG4942">
        <v>-1.1114057016959999</v>
      </c>
      <c r="AH4942">
        <v>8.9590535112967</v>
      </c>
      <c r="AI4942">
        <v>96.9284374237603</v>
      </c>
      <c r="AJ4942">
        <v>101.607409765285</v>
      </c>
      <c r="AK4942">
        <v>9.2133780380440093</v>
      </c>
      <c r="AL4942">
        <v>85.450393321797705</v>
      </c>
      <c r="AM4942">
        <v>93.789023962087697</v>
      </c>
      <c r="AN4942">
        <v>1.0000000364747801</v>
      </c>
    </row>
    <row r="4943" spans="1:40" x14ac:dyDescent="0.25">
      <c r="A4943" t="str">
        <f>"20190312151127328"</f>
        <v>20190312151127328</v>
      </c>
      <c r="B4943" t="str">
        <f>"1552374687326470"</f>
        <v>1552374687326470</v>
      </c>
      <c r="C4943" t="s">
        <v>40</v>
      </c>
      <c r="D4943">
        <v>5.0282030000000004</v>
      </c>
      <c r="E4943">
        <v>0.45104539999999999</v>
      </c>
      <c r="F4943" t="s">
        <v>42</v>
      </c>
      <c r="G4943">
        <v>-421.96230000000003</v>
      </c>
      <c r="H4943" s="1">
        <v>-3.560937E-6</v>
      </c>
      <c r="I4943">
        <v>56.672629999999998</v>
      </c>
      <c r="J4943">
        <v>-423.74709999999999</v>
      </c>
      <c r="K4943">
        <v>1.1114120000000001</v>
      </c>
      <c r="L4943">
        <v>65.797669999999997</v>
      </c>
      <c r="M4943">
        <v>-9.4578470000000001E-3</v>
      </c>
      <c r="N4943">
        <v>0</v>
      </c>
      <c r="O4943">
        <v>-0.99987519999999996</v>
      </c>
      <c r="P4943">
        <v>5.6419280000000002E-2</v>
      </c>
      <c r="Q4943">
        <v>6.7416939999999995E-2</v>
      </c>
      <c r="R4943">
        <v>-0.99612880000000004</v>
      </c>
      <c r="S4943">
        <v>0.56832890000000003</v>
      </c>
      <c r="T4943">
        <v>-0.35422749999999997</v>
      </c>
      <c r="U4943">
        <v>-3.0039370000000001</v>
      </c>
      <c r="V4943">
        <v>-6.609727E-2</v>
      </c>
      <c r="W4943">
        <v>7.9805119999999993E-2</v>
      </c>
      <c r="X4943">
        <v>0.99461659999999996</v>
      </c>
      <c r="Y4943">
        <v>-0.1939487</v>
      </c>
      <c r="Z4943">
        <v>0.11498360000000001</v>
      </c>
      <c r="AA4943">
        <v>0.97424980000000005</v>
      </c>
      <c r="AB4943">
        <v>30</v>
      </c>
      <c r="AC4943">
        <v>1.78479999999996</v>
      </c>
      <c r="AD4943">
        <v>-1.111415560937</v>
      </c>
      <c r="AE4943">
        <v>-9.1250399999999896</v>
      </c>
      <c r="AF4943">
        <v>-1.8446731792511599</v>
      </c>
      <c r="AG4943">
        <v>-1.111415560937</v>
      </c>
      <c r="AH4943">
        <v>8.9794496039881899</v>
      </c>
      <c r="AI4943">
        <v>96.912876155373695</v>
      </c>
      <c r="AJ4943">
        <v>101.608919911614</v>
      </c>
      <c r="AK4943">
        <v>9.2340987041456994</v>
      </c>
      <c r="AL4943">
        <v>85.4226356223663</v>
      </c>
      <c r="AM4943">
        <v>93.802002087844301</v>
      </c>
      <c r="AN4943">
        <v>0.99999994363761202</v>
      </c>
    </row>
    <row r="4944" spans="1:40" x14ac:dyDescent="0.25">
      <c r="A4944" t="str">
        <f>"20190312151127350"</f>
        <v>20190312151127350</v>
      </c>
      <c r="B4944" t="str">
        <f>"1552374687345989"</f>
        <v>1552374687345989</v>
      </c>
      <c r="C4944" t="s">
        <v>40</v>
      </c>
      <c r="D4944">
        <v>5.0160809999999998</v>
      </c>
      <c r="E4944">
        <v>0.44944659999999897</v>
      </c>
      <c r="F4944" t="s">
        <v>42</v>
      </c>
      <c r="G4944">
        <v>-421.94150000000002</v>
      </c>
      <c r="H4944" s="1">
        <v>-3.4092080000000001E-6</v>
      </c>
      <c r="I4944">
        <v>56.331859999999999</v>
      </c>
      <c r="J4944">
        <v>-423.74810000000002</v>
      </c>
      <c r="K4944">
        <v>1.1114139999999999</v>
      </c>
      <c r="L4944">
        <v>65.49539</v>
      </c>
      <c r="M4944">
        <v>-7.7889409999999997E-3</v>
      </c>
      <c r="N4944">
        <v>0</v>
      </c>
      <c r="O4944">
        <v>-0.99988960000000005</v>
      </c>
      <c r="P4944">
        <v>5.8963660000000001E-2</v>
      </c>
      <c r="Q4944">
        <v>6.767666E-2</v>
      </c>
      <c r="R4944">
        <v>-0.9959635</v>
      </c>
      <c r="S4944">
        <v>0.57281490000000002</v>
      </c>
      <c r="T4944">
        <v>-0.35260279999999999</v>
      </c>
      <c r="U4944">
        <v>-3.003082</v>
      </c>
      <c r="V4944">
        <v>-6.6979419999999998E-2</v>
      </c>
      <c r="W4944">
        <v>8.0059889999999995E-2</v>
      </c>
      <c r="X4944">
        <v>0.99453720000000001</v>
      </c>
      <c r="Y4944">
        <v>-0.1937779</v>
      </c>
      <c r="Z4944">
        <v>0.11448369999999999</v>
      </c>
      <c r="AA4944">
        <v>0.97434259999999995</v>
      </c>
      <c r="AB4944">
        <v>30</v>
      </c>
      <c r="AC4944">
        <v>1.8066</v>
      </c>
      <c r="AD4944">
        <v>-1.11141740920799</v>
      </c>
      <c r="AE4944">
        <v>-9.1635299999999997</v>
      </c>
      <c r="AF4944">
        <v>-1.8517046634624099</v>
      </c>
      <c r="AG4944">
        <v>-1.11141740920799</v>
      </c>
      <c r="AH4944">
        <v>9.0214343996058002</v>
      </c>
      <c r="AI4944">
        <v>96.881262064522801</v>
      </c>
      <c r="AJ4944">
        <v>101.59920853632001</v>
      </c>
      <c r="AK4944">
        <v>9.2763321115929198</v>
      </c>
      <c r="AL4944">
        <v>85.407991941142598</v>
      </c>
      <c r="AM4944">
        <v>93.852899361010003</v>
      </c>
      <c r="AN4944">
        <v>1.0000000354370899</v>
      </c>
    </row>
    <row r="4945" spans="1:40" x14ac:dyDescent="0.25">
      <c r="A4945" t="str">
        <f>"20190312151127373"</f>
        <v>20190312151127373</v>
      </c>
      <c r="B4945" t="str">
        <f>"1552374687366489"</f>
        <v>1552374687366489</v>
      </c>
      <c r="C4945" t="s">
        <v>40</v>
      </c>
      <c r="D4945">
        <v>5.0216070000000004</v>
      </c>
      <c r="E4945">
        <v>0.44993260000000002</v>
      </c>
      <c r="F4945" t="s">
        <v>42</v>
      </c>
      <c r="G4945">
        <v>-422.25240000000002</v>
      </c>
      <c r="H4945" s="1">
        <v>-4.1291059999999997E-6</v>
      </c>
      <c r="I4945">
        <v>57.946269999999998</v>
      </c>
      <c r="J4945">
        <v>-423.74869999999999</v>
      </c>
      <c r="K4945">
        <v>1.111415</v>
      </c>
      <c r="L4945">
        <v>65.193879999999993</v>
      </c>
      <c r="M4945">
        <v>-6.1259969999999898E-3</v>
      </c>
      <c r="N4945">
        <v>0</v>
      </c>
      <c r="O4945">
        <v>-0.99990120000000005</v>
      </c>
      <c r="P4945">
        <v>6.1552509999999998E-2</v>
      </c>
      <c r="Q4945">
        <v>6.7488129999999993E-2</v>
      </c>
      <c r="R4945">
        <v>-0.99581989999999998</v>
      </c>
      <c r="S4945">
        <v>0.59576419999999997</v>
      </c>
      <c r="T4945">
        <v>-0.4426987</v>
      </c>
      <c r="U4945">
        <v>-3.006958</v>
      </c>
      <c r="V4945">
        <v>-6.7911369999999999E-2</v>
      </c>
      <c r="W4945">
        <v>7.9866919999999994E-2</v>
      </c>
      <c r="X4945">
        <v>0.99448950000000003</v>
      </c>
      <c r="Y4945">
        <v>-0.19836290000000001</v>
      </c>
      <c r="Z4945">
        <v>0.14284379999999999</v>
      </c>
      <c r="AA4945">
        <v>0.96966370000000002</v>
      </c>
      <c r="AB4945">
        <v>30</v>
      </c>
      <c r="AC4945">
        <v>1.49629999999996</v>
      </c>
      <c r="AD4945">
        <v>-1.111419129106</v>
      </c>
      <c r="AE4945">
        <v>-7.2476099999999999</v>
      </c>
      <c r="AF4945">
        <v>-1.5066912163612101</v>
      </c>
      <c r="AG4945">
        <v>-1.111419129106</v>
      </c>
      <c r="AH4945">
        <v>7.0786495173880297</v>
      </c>
      <c r="AI4945">
        <v>98.730695618914694</v>
      </c>
      <c r="AJ4945">
        <v>102.016090208637</v>
      </c>
      <c r="AK4945">
        <v>7.3220659579124598</v>
      </c>
      <c r="AL4945">
        <v>85.419083765684107</v>
      </c>
      <c r="AM4945">
        <v>93.9065304522384</v>
      </c>
      <c r="AN4945">
        <v>1.0000000223479</v>
      </c>
    </row>
    <row r="4946" spans="1:40" x14ac:dyDescent="0.25">
      <c r="A4946" t="str">
        <f>"20190312151127387"</f>
        <v>20190312151127387</v>
      </c>
      <c r="B4946" t="str">
        <f>"1552374687376246"</f>
        <v>1552374687376246</v>
      </c>
      <c r="C4946" t="s">
        <v>40</v>
      </c>
      <c r="D4946">
        <v>5.0951209999999998</v>
      </c>
      <c r="E4946">
        <v>0.44993260000000002</v>
      </c>
      <c r="F4946" t="s">
        <v>42</v>
      </c>
      <c r="G4946">
        <v>-422.26150000000001</v>
      </c>
      <c r="H4946" s="1">
        <v>-4.0623769999999998E-6</v>
      </c>
      <c r="I4946">
        <v>57.745449999999998</v>
      </c>
      <c r="J4946">
        <v>-423.74880000000002</v>
      </c>
      <c r="K4946">
        <v>1.1114120000000001</v>
      </c>
      <c r="L4946">
        <v>65.001890000000003</v>
      </c>
      <c r="M4946">
        <v>-5.0676089999999998E-3</v>
      </c>
      <c r="N4946">
        <v>0</v>
      </c>
      <c r="O4946">
        <v>-0.99990710000000005</v>
      </c>
      <c r="P4946">
        <v>6.331908E-2</v>
      </c>
      <c r="Q4946">
        <v>6.7064410000000005E-2</v>
      </c>
      <c r="R4946">
        <v>-0.99573800000000001</v>
      </c>
      <c r="S4946">
        <v>0.60015869999999905</v>
      </c>
      <c r="T4946">
        <v>-0.44852409999999998</v>
      </c>
      <c r="U4946">
        <v>-3.00589</v>
      </c>
      <c r="V4946">
        <v>-6.8622160000000001E-2</v>
      </c>
      <c r="W4946">
        <v>7.9440559999999993E-2</v>
      </c>
      <c r="X4946">
        <v>0.99447479999999999</v>
      </c>
      <c r="Y4946">
        <v>-0.1987023</v>
      </c>
      <c r="Z4946">
        <v>0.14470930000000001</v>
      </c>
      <c r="AA4946">
        <v>0.9693176</v>
      </c>
      <c r="AB4946">
        <v>30</v>
      </c>
      <c r="AC4946">
        <v>1.4873000000000001</v>
      </c>
      <c r="AD4946">
        <v>-1.111416062377</v>
      </c>
      <c r="AE4946">
        <v>-7.2564399999999996</v>
      </c>
      <c r="AF4946">
        <v>-1.49050092182115</v>
      </c>
      <c r="AG4946">
        <v>-1.111416062377</v>
      </c>
      <c r="AH4946">
        <v>7.0892094217543304</v>
      </c>
      <c r="AI4946">
        <v>98.722388627943801</v>
      </c>
      <c r="AJ4946">
        <v>101.87345589125999</v>
      </c>
      <c r="AK4946">
        <v>7.3289650624866303</v>
      </c>
      <c r="AL4946">
        <v>85.443590001993798</v>
      </c>
      <c r="AM4946">
        <v>93.947347479325302</v>
      </c>
      <c r="AN4946">
        <v>0.999999965625609</v>
      </c>
    </row>
    <row r="4947" spans="1:40" x14ac:dyDescent="0.25">
      <c r="A4947" t="str">
        <f>"20190312151127406"</f>
        <v>20190312151127406</v>
      </c>
      <c r="B4947" t="str">
        <f>"1552374687395765"</f>
        <v>1552374687395765</v>
      </c>
      <c r="C4947" t="s">
        <v>40</v>
      </c>
      <c r="D4947">
        <v>5.0039530000000001</v>
      </c>
      <c r="E4947">
        <v>0.45007380000000002</v>
      </c>
      <c r="F4947" t="s">
        <v>42</v>
      </c>
      <c r="G4947">
        <v>-422.25360000000001</v>
      </c>
      <c r="H4947" s="1">
        <v>-4.0040220000000003E-6</v>
      </c>
      <c r="I4947">
        <v>57.57808</v>
      </c>
      <c r="J4947">
        <v>-423.74860000000001</v>
      </c>
      <c r="K4947">
        <v>1.111407</v>
      </c>
      <c r="L4947">
        <v>64.750789999999995</v>
      </c>
      <c r="M4947">
        <v>-3.6837509999999999E-3</v>
      </c>
      <c r="N4947">
        <v>0</v>
      </c>
      <c r="O4947">
        <v>-0.9999133</v>
      </c>
      <c r="P4947">
        <v>6.5558549999999993E-2</v>
      </c>
      <c r="Q4947">
        <v>6.6646780000000003E-2</v>
      </c>
      <c r="R4947">
        <v>-0.99562079999999997</v>
      </c>
      <c r="S4947">
        <v>0.60513309999999998</v>
      </c>
      <c r="T4947">
        <v>-0.4498277</v>
      </c>
      <c r="U4947">
        <v>-3.0046689999999998</v>
      </c>
      <c r="V4947">
        <v>-6.9482299999999997E-2</v>
      </c>
      <c r="W4947">
        <v>7.9018930000000001E-2</v>
      </c>
      <c r="X4947">
        <v>0.99444869999999996</v>
      </c>
      <c r="Y4947">
        <v>-0.1989522</v>
      </c>
      <c r="Z4947">
        <v>0.14515220000000001</v>
      </c>
      <c r="AA4947">
        <v>0.96920010000000001</v>
      </c>
      <c r="AB4947">
        <v>30</v>
      </c>
      <c r="AC4947">
        <v>1.4950000000000001</v>
      </c>
      <c r="AD4947">
        <v>-1.111411004022</v>
      </c>
      <c r="AE4947">
        <v>-7.1727100000000004</v>
      </c>
      <c r="AF4947">
        <v>-1.4871942881444999</v>
      </c>
      <c r="AG4947">
        <v>-1.111411004022</v>
      </c>
      <c r="AH4947">
        <v>7.0059476906142404</v>
      </c>
      <c r="AI4947">
        <v>98.820828310171606</v>
      </c>
      <c r="AJ4947">
        <v>101.984616936953</v>
      </c>
      <c r="AK4947">
        <v>7.2477778880270503</v>
      </c>
      <c r="AL4947">
        <v>85.467823956459398</v>
      </c>
      <c r="AM4947">
        <v>93.996770450452601</v>
      </c>
      <c r="AN4947">
        <v>0.99999999912166204</v>
      </c>
    </row>
    <row r="4948" spans="1:40" x14ac:dyDescent="0.25">
      <c r="A4948" t="str">
        <f>"20190312151127422"</f>
        <v>20190312151127422</v>
      </c>
      <c r="B4948" t="str">
        <f>"1552374687416262"</f>
        <v>1552374687416262</v>
      </c>
      <c r="C4948" t="s">
        <v>40</v>
      </c>
      <c r="D4948">
        <v>5.0545109999999998</v>
      </c>
      <c r="E4948">
        <v>0.45051370000000002</v>
      </c>
      <c r="F4948" t="s">
        <v>42</v>
      </c>
      <c r="G4948">
        <v>-422.31400000000002</v>
      </c>
      <c r="H4948" s="1">
        <v>-4.0576909999999997E-6</v>
      </c>
      <c r="I4948">
        <v>57.70431</v>
      </c>
      <c r="J4948">
        <v>-423.7482</v>
      </c>
      <c r="K4948">
        <v>1.1114059999999999</v>
      </c>
      <c r="L4948">
        <v>64.545469999999995</v>
      </c>
      <c r="M4948">
        <v>-2.5519879999999998E-3</v>
      </c>
      <c r="N4948">
        <v>0</v>
      </c>
      <c r="O4948">
        <v>-0.9999169</v>
      </c>
      <c r="P4948">
        <v>6.7483489999999993E-2</v>
      </c>
      <c r="Q4948">
        <v>6.6629899999999895E-2</v>
      </c>
      <c r="R4948">
        <v>-0.99549350000000003</v>
      </c>
      <c r="S4948">
        <v>0.61169430000000002</v>
      </c>
      <c r="T4948">
        <v>-0.47390870000000002</v>
      </c>
      <c r="U4948">
        <v>-3.0046390000000001</v>
      </c>
      <c r="V4948">
        <v>-7.0279999999999995E-2</v>
      </c>
      <c r="W4948">
        <v>7.8998009999999994E-2</v>
      </c>
      <c r="X4948">
        <v>0.99439429999999995</v>
      </c>
      <c r="Y4948">
        <v>-0.19965160000000001</v>
      </c>
      <c r="Z4948">
        <v>0.152701799999999</v>
      </c>
      <c r="AA4948">
        <v>0.96789530000000001</v>
      </c>
      <c r="AB4948">
        <v>30</v>
      </c>
      <c r="AC4948">
        <v>1.4341999999999699</v>
      </c>
      <c r="AD4948">
        <v>-1.111410057691</v>
      </c>
      <c r="AE4948">
        <v>-6.8411599999999897</v>
      </c>
      <c r="AF4948">
        <v>-1.4158596833468999</v>
      </c>
      <c r="AG4948">
        <v>-1.111410057691</v>
      </c>
      <c r="AH4948">
        <v>6.6688756365392301</v>
      </c>
      <c r="AI4948">
        <v>99.259059849605194</v>
      </c>
      <c r="AJ4948">
        <v>101.98640656862899</v>
      </c>
      <c r="AK4948">
        <v>6.9075171527033099</v>
      </c>
      <c r="AL4948">
        <v>85.469026319313897</v>
      </c>
      <c r="AM4948">
        <v>94.042725010319103</v>
      </c>
      <c r="AN4948">
        <v>0.99999999392822403</v>
      </c>
    </row>
    <row r="4949" spans="1:40" x14ac:dyDescent="0.25">
      <c r="A4949" t="str">
        <f>"20190312151127441"</f>
        <v>20190312151127441</v>
      </c>
      <c r="B4949" t="str">
        <f>"1552374687436760"</f>
        <v>1552374687436760</v>
      </c>
      <c r="C4949" t="s">
        <v>40</v>
      </c>
      <c r="D4949">
        <v>5.1045210000000001</v>
      </c>
      <c r="E4949">
        <v>0.4515325</v>
      </c>
      <c r="F4949" t="s">
        <v>42</v>
      </c>
      <c r="G4949">
        <v>-422.3014</v>
      </c>
      <c r="H4949" s="1">
        <v>-3.9733230000000001E-6</v>
      </c>
      <c r="I4949">
        <v>57.462980000000002</v>
      </c>
      <c r="J4949">
        <v>-423.7473</v>
      </c>
      <c r="K4949">
        <v>1.1114029999999999</v>
      </c>
      <c r="L4949">
        <v>64.290890000000005</v>
      </c>
      <c r="M4949">
        <v>-1.1490179999999999E-3</v>
      </c>
      <c r="N4949">
        <v>0</v>
      </c>
      <c r="O4949">
        <v>-0.99991940000000001</v>
      </c>
      <c r="P4949">
        <v>6.9781560000000006E-2</v>
      </c>
      <c r="Q4949">
        <v>6.6387929999999998E-2</v>
      </c>
      <c r="R4949">
        <v>-0.99535110000000004</v>
      </c>
      <c r="S4949">
        <v>0.61355590000000004</v>
      </c>
      <c r="T4949">
        <v>-0.47132649999999998</v>
      </c>
      <c r="U4949">
        <v>-3.0035400000000001</v>
      </c>
      <c r="V4949">
        <v>-7.1180370000000007E-2</v>
      </c>
      <c r="W4949">
        <v>7.8751769999999999E-2</v>
      </c>
      <c r="X4949">
        <v>0.99434979999999995</v>
      </c>
      <c r="Y4949">
        <v>-0.19894600000000001</v>
      </c>
      <c r="Z4949">
        <v>0.1519452</v>
      </c>
      <c r="AA4949">
        <v>0.96815969999999996</v>
      </c>
      <c r="AB4949">
        <v>30</v>
      </c>
      <c r="AC4949">
        <v>1.44589999999999</v>
      </c>
      <c r="AD4949">
        <v>-1.1114069733230001</v>
      </c>
      <c r="AE4949">
        <v>-6.8279100000000001</v>
      </c>
      <c r="AF4949">
        <v>-1.41779232581785</v>
      </c>
      <c r="AG4949">
        <v>-1.1114069733230001</v>
      </c>
      <c r="AH4949">
        <v>6.65742335992016</v>
      </c>
      <c r="AI4949">
        <v>99.273470409488993</v>
      </c>
      <c r="AJ4949">
        <v>102.022340255684</v>
      </c>
      <c r="AK4949">
        <v>6.8968577144022403</v>
      </c>
      <c r="AL4949">
        <v>85.4831789769311</v>
      </c>
      <c r="AM4949">
        <v>94.094524684552198</v>
      </c>
      <c r="AN4949">
        <v>1.0000000055557501</v>
      </c>
    </row>
    <row r="4950" spans="1:40" x14ac:dyDescent="0.25">
      <c r="A4950" t="str">
        <f>"20190312151127464"</f>
        <v>20190312151127464</v>
      </c>
      <c r="B4950" t="str">
        <f>"1552374687456277"</f>
        <v>1552374687456277</v>
      </c>
      <c r="C4950" t="s">
        <v>40</v>
      </c>
      <c r="D4950">
        <v>5.1057949999999996</v>
      </c>
      <c r="E4950">
        <v>0.45214149999999997</v>
      </c>
      <c r="F4950" t="s">
        <v>42</v>
      </c>
      <c r="G4950">
        <v>-422.32470000000001</v>
      </c>
      <c r="H4950" s="1">
        <v>-3.9294309999999998E-6</v>
      </c>
      <c r="I4950">
        <v>57.321840000000002</v>
      </c>
      <c r="J4950">
        <v>-423.74579999999997</v>
      </c>
      <c r="K4950">
        <v>1.111405</v>
      </c>
      <c r="L4950">
        <v>63.989690000000003</v>
      </c>
      <c r="M4950">
        <v>5.1041040000000001E-4</v>
      </c>
      <c r="N4950">
        <v>0</v>
      </c>
      <c r="O4950">
        <v>-0.99991980000000003</v>
      </c>
      <c r="P4950">
        <v>7.2885130000000006E-2</v>
      </c>
      <c r="Q4950">
        <v>6.647132E-2</v>
      </c>
      <c r="R4950">
        <v>-0.99512299999999998</v>
      </c>
      <c r="S4950">
        <v>0.61300659999999996</v>
      </c>
      <c r="T4950">
        <v>-0.47890949999999999</v>
      </c>
      <c r="U4950">
        <v>-3.0029910000000002</v>
      </c>
      <c r="V4950">
        <v>-7.2632630000000004E-2</v>
      </c>
      <c r="W4950">
        <v>7.8828780000000001E-2</v>
      </c>
      <c r="X4950">
        <v>0.99423870000000003</v>
      </c>
      <c r="Y4950">
        <v>-0.19710920000000001</v>
      </c>
      <c r="Z4950">
        <v>0.15438979999999999</v>
      </c>
      <c r="AA4950">
        <v>0.96814860000000003</v>
      </c>
      <c r="AB4950">
        <v>30</v>
      </c>
      <c r="AC4950">
        <v>1.4210999999999601</v>
      </c>
      <c r="AD4950">
        <v>-1.1114089294309999</v>
      </c>
      <c r="AE4950">
        <v>-6.6678499999999996</v>
      </c>
      <c r="AF4950">
        <v>-1.38099534533492</v>
      </c>
      <c r="AG4950">
        <v>-1.1114089294309999</v>
      </c>
      <c r="AH4950">
        <v>6.4959406505388202</v>
      </c>
      <c r="AI4950">
        <v>99.500567424630802</v>
      </c>
      <c r="AJ4950">
        <v>102.002029859152</v>
      </c>
      <c r="AK4950">
        <v>6.7334703450433597</v>
      </c>
      <c r="AL4950">
        <v>85.478752998192803</v>
      </c>
      <c r="AM4950">
        <v>94.1782357090771</v>
      </c>
      <c r="AN4950">
        <v>1.0000000340373401</v>
      </c>
    </row>
    <row r="4951" spans="1:40" x14ac:dyDescent="0.25">
      <c r="A4951" t="str">
        <f>"20190312151127496"</f>
        <v>20190312151127496</v>
      </c>
      <c r="B4951" t="str">
        <f>"1552374687486534"</f>
        <v>1552374687486534</v>
      </c>
      <c r="C4951" t="s">
        <v>40</v>
      </c>
      <c r="D4951">
        <v>4.9974589999999903</v>
      </c>
      <c r="E4951">
        <v>0.45269100000000001</v>
      </c>
      <c r="F4951" t="s">
        <v>42</v>
      </c>
      <c r="G4951">
        <v>-422.30399999999997</v>
      </c>
      <c r="H4951" s="1">
        <v>-3.7833919999999998E-6</v>
      </c>
      <c r="I4951">
        <v>56.979280000000003</v>
      </c>
      <c r="J4951">
        <v>-423.74279999999999</v>
      </c>
      <c r="K4951">
        <v>1.1114029999999999</v>
      </c>
      <c r="L4951">
        <v>63.544739999999997</v>
      </c>
      <c r="M4951">
        <v>2.961694E-3</v>
      </c>
      <c r="N4951">
        <v>0</v>
      </c>
      <c r="O4951">
        <v>-0.99991569999999996</v>
      </c>
      <c r="P4951">
        <v>7.7201290000000006E-2</v>
      </c>
      <c r="Q4951">
        <v>6.6850640000000003E-2</v>
      </c>
      <c r="R4951">
        <v>-0.99477230000000005</v>
      </c>
      <c r="S4951">
        <v>0.61727909999999997</v>
      </c>
      <c r="T4951">
        <v>-0.47581390000000001</v>
      </c>
      <c r="U4951">
        <v>-3.0012819999999998</v>
      </c>
      <c r="V4951">
        <v>-7.4510549999999995E-2</v>
      </c>
      <c r="W4951">
        <v>7.9198130000000005E-2</v>
      </c>
      <c r="X4951">
        <v>0.99407040000000002</v>
      </c>
      <c r="Y4951">
        <v>-0.19616610000000001</v>
      </c>
      <c r="Z4951">
        <v>0.15349209999999999</v>
      </c>
      <c r="AA4951">
        <v>0.96848290000000004</v>
      </c>
      <c r="AB4951">
        <v>30</v>
      </c>
      <c r="AC4951">
        <v>1.4387999999999499</v>
      </c>
      <c r="AD4951">
        <v>-1.1114067833920001</v>
      </c>
      <c r="AE4951">
        <v>-6.5654599999999999</v>
      </c>
      <c r="AF4951">
        <v>-1.3815711413306599</v>
      </c>
      <c r="AG4951">
        <v>-1.1114067833920001</v>
      </c>
      <c r="AH4951">
        <v>6.3948396060136199</v>
      </c>
      <c r="AI4951">
        <v>99.641257059057395</v>
      </c>
      <c r="AJ4951">
        <v>102.191079597094</v>
      </c>
      <c r="AK4951">
        <v>6.63610860695995</v>
      </c>
      <c r="AL4951">
        <v>85.457524564441997</v>
      </c>
      <c r="AM4951">
        <v>94.286589613584596</v>
      </c>
      <c r="AN4951">
        <v>1.00000006300647</v>
      </c>
    </row>
    <row r="4952" spans="1:40" x14ac:dyDescent="0.25">
      <c r="A4952" t="str">
        <f>"20190312151127518"</f>
        <v>20190312151127518</v>
      </c>
      <c r="B4952" t="str">
        <f>"1552374687506053"</f>
        <v>1552374687506053</v>
      </c>
      <c r="C4952" t="s">
        <v>40</v>
      </c>
      <c r="D4952">
        <v>5.0481579999999999</v>
      </c>
      <c r="E4952">
        <v>0.45236229999999999</v>
      </c>
      <c r="F4952" t="s">
        <v>42</v>
      </c>
      <c r="G4952">
        <v>-422.24180000000001</v>
      </c>
      <c r="H4952" s="1">
        <v>-3.4948290000000001E-6</v>
      </c>
      <c r="I4952">
        <v>56.345199999999998</v>
      </c>
      <c r="J4952">
        <v>-423.74020000000002</v>
      </c>
      <c r="K4952">
        <v>1.111405</v>
      </c>
      <c r="L4952">
        <v>63.256259999999997</v>
      </c>
      <c r="M4952">
        <v>4.5505579999999997E-3</v>
      </c>
      <c r="N4952">
        <v>0</v>
      </c>
      <c r="O4952">
        <v>-0.99990979999999996</v>
      </c>
      <c r="P4952">
        <v>8.01283E-2</v>
      </c>
      <c r="Q4952">
        <v>6.6934439999999998E-2</v>
      </c>
      <c r="R4952">
        <v>-0.99453510000000001</v>
      </c>
      <c r="S4952">
        <v>0.62509159999999997</v>
      </c>
      <c r="T4952">
        <v>-0.46286139999999998</v>
      </c>
      <c r="U4952">
        <v>-2.9983520000000001</v>
      </c>
      <c r="V4952">
        <v>-7.5857620000000001E-2</v>
      </c>
      <c r="W4952">
        <v>7.9275609999999996E-2</v>
      </c>
      <c r="X4952">
        <v>0.99396229999999997</v>
      </c>
      <c r="Y4952">
        <v>-0.19734019999999999</v>
      </c>
      <c r="Z4952">
        <v>0.14949270000000001</v>
      </c>
      <c r="AA4952">
        <v>0.96886989999999995</v>
      </c>
      <c r="AB4952">
        <v>30</v>
      </c>
      <c r="AC4952">
        <v>1.4984</v>
      </c>
      <c r="AD4952">
        <v>-1.1114084948289999</v>
      </c>
      <c r="AE4952">
        <v>-6.9110599999999902</v>
      </c>
      <c r="AF4952">
        <v>-1.4315720357128601</v>
      </c>
      <c r="AG4952">
        <v>-1.1114084948289999</v>
      </c>
      <c r="AH4952">
        <v>6.7510521697157104</v>
      </c>
      <c r="AI4952">
        <v>99.148728524884106</v>
      </c>
      <c r="AJ4952">
        <v>101.972320692701</v>
      </c>
      <c r="AK4952">
        <v>6.9900881778441297</v>
      </c>
      <c r="AL4952">
        <v>85.453071123271997</v>
      </c>
      <c r="AM4952">
        <v>94.364262563275602</v>
      </c>
      <c r="AN4952">
        <v>1.0000000273371099</v>
      </c>
    </row>
    <row r="4953" spans="1:40" x14ac:dyDescent="0.25">
      <c r="A4953" t="str">
        <f>"20190312151127541"</f>
        <v>20190312151127541</v>
      </c>
      <c r="B4953" t="str">
        <f>"1552374687536311"</f>
        <v>1552374687536311</v>
      </c>
      <c r="C4953" t="s">
        <v>40</v>
      </c>
      <c r="D4953">
        <v>5.1428159999999998</v>
      </c>
      <c r="E4953">
        <v>0.41634019999999999</v>
      </c>
      <c r="F4953" t="s">
        <v>42</v>
      </c>
      <c r="G4953">
        <v>-422.19639999999998</v>
      </c>
      <c r="H4953" s="1">
        <v>-3.3295679999999998E-6</v>
      </c>
      <c r="I4953">
        <v>55.988169999999997</v>
      </c>
      <c r="J4953">
        <v>-423.73700000000002</v>
      </c>
      <c r="K4953">
        <v>1.1114090000000001</v>
      </c>
      <c r="L4953">
        <v>62.953130000000002</v>
      </c>
      <c r="M4953">
        <v>6.2208430000000002E-3</v>
      </c>
      <c r="N4953">
        <v>0</v>
      </c>
      <c r="O4953">
        <v>-0.99990060000000003</v>
      </c>
      <c r="P4953">
        <v>8.2501610000000003E-2</v>
      </c>
      <c r="Q4953">
        <v>6.7174059999999994E-2</v>
      </c>
      <c r="R4953">
        <v>-0.99432480000000001</v>
      </c>
      <c r="S4953">
        <v>0.63641359999999902</v>
      </c>
      <c r="T4953">
        <v>-0.4581422</v>
      </c>
      <c r="U4953">
        <v>-2.9960330000000002</v>
      </c>
      <c r="V4953">
        <v>-7.6570890000000003E-2</v>
      </c>
      <c r="W4953">
        <v>7.9510890000000001E-2</v>
      </c>
      <c r="X4953">
        <v>0.99388880000000002</v>
      </c>
      <c r="Y4953">
        <v>-0.1994049</v>
      </c>
      <c r="Z4953">
        <v>0.1480235</v>
      </c>
      <c r="AA4953">
        <v>0.96867270000000005</v>
      </c>
      <c r="AB4953">
        <v>30</v>
      </c>
      <c r="AC4953">
        <v>1.54059999999998</v>
      </c>
      <c r="AD4953">
        <v>-1.1114123295680001</v>
      </c>
      <c r="AE4953">
        <v>-6.9649599999999996</v>
      </c>
      <c r="AF4953">
        <v>-1.46175398490921</v>
      </c>
      <c r="AG4953">
        <v>-1.1114123295680001</v>
      </c>
      <c r="AH4953">
        <v>6.8091151319962</v>
      </c>
      <c r="AI4953">
        <v>99.067272059155698</v>
      </c>
      <c r="AJ4953">
        <v>102.11613845213201</v>
      </c>
      <c r="AK4953">
        <v>7.0523762633238301</v>
      </c>
      <c r="AL4953">
        <v>85.439547827477895</v>
      </c>
      <c r="AM4953">
        <v>94.405462330064793</v>
      </c>
      <c r="AN4953">
        <v>1.0000000147947099</v>
      </c>
    </row>
    <row r="4954" spans="1:40" x14ac:dyDescent="0.25">
      <c r="A4954" t="str">
        <f>"20190312151127562"</f>
        <v>20190312151127562</v>
      </c>
      <c r="B4954" t="str">
        <f>"1552374687556806"</f>
        <v>1552374687556806</v>
      </c>
      <c r="C4954" t="s">
        <v>40</v>
      </c>
      <c r="D4954">
        <v>5.1259810000000003</v>
      </c>
      <c r="E4954">
        <v>0.41469780000000001</v>
      </c>
      <c r="F4954" t="s">
        <v>42</v>
      </c>
      <c r="G4954">
        <v>-421.7176</v>
      </c>
      <c r="H4954" s="1">
        <v>-3.4241150000000002E-6</v>
      </c>
      <c r="I4954">
        <v>56.505510000000001</v>
      </c>
      <c r="J4954">
        <v>-423.73340000000002</v>
      </c>
      <c r="K4954">
        <v>1.111407</v>
      </c>
      <c r="L4954">
        <v>62.653440000000003</v>
      </c>
      <c r="M4954">
        <v>7.8721209999999993E-3</v>
      </c>
      <c r="N4954">
        <v>0</v>
      </c>
      <c r="O4954">
        <v>-0.99988900000000003</v>
      </c>
      <c r="P4954">
        <v>8.4662109999999999E-2</v>
      </c>
      <c r="Q4954">
        <v>6.7496780000000006E-2</v>
      </c>
      <c r="R4954">
        <v>-0.99412109999999998</v>
      </c>
      <c r="S4954">
        <v>0.9316101</v>
      </c>
      <c r="T4954">
        <v>-0.51272399999999996</v>
      </c>
      <c r="U4954">
        <v>-2.9744570000000001</v>
      </c>
      <c r="V4954">
        <v>-7.7090699999999998E-2</v>
      </c>
      <c r="W4954">
        <v>7.9830799999999993E-2</v>
      </c>
      <c r="X4954">
        <v>0.99382289999999995</v>
      </c>
      <c r="Y4954">
        <v>-0.28739389999999998</v>
      </c>
      <c r="Z4954">
        <v>0.162498799999999</v>
      </c>
      <c r="AA4954">
        <v>0.94392730000000002</v>
      </c>
      <c r="AB4954">
        <v>30</v>
      </c>
      <c r="AC4954">
        <v>2.0158000000000098</v>
      </c>
      <c r="AD4954">
        <v>-1.111410424115</v>
      </c>
      <c r="AE4954">
        <v>-6.1479299999999997</v>
      </c>
      <c r="AF4954">
        <v>-1.91094754192327</v>
      </c>
      <c r="AG4954">
        <v>-1.111410424115</v>
      </c>
      <c r="AH4954">
        <v>5.9869446407008802</v>
      </c>
      <c r="AI4954">
        <v>100.028994897952</v>
      </c>
      <c r="AJ4954">
        <v>107.702343162172</v>
      </c>
      <c r="AK4954">
        <v>6.3820419749192396</v>
      </c>
      <c r="AL4954">
        <v>85.421159561676205</v>
      </c>
      <c r="AM4954">
        <v>94.435543296189906</v>
      </c>
      <c r="AN4954">
        <v>0.99999994460976804</v>
      </c>
    </row>
    <row r="4955" spans="1:40" x14ac:dyDescent="0.25">
      <c r="A4955" t="str">
        <f>"20190312151127586"</f>
        <v>20190312151127586</v>
      </c>
      <c r="B4955" t="str">
        <f>"1552374687576330"</f>
        <v>1552374687576330</v>
      </c>
      <c r="C4955" t="s">
        <v>40</v>
      </c>
      <c r="D4955">
        <v>5.1223210000000003</v>
      </c>
      <c r="E4955">
        <v>0.41402810000000001</v>
      </c>
      <c r="F4955" t="s">
        <v>42</v>
      </c>
      <c r="G4955">
        <v>-421.6943</v>
      </c>
      <c r="H4955" s="1">
        <v>-3.3247889999999998E-6</v>
      </c>
      <c r="I4955">
        <v>56.288409999999999</v>
      </c>
      <c r="J4955">
        <v>-423.72910000000002</v>
      </c>
      <c r="K4955">
        <v>1.11141</v>
      </c>
      <c r="L4955">
        <v>62.347439999999999</v>
      </c>
      <c r="M4955">
        <v>9.5583079999999997E-3</v>
      </c>
      <c r="N4955">
        <v>0</v>
      </c>
      <c r="O4955">
        <v>-0.99987440000000005</v>
      </c>
      <c r="P4955">
        <v>8.7157360000000003E-2</v>
      </c>
      <c r="Q4955">
        <v>6.7274909999999993E-2</v>
      </c>
      <c r="R4955">
        <v>-0.99392049999999998</v>
      </c>
      <c r="S4955">
        <v>0.95205689999999998</v>
      </c>
      <c r="T4955">
        <v>-0.5189281</v>
      </c>
      <c r="U4955">
        <v>-2.9718930000000001</v>
      </c>
      <c r="V4955">
        <v>-7.7909539999999999E-2</v>
      </c>
      <c r="W4955">
        <v>7.9605029999999993E-2</v>
      </c>
      <c r="X4955">
        <v>0.99377720000000003</v>
      </c>
      <c r="Y4955">
        <v>-0.29182259999999999</v>
      </c>
      <c r="Z4955">
        <v>0.164263299999999</v>
      </c>
      <c r="AA4955">
        <v>0.94226169999999998</v>
      </c>
      <c r="AB4955">
        <v>30</v>
      </c>
      <c r="AC4955">
        <v>2.0348000000000099</v>
      </c>
      <c r="AD4955">
        <v>-1.1114133247889999</v>
      </c>
      <c r="AE4955">
        <v>-6.0590299999999999</v>
      </c>
      <c r="AF4955">
        <v>-1.91877092527389</v>
      </c>
      <c r="AG4955">
        <v>-1.1114133247889999</v>
      </c>
      <c r="AH4955">
        <v>5.89981278430876</v>
      </c>
      <c r="AI4955">
        <v>100.156514489015</v>
      </c>
      <c r="AJ4955">
        <v>108.015858675638</v>
      </c>
      <c r="AK4955">
        <v>6.3027543448946197</v>
      </c>
      <c r="AL4955">
        <v>85.434136738999499</v>
      </c>
      <c r="AM4955">
        <v>94.482670925096599</v>
      </c>
      <c r="AN4955">
        <v>0.99999999023207597</v>
      </c>
    </row>
    <row r="4956" spans="1:40" x14ac:dyDescent="0.25">
      <c r="A4956" t="str">
        <f>"20190312151127607"</f>
        <v>20190312151127607</v>
      </c>
      <c r="B4956" t="str">
        <f>"1552374687595846"</f>
        <v>1552374687595846</v>
      </c>
      <c r="C4956" t="s">
        <v>40</v>
      </c>
      <c r="D4956">
        <v>5.1036739999999998</v>
      </c>
      <c r="E4956">
        <v>0.41425719999999999</v>
      </c>
      <c r="F4956" t="s">
        <v>42</v>
      </c>
      <c r="G4956">
        <v>-421.72890000000001</v>
      </c>
      <c r="H4956" s="1">
        <v>-3.2923319999999998E-6</v>
      </c>
      <c r="I4956">
        <v>56.191299999999998</v>
      </c>
      <c r="J4956">
        <v>-423.72460000000001</v>
      </c>
      <c r="K4956">
        <v>1.1114040000000001</v>
      </c>
      <c r="L4956">
        <v>62.056150000000002</v>
      </c>
      <c r="M4956">
        <v>1.11637E-2</v>
      </c>
      <c r="N4956">
        <v>0</v>
      </c>
      <c r="O4956">
        <v>-0.99985780000000002</v>
      </c>
      <c r="P4956">
        <v>8.9110049999999996E-2</v>
      </c>
      <c r="Q4956">
        <v>6.7291009999999998E-2</v>
      </c>
      <c r="R4956">
        <v>-0.99374660000000004</v>
      </c>
      <c r="S4956">
        <v>0.96499630000000003</v>
      </c>
      <c r="T4956">
        <v>-0.53620159999999994</v>
      </c>
      <c r="U4956">
        <v>-2.9700319999999998</v>
      </c>
      <c r="V4956">
        <v>-7.8266730000000007E-2</v>
      </c>
      <c r="W4956">
        <v>7.9618800000000003E-2</v>
      </c>
      <c r="X4956">
        <v>0.99374810000000002</v>
      </c>
      <c r="Y4956">
        <v>-0.2939042</v>
      </c>
      <c r="Z4956">
        <v>0.16950100000000001</v>
      </c>
      <c r="AA4956">
        <v>0.94068580000000002</v>
      </c>
      <c r="AB4956">
        <v>30</v>
      </c>
      <c r="AC4956">
        <v>1.9957</v>
      </c>
      <c r="AD4956">
        <v>-1.111407292332</v>
      </c>
      <c r="AE4956">
        <v>-5.8648499999999997</v>
      </c>
      <c r="AF4956">
        <v>-1.8699143078511</v>
      </c>
      <c r="AG4956">
        <v>-1.111407292332</v>
      </c>
      <c r="AH4956">
        <v>5.7032094931897896</v>
      </c>
      <c r="AI4956">
        <v>100.490909873105</v>
      </c>
      <c r="AJ4956">
        <v>108.15279256999</v>
      </c>
      <c r="AK4956">
        <v>6.1039662688587297</v>
      </c>
      <c r="AL4956">
        <v>85.433345584550594</v>
      </c>
      <c r="AM4956">
        <v>94.503269505508896</v>
      </c>
      <c r="AN4956">
        <v>1.00000006029596</v>
      </c>
    </row>
    <row r="4957" spans="1:40" x14ac:dyDescent="0.25">
      <c r="A4957" t="str">
        <f>"20190312151127630"</f>
        <v>20190312151127630</v>
      </c>
      <c r="B4957" t="str">
        <f>"1552374687626681"</f>
        <v>1552374687626681</v>
      </c>
      <c r="C4957" t="s">
        <v>40</v>
      </c>
      <c r="D4957">
        <v>5.1109289999999996</v>
      </c>
      <c r="E4957">
        <v>0.41426299999999999</v>
      </c>
      <c r="F4957" t="s">
        <v>42</v>
      </c>
      <c r="G4957">
        <v>-421.71949999999998</v>
      </c>
      <c r="H4957" s="1">
        <v>-3.169035E-6</v>
      </c>
      <c r="I4957">
        <v>55.909739999999999</v>
      </c>
      <c r="J4957">
        <v>-423.71929999999998</v>
      </c>
      <c r="K4957">
        <v>1.11141</v>
      </c>
      <c r="L4957">
        <v>61.752229999999997</v>
      </c>
      <c r="M4957">
        <v>1.283893E-2</v>
      </c>
      <c r="N4957">
        <v>0</v>
      </c>
      <c r="O4957">
        <v>-0.99983759999999999</v>
      </c>
      <c r="P4957">
        <v>9.1396820000000004E-2</v>
      </c>
      <c r="Q4957">
        <v>6.7074159999999994E-2</v>
      </c>
      <c r="R4957">
        <v>-0.99355329999999997</v>
      </c>
      <c r="S4957">
        <v>0.96835329999999997</v>
      </c>
      <c r="T4957">
        <v>-0.53674880000000003</v>
      </c>
      <c r="U4957">
        <v>-2.9683839999999999</v>
      </c>
      <c r="V4957">
        <v>-7.8888390000000003E-2</v>
      </c>
      <c r="W4957">
        <v>7.9399209999999998E-2</v>
      </c>
      <c r="X4957">
        <v>0.9937165</v>
      </c>
      <c r="Y4957">
        <v>-0.29340820000000001</v>
      </c>
      <c r="Z4957">
        <v>0.1697359</v>
      </c>
      <c r="AA4957">
        <v>0.94079829999999998</v>
      </c>
      <c r="AB4957">
        <v>30</v>
      </c>
      <c r="AC4957">
        <v>1.99979999999999</v>
      </c>
      <c r="AD4957">
        <v>-1.111413169035</v>
      </c>
      <c r="AE4957">
        <v>-5.8424899999999997</v>
      </c>
      <c r="AF4957">
        <v>-1.8642313371078401</v>
      </c>
      <c r="AG4957">
        <v>-1.111413169035</v>
      </c>
      <c r="AH4957">
        <v>5.6835821852703701</v>
      </c>
      <c r="AI4957">
        <v>100.52598123112701</v>
      </c>
      <c r="AJ4957">
        <v>108.159639556038</v>
      </c>
      <c r="AK4957">
        <v>6.0838889016222204</v>
      </c>
      <c r="AL4957">
        <v>85.445967063557305</v>
      </c>
      <c r="AM4957">
        <v>94.539033107102199</v>
      </c>
      <c r="AN4957">
        <v>1.00000004749883</v>
      </c>
    </row>
    <row r="4958" spans="1:40" x14ac:dyDescent="0.25">
      <c r="A4958" t="str">
        <f>"20190312151127654"</f>
        <v>20190312151127654</v>
      </c>
      <c r="B4958" t="str">
        <f>"1552374687646201"</f>
        <v>1552374687646201</v>
      </c>
      <c r="C4958" t="s">
        <v>40</v>
      </c>
      <c r="D4958">
        <v>5.0878940000000004</v>
      </c>
      <c r="E4958">
        <v>0.41439609999999899</v>
      </c>
      <c r="F4958" t="s">
        <v>42</v>
      </c>
      <c r="G4958">
        <v>-421.7276</v>
      </c>
      <c r="H4958" s="1">
        <v>-3.0785350000000002E-6</v>
      </c>
      <c r="I4958">
        <v>55.693759999999997</v>
      </c>
      <c r="J4958">
        <v>-423.71359999999999</v>
      </c>
      <c r="K4958">
        <v>1.1114059999999999</v>
      </c>
      <c r="L4958">
        <v>61.443539999999999</v>
      </c>
      <c r="M4958">
        <v>1.454076E-2</v>
      </c>
      <c r="N4958">
        <v>0</v>
      </c>
      <c r="O4958">
        <v>-0.99981439999999999</v>
      </c>
      <c r="P4958">
        <v>9.3562709999999993E-2</v>
      </c>
      <c r="Q4958">
        <v>6.697757E-2</v>
      </c>
      <c r="R4958">
        <v>-0.99335779999999996</v>
      </c>
      <c r="S4958">
        <v>0.97525019999999996</v>
      </c>
      <c r="T4958">
        <v>-0.54419659999999903</v>
      </c>
      <c r="U4958">
        <v>-2.9664920000000001</v>
      </c>
      <c r="V4958">
        <v>-7.9363320000000001E-2</v>
      </c>
      <c r="W4958">
        <v>7.9299850000000005E-2</v>
      </c>
      <c r="X4958">
        <v>0.99368659999999998</v>
      </c>
      <c r="Y4958">
        <v>-0.29381099999999999</v>
      </c>
      <c r="Z4958">
        <v>0.17204439999999999</v>
      </c>
      <c r="AA4958">
        <v>0.94025309999999995</v>
      </c>
      <c r="AB4958">
        <v>30</v>
      </c>
      <c r="AC4958">
        <v>1.98599999999998</v>
      </c>
      <c r="AD4958">
        <v>-1.1114090785349999</v>
      </c>
      <c r="AE4958">
        <v>-5.7497800000000003</v>
      </c>
      <c r="AF4958">
        <v>-1.8407319734018699</v>
      </c>
      <c r="AG4958">
        <v>-1.1114090785349999</v>
      </c>
      <c r="AH4958">
        <v>5.59140643547601</v>
      </c>
      <c r="AI4958">
        <v>100.69176257446</v>
      </c>
      <c r="AJ4958">
        <v>108.22192370718901</v>
      </c>
      <c r="AK4958">
        <v>5.9906051667954703</v>
      </c>
      <c r="AL4958">
        <v>85.451677903609706</v>
      </c>
      <c r="AM4958">
        <v>94.566380945923996</v>
      </c>
      <c r="AN4958">
        <v>1.0000000308954999</v>
      </c>
    </row>
    <row r="4959" spans="1:40" x14ac:dyDescent="0.25">
      <c r="A4959" t="str">
        <f>"20190312151127675"</f>
        <v>20190312151127675</v>
      </c>
      <c r="B4959" t="str">
        <f>"1552374687666698"</f>
        <v>1552374687666698</v>
      </c>
      <c r="C4959" t="s">
        <v>40</v>
      </c>
      <c r="D4959">
        <v>5.0344239999999996</v>
      </c>
      <c r="E4959">
        <v>0.41437479999999899</v>
      </c>
      <c r="F4959" t="s">
        <v>42</v>
      </c>
      <c r="G4959">
        <v>-421.73869999999999</v>
      </c>
      <c r="H4959" s="1">
        <v>-2.9879689999999998E-6</v>
      </c>
      <c r="I4959">
        <v>55.475720000000003</v>
      </c>
      <c r="J4959">
        <v>-423.70749999999998</v>
      </c>
      <c r="K4959">
        <v>1.1114040000000001</v>
      </c>
      <c r="L4959">
        <v>61.148350000000001</v>
      </c>
      <c r="M4959">
        <v>1.616855E-2</v>
      </c>
      <c r="N4959">
        <v>0</v>
      </c>
      <c r="O4959">
        <v>-0.9997895</v>
      </c>
      <c r="P4959">
        <v>9.5723379999999997E-2</v>
      </c>
      <c r="Q4959">
        <v>6.707196E-2</v>
      </c>
      <c r="R4959">
        <v>-0.99314610000000003</v>
      </c>
      <c r="S4959">
        <v>0.98110960000000003</v>
      </c>
      <c r="T4959">
        <v>-0.55215919999999996</v>
      </c>
      <c r="U4959">
        <v>-2.964874</v>
      </c>
      <c r="V4959">
        <v>-7.9907160000000005E-2</v>
      </c>
      <c r="W4959">
        <v>7.9391110000000001E-2</v>
      </c>
      <c r="X4959">
        <v>0.99363570000000001</v>
      </c>
      <c r="Y4959">
        <v>-0.29394949999999997</v>
      </c>
      <c r="Z4959">
        <v>0.17450869999999999</v>
      </c>
      <c r="AA4959">
        <v>0.93975549999999997</v>
      </c>
      <c r="AB4959">
        <v>30</v>
      </c>
      <c r="AC4959">
        <v>1.9687999999999799</v>
      </c>
      <c r="AD4959">
        <v>-1.1114069879690001</v>
      </c>
      <c r="AE4959">
        <v>-5.6726299999999998</v>
      </c>
      <c r="AF4959">
        <v>-1.8146480203653499</v>
      </c>
      <c r="AG4959">
        <v>-1.1114069879690001</v>
      </c>
      <c r="AH4959">
        <v>5.5147892360491504</v>
      </c>
      <c r="AI4959">
        <v>100.83728026455999</v>
      </c>
      <c r="AJ4959">
        <v>108.21385258139</v>
      </c>
      <c r="AK4959">
        <v>5.9110974656797701</v>
      </c>
      <c r="AL4959">
        <v>85.446432427989706</v>
      </c>
      <c r="AM4959">
        <v>94.597773046360601</v>
      </c>
      <c r="AN4959">
        <v>1.00000000344039</v>
      </c>
    </row>
    <row r="4960" spans="1:40" x14ac:dyDescent="0.25">
      <c r="A4960" t="str">
        <f>"20190312151127697"</f>
        <v>20190312151127697</v>
      </c>
      <c r="B4960" t="str">
        <f>"1552374687686218"</f>
        <v>1552374687686218</v>
      </c>
      <c r="C4960" t="s">
        <v>40</v>
      </c>
      <c r="D4960">
        <v>5.0177350000000001</v>
      </c>
      <c r="E4960">
        <v>0.41452060000000002</v>
      </c>
      <c r="F4960" t="s">
        <v>42</v>
      </c>
      <c r="G4960">
        <v>-421.7235</v>
      </c>
      <c r="H4960" s="1">
        <v>-2.8655349999999998E-6</v>
      </c>
      <c r="I4960">
        <v>55.199779999999997</v>
      </c>
      <c r="J4960">
        <v>-423.70089999999999</v>
      </c>
      <c r="K4960">
        <v>1.1114090000000001</v>
      </c>
      <c r="L4960">
        <v>60.850709999999999</v>
      </c>
      <c r="M4960">
        <v>1.7808899999999999E-2</v>
      </c>
      <c r="N4960">
        <v>0</v>
      </c>
      <c r="O4960">
        <v>-0.99976160000000003</v>
      </c>
      <c r="P4960">
        <v>9.7880129999999996E-2</v>
      </c>
      <c r="Q4960">
        <v>6.7024890000000004E-2</v>
      </c>
      <c r="R4960">
        <v>-0.99293889999999996</v>
      </c>
      <c r="S4960">
        <v>0.98815920000000002</v>
      </c>
      <c r="T4960">
        <v>-0.55356349999999999</v>
      </c>
      <c r="U4960">
        <v>-2.9628299999999999</v>
      </c>
      <c r="V4960">
        <v>-8.0435270000000003E-2</v>
      </c>
      <c r="W4960">
        <v>7.9341199999999903E-2</v>
      </c>
      <c r="X4960">
        <v>0.99359710000000001</v>
      </c>
      <c r="Y4960">
        <v>-0.29456559999999998</v>
      </c>
      <c r="Z4960">
        <v>0.17496329999999999</v>
      </c>
      <c r="AA4960">
        <v>0.93947800000000004</v>
      </c>
      <c r="AB4960">
        <v>30</v>
      </c>
      <c r="AC4960">
        <v>1.9773999999999801</v>
      </c>
      <c r="AD4960">
        <v>-1.111411865535</v>
      </c>
      <c r="AE4960">
        <v>-5.65092999999999</v>
      </c>
      <c r="AF4960">
        <v>-1.81392930002427</v>
      </c>
      <c r="AG4960">
        <v>-1.111411865535</v>
      </c>
      <c r="AH4960">
        <v>5.49585210165775</v>
      </c>
      <c r="AI4960">
        <v>100.87061575416</v>
      </c>
      <c r="AJ4960">
        <v>108.265692532488</v>
      </c>
      <c r="AK4960">
        <v>5.89321356847302</v>
      </c>
      <c r="AL4960">
        <v>85.449301221057596</v>
      </c>
      <c r="AM4960">
        <v>94.628207376436507</v>
      </c>
      <c r="AN4960">
        <v>1.00000002790291</v>
      </c>
    </row>
    <row r="4961" spans="1:40" x14ac:dyDescent="0.25">
      <c r="A4961" t="str">
        <f>"20190312151127719"</f>
        <v>20190312151127719</v>
      </c>
      <c r="B4961" t="str">
        <f>"1552374687716073"</f>
        <v>1552374687716073</v>
      </c>
      <c r="C4961" t="s">
        <v>40</v>
      </c>
      <c r="D4961">
        <v>5.0389799999999996</v>
      </c>
      <c r="E4961">
        <v>0.41454239999999998</v>
      </c>
      <c r="F4961" t="s">
        <v>42</v>
      </c>
      <c r="G4961">
        <v>-421.70890000000003</v>
      </c>
      <c r="H4961" s="1">
        <v>-2.7378179999999999E-6</v>
      </c>
      <c r="I4961">
        <v>54.911119999999997</v>
      </c>
      <c r="J4961">
        <v>-423.69400000000002</v>
      </c>
      <c r="K4961">
        <v>1.111408</v>
      </c>
      <c r="L4961">
        <v>60.55988</v>
      </c>
      <c r="M4961">
        <v>1.9409559999999999E-2</v>
      </c>
      <c r="N4961">
        <v>0</v>
      </c>
      <c r="O4961">
        <v>-0.99973179999999995</v>
      </c>
      <c r="P4961">
        <v>0.10033250000000001</v>
      </c>
      <c r="Q4961">
        <v>6.7072870000000007E-2</v>
      </c>
      <c r="R4961">
        <v>-0.99269090000000004</v>
      </c>
      <c r="S4961">
        <v>0.99301150000000005</v>
      </c>
      <c r="T4961">
        <v>-0.55403139999999995</v>
      </c>
      <c r="U4961">
        <v>-2.9608460000000001</v>
      </c>
      <c r="V4961">
        <v>-8.1299150000000001E-2</v>
      </c>
      <c r="W4961">
        <v>7.9384460000000004E-2</v>
      </c>
      <c r="X4961">
        <v>0.9935233</v>
      </c>
      <c r="Y4961">
        <v>-0.29460069999999999</v>
      </c>
      <c r="Z4961">
        <v>0.1751627</v>
      </c>
      <c r="AA4961">
        <v>0.93942990000000004</v>
      </c>
      <c r="AB4961">
        <v>30</v>
      </c>
      <c r="AC4961">
        <v>1.9850999999999801</v>
      </c>
      <c r="AD4961">
        <v>-1.111410737818</v>
      </c>
      <c r="AE4961">
        <v>-5.6487600000000002</v>
      </c>
      <c r="AF4961">
        <v>-1.8126207715942799</v>
      </c>
      <c r="AG4961">
        <v>-1.111410737818</v>
      </c>
      <c r="AH4961">
        <v>5.4968274229875398</v>
      </c>
      <c r="AI4961">
        <v>100.86965847742501</v>
      </c>
      <c r="AJ4961">
        <v>108.250365905843</v>
      </c>
      <c r="AK4961">
        <v>5.8937203537205596</v>
      </c>
      <c r="AL4961">
        <v>85.446814617167405</v>
      </c>
      <c r="AM4961">
        <v>94.678041127860396</v>
      </c>
      <c r="AN4961">
        <v>0.99999999596155198</v>
      </c>
    </row>
    <row r="4962" spans="1:40" x14ac:dyDescent="0.25">
      <c r="A4962" t="str">
        <f>"20190312151127742"</f>
        <v>20190312151127742</v>
      </c>
      <c r="B4962" t="str">
        <f>"1552374687736567"</f>
        <v>1552374687736567</v>
      </c>
      <c r="C4962" t="s">
        <v>40</v>
      </c>
      <c r="D4962">
        <v>5.0235000000000003</v>
      </c>
      <c r="E4962">
        <v>0.41451579999999899</v>
      </c>
      <c r="F4962" t="s">
        <v>42</v>
      </c>
      <c r="G4962">
        <v>-421.709</v>
      </c>
      <c r="H4962" s="1">
        <v>-2.6425670000000001E-6</v>
      </c>
      <c r="I4962">
        <v>54.689030000000002</v>
      </c>
      <c r="J4962">
        <v>-423.68619999999999</v>
      </c>
      <c r="K4962">
        <v>1.1114040000000001</v>
      </c>
      <c r="L4962">
        <v>60.254269999999998</v>
      </c>
      <c r="M4962">
        <v>2.108759E-2</v>
      </c>
      <c r="N4962">
        <v>0</v>
      </c>
      <c r="O4962">
        <v>-0.99969790000000003</v>
      </c>
      <c r="P4962">
        <v>0.1028051</v>
      </c>
      <c r="Q4962">
        <v>6.6879439999999998E-2</v>
      </c>
      <c r="R4962">
        <v>-0.99245099999999997</v>
      </c>
      <c r="S4962">
        <v>1.000427</v>
      </c>
      <c r="T4962">
        <v>-0.56013610000000003</v>
      </c>
      <c r="U4962">
        <v>-2.9588320000000001</v>
      </c>
      <c r="V4962">
        <v>-8.2105789999999998E-2</v>
      </c>
      <c r="W4962">
        <v>7.9187670000000002E-2</v>
      </c>
      <c r="X4962">
        <v>0.99347269999999999</v>
      </c>
      <c r="Y4962">
        <v>-0.29519899999999999</v>
      </c>
      <c r="Z4962">
        <v>0.17704829999999999</v>
      </c>
      <c r="AA4962">
        <v>0.93888839999999996</v>
      </c>
      <c r="AB4962">
        <v>30</v>
      </c>
      <c r="AC4962">
        <v>1.9771999999999801</v>
      </c>
      <c r="AD4962">
        <v>-1.1114066425669999</v>
      </c>
      <c r="AE4962">
        <v>-5.5652399999999904</v>
      </c>
      <c r="AF4962">
        <v>-1.7957999687924799</v>
      </c>
      <c r="AG4962">
        <v>-1.1114066425669999</v>
      </c>
      <c r="AH4962">
        <v>5.41397845064653</v>
      </c>
      <c r="AI4962">
        <v>101.025683966811</v>
      </c>
      <c r="AJ4962">
        <v>108.35052373945</v>
      </c>
      <c r="AK4962">
        <v>5.81130664456128</v>
      </c>
      <c r="AL4962">
        <v>85.458125601375798</v>
      </c>
      <c r="AM4962">
        <v>94.724486534423605</v>
      </c>
      <c r="AN4962">
        <v>1.0000000267384199</v>
      </c>
    </row>
    <row r="4963" spans="1:40" x14ac:dyDescent="0.25">
      <c r="A4963" t="str">
        <f>"20190312151127763"</f>
        <v>20190312151127763</v>
      </c>
      <c r="B4963" t="str">
        <f>"1552374687756088"</f>
        <v>1552374687756088</v>
      </c>
      <c r="C4963" t="s">
        <v>40</v>
      </c>
      <c r="D4963">
        <v>4.9859159999999996</v>
      </c>
      <c r="E4963">
        <v>0.41467369999999998</v>
      </c>
      <c r="F4963" t="s">
        <v>42</v>
      </c>
      <c r="G4963">
        <v>-421.68079999999998</v>
      </c>
      <c r="H4963" s="1">
        <v>-2.4999509999999999E-6</v>
      </c>
      <c r="I4963">
        <v>54.374049999999997</v>
      </c>
      <c r="J4963">
        <v>-423.67829999999998</v>
      </c>
      <c r="K4963">
        <v>1.1114010000000001</v>
      </c>
      <c r="L4963">
        <v>59.961669999999998</v>
      </c>
      <c r="M4963">
        <v>2.2691880000000001E-2</v>
      </c>
      <c r="N4963">
        <v>0</v>
      </c>
      <c r="O4963">
        <v>-0.99966250000000001</v>
      </c>
      <c r="P4963">
        <v>0.1055359</v>
      </c>
      <c r="Q4963">
        <v>6.6828020000000002E-2</v>
      </c>
      <c r="R4963">
        <v>-0.99216740000000003</v>
      </c>
      <c r="S4963">
        <v>1.0081180000000001</v>
      </c>
      <c r="T4963">
        <v>-0.55871110000000002</v>
      </c>
      <c r="U4963">
        <v>-2.9560240000000002</v>
      </c>
      <c r="V4963">
        <v>-8.3245899999999998E-2</v>
      </c>
      <c r="W4963">
        <v>7.9131590000000002E-2</v>
      </c>
      <c r="X4963">
        <v>0.99338230000000005</v>
      </c>
      <c r="Y4963">
        <v>-0.29615140000000001</v>
      </c>
      <c r="Z4963">
        <v>0.17666089999999901</v>
      </c>
      <c r="AA4963">
        <v>0.93866139999999998</v>
      </c>
      <c r="AB4963">
        <v>30</v>
      </c>
      <c r="AC4963">
        <v>1.9975000000000001</v>
      </c>
      <c r="AD4963">
        <v>-1.1114034999510001</v>
      </c>
      <c r="AE4963">
        <v>-5.5876200000000003</v>
      </c>
      <c r="AF4963">
        <v>-1.8067993983735999</v>
      </c>
      <c r="AG4963">
        <v>-1.1114034999510001</v>
      </c>
      <c r="AH4963">
        <v>5.44065379169695</v>
      </c>
      <c r="AI4963">
        <v>100.971644816668</v>
      </c>
      <c r="AJ4963">
        <v>108.37093122531</v>
      </c>
      <c r="AK4963">
        <v>5.8395595284895396</v>
      </c>
      <c r="AL4963">
        <v>85.461348929026698</v>
      </c>
      <c r="AM4963">
        <v>94.790220826910598</v>
      </c>
      <c r="AN4963">
        <v>1.0000000411780099</v>
      </c>
    </row>
    <row r="4964" spans="1:40" x14ac:dyDescent="0.25">
      <c r="A4964" t="str">
        <f>"20190312151127786"</f>
        <v>20190312151127786</v>
      </c>
      <c r="B4964" t="str">
        <f>"1552374687776584"</f>
        <v>1552374687776584</v>
      </c>
      <c r="C4964" t="s">
        <v>40</v>
      </c>
      <c r="D4964">
        <v>5.0283119999999997</v>
      </c>
      <c r="E4964">
        <v>0.41746630000000001</v>
      </c>
      <c r="F4964" t="s">
        <v>42</v>
      </c>
      <c r="G4964">
        <v>-421.66289999999998</v>
      </c>
      <c r="H4964" s="1">
        <v>-2.3741470000000001E-6</v>
      </c>
      <c r="I4964">
        <v>54.091929999999998</v>
      </c>
      <c r="J4964">
        <v>-423.6696</v>
      </c>
      <c r="K4964">
        <v>1.1113980000000001</v>
      </c>
      <c r="L4964">
        <v>59.661960000000001</v>
      </c>
      <c r="M4964">
        <v>2.4332619999999999E-2</v>
      </c>
      <c r="N4964">
        <v>0</v>
      </c>
      <c r="O4964">
        <v>-0.99962410000000002</v>
      </c>
      <c r="P4964">
        <v>0.1080648</v>
      </c>
      <c r="Q4964">
        <v>6.6243800000000005E-2</v>
      </c>
      <c r="R4964">
        <v>-0.99193469999999995</v>
      </c>
      <c r="S4964">
        <v>1.0140690000000001</v>
      </c>
      <c r="T4964">
        <v>-0.55922689999999997</v>
      </c>
      <c r="U4964">
        <v>-2.9534910000000001</v>
      </c>
      <c r="V4964">
        <v>-8.4145029999999996E-2</v>
      </c>
      <c r="W4964">
        <v>7.8543580000000002E-2</v>
      </c>
      <c r="X4964">
        <v>0.99335320000000005</v>
      </c>
      <c r="Y4964">
        <v>-0.29651260000000002</v>
      </c>
      <c r="Z4964">
        <v>0.17688309999999999</v>
      </c>
      <c r="AA4964">
        <v>0.93850549999999999</v>
      </c>
      <c r="AB4964">
        <v>30</v>
      </c>
      <c r="AC4964">
        <v>2.0067000000000199</v>
      </c>
      <c r="AD4964">
        <v>-1.111400374147</v>
      </c>
      <c r="AE4964">
        <v>-5.5700299999999903</v>
      </c>
      <c r="AF4964">
        <v>-1.8068880452687599</v>
      </c>
      <c r="AG4964">
        <v>-1.111400374147</v>
      </c>
      <c r="AH4964">
        <v>5.4260041196239301</v>
      </c>
      <c r="AI4964">
        <v>100.99758181999201</v>
      </c>
      <c r="AJ4964">
        <v>108.418030923476</v>
      </c>
      <c r="AK4964">
        <v>5.8259399160963801</v>
      </c>
      <c r="AL4964">
        <v>85.495144558886807</v>
      </c>
      <c r="AM4964">
        <v>94.841855997063504</v>
      </c>
      <c r="AN4964">
        <v>1.0000000299915699</v>
      </c>
    </row>
    <row r="4965" spans="1:40" x14ac:dyDescent="0.25">
      <c r="A4965" t="str">
        <f>"20190312151127830"</f>
        <v>20190312151127830</v>
      </c>
      <c r="B4965" t="str">
        <f>"1552374687825967"</f>
        <v>1552374687825967</v>
      </c>
      <c r="C4965" t="s">
        <v>40</v>
      </c>
      <c r="D4965">
        <v>4.9779109999999998</v>
      </c>
      <c r="E4965">
        <v>0.42401680000000003</v>
      </c>
      <c r="F4965" t="s">
        <v>42</v>
      </c>
      <c r="G4965">
        <v>-421.67320000000001</v>
      </c>
      <c r="H4965" s="1">
        <v>-2.2335739999999998E-6</v>
      </c>
      <c r="I4965">
        <v>53.75788</v>
      </c>
      <c r="J4965">
        <v>-423.65120000000002</v>
      </c>
      <c r="K4965">
        <v>1.1113879999999901</v>
      </c>
      <c r="L4965">
        <v>59.068330000000003</v>
      </c>
      <c r="M4965">
        <v>2.7576639999999999E-2</v>
      </c>
      <c r="N4965">
        <v>0</v>
      </c>
      <c r="O4965">
        <v>-0.99953979999999998</v>
      </c>
      <c r="P4965">
        <v>0.1137938</v>
      </c>
      <c r="Q4965">
        <v>6.5484780000000006E-2</v>
      </c>
      <c r="R4965">
        <v>-0.99134389999999994</v>
      </c>
      <c r="S4965">
        <v>0.99847410000000003</v>
      </c>
      <c r="T4965">
        <v>-0.55583000000000005</v>
      </c>
      <c r="U4965">
        <v>-2.952728</v>
      </c>
      <c r="V4965">
        <v>-8.6657609999999996E-2</v>
      </c>
      <c r="W4965">
        <v>7.777394E-2</v>
      </c>
      <c r="X4965">
        <v>0.99319769999999996</v>
      </c>
      <c r="Y4965">
        <v>-0.2890817</v>
      </c>
      <c r="Z4965">
        <v>0.17620939999999999</v>
      </c>
      <c r="AA4965">
        <v>0.94094739999999999</v>
      </c>
      <c r="AB4965">
        <v>30</v>
      </c>
      <c r="AC4965">
        <v>1.978</v>
      </c>
      <c r="AD4965">
        <v>-1.11139023357399</v>
      </c>
      <c r="AE4965">
        <v>-5.3104499999999897</v>
      </c>
      <c r="AF4965">
        <v>-1.7629813580526601</v>
      </c>
      <c r="AG4965">
        <v>-1.11139023357399</v>
      </c>
      <c r="AH4965">
        <v>5.1643429743612401</v>
      </c>
      <c r="AI4965">
        <v>101.511662285749</v>
      </c>
      <c r="AJ4965">
        <v>108.84865934772201</v>
      </c>
      <c r="AK4965">
        <v>5.5689972056878601</v>
      </c>
      <c r="AL4965">
        <v>85.539376855112593</v>
      </c>
      <c r="AM4965">
        <v>94.986492767564499</v>
      </c>
      <c r="AN4965">
        <v>0.99999999919966198</v>
      </c>
    </row>
    <row r="4966" spans="1:40" x14ac:dyDescent="0.25">
      <c r="A4966" t="str">
        <f>"20190312151127854"</f>
        <v>20190312151127854</v>
      </c>
      <c r="B4966" t="str">
        <f>"1552374687846464"</f>
        <v>1552374687846464</v>
      </c>
      <c r="C4966" t="s">
        <v>40</v>
      </c>
      <c r="D4966">
        <v>5.0668569999999997</v>
      </c>
      <c r="E4966">
        <v>0.42680249999999997</v>
      </c>
      <c r="F4966" t="s">
        <v>42</v>
      </c>
      <c r="G4966">
        <v>-421.66449999999998</v>
      </c>
      <c r="H4966" s="1">
        <v>-1.8953789999999999E-6</v>
      </c>
      <c r="I4966">
        <v>52.974930000000001</v>
      </c>
      <c r="J4966">
        <v>-423.64109999999999</v>
      </c>
      <c r="K4966">
        <v>1.1113869999999999</v>
      </c>
      <c r="L4966">
        <v>58.764339999999997</v>
      </c>
      <c r="M4966">
        <v>2.9236060000000001E-2</v>
      </c>
      <c r="N4966">
        <v>0</v>
      </c>
      <c r="O4966">
        <v>-0.99949279999999996</v>
      </c>
      <c r="P4966">
        <v>0.117005399999999</v>
      </c>
      <c r="Q4966">
        <v>6.5931160000000003E-2</v>
      </c>
      <c r="R4966">
        <v>-0.99094070000000001</v>
      </c>
      <c r="S4966">
        <v>0.96228029999999998</v>
      </c>
      <c r="T4966">
        <v>-0.5382941</v>
      </c>
      <c r="U4966">
        <v>-2.9512939999999999</v>
      </c>
      <c r="V4966">
        <v>-8.823011E-2</v>
      </c>
      <c r="W4966">
        <v>7.8212719999999999E-2</v>
      </c>
      <c r="X4966">
        <v>0.99302480000000004</v>
      </c>
      <c r="Y4966">
        <v>-0.27747529999999998</v>
      </c>
      <c r="Z4966">
        <v>0.1714986</v>
      </c>
      <c r="AA4966">
        <v>0.94530190000000003</v>
      </c>
      <c r="AB4966">
        <v>30</v>
      </c>
      <c r="AC4966">
        <v>1.9766000000000099</v>
      </c>
      <c r="AD4966">
        <v>-1.1113888953790001</v>
      </c>
      <c r="AE4966">
        <v>-5.7894099999999904</v>
      </c>
      <c r="AF4966">
        <v>-1.7487639979091301</v>
      </c>
      <c r="AG4966">
        <v>-1.1113888953790001</v>
      </c>
      <c r="AH4966">
        <v>5.6579857631897603</v>
      </c>
      <c r="AI4966">
        <v>100.62899889016001</v>
      </c>
      <c r="AJ4966">
        <v>107.17527538078301</v>
      </c>
      <c r="AK4966">
        <v>6.0254596250919299</v>
      </c>
      <c r="AL4966">
        <v>85.514159881515894</v>
      </c>
      <c r="AM4966">
        <v>95.077388936803302</v>
      </c>
      <c r="AN4966">
        <v>1.00000001764772</v>
      </c>
    </row>
    <row r="4967" spans="1:40" x14ac:dyDescent="0.25">
      <c r="A4967" t="str">
        <f>"20190312151127876"</f>
        <v>20190312151127876</v>
      </c>
      <c r="B4967" t="str">
        <f>"1552374687865984"</f>
        <v>1552374687865984</v>
      </c>
      <c r="C4967" t="s">
        <v>40</v>
      </c>
      <c r="D4967">
        <v>5.0174379999999896</v>
      </c>
      <c r="E4967">
        <v>0.4293632</v>
      </c>
      <c r="F4967" t="s">
        <v>42</v>
      </c>
      <c r="G4967">
        <v>-421.64049999999997</v>
      </c>
      <c r="H4967" s="1">
        <v>-1.7056020000000001E-6</v>
      </c>
      <c r="I4967">
        <v>52.547409999999999</v>
      </c>
      <c r="J4967">
        <v>-423.63040000000001</v>
      </c>
      <c r="K4967">
        <v>1.111391</v>
      </c>
      <c r="L4967">
        <v>58.461179999999999</v>
      </c>
      <c r="M4967">
        <v>3.0892180000000002E-2</v>
      </c>
      <c r="N4967">
        <v>0</v>
      </c>
      <c r="O4967">
        <v>-0.99944290000000002</v>
      </c>
      <c r="P4967">
        <v>0.11997149999999999</v>
      </c>
      <c r="Q4967">
        <v>6.6333799999999998E-2</v>
      </c>
      <c r="R4967">
        <v>-0.99055879999999996</v>
      </c>
      <c r="S4967">
        <v>0.94940190000000002</v>
      </c>
      <c r="T4967">
        <v>-0.52743819999999997</v>
      </c>
      <c r="U4967">
        <v>-2.9504090000000001</v>
      </c>
      <c r="V4967">
        <v>-8.9560650000000006E-2</v>
      </c>
      <c r="W4967">
        <v>7.8608230000000001E-2</v>
      </c>
      <c r="X4967">
        <v>0.99287440000000005</v>
      </c>
      <c r="Y4967">
        <v>-0.27239360000000001</v>
      </c>
      <c r="Z4967">
        <v>0.16840859999999999</v>
      </c>
      <c r="AA4967">
        <v>0.94733330000000004</v>
      </c>
      <c r="AB4967">
        <v>30</v>
      </c>
      <c r="AC4967">
        <v>1.98990000000003</v>
      </c>
      <c r="AD4967">
        <v>-1.1113927056020001</v>
      </c>
      <c r="AE4967">
        <v>-5.9137700000000004</v>
      </c>
      <c r="AF4967">
        <v>-1.7507023762560501</v>
      </c>
      <c r="AG4967">
        <v>-1.1113927056020001</v>
      </c>
      <c r="AH4967">
        <v>5.7887661629158904</v>
      </c>
      <c r="AI4967">
        <v>100.413111005069</v>
      </c>
      <c r="AJ4967">
        <v>106.826944272622</v>
      </c>
      <c r="AK4967">
        <v>6.1489809111115203</v>
      </c>
      <c r="AL4967">
        <v>85.491428623035901</v>
      </c>
      <c r="AM4967">
        <v>95.154324862334093</v>
      </c>
      <c r="AN4967">
        <v>0.99999996901375698</v>
      </c>
    </row>
    <row r="4968" spans="1:40" x14ac:dyDescent="0.25">
      <c r="A4968" t="str">
        <f>"20190312151127897"</f>
        <v>20190312151127897</v>
      </c>
      <c r="B4968" t="str">
        <f>"1552374687886480"</f>
        <v>1552374687886480</v>
      </c>
      <c r="C4968" t="s">
        <v>40</v>
      </c>
      <c r="D4968">
        <v>4.9631990000000004</v>
      </c>
      <c r="E4968">
        <v>0.43170370000000002</v>
      </c>
      <c r="F4968" t="s">
        <v>42</v>
      </c>
      <c r="G4968">
        <v>-421.61529999999999</v>
      </c>
      <c r="H4968" s="1">
        <v>-1.516637E-6</v>
      </c>
      <c r="I4968">
        <v>52.122579999999999</v>
      </c>
      <c r="J4968">
        <v>-423.62020000000001</v>
      </c>
      <c r="K4968">
        <v>1.111394</v>
      </c>
      <c r="L4968">
        <v>58.184809999999999</v>
      </c>
      <c r="M4968">
        <v>3.240995E-2</v>
      </c>
      <c r="N4968">
        <v>0</v>
      </c>
      <c r="O4968">
        <v>-0.99939480000000003</v>
      </c>
      <c r="P4968">
        <v>0.1231759</v>
      </c>
      <c r="Q4968">
        <v>6.6057950000000004E-2</v>
      </c>
      <c r="R4968">
        <v>-0.99018390000000001</v>
      </c>
      <c r="S4968">
        <v>0.93771360000000004</v>
      </c>
      <c r="T4968">
        <v>-0.51718260000000005</v>
      </c>
      <c r="U4968">
        <v>-2.949646</v>
      </c>
      <c r="V4968">
        <v>-9.1265990000000005E-2</v>
      </c>
      <c r="W4968">
        <v>7.832443E-2</v>
      </c>
      <c r="X4968">
        <v>0.9927416</v>
      </c>
      <c r="Y4968">
        <v>-0.26774769999999998</v>
      </c>
      <c r="Z4968">
        <v>0.16546</v>
      </c>
      <c r="AA4968">
        <v>0.94917549999999995</v>
      </c>
      <c r="AB4968">
        <v>30</v>
      </c>
      <c r="AC4968">
        <v>2.0049000000000201</v>
      </c>
      <c r="AD4968">
        <v>-1.111395516637</v>
      </c>
      <c r="AE4968">
        <v>-6.0622299999999996</v>
      </c>
      <c r="AF4968">
        <v>-1.7542077970477199</v>
      </c>
      <c r="AG4968">
        <v>-1.111395516637</v>
      </c>
      <c r="AH4968">
        <v>5.9439472828168904</v>
      </c>
      <c r="AI4968">
        <v>100.166928863538</v>
      </c>
      <c r="AJ4968">
        <v>106.442650750301</v>
      </c>
      <c r="AK4968">
        <v>6.2962651064365298</v>
      </c>
      <c r="AL4968">
        <v>85.507739779192207</v>
      </c>
      <c r="AM4968">
        <v>95.252624143641299</v>
      </c>
      <c r="AN4968">
        <v>1.0000000408180301</v>
      </c>
    </row>
    <row r="4969" spans="1:40" x14ac:dyDescent="0.25">
      <c r="A4969" t="str">
        <f>"20190312151127920"</f>
        <v>20190312151127920</v>
      </c>
      <c r="B4969" t="str">
        <f>"1552374687916474"</f>
        <v>1552374687916474</v>
      </c>
      <c r="C4969" t="s">
        <v>40</v>
      </c>
      <c r="D4969">
        <v>4.9679989999999998</v>
      </c>
      <c r="E4969">
        <v>0.43475239999999998</v>
      </c>
      <c r="F4969" t="s">
        <v>42</v>
      </c>
      <c r="G4969">
        <v>-421.60039999999998</v>
      </c>
      <c r="H4969" s="1">
        <v>-1.3586199999999999E-6</v>
      </c>
      <c r="I4969">
        <v>51.763469999999998</v>
      </c>
      <c r="J4969">
        <v>-423.60849999999999</v>
      </c>
      <c r="K4969">
        <v>1.1114010000000001</v>
      </c>
      <c r="L4969">
        <v>57.880800000000001</v>
      </c>
      <c r="M4969">
        <v>3.4106549999999999E-2</v>
      </c>
      <c r="N4969">
        <v>0</v>
      </c>
      <c r="O4969">
        <v>-0.99933830000000001</v>
      </c>
      <c r="P4969">
        <v>0.12643689999999999</v>
      </c>
      <c r="Q4969">
        <v>6.5374370000000001E-2</v>
      </c>
      <c r="R4969">
        <v>-0.98981819999999998</v>
      </c>
      <c r="S4969">
        <v>0.92742919999999995</v>
      </c>
      <c r="T4969">
        <v>-0.51030829999999905</v>
      </c>
      <c r="U4969">
        <v>-2.9484249999999999</v>
      </c>
      <c r="V4969">
        <v>-9.2851059999999999E-2</v>
      </c>
      <c r="W4969">
        <v>7.7630840000000007E-2</v>
      </c>
      <c r="X4969">
        <v>0.99264909999999995</v>
      </c>
      <c r="Y4969">
        <v>-0.26330979999999998</v>
      </c>
      <c r="Z4969">
        <v>0.16355430000000001</v>
      </c>
      <c r="AA4969">
        <v>0.95074599999999998</v>
      </c>
      <c r="AB4969">
        <v>30</v>
      </c>
      <c r="AC4969">
        <v>2.00810000000001</v>
      </c>
      <c r="AD4969">
        <v>-1.1114023586199999</v>
      </c>
      <c r="AE4969">
        <v>-6.1173299999999999</v>
      </c>
      <c r="AF4969">
        <v>-1.7462408860978</v>
      </c>
      <c r="AG4969">
        <v>-1.1114023586199999</v>
      </c>
      <c r="AH4969">
        <v>6.0033817765155701</v>
      </c>
      <c r="AI4969">
        <v>100.07971778979299</v>
      </c>
      <c r="AJ4969">
        <v>106.218456277497</v>
      </c>
      <c r="AK4969">
        <v>6.3502098539831699</v>
      </c>
      <c r="AL4969">
        <v>85.547600977271898</v>
      </c>
      <c r="AM4969">
        <v>95.343821034467098</v>
      </c>
      <c r="AN4969">
        <v>1.0000000511965099</v>
      </c>
    </row>
    <row r="4970" spans="1:40" x14ac:dyDescent="0.25">
      <c r="A4970" t="str">
        <f>"20190312151127942"</f>
        <v>20190312151127942</v>
      </c>
      <c r="B4970" t="str">
        <f>"1552374687935994"</f>
        <v>1552374687935994</v>
      </c>
      <c r="C4970" t="s">
        <v>40</v>
      </c>
      <c r="D4970">
        <v>4.9796040000000001</v>
      </c>
      <c r="E4970">
        <v>0.43666769999999999</v>
      </c>
      <c r="F4970" t="s">
        <v>42</v>
      </c>
      <c r="G4970">
        <v>-421.58449999999999</v>
      </c>
      <c r="H4970" s="1">
        <v>-1.1765789999999999E-6</v>
      </c>
      <c r="I4970">
        <v>51.348999999999997</v>
      </c>
      <c r="J4970">
        <v>-423.59640000000002</v>
      </c>
      <c r="K4970">
        <v>1.1114280000000001</v>
      </c>
      <c r="L4970">
        <v>57.579590000000003</v>
      </c>
      <c r="M4970">
        <v>3.5831519999999999E-2</v>
      </c>
      <c r="N4970">
        <v>0</v>
      </c>
      <c r="O4970">
        <v>-0.99927809999999995</v>
      </c>
      <c r="P4970">
        <v>0.1291351</v>
      </c>
      <c r="Q4970">
        <v>6.4952109999999993E-2</v>
      </c>
      <c r="R4970">
        <v>-0.98949770000000004</v>
      </c>
      <c r="S4970">
        <v>0.91329959999999999</v>
      </c>
      <c r="T4970">
        <v>-0.50149509999999997</v>
      </c>
      <c r="U4970">
        <v>-2.947327</v>
      </c>
      <c r="V4970">
        <v>-9.3847700000000006E-2</v>
      </c>
      <c r="W4970">
        <v>7.7197749999999996E-2</v>
      </c>
      <c r="X4970">
        <v>0.9925891</v>
      </c>
      <c r="Y4970">
        <v>-0.25771040000000001</v>
      </c>
      <c r="Z4970">
        <v>0.16108029999999901</v>
      </c>
      <c r="AA4970">
        <v>0.95270060000000001</v>
      </c>
      <c r="AB4970">
        <v>30</v>
      </c>
      <c r="AC4970">
        <v>2.0119000000000198</v>
      </c>
      <c r="AD4970">
        <v>-1.1114291765790001</v>
      </c>
      <c r="AE4970">
        <v>-6.2305900000000003</v>
      </c>
      <c r="AF4970">
        <v>-1.7372775257855499</v>
      </c>
      <c r="AG4970">
        <v>-1.1114291765790001</v>
      </c>
      <c r="AH4970">
        <v>6.1222656560081701</v>
      </c>
      <c r="AI4970">
        <v>99.906434440434396</v>
      </c>
      <c r="AJ4970">
        <v>105.84202383655401</v>
      </c>
      <c r="AK4970">
        <v>6.4603053162283102</v>
      </c>
      <c r="AL4970">
        <v>85.572489680336602</v>
      </c>
      <c r="AM4970">
        <v>95.401167422721301</v>
      </c>
      <c r="AN4970">
        <v>1.0000000024195801</v>
      </c>
    </row>
    <row r="4971" spans="1:40" x14ac:dyDescent="0.25">
      <c r="A4971" t="str">
        <f>"20190312151127965"</f>
        <v>20190312151127965</v>
      </c>
      <c r="B4971" t="str">
        <f>"1552374687956490"</f>
        <v>1552374687956490</v>
      </c>
      <c r="C4971" t="s">
        <v>40</v>
      </c>
      <c r="D4971">
        <v>4.9829800000000004</v>
      </c>
      <c r="E4971">
        <v>0.4384709</v>
      </c>
      <c r="F4971" t="s">
        <v>42</v>
      </c>
      <c r="G4971">
        <v>-421.56299999999999</v>
      </c>
      <c r="H4971" s="1">
        <v>-1.0075600000000001E-6</v>
      </c>
      <c r="I4971">
        <v>50.968339999999998</v>
      </c>
      <c r="J4971">
        <v>-423.58370000000002</v>
      </c>
      <c r="K4971">
        <v>1.1114710000000001</v>
      </c>
      <c r="L4971">
        <v>57.279690000000002</v>
      </c>
      <c r="M4971">
        <v>3.7595910000000003E-2</v>
      </c>
      <c r="N4971">
        <v>0</v>
      </c>
      <c r="O4971">
        <v>-0.99921320000000002</v>
      </c>
      <c r="P4971">
        <v>0.13087560000000001</v>
      </c>
      <c r="Q4971">
        <v>6.4691570000000004E-2</v>
      </c>
      <c r="R4971">
        <v>-0.98928609999999995</v>
      </c>
      <c r="S4971">
        <v>0.90612789999999999</v>
      </c>
      <c r="T4971">
        <v>-0.49527500000000002</v>
      </c>
      <c r="U4971">
        <v>-2.9461059999999999</v>
      </c>
      <c r="V4971">
        <v>-9.384634E-2</v>
      </c>
      <c r="W4971">
        <v>7.6929609999999995E-2</v>
      </c>
      <c r="X4971">
        <v>0.99260999999999999</v>
      </c>
      <c r="Y4971">
        <v>-0.25408259999999999</v>
      </c>
      <c r="Z4971">
        <v>0.15931319999999999</v>
      </c>
      <c r="AA4971">
        <v>0.95397140000000002</v>
      </c>
      <c r="AB4971">
        <v>30</v>
      </c>
      <c r="AC4971">
        <v>2.02069999999997</v>
      </c>
      <c r="AD4971">
        <v>-1.11147200756</v>
      </c>
      <c r="AE4971">
        <v>-6.3113499999999902</v>
      </c>
      <c r="AF4971">
        <v>-1.7332158451588</v>
      </c>
      <c r="AG4971">
        <v>-1.11147200756</v>
      </c>
      <c r="AH4971">
        <v>6.2082256724855203</v>
      </c>
      <c r="AI4971">
        <v>99.783762882379094</v>
      </c>
      <c r="AJ4971">
        <v>105.59869941939699</v>
      </c>
      <c r="AK4971">
        <v>6.5407547874849499</v>
      </c>
      <c r="AL4971">
        <v>85.5878985906579</v>
      </c>
      <c r="AM4971">
        <v>95.400976563535394</v>
      </c>
      <c r="AN4971">
        <v>0.99999995626307203</v>
      </c>
    </row>
    <row r="4972" spans="1:40" x14ac:dyDescent="0.25">
      <c r="A4972" t="str">
        <f>"20190312151127988"</f>
        <v>20190312151127988</v>
      </c>
      <c r="B4972" t="str">
        <f>"1552374687976010"</f>
        <v>1552374687976010</v>
      </c>
      <c r="C4972" t="s">
        <v>40</v>
      </c>
      <c r="D4972">
        <v>4.9931619999999999</v>
      </c>
      <c r="E4972">
        <v>0.44007980000000002</v>
      </c>
      <c r="F4972" t="s">
        <v>42</v>
      </c>
      <c r="G4972">
        <v>-421.5412</v>
      </c>
      <c r="H4972" s="1">
        <v>-8.3552030000000004E-7</v>
      </c>
      <c r="I4972">
        <v>50.580860000000001</v>
      </c>
      <c r="J4972">
        <v>-423.5702</v>
      </c>
      <c r="K4972">
        <v>1.111526</v>
      </c>
      <c r="L4972">
        <v>56.97345</v>
      </c>
      <c r="M4972">
        <v>3.9476860000000003E-2</v>
      </c>
      <c r="N4972">
        <v>0</v>
      </c>
      <c r="O4972">
        <v>-0.99914060000000005</v>
      </c>
      <c r="P4972">
        <v>0.13218369999999999</v>
      </c>
      <c r="Q4972">
        <v>6.5419350000000001E-2</v>
      </c>
      <c r="R4972">
        <v>-0.98906430000000001</v>
      </c>
      <c r="S4972">
        <v>0.89816280000000004</v>
      </c>
      <c r="T4972">
        <v>-0.48874240000000002</v>
      </c>
      <c r="U4972">
        <v>-2.9456479999999998</v>
      </c>
      <c r="V4972">
        <v>-9.3303899999999995E-2</v>
      </c>
      <c r="W4972">
        <v>7.7648430000000004E-2</v>
      </c>
      <c r="X4972">
        <v>0.99260519999999997</v>
      </c>
      <c r="Y4972">
        <v>-0.25003320000000001</v>
      </c>
      <c r="Z4972">
        <v>0.15741540000000001</v>
      </c>
      <c r="AA4972">
        <v>0.95535530000000002</v>
      </c>
      <c r="AB4972">
        <v>30</v>
      </c>
      <c r="AC4972">
        <v>2.0289999999999901</v>
      </c>
      <c r="AD4972">
        <v>-1.1115268355203001</v>
      </c>
      <c r="AE4972">
        <v>-6.3925900000000002</v>
      </c>
      <c r="AF4972">
        <v>-1.72758807589186</v>
      </c>
      <c r="AG4972">
        <v>-1.1115268355203001</v>
      </c>
      <c r="AH4972">
        <v>6.2948155276707798</v>
      </c>
      <c r="AI4972">
        <v>99.663730656497194</v>
      </c>
      <c r="AJ4972">
        <v>105.34674651002101</v>
      </c>
      <c r="AK4972">
        <v>6.62153720773739</v>
      </c>
      <c r="AL4972">
        <v>85.546589819005604</v>
      </c>
      <c r="AM4972">
        <v>95.3699672841298</v>
      </c>
      <c r="AN4972">
        <v>0.999999989751857</v>
      </c>
    </row>
    <row r="4973" spans="1:40" x14ac:dyDescent="0.25">
      <c r="A4973" t="str">
        <f>"20190312151128009"</f>
        <v>20190312151128009</v>
      </c>
      <c r="B4973" t="str">
        <f>"1552374688006267"</f>
        <v>1552374688006267</v>
      </c>
      <c r="C4973" t="s">
        <v>40</v>
      </c>
      <c r="D4973">
        <v>4.9868360000000003</v>
      </c>
      <c r="E4973">
        <v>0.44222040000000001</v>
      </c>
      <c r="F4973" t="s">
        <v>42</v>
      </c>
      <c r="G4973">
        <v>-421.51299999999998</v>
      </c>
      <c r="H4973" s="1">
        <v>-6.4694359999999998E-7</v>
      </c>
      <c r="I4973">
        <v>50.158760000000001</v>
      </c>
      <c r="J4973">
        <v>-423.55700000000002</v>
      </c>
      <c r="K4973">
        <v>1.1115980000000001</v>
      </c>
      <c r="L4973">
        <v>56.68994</v>
      </c>
      <c r="M4973">
        <v>4.1318710000000002E-2</v>
      </c>
      <c r="N4973">
        <v>0</v>
      </c>
      <c r="O4973">
        <v>-0.99906600000000001</v>
      </c>
      <c r="P4973">
        <v>0.13419110000000001</v>
      </c>
      <c r="Q4973">
        <v>6.5493999999999997E-2</v>
      </c>
      <c r="R4973">
        <v>-0.98878889999999997</v>
      </c>
      <c r="S4973">
        <v>0.88937379999999999</v>
      </c>
      <c r="T4973">
        <v>-0.48053220000000002</v>
      </c>
      <c r="U4973">
        <v>-2.9461059999999999</v>
      </c>
      <c r="V4973">
        <v>-9.350224E-2</v>
      </c>
      <c r="W4973">
        <v>7.7707849999999995E-2</v>
      </c>
      <c r="X4973">
        <v>0.99258190000000002</v>
      </c>
      <c r="Y4973">
        <v>-0.24570829999999999</v>
      </c>
      <c r="Z4973">
        <v>0.15494849999999999</v>
      </c>
      <c r="AA4973">
        <v>0.95687949999999999</v>
      </c>
      <c r="AB4973">
        <v>30</v>
      </c>
      <c r="AC4973">
        <v>2.0439999999999201</v>
      </c>
      <c r="AD4973">
        <v>-1.1115986469436001</v>
      </c>
      <c r="AE4973">
        <v>-6.5311799999999902</v>
      </c>
      <c r="AF4973">
        <v>-1.72681328683149</v>
      </c>
      <c r="AG4973">
        <v>-1.1115986469436001</v>
      </c>
      <c r="AH4973">
        <v>6.4401500679368899</v>
      </c>
      <c r="AI4973">
        <v>99.465042732273204</v>
      </c>
      <c r="AJ4973">
        <v>105.009796664622</v>
      </c>
      <c r="AK4973">
        <v>6.7596648272685904</v>
      </c>
      <c r="AL4973">
        <v>85.543175047289296</v>
      </c>
      <c r="AM4973">
        <v>95.381441085989096</v>
      </c>
      <c r="AN4973">
        <v>1.0000000035221199</v>
      </c>
    </row>
    <row r="4974" spans="1:40" x14ac:dyDescent="0.25">
      <c r="A4974" t="str">
        <f>"20190312151128024"</f>
        <v>20190312151128024</v>
      </c>
      <c r="B4974" t="str">
        <f>"1552374688016698"</f>
        <v>1552374688016698</v>
      </c>
      <c r="C4974" t="s">
        <v>40</v>
      </c>
      <c r="D4974">
        <v>4.9847549999999998</v>
      </c>
      <c r="E4974">
        <v>0.44288929999999999</v>
      </c>
      <c r="F4974" t="s">
        <v>42</v>
      </c>
      <c r="G4974">
        <v>-421.5111</v>
      </c>
      <c r="H4974" s="1">
        <v>-5.03449E-7</v>
      </c>
      <c r="I4974">
        <v>49.825409999999998</v>
      </c>
      <c r="J4974">
        <v>-423.54759999999999</v>
      </c>
      <c r="K4974">
        <v>1.1116539999999999</v>
      </c>
      <c r="L4974">
        <v>56.494419999999998</v>
      </c>
      <c r="M4974">
        <v>4.2657680000000003E-2</v>
      </c>
      <c r="N4974">
        <v>0</v>
      </c>
      <c r="O4974">
        <v>-0.9990097</v>
      </c>
      <c r="P4974">
        <v>0.13534769999999999</v>
      </c>
      <c r="Q4974">
        <v>6.5947989999999998E-2</v>
      </c>
      <c r="R4974">
        <v>-0.98860099999999995</v>
      </c>
      <c r="S4974">
        <v>0.87814329999999996</v>
      </c>
      <c r="T4974">
        <v>-0.477128</v>
      </c>
      <c r="U4974">
        <v>-2.9464419999999998</v>
      </c>
      <c r="V4974">
        <v>-9.3346609999999997E-2</v>
      </c>
      <c r="W4974">
        <v>7.8149969999999999E-2</v>
      </c>
      <c r="X4974">
        <v>0.99256180000000005</v>
      </c>
      <c r="Y4974">
        <v>-0.24107239999999999</v>
      </c>
      <c r="Z4974">
        <v>0.15401989999999999</v>
      </c>
      <c r="AA4974">
        <v>0.9582077</v>
      </c>
      <c r="AB4974">
        <v>30</v>
      </c>
      <c r="AC4974">
        <v>2.0364999999999802</v>
      </c>
      <c r="AD4974">
        <v>-1.111654503449</v>
      </c>
      <c r="AE4974">
        <v>-6.6690100000000001</v>
      </c>
      <c r="AF4974">
        <v>-1.70676064815329</v>
      </c>
      <c r="AG4974">
        <v>-1.111654503449</v>
      </c>
      <c r="AH4974">
        <v>6.5825201916766503</v>
      </c>
      <c r="AI4974">
        <v>99.284248245956803</v>
      </c>
      <c r="AJ4974">
        <v>104.535934077062</v>
      </c>
      <c r="AK4974">
        <v>6.8904556974814</v>
      </c>
      <c r="AL4974">
        <v>85.517766003128301</v>
      </c>
      <c r="AM4974">
        <v>95.372644550655806</v>
      </c>
      <c r="AN4974">
        <v>0.99999996711436601</v>
      </c>
    </row>
    <row r="4975" spans="1:40" x14ac:dyDescent="0.25">
      <c r="A4975" t="str">
        <f>"20190312151128044"</f>
        <v>20190312151128044</v>
      </c>
      <c r="B4975" t="str">
        <f>"1552374688036218"</f>
        <v>1552374688036218</v>
      </c>
      <c r="C4975" t="s">
        <v>40</v>
      </c>
      <c r="D4975">
        <v>4.9630700000000001</v>
      </c>
      <c r="E4975">
        <v>0.4441676</v>
      </c>
      <c r="F4975" t="s">
        <v>42</v>
      </c>
      <c r="G4975">
        <v>-421.49930000000001</v>
      </c>
      <c r="H4975" s="1">
        <v>-4.559305E-6</v>
      </c>
      <c r="I4975">
        <v>49.603009999999998</v>
      </c>
      <c r="J4975">
        <v>-423.53500000000003</v>
      </c>
      <c r="K4975">
        <v>1.111742</v>
      </c>
      <c r="L4975">
        <v>56.241729999999997</v>
      </c>
      <c r="M4975">
        <v>4.448336E-2</v>
      </c>
      <c r="N4975">
        <v>0</v>
      </c>
      <c r="O4975">
        <v>-0.99893010000000004</v>
      </c>
      <c r="P4975">
        <v>0.13725309999999999</v>
      </c>
      <c r="Q4975">
        <v>6.5951090000000004E-2</v>
      </c>
      <c r="R4975">
        <v>-0.98833800000000005</v>
      </c>
      <c r="S4975">
        <v>0.87576290000000001</v>
      </c>
      <c r="T4975">
        <v>-0.4752883</v>
      </c>
      <c r="U4975">
        <v>-2.9464109999999999</v>
      </c>
      <c r="V4975">
        <v>-9.3462690000000001E-2</v>
      </c>
      <c r="W4975">
        <v>7.8134770000000006E-2</v>
      </c>
      <c r="X4975">
        <v>0.99255210000000005</v>
      </c>
      <c r="Y4975">
        <v>-0.23861450000000001</v>
      </c>
      <c r="Z4975">
        <v>0.15348789999999901</v>
      </c>
      <c r="AA4975">
        <v>0.95890799999999998</v>
      </c>
      <c r="AB4975">
        <v>30</v>
      </c>
      <c r="AC4975">
        <v>2.0357000000000198</v>
      </c>
      <c r="AD4975">
        <v>-1.111746559305</v>
      </c>
      <c r="AE4975">
        <v>-6.6387200000000002</v>
      </c>
      <c r="AF4975">
        <v>-1.69490150947913</v>
      </c>
      <c r="AG4975">
        <v>-1.111746559305</v>
      </c>
      <c r="AH4975">
        <v>6.5546874100975403</v>
      </c>
      <c r="AI4975">
        <v>99.325313570907298</v>
      </c>
      <c r="AJ4975">
        <v>104.49790321828399</v>
      </c>
      <c r="AK4975">
        <v>6.8609473531759697</v>
      </c>
      <c r="AL4975">
        <v>85.518639690739903</v>
      </c>
      <c r="AM4975">
        <v>95.379338729691995</v>
      </c>
      <c r="AN4975">
        <v>0.99999999395969896</v>
      </c>
    </row>
    <row r="4976" spans="1:40" x14ac:dyDescent="0.25">
      <c r="A4976" t="str">
        <f>"20190312151128066"</f>
        <v>20190312151128066</v>
      </c>
      <c r="B4976" t="str">
        <f>"1552374688056714"</f>
        <v>1552374688056714</v>
      </c>
      <c r="C4976" t="s">
        <v>40</v>
      </c>
      <c r="D4976">
        <v>4.9868040000000002</v>
      </c>
      <c r="E4976">
        <v>0.4454052</v>
      </c>
      <c r="F4976" t="s">
        <v>42</v>
      </c>
      <c r="G4976">
        <v>-421.48540000000003</v>
      </c>
      <c r="H4976" s="1">
        <v>-4.4596359999999998E-6</v>
      </c>
      <c r="I4976">
        <v>49.317349999999998</v>
      </c>
      <c r="J4976">
        <v>-423.51900000000001</v>
      </c>
      <c r="K4976">
        <v>1.11185</v>
      </c>
      <c r="L4976">
        <v>55.9396699999999</v>
      </c>
      <c r="M4976">
        <v>4.681515E-2</v>
      </c>
      <c r="N4976">
        <v>0</v>
      </c>
      <c r="O4976">
        <v>-0.99882360000000003</v>
      </c>
      <c r="P4976">
        <v>0.140096</v>
      </c>
      <c r="Q4976">
        <v>6.5741789999999994E-2</v>
      </c>
      <c r="R4976">
        <v>-0.98795330000000003</v>
      </c>
      <c r="S4976">
        <v>0.87194819999999995</v>
      </c>
      <c r="T4976">
        <v>-0.47297420000000001</v>
      </c>
      <c r="U4976">
        <v>-2.945862</v>
      </c>
      <c r="V4976">
        <v>-9.4022880000000003E-2</v>
      </c>
      <c r="W4976">
        <v>7.7898960000000003E-2</v>
      </c>
      <c r="X4976">
        <v>0.99251769999999995</v>
      </c>
      <c r="Y4976">
        <v>-0.2352833</v>
      </c>
      <c r="Z4976">
        <v>0.15285090000000001</v>
      </c>
      <c r="AA4976">
        <v>0.95983249999999998</v>
      </c>
      <c r="AB4976">
        <v>30</v>
      </c>
      <c r="AC4976">
        <v>2.0335999999999701</v>
      </c>
      <c r="AD4976">
        <v>-1.111854459636</v>
      </c>
      <c r="AE4976">
        <v>-6.6223199999999904</v>
      </c>
      <c r="AF4976">
        <v>-1.67809324798793</v>
      </c>
      <c r="AG4976">
        <v>-1.111854459636</v>
      </c>
      <c r="AH4976">
        <v>6.54175576105792</v>
      </c>
      <c r="AI4976">
        <v>99.348878165491399</v>
      </c>
      <c r="AJ4976">
        <v>104.387311310545</v>
      </c>
      <c r="AK4976">
        <v>6.84447117940383</v>
      </c>
      <c r="AL4976">
        <v>85.532191796242103</v>
      </c>
      <c r="AM4976">
        <v>95.411576636977898</v>
      </c>
      <c r="AN4976">
        <v>0.99999996737293195</v>
      </c>
    </row>
    <row r="4977" spans="1:40" x14ac:dyDescent="0.25">
      <c r="A4977" t="str">
        <f>"20190312151128088"</f>
        <v>20190312151128088</v>
      </c>
      <c r="B4977" t="str">
        <f>"1552374688076235"</f>
        <v>1552374688076235</v>
      </c>
      <c r="C4977" t="s">
        <v>40</v>
      </c>
      <c r="D4977">
        <v>4.9958200000000001</v>
      </c>
      <c r="E4977">
        <v>0.4465768</v>
      </c>
      <c r="F4977" t="s">
        <v>42</v>
      </c>
      <c r="G4977">
        <v>-421.45589999999999</v>
      </c>
      <c r="H4977" s="1">
        <v>-4.333036E-6</v>
      </c>
      <c r="I4977">
        <v>48.960729999999998</v>
      </c>
      <c r="J4977">
        <v>-423.50240000000002</v>
      </c>
      <c r="K4977">
        <v>1.1119619999999999</v>
      </c>
      <c r="L4977">
        <v>55.641779999999997</v>
      </c>
      <c r="M4977">
        <v>4.9263250000000001E-2</v>
      </c>
      <c r="N4977">
        <v>0</v>
      </c>
      <c r="O4977">
        <v>-0.99870590000000004</v>
      </c>
      <c r="P4977">
        <v>0.14292959999999999</v>
      </c>
      <c r="Q4977">
        <v>6.5528400000000001E-2</v>
      </c>
      <c r="R4977">
        <v>-0.98756100000000002</v>
      </c>
      <c r="S4977">
        <v>0.87042240000000004</v>
      </c>
      <c r="T4977">
        <v>-0.469084</v>
      </c>
      <c r="U4977">
        <v>-2.944366</v>
      </c>
      <c r="V4977">
        <v>-9.4457669999999994E-2</v>
      </c>
      <c r="W4977">
        <v>7.7660320000000005E-2</v>
      </c>
      <c r="X4977">
        <v>0.99249520000000002</v>
      </c>
      <c r="Y4977">
        <v>-0.2326261</v>
      </c>
      <c r="Z4977">
        <v>0.151728799999999</v>
      </c>
      <c r="AA4977">
        <v>0.96065780000000001</v>
      </c>
      <c r="AB4977">
        <v>30</v>
      </c>
      <c r="AC4977">
        <v>2.0465000000000302</v>
      </c>
      <c r="AD4977">
        <v>-1.1119663330359999</v>
      </c>
      <c r="AE4977">
        <v>-6.6810499999999999</v>
      </c>
      <c r="AF4977">
        <v>-1.6725026269637699</v>
      </c>
      <c r="AG4977">
        <v>-1.1119663330359999</v>
      </c>
      <c r="AH4977">
        <v>6.6064554203658501</v>
      </c>
      <c r="AI4977">
        <v>99.267145378126301</v>
      </c>
      <c r="AJ4977">
        <v>104.206621591065</v>
      </c>
      <c r="AK4977">
        <v>6.90499727619697</v>
      </c>
      <c r="AL4977">
        <v>85.545906774913007</v>
      </c>
      <c r="AM4977">
        <v>95.436574311187599</v>
      </c>
      <c r="AN4977">
        <v>1.00000004937368</v>
      </c>
    </row>
    <row r="4978" spans="1:40" x14ac:dyDescent="0.25">
      <c r="A4978" t="str">
        <f>"20190312151128110"</f>
        <v>20190312151128110</v>
      </c>
      <c r="B4978" t="str">
        <f>"1552374688106491"</f>
        <v>1552374688106491</v>
      </c>
      <c r="C4978" t="s">
        <v>40</v>
      </c>
      <c r="D4978">
        <v>5.0091239999999999</v>
      </c>
      <c r="E4978">
        <v>0.44817849999999998</v>
      </c>
      <c r="F4978" t="s">
        <v>42</v>
      </c>
      <c r="G4978">
        <v>-421.42309999999998</v>
      </c>
      <c r="H4978" s="1">
        <v>-4.2072199999999998E-6</v>
      </c>
      <c r="I4978">
        <v>48.608110000000003</v>
      </c>
      <c r="J4978">
        <v>-423.48570000000001</v>
      </c>
      <c r="K4978">
        <v>1.11206</v>
      </c>
      <c r="L4978">
        <v>55.355130000000003</v>
      </c>
      <c r="M4978">
        <v>5.1754929999999998E-2</v>
      </c>
      <c r="N4978">
        <v>0</v>
      </c>
      <c r="O4978">
        <v>-0.99857960000000001</v>
      </c>
      <c r="P4978">
        <v>0.14564279999999999</v>
      </c>
      <c r="Q4978">
        <v>6.5061869999999994E-2</v>
      </c>
      <c r="R4978">
        <v>-0.9871955</v>
      </c>
      <c r="S4978">
        <v>0.86996459999999998</v>
      </c>
      <c r="T4978">
        <v>-0.46522449999999999</v>
      </c>
      <c r="U4978">
        <v>-2.9427490000000001</v>
      </c>
      <c r="V4978">
        <v>-9.4724890000000006E-2</v>
      </c>
      <c r="W4978">
        <v>7.7172080000000004E-2</v>
      </c>
      <c r="X4978">
        <v>0.99250780000000005</v>
      </c>
      <c r="Y4978">
        <v>-0.2302554</v>
      </c>
      <c r="Z4978">
        <v>0.15060509999999999</v>
      </c>
      <c r="AA4978">
        <v>0.96140550000000002</v>
      </c>
      <c r="AB4978">
        <v>30</v>
      </c>
      <c r="AC4978">
        <v>2.06260000000003</v>
      </c>
      <c r="AD4978">
        <v>-1.11206420722</v>
      </c>
      <c r="AE4978">
        <v>-6.74702</v>
      </c>
      <c r="AF4978">
        <v>-1.6691462585781101</v>
      </c>
      <c r="AG4978">
        <v>-1.11206420722</v>
      </c>
      <c r="AH4978">
        <v>6.6788014605404404</v>
      </c>
      <c r="AI4978">
        <v>99.176190759394004</v>
      </c>
      <c r="AJ4978">
        <v>104.03176945817</v>
      </c>
      <c r="AK4978">
        <v>6.9734586098163804</v>
      </c>
      <c r="AL4978">
        <v>85.5739650033304</v>
      </c>
      <c r="AM4978">
        <v>95.451793004573304</v>
      </c>
      <c r="AN4978">
        <v>1.0000000338889301</v>
      </c>
    </row>
    <row r="4979" spans="1:40" x14ac:dyDescent="0.25">
      <c r="A4979" t="str">
        <f>"20190312151128133"</f>
        <v>20190312151128133</v>
      </c>
      <c r="B4979" t="str">
        <f>"1552374688126010"</f>
        <v>1552374688126010</v>
      </c>
      <c r="C4979" t="s">
        <v>40</v>
      </c>
      <c r="D4979">
        <v>4.9991190000000003</v>
      </c>
      <c r="E4979">
        <v>0.44915709999999998</v>
      </c>
      <c r="F4979" t="s">
        <v>42</v>
      </c>
      <c r="G4979">
        <v>-421.40129999999999</v>
      </c>
      <c r="H4979" s="1">
        <v>-4.0887609999999997E-6</v>
      </c>
      <c r="I4979">
        <v>48.271360000000001</v>
      </c>
      <c r="J4979">
        <v>-423.46699999999998</v>
      </c>
      <c r="K4979">
        <v>1.1121620000000001</v>
      </c>
      <c r="L4979">
        <v>55.051360000000003</v>
      </c>
      <c r="M4979">
        <v>5.4530710000000003E-2</v>
      </c>
      <c r="N4979">
        <v>0</v>
      </c>
      <c r="O4979">
        <v>-0.99843199999999999</v>
      </c>
      <c r="P4979">
        <v>0.14858869999999999</v>
      </c>
      <c r="Q4979">
        <v>6.4722399999999999E-2</v>
      </c>
      <c r="R4979">
        <v>-0.98677919999999997</v>
      </c>
      <c r="S4979">
        <v>0.86557009999999901</v>
      </c>
      <c r="T4979">
        <v>-0.4618025</v>
      </c>
      <c r="U4979">
        <v>-2.9416500000000001</v>
      </c>
      <c r="V4979">
        <v>-9.4944290000000001E-2</v>
      </c>
      <c r="W4979">
        <v>7.6811240000000003E-2</v>
      </c>
      <c r="X4979">
        <v>0.99251480000000003</v>
      </c>
      <c r="Y4979">
        <v>-0.2263676</v>
      </c>
      <c r="Z4979">
        <v>0.14964149999999901</v>
      </c>
      <c r="AA4979">
        <v>0.96247859999999996</v>
      </c>
      <c r="AB4979">
        <v>30</v>
      </c>
      <c r="AC4979">
        <v>2.0656999999999899</v>
      </c>
      <c r="AD4979">
        <v>-1.1121660887610001</v>
      </c>
      <c r="AE4979">
        <v>-6.78</v>
      </c>
      <c r="AF4979">
        <v>-1.65219727708557</v>
      </c>
      <c r="AG4979">
        <v>-1.1121660887610001</v>
      </c>
      <c r="AH4979">
        <v>6.7171713441102598</v>
      </c>
      <c r="AI4979">
        <v>99.133763830992507</v>
      </c>
      <c r="AJ4979">
        <v>103.818514764795</v>
      </c>
      <c r="AK4979">
        <v>7.0062158200796896</v>
      </c>
      <c r="AL4979">
        <v>85.594701041329898</v>
      </c>
      <c r="AM4979">
        <v>95.4643056967776</v>
      </c>
      <c r="AN4979">
        <v>1.00000000650649</v>
      </c>
    </row>
    <row r="4980" spans="1:40" x14ac:dyDescent="0.25">
      <c r="A4980" t="str">
        <f>"20190312151128155"</f>
        <v>20190312151128155</v>
      </c>
      <c r="B4980" t="str">
        <f>"1552374688146506"</f>
        <v>1552374688146506</v>
      </c>
      <c r="C4980" t="s">
        <v>40</v>
      </c>
      <c r="D4980">
        <v>5.0017719999999999</v>
      </c>
      <c r="E4980">
        <v>0.45007910000000001</v>
      </c>
      <c r="F4980" t="s">
        <v>42</v>
      </c>
      <c r="G4980">
        <v>-421.37169999999998</v>
      </c>
      <c r="H4980" s="1">
        <v>-3.9475739999999998E-6</v>
      </c>
      <c r="I4980">
        <v>47.940199999999997</v>
      </c>
      <c r="J4980">
        <v>-423.44869999999997</v>
      </c>
      <c r="K4980">
        <v>1.112247</v>
      </c>
      <c r="L4980">
        <v>54.766939999999998</v>
      </c>
      <c r="M4980">
        <v>5.7238570000000003E-2</v>
      </c>
      <c r="N4980">
        <v>0</v>
      </c>
      <c r="O4980">
        <v>-0.99828030000000001</v>
      </c>
      <c r="P4980">
        <v>0.152178799999999</v>
      </c>
      <c r="Q4980">
        <v>6.4270789999999994E-2</v>
      </c>
      <c r="R4980">
        <v>-0.98626130000000001</v>
      </c>
      <c r="S4980">
        <v>0.8662415</v>
      </c>
      <c r="T4980">
        <v>-0.45979439999999999</v>
      </c>
      <c r="U4980">
        <v>-2.9399109999999999</v>
      </c>
      <c r="V4980">
        <v>-9.5876279999999994E-2</v>
      </c>
      <c r="W4980">
        <v>7.633769E-2</v>
      </c>
      <c r="X4980">
        <v>0.9924617</v>
      </c>
      <c r="Y4980">
        <v>-0.22410679999999999</v>
      </c>
      <c r="Z4980">
        <v>0.14908950000000001</v>
      </c>
      <c r="AA4980">
        <v>0.96309319999999998</v>
      </c>
      <c r="AB4980">
        <v>30</v>
      </c>
      <c r="AC4980">
        <v>2.0769999999999902</v>
      </c>
      <c r="AD4980">
        <v>-1.1122509475739999</v>
      </c>
      <c r="AE4980">
        <v>-6.82674</v>
      </c>
      <c r="AF4980">
        <v>-1.6428946598213301</v>
      </c>
      <c r="AG4980">
        <v>-1.1122509475739999</v>
      </c>
      <c r="AH4980">
        <v>6.7699582924016699</v>
      </c>
      <c r="AI4980">
        <v>99.071180524955906</v>
      </c>
      <c r="AJ4980">
        <v>103.640524224166</v>
      </c>
      <c r="AK4980">
        <v>7.0546821554558301</v>
      </c>
      <c r="AL4980">
        <v>85.621913174639104</v>
      </c>
      <c r="AM4980">
        <v>95.517908265472499</v>
      </c>
      <c r="AN4980">
        <v>0.99999996497403099</v>
      </c>
    </row>
    <row r="4981" spans="1:40" x14ac:dyDescent="0.25">
      <c r="A4981" t="str">
        <f>"20190312151128177"</f>
        <v>20190312151128177</v>
      </c>
      <c r="B4981" t="str">
        <f>"1552374688166027"</f>
        <v>1552374688166027</v>
      </c>
      <c r="C4981" t="s">
        <v>40</v>
      </c>
      <c r="D4981">
        <v>5.1609689999999997</v>
      </c>
      <c r="E4981">
        <v>0.45097949999999998</v>
      </c>
      <c r="F4981" t="s">
        <v>42</v>
      </c>
      <c r="G4981">
        <v>-421.3408</v>
      </c>
      <c r="H4981" s="1">
        <v>-3.812741E-6</v>
      </c>
      <c r="I4981">
        <v>47.645119999999999</v>
      </c>
      <c r="J4981">
        <v>-423.42860000000002</v>
      </c>
      <c r="K4981">
        <v>1.1123179999999999</v>
      </c>
      <c r="L4981">
        <v>54.470759999999999</v>
      </c>
      <c r="M4981">
        <v>6.0142590000000003E-2</v>
      </c>
      <c r="N4981">
        <v>0</v>
      </c>
      <c r="O4981">
        <v>-0.99810960000000004</v>
      </c>
      <c r="P4981">
        <v>0.155961299999999</v>
      </c>
      <c r="Q4981">
        <v>6.3759300000000005E-2</v>
      </c>
      <c r="R4981">
        <v>-0.98570310000000005</v>
      </c>
      <c r="S4981">
        <v>0.86944580000000005</v>
      </c>
      <c r="T4981">
        <v>-0.45876909999999999</v>
      </c>
      <c r="U4981">
        <v>-2.9375309999999999</v>
      </c>
      <c r="V4981">
        <v>-9.6806299999999998E-2</v>
      </c>
      <c r="W4981">
        <v>7.5806109999999996E-2</v>
      </c>
      <c r="X4981">
        <v>0.99241219999999997</v>
      </c>
      <c r="Y4981">
        <v>-0.2224613</v>
      </c>
      <c r="Z4981">
        <v>0.14884600000000001</v>
      </c>
      <c r="AA4981">
        <v>0.96351220000000004</v>
      </c>
      <c r="AB4981">
        <v>30</v>
      </c>
      <c r="AC4981">
        <v>2.0878000000000099</v>
      </c>
      <c r="AD4981">
        <v>-1.1123218127409999</v>
      </c>
      <c r="AE4981">
        <v>-6.8256399999999902</v>
      </c>
      <c r="AF4981">
        <v>-1.6337993087438101</v>
      </c>
      <c r="AG4981">
        <v>-1.1123218127409999</v>
      </c>
      <c r="AH4981">
        <v>6.7743455070151501</v>
      </c>
      <c r="AI4981">
        <v>99.06902785103</v>
      </c>
      <c r="AJ4981">
        <v>103.55934451710399</v>
      </c>
      <c r="AK4981">
        <v>7.0567922631155504</v>
      </c>
      <c r="AL4981">
        <v>85.6524591322503</v>
      </c>
      <c r="AM4981">
        <v>95.571374134314496</v>
      </c>
      <c r="AN4981">
        <v>1.00000000037093</v>
      </c>
    </row>
    <row r="4982" spans="1:40" x14ac:dyDescent="0.25">
      <c r="A4982" t="str">
        <f>"20190312151128200"</f>
        <v>20190312151128200</v>
      </c>
      <c r="B4982" t="str">
        <f>"1552374688196282"</f>
        <v>1552374688196282</v>
      </c>
      <c r="C4982" t="s">
        <v>40</v>
      </c>
      <c r="D4982">
        <v>5.0050160000000004</v>
      </c>
      <c r="E4982">
        <v>0.45220660000000001</v>
      </c>
      <c r="F4982" t="s">
        <v>42</v>
      </c>
      <c r="G4982">
        <v>-421.30779999999999</v>
      </c>
      <c r="H4982" s="1">
        <v>-3.6739180000000002E-6</v>
      </c>
      <c r="I4982">
        <v>47.341970000000003</v>
      </c>
      <c r="J4982">
        <v>-423.40769999999998</v>
      </c>
      <c r="K4982">
        <v>1.112371</v>
      </c>
      <c r="L4982">
        <v>54.175510000000003</v>
      </c>
      <c r="M4982">
        <v>6.3104060000000003E-2</v>
      </c>
      <c r="N4982">
        <v>0</v>
      </c>
      <c r="O4982">
        <v>-0.99792670000000006</v>
      </c>
      <c r="P4982">
        <v>0.16032080000000001</v>
      </c>
      <c r="Q4982">
        <v>6.3405379999999997E-2</v>
      </c>
      <c r="R4982">
        <v>-0.98502650000000003</v>
      </c>
      <c r="S4982">
        <v>0.87316890000000003</v>
      </c>
      <c r="T4982">
        <v>-0.45794950000000001</v>
      </c>
      <c r="U4982">
        <v>-2.9349669999999999</v>
      </c>
      <c r="V4982">
        <v>-9.826087E-2</v>
      </c>
      <c r="W4982">
        <v>7.5430990000000003E-2</v>
      </c>
      <c r="X4982">
        <v>0.99229780000000001</v>
      </c>
      <c r="Y4982">
        <v>-0.22092990000000001</v>
      </c>
      <c r="Z4982">
        <v>0.14866779999999999</v>
      </c>
      <c r="AA4982">
        <v>0.96389199999999997</v>
      </c>
      <c r="AB4982">
        <v>30</v>
      </c>
      <c r="AC4982">
        <v>2.0998999999999901</v>
      </c>
      <c r="AD4982">
        <v>-1.112374673918</v>
      </c>
      <c r="AE4982">
        <v>-6.8335399999999904</v>
      </c>
      <c r="AF4982">
        <v>-1.6251090176054099</v>
      </c>
      <c r="AG4982">
        <v>-1.112374673918</v>
      </c>
      <c r="AH4982">
        <v>6.7880906956126896</v>
      </c>
      <c r="AI4982">
        <v>99.054968384958499</v>
      </c>
      <c r="AJ4982">
        <v>103.463543850432</v>
      </c>
      <c r="AK4982">
        <v>7.0679934936402002</v>
      </c>
      <c r="AL4982">
        <v>85.674013544226796</v>
      </c>
      <c r="AM4982">
        <v>95.655196357570802</v>
      </c>
      <c r="AN4982">
        <v>0.99999997835518795</v>
      </c>
    </row>
    <row r="4983" spans="1:40" x14ac:dyDescent="0.25">
      <c r="A4983" t="str">
        <f>"20190312151128213"</f>
        <v>20190312151128213</v>
      </c>
      <c r="B4983" t="str">
        <f>"1552374688206043"</f>
        <v>1552374688206043</v>
      </c>
      <c r="C4983" t="s">
        <v>40</v>
      </c>
      <c r="D4983">
        <v>5.0371169999999896</v>
      </c>
      <c r="E4983">
        <v>0.45259339999999998</v>
      </c>
      <c r="F4983" t="s">
        <v>42</v>
      </c>
      <c r="G4983">
        <v>-421.2713</v>
      </c>
      <c r="H4983" s="1">
        <v>-3.5272669999999998E-6</v>
      </c>
      <c r="I4983">
        <v>47.022730000000003</v>
      </c>
      <c r="J4983">
        <v>-423.3938</v>
      </c>
      <c r="K4983">
        <v>1.1123959999999999</v>
      </c>
      <c r="L4983">
        <v>53.985529999999997</v>
      </c>
      <c r="M4983">
        <v>6.5032530000000005E-2</v>
      </c>
      <c r="N4983">
        <v>0</v>
      </c>
      <c r="O4983">
        <v>-0.99780279999999999</v>
      </c>
      <c r="P4983">
        <v>0.16270000000000001</v>
      </c>
      <c r="Q4983">
        <v>6.3405329999999996E-2</v>
      </c>
      <c r="R4983">
        <v>-0.98463610000000001</v>
      </c>
      <c r="S4983">
        <v>0.87585449999999998</v>
      </c>
      <c r="T4983">
        <v>-0.45603700000000003</v>
      </c>
      <c r="U4983">
        <v>-2.932404</v>
      </c>
      <c r="V4983">
        <v>-9.8745440000000004E-2</v>
      </c>
      <c r="W4983">
        <v>7.5421959999999996E-2</v>
      </c>
      <c r="X4983">
        <v>0.99225039999999998</v>
      </c>
      <c r="Y4983">
        <v>-0.22010930000000001</v>
      </c>
      <c r="Z4983">
        <v>0.14815010000000001</v>
      </c>
      <c r="AA4983">
        <v>0.96415949999999995</v>
      </c>
      <c r="AB4983">
        <v>30</v>
      </c>
      <c r="AC4983">
        <v>2.1225000000000001</v>
      </c>
      <c r="AD4983">
        <v>-1.112399527267</v>
      </c>
      <c r="AE4983">
        <v>-6.9627999999999997</v>
      </c>
      <c r="AF4983">
        <v>-1.6271605174425701</v>
      </c>
      <c r="AG4983">
        <v>-1.112399527267</v>
      </c>
      <c r="AH4983">
        <v>6.9243879036922298</v>
      </c>
      <c r="AI4983">
        <v>98.888466621905096</v>
      </c>
      <c r="AJ4983">
        <v>103.22399727177699</v>
      </c>
      <c r="AK4983">
        <v>7.1994605283025903</v>
      </c>
      <c r="AL4983">
        <v>85.674532475887602</v>
      </c>
      <c r="AM4983">
        <v>95.683172351378005</v>
      </c>
      <c r="AN4983">
        <v>0.99999999513559701</v>
      </c>
    </row>
    <row r="4984" spans="1:40" x14ac:dyDescent="0.25">
      <c r="A4984" t="str">
        <f>"20190312151128233"</f>
        <v>20190312151128233</v>
      </c>
      <c r="B4984" t="str">
        <f>"1552374688226538"</f>
        <v>1552374688226538</v>
      </c>
      <c r="C4984" t="s">
        <v>40</v>
      </c>
      <c r="D4984">
        <v>5.0310940000000004</v>
      </c>
      <c r="E4984">
        <v>0.45334849999999999</v>
      </c>
      <c r="F4984" t="s">
        <v>42</v>
      </c>
      <c r="G4984">
        <v>-421.24259999999998</v>
      </c>
      <c r="H4984" s="1">
        <v>-3.4332110000000001E-6</v>
      </c>
      <c r="I4984">
        <v>46.821280000000002</v>
      </c>
      <c r="J4984">
        <v>-423.37419999999997</v>
      </c>
      <c r="K4984">
        <v>1.11242</v>
      </c>
      <c r="L4984">
        <v>53.727080000000001</v>
      </c>
      <c r="M4984">
        <v>6.7671549999999997E-2</v>
      </c>
      <c r="N4984">
        <v>0</v>
      </c>
      <c r="O4984">
        <v>-0.99762720000000005</v>
      </c>
      <c r="P4984">
        <v>0.1663965</v>
      </c>
      <c r="Q4984">
        <v>6.3152849999999996E-2</v>
      </c>
      <c r="R4984">
        <v>-0.98403450000000003</v>
      </c>
      <c r="S4984">
        <v>0.87997440000000005</v>
      </c>
      <c r="T4984">
        <v>-0.45505089999999998</v>
      </c>
      <c r="U4984">
        <v>-2.9306950000000001</v>
      </c>
      <c r="V4984">
        <v>-9.9850739999999993E-2</v>
      </c>
      <c r="W4984">
        <v>7.5156639999999997E-2</v>
      </c>
      <c r="X4984">
        <v>0.99215989999999998</v>
      </c>
      <c r="Y4984">
        <v>-0.21894050000000001</v>
      </c>
      <c r="Z4984">
        <v>0.14787</v>
      </c>
      <c r="AA4984">
        <v>0.96446849999999995</v>
      </c>
      <c r="AB4984">
        <v>30</v>
      </c>
      <c r="AC4984">
        <v>2.1315999999999899</v>
      </c>
      <c r="AD4984">
        <v>-1.1124234332109999</v>
      </c>
      <c r="AE4984">
        <v>-6.9058000000000002</v>
      </c>
      <c r="AF4984">
        <v>-1.6209468229699699</v>
      </c>
      <c r="AG4984">
        <v>-1.1124234332109999</v>
      </c>
      <c r="AH4984">
        <v>6.8714340881277298</v>
      </c>
      <c r="AI4984">
        <v>98.954265807982395</v>
      </c>
      <c r="AJ4984">
        <v>103.27321553404001</v>
      </c>
      <c r="AK4984">
        <v>7.1471365542528398</v>
      </c>
      <c r="AL4984">
        <v>85.689777391854193</v>
      </c>
      <c r="AM4984">
        <v>95.746883786184199</v>
      </c>
      <c r="AN4984">
        <v>0.99999997899132298</v>
      </c>
    </row>
    <row r="4985" spans="1:40" x14ac:dyDescent="0.25">
      <c r="A4985" t="str">
        <f>"20190312151128255"</f>
        <v>20190312151128255</v>
      </c>
      <c r="B4985" t="str">
        <f>"1552374688246058"</f>
        <v>1552374688246058</v>
      </c>
      <c r="C4985" t="s">
        <v>40</v>
      </c>
      <c r="D4985">
        <v>4.963552</v>
      </c>
      <c r="E4985">
        <v>0.45372129999999999</v>
      </c>
      <c r="F4985" t="s">
        <v>42</v>
      </c>
      <c r="G4985">
        <v>-421.20409999999998</v>
      </c>
      <c r="H4985" s="1">
        <v>-3.3044449999999998E-6</v>
      </c>
      <c r="I4985">
        <v>46.545029999999997</v>
      </c>
      <c r="J4985">
        <v>-423.35079999999999</v>
      </c>
      <c r="K4985">
        <v>1.1124419999999999</v>
      </c>
      <c r="L4985">
        <v>53.429900000000004</v>
      </c>
      <c r="M4985">
        <v>7.0722699999999999E-2</v>
      </c>
      <c r="N4985">
        <v>0</v>
      </c>
      <c r="O4985">
        <v>-0.99741550000000001</v>
      </c>
      <c r="P4985">
        <v>0.17081180000000001</v>
      </c>
      <c r="Q4985">
        <v>6.2835199999999994E-2</v>
      </c>
      <c r="R4985">
        <v>-0.98329820000000001</v>
      </c>
      <c r="S4985">
        <v>0.88476559999999904</v>
      </c>
      <c r="T4985">
        <v>-0.45354149999999999</v>
      </c>
      <c r="U4985">
        <v>-2.9281619999999999</v>
      </c>
      <c r="V4985">
        <v>-0.1012715</v>
      </c>
      <c r="W4985">
        <v>7.4824740000000001E-2</v>
      </c>
      <c r="X4985">
        <v>0.99204099999999995</v>
      </c>
      <c r="Y4985">
        <v>-0.21765219999999999</v>
      </c>
      <c r="Z4985">
        <v>0.14745150000000001</v>
      </c>
      <c r="AA4985">
        <v>0.96482409999999996</v>
      </c>
      <c r="AB4985">
        <v>30</v>
      </c>
      <c r="AC4985">
        <v>2.1467000000000098</v>
      </c>
      <c r="AD4985">
        <v>-1.112445304445</v>
      </c>
      <c r="AE4985">
        <v>-6.8848700000000003</v>
      </c>
      <c r="AF4985">
        <v>-1.61591851270273</v>
      </c>
      <c r="AG4985">
        <v>-1.112445304445</v>
      </c>
      <c r="AH4985">
        <v>6.8563190715948297</v>
      </c>
      <c r="AI4985">
        <v>98.9742791889514</v>
      </c>
      <c r="AJ4985">
        <v>103.26163580980101</v>
      </c>
      <c r="AK4985">
        <v>7.1314681802972499</v>
      </c>
      <c r="AL4985">
        <v>85.708847657847997</v>
      </c>
      <c r="AM4985">
        <v>95.828789995514995</v>
      </c>
      <c r="AN4985">
        <v>1.00000000205465</v>
      </c>
    </row>
    <row r="4986" spans="1:40" x14ac:dyDescent="0.25">
      <c r="A4986" t="str">
        <f>"20190312151128279"</f>
        <v>20190312151128279</v>
      </c>
      <c r="B4986" t="str">
        <f>"1552374688276314"</f>
        <v>1552374688276314</v>
      </c>
      <c r="C4986" t="s">
        <v>40</v>
      </c>
      <c r="D4986">
        <v>5.0347359999999997</v>
      </c>
      <c r="E4986">
        <v>0.45479409999999998</v>
      </c>
      <c r="F4986" t="s">
        <v>42</v>
      </c>
      <c r="G4986">
        <v>-421.15879999999999</v>
      </c>
      <c r="H4986" s="1">
        <v>-3.1713169999999999E-6</v>
      </c>
      <c r="I4986">
        <v>46.262839999999997</v>
      </c>
      <c r="J4986">
        <v>-423.32670000000002</v>
      </c>
      <c r="K4986">
        <v>1.112466</v>
      </c>
      <c r="L4986">
        <v>53.134979999999999</v>
      </c>
      <c r="M4986">
        <v>7.3763960000000003E-2</v>
      </c>
      <c r="N4986">
        <v>0</v>
      </c>
      <c r="O4986">
        <v>-0.99719550000000001</v>
      </c>
      <c r="P4986">
        <v>0.1757601</v>
      </c>
      <c r="Q4986">
        <v>6.2476440000000001E-2</v>
      </c>
      <c r="R4986">
        <v>-0.98244880000000001</v>
      </c>
      <c r="S4986">
        <v>0.89450069999999904</v>
      </c>
      <c r="T4986">
        <v>-0.45394430000000002</v>
      </c>
      <c r="U4986">
        <v>-2.9245909999999999</v>
      </c>
      <c r="V4986">
        <v>-0.1032416</v>
      </c>
      <c r="W4986">
        <v>7.4449080000000001E-2</v>
      </c>
      <c r="X4986">
        <v>0.99186620000000003</v>
      </c>
      <c r="Y4986">
        <v>-0.21793580000000001</v>
      </c>
      <c r="Z4986">
        <v>0.14762629999999999</v>
      </c>
      <c r="AA4986">
        <v>0.96473339999999996</v>
      </c>
      <c r="AB4986">
        <v>30</v>
      </c>
      <c r="AC4986">
        <v>2.1679000000000301</v>
      </c>
      <c r="AD4986">
        <v>-1.1124691713169901</v>
      </c>
      <c r="AE4986">
        <v>-6.8721399999999999</v>
      </c>
      <c r="AF4986">
        <v>-1.6165089986093899</v>
      </c>
      <c r="AG4986">
        <v>-1.1124691713169901</v>
      </c>
      <c r="AH4986">
        <v>6.8500788320373598</v>
      </c>
      <c r="AI4986">
        <v>98.981916875906506</v>
      </c>
      <c r="AJ4986">
        <v>103.277967895835</v>
      </c>
      <c r="AK4986">
        <v>7.12560657101149</v>
      </c>
      <c r="AL4986">
        <v>85.730431695719005</v>
      </c>
      <c r="AM4986">
        <v>95.942417331233301</v>
      </c>
      <c r="AN4986">
        <v>1.00000002609292</v>
      </c>
    </row>
    <row r="4987" spans="1:40" x14ac:dyDescent="0.25">
      <c r="A4987" t="str">
        <f>"20190312151128301"</f>
        <v>20190312151128301</v>
      </c>
      <c r="B4987" t="str">
        <f>"1552374688296812"</f>
        <v>1552374688296812</v>
      </c>
      <c r="C4987" t="s">
        <v>40</v>
      </c>
      <c r="D4987">
        <v>5.0865080000000003</v>
      </c>
      <c r="E4987">
        <v>0.45506210000000002</v>
      </c>
      <c r="F4987" t="s">
        <v>42</v>
      </c>
      <c r="G4987">
        <v>-421.11500000000001</v>
      </c>
      <c r="H4987" s="1">
        <v>-3.028212E-6</v>
      </c>
      <c r="I4987">
        <v>45.956409999999998</v>
      </c>
      <c r="J4987">
        <v>-423.3014</v>
      </c>
      <c r="K4987">
        <v>1.1124849999999999</v>
      </c>
      <c r="L4987">
        <v>52.837919999999997</v>
      </c>
      <c r="M4987">
        <v>7.6842369999999993E-2</v>
      </c>
      <c r="N4987">
        <v>0</v>
      </c>
      <c r="O4987">
        <v>-0.99696309999999999</v>
      </c>
      <c r="P4987">
        <v>0.1806854</v>
      </c>
      <c r="Q4987">
        <v>6.211026E-2</v>
      </c>
      <c r="R4987">
        <v>-0.98157830000000001</v>
      </c>
      <c r="S4987">
        <v>0.90008539999999904</v>
      </c>
      <c r="T4987">
        <v>-0.4527253</v>
      </c>
      <c r="U4987">
        <v>-2.9213559999999998</v>
      </c>
      <c r="V4987">
        <v>-0.1051542</v>
      </c>
      <c r="W4987">
        <v>7.4065339999999993E-2</v>
      </c>
      <c r="X4987">
        <v>0.99169399999999996</v>
      </c>
      <c r="Y4987">
        <v>-0.2169219</v>
      </c>
      <c r="Z4987">
        <v>0.14731720000000001</v>
      </c>
      <c r="AA4987">
        <v>0.96500909999999995</v>
      </c>
      <c r="AB4987">
        <v>30</v>
      </c>
      <c r="AC4987">
        <v>2.1863999999999901</v>
      </c>
      <c r="AD4987">
        <v>-1.112488028212</v>
      </c>
      <c r="AE4987">
        <v>-6.8815099999999898</v>
      </c>
      <c r="AF4987">
        <v>-1.6128144165953799</v>
      </c>
      <c r="AG4987">
        <v>-1.112488028212</v>
      </c>
      <c r="AH4987">
        <v>6.8661870910629297</v>
      </c>
      <c r="AI4987">
        <v>98.963484029319702</v>
      </c>
      <c r="AJ4987">
        <v>103.21870275582999</v>
      </c>
      <c r="AK4987">
        <v>7.1402608583140799</v>
      </c>
      <c r="AL4987">
        <v>85.752479286218502</v>
      </c>
      <c r="AM4987">
        <v>96.052736903544996</v>
      </c>
      <c r="AN4987">
        <v>1.0000000350014699</v>
      </c>
    </row>
    <row r="4988" spans="1:40" x14ac:dyDescent="0.25">
      <c r="A4988" t="str">
        <f>"20190312151128323"</f>
        <v>20190312151128323</v>
      </c>
      <c r="B4988" t="str">
        <f>"1552374688316334"</f>
        <v>1552374688316334</v>
      </c>
      <c r="C4988" t="s">
        <v>40</v>
      </c>
      <c r="D4988">
        <v>5.0116820000000004</v>
      </c>
      <c r="E4988">
        <v>0.45482119999999998</v>
      </c>
      <c r="F4988" t="s">
        <v>42</v>
      </c>
      <c r="G4988">
        <v>-421.06689999999998</v>
      </c>
      <c r="H4988" s="1">
        <v>-2.9025850000000002E-6</v>
      </c>
      <c r="I4988">
        <v>45.693379999999998</v>
      </c>
      <c r="J4988">
        <v>-423.2758</v>
      </c>
      <c r="K4988">
        <v>1.112503</v>
      </c>
      <c r="L4988">
        <v>52.547820000000002</v>
      </c>
      <c r="M4988">
        <v>7.9860319999999999E-2</v>
      </c>
      <c r="N4988">
        <v>0</v>
      </c>
      <c r="O4988">
        <v>-0.99672539999999998</v>
      </c>
      <c r="P4988">
        <v>0.1854529</v>
      </c>
      <c r="Q4988">
        <v>6.1671160000000003E-2</v>
      </c>
      <c r="R4988">
        <v>-0.98071600000000003</v>
      </c>
      <c r="S4988">
        <v>0.91235350000000004</v>
      </c>
      <c r="T4988">
        <v>-0.45422859999999998</v>
      </c>
      <c r="U4988">
        <v>-2.9171140000000002</v>
      </c>
      <c r="V4988">
        <v>-0.1069702</v>
      </c>
      <c r="W4988">
        <v>7.3613109999999995E-2</v>
      </c>
      <c r="X4988">
        <v>0.99153340000000001</v>
      </c>
      <c r="Y4988">
        <v>-0.21804109999999999</v>
      </c>
      <c r="Z4988">
        <v>0.14783689999999999</v>
      </c>
      <c r="AA4988">
        <v>0.96467729999999996</v>
      </c>
      <c r="AB4988">
        <v>30</v>
      </c>
      <c r="AC4988">
        <v>2.2089000000000198</v>
      </c>
      <c r="AD4988">
        <v>-1.1125059025849999</v>
      </c>
      <c r="AE4988">
        <v>-6.8544399999999897</v>
      </c>
      <c r="AF4988">
        <v>-1.6158409189202001</v>
      </c>
      <c r="AG4988">
        <v>-1.1125059025849999</v>
      </c>
      <c r="AH4988">
        <v>6.8455954663242302</v>
      </c>
      <c r="AI4988">
        <v>98.987882708289902</v>
      </c>
      <c r="AJ4988">
        <v>103.281059250431</v>
      </c>
      <c r="AK4988">
        <v>7.1211507881172</v>
      </c>
      <c r="AL4988">
        <v>85.778460927647899</v>
      </c>
      <c r="AM4988">
        <v>96.157460441485796</v>
      </c>
      <c r="AN4988">
        <v>0.999999998483736</v>
      </c>
    </row>
    <row r="4989" spans="1:40" x14ac:dyDescent="0.25">
      <c r="A4989" t="str">
        <f>"20190312151128344"</f>
        <v>20190312151128344</v>
      </c>
      <c r="B4989" t="str">
        <f>"1552374688335855"</f>
        <v>1552374688335855</v>
      </c>
      <c r="C4989" t="s">
        <v>40</v>
      </c>
      <c r="D4989">
        <v>5.0633489999999997</v>
      </c>
      <c r="E4989">
        <v>0.41187230000000002</v>
      </c>
      <c r="F4989" t="s">
        <v>42</v>
      </c>
      <c r="G4989">
        <v>-421.00810000000001</v>
      </c>
      <c r="H4989" s="1">
        <v>-2.7776509999999998E-6</v>
      </c>
      <c r="I4989">
        <v>45.438650000000003</v>
      </c>
      <c r="J4989">
        <v>-423.24959999999999</v>
      </c>
      <c r="K4989">
        <v>1.112522</v>
      </c>
      <c r="L4989">
        <v>52.26108</v>
      </c>
      <c r="M4989">
        <v>8.2864080000000007E-2</v>
      </c>
      <c r="N4989">
        <v>0</v>
      </c>
      <c r="O4989">
        <v>-0.99648029999999999</v>
      </c>
      <c r="P4989">
        <v>0.1900763</v>
      </c>
      <c r="Q4989">
        <v>6.137066E-2</v>
      </c>
      <c r="R4989">
        <v>-0.97984930000000003</v>
      </c>
      <c r="S4989">
        <v>0.928894</v>
      </c>
      <c r="T4989">
        <v>-0.45569340000000003</v>
      </c>
      <c r="U4989">
        <v>-2.9119869999999999</v>
      </c>
      <c r="V4989">
        <v>-0.1086599</v>
      </c>
      <c r="W4989">
        <v>7.3308289999999998E-2</v>
      </c>
      <c r="X4989">
        <v>0.99137220000000004</v>
      </c>
      <c r="Y4989">
        <v>-0.22054399999999999</v>
      </c>
      <c r="Z4989">
        <v>0.1483283</v>
      </c>
      <c r="AA4989">
        <v>0.96403269999999996</v>
      </c>
      <c r="AB4989">
        <v>30</v>
      </c>
      <c r="AC4989">
        <v>2.2414999999999701</v>
      </c>
      <c r="AD4989">
        <v>-1.1125247776510001</v>
      </c>
      <c r="AE4989">
        <v>-6.82242999999999</v>
      </c>
      <c r="AF4989">
        <v>-1.6293057242429501</v>
      </c>
      <c r="AG4989">
        <v>-1.1125247776510001</v>
      </c>
      <c r="AH4989">
        <v>6.8210089035983401</v>
      </c>
      <c r="AI4989">
        <v>99.014267231406905</v>
      </c>
      <c r="AJ4989">
        <v>103.434271685776</v>
      </c>
      <c r="AK4989">
        <v>7.10059933997871</v>
      </c>
      <c r="AL4989">
        <v>85.795972977385503</v>
      </c>
      <c r="AM4989">
        <v>96.254967679750493</v>
      </c>
      <c r="AN4989">
        <v>0.99999995909178596</v>
      </c>
    </row>
    <row r="4990" spans="1:40" x14ac:dyDescent="0.25">
      <c r="A4990" t="str">
        <f>"20190312151128360"</f>
        <v>20190312151128360</v>
      </c>
      <c r="B4990" t="str">
        <f>"1552374688356347"</f>
        <v>1552374688356347</v>
      </c>
      <c r="C4990" t="s">
        <v>40</v>
      </c>
      <c r="D4990">
        <v>5.0582589999999996</v>
      </c>
      <c r="E4990">
        <v>0.41098580000000001</v>
      </c>
      <c r="F4990" t="s">
        <v>42</v>
      </c>
      <c r="G4990">
        <v>-420.91890000000001</v>
      </c>
      <c r="H4990" s="1">
        <v>-3.4601550000000002E-6</v>
      </c>
      <c r="I4990">
        <v>47.084870000000002</v>
      </c>
      <c r="J4990">
        <v>-423.23110000000003</v>
      </c>
      <c r="K4990">
        <v>1.1125419999999999</v>
      </c>
      <c r="L4990">
        <v>52.063630000000003</v>
      </c>
      <c r="M4990">
        <v>8.4950510000000007E-2</v>
      </c>
      <c r="N4990">
        <v>0</v>
      </c>
      <c r="O4990">
        <v>-0.99630430000000003</v>
      </c>
      <c r="P4990">
        <v>0.19309409999999999</v>
      </c>
      <c r="Q4990">
        <v>6.1309929999999999E-2</v>
      </c>
      <c r="R4990">
        <v>-0.97926290000000005</v>
      </c>
      <c r="S4990">
        <v>1.283752</v>
      </c>
      <c r="T4990">
        <v>-0.61277680000000001</v>
      </c>
      <c r="U4990">
        <v>-2.8510439999999999</v>
      </c>
      <c r="V4990">
        <v>-0.10964169999999999</v>
      </c>
      <c r="W4990">
        <v>7.3248359999999998E-2</v>
      </c>
      <c r="X4990">
        <v>0.99126860000000006</v>
      </c>
      <c r="Y4990">
        <v>-0.32380550000000002</v>
      </c>
      <c r="Z4990">
        <v>0.194387</v>
      </c>
      <c r="AA4990">
        <v>0.92593939999999997</v>
      </c>
      <c r="AB4990">
        <v>30</v>
      </c>
      <c r="AC4990">
        <v>2.31220000000001</v>
      </c>
      <c r="AD4990">
        <v>-1.112545460155</v>
      </c>
      <c r="AE4990">
        <v>-4.9787599999999896</v>
      </c>
      <c r="AF4990">
        <v>-1.80665057475355</v>
      </c>
      <c r="AG4990">
        <v>-1.112545460155</v>
      </c>
      <c r="AH4990">
        <v>4.9537254668761097</v>
      </c>
      <c r="AI4990">
        <v>101.914283917191</v>
      </c>
      <c r="AJ4990">
        <v>110.03718727610401</v>
      </c>
      <c r="AK4990">
        <v>5.3889831787959599</v>
      </c>
      <c r="AL4990">
        <v>85.7994162725076</v>
      </c>
      <c r="AM4990">
        <v>96.311684889516599</v>
      </c>
      <c r="AN4990">
        <v>1.00000003098376</v>
      </c>
    </row>
    <row r="4991" spans="1:40" x14ac:dyDescent="0.25">
      <c r="A4991" t="str">
        <f>"20190312151128378"</f>
        <v>20190312151128378</v>
      </c>
      <c r="B4991" t="str">
        <f>"1552374688376843"</f>
        <v>1552374688376843</v>
      </c>
      <c r="C4991" t="s">
        <v>40</v>
      </c>
      <c r="D4991">
        <v>5.0722690000000004</v>
      </c>
      <c r="E4991">
        <v>0.41124300000000003</v>
      </c>
      <c r="F4991" t="s">
        <v>42</v>
      </c>
      <c r="G4991">
        <v>-420.88290000000001</v>
      </c>
      <c r="H4991" s="1">
        <v>-3.3814290000000001E-6</v>
      </c>
      <c r="I4991">
        <v>46.923699999999997</v>
      </c>
      <c r="J4991">
        <v>-423.2072</v>
      </c>
      <c r="K4991">
        <v>1.112576</v>
      </c>
      <c r="L4991">
        <v>51.815829999999998</v>
      </c>
      <c r="M4991">
        <v>8.7605669999999997E-2</v>
      </c>
      <c r="N4991">
        <v>0</v>
      </c>
      <c r="O4991">
        <v>-0.99607429999999997</v>
      </c>
      <c r="P4991">
        <v>0.19697700000000001</v>
      </c>
      <c r="Q4991">
        <v>6.1380110000000002E-2</v>
      </c>
      <c r="R4991">
        <v>-0.97848520000000005</v>
      </c>
      <c r="S4991">
        <v>1.3001100000000001</v>
      </c>
      <c r="T4991">
        <v>-0.6159637</v>
      </c>
      <c r="U4991">
        <v>-2.8457340000000002</v>
      </c>
      <c r="V4991">
        <v>-0.1109385</v>
      </c>
      <c r="W4991">
        <v>7.3319229999999999E-2</v>
      </c>
      <c r="X4991">
        <v>0.99111899999999997</v>
      </c>
      <c r="Y4991">
        <v>-0.32627339999999999</v>
      </c>
      <c r="Z4991">
        <v>0.19531090000000001</v>
      </c>
      <c r="AA4991">
        <v>0.92487799999999998</v>
      </c>
      <c r="AB4991">
        <v>30</v>
      </c>
      <c r="AC4991">
        <v>2.3242999999999898</v>
      </c>
      <c r="AD4991">
        <v>-1.1125793814289999</v>
      </c>
      <c r="AE4991">
        <v>-4.8921299999999999</v>
      </c>
      <c r="AF4991">
        <v>-1.81035934008162</v>
      </c>
      <c r="AG4991">
        <v>-1.1125793814289999</v>
      </c>
      <c r="AH4991">
        <v>4.8714023898296999</v>
      </c>
      <c r="AI4991">
        <v>102.08373062644399</v>
      </c>
      <c r="AJ4991">
        <v>110.386577116064</v>
      </c>
      <c r="AK4991">
        <v>5.3146773245268797</v>
      </c>
      <c r="AL4991">
        <v>85.7953445001787</v>
      </c>
      <c r="AM4991">
        <v>96.386679874646006</v>
      </c>
      <c r="AN4991">
        <v>0.99999996621552001</v>
      </c>
    </row>
    <row r="4992" spans="1:40" x14ac:dyDescent="0.25">
      <c r="A4992" t="str">
        <f>"20190312151128401"</f>
        <v>20190312151128401</v>
      </c>
      <c r="B4992" t="str">
        <f>"1552374688396370"</f>
        <v>1552374688396370</v>
      </c>
      <c r="C4992" t="s">
        <v>40</v>
      </c>
      <c r="D4992">
        <v>4.9787809999999997</v>
      </c>
      <c r="E4992">
        <v>0.41196729999999998</v>
      </c>
      <c r="F4992" t="s">
        <v>42</v>
      </c>
      <c r="G4992">
        <v>-420.92590000000001</v>
      </c>
      <c r="H4992" s="1">
        <v>-3.3673759999999999E-6</v>
      </c>
      <c r="I4992">
        <v>46.864249999999998</v>
      </c>
      <c r="J4992">
        <v>-423.17829999999998</v>
      </c>
      <c r="K4992">
        <v>1.112617</v>
      </c>
      <c r="L4992">
        <v>51.526400000000002</v>
      </c>
      <c r="M4992">
        <v>9.0768440000000006E-2</v>
      </c>
      <c r="N4992">
        <v>0</v>
      </c>
      <c r="O4992">
        <v>-0.99579070000000003</v>
      </c>
      <c r="P4992">
        <v>0.20141970000000001</v>
      </c>
      <c r="Q4992">
        <v>6.1118510000000001E-2</v>
      </c>
      <c r="R4992">
        <v>-0.97759649999999998</v>
      </c>
      <c r="S4992">
        <v>1.3095399999999999</v>
      </c>
      <c r="T4992">
        <v>-0.63866529999999999</v>
      </c>
      <c r="U4992">
        <v>-2.8424070000000001</v>
      </c>
      <c r="V4992">
        <v>-0.11229980000000001</v>
      </c>
      <c r="W4992">
        <v>7.3055270000000005E-2</v>
      </c>
      <c r="X4992">
        <v>0.99098520000000001</v>
      </c>
      <c r="Y4992">
        <v>-0.32563789999999998</v>
      </c>
      <c r="Z4992">
        <v>0.2022188</v>
      </c>
      <c r="AA4992">
        <v>0.92361660000000001</v>
      </c>
      <c r="AB4992">
        <v>30</v>
      </c>
      <c r="AC4992">
        <v>2.2523999999999602</v>
      </c>
      <c r="AD4992">
        <v>-1.112620367376</v>
      </c>
      <c r="AE4992">
        <v>-4.6621499999999996</v>
      </c>
      <c r="AF4992">
        <v>-1.7395645339460599</v>
      </c>
      <c r="AG4992">
        <v>-1.112620367376</v>
      </c>
      <c r="AH4992">
        <v>4.63341354992665</v>
      </c>
      <c r="AI4992">
        <v>102.669912795008</v>
      </c>
      <c r="AJ4992">
        <v>110.578098011222</v>
      </c>
      <c r="AK4992">
        <v>5.0727241177011404</v>
      </c>
      <c r="AL4992">
        <v>85.810509071072801</v>
      </c>
      <c r="AM4992">
        <v>96.465255312753499</v>
      </c>
      <c r="AN4992">
        <v>0.99999999208692603</v>
      </c>
    </row>
    <row r="4993" spans="1:40" x14ac:dyDescent="0.25">
      <c r="A4993" t="str">
        <f>"20190312151128415"</f>
        <v>20190312151128415</v>
      </c>
      <c r="B4993" t="str">
        <f>"1552374688406123"</f>
        <v>1552374688406123</v>
      </c>
      <c r="C4993" t="s">
        <v>40</v>
      </c>
      <c r="D4993">
        <v>5.1955549999999997</v>
      </c>
      <c r="E4993">
        <v>0.41221479999999999</v>
      </c>
      <c r="F4993" t="s">
        <v>42</v>
      </c>
      <c r="G4993">
        <v>-420.8904</v>
      </c>
      <c r="H4993" s="1">
        <v>-3.2433450000000001E-6</v>
      </c>
      <c r="I4993">
        <v>46.597189999999998</v>
      </c>
      <c r="J4993">
        <v>-423.15780000000001</v>
      </c>
      <c r="K4993">
        <v>1.1126549999999999</v>
      </c>
      <c r="L4993">
        <v>51.325899999999997</v>
      </c>
      <c r="M4993">
        <v>9.2995209999999995E-2</v>
      </c>
      <c r="N4993">
        <v>0</v>
      </c>
      <c r="O4993">
        <v>-0.99558489999999999</v>
      </c>
      <c r="P4993">
        <v>0.20432710000000001</v>
      </c>
      <c r="Q4993">
        <v>6.0812940000000003E-2</v>
      </c>
      <c r="R4993">
        <v>-0.97701190000000004</v>
      </c>
      <c r="S4993">
        <v>1.3170470000000001</v>
      </c>
      <c r="T4993">
        <v>-0.64046559999999997</v>
      </c>
      <c r="U4993">
        <v>-2.8374329999999999</v>
      </c>
      <c r="V4993">
        <v>-0.1130348</v>
      </c>
      <c r="W4993">
        <v>7.2748060000000003E-2</v>
      </c>
      <c r="X4993">
        <v>0.99092420000000003</v>
      </c>
      <c r="Y4993">
        <v>-0.32609900000000003</v>
      </c>
      <c r="Z4993">
        <v>0.20289109999999999</v>
      </c>
      <c r="AA4993">
        <v>0.92330630000000002</v>
      </c>
      <c r="AB4993">
        <v>30</v>
      </c>
      <c r="AC4993">
        <v>2.2673999999999999</v>
      </c>
      <c r="AD4993">
        <v>-1.1126582433450001</v>
      </c>
      <c r="AE4993">
        <v>-4.7287099999999898</v>
      </c>
      <c r="AF4993">
        <v>-1.7394857273944699</v>
      </c>
      <c r="AG4993">
        <v>-1.1126582433450001</v>
      </c>
      <c r="AH4993">
        <v>4.7071927316399398</v>
      </c>
      <c r="AI4993">
        <v>102.501358614533</v>
      </c>
      <c r="AJ4993">
        <v>110.28117781442801</v>
      </c>
      <c r="AK4993">
        <v>5.1401831071564503</v>
      </c>
      <c r="AL4993">
        <v>85.8281577271608</v>
      </c>
      <c r="AM4993">
        <v>96.507605652732593</v>
      </c>
      <c r="AN4993">
        <v>0.99999995819522103</v>
      </c>
    </row>
    <row r="4994" spans="1:40" x14ac:dyDescent="0.25">
      <c r="A4994" t="str">
        <f>"20190312151128427"</f>
        <v>20190312151128427</v>
      </c>
      <c r="B4994" t="str">
        <f>"1552374688415884"</f>
        <v>1552374688415884</v>
      </c>
      <c r="C4994" t="s">
        <v>40</v>
      </c>
      <c r="D4994">
        <v>5.0699509999999997</v>
      </c>
      <c r="E4994">
        <v>0.41246060000000001</v>
      </c>
      <c r="F4994" t="s">
        <v>42</v>
      </c>
      <c r="G4994">
        <v>-420.87950000000001</v>
      </c>
      <c r="H4994" s="1">
        <v>-3.175343E-6</v>
      </c>
      <c r="I4994">
        <v>46.445410000000003</v>
      </c>
      <c r="J4994">
        <v>-423.14109999999999</v>
      </c>
      <c r="K4994">
        <v>1.1126849999999999</v>
      </c>
      <c r="L4994">
        <v>51.166870000000003</v>
      </c>
      <c r="M4994">
        <v>9.4793299999999997E-2</v>
      </c>
      <c r="N4994">
        <v>0</v>
      </c>
      <c r="O4994">
        <v>-0.99541519999999994</v>
      </c>
      <c r="P4994">
        <v>0.20651459999999999</v>
      </c>
      <c r="Q4994">
        <v>6.0658459999999997E-2</v>
      </c>
      <c r="R4994">
        <v>-0.97656180000000004</v>
      </c>
      <c r="S4994">
        <v>1.323029</v>
      </c>
      <c r="T4994">
        <v>-0.64612230000000004</v>
      </c>
      <c r="U4994">
        <v>-2.8341059999999998</v>
      </c>
      <c r="V4994">
        <v>-0.1134684</v>
      </c>
      <c r="W4994">
        <v>7.259256E-2</v>
      </c>
      <c r="X4994">
        <v>0.99088609999999999</v>
      </c>
      <c r="Y4994">
        <v>-0.32625530000000003</v>
      </c>
      <c r="Z4994">
        <v>0.20467179999999999</v>
      </c>
      <c r="AA4994">
        <v>0.92285810000000001</v>
      </c>
      <c r="AB4994">
        <v>30</v>
      </c>
      <c r="AC4994">
        <v>2.2615999999999801</v>
      </c>
      <c r="AD4994">
        <v>-1.112688175343</v>
      </c>
      <c r="AE4994">
        <v>-4.7214600000000004</v>
      </c>
      <c r="AF4994">
        <v>-1.72585205781093</v>
      </c>
      <c r="AG4994">
        <v>-1.112688175343</v>
      </c>
      <c r="AH4994">
        <v>4.7021829201170897</v>
      </c>
      <c r="AI4994">
        <v>102.524437160772</v>
      </c>
      <c r="AJ4994">
        <v>110.154757522217</v>
      </c>
      <c r="AK4994">
        <v>5.1310003425491297</v>
      </c>
      <c r="AL4994">
        <v>85.837091057831699</v>
      </c>
      <c r="AM4994">
        <v>96.532602388872704</v>
      </c>
      <c r="AN4994">
        <v>1.0000000103695601</v>
      </c>
    </row>
    <row r="4995" spans="1:40" x14ac:dyDescent="0.25">
      <c r="A4995" t="str">
        <f>"20190312151128446"</f>
        <v>20190312151128446</v>
      </c>
      <c r="B4995" t="str">
        <f>"1552374688436382"</f>
        <v>1552374688436382</v>
      </c>
      <c r="C4995" t="s">
        <v>40</v>
      </c>
      <c r="D4995">
        <v>5.038036</v>
      </c>
      <c r="E4995">
        <v>0.4126706</v>
      </c>
      <c r="F4995" t="s">
        <v>42</v>
      </c>
      <c r="G4995">
        <v>-420.83569999999997</v>
      </c>
      <c r="H4995" s="1">
        <v>-3.0793060000000001E-6</v>
      </c>
      <c r="I4995">
        <v>46.248730000000002</v>
      </c>
      <c r="J4995">
        <v>-423.11610000000002</v>
      </c>
      <c r="K4995">
        <v>1.112738</v>
      </c>
      <c r="L4995">
        <v>50.933320000000002</v>
      </c>
      <c r="M4995">
        <v>9.7475480000000003E-2</v>
      </c>
      <c r="N4995">
        <v>0</v>
      </c>
      <c r="O4995">
        <v>-0.99515600000000004</v>
      </c>
      <c r="P4995">
        <v>0.2100516</v>
      </c>
      <c r="Q4995">
        <v>5.9947300000000002E-2</v>
      </c>
      <c r="R4995">
        <v>-0.97585080000000002</v>
      </c>
      <c r="S4995">
        <v>1.327148</v>
      </c>
      <c r="T4995">
        <v>-0.64052319999999996</v>
      </c>
      <c r="U4995">
        <v>-2.8311459999999999</v>
      </c>
      <c r="V4995">
        <v>-0.11438810000000001</v>
      </c>
      <c r="W4995">
        <v>7.1876309999999999E-2</v>
      </c>
      <c r="X4995">
        <v>0.99083259999999995</v>
      </c>
      <c r="Y4995">
        <v>-0.32532879999999997</v>
      </c>
      <c r="Z4995">
        <v>0.2030576</v>
      </c>
      <c r="AA4995">
        <v>0.92354139999999996</v>
      </c>
      <c r="AB4995">
        <v>30</v>
      </c>
      <c r="AC4995">
        <v>2.2804000000000402</v>
      </c>
      <c r="AD4995">
        <v>-1.112741079306</v>
      </c>
      <c r="AE4995">
        <v>-4.68459</v>
      </c>
      <c r="AF4995">
        <v>-1.73378572347622</v>
      </c>
      <c r="AG4995">
        <v>-1.112741079306</v>
      </c>
      <c r="AH4995">
        <v>4.6714981390493397</v>
      </c>
      <c r="AI4995">
        <v>102.588386554152</v>
      </c>
      <c r="AJ4995">
        <v>110.361968039199</v>
      </c>
      <c r="AK4995">
        <v>5.1055950199410196</v>
      </c>
      <c r="AL4995">
        <v>85.878236773447497</v>
      </c>
      <c r="AM4995">
        <v>96.5854405898679</v>
      </c>
      <c r="AN4995">
        <v>1.00000004129179</v>
      </c>
    </row>
    <row r="4996" spans="1:40" x14ac:dyDescent="0.25">
      <c r="A4996" t="str">
        <f>"20190312151128468"</f>
        <v>20190312151128468</v>
      </c>
      <c r="B4996" t="str">
        <f>"1552374688455899"</f>
        <v>1552374688455899</v>
      </c>
      <c r="C4996" t="s">
        <v>40</v>
      </c>
      <c r="D4996">
        <v>5.1108169999999999</v>
      </c>
      <c r="E4996">
        <v>0.4130199</v>
      </c>
      <c r="F4996" t="s">
        <v>42</v>
      </c>
      <c r="G4996">
        <v>-420.7756</v>
      </c>
      <c r="H4996" s="1">
        <v>-2.9486640000000001E-6</v>
      </c>
      <c r="I4996">
        <v>45.981490000000001</v>
      </c>
      <c r="J4996">
        <v>-423.08350000000002</v>
      </c>
      <c r="K4996">
        <v>1.1128039999999999</v>
      </c>
      <c r="L4996">
        <v>50.638399999999997</v>
      </c>
      <c r="M4996">
        <v>0.1009564</v>
      </c>
      <c r="N4996">
        <v>0</v>
      </c>
      <c r="O4996">
        <v>-0.99480860000000004</v>
      </c>
      <c r="P4996">
        <v>0.2140987</v>
      </c>
      <c r="Q4996">
        <v>5.9253640000000003E-2</v>
      </c>
      <c r="R4996">
        <v>-0.97501340000000003</v>
      </c>
      <c r="S4996">
        <v>1.3356319999999999</v>
      </c>
      <c r="T4996">
        <v>-0.63498199999999905</v>
      </c>
      <c r="U4996">
        <v>-2.825745</v>
      </c>
      <c r="V4996">
        <v>-0.1150369</v>
      </c>
      <c r="W4996">
        <v>7.1177149999999995E-2</v>
      </c>
      <c r="X4996">
        <v>0.99080789999999996</v>
      </c>
      <c r="Y4996">
        <v>-0.32511509999999999</v>
      </c>
      <c r="Z4996">
        <v>0.20149600000000001</v>
      </c>
      <c r="AA4996">
        <v>0.92395870000000002</v>
      </c>
      <c r="AB4996">
        <v>30</v>
      </c>
      <c r="AC4996">
        <v>2.3079000000000098</v>
      </c>
      <c r="AD4996">
        <v>-1.112806948664</v>
      </c>
      <c r="AE4996">
        <v>-4.6569099999999901</v>
      </c>
      <c r="AF4996">
        <v>-1.7458883296238099</v>
      </c>
      <c r="AG4996">
        <v>-1.112806948664</v>
      </c>
      <c r="AH4996">
        <v>4.6528344269496902</v>
      </c>
      <c r="AI4996">
        <v>102.62160978715301</v>
      </c>
      <c r="AJ4996">
        <v>110.567654546901</v>
      </c>
      <c r="AK4996">
        <v>5.0926745006057201</v>
      </c>
      <c r="AL4996">
        <v>85.918398326200503</v>
      </c>
      <c r="AM4996">
        <v>96.622625436562302</v>
      </c>
      <c r="AN4996">
        <v>0.99999998487307096</v>
      </c>
    </row>
    <row r="4997" spans="1:40" x14ac:dyDescent="0.25">
      <c r="A4997" t="str">
        <f>"20190312151128491"</f>
        <v>20190312151128491</v>
      </c>
      <c r="B4997" t="str">
        <f>"1552374688486155"</f>
        <v>1552374688486155</v>
      </c>
      <c r="C4997" t="s">
        <v>40</v>
      </c>
      <c r="D4997">
        <v>5.1595019999999998</v>
      </c>
      <c r="E4997">
        <v>0.50277640000000001</v>
      </c>
      <c r="F4997" t="s">
        <v>42</v>
      </c>
      <c r="G4997">
        <v>-420.72559999999999</v>
      </c>
      <c r="H4997" s="1">
        <v>-2.8110209999999998E-6</v>
      </c>
      <c r="I4997">
        <v>45.69162</v>
      </c>
      <c r="J4997">
        <v>-423.05040000000002</v>
      </c>
      <c r="K4997">
        <v>1.11287</v>
      </c>
      <c r="L4997">
        <v>50.348999999999997</v>
      </c>
      <c r="M4997">
        <v>0.10446950000000001</v>
      </c>
      <c r="N4997">
        <v>0</v>
      </c>
      <c r="O4997">
        <v>-0.99444560000000004</v>
      </c>
      <c r="P4997">
        <v>0.21887819999999999</v>
      </c>
      <c r="Q4997">
        <v>5.8179259999999997E-2</v>
      </c>
      <c r="R4997">
        <v>-0.97401629999999995</v>
      </c>
      <c r="S4997">
        <v>1.3442689999999999</v>
      </c>
      <c r="T4997">
        <v>-0.63443179999999999</v>
      </c>
      <c r="U4997">
        <v>-2.8202509999999998</v>
      </c>
      <c r="V4997">
        <v>-0.116396</v>
      </c>
      <c r="W4997">
        <v>7.0089819999999997E-2</v>
      </c>
      <c r="X4997">
        <v>0.99072669999999996</v>
      </c>
      <c r="Y4997">
        <v>-0.32479190000000002</v>
      </c>
      <c r="Z4997">
        <v>0.20144999999999999</v>
      </c>
      <c r="AA4997">
        <v>0.92408230000000002</v>
      </c>
      <c r="AB4997">
        <v>30</v>
      </c>
      <c r="AC4997">
        <v>2.32480000000003</v>
      </c>
      <c r="AD4997">
        <v>-1.112872811021</v>
      </c>
      <c r="AE4997">
        <v>-4.6573799999999901</v>
      </c>
      <c r="AF4997">
        <v>-1.74569148751388</v>
      </c>
      <c r="AG4997">
        <v>-1.112872811021</v>
      </c>
      <c r="AH4997">
        <v>4.6617065759809897</v>
      </c>
      <c r="AI4997">
        <v>102.60211012092699</v>
      </c>
      <c r="AJ4997">
        <v>110.529657244052</v>
      </c>
      <c r="AK4997">
        <v>5.1007286600673698</v>
      </c>
      <c r="AL4997">
        <v>85.980853815372001</v>
      </c>
      <c r="AM4997">
        <v>96.700705129822197</v>
      </c>
      <c r="AN4997">
        <v>1.0000000028882601</v>
      </c>
    </row>
    <row r="4998" spans="1:40" x14ac:dyDescent="0.25">
      <c r="A4998" t="str">
        <f>"20190312151128524"</f>
        <v>20190312151128524</v>
      </c>
      <c r="B4998" t="str">
        <f>"1552374688516412"</f>
        <v>1552374688516412</v>
      </c>
      <c r="C4998" t="s">
        <v>40</v>
      </c>
      <c r="D4998">
        <v>5.1350790000000002</v>
      </c>
      <c r="E4998">
        <v>0.56700019999999995</v>
      </c>
      <c r="F4998" t="s">
        <v>41</v>
      </c>
      <c r="G4998">
        <v>-422.88170000000002</v>
      </c>
      <c r="H4998">
        <v>0.9247919</v>
      </c>
      <c r="I4998">
        <v>49.590910000000001</v>
      </c>
      <c r="J4998">
        <v>-422.99880000000002</v>
      </c>
      <c r="K4998">
        <v>1.1129789999999999</v>
      </c>
      <c r="L4998">
        <v>49.917140000000003</v>
      </c>
      <c r="M4998">
        <v>0.10989259999999999</v>
      </c>
      <c r="N4998">
        <v>0</v>
      </c>
      <c r="O4998">
        <v>-0.99386079999999999</v>
      </c>
      <c r="P4998">
        <v>0.22589429999999999</v>
      </c>
      <c r="Q4998">
        <v>5.7197749999999999E-2</v>
      </c>
      <c r="R4998">
        <v>-0.97247119999999998</v>
      </c>
      <c r="S4998">
        <v>0.66171259999999998</v>
      </c>
      <c r="T4998">
        <v>-0.73808229999999997</v>
      </c>
      <c r="U4998">
        <v>-2.9754330000000002</v>
      </c>
      <c r="V4998">
        <v>-0.1181402</v>
      </c>
      <c r="W4998">
        <v>6.9087570000000001E-2</v>
      </c>
      <c r="X4998">
        <v>0.99059059999999999</v>
      </c>
      <c r="Y4998">
        <v>-0.1023684</v>
      </c>
      <c r="Z4998">
        <v>0.2353034</v>
      </c>
      <c r="AA4998">
        <v>0.96651589999999998</v>
      </c>
      <c r="AB4998">
        <v>30</v>
      </c>
      <c r="AC4998">
        <v>0.117099999999993</v>
      </c>
      <c r="AD4998">
        <v>-0.1881871</v>
      </c>
      <c r="AE4998">
        <v>-0.32623000000000202</v>
      </c>
      <c r="AF4998">
        <v>-6.2201659338325298E-2</v>
      </c>
      <c r="AG4998">
        <v>-0.1881871</v>
      </c>
      <c r="AH4998">
        <v>0.26037116363314899</v>
      </c>
      <c r="AI4998">
        <v>125.106565889414</v>
      </c>
      <c r="AJ4998">
        <v>103.435915012108</v>
      </c>
      <c r="AK4998">
        <v>0.32722557033723798</v>
      </c>
      <c r="AL4998">
        <v>86.038417923295299</v>
      </c>
      <c r="AM4998">
        <v>96.801107636622703</v>
      </c>
      <c r="AN4998">
        <v>0.99999996799645097</v>
      </c>
    </row>
    <row r="4999" spans="1:40" x14ac:dyDescent="0.25">
      <c r="A4999" t="str">
        <f>"20190312151128545"</f>
        <v>20190312151128545</v>
      </c>
      <c r="B4999" t="str">
        <f>"1552374688535931"</f>
        <v>1552374688535931</v>
      </c>
      <c r="C4999" t="s">
        <v>40</v>
      </c>
      <c r="D4999">
        <v>5.134074</v>
      </c>
      <c r="E4999">
        <v>0.56743399999999999</v>
      </c>
      <c r="F4999" t="s">
        <v>41</v>
      </c>
      <c r="G4999">
        <v>-422.94819999999999</v>
      </c>
      <c r="H4999">
        <v>0.82363149999999996</v>
      </c>
      <c r="I4999">
        <v>49.102879999999999</v>
      </c>
      <c r="J4999">
        <v>-422.96260000000001</v>
      </c>
      <c r="K4999">
        <v>1.113046</v>
      </c>
      <c r="L4999">
        <v>49.626280000000001</v>
      </c>
      <c r="M4999">
        <v>0.11366610000000001</v>
      </c>
      <c r="N4999">
        <v>0</v>
      </c>
      <c r="O4999">
        <v>-0.99343619999999999</v>
      </c>
      <c r="P4999">
        <v>0.2308315</v>
      </c>
      <c r="Q4999">
        <v>5.6542950000000002E-2</v>
      </c>
      <c r="R4999">
        <v>-0.97134949999999998</v>
      </c>
      <c r="S4999">
        <v>0.19454959999999999</v>
      </c>
      <c r="T4999">
        <v>-1.103737</v>
      </c>
      <c r="U4999">
        <v>-3.1046450000000001</v>
      </c>
      <c r="V4999">
        <v>-0.1194144</v>
      </c>
      <c r="W4999">
        <v>6.8416340000000006E-2</v>
      </c>
      <c r="X4999">
        <v>0.99048440000000004</v>
      </c>
      <c r="Y4999">
        <v>5.486837E-2</v>
      </c>
      <c r="Z4999">
        <v>0.33127579999999901</v>
      </c>
      <c r="AA4999">
        <v>0.94193729999999998</v>
      </c>
      <c r="AB4999">
        <v>30</v>
      </c>
      <c r="AC4999">
        <v>1.44000000000232E-2</v>
      </c>
      <c r="AD4999">
        <v>-0.28941449999999902</v>
      </c>
      <c r="AE4999">
        <v>-0.52340000000000197</v>
      </c>
      <c r="AF4999">
        <v>3.4615290809584101E-2</v>
      </c>
      <c r="AG4999">
        <v>-0.28941449999999902</v>
      </c>
      <c r="AH4999">
        <v>0.39956710157036301</v>
      </c>
      <c r="AI4999">
        <v>125.814868137742</v>
      </c>
      <c r="AJ4999">
        <v>85.048714875423698</v>
      </c>
      <c r="AK4999">
        <v>0.49458350136799201</v>
      </c>
      <c r="AL4999">
        <v>86.076967798756499</v>
      </c>
      <c r="AM4999">
        <v>96.874492746303801</v>
      </c>
      <c r="AN4999">
        <v>0.99999997057485701</v>
      </c>
    </row>
    <row r="5000" spans="1:40" x14ac:dyDescent="0.25">
      <c r="A5000" t="str">
        <f>"20190312151128568"</f>
        <v>20190312151128568</v>
      </c>
      <c r="B5000" t="str">
        <f>"1552374688556427"</f>
        <v>1552374688556427</v>
      </c>
      <c r="C5000" t="s">
        <v>40</v>
      </c>
      <c r="D5000">
        <v>5.2117829999999996</v>
      </c>
      <c r="E5000">
        <v>0.56918590000000002</v>
      </c>
      <c r="F5000" t="s">
        <v>41</v>
      </c>
      <c r="G5000">
        <v>-422.91039999999998</v>
      </c>
      <c r="H5000">
        <v>0.84673549999999997</v>
      </c>
      <c r="I5000">
        <v>48.833320000000001</v>
      </c>
      <c r="J5000">
        <v>-422.92579999999998</v>
      </c>
      <c r="K5000">
        <v>1.113103</v>
      </c>
      <c r="L5000">
        <v>49.339939999999999</v>
      </c>
      <c r="M5000">
        <v>0.1174635</v>
      </c>
      <c r="N5000">
        <v>0</v>
      </c>
      <c r="O5000">
        <v>-0.99299400000000004</v>
      </c>
      <c r="P5000">
        <v>0.23639959999999999</v>
      </c>
      <c r="Q5000">
        <v>5.6394350000000003E-2</v>
      </c>
      <c r="R5000">
        <v>-0.97001800000000005</v>
      </c>
      <c r="S5000">
        <v>0.2051086</v>
      </c>
      <c r="T5000">
        <v>-1.0415639999999999</v>
      </c>
      <c r="U5000">
        <v>-3.1003419999999999</v>
      </c>
      <c r="V5000">
        <v>-0.1213185</v>
      </c>
      <c r="W5000">
        <v>6.8245570000000005E-2</v>
      </c>
      <c r="X5000">
        <v>0.99026479999999995</v>
      </c>
      <c r="Y5000">
        <v>5.5035899999999999E-2</v>
      </c>
      <c r="Z5000">
        <v>0.31469580000000003</v>
      </c>
      <c r="AA5000">
        <v>0.94759570000000004</v>
      </c>
      <c r="AB5000">
        <v>30</v>
      </c>
      <c r="AC5000">
        <v>1.53999999999996E-2</v>
      </c>
      <c r="AD5000">
        <v>-0.26636749999999998</v>
      </c>
      <c r="AE5000">
        <v>-0.50662000000000496</v>
      </c>
      <c r="AF5000">
        <v>3.46509159183701E-2</v>
      </c>
      <c r="AG5000">
        <v>-0.26636749999999998</v>
      </c>
      <c r="AH5000">
        <v>0.39564963480878101</v>
      </c>
      <c r="AI5000">
        <v>123.84871653418</v>
      </c>
      <c r="AJ5000">
        <v>84.994817966078799</v>
      </c>
      <c r="AK5000">
        <v>0.478216441116942</v>
      </c>
      <c r="AL5000">
        <v>86.086775257574502</v>
      </c>
      <c r="AM5000">
        <v>96.984568033479604</v>
      </c>
      <c r="AN5000">
        <v>1.0000000051929501</v>
      </c>
    </row>
    <row r="5001" spans="1:40" x14ac:dyDescent="0.25">
      <c r="A5001" t="str">
        <f>"20190312151128590"</f>
        <v>20190312151128590</v>
      </c>
      <c r="B5001" t="str">
        <f>"1552374688586683"</f>
        <v>1552374688586683</v>
      </c>
      <c r="C5001" t="s">
        <v>40</v>
      </c>
      <c r="D5001">
        <v>5.1207079999999996</v>
      </c>
      <c r="E5001">
        <v>0.57043569999999999</v>
      </c>
      <c r="F5001" t="s">
        <v>41</v>
      </c>
      <c r="G5001">
        <v>-422.87389999999999</v>
      </c>
      <c r="H5001">
        <v>0.8554891</v>
      </c>
      <c r="I5001">
        <v>48.569600000000001</v>
      </c>
      <c r="J5001">
        <v>-422.88650000000001</v>
      </c>
      <c r="K5001">
        <v>1.1131740000000001</v>
      </c>
      <c r="L5001">
        <v>49.044220000000003</v>
      </c>
      <c r="M5001">
        <v>0.1214797</v>
      </c>
      <c r="N5001">
        <v>0</v>
      </c>
      <c r="O5001">
        <v>-0.99251060000000002</v>
      </c>
      <c r="P5001">
        <v>0.24212890000000001</v>
      </c>
      <c r="Q5001">
        <v>5.7080199999999998E-2</v>
      </c>
      <c r="R5001">
        <v>-0.96856379999999997</v>
      </c>
      <c r="S5001">
        <v>0.20928959999999999</v>
      </c>
      <c r="T5001">
        <v>-1.0374410000000001</v>
      </c>
      <c r="U5001">
        <v>-3.10202</v>
      </c>
      <c r="V5001">
        <v>-0.1231883</v>
      </c>
      <c r="W5001">
        <v>6.8905859999999999E-2</v>
      </c>
      <c r="X5001">
        <v>0.98998819999999998</v>
      </c>
      <c r="Y5001">
        <v>5.7804910000000001E-2</v>
      </c>
      <c r="Z5001">
        <v>0.31316159999999998</v>
      </c>
      <c r="AA5001">
        <v>0.94793899999999998</v>
      </c>
      <c r="AB5001">
        <v>30</v>
      </c>
      <c r="AC5001">
        <v>1.26000000000203E-2</v>
      </c>
      <c r="AD5001">
        <v>-0.257684899999999</v>
      </c>
      <c r="AE5001">
        <v>-0.47462000000000099</v>
      </c>
      <c r="AF5001">
        <v>3.4880307545158903E-2</v>
      </c>
      <c r="AG5001">
        <v>-0.257684899999999</v>
      </c>
      <c r="AH5001">
        <v>0.36509207313099101</v>
      </c>
      <c r="AI5001">
        <v>125.092211362989</v>
      </c>
      <c r="AJ5001">
        <v>84.542617693394305</v>
      </c>
      <c r="AK5001">
        <v>0.44823025935956101</v>
      </c>
      <c r="AL5001">
        <v>86.048854158409299</v>
      </c>
      <c r="AM5001">
        <v>97.093089804062501</v>
      </c>
      <c r="AN5001">
        <v>1.00000000546923</v>
      </c>
    </row>
    <row r="5002" spans="1:40" x14ac:dyDescent="0.25">
      <c r="A5002" t="str">
        <f>"20190312151128613"</f>
        <v>20190312151128613</v>
      </c>
      <c r="B5002" t="str">
        <f>"1552374688606206"</f>
        <v>1552374688606206</v>
      </c>
      <c r="C5002" t="s">
        <v>40</v>
      </c>
      <c r="D5002">
        <v>6.0428410000000001</v>
      </c>
      <c r="E5002">
        <v>0.57069930000000002</v>
      </c>
      <c r="F5002" t="s">
        <v>41</v>
      </c>
      <c r="G5002">
        <v>-422.83460000000002</v>
      </c>
      <c r="H5002">
        <v>0.86819609999999903</v>
      </c>
      <c r="I5002">
        <v>48.304499999999997</v>
      </c>
      <c r="J5002">
        <v>-422.84699999999998</v>
      </c>
      <c r="K5002">
        <v>1.1132489999999999</v>
      </c>
      <c r="L5002">
        <v>48.755519999999997</v>
      </c>
      <c r="M5002">
        <v>0.12549839999999901</v>
      </c>
      <c r="N5002">
        <v>0</v>
      </c>
      <c r="O5002">
        <v>-0.99201010000000001</v>
      </c>
      <c r="P5002">
        <v>0.247808</v>
      </c>
      <c r="Q5002">
        <v>5.7627579999999998E-2</v>
      </c>
      <c r="R5002">
        <v>-0.96709369999999995</v>
      </c>
      <c r="S5002">
        <v>0.2185974</v>
      </c>
      <c r="T5002">
        <v>-1.028006</v>
      </c>
      <c r="U5002">
        <v>-3.1033019999999998</v>
      </c>
      <c r="V5002">
        <v>-0.12500899999999901</v>
      </c>
      <c r="W5002">
        <v>6.9425310000000004E-2</v>
      </c>
      <c r="X5002">
        <v>0.98972360000000004</v>
      </c>
      <c r="Y5002">
        <v>5.8978490000000001E-2</v>
      </c>
      <c r="Z5002">
        <v>0.31021090000000001</v>
      </c>
      <c r="AA5002">
        <v>0.94883649999999997</v>
      </c>
      <c r="AB5002">
        <v>30</v>
      </c>
      <c r="AC5002">
        <v>1.23999999999568E-2</v>
      </c>
      <c r="AD5002">
        <v>-0.24505289999999999</v>
      </c>
      <c r="AE5002">
        <v>-0.45102000000000603</v>
      </c>
      <c r="AF5002">
        <v>3.4212784619864697E-2</v>
      </c>
      <c r="AG5002">
        <v>-0.24505289999999999</v>
      </c>
      <c r="AH5002">
        <v>0.34672978301166202</v>
      </c>
      <c r="AI5002">
        <v>125.120215975896</v>
      </c>
      <c r="AJ5002">
        <v>84.364709048947503</v>
      </c>
      <c r="AK5002">
        <v>0.42596124337452301</v>
      </c>
      <c r="AL5002">
        <v>86.019020254466099</v>
      </c>
      <c r="AM5002">
        <v>97.198736879028502</v>
      </c>
      <c r="AN5002">
        <v>0.99999996407327696</v>
      </c>
    </row>
    <row r="5003" spans="1:40" x14ac:dyDescent="0.25">
      <c r="A5003" t="str">
        <f>"20190312151128635"</f>
        <v>20190312151128635</v>
      </c>
      <c r="B5003" t="str">
        <f>"1552374688626699"</f>
        <v>1552374688626699</v>
      </c>
      <c r="C5003" t="s">
        <v>40</v>
      </c>
      <c r="D5003">
        <v>5.068708</v>
      </c>
      <c r="E5003">
        <v>0.56385369999999901</v>
      </c>
      <c r="F5003" t="s">
        <v>41</v>
      </c>
      <c r="G5003">
        <v>-422.79300000000001</v>
      </c>
      <c r="H5003">
        <v>0.87719930000000002</v>
      </c>
      <c r="I5003">
        <v>48.04139</v>
      </c>
      <c r="J5003">
        <v>-422.80549999999999</v>
      </c>
      <c r="K5003">
        <v>1.1133329999999999</v>
      </c>
      <c r="L5003">
        <v>48.462710000000001</v>
      </c>
      <c r="M5003">
        <v>0.1296755</v>
      </c>
      <c r="N5003">
        <v>0</v>
      </c>
      <c r="O5003">
        <v>-0.99147269999999998</v>
      </c>
      <c r="P5003">
        <v>0.25385920000000001</v>
      </c>
      <c r="Q5003">
        <v>5.8346519999999999E-2</v>
      </c>
      <c r="R5003">
        <v>-0.9654798</v>
      </c>
      <c r="S5003">
        <v>0.2346191</v>
      </c>
      <c r="T5003">
        <v>-1.025701</v>
      </c>
      <c r="U5003">
        <v>-3.1030880000000001</v>
      </c>
      <c r="V5003">
        <v>-0.1270645</v>
      </c>
      <c r="W5003">
        <v>7.0111240000000005E-2</v>
      </c>
      <c r="X5003">
        <v>0.98941349999999995</v>
      </c>
      <c r="Y5003">
        <v>5.828614E-2</v>
      </c>
      <c r="Z5003">
        <v>0.30931259999999999</v>
      </c>
      <c r="AA5003">
        <v>0.94917249999999997</v>
      </c>
      <c r="AB5003">
        <v>30</v>
      </c>
      <c r="AC5003">
        <v>1.24999999999886E-2</v>
      </c>
      <c r="AD5003">
        <v>-0.236133699999999</v>
      </c>
      <c r="AE5003">
        <v>-0.42131999999999398</v>
      </c>
      <c r="AF5003">
        <v>3.2153801310358998E-2</v>
      </c>
      <c r="AG5003">
        <v>-0.236133699999999</v>
      </c>
      <c r="AH5003">
        <v>0.31920381729039299</v>
      </c>
      <c r="AI5003">
        <v>126.35431776090201</v>
      </c>
      <c r="AJ5003">
        <v>84.247926843209399</v>
      </c>
      <c r="AK5003">
        <v>0.398351689072802</v>
      </c>
      <c r="AL5003">
        <v>85.979623596389601</v>
      </c>
      <c r="AM5003">
        <v>97.318100290968303</v>
      </c>
      <c r="AN5003">
        <v>1.0000000235584099</v>
      </c>
    </row>
    <row r="5004" spans="1:40" x14ac:dyDescent="0.25">
      <c r="A5004" t="str">
        <f>"20190312151128657"</f>
        <v>20190312151128657</v>
      </c>
      <c r="B5004" t="str">
        <f>"1552374688646219"</f>
        <v>1552374688646219</v>
      </c>
      <c r="C5004" t="s">
        <v>40</v>
      </c>
      <c r="D5004">
        <v>5.0998039999999998</v>
      </c>
      <c r="E5004">
        <v>0.57424589999999998</v>
      </c>
      <c r="F5004" t="s">
        <v>41</v>
      </c>
      <c r="G5004">
        <v>-422.7373</v>
      </c>
      <c r="H5004">
        <v>0.92592390000000002</v>
      </c>
      <c r="I5004">
        <v>47.762479999999996</v>
      </c>
      <c r="J5004">
        <v>-422.76389999999998</v>
      </c>
      <c r="K5004">
        <v>1.1134170000000001</v>
      </c>
      <c r="L5004">
        <v>48.178190000000001</v>
      </c>
      <c r="M5004">
        <v>0.13383699999999901</v>
      </c>
      <c r="N5004">
        <v>0</v>
      </c>
      <c r="O5004">
        <v>-0.99091940000000001</v>
      </c>
      <c r="P5004">
        <v>0.26002419999999998</v>
      </c>
      <c r="Q5004">
        <v>5.8153440000000001E-2</v>
      </c>
      <c r="R5004">
        <v>-0.96384970000000003</v>
      </c>
      <c r="S5004">
        <v>0.30032350000000002</v>
      </c>
      <c r="T5004">
        <v>-0.82420599999999999</v>
      </c>
      <c r="U5004">
        <v>-3.078125</v>
      </c>
      <c r="V5004">
        <v>-0.12924550000000001</v>
      </c>
      <c r="W5004">
        <v>6.9882440000000004E-2</v>
      </c>
      <c r="X5004">
        <v>0.98914709999999995</v>
      </c>
      <c r="Y5004">
        <v>4.021102E-2</v>
      </c>
      <c r="Z5004">
        <v>0.25456580000000001</v>
      </c>
      <c r="AA5004">
        <v>0.9662191</v>
      </c>
      <c r="AB5004">
        <v>29</v>
      </c>
      <c r="AC5004">
        <v>2.6599999999973499E-2</v>
      </c>
      <c r="AD5004">
        <v>-0.1874931</v>
      </c>
      <c r="AE5004">
        <v>-0.41571000000000402</v>
      </c>
      <c r="AF5004">
        <v>2.43486078084626E-2</v>
      </c>
      <c r="AG5004">
        <v>-0.1874931</v>
      </c>
      <c r="AH5004">
        <v>0.34552940392750098</v>
      </c>
      <c r="AI5004">
        <v>118.42594534958801</v>
      </c>
      <c r="AJ5004">
        <v>85.969170363964295</v>
      </c>
      <c r="AK5004">
        <v>0.39387445490703599</v>
      </c>
      <c r="AL5004">
        <v>85.9927648890651</v>
      </c>
      <c r="AM5004">
        <v>97.444297349785302</v>
      </c>
      <c r="AN5004">
        <v>0.99999997006450603</v>
      </c>
    </row>
    <row r="5005" spans="1:40" x14ac:dyDescent="0.25">
      <c r="A5005" t="str">
        <f>"20190312151128682"</f>
        <v>20190312151128682</v>
      </c>
      <c r="B5005" t="str">
        <f>"1552374688676475"</f>
        <v>1552374688676475</v>
      </c>
      <c r="C5005" t="s">
        <v>40</v>
      </c>
      <c r="D5005">
        <v>6.345764</v>
      </c>
      <c r="E5005">
        <v>0.58307679999999995</v>
      </c>
      <c r="F5005" t="s">
        <v>41</v>
      </c>
      <c r="G5005">
        <v>-422.71140000000003</v>
      </c>
      <c r="H5005">
        <v>0.89383789999999996</v>
      </c>
      <c r="I5005">
        <v>47.516280000000002</v>
      </c>
      <c r="J5005">
        <v>-422.71769999999998</v>
      </c>
      <c r="K5005">
        <v>1.1135060000000001</v>
      </c>
      <c r="L5005">
        <v>47.873750000000001</v>
      </c>
      <c r="M5005">
        <v>0.13841870000000001</v>
      </c>
      <c r="N5005">
        <v>0</v>
      </c>
      <c r="O5005">
        <v>-0.99028950000000004</v>
      </c>
      <c r="P5005">
        <v>0.26585300000000001</v>
      </c>
      <c r="Q5005">
        <v>5.786326E-2</v>
      </c>
      <c r="R5005">
        <v>-0.9622754</v>
      </c>
      <c r="S5005">
        <v>0.24606320000000001</v>
      </c>
      <c r="T5005">
        <v>-1.0308710000000001</v>
      </c>
      <c r="U5005">
        <v>-3.1083069999999999</v>
      </c>
      <c r="V5005">
        <v>-0.13066939999999999</v>
      </c>
      <c r="W5005">
        <v>6.9559940000000001E-2</v>
      </c>
      <c r="X5005">
        <v>0.98898280000000005</v>
      </c>
      <c r="Y5005">
        <v>6.3753080000000004E-2</v>
      </c>
      <c r="Z5005">
        <v>0.30961509999999998</v>
      </c>
      <c r="AA5005">
        <v>0.94872230000000002</v>
      </c>
      <c r="AB5005">
        <v>29</v>
      </c>
      <c r="AC5005">
        <v>6.2999999999533403E-3</v>
      </c>
      <c r="AD5005">
        <v>-0.21966809999999901</v>
      </c>
      <c r="AE5005">
        <v>-0.35746999999999901</v>
      </c>
      <c r="AF5005">
        <v>3.1394002579840201E-2</v>
      </c>
      <c r="AG5005">
        <v>-0.21966809999999901</v>
      </c>
      <c r="AH5005">
        <v>0.25764050280253298</v>
      </c>
      <c r="AI5005">
        <v>130.24306187328</v>
      </c>
      <c r="AJ5005">
        <v>83.052645897015395</v>
      </c>
      <c r="AK5005">
        <v>0.34002689046593798</v>
      </c>
      <c r="AL5005">
        <v>86.011288085469204</v>
      </c>
      <c r="AM5005">
        <v>97.526612237834399</v>
      </c>
      <c r="AN5005">
        <v>1.0000000280225001</v>
      </c>
    </row>
    <row r="5006" spans="1:40" x14ac:dyDescent="0.25">
      <c r="A5006" t="str">
        <f>"20190312151128704"</f>
        <v>20190312151128704</v>
      </c>
      <c r="B5006" t="str">
        <f>"1552374688695995"</f>
        <v>1552374688695995</v>
      </c>
      <c r="C5006" t="s">
        <v>40</v>
      </c>
      <c r="D5006">
        <v>5.3076739999999996</v>
      </c>
      <c r="E5006">
        <v>0.58699539999999994</v>
      </c>
      <c r="F5006" t="s">
        <v>41</v>
      </c>
      <c r="G5006">
        <v>-422.66379999999998</v>
      </c>
      <c r="H5006">
        <v>0.83575809999999995</v>
      </c>
      <c r="I5006">
        <v>47.018529999999998</v>
      </c>
      <c r="J5006">
        <v>-422.67149999999998</v>
      </c>
      <c r="K5006">
        <v>1.113594</v>
      </c>
      <c r="L5006">
        <v>47.578609999999998</v>
      </c>
      <c r="M5006">
        <v>0.1429753</v>
      </c>
      <c r="N5006">
        <v>0</v>
      </c>
      <c r="O5006">
        <v>-0.98964200000000002</v>
      </c>
      <c r="P5006">
        <v>0.27148339999999999</v>
      </c>
      <c r="Q5006">
        <v>5.7828360000000002E-2</v>
      </c>
      <c r="R5006">
        <v>-0.96070480000000003</v>
      </c>
      <c r="S5006">
        <v>0.19766239999999999</v>
      </c>
      <c r="T5006">
        <v>-1.0150399999999999</v>
      </c>
      <c r="U5006">
        <v>-3.1240540000000001</v>
      </c>
      <c r="V5006">
        <v>-0.13192390000000001</v>
      </c>
      <c r="W5006">
        <v>6.9494760000000003E-2</v>
      </c>
      <c r="X5006">
        <v>0.98882080000000006</v>
      </c>
      <c r="Y5006">
        <v>8.3206329999999995E-2</v>
      </c>
      <c r="Z5006">
        <v>0.30355510000000002</v>
      </c>
      <c r="AA5006">
        <v>0.94917390000000001</v>
      </c>
      <c r="AB5006">
        <v>29</v>
      </c>
      <c r="AC5006">
        <v>7.6999999999998103E-3</v>
      </c>
      <c r="AD5006">
        <v>-0.27783589999999903</v>
      </c>
      <c r="AE5006">
        <v>-0.56007999999999902</v>
      </c>
      <c r="AF5006">
        <v>5.8155255452248499E-2</v>
      </c>
      <c r="AG5006">
        <v>-0.27783589999999903</v>
      </c>
      <c r="AH5006">
        <v>0.44575515046846398</v>
      </c>
      <c r="AI5006">
        <v>121.71833998087899</v>
      </c>
      <c r="AJ5006">
        <v>82.566913714435501</v>
      </c>
      <c r="AK5006">
        <v>0.52846236879714403</v>
      </c>
      <c r="AL5006">
        <v>86.015031594853497</v>
      </c>
      <c r="AM5006">
        <v>97.599261975896994</v>
      </c>
      <c r="AN5006">
        <v>1.00000000578565</v>
      </c>
    </row>
    <row r="5007" spans="1:40" x14ac:dyDescent="0.25">
      <c r="A5007" t="str">
        <f>"20190312151128725"</f>
        <v>20190312151128725</v>
      </c>
      <c r="B5007" t="str">
        <f>"1552374688716491"</f>
        <v>1552374688716491</v>
      </c>
      <c r="C5007" t="s">
        <v>40</v>
      </c>
      <c r="D5007">
        <v>5.1810780000000003</v>
      </c>
      <c r="E5007">
        <v>0.58894159999999995</v>
      </c>
      <c r="F5007" t="s">
        <v>41</v>
      </c>
      <c r="G5007">
        <v>-422.62270000000001</v>
      </c>
      <c r="H5007">
        <v>0.84957000000000005</v>
      </c>
      <c r="I5007">
        <v>46.754370000000002</v>
      </c>
      <c r="J5007">
        <v>-422.6266</v>
      </c>
      <c r="K5007">
        <v>1.1136649999999999</v>
      </c>
      <c r="L5007">
        <v>47.300379999999997</v>
      </c>
      <c r="M5007">
        <v>0.1473595</v>
      </c>
      <c r="N5007">
        <v>0</v>
      </c>
      <c r="O5007">
        <v>-0.9889983</v>
      </c>
      <c r="P5007">
        <v>0.2781187</v>
      </c>
      <c r="Q5007">
        <v>5.7810710000000001E-2</v>
      </c>
      <c r="R5007">
        <v>-0.95880540000000003</v>
      </c>
      <c r="S5007">
        <v>0.18569949999999999</v>
      </c>
      <c r="T5007">
        <v>-1.0028870000000001</v>
      </c>
      <c r="U5007">
        <v>-3.1306150000000001</v>
      </c>
      <c r="V5007">
        <v>-0.13439139999999999</v>
      </c>
      <c r="W5007">
        <v>6.9436739999999997E-2</v>
      </c>
      <c r="X5007">
        <v>0.9884925</v>
      </c>
      <c r="Y5007">
        <v>9.1278680000000001E-2</v>
      </c>
      <c r="Z5007">
        <v>0.299322599999999</v>
      </c>
      <c r="AA5007">
        <v>0.94977590000000001</v>
      </c>
      <c r="AB5007">
        <v>29</v>
      </c>
      <c r="AC5007">
        <v>3.8999999999873498E-3</v>
      </c>
      <c r="AD5007">
        <v>-0.26409499999999902</v>
      </c>
      <c r="AE5007">
        <v>-0.546009999999995</v>
      </c>
      <c r="AF5007">
        <v>6.2085137951682398E-2</v>
      </c>
      <c r="AG5007">
        <v>-0.26409499999999902</v>
      </c>
      <c r="AH5007">
        <v>0.43812885436593801</v>
      </c>
      <c r="AI5007">
        <v>120.829467540335</v>
      </c>
      <c r="AJ5007">
        <v>81.934589355510496</v>
      </c>
      <c r="AK5007">
        <v>0.51532283707156701</v>
      </c>
      <c r="AL5007">
        <v>86.018363786756296</v>
      </c>
      <c r="AM5007">
        <v>97.742230386368206</v>
      </c>
      <c r="AN5007">
        <v>0.99999996590601803</v>
      </c>
    </row>
    <row r="5008" spans="1:40" x14ac:dyDescent="0.25">
      <c r="A5008" t="str">
        <f>"20190312151128747"</f>
        <v>20190312151128747</v>
      </c>
      <c r="B5008" t="str">
        <f>"1552374688736011"</f>
        <v>1552374688736011</v>
      </c>
      <c r="C5008" t="s">
        <v>40</v>
      </c>
      <c r="D5008">
        <v>5.8265599999999997</v>
      </c>
      <c r="E5008">
        <v>0.59053480000000003</v>
      </c>
      <c r="F5008" t="s">
        <v>41</v>
      </c>
      <c r="G5008">
        <v>-422.57769999999999</v>
      </c>
      <c r="H5008">
        <v>0.8563944</v>
      </c>
      <c r="I5008">
        <v>46.493780000000001</v>
      </c>
      <c r="J5008">
        <v>-422.5788</v>
      </c>
      <c r="K5008">
        <v>1.1137349999999999</v>
      </c>
      <c r="L5008">
        <v>47.012819999999998</v>
      </c>
      <c r="M5008">
        <v>0.1519856</v>
      </c>
      <c r="N5008">
        <v>0</v>
      </c>
      <c r="O5008">
        <v>-0.98829809999999996</v>
      </c>
      <c r="P5008">
        <v>0.28499560000000002</v>
      </c>
      <c r="Q5008">
        <v>5.7419409999999997E-2</v>
      </c>
      <c r="R5008">
        <v>-0.95680759999999998</v>
      </c>
      <c r="S5008">
        <v>0.19070429999999999</v>
      </c>
      <c r="T5008">
        <v>-0.99993469999999995</v>
      </c>
      <c r="U5008">
        <v>-3.1338810000000001</v>
      </c>
      <c r="V5008">
        <v>-0.13686970000000001</v>
      </c>
      <c r="W5008">
        <v>6.9004800000000005E-2</v>
      </c>
      <c r="X5008">
        <v>0.98818269999999997</v>
      </c>
      <c r="Y5008">
        <v>9.445895E-2</v>
      </c>
      <c r="Z5008">
        <v>0.29787079999999999</v>
      </c>
      <c r="AA5008">
        <v>0.94992129999999997</v>
      </c>
      <c r="AB5008">
        <v>29</v>
      </c>
      <c r="AC5008">
        <v>1.1000000000080899E-3</v>
      </c>
      <c r="AD5008">
        <v>-0.25734059999999997</v>
      </c>
      <c r="AE5008">
        <v>-0.51903999999999595</v>
      </c>
      <c r="AF5008">
        <v>6.2453751753649499E-2</v>
      </c>
      <c r="AG5008">
        <v>-0.25734059999999997</v>
      </c>
      <c r="AH5008">
        <v>0.411919317609661</v>
      </c>
      <c r="AI5008">
        <v>121.702644588331</v>
      </c>
      <c r="AJ5008">
        <v>81.378677206498395</v>
      </c>
      <c r="AK5008">
        <v>0.48969600747450998</v>
      </c>
      <c r="AL5008">
        <v>86.043171817953606</v>
      </c>
      <c r="AM5008">
        <v>97.885665404800605</v>
      </c>
      <c r="AN5008">
        <v>1.00000001289021</v>
      </c>
    </row>
    <row r="5009" spans="1:40" x14ac:dyDescent="0.25">
      <c r="A5009" t="str">
        <f>"20190312151128769"</f>
        <v>20190312151128769</v>
      </c>
      <c r="B5009" t="str">
        <f>"1552374688766267"</f>
        <v>1552374688766267</v>
      </c>
      <c r="C5009" t="s">
        <v>40</v>
      </c>
      <c r="D5009">
        <v>5.5516100000000002</v>
      </c>
      <c r="E5009">
        <v>0.59312339999999997</v>
      </c>
      <c r="F5009" t="s">
        <v>41</v>
      </c>
      <c r="G5009">
        <v>-422.52960000000002</v>
      </c>
      <c r="H5009">
        <v>0.86949920000000003</v>
      </c>
      <c r="I5009">
        <v>46.231340000000003</v>
      </c>
      <c r="J5009">
        <v>-422.53129999999999</v>
      </c>
      <c r="K5009">
        <v>1.113801</v>
      </c>
      <c r="L5009">
        <v>46.73621</v>
      </c>
      <c r="M5009">
        <v>0.15652849999999999</v>
      </c>
      <c r="N5009">
        <v>0</v>
      </c>
      <c r="O5009">
        <v>-0.98758860000000004</v>
      </c>
      <c r="P5009">
        <v>0.29209230000000003</v>
      </c>
      <c r="Q5009">
        <v>5.6480780000000001E-2</v>
      </c>
      <c r="R5009">
        <v>-0.95472089999999998</v>
      </c>
      <c r="S5009">
        <v>0.1984253</v>
      </c>
      <c r="T5009">
        <v>-0.98030320000000004</v>
      </c>
      <c r="U5009">
        <v>-3.1351619999999998</v>
      </c>
      <c r="V5009">
        <v>-0.13965910000000001</v>
      </c>
      <c r="W5009">
        <v>6.8024340000000003E-2</v>
      </c>
      <c r="X5009">
        <v>0.98786030000000002</v>
      </c>
      <c r="Y5009">
        <v>9.6617889999999998E-2</v>
      </c>
      <c r="Z5009">
        <v>0.29207430000000001</v>
      </c>
      <c r="AA5009">
        <v>0.95150279999999998</v>
      </c>
      <c r="AB5009">
        <v>29</v>
      </c>
      <c r="AC5009">
        <v>1.6999999999711599E-3</v>
      </c>
      <c r="AD5009">
        <v>-0.24430180000000001</v>
      </c>
      <c r="AE5009">
        <v>-0.50486999999999604</v>
      </c>
      <c r="AF5009">
        <v>6.2678191610929496E-2</v>
      </c>
      <c r="AG5009">
        <v>-0.24430180000000001</v>
      </c>
      <c r="AH5009">
        <v>0.40425622993330301</v>
      </c>
      <c r="AI5009">
        <v>120.84517627648</v>
      </c>
      <c r="AJ5009">
        <v>81.186709843872094</v>
      </c>
      <c r="AK5009">
        <v>0.47648192476393397</v>
      </c>
      <c r="AL5009">
        <v>86.099480204870503</v>
      </c>
      <c r="AM5009">
        <v>98.046882927952097</v>
      </c>
      <c r="AN5009">
        <v>0.99999997368066695</v>
      </c>
    </row>
    <row r="5010" spans="1:40" x14ac:dyDescent="0.25">
      <c r="A5010" t="str">
        <f>"20190312151128792"</f>
        <v>20190312151128792</v>
      </c>
      <c r="B5010" t="str">
        <f>"1552374688786763"</f>
        <v>1552374688786763</v>
      </c>
      <c r="C5010" t="s">
        <v>40</v>
      </c>
      <c r="D5010">
        <v>5.2831549999999998</v>
      </c>
      <c r="E5010">
        <v>0.59301219999999999</v>
      </c>
      <c r="F5010" t="s">
        <v>41</v>
      </c>
      <c r="G5010">
        <v>-422.48239999999998</v>
      </c>
      <c r="H5010">
        <v>0.87227679999999996</v>
      </c>
      <c r="I5010">
        <v>45.973120000000002</v>
      </c>
      <c r="J5010">
        <v>-422.47910000000002</v>
      </c>
      <c r="K5010">
        <v>1.1138760000000001</v>
      </c>
      <c r="L5010">
        <v>46.440249999999999</v>
      </c>
      <c r="M5010">
        <v>0.16149129999999901</v>
      </c>
      <c r="N5010">
        <v>0</v>
      </c>
      <c r="O5010">
        <v>-0.98678889999999997</v>
      </c>
      <c r="P5010">
        <v>0.30054019999999998</v>
      </c>
      <c r="Q5010">
        <v>5.6315480000000001E-2</v>
      </c>
      <c r="R5010">
        <v>-0.95210519999999998</v>
      </c>
      <c r="S5010">
        <v>0.20187379999999999</v>
      </c>
      <c r="T5010">
        <v>-0.99384360000000005</v>
      </c>
      <c r="U5010">
        <v>-3.1392820000000001</v>
      </c>
      <c r="V5010">
        <v>-0.14345729999999901</v>
      </c>
      <c r="W5010">
        <v>6.7807409999999999E-2</v>
      </c>
      <c r="X5010">
        <v>0.98733090000000001</v>
      </c>
      <c r="Y5010">
        <v>0.10071769999999999</v>
      </c>
      <c r="Z5010">
        <v>0.2949698</v>
      </c>
      <c r="AA5010">
        <v>0.95018360000000002</v>
      </c>
      <c r="AB5010">
        <v>29</v>
      </c>
      <c r="AC5010">
        <v>-3.2999999999674301E-3</v>
      </c>
      <c r="AD5010">
        <v>-0.24159919999999999</v>
      </c>
      <c r="AE5010">
        <v>-0.46712999999999699</v>
      </c>
      <c r="AF5010">
        <v>6.2091993289211299E-2</v>
      </c>
      <c r="AG5010">
        <v>-0.24159919999999999</v>
      </c>
      <c r="AH5010">
        <v>0.36329090494849198</v>
      </c>
      <c r="AI5010">
        <v>123.24579936831699</v>
      </c>
      <c r="AJ5010">
        <v>80.300989649770401</v>
      </c>
      <c r="AK5010">
        <v>0.44068795160471802</v>
      </c>
      <c r="AL5010">
        <v>86.111938533806807</v>
      </c>
      <c r="AM5010">
        <v>98.267114464239398</v>
      </c>
      <c r="AN5010">
        <v>1.0000000739345001</v>
      </c>
    </row>
    <row r="5011" spans="1:40" x14ac:dyDescent="0.25">
      <c r="A5011" t="str">
        <f>"20190312151128814"</f>
        <v>20190312151128814</v>
      </c>
      <c r="B5011" t="str">
        <f>"1552374688806286"</f>
        <v>1552374688806286</v>
      </c>
      <c r="C5011" t="s">
        <v>40</v>
      </c>
      <c r="D5011">
        <v>6.0584730000000002</v>
      </c>
      <c r="E5011">
        <v>0.5935916</v>
      </c>
      <c r="F5011" t="s">
        <v>41</v>
      </c>
      <c r="G5011">
        <v>-422.42619999999999</v>
      </c>
      <c r="H5011">
        <v>0.88348599999999999</v>
      </c>
      <c r="I5011">
        <v>45.713250000000002</v>
      </c>
      <c r="J5011">
        <v>-422.42849999999999</v>
      </c>
      <c r="K5011">
        <v>1.113958</v>
      </c>
      <c r="L5011">
        <v>46.16245</v>
      </c>
      <c r="M5011">
        <v>0.16625390000000001</v>
      </c>
      <c r="N5011">
        <v>0</v>
      </c>
      <c r="O5011">
        <v>-0.98599749999999997</v>
      </c>
      <c r="P5011">
        <v>0.30850939999999999</v>
      </c>
      <c r="Q5011">
        <v>5.5937920000000002E-2</v>
      </c>
      <c r="R5011">
        <v>-0.94957530000000001</v>
      </c>
      <c r="S5011">
        <v>0.2303772</v>
      </c>
      <c r="T5011">
        <v>-0.99533570000000005</v>
      </c>
      <c r="U5011">
        <v>-3.1370849999999999</v>
      </c>
      <c r="V5011">
        <v>-0.14697279999999999</v>
      </c>
      <c r="W5011">
        <v>6.7380200000000001E-2</v>
      </c>
      <c r="X5011">
        <v>0.98684289999999997</v>
      </c>
      <c r="Y5011">
        <v>9.689557E-2</v>
      </c>
      <c r="Z5011">
        <v>0.29518939999999999</v>
      </c>
      <c r="AA5011">
        <v>0.95051269999999999</v>
      </c>
      <c r="AB5011">
        <v>29</v>
      </c>
      <c r="AC5011">
        <v>2.29999999999108E-3</v>
      </c>
      <c r="AD5011">
        <v>-0.23047199999999901</v>
      </c>
      <c r="AE5011">
        <v>-0.44919999999999699</v>
      </c>
      <c r="AF5011">
        <v>5.7328603386211902E-2</v>
      </c>
      <c r="AG5011">
        <v>-0.23047199999999901</v>
      </c>
      <c r="AH5011">
        <v>0.35094771760374199</v>
      </c>
      <c r="AI5011">
        <v>122.94819007628899</v>
      </c>
      <c r="AJ5011">
        <v>80.722465952457895</v>
      </c>
      <c r="AK5011">
        <v>0.42375489618585999</v>
      </c>
      <c r="AL5011">
        <v>86.136471694760701</v>
      </c>
      <c r="AM5011">
        <v>98.470928673010107</v>
      </c>
      <c r="AN5011">
        <v>1.0000000022861399</v>
      </c>
    </row>
    <row r="5012" spans="1:40" x14ac:dyDescent="0.25">
      <c r="A5012" t="str">
        <f>"20190312151128836"</f>
        <v>20190312151128836</v>
      </c>
      <c r="B5012" t="str">
        <f>"1552374688825803"</f>
        <v>1552374688825803</v>
      </c>
      <c r="C5012" t="s">
        <v>40</v>
      </c>
      <c r="D5012">
        <v>6.1356219999999997</v>
      </c>
      <c r="E5012">
        <v>0.5944625</v>
      </c>
      <c r="F5012" t="s">
        <v>41</v>
      </c>
      <c r="G5012">
        <v>-422.3716</v>
      </c>
      <c r="H5012">
        <v>0.89166759999999901</v>
      </c>
      <c r="I5012">
        <v>45.454529999999998</v>
      </c>
      <c r="J5012">
        <v>-422.37419999999997</v>
      </c>
      <c r="K5012">
        <v>1.114047</v>
      </c>
      <c r="L5012">
        <v>45.872680000000003</v>
      </c>
      <c r="M5012">
        <v>0.17133219999999999</v>
      </c>
      <c r="N5012">
        <v>0</v>
      </c>
      <c r="O5012">
        <v>-0.98512739999999999</v>
      </c>
      <c r="P5012">
        <v>0.31750509999999998</v>
      </c>
      <c r="Q5012">
        <v>5.664085E-2</v>
      </c>
      <c r="R5012">
        <v>-0.94656359999999995</v>
      </c>
      <c r="S5012">
        <v>0.25219730000000001</v>
      </c>
      <c r="T5012">
        <v>-0.98466589999999998</v>
      </c>
      <c r="U5012">
        <v>-3.1354060000000001</v>
      </c>
      <c r="V5012">
        <v>-0.15128169999999999</v>
      </c>
      <c r="W5012">
        <v>6.8019120000000002E-2</v>
      </c>
      <c r="X5012">
        <v>0.98614769999999896</v>
      </c>
      <c r="Y5012">
        <v>9.5337080000000005E-2</v>
      </c>
      <c r="Z5012">
        <v>0.29202349999999999</v>
      </c>
      <c r="AA5012">
        <v>0.95164760000000004</v>
      </c>
      <c r="AB5012">
        <v>29</v>
      </c>
      <c r="AC5012">
        <v>2.5999999999726199E-3</v>
      </c>
      <c r="AD5012">
        <v>-0.2223794</v>
      </c>
      <c r="AE5012">
        <v>-0.41814999999999702</v>
      </c>
      <c r="AF5012">
        <v>5.38556822412199E-2</v>
      </c>
      <c r="AG5012">
        <v>-0.2223794</v>
      </c>
      <c r="AH5012">
        <v>0.32148845029637901</v>
      </c>
      <c r="AI5012">
        <v>124.302276626977</v>
      </c>
      <c r="AJ5012">
        <v>80.490124315592098</v>
      </c>
      <c r="AK5012">
        <v>0.394598347345747</v>
      </c>
      <c r="AL5012">
        <v>86.099780163444805</v>
      </c>
      <c r="AM5012">
        <v>98.721565981302206</v>
      </c>
      <c r="AN5012">
        <v>1.00000001982787</v>
      </c>
    </row>
    <row r="5013" spans="1:40" x14ac:dyDescent="0.25">
      <c r="A5013" t="str">
        <f>"20190312151128858"</f>
        <v>20190312151128858</v>
      </c>
      <c r="B5013" t="str">
        <f>"1552374688856059"</f>
        <v>1552374688856059</v>
      </c>
      <c r="C5013" t="s">
        <v>40</v>
      </c>
      <c r="D5013">
        <v>5.0040449999999996</v>
      </c>
      <c r="E5013">
        <v>0.59542919999999999</v>
      </c>
      <c r="F5013" t="s">
        <v>41</v>
      </c>
      <c r="G5013">
        <v>-422.31479999999999</v>
      </c>
      <c r="H5013">
        <v>0.90281869999999997</v>
      </c>
      <c r="I5013">
        <v>45.194629999999997</v>
      </c>
      <c r="J5013">
        <v>-422.31959999999998</v>
      </c>
      <c r="K5013">
        <v>1.1141460000000001</v>
      </c>
      <c r="L5013">
        <v>45.590850000000003</v>
      </c>
      <c r="M5013">
        <v>0.1763922</v>
      </c>
      <c r="N5013">
        <v>0</v>
      </c>
      <c r="O5013">
        <v>-0.9842341</v>
      </c>
      <c r="P5013">
        <v>0.3268913</v>
      </c>
      <c r="Q5013">
        <v>5.7183039999999997E-2</v>
      </c>
      <c r="R5013">
        <v>-0.94333089999999997</v>
      </c>
      <c r="S5013">
        <v>0.27627560000000001</v>
      </c>
      <c r="T5013">
        <v>-0.97770000000000001</v>
      </c>
      <c r="U5013">
        <v>-3.1351930000000001</v>
      </c>
      <c r="V5013">
        <v>-0.15603789999999901</v>
      </c>
      <c r="W5013">
        <v>6.8488179999999996E-2</v>
      </c>
      <c r="X5013">
        <v>0.98537379999999997</v>
      </c>
      <c r="Y5013">
        <v>9.3133220000000003E-2</v>
      </c>
      <c r="Z5013">
        <v>0.2897187</v>
      </c>
      <c r="AA5013">
        <v>0.95256980000000002</v>
      </c>
      <c r="AB5013">
        <v>29</v>
      </c>
      <c r="AC5013">
        <v>4.7999999999888097E-3</v>
      </c>
      <c r="AD5013">
        <v>-0.211327299999999</v>
      </c>
      <c r="AE5013">
        <v>-0.39622000000000601</v>
      </c>
      <c r="AF5013">
        <v>5.07394919208723E-2</v>
      </c>
      <c r="AG5013">
        <v>-0.211327299999999</v>
      </c>
      <c r="AH5013">
        <v>0.304300813312679</v>
      </c>
      <c r="AI5013">
        <v>124.41157738123999</v>
      </c>
      <c r="AJ5013">
        <v>80.533521138333001</v>
      </c>
      <c r="AK5013">
        <v>0.37394211951642498</v>
      </c>
      <c r="AL5013">
        <v>86.072842074152007</v>
      </c>
      <c r="AM5013">
        <v>98.998299550984996</v>
      </c>
      <c r="AN5013">
        <v>0.99999999138128104</v>
      </c>
    </row>
    <row r="5014" spans="1:40" x14ac:dyDescent="0.25">
      <c r="A5014" t="str">
        <f>"20190312151128882"</f>
        <v>20190312151128882</v>
      </c>
      <c r="B5014" t="str">
        <f>"1552374688876555"</f>
        <v>1552374688876555</v>
      </c>
      <c r="C5014" t="s">
        <v>40</v>
      </c>
      <c r="D5014">
        <v>6.0015150000000004</v>
      </c>
      <c r="E5014">
        <v>0.59616429999999998</v>
      </c>
      <c r="F5014" t="s">
        <v>41</v>
      </c>
      <c r="G5014">
        <v>-422.2353</v>
      </c>
      <c r="H5014">
        <v>0.84067669999999906</v>
      </c>
      <c r="I5014">
        <v>44.704949999999997</v>
      </c>
      <c r="J5014">
        <v>-422.2604</v>
      </c>
      <c r="K5014">
        <v>1.114252</v>
      </c>
      <c r="L5014">
        <v>45.29419</v>
      </c>
      <c r="M5014">
        <v>0.18185380000000001</v>
      </c>
      <c r="N5014">
        <v>0</v>
      </c>
      <c r="O5014">
        <v>-0.98323899999999997</v>
      </c>
      <c r="P5014">
        <v>0.33652209999999899</v>
      </c>
      <c r="Q5014">
        <v>5.7455150000000003E-2</v>
      </c>
      <c r="R5014">
        <v>-0.93992140000000002</v>
      </c>
      <c r="S5014">
        <v>0.29962159999999999</v>
      </c>
      <c r="T5014">
        <v>-0.96830000000000005</v>
      </c>
      <c r="U5014">
        <v>-3.1351010000000001</v>
      </c>
      <c r="V5014">
        <v>-0.1606687</v>
      </c>
      <c r="W5014">
        <v>6.8684640000000005E-2</v>
      </c>
      <c r="X5014">
        <v>0.98461560000000004</v>
      </c>
      <c r="Y5014">
        <v>9.1542819999999997E-2</v>
      </c>
      <c r="Z5014">
        <v>0.28668939999999998</v>
      </c>
      <c r="AA5014">
        <v>0.95363989999999998</v>
      </c>
      <c r="AB5014">
        <v>29</v>
      </c>
      <c r="AC5014">
        <v>2.5100000000009001E-2</v>
      </c>
      <c r="AD5014">
        <v>-0.27357530000000002</v>
      </c>
      <c r="AE5014">
        <v>-0.58924000000000298</v>
      </c>
      <c r="AF5014">
        <v>6.7877948752881501E-2</v>
      </c>
      <c r="AG5014">
        <v>-0.27357530000000002</v>
      </c>
      <c r="AH5014">
        <v>0.48057303001728702</v>
      </c>
      <c r="AI5014">
        <v>119.40883047371899</v>
      </c>
      <c r="AJ5014">
        <v>81.9605084422153</v>
      </c>
      <c r="AK5014">
        <v>0.55713669586285997</v>
      </c>
      <c r="AL5014">
        <v>86.061558994406596</v>
      </c>
      <c r="AM5014">
        <v>99.267791415486997</v>
      </c>
      <c r="AN5014">
        <v>0.99999994534748804</v>
      </c>
    </row>
    <row r="5015" spans="1:40" x14ac:dyDescent="0.25">
      <c r="A5015" t="str">
        <f>"20190312151128904"</f>
        <v>20190312151128904</v>
      </c>
      <c r="B5015" t="str">
        <f>"1552374688896075"</f>
        <v>1552374688896075</v>
      </c>
      <c r="C5015" t="s">
        <v>40</v>
      </c>
      <c r="D5015">
        <v>4.9398569999999999</v>
      </c>
      <c r="E5015">
        <v>0.59687409999999996</v>
      </c>
      <c r="F5015" t="s">
        <v>41</v>
      </c>
      <c r="G5015">
        <v>-422.17250000000001</v>
      </c>
      <c r="H5015">
        <v>0.85445559999999998</v>
      </c>
      <c r="I5015">
        <v>44.446399999999997</v>
      </c>
      <c r="J5015">
        <v>-422.20190000000002</v>
      </c>
      <c r="K5015">
        <v>1.1143430000000001</v>
      </c>
      <c r="L5015">
        <v>45.009549999999997</v>
      </c>
      <c r="M5015">
        <v>0.18719769999999999</v>
      </c>
      <c r="N5015">
        <v>0</v>
      </c>
      <c r="O5015">
        <v>-0.98223539999999998</v>
      </c>
      <c r="P5015">
        <v>0.3463888</v>
      </c>
      <c r="Q5015">
        <v>5.826692E-2</v>
      </c>
      <c r="R5015">
        <v>-0.9362798</v>
      </c>
      <c r="S5015">
        <v>0.32522579999999901</v>
      </c>
      <c r="T5015">
        <v>-0.96042360000000004</v>
      </c>
      <c r="U5015">
        <v>-3.1340330000000001</v>
      </c>
      <c r="V5015">
        <v>-0.16570389999999999</v>
      </c>
      <c r="W5015">
        <v>6.9417690000000004E-2</v>
      </c>
      <c r="X5015">
        <v>0.98372939999999998</v>
      </c>
      <c r="Y5015">
        <v>8.9139889999999999E-2</v>
      </c>
      <c r="Z5015">
        <v>0.28414600000000001</v>
      </c>
      <c r="AA5015">
        <v>0.95462820000000004</v>
      </c>
      <c r="AB5015">
        <v>29</v>
      </c>
      <c r="AC5015">
        <v>2.9400000000009599E-2</v>
      </c>
      <c r="AD5015">
        <v>-0.25988739999999999</v>
      </c>
      <c r="AE5015">
        <v>-0.56315000000000004</v>
      </c>
      <c r="AF5015">
        <v>6.3138928614134004E-2</v>
      </c>
      <c r="AG5015">
        <v>-0.25988739999999999</v>
      </c>
      <c r="AH5015">
        <v>0.46082181706046299</v>
      </c>
      <c r="AI5015">
        <v>119.194050409328</v>
      </c>
      <c r="AJ5015">
        <v>82.198267987064099</v>
      </c>
      <c r="AK5015">
        <v>0.53280834458950399</v>
      </c>
      <c r="AL5015">
        <v>86.019458307743605</v>
      </c>
      <c r="AM5015">
        <v>99.561408126648701</v>
      </c>
      <c r="AN5015">
        <v>1.0000000652922501</v>
      </c>
    </row>
    <row r="5016" spans="1:40" x14ac:dyDescent="0.25">
      <c r="A5016" t="str">
        <f>"20190312151128926"</f>
        <v>20190312151128926</v>
      </c>
      <c r="B5016" t="str">
        <f>"1552374688916568"</f>
        <v>1552374688916568</v>
      </c>
      <c r="C5016" t="s">
        <v>40</v>
      </c>
      <c r="D5016">
        <v>4.9057870000000001</v>
      </c>
      <c r="E5016">
        <v>0.57862199999999997</v>
      </c>
      <c r="F5016" t="s">
        <v>41</v>
      </c>
      <c r="G5016">
        <v>-422.11</v>
      </c>
      <c r="H5016">
        <v>0.86551919999999904</v>
      </c>
      <c r="I5016">
        <v>44.189109999999999</v>
      </c>
      <c r="J5016">
        <v>-422.14179999999999</v>
      </c>
      <c r="K5016">
        <v>1.1144240000000001</v>
      </c>
      <c r="L5016">
        <v>44.725459999999998</v>
      </c>
      <c r="M5016">
        <v>0.1926378</v>
      </c>
      <c r="N5016">
        <v>0</v>
      </c>
      <c r="O5016">
        <v>-0.98118280000000002</v>
      </c>
      <c r="P5016">
        <v>0.356489</v>
      </c>
      <c r="Q5016">
        <v>5.9172879999999997E-2</v>
      </c>
      <c r="R5016">
        <v>-0.93242369999999997</v>
      </c>
      <c r="S5016">
        <v>0.35177609999999998</v>
      </c>
      <c r="T5016">
        <v>-0.95059479999999996</v>
      </c>
      <c r="U5016">
        <v>-3.1331790000000002</v>
      </c>
      <c r="V5016">
        <v>-0.1709214</v>
      </c>
      <c r="W5016">
        <v>7.0242040000000006E-2</v>
      </c>
      <c r="X5016">
        <v>0.98277769999999998</v>
      </c>
      <c r="Y5016">
        <v>8.6539619999999998E-2</v>
      </c>
      <c r="Z5016">
        <v>0.2810259</v>
      </c>
      <c r="AA5016">
        <v>0.95579040000000004</v>
      </c>
      <c r="AB5016">
        <v>29</v>
      </c>
      <c r="AC5016">
        <v>3.1799999999975598E-2</v>
      </c>
      <c r="AD5016">
        <v>-0.24890480000000001</v>
      </c>
      <c r="AE5016">
        <v>-0.536349999999998</v>
      </c>
      <c r="AF5016">
        <v>5.9381985958526499E-2</v>
      </c>
      <c r="AG5016">
        <v>-0.24890480000000001</v>
      </c>
      <c r="AH5016">
        <v>0.43835441613498699</v>
      </c>
      <c r="AI5016">
        <v>119.365455929182</v>
      </c>
      <c r="AJ5016">
        <v>82.285349032667995</v>
      </c>
      <c r="AK5016">
        <v>0.50757700289164398</v>
      </c>
      <c r="AL5016">
        <v>85.972110846208295</v>
      </c>
      <c r="AM5016">
        <v>99.866007216273502</v>
      </c>
      <c r="AN5016">
        <v>1.0000000383893</v>
      </c>
    </row>
    <row r="5017" spans="1:40" x14ac:dyDescent="0.25">
      <c r="A5017" t="str">
        <f>"20190312151128948"</f>
        <v>20190312151128948</v>
      </c>
      <c r="B5017" t="str">
        <f>"1552374688936092"</f>
        <v>1552374688936092</v>
      </c>
      <c r="C5017" t="s">
        <v>40</v>
      </c>
      <c r="D5017">
        <v>4.8604900000000004</v>
      </c>
      <c r="E5017">
        <v>0.51336720000000002</v>
      </c>
      <c r="F5017" t="s">
        <v>41</v>
      </c>
      <c r="G5017">
        <v>-422.00599999999997</v>
      </c>
      <c r="H5017">
        <v>0.93762040000000002</v>
      </c>
      <c r="I5017">
        <v>43.911850000000001</v>
      </c>
      <c r="J5017">
        <v>-422.08170000000001</v>
      </c>
      <c r="K5017">
        <v>1.1145050000000001</v>
      </c>
      <c r="L5017">
        <v>44.44952</v>
      </c>
      <c r="M5017">
        <v>0.1980296</v>
      </c>
      <c r="N5017">
        <v>0</v>
      </c>
      <c r="O5017">
        <v>-0.9801086</v>
      </c>
      <c r="P5017">
        <v>0.36639369999999999</v>
      </c>
      <c r="Q5017">
        <v>5.9475069999999998E-2</v>
      </c>
      <c r="R5017">
        <v>-0.92855730000000003</v>
      </c>
      <c r="S5017">
        <v>0.51129150000000001</v>
      </c>
      <c r="T5017">
        <v>-0.66587189999999996</v>
      </c>
      <c r="U5017">
        <v>-3.064209</v>
      </c>
      <c r="V5017">
        <v>-0.1760004</v>
      </c>
      <c r="W5017">
        <v>7.0467989999999994E-2</v>
      </c>
      <c r="X5017">
        <v>0.98186459999999998</v>
      </c>
      <c r="Y5017">
        <v>3.7578970000000003E-2</v>
      </c>
      <c r="Z5017">
        <v>0.2047329</v>
      </c>
      <c r="AA5017">
        <v>0.97809619999999997</v>
      </c>
      <c r="AB5017">
        <v>29</v>
      </c>
      <c r="AC5017">
        <v>7.5700000000040193E-2</v>
      </c>
      <c r="AD5017">
        <v>-0.176884599999999</v>
      </c>
      <c r="AE5017">
        <v>-0.53766999999999798</v>
      </c>
      <c r="AF5017">
        <v>2.9185740640541399E-2</v>
      </c>
      <c r="AG5017">
        <v>-0.176884599999999</v>
      </c>
      <c r="AH5017">
        <v>0.490009316305693</v>
      </c>
      <c r="AI5017">
        <v>109.816297903704</v>
      </c>
      <c r="AJ5017">
        <v>86.591398456085301</v>
      </c>
      <c r="AK5017">
        <v>0.52177495075968305</v>
      </c>
      <c r="AL5017">
        <v>85.959132491896298</v>
      </c>
      <c r="AM5017">
        <v>100.162411218218</v>
      </c>
      <c r="AN5017">
        <v>0.99999998557397995</v>
      </c>
    </row>
    <row r="5018" spans="1:40" x14ac:dyDescent="0.25">
      <c r="A5018" t="str">
        <f>"20190312151128970"</f>
        <v>20190312151128970</v>
      </c>
      <c r="B5018" t="str">
        <f>"1552374688966345"</f>
        <v>1552374688966345</v>
      </c>
      <c r="C5018" t="s">
        <v>40</v>
      </c>
      <c r="D5018">
        <v>4.6822589999999904</v>
      </c>
      <c r="E5018">
        <v>0.48897489999999999</v>
      </c>
      <c r="F5018" t="s">
        <v>85</v>
      </c>
      <c r="G5018">
        <v>-419.58929999999998</v>
      </c>
      <c r="H5018" s="1">
        <v>-1.4602400000000001E-6</v>
      </c>
      <c r="I5018">
        <v>37.470750000000002</v>
      </c>
      <c r="J5018">
        <v>-422.01949999999999</v>
      </c>
      <c r="K5018">
        <v>1.1145890000000001</v>
      </c>
      <c r="L5018">
        <v>44.171970000000002</v>
      </c>
      <c r="M5018">
        <v>0.20356450000000001</v>
      </c>
      <c r="N5018">
        <v>0</v>
      </c>
      <c r="O5018">
        <v>-0.9789736</v>
      </c>
      <c r="P5018">
        <v>0.37528070000000002</v>
      </c>
      <c r="Q5018">
        <v>5.8660110000000001E-2</v>
      </c>
      <c r="R5018">
        <v>-0.92505309999999996</v>
      </c>
      <c r="S5018">
        <v>1.0204770000000001</v>
      </c>
      <c r="T5018">
        <v>-0.4563239</v>
      </c>
      <c r="U5018">
        <v>-2.8573909999999998</v>
      </c>
      <c r="V5018">
        <v>-0.17986429999999901</v>
      </c>
      <c r="W5018">
        <v>6.9591310000000003E-2</v>
      </c>
      <c r="X5018">
        <v>0.98122670000000001</v>
      </c>
      <c r="Y5018">
        <v>-0.13380790000000001</v>
      </c>
      <c r="Z5018">
        <v>0.1476896</v>
      </c>
      <c r="AA5018">
        <v>0.97994040000000004</v>
      </c>
      <c r="AB5018">
        <v>29</v>
      </c>
      <c r="AC5018">
        <v>2.4302000000000099</v>
      </c>
      <c r="AD5018">
        <v>-1.1145904602399901</v>
      </c>
      <c r="AE5018">
        <v>-6.7012199999999904</v>
      </c>
      <c r="AF5018">
        <v>-0.99083357081366397</v>
      </c>
      <c r="AG5018">
        <v>-1.1145904602399901</v>
      </c>
      <c r="AH5018">
        <v>6.88724070269717</v>
      </c>
      <c r="AI5018">
        <v>99.100606815837494</v>
      </c>
      <c r="AJ5018">
        <v>98.186690993640795</v>
      </c>
      <c r="AK5018">
        <v>7.0468537345398303</v>
      </c>
      <c r="AL5018">
        <v>86.009486146070998</v>
      </c>
      <c r="AM5018">
        <v>100.38731770934</v>
      </c>
      <c r="AN5018">
        <v>0.99999997681744701</v>
      </c>
    </row>
    <row r="5019" spans="1:40" x14ac:dyDescent="0.25">
      <c r="A5019" t="str">
        <f>"20190312151128993"</f>
        <v>20190312151128993</v>
      </c>
      <c r="B5019" t="str">
        <f>"1552374688986840"</f>
        <v>1552374688986840</v>
      </c>
      <c r="C5019" t="s">
        <v>40</v>
      </c>
      <c r="D5019">
        <v>4.5811890000000002</v>
      </c>
      <c r="E5019">
        <v>0.4313553</v>
      </c>
      <c r="F5019" t="s">
        <v>85</v>
      </c>
      <c r="G5019">
        <v>-418.52940000000001</v>
      </c>
      <c r="H5019" s="1">
        <v>-2.4981190000000002E-6</v>
      </c>
      <c r="I5019">
        <v>36.281570000000002</v>
      </c>
      <c r="J5019">
        <v>-421.95330000000001</v>
      </c>
      <c r="K5019">
        <v>1.1146720000000001</v>
      </c>
      <c r="L5019">
        <v>43.884120000000003</v>
      </c>
      <c r="M5019">
        <v>0.2094241</v>
      </c>
      <c r="N5019">
        <v>0</v>
      </c>
      <c r="O5019">
        <v>-0.97773650000000001</v>
      </c>
      <c r="P5019">
        <v>0.38358550000000002</v>
      </c>
      <c r="Q5019">
        <v>5.845939E-2</v>
      </c>
      <c r="R5019">
        <v>-0.92165319999999995</v>
      </c>
      <c r="S5019">
        <v>1.225525</v>
      </c>
      <c r="T5019">
        <v>-0.39138590000000001</v>
      </c>
      <c r="U5019">
        <v>-2.7706909999999998</v>
      </c>
      <c r="V5019">
        <v>-0.18282509999999999</v>
      </c>
      <c r="W5019">
        <v>6.9335889999999997E-2</v>
      </c>
      <c r="X5019">
        <v>0.9806975</v>
      </c>
      <c r="Y5019">
        <v>-0.20061319999999999</v>
      </c>
      <c r="Z5019">
        <v>0.1280345</v>
      </c>
      <c r="AA5019">
        <v>0.97126800000000002</v>
      </c>
      <c r="AB5019">
        <v>29</v>
      </c>
      <c r="AC5019">
        <v>3.4239000000000002</v>
      </c>
      <c r="AD5019">
        <v>-1.114674498119</v>
      </c>
      <c r="AE5019">
        <v>-7.6025499999999999</v>
      </c>
      <c r="AF5019">
        <v>-1.7248401231253401</v>
      </c>
      <c r="AG5019">
        <v>-1.114674498119</v>
      </c>
      <c r="AH5019">
        <v>8.0079242705503102</v>
      </c>
      <c r="AI5019">
        <v>97.748969027759799</v>
      </c>
      <c r="AJ5019">
        <v>102.15532757495799</v>
      </c>
      <c r="AK5019">
        <v>8.2670686346472593</v>
      </c>
      <c r="AL5019">
        <v>86.024156300229805</v>
      </c>
      <c r="AM5019">
        <v>100.56006176218</v>
      </c>
      <c r="AN5019">
        <v>1.00000003466917</v>
      </c>
    </row>
    <row r="5020" spans="1:40" x14ac:dyDescent="0.25">
      <c r="A5020" t="str">
        <f>"20190312151129015"</f>
        <v>20190312151129015</v>
      </c>
      <c r="B5020" t="str">
        <f>"1552374689006364"</f>
        <v>1552374689006364</v>
      </c>
      <c r="C5020" t="s">
        <v>40</v>
      </c>
      <c r="D5020">
        <v>4.6699900000000003</v>
      </c>
      <c r="E5020">
        <v>0.4314595</v>
      </c>
      <c r="F5020" t="s">
        <v>85</v>
      </c>
      <c r="G5020">
        <v>-417.05779999999999</v>
      </c>
      <c r="H5020" s="1">
        <v>-2.8563300000000001E-6</v>
      </c>
      <c r="I5020">
        <v>36.334040000000002</v>
      </c>
      <c r="J5020">
        <v>-421.88619999999997</v>
      </c>
      <c r="K5020">
        <v>1.1147670000000001</v>
      </c>
      <c r="L5020">
        <v>43.60089</v>
      </c>
      <c r="M5020">
        <v>0.21531069999999999</v>
      </c>
      <c r="N5020">
        <v>0</v>
      </c>
      <c r="O5020">
        <v>-0.97645680000000001</v>
      </c>
      <c r="P5020">
        <v>0.3893625</v>
      </c>
      <c r="Q5020">
        <v>5.8107730000000003E-2</v>
      </c>
      <c r="R5020">
        <v>-0.91925000000000001</v>
      </c>
      <c r="S5020">
        <v>1.674377</v>
      </c>
      <c r="T5020">
        <v>-0.38124930000000001</v>
      </c>
      <c r="U5020">
        <v>-2.5823360000000002</v>
      </c>
      <c r="V5020">
        <v>-0.18307960000000001</v>
      </c>
      <c r="W5020">
        <v>6.8961499999999995E-2</v>
      </c>
      <c r="X5020">
        <v>0.9806764</v>
      </c>
      <c r="Y5020">
        <v>-0.34629929999999998</v>
      </c>
      <c r="Z5020">
        <v>0.1248266</v>
      </c>
      <c r="AA5020">
        <v>0.92978229999999995</v>
      </c>
      <c r="AB5020">
        <v>29</v>
      </c>
      <c r="AC5020">
        <v>4.8283999999999798</v>
      </c>
      <c r="AD5020">
        <v>-1.1147698563299999</v>
      </c>
      <c r="AE5020">
        <v>-7.26684999999999</v>
      </c>
      <c r="AF5020">
        <v>-3.0997612487288602</v>
      </c>
      <c r="AG5020">
        <v>-1.1147698563299999</v>
      </c>
      <c r="AH5020">
        <v>8.0053842904648995</v>
      </c>
      <c r="AI5020">
        <v>97.398884018072593</v>
      </c>
      <c r="AJ5020">
        <v>111.166879129702</v>
      </c>
      <c r="AK5020">
        <v>8.6566396060899606</v>
      </c>
      <c r="AL5020">
        <v>86.045658657469701</v>
      </c>
      <c r="AM5020">
        <v>100.574652866012</v>
      </c>
      <c r="AN5020">
        <v>1.00000001496768</v>
      </c>
    </row>
    <row r="5021" spans="1:40" x14ac:dyDescent="0.25">
      <c r="A5021" t="str">
        <f>"20190312151129037"</f>
        <v>20190312151129037</v>
      </c>
      <c r="B5021" t="str">
        <f>"1552374689026857"</f>
        <v>1552374689026857</v>
      </c>
      <c r="C5021" t="s">
        <v>40</v>
      </c>
      <c r="D5021">
        <v>4.663958</v>
      </c>
      <c r="E5021">
        <v>0.4320833</v>
      </c>
      <c r="F5021" t="s">
        <v>85</v>
      </c>
      <c r="G5021">
        <v>-417.26319999999998</v>
      </c>
      <c r="H5021" s="1">
        <v>-2.6569029999999998E-6</v>
      </c>
      <c r="I5021">
        <v>36.561810000000001</v>
      </c>
      <c r="J5021">
        <v>-421.81920000000002</v>
      </c>
      <c r="K5021">
        <v>1.114865</v>
      </c>
      <c r="L5021">
        <v>43.325679999999998</v>
      </c>
      <c r="M5021">
        <v>0.22115119999999999</v>
      </c>
      <c r="N5021">
        <v>0</v>
      </c>
      <c r="O5021">
        <v>-0.97515050000000003</v>
      </c>
      <c r="P5021">
        <v>0.39597250000000001</v>
      </c>
      <c r="Q5021">
        <v>5.8134999999999999E-2</v>
      </c>
      <c r="R5021">
        <v>-0.91642029999999997</v>
      </c>
      <c r="S5021">
        <v>1.6901250000000001</v>
      </c>
      <c r="T5021">
        <v>-0.40755010000000003</v>
      </c>
      <c r="U5021">
        <v>-2.5734249999999999</v>
      </c>
      <c r="V5021">
        <v>-0.18428929999999999</v>
      </c>
      <c r="W5021">
        <v>6.8951990000000005E-2</v>
      </c>
      <c r="X5021">
        <v>0.9804505</v>
      </c>
      <c r="Y5021">
        <v>-0.34553719999999999</v>
      </c>
      <c r="Z5021">
        <v>0.13320770000000001</v>
      </c>
      <c r="AA5021">
        <v>0.92890240000000002</v>
      </c>
      <c r="AB5021">
        <v>29</v>
      </c>
      <c r="AC5021">
        <v>4.55600000000004</v>
      </c>
      <c r="AD5021">
        <v>-1.114867656903</v>
      </c>
      <c r="AE5021">
        <v>-6.7638699999999998</v>
      </c>
      <c r="AF5021">
        <v>-2.8931347216707102</v>
      </c>
      <c r="AG5021">
        <v>-1.114867656903</v>
      </c>
      <c r="AH5021">
        <v>7.4645143496042001</v>
      </c>
      <c r="AI5021">
        <v>97.9281032691934</v>
      </c>
      <c r="AJ5021">
        <v>111.185589898456</v>
      </c>
      <c r="AK5021">
        <v>8.0828295098679401</v>
      </c>
      <c r="AL5021">
        <v>86.046204990982005</v>
      </c>
      <c r="AM5021">
        <v>100.64532994362</v>
      </c>
      <c r="AN5021">
        <v>1.0000000529848401</v>
      </c>
    </row>
    <row r="5022" spans="1:40" x14ac:dyDescent="0.25">
      <c r="A5022" t="str">
        <f>"20190312151129051"</f>
        <v>20190312151129051</v>
      </c>
      <c r="B5022" t="str">
        <f>"1552374689046378"</f>
        <v>1552374689046378</v>
      </c>
      <c r="C5022" t="s">
        <v>40</v>
      </c>
      <c r="D5022">
        <v>4.6445270000000001</v>
      </c>
      <c r="E5022">
        <v>0.43259069999999999</v>
      </c>
      <c r="F5022" t="s">
        <v>85</v>
      </c>
      <c r="G5022">
        <v>-417.23140000000001</v>
      </c>
      <c r="H5022" s="1">
        <v>-2.7530149999999999E-6</v>
      </c>
      <c r="I5022">
        <v>36.423900000000003</v>
      </c>
      <c r="J5022">
        <v>-421.77780000000001</v>
      </c>
      <c r="K5022">
        <v>1.114922</v>
      </c>
      <c r="L5022">
        <v>43.16037</v>
      </c>
      <c r="M5022">
        <v>0.22473180000000001</v>
      </c>
      <c r="N5022">
        <v>0</v>
      </c>
      <c r="O5022">
        <v>-0.97433119999999995</v>
      </c>
      <c r="P5022">
        <v>0.39940880000000001</v>
      </c>
      <c r="Q5022">
        <v>5.7891030000000003E-2</v>
      </c>
      <c r="R5022">
        <v>-0.91494310000000001</v>
      </c>
      <c r="S5022">
        <v>1.7040409999999999</v>
      </c>
      <c r="T5022">
        <v>-0.41410180000000002</v>
      </c>
      <c r="U5022">
        <v>-2.5635680000000001</v>
      </c>
      <c r="V5022">
        <v>-0.18437020000000001</v>
      </c>
      <c r="W5022">
        <v>6.8695110000000004E-2</v>
      </c>
      <c r="X5022">
        <v>0.98045329999999997</v>
      </c>
      <c r="Y5022">
        <v>-0.34707440000000001</v>
      </c>
      <c r="Z5022">
        <v>0.13533990000000001</v>
      </c>
      <c r="AA5022">
        <v>0.92802070000000003</v>
      </c>
      <c r="AB5022">
        <v>29</v>
      </c>
      <c r="AC5022">
        <v>4.5464000000000002</v>
      </c>
      <c r="AD5022">
        <v>-1.1149247530149999</v>
      </c>
      <c r="AE5022">
        <v>-6.73646999999999</v>
      </c>
      <c r="AF5022">
        <v>-2.86218813422026</v>
      </c>
      <c r="AG5022">
        <v>-1.1149247530149999</v>
      </c>
      <c r="AH5022">
        <v>7.4458047323328804</v>
      </c>
      <c r="AI5022">
        <v>97.956565284213895</v>
      </c>
      <c r="AJ5022">
        <v>111.02689932576099</v>
      </c>
      <c r="AK5022">
        <v>8.0545134075614708</v>
      </c>
      <c r="AL5022">
        <v>86.060958025759405</v>
      </c>
      <c r="AM5022">
        <v>100.64986647840099</v>
      </c>
      <c r="AN5022">
        <v>1.0000000311334201</v>
      </c>
    </row>
    <row r="5023" spans="1:40" x14ac:dyDescent="0.25">
      <c r="A5023" t="str">
        <f>"20190312151129063"</f>
        <v>20190312151129063</v>
      </c>
      <c r="B5023" t="str">
        <f>"1552374689056137"</f>
        <v>1552374689056137</v>
      </c>
      <c r="C5023" t="s">
        <v>40</v>
      </c>
      <c r="D5023">
        <v>4.6864530000000002</v>
      </c>
      <c r="E5023">
        <v>0.4328572</v>
      </c>
      <c r="F5023" t="s">
        <v>85</v>
      </c>
      <c r="G5023">
        <v>-417.39400000000001</v>
      </c>
      <c r="H5023" s="1">
        <v>-2.5980559999999998E-6</v>
      </c>
      <c r="I5023">
        <v>36.599649999999997</v>
      </c>
      <c r="J5023">
        <v>-421.73509999999999</v>
      </c>
      <c r="K5023">
        <v>1.114978</v>
      </c>
      <c r="L5023">
        <v>42.992159999999998</v>
      </c>
      <c r="M5023">
        <v>0.2284072</v>
      </c>
      <c r="N5023">
        <v>0</v>
      </c>
      <c r="O5023">
        <v>-0.97347609999999996</v>
      </c>
      <c r="P5023">
        <v>0.4029836</v>
      </c>
      <c r="Q5023">
        <v>5.7828530000000003E-2</v>
      </c>
      <c r="R5023">
        <v>-0.91337849999999998</v>
      </c>
      <c r="S5023">
        <v>1.710388</v>
      </c>
      <c r="T5023">
        <v>-0.43500280000000002</v>
      </c>
      <c r="U5023">
        <v>-2.5597530000000002</v>
      </c>
      <c r="V5023">
        <v>-0.18451229999999999</v>
      </c>
      <c r="W5023">
        <v>6.8618529999999997E-2</v>
      </c>
      <c r="X5023">
        <v>0.98043190000000002</v>
      </c>
      <c r="Y5023">
        <v>-0.34524460000000001</v>
      </c>
      <c r="Z5023">
        <v>0.14197290000000001</v>
      </c>
      <c r="AA5023">
        <v>0.92771210000000004</v>
      </c>
      <c r="AB5023">
        <v>29</v>
      </c>
      <c r="AC5023">
        <v>4.3410999999999804</v>
      </c>
      <c r="AD5023">
        <v>-1.1149805980559999</v>
      </c>
      <c r="AE5023">
        <v>-6.3925099999999997</v>
      </c>
      <c r="AF5023">
        <v>-2.70968587271385</v>
      </c>
      <c r="AG5023">
        <v>-1.1149805980559999</v>
      </c>
      <c r="AH5023">
        <v>7.0679645308754697</v>
      </c>
      <c r="AI5023">
        <v>98.379275741219601</v>
      </c>
      <c r="AJ5023">
        <v>110.97560998781999</v>
      </c>
      <c r="AK5023">
        <v>7.6512549214190999</v>
      </c>
      <c r="AL5023">
        <v>86.065355995771597</v>
      </c>
      <c r="AM5023">
        <v>100.658114003104</v>
      </c>
      <c r="AN5023">
        <v>1.0000000010241299</v>
      </c>
    </row>
    <row r="5024" spans="1:40" x14ac:dyDescent="0.25">
      <c r="A5024" t="str">
        <f>"20190312151129083"</f>
        <v>20190312151129083</v>
      </c>
      <c r="B5024" t="str">
        <f>"1552374689076633"</f>
        <v>1552374689076633</v>
      </c>
      <c r="C5024" t="s">
        <v>40</v>
      </c>
      <c r="D5024">
        <v>4.6857569999999997</v>
      </c>
      <c r="E5024">
        <v>0.43340810000000002</v>
      </c>
      <c r="F5024" t="s">
        <v>85</v>
      </c>
      <c r="G5024">
        <v>-417.44009999999997</v>
      </c>
      <c r="H5024" s="1">
        <v>-2.5803390000000001E-6</v>
      </c>
      <c r="I5024">
        <v>36.608220000000003</v>
      </c>
      <c r="J5024">
        <v>-421.6737</v>
      </c>
      <c r="K5024">
        <v>1.1150500000000001</v>
      </c>
      <c r="L5024">
        <v>42.75488</v>
      </c>
      <c r="M5024">
        <v>0.2336638</v>
      </c>
      <c r="N5024">
        <v>0</v>
      </c>
      <c r="O5024">
        <v>-0.97222750000000002</v>
      </c>
      <c r="P5024">
        <v>0.40772180000000002</v>
      </c>
      <c r="Q5024">
        <v>5.741417E-2</v>
      </c>
      <c r="R5024">
        <v>-0.91129959999999999</v>
      </c>
      <c r="S5024">
        <v>1.7186279999999901</v>
      </c>
      <c r="T5024">
        <v>-0.44615460000000001</v>
      </c>
      <c r="U5024">
        <v>-2.5545040000000001</v>
      </c>
      <c r="V5024">
        <v>-0.1843079</v>
      </c>
      <c r="W5024">
        <v>6.819037E-2</v>
      </c>
      <c r="X5024">
        <v>0.98050020000000004</v>
      </c>
      <c r="Y5024">
        <v>-0.34283469999999999</v>
      </c>
      <c r="Z5024">
        <v>0.14544499999999999</v>
      </c>
      <c r="AA5024">
        <v>0.928068</v>
      </c>
      <c r="AB5024">
        <v>29</v>
      </c>
      <c r="AC5024">
        <v>4.2336000000000196</v>
      </c>
      <c r="AD5024">
        <v>-1.1150525803389999</v>
      </c>
      <c r="AE5024">
        <v>-6.14665999999999</v>
      </c>
      <c r="AF5024">
        <v>-2.6214925707784902</v>
      </c>
      <c r="AG5024">
        <v>-1.1150525803389999</v>
      </c>
      <c r="AH5024">
        <v>6.8137166717094804</v>
      </c>
      <c r="AI5024">
        <v>98.683908637297407</v>
      </c>
      <c r="AJ5024">
        <v>111.043607687731</v>
      </c>
      <c r="AK5024">
        <v>7.3852759215820196</v>
      </c>
      <c r="AL5024">
        <v>86.089945291966899</v>
      </c>
      <c r="AM5024">
        <v>100.645852485986</v>
      </c>
      <c r="AN5024">
        <v>0.99999998538159296</v>
      </c>
    </row>
    <row r="5025" spans="1:40" x14ac:dyDescent="0.25">
      <c r="A5025" t="str">
        <f>"20190312151129105"</f>
        <v>20190312151129105</v>
      </c>
      <c r="B5025" t="str">
        <f>"1552374689096153"</f>
        <v>1552374689096153</v>
      </c>
      <c r="C5025" t="s">
        <v>40</v>
      </c>
      <c r="D5025">
        <v>4.63462</v>
      </c>
      <c r="E5025">
        <v>0.43401380000000001</v>
      </c>
      <c r="F5025" t="s">
        <v>85</v>
      </c>
      <c r="G5025">
        <v>-417.44779999999997</v>
      </c>
      <c r="H5025" s="1">
        <v>-2.6314170000000002E-6</v>
      </c>
      <c r="I5025">
        <v>36.524630000000002</v>
      </c>
      <c r="J5025">
        <v>-421.59829999999999</v>
      </c>
      <c r="K5025">
        <v>1.1151260000000001</v>
      </c>
      <c r="L5025">
        <v>42.470829999999999</v>
      </c>
      <c r="M5025">
        <v>0.24006060000000001</v>
      </c>
      <c r="N5025">
        <v>0</v>
      </c>
      <c r="O5025">
        <v>-0.97066739999999996</v>
      </c>
      <c r="P5025">
        <v>0.41320170000000001</v>
      </c>
      <c r="Q5025">
        <v>5.7320080000000002E-2</v>
      </c>
      <c r="R5025">
        <v>-0.90883369999999997</v>
      </c>
      <c r="S5025">
        <v>1.727997</v>
      </c>
      <c r="T5025">
        <v>-0.45595479999999999</v>
      </c>
      <c r="U5025">
        <v>-2.5476070000000002</v>
      </c>
      <c r="V5025">
        <v>-0.18376590000000001</v>
      </c>
      <c r="W5025">
        <v>6.8087620000000001E-2</v>
      </c>
      <c r="X5025">
        <v>0.98060910000000001</v>
      </c>
      <c r="Y5025">
        <v>-0.33989999999999998</v>
      </c>
      <c r="Z5025">
        <v>0.14848140000000001</v>
      </c>
      <c r="AA5025">
        <v>0.9286664</v>
      </c>
      <c r="AB5025">
        <v>29</v>
      </c>
      <c r="AC5025">
        <v>4.1505000000000196</v>
      </c>
      <c r="AD5025">
        <v>-1.1151286314169999</v>
      </c>
      <c r="AE5025">
        <v>-5.9461999999999904</v>
      </c>
      <c r="AF5025">
        <v>-2.5414350852017198</v>
      </c>
      <c r="AG5025">
        <v>-1.1151286314169999</v>
      </c>
      <c r="AH5025">
        <v>6.6123783279259403</v>
      </c>
      <c r="AI5025">
        <v>98.945866493410804</v>
      </c>
      <c r="AJ5025">
        <v>111.02401833650499</v>
      </c>
      <c r="AK5025">
        <v>7.1711889745372703</v>
      </c>
      <c r="AL5025">
        <v>86.095846277452793</v>
      </c>
      <c r="AM5025">
        <v>100.614106338833</v>
      </c>
      <c r="AN5025">
        <v>1.0000000185014399</v>
      </c>
    </row>
    <row r="5026" spans="1:40" x14ac:dyDescent="0.25">
      <c r="A5026" t="str">
        <f>"20190312151129127"</f>
        <v>20190312151129127</v>
      </c>
      <c r="B5026" t="str">
        <f>"1552374689116649"</f>
        <v>1552374689116649</v>
      </c>
      <c r="C5026" t="s">
        <v>40</v>
      </c>
      <c r="D5026">
        <v>4.6634849999999997</v>
      </c>
      <c r="E5026">
        <v>0.43443039999999999</v>
      </c>
      <c r="F5026" t="s">
        <v>85</v>
      </c>
      <c r="G5026">
        <v>-417.40480000000002</v>
      </c>
      <c r="H5026" s="1">
        <v>-2.7555460000000001E-6</v>
      </c>
      <c r="I5026">
        <v>36.347380000000001</v>
      </c>
      <c r="J5026">
        <v>-421.5256</v>
      </c>
      <c r="K5026">
        <v>1.1151899999999999</v>
      </c>
      <c r="L5026">
        <v>42.204349999999998</v>
      </c>
      <c r="M5026">
        <v>0.24614839999999999</v>
      </c>
      <c r="N5026">
        <v>0</v>
      </c>
      <c r="O5026">
        <v>-0.96914149999999999</v>
      </c>
      <c r="P5026">
        <v>0.41844130000000002</v>
      </c>
      <c r="Q5026">
        <v>5.7160019999999999E-2</v>
      </c>
      <c r="R5026">
        <v>-0.90644349999999996</v>
      </c>
      <c r="S5026">
        <v>1.7390749999999999</v>
      </c>
      <c r="T5026">
        <v>-0.46245029999999998</v>
      </c>
      <c r="U5026">
        <v>-2.5394290000000002</v>
      </c>
      <c r="V5026">
        <v>-0.18327789999999999</v>
      </c>
      <c r="W5026">
        <v>6.7921110000000007E-2</v>
      </c>
      <c r="X5026">
        <v>0.98071189999999997</v>
      </c>
      <c r="Y5026">
        <v>-0.33798030000000001</v>
      </c>
      <c r="Z5026">
        <v>0.1504741</v>
      </c>
      <c r="AA5026">
        <v>0.92904620000000004</v>
      </c>
      <c r="AB5026">
        <v>29</v>
      </c>
      <c r="AC5026">
        <v>4.1207999999999698</v>
      </c>
      <c r="AD5026">
        <v>-1.1151927555459999</v>
      </c>
      <c r="AE5026">
        <v>-5.8569699999999898</v>
      </c>
      <c r="AF5026">
        <v>-2.4917541190821</v>
      </c>
      <c r="AG5026">
        <v>-1.1151927555459999</v>
      </c>
      <c r="AH5026">
        <v>6.5327312783237499</v>
      </c>
      <c r="AI5026">
        <v>99.062333563564493</v>
      </c>
      <c r="AJ5026">
        <v>110.878155888907</v>
      </c>
      <c r="AK5026">
        <v>7.0801886575694004</v>
      </c>
      <c r="AL5026">
        <v>86.105408460594205</v>
      </c>
      <c r="AM5026">
        <v>100.585473374153</v>
      </c>
      <c r="AN5026">
        <v>0.99999994830682404</v>
      </c>
    </row>
    <row r="5027" spans="1:40" x14ac:dyDescent="0.25">
      <c r="A5027" t="str">
        <f>"20190312151129149"</f>
        <v>20190312151129149</v>
      </c>
      <c r="B5027" t="str">
        <f>"1552374689145929"</f>
        <v>1552374689145929</v>
      </c>
      <c r="C5027" t="s">
        <v>40</v>
      </c>
      <c r="D5027">
        <v>4.6580839999999997</v>
      </c>
      <c r="E5027">
        <v>0.43527709999999997</v>
      </c>
      <c r="F5027" t="s">
        <v>85</v>
      </c>
      <c r="G5027">
        <v>-417.36180000000002</v>
      </c>
      <c r="H5027" s="1">
        <v>-2.871746E-6</v>
      </c>
      <c r="I5027">
        <v>36.18253</v>
      </c>
      <c r="J5027">
        <v>-421.4479</v>
      </c>
      <c r="K5027">
        <v>1.1152470000000001</v>
      </c>
      <c r="L5027">
        <v>41.926699999999997</v>
      </c>
      <c r="M5027">
        <v>0.25256889999999999</v>
      </c>
      <c r="N5027">
        <v>0</v>
      </c>
      <c r="O5027">
        <v>-0.96748780000000001</v>
      </c>
      <c r="P5027">
        <v>0.4239406</v>
      </c>
      <c r="Q5027">
        <v>5.6652040000000001E-2</v>
      </c>
      <c r="R5027">
        <v>-0.90391639999999995</v>
      </c>
      <c r="S5027">
        <v>1.7502139999999999</v>
      </c>
      <c r="T5027">
        <v>-0.4687675</v>
      </c>
      <c r="U5027">
        <v>-2.53125</v>
      </c>
      <c r="V5027">
        <v>-0.18272910000000001</v>
      </c>
      <c r="W5027">
        <v>6.7410650000000003E-2</v>
      </c>
      <c r="X5027">
        <v>0.98084959999999999</v>
      </c>
      <c r="Y5027">
        <v>-0.33574470000000001</v>
      </c>
      <c r="Z5027">
        <v>0.15238279999999901</v>
      </c>
      <c r="AA5027">
        <v>0.92954559999999997</v>
      </c>
      <c r="AB5027">
        <v>29</v>
      </c>
      <c r="AC5027">
        <v>4.0860999999999796</v>
      </c>
      <c r="AD5027">
        <v>-1.115249871746</v>
      </c>
      <c r="AE5027">
        <v>-5.7441699999999898</v>
      </c>
      <c r="AF5027">
        <v>-2.4415615950698299</v>
      </c>
      <c r="AG5027">
        <v>-1.115249871746</v>
      </c>
      <c r="AH5027">
        <v>6.4290969750158</v>
      </c>
      <c r="AI5027">
        <v>99.211386889658598</v>
      </c>
      <c r="AJ5027">
        <v>110.79514589906</v>
      </c>
      <c r="AK5027">
        <v>6.96694288860665</v>
      </c>
      <c r="AL5027">
        <v>86.134723165013199</v>
      </c>
      <c r="AM5027">
        <v>100.55304144957501</v>
      </c>
      <c r="AN5027">
        <v>1.00000002877019</v>
      </c>
    </row>
    <row r="5028" spans="1:40" x14ac:dyDescent="0.25">
      <c r="A5028" t="str">
        <f>"20190312151129162"</f>
        <v>20190312151129162</v>
      </c>
      <c r="B5028" t="str">
        <f>"1552374689156666"</f>
        <v>1552374689156666</v>
      </c>
      <c r="C5028" t="s">
        <v>40</v>
      </c>
      <c r="D5028">
        <v>4.6548809999999996</v>
      </c>
      <c r="E5028">
        <v>0.43559720000000002</v>
      </c>
      <c r="F5028" t="s">
        <v>85</v>
      </c>
      <c r="G5028">
        <v>-417.3417</v>
      </c>
      <c r="H5028" s="1">
        <v>-2.968107E-6</v>
      </c>
      <c r="I5028">
        <v>36.039360000000002</v>
      </c>
      <c r="J5028">
        <v>-421.40249999999997</v>
      </c>
      <c r="K5028">
        <v>1.115278</v>
      </c>
      <c r="L5028">
        <v>41.767699999999998</v>
      </c>
      <c r="M5028">
        <v>0.2562778</v>
      </c>
      <c r="N5028">
        <v>0</v>
      </c>
      <c r="O5028">
        <v>-0.96651180000000003</v>
      </c>
      <c r="P5028">
        <v>0.42722769999999999</v>
      </c>
      <c r="Q5028">
        <v>5.6512189999999997E-2</v>
      </c>
      <c r="R5028">
        <v>-0.90237610000000001</v>
      </c>
      <c r="S5028">
        <v>1.759979</v>
      </c>
      <c r="T5028">
        <v>-0.47801450000000001</v>
      </c>
      <c r="U5028">
        <v>-2.5234070000000002</v>
      </c>
      <c r="V5028">
        <v>-0.1825377</v>
      </c>
      <c r="W5028">
        <v>6.7267439999999998E-2</v>
      </c>
      <c r="X5028">
        <v>0.98089499999999996</v>
      </c>
      <c r="Y5028">
        <v>-0.33564359999999999</v>
      </c>
      <c r="Z5028">
        <v>0.1553146</v>
      </c>
      <c r="AA5028">
        <v>0.92909679999999994</v>
      </c>
      <c r="AB5028">
        <v>29</v>
      </c>
      <c r="AC5028">
        <v>4.0607999999999702</v>
      </c>
      <c r="AD5028">
        <v>-1.1152809681069999</v>
      </c>
      <c r="AE5028">
        <v>-5.7283400000000002</v>
      </c>
      <c r="AF5028">
        <v>-2.3965217595898798</v>
      </c>
      <c r="AG5028">
        <v>-1.1152809681069999</v>
      </c>
      <c r="AH5028">
        <v>6.4159197885166099</v>
      </c>
      <c r="AI5028">
        <v>99.248922779371696</v>
      </c>
      <c r="AJ5028">
        <v>110.482037302398</v>
      </c>
      <c r="AK5028">
        <v>6.9391062043096303</v>
      </c>
      <c r="AL5028">
        <v>86.142946897711496</v>
      </c>
      <c r="AM5028">
        <v>100.541758565416</v>
      </c>
      <c r="AN5028">
        <v>0.99999996071522101</v>
      </c>
    </row>
    <row r="5029" spans="1:40" x14ac:dyDescent="0.25">
      <c r="A5029" t="str">
        <f>"20190312151129175"</f>
        <v>20190312151129175</v>
      </c>
      <c r="B5029" t="str">
        <f>"1552374689166425"</f>
        <v>1552374689166425</v>
      </c>
      <c r="C5029" t="s">
        <v>40</v>
      </c>
      <c r="D5029">
        <v>4.759728</v>
      </c>
      <c r="E5029">
        <v>0.43559720000000002</v>
      </c>
      <c r="F5029" t="s">
        <v>85</v>
      </c>
      <c r="G5029">
        <v>-417.2919</v>
      </c>
      <c r="H5029" s="1">
        <v>-3.0607819999999999E-6</v>
      </c>
      <c r="I5029">
        <v>35.908769999999997</v>
      </c>
      <c r="J5029">
        <v>-421.35320000000002</v>
      </c>
      <c r="K5029">
        <v>1.115308</v>
      </c>
      <c r="L5029">
        <v>41.5976</v>
      </c>
      <c r="M5029">
        <v>0.26026840000000001</v>
      </c>
      <c r="N5029">
        <v>0</v>
      </c>
      <c r="O5029">
        <v>-0.965445</v>
      </c>
      <c r="P5029">
        <v>0.43070160000000002</v>
      </c>
      <c r="Q5029">
        <v>5.658258E-2</v>
      </c>
      <c r="R5029">
        <v>-0.90071900000000005</v>
      </c>
      <c r="S5029">
        <v>1.766724</v>
      </c>
      <c r="T5029">
        <v>-0.47933999999999999</v>
      </c>
      <c r="U5029">
        <v>-2.5181269999999998</v>
      </c>
      <c r="V5029">
        <v>-0.18227170000000001</v>
      </c>
      <c r="W5029">
        <v>6.7336430000000003E-2</v>
      </c>
      <c r="X5029">
        <v>0.98093980000000003</v>
      </c>
      <c r="Y5029">
        <v>-0.33430520000000002</v>
      </c>
      <c r="Z5029">
        <v>0.15567349999999999</v>
      </c>
      <c r="AA5029">
        <v>0.92951910000000004</v>
      </c>
      <c r="AB5029">
        <v>29</v>
      </c>
      <c r="AC5029">
        <v>4.0613000000000099</v>
      </c>
      <c r="AD5029">
        <v>-1.115311060782</v>
      </c>
      <c r="AE5029">
        <v>-5.6888299999999896</v>
      </c>
      <c r="AF5029">
        <v>-2.3799594665723598</v>
      </c>
      <c r="AG5029">
        <v>-1.115311060782</v>
      </c>
      <c r="AH5029">
        <v>6.3872361936054096</v>
      </c>
      <c r="AI5029">
        <v>99.292718737210507</v>
      </c>
      <c r="AJ5029">
        <v>110.43598641275</v>
      </c>
      <c r="AK5029">
        <v>6.9068742581382603</v>
      </c>
      <c r="AL5029">
        <v>86.138985344218696</v>
      </c>
      <c r="AM5029">
        <v>100.52627035917</v>
      </c>
      <c r="AN5029">
        <v>1.00000002932503</v>
      </c>
    </row>
    <row r="5030" spans="1:40" x14ac:dyDescent="0.25">
      <c r="A5030" t="str">
        <f>"20190312151129188"</f>
        <v>20190312151129188</v>
      </c>
      <c r="B5030" t="str">
        <f>"1552374689176185"</f>
        <v>1552374689176185</v>
      </c>
      <c r="C5030" t="s">
        <v>40</v>
      </c>
      <c r="D5030">
        <v>4.6784150000000002</v>
      </c>
      <c r="E5030">
        <v>0.43597979999999997</v>
      </c>
      <c r="F5030" t="s">
        <v>85</v>
      </c>
      <c r="G5030">
        <v>-417.21640000000002</v>
      </c>
      <c r="H5030" s="1">
        <v>-3.1643010000000002E-6</v>
      </c>
      <c r="I5030">
        <v>35.750079999999997</v>
      </c>
      <c r="J5030">
        <v>-421.30900000000003</v>
      </c>
      <c r="K5030">
        <v>1.115335</v>
      </c>
      <c r="L5030">
        <v>41.447969999999998</v>
      </c>
      <c r="M5030">
        <v>0.26380579999999998</v>
      </c>
      <c r="N5030">
        <v>0</v>
      </c>
      <c r="O5030">
        <v>-0.96448400000000001</v>
      </c>
      <c r="P5030">
        <v>0.43402839999999998</v>
      </c>
      <c r="Q5030">
        <v>5.6361870000000001E-2</v>
      </c>
      <c r="R5030">
        <v>-0.89913469999999995</v>
      </c>
      <c r="S5030">
        <v>1.776581</v>
      </c>
      <c r="T5030">
        <v>-0.4789793</v>
      </c>
      <c r="U5030">
        <v>-2.5112610000000002</v>
      </c>
      <c r="V5030">
        <v>-0.1823002</v>
      </c>
      <c r="W5030">
        <v>6.7111390000000007E-2</v>
      </c>
      <c r="X5030">
        <v>0.98094990000000004</v>
      </c>
      <c r="Y5030">
        <v>-0.3344994</v>
      </c>
      <c r="Z5030">
        <v>0.15550849999999999</v>
      </c>
      <c r="AA5030">
        <v>0.92947690000000005</v>
      </c>
      <c r="AB5030">
        <v>29</v>
      </c>
      <c r="AC5030">
        <v>4.0926</v>
      </c>
      <c r="AD5030">
        <v>-1.1153381643010001</v>
      </c>
      <c r="AE5030">
        <v>-5.6978900000000001</v>
      </c>
      <c r="AF5030">
        <v>-2.38406697002323</v>
      </c>
      <c r="AG5030">
        <v>-1.1153381643010001</v>
      </c>
      <c r="AH5030">
        <v>6.4136447745497902</v>
      </c>
      <c r="AI5030">
        <v>99.257997663321504</v>
      </c>
      <c r="AJ5030">
        <v>110.391004576936</v>
      </c>
      <c r="AK5030">
        <v>6.9327190792943503</v>
      </c>
      <c r="AL5030">
        <v>86.151908321392597</v>
      </c>
      <c r="AM5030">
        <v>100.52777347923799</v>
      </c>
      <c r="AN5030">
        <v>1.0000000039488901</v>
      </c>
    </row>
    <row r="5031" spans="1:40" x14ac:dyDescent="0.25">
      <c r="A5031" t="str">
        <f>"20190312151129201"</f>
        <v>20190312151129201</v>
      </c>
      <c r="B5031" t="str">
        <f>"1552374689196681"</f>
        <v>1552374689196681</v>
      </c>
      <c r="C5031" t="s">
        <v>40</v>
      </c>
      <c r="D5031">
        <v>4.6514170000000004</v>
      </c>
      <c r="E5031">
        <v>0.43662380000000001</v>
      </c>
      <c r="F5031" t="s">
        <v>85</v>
      </c>
      <c r="G5031">
        <v>-417.17320000000001</v>
      </c>
      <c r="H5031" s="1">
        <v>-3.2364410000000001E-6</v>
      </c>
      <c r="I5031">
        <v>35.6357</v>
      </c>
      <c r="J5031">
        <v>-421.25850000000003</v>
      </c>
      <c r="K5031">
        <v>1.1153599999999999</v>
      </c>
      <c r="L5031">
        <v>41.278959999999998</v>
      </c>
      <c r="M5031">
        <v>0.26781080000000002</v>
      </c>
      <c r="N5031">
        <v>0</v>
      </c>
      <c r="O5031">
        <v>-0.9633796</v>
      </c>
      <c r="P5031">
        <v>0.4379403</v>
      </c>
      <c r="Q5031">
        <v>5.6489480000000002E-2</v>
      </c>
      <c r="R5031">
        <v>-0.89722780000000002</v>
      </c>
      <c r="S5031">
        <v>1.78311199999999</v>
      </c>
      <c r="T5031">
        <v>-0.48087069999999998</v>
      </c>
      <c r="U5031">
        <v>-2.5059200000000001</v>
      </c>
      <c r="V5031">
        <v>-0.182505</v>
      </c>
      <c r="W5031">
        <v>6.7231280000000004E-2</v>
      </c>
      <c r="X5031">
        <v>0.98090359999999999</v>
      </c>
      <c r="Y5031">
        <v>-0.33308009999999999</v>
      </c>
      <c r="Z5031">
        <v>0.15604370000000001</v>
      </c>
      <c r="AA5031">
        <v>0.92989679999999997</v>
      </c>
      <c r="AB5031">
        <v>29</v>
      </c>
      <c r="AC5031">
        <v>4.0853000000000099</v>
      </c>
      <c r="AD5031">
        <v>-1.115363236441</v>
      </c>
      <c r="AE5031">
        <v>-5.64325999999999</v>
      </c>
      <c r="AF5031">
        <v>-2.3639916076646901</v>
      </c>
      <c r="AG5031">
        <v>-1.115363236441</v>
      </c>
      <c r="AH5031">
        <v>6.3680470764468398</v>
      </c>
      <c r="AI5031">
        <v>99.324802278593395</v>
      </c>
      <c r="AJ5031">
        <v>110.366290217093</v>
      </c>
      <c r="AK5031">
        <v>6.88364111776293</v>
      </c>
      <c r="AL5031">
        <v>86.145023551246993</v>
      </c>
      <c r="AM5031">
        <v>100.539822085949</v>
      </c>
      <c r="AN5031">
        <v>0.999999996264199</v>
      </c>
    </row>
    <row r="5032" spans="1:40" x14ac:dyDescent="0.25">
      <c r="A5032" t="str">
        <f>"20190312151129217"</f>
        <v>20190312151129217</v>
      </c>
      <c r="B5032" t="str">
        <f>"1552374689206441"</f>
        <v>1552374689206441</v>
      </c>
      <c r="C5032" t="s">
        <v>40</v>
      </c>
      <c r="D5032">
        <v>4.6514980000000001</v>
      </c>
      <c r="E5032">
        <v>0.4369072</v>
      </c>
      <c r="F5032" t="s">
        <v>85</v>
      </c>
      <c r="G5032">
        <v>-417.10989999999998</v>
      </c>
      <c r="H5032" s="1">
        <v>-3.3340720000000001E-6</v>
      </c>
      <c r="I5032">
        <v>35.482880000000002</v>
      </c>
      <c r="J5032">
        <v>-421.2013</v>
      </c>
      <c r="K5032">
        <v>1.115386</v>
      </c>
      <c r="L5032">
        <v>41.090209999999999</v>
      </c>
      <c r="M5032">
        <v>0.2723042</v>
      </c>
      <c r="N5032">
        <v>0</v>
      </c>
      <c r="O5032">
        <v>-0.9621189</v>
      </c>
      <c r="P5032">
        <v>0.44271719999999998</v>
      </c>
      <c r="Q5032">
        <v>5.6540350000000003E-2</v>
      </c>
      <c r="R5032">
        <v>-0.89487689999999998</v>
      </c>
      <c r="S5032">
        <v>1.7897029999999901</v>
      </c>
      <c r="T5032">
        <v>-0.48115609999999998</v>
      </c>
      <c r="U5032">
        <v>-2.5003660000000001</v>
      </c>
      <c r="V5032">
        <v>-0.18316260000000001</v>
      </c>
      <c r="W5032">
        <v>6.7267450000000006E-2</v>
      </c>
      <c r="X5032">
        <v>0.98077859999999994</v>
      </c>
      <c r="Y5032">
        <v>-0.3312792</v>
      </c>
      <c r="Z5032">
        <v>0.1560542</v>
      </c>
      <c r="AA5032">
        <v>0.93053810000000003</v>
      </c>
      <c r="AB5032">
        <v>29</v>
      </c>
      <c r="AC5032">
        <v>4.0914000000000197</v>
      </c>
      <c r="AD5032">
        <v>-1.115389334072</v>
      </c>
      <c r="AE5032">
        <v>-5.6073299999999904</v>
      </c>
      <c r="AF5032">
        <v>-2.3490727109123899</v>
      </c>
      <c r="AG5032">
        <v>-1.115389334072</v>
      </c>
      <c r="AH5032">
        <v>6.3457490570452597</v>
      </c>
      <c r="AI5032">
        <v>99.360340556290893</v>
      </c>
      <c r="AJ5032">
        <v>110.313570951401</v>
      </c>
      <c r="AK5032">
        <v>6.8578981519636004</v>
      </c>
      <c r="AL5032">
        <v>86.142946687831298</v>
      </c>
      <c r="AM5032">
        <v>100.578261218828</v>
      </c>
      <c r="AN5032">
        <v>1.0000000550431001</v>
      </c>
    </row>
    <row r="5033" spans="1:40" x14ac:dyDescent="0.25">
      <c r="A5033" t="str">
        <f>"20190312151129229"</f>
        <v>20190312151129229</v>
      </c>
      <c r="B5033" t="str">
        <f>"1552374689225961"</f>
        <v>1552374689225961</v>
      </c>
      <c r="C5033" t="s">
        <v>40</v>
      </c>
      <c r="D5033">
        <v>4.6704429999999997</v>
      </c>
      <c r="E5033">
        <v>0.43752259999999998</v>
      </c>
      <c r="F5033" t="s">
        <v>85</v>
      </c>
      <c r="G5033">
        <v>-417.03149999999999</v>
      </c>
      <c r="H5033" s="1">
        <v>-3.4398359999999998E-6</v>
      </c>
      <c r="I5033">
        <v>35.321269999999998</v>
      </c>
      <c r="J5033">
        <v>-421.15629999999999</v>
      </c>
      <c r="K5033">
        <v>1.115408</v>
      </c>
      <c r="L5033">
        <v>40.944890000000001</v>
      </c>
      <c r="M5033">
        <v>0.27578279999999999</v>
      </c>
      <c r="N5033">
        <v>0</v>
      </c>
      <c r="O5033">
        <v>-0.96112759999999997</v>
      </c>
      <c r="P5033">
        <v>0.44614549999999997</v>
      </c>
      <c r="Q5033">
        <v>5.6430599999999997E-2</v>
      </c>
      <c r="R5033">
        <v>-0.89317979999999997</v>
      </c>
      <c r="S5033">
        <v>1.801086</v>
      </c>
      <c r="T5033">
        <v>-0.4817784</v>
      </c>
      <c r="U5033">
        <v>-2.4918209999999998</v>
      </c>
      <c r="V5033">
        <v>-0.18337539999999999</v>
      </c>
      <c r="W5033">
        <v>6.7152290000000003E-2</v>
      </c>
      <c r="X5033">
        <v>0.98074669999999997</v>
      </c>
      <c r="Y5033">
        <v>-0.33215990000000001</v>
      </c>
      <c r="Z5033">
        <v>0.15622739999999999</v>
      </c>
      <c r="AA5033">
        <v>0.93019499999999999</v>
      </c>
      <c r="AB5033">
        <v>29</v>
      </c>
      <c r="AC5033">
        <v>4.1247999999999898</v>
      </c>
      <c r="AD5033">
        <v>-1.115411439836</v>
      </c>
      <c r="AE5033">
        <v>-5.6236199999999998</v>
      </c>
      <c r="AF5033">
        <v>-2.3535735495688801</v>
      </c>
      <c r="AG5033">
        <v>-1.115411439836</v>
      </c>
      <c r="AH5033">
        <v>6.3799529845708998</v>
      </c>
      <c r="AI5033">
        <v>99.315026185989495</v>
      </c>
      <c r="AJ5033">
        <v>110.249088028027</v>
      </c>
      <c r="AK5033">
        <v>6.8910994201711002</v>
      </c>
      <c r="AL5033">
        <v>86.149559720184698</v>
      </c>
      <c r="AM5033">
        <v>100.59060995615501</v>
      </c>
      <c r="AN5033">
        <v>1.0000000284691399</v>
      </c>
    </row>
    <row r="5034" spans="1:40" x14ac:dyDescent="0.25">
      <c r="A5034" t="str">
        <f>"20190312151129242"</f>
        <v>20190312151129242</v>
      </c>
      <c r="B5034" t="str">
        <f>"1552374689236697"</f>
        <v>1552374689236697</v>
      </c>
      <c r="C5034" t="s">
        <v>40</v>
      </c>
      <c r="D5034">
        <v>4.672625</v>
      </c>
      <c r="E5034">
        <v>0.4376062</v>
      </c>
      <c r="F5034" t="s">
        <v>85</v>
      </c>
      <c r="G5034">
        <v>-416.97919999999999</v>
      </c>
      <c r="H5034" s="1">
        <v>-3.521321E-6</v>
      </c>
      <c r="I5034">
        <v>35.193469999999998</v>
      </c>
      <c r="J5034">
        <v>-421.10669999999999</v>
      </c>
      <c r="K5034">
        <v>1.1154230000000001</v>
      </c>
      <c r="L5034">
        <v>40.786250000000003</v>
      </c>
      <c r="M5034">
        <v>0.27958280000000002</v>
      </c>
      <c r="N5034">
        <v>0</v>
      </c>
      <c r="O5034">
        <v>-0.96002909999999997</v>
      </c>
      <c r="P5034">
        <v>0.45019589999999998</v>
      </c>
      <c r="Q5034">
        <v>5.6580360000000003E-2</v>
      </c>
      <c r="R5034">
        <v>-0.89113549999999997</v>
      </c>
      <c r="S5034">
        <v>1.806244</v>
      </c>
      <c r="T5034">
        <v>-0.48232720000000001</v>
      </c>
      <c r="U5034">
        <v>-2.4870299999999999</v>
      </c>
      <c r="V5034">
        <v>-0.18395539999999999</v>
      </c>
      <c r="W5034">
        <v>6.7290269999999999E-2</v>
      </c>
      <c r="X5034">
        <v>0.98062859999999996</v>
      </c>
      <c r="Y5034">
        <v>-0.3305343</v>
      </c>
      <c r="Z5034">
        <v>0.15633820000000001</v>
      </c>
      <c r="AA5034">
        <v>0.93075529999999995</v>
      </c>
      <c r="AB5034">
        <v>29</v>
      </c>
      <c r="AC5034">
        <v>4.1274999999999897</v>
      </c>
      <c r="AD5034">
        <v>-1.115426521321</v>
      </c>
      <c r="AE5034">
        <v>-5.5927800000000003</v>
      </c>
      <c r="AF5034">
        <v>-2.3388598122892299</v>
      </c>
      <c r="AG5034">
        <v>-1.115426521321</v>
      </c>
      <c r="AH5034">
        <v>6.36001149074872</v>
      </c>
      <c r="AI5034">
        <v>99.347287197542499</v>
      </c>
      <c r="AJ5034">
        <v>110.190725553253</v>
      </c>
      <c r="AK5034">
        <v>6.8676187800768096</v>
      </c>
      <c r="AL5034">
        <v>86.141636056411102</v>
      </c>
      <c r="AM5034">
        <v>100.62459609902599</v>
      </c>
      <c r="AN5034">
        <v>1.00000001038189</v>
      </c>
    </row>
    <row r="5035" spans="1:40" x14ac:dyDescent="0.25">
      <c r="A5035" t="str">
        <f>"20190312151129255"</f>
        <v>20190312151129255</v>
      </c>
      <c r="B5035" t="str">
        <f>"1552374689246458"</f>
        <v>1552374689246458</v>
      </c>
      <c r="C5035" t="s">
        <v>40</v>
      </c>
      <c r="D5035">
        <v>4.6742689999999998</v>
      </c>
      <c r="E5035">
        <v>0.43725320000000001</v>
      </c>
      <c r="F5035" t="s">
        <v>85</v>
      </c>
      <c r="G5035">
        <v>-416.90359999999998</v>
      </c>
      <c r="H5035" s="1">
        <v>-3.615539E-6</v>
      </c>
      <c r="I5035">
        <v>35.051879999999997</v>
      </c>
      <c r="J5035">
        <v>-421.05590000000001</v>
      </c>
      <c r="K5035">
        <v>1.1154360000000001</v>
      </c>
      <c r="L5035">
        <v>40.625889999999998</v>
      </c>
      <c r="M5035">
        <v>0.28343499999999999</v>
      </c>
      <c r="N5035">
        <v>0</v>
      </c>
      <c r="O5035">
        <v>-0.95889880000000005</v>
      </c>
      <c r="P5035">
        <v>0.45409110000000003</v>
      </c>
      <c r="Q5035">
        <v>5.6655789999999998E-2</v>
      </c>
      <c r="R5035">
        <v>-0.88915230000000001</v>
      </c>
      <c r="S5035">
        <v>1.8171390000000001</v>
      </c>
      <c r="T5035">
        <v>-0.48222969999999998</v>
      </c>
      <c r="U5035">
        <v>-2.4791259999999999</v>
      </c>
      <c r="V5035">
        <v>-0.1843146</v>
      </c>
      <c r="W5035">
        <v>6.7358779999999993E-2</v>
      </c>
      <c r="X5035">
        <v>0.98055639999999999</v>
      </c>
      <c r="Y5035">
        <v>-0.33083360000000001</v>
      </c>
      <c r="Z5035">
        <v>0.15624179999999999</v>
      </c>
      <c r="AA5035">
        <v>0.93066510000000002</v>
      </c>
      <c r="AB5035">
        <v>29</v>
      </c>
      <c r="AC5035">
        <v>4.1523000000000199</v>
      </c>
      <c r="AD5035">
        <v>-1.1154396155390001</v>
      </c>
      <c r="AE5035">
        <v>-5.5740100000000004</v>
      </c>
      <c r="AF5035">
        <v>-2.3416719905858598</v>
      </c>
      <c r="AG5035">
        <v>-1.1154396155390001</v>
      </c>
      <c r="AH5035">
        <v>6.3586378931026104</v>
      </c>
      <c r="AI5035">
        <v>99.347825727732996</v>
      </c>
      <c r="AJ5035">
        <v>110.217051571244</v>
      </c>
      <c r="AK5035">
        <v>6.8673072672633904</v>
      </c>
      <c r="AL5035">
        <v>86.137701621883807</v>
      </c>
      <c r="AM5035">
        <v>100.645634404668</v>
      </c>
      <c r="AN5035">
        <v>0.99999996529860302</v>
      </c>
    </row>
    <row r="5036" spans="1:40" x14ac:dyDescent="0.25">
      <c r="A5036" t="str">
        <f>"20190312151129267"</f>
        <v>20190312151129267</v>
      </c>
      <c r="B5036" t="str">
        <f>"1552374689256217"</f>
        <v>1552374689256217</v>
      </c>
      <c r="C5036" t="s">
        <v>40</v>
      </c>
      <c r="D5036">
        <v>4.6983300000000003</v>
      </c>
      <c r="E5036">
        <v>0.43725320000000001</v>
      </c>
      <c r="F5036" t="s">
        <v>85</v>
      </c>
      <c r="G5036">
        <v>-416.80700000000002</v>
      </c>
      <c r="H5036" s="1">
        <v>-3.7229700000000002E-6</v>
      </c>
      <c r="I5036">
        <v>34.894599999999997</v>
      </c>
      <c r="J5036">
        <v>-421.0059</v>
      </c>
      <c r="K5036">
        <v>1.115445</v>
      </c>
      <c r="L5036">
        <v>40.470730000000003</v>
      </c>
      <c r="M5036">
        <v>0.2871705</v>
      </c>
      <c r="N5036">
        <v>0</v>
      </c>
      <c r="O5036">
        <v>-0.95778680000000005</v>
      </c>
      <c r="P5036">
        <v>0.45771800000000001</v>
      </c>
      <c r="Q5036">
        <v>5.6532819999999998E-2</v>
      </c>
      <c r="R5036">
        <v>-0.88729859999999905</v>
      </c>
      <c r="S5036">
        <v>1.8308720000000001</v>
      </c>
      <c r="T5036">
        <v>-0.4806473</v>
      </c>
      <c r="U5036">
        <v>-2.4696349999999998</v>
      </c>
      <c r="V5036">
        <v>-0.1844943</v>
      </c>
      <c r="W5036">
        <v>6.7233180000000003E-2</v>
      </c>
      <c r="X5036">
        <v>0.98053129999999999</v>
      </c>
      <c r="Y5036">
        <v>-0.33226509999999998</v>
      </c>
      <c r="Z5036">
        <v>0.1556795</v>
      </c>
      <c r="AA5036">
        <v>0.93024929999999995</v>
      </c>
      <c r="AB5036">
        <v>29</v>
      </c>
      <c r="AC5036">
        <v>4.1989000000000303</v>
      </c>
      <c r="AD5036">
        <v>-1.1154487229700001</v>
      </c>
      <c r="AE5036">
        <v>-5.5761299999999903</v>
      </c>
      <c r="AF5036">
        <v>-2.36029291893162</v>
      </c>
      <c r="AG5036">
        <v>-1.1154487229700001</v>
      </c>
      <c r="AH5036">
        <v>6.38409947684183</v>
      </c>
      <c r="AI5036">
        <v>99.306971676485205</v>
      </c>
      <c r="AJ5036">
        <v>110.29007448424299</v>
      </c>
      <c r="AK5036">
        <v>6.8972410895187899</v>
      </c>
      <c r="AL5036">
        <v>86.144914606434696</v>
      </c>
      <c r="AM5036">
        <v>100.656042466757</v>
      </c>
      <c r="AN5036">
        <v>1.0000000387525401</v>
      </c>
    </row>
    <row r="5037" spans="1:40" x14ac:dyDescent="0.25">
      <c r="A5037" t="str">
        <f>"20190312151129282"</f>
        <v>20190312151129282</v>
      </c>
      <c r="B5037" t="str">
        <f>"1552374689276713"</f>
        <v>1552374689276713</v>
      </c>
      <c r="C5037" t="s">
        <v>40</v>
      </c>
      <c r="D5037">
        <v>4.7321390000000001</v>
      </c>
      <c r="E5037">
        <v>0.4116283</v>
      </c>
      <c r="F5037" t="s">
        <v>85</v>
      </c>
      <c r="G5037">
        <v>-416.73480000000001</v>
      </c>
      <c r="H5037" s="1">
        <v>-3.8127349999999998E-6</v>
      </c>
      <c r="I5037">
        <v>34.759749999999997</v>
      </c>
      <c r="J5037">
        <v>-420.95159999999998</v>
      </c>
      <c r="K5037">
        <v>1.1154500000000001</v>
      </c>
      <c r="L5037">
        <v>40.303959999999996</v>
      </c>
      <c r="M5037">
        <v>0.29118909999999998</v>
      </c>
      <c r="N5037">
        <v>0</v>
      </c>
      <c r="O5037">
        <v>-0.95657250000000005</v>
      </c>
      <c r="P5037">
        <v>0.46160289999999998</v>
      </c>
      <c r="Q5037">
        <v>5.6377820000000002E-2</v>
      </c>
      <c r="R5037">
        <v>-0.88529349999999996</v>
      </c>
      <c r="S5037">
        <v>1.8411869999999999</v>
      </c>
      <c r="T5037">
        <v>-0.48084660000000001</v>
      </c>
      <c r="U5037">
        <v>-2.461884</v>
      </c>
      <c r="V5037">
        <v>-0.184672</v>
      </c>
      <c r="W5037">
        <v>6.7075709999999997E-2</v>
      </c>
      <c r="X5037">
        <v>0.98050859999999995</v>
      </c>
      <c r="Y5037">
        <v>-0.33221410000000001</v>
      </c>
      <c r="Z5037">
        <v>0.15566569999999999</v>
      </c>
      <c r="AA5037">
        <v>0.93026989999999998</v>
      </c>
      <c r="AB5037">
        <v>29</v>
      </c>
      <c r="AC5037">
        <v>4.2167999999999699</v>
      </c>
      <c r="AD5037">
        <v>-1.115453812735</v>
      </c>
      <c r="AE5037">
        <v>-5.5442099999999996</v>
      </c>
      <c r="AF5037">
        <v>-2.3589829878606099</v>
      </c>
      <c r="AG5037">
        <v>-1.115453812735</v>
      </c>
      <c r="AH5037">
        <v>6.3685902718008496</v>
      </c>
      <c r="AI5037">
        <v>99.327208339335996</v>
      </c>
      <c r="AJ5037">
        <v>110.32508181956</v>
      </c>
      <c r="AK5037">
        <v>6.8824399739799604</v>
      </c>
      <c r="AL5037">
        <v>86.153957261751302</v>
      </c>
      <c r="AM5037">
        <v>100.666311975146</v>
      </c>
      <c r="AN5037">
        <v>1.0000000065649799</v>
      </c>
    </row>
    <row r="5038" spans="1:40" x14ac:dyDescent="0.25">
      <c r="A5038" t="str">
        <f>"20190312151129296"</f>
        <v>20190312151129296</v>
      </c>
      <c r="B5038" t="str">
        <f>"1552374689286475"</f>
        <v>1552374689286475</v>
      </c>
      <c r="C5038" t="s">
        <v>40</v>
      </c>
      <c r="D5038">
        <v>4.7011139999999996</v>
      </c>
      <c r="E5038">
        <v>0.41137309999999999</v>
      </c>
      <c r="F5038" t="s">
        <v>41</v>
      </c>
      <c r="G5038">
        <v>-420.22969999999998</v>
      </c>
      <c r="H5038">
        <v>0.96670129999999999</v>
      </c>
      <c r="I5038">
        <v>39.466470000000001</v>
      </c>
      <c r="J5038">
        <v>-420.89409999999998</v>
      </c>
      <c r="K5038">
        <v>1.1154539999999999</v>
      </c>
      <c r="L5038">
        <v>40.130000000000003</v>
      </c>
      <c r="M5038">
        <v>0.29538579999999998</v>
      </c>
      <c r="N5038">
        <v>0</v>
      </c>
      <c r="O5038">
        <v>-0.95528500000000005</v>
      </c>
      <c r="P5038">
        <v>0.46548119999999998</v>
      </c>
      <c r="Q5038">
        <v>5.6513470000000003E-2</v>
      </c>
      <c r="R5038">
        <v>-0.88325189999999998</v>
      </c>
      <c r="S5038">
        <v>2.0310969999999999</v>
      </c>
      <c r="T5038">
        <v>-0.4185239</v>
      </c>
      <c r="U5038">
        <v>-2.3563230000000002</v>
      </c>
      <c r="V5038">
        <v>-0.18467320000000001</v>
      </c>
      <c r="W5038">
        <v>6.7212250000000001E-2</v>
      </c>
      <c r="X5038">
        <v>0.98049900000000001</v>
      </c>
      <c r="Y5038">
        <v>-0.39380189999999998</v>
      </c>
      <c r="Z5038">
        <v>0.13556570000000001</v>
      </c>
      <c r="AA5038">
        <v>0.90914360000000005</v>
      </c>
      <c r="AB5038">
        <v>29</v>
      </c>
      <c r="AC5038">
        <v>0.66439999999999999</v>
      </c>
      <c r="AD5038">
        <v>-0.14875269999999999</v>
      </c>
      <c r="AE5038">
        <v>-0.66353000000000095</v>
      </c>
      <c r="AF5038">
        <v>-0.42799201604931902</v>
      </c>
      <c r="AG5038">
        <v>-0.14875269999999999</v>
      </c>
      <c r="AH5038">
        <v>0.80986382735561901</v>
      </c>
      <c r="AI5038">
        <v>99.223953449592798</v>
      </c>
      <c r="AJ5038">
        <v>117.855289501315</v>
      </c>
      <c r="AK5038">
        <v>0.92799997328574502</v>
      </c>
      <c r="AL5038">
        <v>86.146116311286505</v>
      </c>
      <c r="AM5038">
        <v>100.666481732164</v>
      </c>
      <c r="AN5038">
        <v>0.999999983174651</v>
      </c>
    </row>
    <row r="5039" spans="1:40" x14ac:dyDescent="0.25">
      <c r="A5039" t="str">
        <f>"20190312151129318"</f>
        <v>20190312151129318</v>
      </c>
      <c r="B5039" t="str">
        <f>"1552374689305993"</f>
        <v>1552374689305993</v>
      </c>
      <c r="C5039" t="s">
        <v>40</v>
      </c>
      <c r="D5039">
        <v>4.6977370000000001</v>
      </c>
      <c r="E5039">
        <v>0.41165889999999999</v>
      </c>
      <c r="F5039" t="s">
        <v>85</v>
      </c>
      <c r="G5039">
        <v>-415.4742</v>
      </c>
      <c r="H5039" s="1">
        <v>-4.5311440000000001E-6</v>
      </c>
      <c r="I5039">
        <v>33.90889</v>
      </c>
      <c r="J5039">
        <v>-420.80349999999999</v>
      </c>
      <c r="K5039">
        <v>1.115459</v>
      </c>
      <c r="L5039">
        <v>39.861080000000001</v>
      </c>
      <c r="M5039">
        <v>0.30187890000000001</v>
      </c>
      <c r="N5039">
        <v>0</v>
      </c>
      <c r="O5039">
        <v>-0.95325289999999996</v>
      </c>
      <c r="P5039">
        <v>0.4712324</v>
      </c>
      <c r="Q5039">
        <v>5.6950130000000002E-2</v>
      </c>
      <c r="R5039">
        <v>-0.88016890000000003</v>
      </c>
      <c r="S5039">
        <v>2.0440369999999999</v>
      </c>
      <c r="T5039">
        <v>-0.42068240000000001</v>
      </c>
      <c r="U5039">
        <v>-2.346222</v>
      </c>
      <c r="V5039">
        <v>-0.18441189999999999</v>
      </c>
      <c r="W5039">
        <v>6.7656129999999995E-2</v>
      </c>
      <c r="X5039">
        <v>0.98051770000000005</v>
      </c>
      <c r="Y5039">
        <v>-0.39229550000000002</v>
      </c>
      <c r="Z5039">
        <v>0.13609209999999999</v>
      </c>
      <c r="AA5039">
        <v>0.90971599999999997</v>
      </c>
      <c r="AB5039">
        <v>29</v>
      </c>
      <c r="AC5039">
        <v>5.3292999999999804</v>
      </c>
      <c r="AD5039">
        <v>-1.115463531144</v>
      </c>
      <c r="AE5039">
        <v>-5.9521899999999999</v>
      </c>
      <c r="AF5039">
        <v>-3.2208376009741402</v>
      </c>
      <c r="AG5039">
        <v>-1.115463531144</v>
      </c>
      <c r="AH5039">
        <v>7.1441311356689496</v>
      </c>
      <c r="AI5039">
        <v>98.101069444715307</v>
      </c>
      <c r="AJ5039">
        <v>114.267606561177</v>
      </c>
      <c r="AK5039">
        <v>7.9155962141076701</v>
      </c>
      <c r="AL5039">
        <v>86.120626020173802</v>
      </c>
      <c r="AM5039">
        <v>100.651536475071</v>
      </c>
      <c r="AN5039">
        <v>1.0000000304007299</v>
      </c>
    </row>
    <row r="5040" spans="1:40" x14ac:dyDescent="0.25">
      <c r="A5040" t="str">
        <f>"20190312151129339"</f>
        <v>20190312151129339</v>
      </c>
      <c r="B5040" t="str">
        <f>"1552374689336250"</f>
        <v>1552374689336250</v>
      </c>
      <c r="C5040" t="s">
        <v>40</v>
      </c>
      <c r="D5040">
        <v>4.6943809999999999</v>
      </c>
      <c r="E5040">
        <v>0.41205049999999999</v>
      </c>
      <c r="F5040" t="s">
        <v>41</v>
      </c>
      <c r="G5040">
        <v>-420.0933</v>
      </c>
      <c r="H5040">
        <v>0.96994329999999995</v>
      </c>
      <c r="I5040">
        <v>39.055340000000001</v>
      </c>
      <c r="J5040">
        <v>-420.71620000000001</v>
      </c>
      <c r="K5040">
        <v>1.1154569999999999</v>
      </c>
      <c r="L5040">
        <v>39.607700000000001</v>
      </c>
      <c r="M5040">
        <v>0.30800240000000001</v>
      </c>
      <c r="N5040">
        <v>0</v>
      </c>
      <c r="O5040">
        <v>-0.95129200000000003</v>
      </c>
      <c r="P5040">
        <v>0.47648950000000001</v>
      </c>
      <c r="Q5040">
        <v>5.7196999999999998E-2</v>
      </c>
      <c r="R5040">
        <v>-0.87731780000000004</v>
      </c>
      <c r="S5040">
        <v>2.0574949999999999</v>
      </c>
      <c r="T5040">
        <v>-0.42153879999999999</v>
      </c>
      <c r="U5040">
        <v>-2.3341370000000001</v>
      </c>
      <c r="V5040">
        <v>-0.18398030000000001</v>
      </c>
      <c r="W5040">
        <v>6.7913029999999999E-2</v>
      </c>
      <c r="X5040">
        <v>0.98058100000000004</v>
      </c>
      <c r="Y5040">
        <v>-0.39165879999999997</v>
      </c>
      <c r="Z5040">
        <v>0.1362671</v>
      </c>
      <c r="AA5040">
        <v>0.90996410000000005</v>
      </c>
      <c r="AB5040">
        <v>29</v>
      </c>
      <c r="AC5040">
        <v>0.622900000000015</v>
      </c>
      <c r="AD5040">
        <v>-0.145513699999999</v>
      </c>
      <c r="AE5040">
        <v>-0.55235999999999996</v>
      </c>
      <c r="AF5040">
        <v>-0.40994544933138199</v>
      </c>
      <c r="AG5040">
        <v>-0.145513699999999</v>
      </c>
      <c r="AH5040">
        <v>0.69610825621308203</v>
      </c>
      <c r="AI5040">
        <v>100.21088875130999</v>
      </c>
      <c r="AJ5040">
        <v>120.49427705726001</v>
      </c>
      <c r="AK5040">
        <v>0.82085090770688496</v>
      </c>
      <c r="AL5040">
        <v>86.105872738154304</v>
      </c>
      <c r="AM5040">
        <v>100.62650555146401</v>
      </c>
      <c r="AN5040">
        <v>1.00000001399643</v>
      </c>
    </row>
    <row r="5041" spans="1:40" x14ac:dyDescent="0.25">
      <c r="A5041" t="str">
        <f>"20190312151129351"</f>
        <v>20190312151129351</v>
      </c>
      <c r="B5041" t="str">
        <f>"1552374689346009"</f>
        <v>1552374689346009</v>
      </c>
      <c r="C5041" t="s">
        <v>40</v>
      </c>
      <c r="D5041">
        <v>4.696618</v>
      </c>
      <c r="E5041">
        <v>0.41223179999999998</v>
      </c>
      <c r="F5041" t="s">
        <v>41</v>
      </c>
      <c r="G5041">
        <v>-419.99310000000003</v>
      </c>
      <c r="H5041">
        <v>0.96846900000000002</v>
      </c>
      <c r="I5041">
        <v>38.795270000000002</v>
      </c>
      <c r="J5041">
        <v>-420.66180000000003</v>
      </c>
      <c r="K5041">
        <v>1.1154550000000001</v>
      </c>
      <c r="L5041">
        <v>39.45288</v>
      </c>
      <c r="M5041">
        <v>0.3117433</v>
      </c>
      <c r="N5041">
        <v>0</v>
      </c>
      <c r="O5041">
        <v>-0.95007249999999999</v>
      </c>
      <c r="P5041">
        <v>0.47970649999999998</v>
      </c>
      <c r="Q5041">
        <v>5.7307789999999997E-2</v>
      </c>
      <c r="R5041">
        <v>-0.8755558</v>
      </c>
      <c r="S5041">
        <v>2.069</v>
      </c>
      <c r="T5041">
        <v>-0.42037059999999998</v>
      </c>
      <c r="U5041">
        <v>-2.3231809999999999</v>
      </c>
      <c r="V5041">
        <v>-0.183724</v>
      </c>
      <c r="W5041">
        <v>6.803054E-2</v>
      </c>
      <c r="X5041">
        <v>0.98062090000000002</v>
      </c>
      <c r="Y5041">
        <v>-0.39272240000000003</v>
      </c>
      <c r="Z5041">
        <v>0.13588639999999999</v>
      </c>
      <c r="AA5041">
        <v>0.9095626</v>
      </c>
      <c r="AB5041">
        <v>29</v>
      </c>
      <c r="AC5041">
        <v>0.66870000000000096</v>
      </c>
      <c r="AD5041">
        <v>-0.14698599999999901</v>
      </c>
      <c r="AE5041">
        <v>-0.65760999999999803</v>
      </c>
      <c r="AF5041">
        <v>-0.42002963447977998</v>
      </c>
      <c r="AG5041">
        <v>-0.14698599999999901</v>
      </c>
      <c r="AH5041">
        <v>0.81333715537473705</v>
      </c>
      <c r="AI5041">
        <v>99.122210977154495</v>
      </c>
      <c r="AJ5041">
        <v>117.3130720834</v>
      </c>
      <c r="AK5041">
        <v>0.92711763350196696</v>
      </c>
      <c r="AL5041">
        <v>86.099124272597393</v>
      </c>
      <c r="AM5041">
        <v>100.611616421615</v>
      </c>
      <c r="AN5041">
        <v>1.0000000060327501</v>
      </c>
    </row>
    <row r="5042" spans="1:40" x14ac:dyDescent="0.25">
      <c r="A5042" t="str">
        <f>"20190312151129364"</f>
        <v>20190312151129364</v>
      </c>
      <c r="B5042" t="str">
        <f>"1552374689356746"</f>
        <v>1552374689356746</v>
      </c>
      <c r="C5042" t="s">
        <v>40</v>
      </c>
      <c r="D5042">
        <v>4.6551080000000002</v>
      </c>
      <c r="E5042">
        <v>0.41248669999999998</v>
      </c>
      <c r="F5042" t="s">
        <v>85</v>
      </c>
      <c r="G5042">
        <v>-415.17090000000002</v>
      </c>
      <c r="H5042" s="1">
        <v>-4.8945009999999997E-6</v>
      </c>
      <c r="I5042">
        <v>33.327800000000003</v>
      </c>
      <c r="J5042">
        <v>-420.61009999999999</v>
      </c>
      <c r="K5042">
        <v>1.1154569999999999</v>
      </c>
      <c r="L5042">
        <v>39.307099999999998</v>
      </c>
      <c r="M5042">
        <v>0.31526520000000002</v>
      </c>
      <c r="N5042">
        <v>0</v>
      </c>
      <c r="O5042">
        <v>-0.94890989999999997</v>
      </c>
      <c r="P5042">
        <v>0.48282560000000002</v>
      </c>
      <c r="Q5042">
        <v>5.7434260000000001E-2</v>
      </c>
      <c r="R5042">
        <v>-0.87383140000000004</v>
      </c>
      <c r="S5042">
        <v>2.076508</v>
      </c>
      <c r="T5042">
        <v>-0.4218326</v>
      </c>
      <c r="U5042">
        <v>-2.3163149999999999</v>
      </c>
      <c r="V5042">
        <v>-0.18358720000000001</v>
      </c>
      <c r="W5042">
        <v>6.8161360000000004E-2</v>
      </c>
      <c r="X5042">
        <v>0.98063739999999999</v>
      </c>
      <c r="Y5042">
        <v>-0.39225120000000002</v>
      </c>
      <c r="Z5042">
        <v>0.1362874</v>
      </c>
      <c r="AA5042">
        <v>0.90970589999999996</v>
      </c>
      <c r="AB5042">
        <v>29</v>
      </c>
      <c r="AC5042">
        <v>5.4391999999999703</v>
      </c>
      <c r="AD5042">
        <v>-1.115461894501</v>
      </c>
      <c r="AE5042">
        <v>-5.9792999999999896</v>
      </c>
      <c r="AF5042">
        <v>-3.2153056658955101</v>
      </c>
      <c r="AG5042">
        <v>-1.115461894501</v>
      </c>
      <c r="AH5042">
        <v>7.2511755420480499</v>
      </c>
      <c r="AI5042">
        <v>98.004831748967206</v>
      </c>
      <c r="AJ5042">
        <v>113.91338592389801</v>
      </c>
      <c r="AK5042">
        <v>8.01011813301273</v>
      </c>
      <c r="AL5042">
        <v>86.0916112611621</v>
      </c>
      <c r="AM5042">
        <v>100.603719947862</v>
      </c>
      <c r="AN5042">
        <v>0.99999997063982404</v>
      </c>
    </row>
    <row r="5043" spans="1:40" x14ac:dyDescent="0.25">
      <c r="A5043" t="str">
        <f>"20190312151129378"</f>
        <v>20190312151129378</v>
      </c>
      <c r="B5043" t="str">
        <f>"1552374689366506"</f>
        <v>1552374689366506</v>
      </c>
      <c r="C5043" t="s">
        <v>40</v>
      </c>
      <c r="D5043">
        <v>4.70885</v>
      </c>
      <c r="E5043">
        <v>0.41267409999999999</v>
      </c>
      <c r="F5043" t="s">
        <v>85</v>
      </c>
      <c r="G5043">
        <v>-415.11040000000003</v>
      </c>
      <c r="H5043" s="1">
        <v>-4.9681050000000003E-6</v>
      </c>
      <c r="I5043">
        <v>33.209670000000003</v>
      </c>
      <c r="J5043">
        <v>-420.5487</v>
      </c>
      <c r="K5043">
        <v>1.1154539999999999</v>
      </c>
      <c r="L5043">
        <v>39.135860000000001</v>
      </c>
      <c r="M5043">
        <v>0.3194014</v>
      </c>
      <c r="N5043">
        <v>0</v>
      </c>
      <c r="O5043">
        <v>-0.94752539999999996</v>
      </c>
      <c r="P5043">
        <v>0.48645699999999997</v>
      </c>
      <c r="Q5043">
        <v>5.7612139999999999E-2</v>
      </c>
      <c r="R5043">
        <v>-0.871803199999999</v>
      </c>
      <c r="S5043">
        <v>2.083405</v>
      </c>
      <c r="T5043">
        <v>-0.42255690000000001</v>
      </c>
      <c r="U5043">
        <v>-2.3098139999999998</v>
      </c>
      <c r="V5043">
        <v>-0.18339559999999999</v>
      </c>
      <c r="W5043">
        <v>6.8344509999999997E-2</v>
      </c>
      <c r="X5043">
        <v>0.98066059999999999</v>
      </c>
      <c r="Y5043">
        <v>-0.39099970000000001</v>
      </c>
      <c r="Z5043">
        <v>0.1364262</v>
      </c>
      <c r="AA5043">
        <v>0.91022369999999997</v>
      </c>
      <c r="AB5043">
        <v>29</v>
      </c>
      <c r="AC5043">
        <v>5.4382999999999697</v>
      </c>
      <c r="AD5043">
        <v>-1.115458968105</v>
      </c>
      <c r="AE5043">
        <v>-5.9261899999999903</v>
      </c>
      <c r="AF5043">
        <v>-3.1988623945291002</v>
      </c>
      <c r="AG5043">
        <v>-1.115458968105</v>
      </c>
      <c r="AH5043">
        <v>7.2141256865116299</v>
      </c>
      <c r="AI5043">
        <v>98.045390694043604</v>
      </c>
      <c r="AJ5043">
        <v>113.91328849986</v>
      </c>
      <c r="AK5043">
        <v>7.9699798462383402</v>
      </c>
      <c r="AL5043">
        <v>86.081093382203804</v>
      </c>
      <c r="AM5043">
        <v>100.59265907469999</v>
      </c>
      <c r="AN5043">
        <v>1.0000000652694201</v>
      </c>
    </row>
    <row r="5044" spans="1:40" x14ac:dyDescent="0.25">
      <c r="A5044" t="str">
        <f>"20190312151129390"</f>
        <v>20190312151129390</v>
      </c>
      <c r="B5044" t="str">
        <f>"1552374689386025"</f>
        <v>1552374689386025</v>
      </c>
      <c r="C5044" t="s">
        <v>40</v>
      </c>
      <c r="D5044">
        <v>4.7008349999999997</v>
      </c>
      <c r="E5044">
        <v>0.4128444</v>
      </c>
      <c r="F5044" t="s">
        <v>41</v>
      </c>
      <c r="G5044">
        <v>-419.81619999999998</v>
      </c>
      <c r="H5044">
        <v>0.96757490000000002</v>
      </c>
      <c r="I5044">
        <v>38.329259999999998</v>
      </c>
      <c r="J5044">
        <v>-420.4923</v>
      </c>
      <c r="K5044">
        <v>1.115451</v>
      </c>
      <c r="L5044">
        <v>38.981200000000001</v>
      </c>
      <c r="M5044">
        <v>0.32313799999999998</v>
      </c>
      <c r="N5044">
        <v>0</v>
      </c>
      <c r="O5044">
        <v>-0.94625749999999997</v>
      </c>
      <c r="P5044">
        <v>0.48974200000000001</v>
      </c>
      <c r="Q5044">
        <v>5.773992E-2</v>
      </c>
      <c r="R5044">
        <v>-0.86995349999999905</v>
      </c>
      <c r="S5044">
        <v>2.0917050000000001</v>
      </c>
      <c r="T5044">
        <v>-0.42208309999999999</v>
      </c>
      <c r="U5044">
        <v>-2.3018800000000001</v>
      </c>
      <c r="V5044">
        <v>-0.18322830000000001</v>
      </c>
      <c r="W5044">
        <v>6.8477709999999997E-2</v>
      </c>
      <c r="X5044">
        <v>0.98068250000000001</v>
      </c>
      <c r="Y5044">
        <v>-0.3907506</v>
      </c>
      <c r="Z5044">
        <v>0.1362168</v>
      </c>
      <c r="AA5044">
        <v>0.91036189999999995</v>
      </c>
      <c r="AB5044">
        <v>29</v>
      </c>
      <c r="AC5044">
        <v>0.67610000000001902</v>
      </c>
      <c r="AD5044">
        <v>-0.14787609999999901</v>
      </c>
      <c r="AE5044">
        <v>-0.65194000000000296</v>
      </c>
      <c r="AF5044">
        <v>-0.41875586492334199</v>
      </c>
      <c r="AG5044">
        <v>-0.14787609999999901</v>
      </c>
      <c r="AH5044">
        <v>0.815242232127246</v>
      </c>
      <c r="AI5044">
        <v>99.165585886571705</v>
      </c>
      <c r="AJ5044">
        <v>117.18767117361</v>
      </c>
      <c r="AK5044">
        <v>0.92835538044582999</v>
      </c>
      <c r="AL5044">
        <v>86.073443352453097</v>
      </c>
      <c r="AM5044">
        <v>100.582983467337</v>
      </c>
      <c r="AN5044">
        <v>0.99999998624699105</v>
      </c>
    </row>
    <row r="5045" spans="1:40" x14ac:dyDescent="0.25">
      <c r="A5045" t="str">
        <f>"20190312151129407"</f>
        <v>20190312151129407</v>
      </c>
      <c r="B5045" t="str">
        <f>"1552374689396761"</f>
        <v>1552374689396761</v>
      </c>
      <c r="C5045" t="s">
        <v>40</v>
      </c>
      <c r="D5045">
        <v>4.7103619999999999</v>
      </c>
      <c r="E5045">
        <v>0.41318759999999999</v>
      </c>
      <c r="F5045" t="s">
        <v>85</v>
      </c>
      <c r="G5045">
        <v>-414.90429999999998</v>
      </c>
      <c r="H5045" s="1">
        <v>-5.1851590000000003E-6</v>
      </c>
      <c r="I5045">
        <v>32.873370000000001</v>
      </c>
      <c r="J5045">
        <v>-420.42200000000003</v>
      </c>
      <c r="K5045">
        <v>1.1154440000000001</v>
      </c>
      <c r="L5045">
        <v>38.790709999999997</v>
      </c>
      <c r="M5045">
        <v>0.32773930000000001</v>
      </c>
      <c r="N5045">
        <v>0</v>
      </c>
      <c r="O5045">
        <v>-0.94467369999999995</v>
      </c>
      <c r="P5045">
        <v>0.4936874</v>
      </c>
      <c r="Q5045">
        <v>5.7971229999999999E-2</v>
      </c>
      <c r="R5045">
        <v>-0.86770509999999901</v>
      </c>
      <c r="S5045">
        <v>2.099243</v>
      </c>
      <c r="T5045">
        <v>-0.41904279999999999</v>
      </c>
      <c r="U5045">
        <v>-2.2945250000000001</v>
      </c>
      <c r="V5045">
        <v>-0.1829162</v>
      </c>
      <c r="W5045">
        <v>6.8716040000000006E-2</v>
      </c>
      <c r="X5045">
        <v>0.98072409999999999</v>
      </c>
      <c r="Y5045">
        <v>-0.38945760000000001</v>
      </c>
      <c r="Z5045">
        <v>0.13515050000000001</v>
      </c>
      <c r="AA5045">
        <v>0.91107470000000002</v>
      </c>
      <c r="AB5045">
        <v>29</v>
      </c>
      <c r="AC5045">
        <v>5.5176999999999898</v>
      </c>
      <c r="AD5045">
        <v>-1.115449185159</v>
      </c>
      <c r="AE5045">
        <v>-5.9173399999999896</v>
      </c>
      <c r="AF5045">
        <v>-3.2123154950453698</v>
      </c>
      <c r="AG5045">
        <v>-1.115449185159</v>
      </c>
      <c r="AH5045">
        <v>7.2609705842699697</v>
      </c>
      <c r="AI5045">
        <v>97.997034478081005</v>
      </c>
      <c r="AJ5045">
        <v>113.865008367296</v>
      </c>
      <c r="AK5045">
        <v>8.0177859506234199</v>
      </c>
      <c r="AL5045">
        <v>86.059755843459698</v>
      </c>
      <c r="AM5045">
        <v>100.564925190192</v>
      </c>
      <c r="AN5045">
        <v>0.999999995348265</v>
      </c>
    </row>
    <row r="5046" spans="1:40" x14ac:dyDescent="0.25">
      <c r="A5046" t="str">
        <f>"20190312151129419"</f>
        <v>20190312151129419</v>
      </c>
      <c r="B5046" t="str">
        <f>"1552374689416857"</f>
        <v>1552374689416857</v>
      </c>
      <c r="C5046" t="s">
        <v>40</v>
      </c>
      <c r="D5046">
        <v>4.7484209999999996</v>
      </c>
      <c r="E5046">
        <v>0.4136821</v>
      </c>
      <c r="F5046" t="s">
        <v>85</v>
      </c>
      <c r="G5046">
        <v>-414.83449999999999</v>
      </c>
      <c r="H5046" s="1">
        <v>-5.2742530000000002E-6</v>
      </c>
      <c r="I5046">
        <v>32.728870000000001</v>
      </c>
      <c r="J5046">
        <v>-420.36529999999999</v>
      </c>
      <c r="K5046">
        <v>1.115443</v>
      </c>
      <c r="L5046">
        <v>38.638550000000002</v>
      </c>
      <c r="M5046">
        <v>0.33141290000000001</v>
      </c>
      <c r="N5046">
        <v>0</v>
      </c>
      <c r="O5046">
        <v>-0.94339130000000004</v>
      </c>
      <c r="P5046">
        <v>0.49682130000000002</v>
      </c>
      <c r="Q5046">
        <v>5.808733E-2</v>
      </c>
      <c r="R5046">
        <v>-0.86590699999999998</v>
      </c>
      <c r="S5046">
        <v>2.107513</v>
      </c>
      <c r="T5046">
        <v>-0.42073120000000003</v>
      </c>
      <c r="U5046">
        <v>-2.286438</v>
      </c>
      <c r="V5046">
        <v>-0.18264900000000001</v>
      </c>
      <c r="W5046">
        <v>6.8838300000000005E-2</v>
      </c>
      <c r="X5046">
        <v>0.98076529999999995</v>
      </c>
      <c r="Y5046">
        <v>-0.38921840000000002</v>
      </c>
      <c r="Z5046">
        <v>0.13562569999999999</v>
      </c>
      <c r="AA5046">
        <v>0.91110630000000004</v>
      </c>
      <c r="AB5046">
        <v>29</v>
      </c>
      <c r="AC5046">
        <v>5.5307999999999904</v>
      </c>
      <c r="AD5046">
        <v>-1.1154482742530001</v>
      </c>
      <c r="AE5046">
        <v>-5.9096799999999998</v>
      </c>
      <c r="AF5046">
        <v>-3.1987061476704501</v>
      </c>
      <c r="AG5046">
        <v>-1.1154482742530001</v>
      </c>
      <c r="AH5046">
        <v>7.2706968098361502</v>
      </c>
      <c r="AI5046">
        <v>97.993643866445495</v>
      </c>
      <c r="AJ5046">
        <v>113.746850602473</v>
      </c>
      <c r="AK5046">
        <v>8.0211581440737305</v>
      </c>
      <c r="AL5046">
        <v>86.052734139170795</v>
      </c>
      <c r="AM5046">
        <v>100.549405658758</v>
      </c>
      <c r="AN5046">
        <v>0.99999997121598905</v>
      </c>
    </row>
    <row r="5047" spans="1:40" x14ac:dyDescent="0.25">
      <c r="A5047" t="str">
        <f>"20190312151129432"</f>
        <v>20190312151129432</v>
      </c>
      <c r="B5047" t="str">
        <f>"1552374689426607"</f>
        <v>1552374689426607</v>
      </c>
      <c r="C5047" t="s">
        <v>40</v>
      </c>
      <c r="D5047">
        <v>4.7220649999999997</v>
      </c>
      <c r="E5047">
        <v>0.41395110000000002</v>
      </c>
      <c r="F5047" t="s">
        <v>85</v>
      </c>
      <c r="G5047">
        <v>-414.84960000000001</v>
      </c>
      <c r="H5047" s="1">
        <v>-5.2936459999999996E-6</v>
      </c>
      <c r="I5047">
        <v>32.684249999999999</v>
      </c>
      <c r="J5047">
        <v>-420.30470000000003</v>
      </c>
      <c r="K5047">
        <v>1.1154379999999999</v>
      </c>
      <c r="L5047">
        <v>38.478909999999999</v>
      </c>
      <c r="M5047">
        <v>0.3352695</v>
      </c>
      <c r="N5047">
        <v>0</v>
      </c>
      <c r="O5047">
        <v>-0.94202759999999996</v>
      </c>
      <c r="P5047">
        <v>0.50003679999999995</v>
      </c>
      <c r="Q5047">
        <v>5.812324E-2</v>
      </c>
      <c r="R5047">
        <v>-0.86405149999999997</v>
      </c>
      <c r="S5047">
        <v>2.1129150000000001</v>
      </c>
      <c r="T5047">
        <v>-0.42730030000000002</v>
      </c>
      <c r="U5047">
        <v>-2.280945</v>
      </c>
      <c r="V5047">
        <v>-0.18228330000000001</v>
      </c>
      <c r="W5047">
        <v>6.8882070000000004E-2</v>
      </c>
      <c r="X5047">
        <v>0.98083030000000004</v>
      </c>
      <c r="Y5047">
        <v>-0.38751390000000002</v>
      </c>
      <c r="Z5047">
        <v>0.1376029</v>
      </c>
      <c r="AA5047">
        <v>0.91153629999999997</v>
      </c>
      <c r="AB5047">
        <v>29</v>
      </c>
      <c r="AC5047">
        <v>5.4551000000000096</v>
      </c>
      <c r="AD5047">
        <v>-1.1154432936459999</v>
      </c>
      <c r="AE5047">
        <v>-5.7946599999999897</v>
      </c>
      <c r="AF5047">
        <v>-3.1347854915570998</v>
      </c>
      <c r="AG5047">
        <v>-1.1154432936459999</v>
      </c>
      <c r="AH5047">
        <v>7.1478909219251303</v>
      </c>
      <c r="AI5047">
        <v>98.1332124075293</v>
      </c>
      <c r="AJ5047">
        <v>113.680377573287</v>
      </c>
      <c r="AK5047">
        <v>7.8843793954347801</v>
      </c>
      <c r="AL5047">
        <v>86.050220486179796</v>
      </c>
      <c r="AM5047">
        <v>100.52807424341999</v>
      </c>
      <c r="AN5047">
        <v>1.0000000092122301</v>
      </c>
    </row>
    <row r="5048" spans="1:40" x14ac:dyDescent="0.25">
      <c r="A5048" t="str">
        <f>"20190312151129445"</f>
        <v>20190312151129445</v>
      </c>
      <c r="B5048" t="str">
        <f>"1552374689436366"</f>
        <v>1552374689436366</v>
      </c>
      <c r="C5048" t="s">
        <v>40</v>
      </c>
      <c r="D5048">
        <v>4.7129459999999996</v>
      </c>
      <c r="E5048">
        <v>0.4141918</v>
      </c>
      <c r="F5048" t="s">
        <v>85</v>
      </c>
      <c r="G5048">
        <v>-414.78739999999999</v>
      </c>
      <c r="H5048" s="1">
        <v>-5.3712030000000002E-6</v>
      </c>
      <c r="I5048">
        <v>32.55912</v>
      </c>
      <c r="J5048">
        <v>-420.2491</v>
      </c>
      <c r="K5048">
        <v>1.1154329999999999</v>
      </c>
      <c r="L5048">
        <v>38.333680000000001</v>
      </c>
      <c r="M5048">
        <v>0.33877760000000001</v>
      </c>
      <c r="N5048">
        <v>0</v>
      </c>
      <c r="O5048">
        <v>-0.94077160000000004</v>
      </c>
      <c r="P5048">
        <v>0.50318739999999995</v>
      </c>
      <c r="Q5048">
        <v>5.8410650000000001E-2</v>
      </c>
      <c r="R5048">
        <v>-0.86220110000000005</v>
      </c>
      <c r="S5048">
        <v>2.1195979999999999</v>
      </c>
      <c r="T5048">
        <v>-0.42851850000000002</v>
      </c>
      <c r="U5048">
        <v>-2.2742</v>
      </c>
      <c r="V5048">
        <v>-0.18221780000000001</v>
      </c>
      <c r="W5048">
        <v>6.9172230000000001E-2</v>
      </c>
      <c r="X5048">
        <v>0.98082199999999997</v>
      </c>
      <c r="Y5048">
        <v>-0.38683200000000001</v>
      </c>
      <c r="Z5048">
        <v>0.13791489999999901</v>
      </c>
      <c r="AA5048">
        <v>0.91177870000000005</v>
      </c>
      <c r="AB5048">
        <v>29</v>
      </c>
      <c r="AC5048">
        <v>5.4617000000000004</v>
      </c>
      <c r="AD5048">
        <v>-1.1154383712029901</v>
      </c>
      <c r="AE5048">
        <v>-5.7745600000000001</v>
      </c>
      <c r="AF5048">
        <v>-3.1207438162504202</v>
      </c>
      <c r="AG5048">
        <v>-1.1154383712029901</v>
      </c>
      <c r="AH5048">
        <v>7.1428208623124201</v>
      </c>
      <c r="AI5048">
        <v>98.143754590389307</v>
      </c>
      <c r="AJ5048">
        <v>113.600822520555</v>
      </c>
      <c r="AK5048">
        <v>7.8742069186491896</v>
      </c>
      <c r="AL5048">
        <v>86.033555597902804</v>
      </c>
      <c r="AM5048">
        <v>100.524462789193</v>
      </c>
      <c r="AN5048">
        <v>0.99999995986200496</v>
      </c>
    </row>
    <row r="5049" spans="1:40" x14ac:dyDescent="0.25">
      <c r="A5049" t="str">
        <f>"20190312151129456"</f>
        <v>20190312151129456</v>
      </c>
      <c r="B5049" t="str">
        <f>"1552374689446127"</f>
        <v>1552374689446127</v>
      </c>
      <c r="C5049" t="s">
        <v>40</v>
      </c>
      <c r="D5049">
        <v>4.7441760000000004</v>
      </c>
      <c r="E5049">
        <v>0.41438140000000001</v>
      </c>
      <c r="F5049" t="s">
        <v>85</v>
      </c>
      <c r="G5049">
        <v>-414.71809999999999</v>
      </c>
      <c r="H5049" s="1">
        <v>-5.44945E-6</v>
      </c>
      <c r="I5049">
        <v>32.435699999999997</v>
      </c>
      <c r="J5049">
        <v>-420.19200000000001</v>
      </c>
      <c r="K5049">
        <v>1.1154280000000001</v>
      </c>
      <c r="L5049">
        <v>38.186039999999998</v>
      </c>
      <c r="M5049">
        <v>0.3423428</v>
      </c>
      <c r="N5049">
        <v>0</v>
      </c>
      <c r="O5049">
        <v>-0.93947999999999998</v>
      </c>
      <c r="P5049">
        <v>0.50619809999999998</v>
      </c>
      <c r="Q5049">
        <v>5.8287360000000003E-2</v>
      </c>
      <c r="R5049">
        <v>-0.86044540000000003</v>
      </c>
      <c r="S5049">
        <v>2.1264340000000002</v>
      </c>
      <c r="T5049">
        <v>-0.42883779999999999</v>
      </c>
      <c r="U5049">
        <v>-2.2675169999999998</v>
      </c>
      <c r="V5049">
        <v>-0.1819219</v>
      </c>
      <c r="W5049">
        <v>6.905522E-2</v>
      </c>
      <c r="X5049">
        <v>0.98088520000000001</v>
      </c>
      <c r="Y5049">
        <v>-0.38613930000000002</v>
      </c>
      <c r="Z5049">
        <v>0.13793050000000001</v>
      </c>
      <c r="AA5049">
        <v>0.91207000000000005</v>
      </c>
      <c r="AB5049">
        <v>29</v>
      </c>
      <c r="AC5049">
        <v>5.4738999999999596</v>
      </c>
      <c r="AD5049">
        <v>-1.11543344945</v>
      </c>
      <c r="AE5049">
        <v>-5.7503399999999996</v>
      </c>
      <c r="AF5049">
        <v>-3.1128687428239501</v>
      </c>
      <c r="AG5049">
        <v>-1.11543344945</v>
      </c>
      <c r="AH5049">
        <v>7.1360663753350497</v>
      </c>
      <c r="AI5049">
        <v>98.153358779374898</v>
      </c>
      <c r="AJ5049">
        <v>113.567616207241</v>
      </c>
      <c r="AK5049">
        <v>7.8649594343130502</v>
      </c>
      <c r="AL5049">
        <v>86.040275959841395</v>
      </c>
      <c r="AM5049">
        <v>100.507091301036</v>
      </c>
      <c r="AN5049">
        <v>0.99999998834394899</v>
      </c>
    </row>
    <row r="5050" spans="1:40" x14ac:dyDescent="0.25">
      <c r="A5050" t="str">
        <f>"20190312151129469"</f>
        <v>20190312151129469</v>
      </c>
      <c r="B5050" t="str">
        <f>"1552374689466623"</f>
        <v>1552374689466623</v>
      </c>
      <c r="C5050" t="s">
        <v>40</v>
      </c>
      <c r="D5050">
        <v>4.8023480000000003</v>
      </c>
      <c r="E5050">
        <v>0.41460249999999998</v>
      </c>
      <c r="F5050" t="s">
        <v>85</v>
      </c>
      <c r="G5050">
        <v>-414.67649999999998</v>
      </c>
      <c r="H5050" s="1">
        <v>-5.5075229999999998E-6</v>
      </c>
      <c r="I5050">
        <v>32.33981</v>
      </c>
      <c r="J5050">
        <v>-420.13600000000002</v>
      </c>
      <c r="K5050">
        <v>1.115429</v>
      </c>
      <c r="L5050">
        <v>38.043550000000003</v>
      </c>
      <c r="M5050">
        <v>0.34578759999999997</v>
      </c>
      <c r="N5050">
        <v>0</v>
      </c>
      <c r="O5050">
        <v>-0.93821790000000005</v>
      </c>
      <c r="P5050">
        <v>0.50916479999999997</v>
      </c>
      <c r="Q5050">
        <v>5.8412209999999999E-2</v>
      </c>
      <c r="R5050">
        <v>-0.85868480000000003</v>
      </c>
      <c r="S5050">
        <v>2.1330260000000001</v>
      </c>
      <c r="T5050">
        <v>-0.43137399999999998</v>
      </c>
      <c r="U5050">
        <v>-2.2609249999999999</v>
      </c>
      <c r="V5050">
        <v>-0.18171209999999999</v>
      </c>
      <c r="W5050">
        <v>6.9184609999999994E-2</v>
      </c>
      <c r="X5050">
        <v>0.98091499999999998</v>
      </c>
      <c r="Y5050">
        <v>-0.38541920000000002</v>
      </c>
      <c r="Z5050">
        <v>0.1386491</v>
      </c>
      <c r="AA5050">
        <v>0.91226549999999995</v>
      </c>
      <c r="AB5050">
        <v>29</v>
      </c>
      <c r="AC5050">
        <v>5.4594999999999896</v>
      </c>
      <c r="AD5050">
        <v>-1.1154345075229899</v>
      </c>
      <c r="AE5050">
        <v>-5.7037399999999998</v>
      </c>
      <c r="AF5050">
        <v>-3.08855540894618</v>
      </c>
      <c r="AG5050">
        <v>-1.1154345075229899</v>
      </c>
      <c r="AH5050">
        <v>7.0981540092028297</v>
      </c>
      <c r="AI5050">
        <v>98.199568186143495</v>
      </c>
      <c r="AJ5050">
        <v>113.514866502693</v>
      </c>
      <c r="AK5050">
        <v>7.8209436127021199</v>
      </c>
      <c r="AL5050">
        <v>86.032844801295795</v>
      </c>
      <c r="AM5050">
        <v>100.494931709578</v>
      </c>
      <c r="AN5050">
        <v>1.0000000173861301</v>
      </c>
    </row>
    <row r="5051" spans="1:40" x14ac:dyDescent="0.25">
      <c r="A5051" t="str">
        <f>"20190312151129485"</f>
        <v>20190312151129485</v>
      </c>
      <c r="B5051" t="str">
        <f>"1552374689476382"</f>
        <v>1552374689476382</v>
      </c>
      <c r="C5051" t="s">
        <v>40</v>
      </c>
      <c r="D5051">
        <v>4.7197380000000004</v>
      </c>
      <c r="E5051">
        <v>0.41484959999999999</v>
      </c>
      <c r="F5051" t="s">
        <v>85</v>
      </c>
      <c r="G5051">
        <v>-414.61669999999998</v>
      </c>
      <c r="H5051" s="1">
        <v>-5.5701479999999999E-6</v>
      </c>
      <c r="I5051">
        <v>32.227730000000001</v>
      </c>
      <c r="J5051">
        <v>-420.06400000000002</v>
      </c>
      <c r="K5051">
        <v>1.1154250000000001</v>
      </c>
      <c r="L5051">
        <v>37.861690000000003</v>
      </c>
      <c r="M5051">
        <v>0.35018189999999999</v>
      </c>
      <c r="N5051">
        <v>0</v>
      </c>
      <c r="O5051">
        <v>-0.93658660000000005</v>
      </c>
      <c r="P5051">
        <v>0.51282240000000001</v>
      </c>
      <c r="Q5051">
        <v>5.8015730000000001E-2</v>
      </c>
      <c r="R5051">
        <v>-0.85653239999999997</v>
      </c>
      <c r="S5051">
        <v>2.1395569999999999</v>
      </c>
      <c r="T5051">
        <v>-0.43239499999999997</v>
      </c>
      <c r="U5051">
        <v>-2.254486</v>
      </c>
      <c r="V5051">
        <v>-0.1812819</v>
      </c>
      <c r="W5051">
        <v>6.879739E-2</v>
      </c>
      <c r="X5051">
        <v>0.98102180000000005</v>
      </c>
      <c r="Y5051">
        <v>-0.3837682</v>
      </c>
      <c r="Z5051">
        <v>0.13883400000000001</v>
      </c>
      <c r="AA5051">
        <v>0.9129332</v>
      </c>
      <c r="AB5051">
        <v>29</v>
      </c>
      <c r="AC5051">
        <v>5.4473000000000402</v>
      </c>
      <c r="AD5051">
        <v>-1.1154305701480001</v>
      </c>
      <c r="AE5051">
        <v>-5.6339600000000001</v>
      </c>
      <c r="AF5051">
        <v>-3.06710040687314</v>
      </c>
      <c r="AG5051">
        <v>-1.1154305701480001</v>
      </c>
      <c r="AH5051">
        <v>7.0422107312698001</v>
      </c>
      <c r="AI5051">
        <v>98.2625579490348</v>
      </c>
      <c r="AJ5051">
        <v>113.534613734671</v>
      </c>
      <c r="AK5051">
        <v>7.7617022776111204</v>
      </c>
      <c r="AL5051">
        <v>86.055083754411896</v>
      </c>
      <c r="AM5051">
        <v>100.469520601553</v>
      </c>
      <c r="AN5051">
        <v>0.99999999010683105</v>
      </c>
    </row>
    <row r="5052" spans="1:40" x14ac:dyDescent="0.25">
      <c r="A5052" t="str">
        <f>"20190312151129507"</f>
        <v>20190312151129507</v>
      </c>
      <c r="B5052" t="str">
        <f>"1552374689496879"</f>
        <v>1552374689496879</v>
      </c>
      <c r="C5052" t="s">
        <v>40</v>
      </c>
      <c r="D5052">
        <v>4.7429730000000001</v>
      </c>
      <c r="E5052">
        <v>0.41528090000000001</v>
      </c>
      <c r="F5052" t="s">
        <v>85</v>
      </c>
      <c r="G5052">
        <v>-414.57490000000001</v>
      </c>
      <c r="H5052" s="1">
        <v>-5.6169210000000003E-6</v>
      </c>
      <c r="I5052">
        <v>32.121400000000001</v>
      </c>
      <c r="J5052">
        <v>-419.95589999999999</v>
      </c>
      <c r="K5052">
        <v>1.1154250000000001</v>
      </c>
      <c r="L5052">
        <v>37.593719999999998</v>
      </c>
      <c r="M5052">
        <v>0.35665940000000002</v>
      </c>
      <c r="N5052">
        <v>0</v>
      </c>
      <c r="O5052">
        <v>-0.93413900000000005</v>
      </c>
      <c r="P5052">
        <v>0.51847080000000001</v>
      </c>
      <c r="Q5052">
        <v>5.8067029999999999E-2</v>
      </c>
      <c r="R5052">
        <v>-0.85312169999999898</v>
      </c>
      <c r="S5052">
        <v>2.1478269999999999</v>
      </c>
      <c r="T5052">
        <v>-0.43645790000000001</v>
      </c>
      <c r="U5052">
        <v>-2.246124</v>
      </c>
      <c r="V5052">
        <v>-0.18097060000000001</v>
      </c>
      <c r="W5052">
        <v>6.8856379999999995E-2</v>
      </c>
      <c r="X5052">
        <v>0.98107520000000004</v>
      </c>
      <c r="Y5052">
        <v>-0.38071959999999999</v>
      </c>
      <c r="Z5052">
        <v>0.13988919999999999</v>
      </c>
      <c r="AA5052">
        <v>0.91404790000000002</v>
      </c>
      <c r="AB5052">
        <v>29</v>
      </c>
      <c r="AC5052">
        <v>5.38099999999997</v>
      </c>
      <c r="AD5052">
        <v>-1.115430616921</v>
      </c>
      <c r="AE5052">
        <v>-5.4723199999999999</v>
      </c>
      <c r="AF5052">
        <v>-3.0115092744305998</v>
      </c>
      <c r="AG5052">
        <v>-1.115430616921</v>
      </c>
      <c r="AH5052">
        <v>6.8862593765465103</v>
      </c>
      <c r="AI5052">
        <v>98.441544760602198</v>
      </c>
      <c r="AJ5052">
        <v>113.62079290677001</v>
      </c>
      <c r="AK5052">
        <v>7.5982854495090599</v>
      </c>
      <c r="AL5052">
        <v>86.051696093371703</v>
      </c>
      <c r="AM5052">
        <v>100.45138235182699</v>
      </c>
      <c r="AN5052">
        <v>1.00000005359305</v>
      </c>
    </row>
    <row r="5053" spans="1:40" x14ac:dyDescent="0.25">
      <c r="A5053" t="str">
        <f>"20190312151129529"</f>
        <v>20190312151129529</v>
      </c>
      <c r="B5053" t="str">
        <f>"1552374689526478"</f>
        <v>1552374689526478</v>
      </c>
      <c r="C5053" t="s">
        <v>40</v>
      </c>
      <c r="D5053">
        <v>4.7079000000000004</v>
      </c>
      <c r="E5053">
        <v>0.41587950000000001</v>
      </c>
      <c r="F5053" t="s">
        <v>85</v>
      </c>
      <c r="G5053">
        <v>-414.42360000000002</v>
      </c>
      <c r="H5053" s="1">
        <v>-5.7339380000000001E-6</v>
      </c>
      <c r="I5053">
        <v>31.87462</v>
      </c>
      <c r="J5053">
        <v>-419.85219999999998</v>
      </c>
      <c r="K5053">
        <v>1.1154170000000001</v>
      </c>
      <c r="L5053">
        <v>37.341610000000003</v>
      </c>
      <c r="M5053">
        <v>0.36275410000000002</v>
      </c>
      <c r="N5053">
        <v>0</v>
      </c>
      <c r="O5053">
        <v>-0.93178919999999998</v>
      </c>
      <c r="P5053">
        <v>0.52388780000000001</v>
      </c>
      <c r="Q5053">
        <v>5.8001940000000002E-2</v>
      </c>
      <c r="R5053">
        <v>-0.84981049999999903</v>
      </c>
      <c r="S5053">
        <v>2.1602779999999999</v>
      </c>
      <c r="T5053">
        <v>-0.4355638</v>
      </c>
      <c r="U5053">
        <v>-2.2332459999999998</v>
      </c>
      <c r="V5053">
        <v>-0.1807996</v>
      </c>
      <c r="W5053">
        <v>6.8796449999999995E-2</v>
      </c>
      <c r="X5053">
        <v>0.98111090000000001</v>
      </c>
      <c r="Y5053">
        <v>-0.37999270000000002</v>
      </c>
      <c r="Z5053">
        <v>0.13946059999999999</v>
      </c>
      <c r="AA5053">
        <v>0.9144158</v>
      </c>
      <c r="AB5053">
        <v>29</v>
      </c>
      <c r="AC5053">
        <v>5.4285999999999497</v>
      </c>
      <c r="AD5053">
        <v>-1.1154227339380001</v>
      </c>
      <c r="AE5053">
        <v>-5.4669899999999902</v>
      </c>
      <c r="AF5053">
        <v>-3.0122732573507101</v>
      </c>
      <c r="AG5053">
        <v>-1.1154227339380001</v>
      </c>
      <c r="AH5053">
        <v>6.9189346236997098</v>
      </c>
      <c r="AI5053">
        <v>98.408127539522795</v>
      </c>
      <c r="AJ5053">
        <v>113.526701804238</v>
      </c>
      <c r="AK5053">
        <v>7.6282117419069202</v>
      </c>
      <c r="AL5053">
        <v>86.055137868327094</v>
      </c>
      <c r="AM5053">
        <v>100.44135251133</v>
      </c>
      <c r="AN5053">
        <v>1.0000000224957799</v>
      </c>
    </row>
    <row r="5054" spans="1:40" x14ac:dyDescent="0.25">
      <c r="A5054" t="str">
        <f>"20190312151129541"</f>
        <v>20190312151129541</v>
      </c>
      <c r="B5054" t="str">
        <f>"1552374689536236"</f>
        <v>1552374689536236</v>
      </c>
      <c r="C5054" t="s">
        <v>40</v>
      </c>
      <c r="D5054">
        <v>4.7426450000000004</v>
      </c>
      <c r="E5054">
        <v>0.41604989999999997</v>
      </c>
      <c r="F5054" t="s">
        <v>85</v>
      </c>
      <c r="G5054">
        <v>-414.30439999999999</v>
      </c>
      <c r="H5054" s="1">
        <v>-5.8332640000000004E-6</v>
      </c>
      <c r="I5054">
        <v>31.661370000000002</v>
      </c>
      <c r="J5054">
        <v>-419.79239999999999</v>
      </c>
      <c r="K5054">
        <v>1.115413</v>
      </c>
      <c r="L5054">
        <v>37.197809999999997</v>
      </c>
      <c r="M5054">
        <v>0.36623090000000003</v>
      </c>
      <c r="N5054">
        <v>0</v>
      </c>
      <c r="O5054">
        <v>-0.93042800000000003</v>
      </c>
      <c r="P5054">
        <v>0.5269066</v>
      </c>
      <c r="Q5054">
        <v>5.8229009999999998E-2</v>
      </c>
      <c r="R5054">
        <v>-0.84792619999999896</v>
      </c>
      <c r="S5054">
        <v>2.170258</v>
      </c>
      <c r="T5054">
        <v>-0.43634610000000001</v>
      </c>
      <c r="U5054">
        <v>-2.2220759999999999</v>
      </c>
      <c r="V5054">
        <v>-0.18063299999999999</v>
      </c>
      <c r="W5054">
        <v>6.9027630000000006E-2</v>
      </c>
      <c r="X5054">
        <v>0.98112540000000004</v>
      </c>
      <c r="Y5054">
        <v>-0.38091570000000002</v>
      </c>
      <c r="Z5054">
        <v>0.13968849999999999</v>
      </c>
      <c r="AA5054">
        <v>0.9139969</v>
      </c>
      <c r="AB5054">
        <v>29</v>
      </c>
      <c r="AC5054">
        <v>5.4880000000000004</v>
      </c>
      <c r="AD5054">
        <v>-1.115418833264</v>
      </c>
      <c r="AE5054">
        <v>-5.53643999999999</v>
      </c>
      <c r="AF5054">
        <v>-3.0170794201907798</v>
      </c>
      <c r="AG5054">
        <v>-1.115418833264</v>
      </c>
      <c r="AH5054">
        <v>7.0180914061223403</v>
      </c>
      <c r="AI5054">
        <v>98.307267767928707</v>
      </c>
      <c r="AJ5054">
        <v>113.262882401862</v>
      </c>
      <c r="AK5054">
        <v>7.7201382361993396</v>
      </c>
      <c r="AL5054">
        <v>86.041860865000402</v>
      </c>
      <c r="AM5054">
        <v>100.431791731488</v>
      </c>
      <c r="AN5054">
        <v>1.0000000724587801</v>
      </c>
    </row>
    <row r="5055" spans="1:40" x14ac:dyDescent="0.25">
      <c r="A5055" t="str">
        <f>"20190312151129552"</f>
        <v>20190312151129552</v>
      </c>
      <c r="B5055" t="str">
        <f>"1552374689545997"</f>
        <v>1552374689545997</v>
      </c>
      <c r="C5055" t="s">
        <v>40</v>
      </c>
      <c r="D5055">
        <v>4.7310449999999999</v>
      </c>
      <c r="E5055">
        <v>0.41604989999999997</v>
      </c>
      <c r="F5055" t="s">
        <v>85</v>
      </c>
      <c r="G5055">
        <v>-414.23020000000002</v>
      </c>
      <c r="H5055" s="1">
        <v>-5.8915459999999901E-6</v>
      </c>
      <c r="I5055">
        <v>31.538019999999999</v>
      </c>
      <c r="J5055">
        <v>-419.73070000000001</v>
      </c>
      <c r="K5055">
        <v>1.115408</v>
      </c>
      <c r="L5055">
        <v>37.051540000000003</v>
      </c>
      <c r="M5055">
        <v>0.36976949999999997</v>
      </c>
      <c r="N5055">
        <v>0</v>
      </c>
      <c r="O5055">
        <v>-0.92902750000000001</v>
      </c>
      <c r="P5055">
        <v>0.53016929999999995</v>
      </c>
      <c r="Q5055">
        <v>5.8327919999999998E-2</v>
      </c>
      <c r="R5055">
        <v>-0.8458833</v>
      </c>
      <c r="S5055">
        <v>2.1770019999999999</v>
      </c>
      <c r="T5055">
        <v>-0.43656780000000001</v>
      </c>
      <c r="U5055">
        <v>-2.2152099999999999</v>
      </c>
      <c r="V5055">
        <v>-0.1806818</v>
      </c>
      <c r="W5055">
        <v>6.9127049999999995E-2</v>
      </c>
      <c r="X5055">
        <v>0.98110929999999996</v>
      </c>
      <c r="Y5055">
        <v>-0.38023380000000001</v>
      </c>
      <c r="Z5055">
        <v>0.13965129999999901</v>
      </c>
      <c r="AA5055">
        <v>0.9142865</v>
      </c>
      <c r="AB5055">
        <v>29</v>
      </c>
      <c r="AC5055">
        <v>5.5004999999999802</v>
      </c>
      <c r="AD5055">
        <v>-1.1154138915459999</v>
      </c>
      <c r="AE5055">
        <v>-5.5135199999999998</v>
      </c>
      <c r="AF5055">
        <v>-3.0099185672056699</v>
      </c>
      <c r="AG5055">
        <v>-1.1154138915459999</v>
      </c>
      <c r="AH5055">
        <v>7.0129177728038297</v>
      </c>
      <c r="AI5055">
        <v>98.315367125132596</v>
      </c>
      <c r="AJ5055">
        <v>113.22883203258699</v>
      </c>
      <c r="AK5055">
        <v>7.7126372674183896</v>
      </c>
      <c r="AL5055">
        <v>86.036150434005094</v>
      </c>
      <c r="AM5055">
        <v>100.434715570124</v>
      </c>
      <c r="AN5055">
        <v>0.99999996021971505</v>
      </c>
    </row>
    <row r="5056" spans="1:40" x14ac:dyDescent="0.25">
      <c r="A5056" t="str">
        <f>"20190312151129564"</f>
        <v>20190312151129564</v>
      </c>
      <c r="B5056" t="str">
        <f>"1552374689556732"</f>
        <v>1552374689556732</v>
      </c>
      <c r="C5056" t="s">
        <v>40</v>
      </c>
      <c r="D5056">
        <v>4.7708069999999996</v>
      </c>
      <c r="E5056">
        <v>0.42354789999999998</v>
      </c>
      <c r="F5056" t="s">
        <v>85</v>
      </c>
      <c r="G5056">
        <v>-414.14139999999998</v>
      </c>
      <c r="H5056" s="1">
        <v>-5.9546349999999996E-6</v>
      </c>
      <c r="I5056">
        <v>31.40794</v>
      </c>
      <c r="J5056">
        <v>-419.67570000000001</v>
      </c>
      <c r="K5056">
        <v>1.1154059999999999</v>
      </c>
      <c r="L5056">
        <v>36.922580000000004</v>
      </c>
      <c r="M5056">
        <v>0.37288969999999999</v>
      </c>
      <c r="N5056">
        <v>0</v>
      </c>
      <c r="O5056">
        <v>-0.92777949999999998</v>
      </c>
      <c r="P5056">
        <v>0.53281239999999996</v>
      </c>
      <c r="Q5056">
        <v>5.8345649999999999E-2</v>
      </c>
      <c r="R5056">
        <v>-0.84421979999999996</v>
      </c>
      <c r="S5056">
        <v>2.1855769999999999</v>
      </c>
      <c r="T5056">
        <v>-0.436166</v>
      </c>
      <c r="U5056">
        <v>-2.2068479999999999</v>
      </c>
      <c r="V5056">
        <v>-0.18045320000000001</v>
      </c>
      <c r="W5056">
        <v>6.9149420000000003E-2</v>
      </c>
      <c r="X5056">
        <v>0.98114990000000002</v>
      </c>
      <c r="Y5056">
        <v>-0.38067450000000003</v>
      </c>
      <c r="Z5056">
        <v>0.13944909999999999</v>
      </c>
      <c r="AA5056">
        <v>0.914134</v>
      </c>
      <c r="AB5056">
        <v>29</v>
      </c>
      <c r="AC5056">
        <v>5.5343000000000302</v>
      </c>
      <c r="AD5056">
        <v>-1.1154119546350001</v>
      </c>
      <c r="AE5056">
        <v>-5.5146399999999902</v>
      </c>
      <c r="AF5056">
        <v>-3.0170375162328198</v>
      </c>
      <c r="AG5056">
        <v>-1.1154119546350001</v>
      </c>
      <c r="AH5056">
        <v>7.0372571417019403</v>
      </c>
      <c r="AI5056">
        <v>98.288393126757398</v>
      </c>
      <c r="AJ5056">
        <v>113.205951162011</v>
      </c>
      <c r="AK5056">
        <v>7.73754788555999</v>
      </c>
      <c r="AL5056">
        <v>86.034866061083207</v>
      </c>
      <c r="AM5056">
        <v>100.42138113858999</v>
      </c>
      <c r="AN5056">
        <v>1.0000000629732899</v>
      </c>
    </row>
    <row r="5057" spans="1:40" x14ac:dyDescent="0.25">
      <c r="A5057" t="str">
        <f>"20190312151129576"</f>
        <v>20190312151129576</v>
      </c>
      <c r="B5057" t="str">
        <f>"1552374689566492"</f>
        <v>1552374689566492</v>
      </c>
      <c r="C5057" t="s">
        <v>40</v>
      </c>
      <c r="D5057">
        <v>4.7979129999999897</v>
      </c>
      <c r="E5057">
        <v>0.42358079999999998</v>
      </c>
      <c r="F5057" t="s">
        <v>85</v>
      </c>
      <c r="G5057">
        <v>-414.67410000000001</v>
      </c>
      <c r="H5057" s="1">
        <v>-5.7561039999999999E-6</v>
      </c>
      <c r="I5057">
        <v>31.712689999999998</v>
      </c>
      <c r="J5057">
        <v>-419.61320000000001</v>
      </c>
      <c r="K5057">
        <v>1.115402</v>
      </c>
      <c r="L5057">
        <v>36.776789999999998</v>
      </c>
      <c r="M5057">
        <v>0.37641530000000001</v>
      </c>
      <c r="N5057">
        <v>0</v>
      </c>
      <c r="O5057">
        <v>-0.92635480000000003</v>
      </c>
      <c r="P5057">
        <v>0.53622720000000001</v>
      </c>
      <c r="Q5057">
        <v>5.8153089999999998E-2</v>
      </c>
      <c r="R5057">
        <v>-0.84206829999999999</v>
      </c>
      <c r="S5057">
        <v>2.144104</v>
      </c>
      <c r="T5057">
        <v>-0.47815970000000002</v>
      </c>
      <c r="U5057">
        <v>-2.2333980000000002</v>
      </c>
      <c r="V5057">
        <v>-0.18068770000000001</v>
      </c>
      <c r="W5057">
        <v>6.8954370000000001E-2</v>
      </c>
      <c r="X5057">
        <v>0.9811204</v>
      </c>
      <c r="Y5057">
        <v>-0.36145929999999998</v>
      </c>
      <c r="Z5057">
        <v>0.15236089999999999</v>
      </c>
      <c r="AA5057">
        <v>0.91985510000000004</v>
      </c>
      <c r="AB5057">
        <v>29</v>
      </c>
      <c r="AC5057">
        <v>4.9390999999999901</v>
      </c>
      <c r="AD5057">
        <v>-1.1154077561039999</v>
      </c>
      <c r="AE5057">
        <v>-5.0640999999999998</v>
      </c>
      <c r="AF5057">
        <v>-2.6046335509858198</v>
      </c>
      <c r="AG5057">
        <v>-1.1154077561039999</v>
      </c>
      <c r="AH5057">
        <v>6.3919674292279502</v>
      </c>
      <c r="AI5057">
        <v>99.179643941595799</v>
      </c>
      <c r="AJ5057">
        <v>112.17017936371801</v>
      </c>
      <c r="AK5057">
        <v>6.9918165031420099</v>
      </c>
      <c r="AL5057">
        <v>86.046068070818393</v>
      </c>
      <c r="AM5057">
        <v>100.434933356852</v>
      </c>
      <c r="AN5057">
        <v>0.99999999468477296</v>
      </c>
    </row>
    <row r="5058" spans="1:40" x14ac:dyDescent="0.25">
      <c r="A5058" t="str">
        <f>"20190312151129589"</f>
        <v>20190312151129589</v>
      </c>
      <c r="B5058" t="str">
        <f>"1552374689586012"</f>
        <v>1552374689586012</v>
      </c>
      <c r="C5058" t="s">
        <v>40</v>
      </c>
      <c r="D5058">
        <v>4.8430770000000001</v>
      </c>
      <c r="E5058">
        <v>0.42339779999999999</v>
      </c>
      <c r="F5058" t="s">
        <v>85</v>
      </c>
      <c r="G5058">
        <v>-414.55349999999999</v>
      </c>
      <c r="H5058" s="1">
        <v>-5.8370110000000003E-6</v>
      </c>
      <c r="I5058">
        <v>31.548690000000001</v>
      </c>
      <c r="J5058">
        <v>-419.55380000000002</v>
      </c>
      <c r="K5058">
        <v>1.115397</v>
      </c>
      <c r="L5058">
        <v>36.640560000000001</v>
      </c>
      <c r="M5058">
        <v>0.379714</v>
      </c>
      <c r="N5058">
        <v>0</v>
      </c>
      <c r="O5058">
        <v>-0.92500760000000004</v>
      </c>
      <c r="P5058">
        <v>0.53920440000000003</v>
      </c>
      <c r="Q5058">
        <v>5.8360290000000002E-2</v>
      </c>
      <c r="R5058">
        <v>-0.84015079999999998</v>
      </c>
      <c r="S5058">
        <v>2.152863</v>
      </c>
      <c r="T5058">
        <v>-0.47459790000000002</v>
      </c>
      <c r="U5058">
        <v>-2.2245180000000002</v>
      </c>
      <c r="V5058">
        <v>-0.18067159999999999</v>
      </c>
      <c r="W5058">
        <v>6.9162260000000003E-2</v>
      </c>
      <c r="X5058">
        <v>0.98110869999999994</v>
      </c>
      <c r="Y5058">
        <v>-0.36197800000000002</v>
      </c>
      <c r="Z5058">
        <v>0.151173</v>
      </c>
      <c r="AA5058">
        <v>0.91984710000000003</v>
      </c>
      <c r="AB5058">
        <v>29</v>
      </c>
      <c r="AC5058">
        <v>5.0003000000000304</v>
      </c>
      <c r="AD5058">
        <v>-1.1154028370110001</v>
      </c>
      <c r="AE5058">
        <v>-5.0918700000000001</v>
      </c>
      <c r="AF5058">
        <v>-2.6279064746076002</v>
      </c>
      <c r="AG5058">
        <v>-1.1154028370110001</v>
      </c>
      <c r="AH5058">
        <v>6.4516892158780603</v>
      </c>
      <c r="AI5058">
        <v>99.096572554985997</v>
      </c>
      <c r="AJ5058">
        <v>112.16208422115299</v>
      </c>
      <c r="AK5058">
        <v>7.0550910459308804</v>
      </c>
      <c r="AL5058">
        <v>86.034128221603794</v>
      </c>
      <c r="AM5058">
        <v>100.434145679922</v>
      </c>
      <c r="AN5058">
        <v>0.99999996323527796</v>
      </c>
    </row>
    <row r="5059" spans="1:40" x14ac:dyDescent="0.25">
      <c r="A5059" t="str">
        <f>"20190312151129602"</f>
        <v>20190312151129602</v>
      </c>
      <c r="B5059" t="str">
        <f>"1552374689596748"</f>
        <v>1552374689596748</v>
      </c>
      <c r="C5059" t="s">
        <v>40</v>
      </c>
      <c r="D5059">
        <v>4.7627420000000003</v>
      </c>
      <c r="E5059">
        <v>0.42355330000000002</v>
      </c>
      <c r="F5059" t="s">
        <v>85</v>
      </c>
      <c r="G5059">
        <v>-414.43979999999999</v>
      </c>
      <c r="H5059" s="1">
        <v>-5.9117480000000001E-6</v>
      </c>
      <c r="I5059">
        <v>31.398129999999998</v>
      </c>
      <c r="J5059">
        <v>-419.48309999999998</v>
      </c>
      <c r="K5059">
        <v>1.1153919999999999</v>
      </c>
      <c r="L5059">
        <v>36.479309999999998</v>
      </c>
      <c r="M5059">
        <v>0.38361590000000001</v>
      </c>
      <c r="N5059">
        <v>0</v>
      </c>
      <c r="O5059">
        <v>-0.92339590000000005</v>
      </c>
      <c r="P5059">
        <v>0.54279169999999999</v>
      </c>
      <c r="Q5059">
        <v>5.8498359999999999E-2</v>
      </c>
      <c r="R5059">
        <v>-0.83782730000000005</v>
      </c>
      <c r="S5059">
        <v>2.1618040000000001</v>
      </c>
      <c r="T5059">
        <v>-0.47150589999999998</v>
      </c>
      <c r="U5059">
        <v>-2.2160950000000001</v>
      </c>
      <c r="V5059">
        <v>-0.18072920000000001</v>
      </c>
      <c r="W5059">
        <v>6.9300680000000003E-2</v>
      </c>
      <c r="X5059">
        <v>0.98108830000000002</v>
      </c>
      <c r="Y5059">
        <v>-0.36181839999999998</v>
      </c>
      <c r="Z5059">
        <v>0.15006429999999901</v>
      </c>
      <c r="AA5059">
        <v>0.9200914</v>
      </c>
      <c r="AB5059">
        <v>29</v>
      </c>
      <c r="AC5059">
        <v>5.0432999999999799</v>
      </c>
      <c r="AD5059">
        <v>-1.115397911748</v>
      </c>
      <c r="AE5059">
        <v>-5.0811799999999998</v>
      </c>
      <c r="AF5059">
        <v>-2.6438079630909002</v>
      </c>
      <c r="AG5059">
        <v>-1.115397911748</v>
      </c>
      <c r="AH5059">
        <v>6.4701678382183498</v>
      </c>
      <c r="AI5059">
        <v>99.066948761048494</v>
      </c>
      <c r="AJ5059">
        <v>112.225663856059</v>
      </c>
      <c r="AK5059">
        <v>7.0779167063444497</v>
      </c>
      <c r="AL5059">
        <v>86.026178172833298</v>
      </c>
      <c r="AM5059">
        <v>100.437611357481</v>
      </c>
      <c r="AN5059">
        <v>0.99999994018899396</v>
      </c>
    </row>
    <row r="5060" spans="1:40" x14ac:dyDescent="0.25">
      <c r="A5060" t="str">
        <f>"20190312151129618"</f>
        <v>20190312151129618</v>
      </c>
      <c r="B5060" t="str">
        <f>"1552374689606508"</f>
        <v>1552374689606508</v>
      </c>
      <c r="C5060" t="s">
        <v>40</v>
      </c>
      <c r="D5060">
        <v>4.8003330000000002</v>
      </c>
      <c r="E5060">
        <v>0.42373159999999999</v>
      </c>
      <c r="F5060" t="s">
        <v>85</v>
      </c>
      <c r="G5060">
        <v>-414.32440000000003</v>
      </c>
      <c r="H5060" s="1">
        <v>-5.9919880000000001E-6</v>
      </c>
      <c r="I5060">
        <v>31.233740000000001</v>
      </c>
      <c r="J5060">
        <v>-419.4033</v>
      </c>
      <c r="K5060">
        <v>1.115389</v>
      </c>
      <c r="L5060">
        <v>36.299529999999997</v>
      </c>
      <c r="M5060">
        <v>0.38796609999999998</v>
      </c>
      <c r="N5060">
        <v>0</v>
      </c>
      <c r="O5060">
        <v>-0.92157670000000003</v>
      </c>
      <c r="P5060">
        <v>0.54675869999999904</v>
      </c>
      <c r="Q5060">
        <v>5.8376629999999999E-2</v>
      </c>
      <c r="R5060">
        <v>-0.83525280000000002</v>
      </c>
      <c r="S5060">
        <v>2.1706240000000001</v>
      </c>
      <c r="T5060">
        <v>-0.4693272</v>
      </c>
      <c r="U5060">
        <v>-2.2071839999999998</v>
      </c>
      <c r="V5060">
        <v>-0.18074989999999999</v>
      </c>
      <c r="W5060">
        <v>6.9179850000000001E-2</v>
      </c>
      <c r="X5060">
        <v>0.98109299999999999</v>
      </c>
      <c r="Y5060">
        <v>-0.36124329999999999</v>
      </c>
      <c r="Z5060">
        <v>0.1492281</v>
      </c>
      <c r="AA5060">
        <v>0.92045330000000003</v>
      </c>
      <c r="AB5060">
        <v>29</v>
      </c>
      <c r="AC5060">
        <v>5.0788999999999698</v>
      </c>
      <c r="AD5060">
        <v>-1.115394991988</v>
      </c>
      <c r="AE5060">
        <v>-5.06578999999999</v>
      </c>
      <c r="AF5060">
        <v>-2.6513803312036099</v>
      </c>
      <c r="AG5060">
        <v>-1.115394991988</v>
      </c>
      <c r="AH5060">
        <v>6.4828109662239504</v>
      </c>
      <c r="AI5060">
        <v>99.048378552833498</v>
      </c>
      <c r="AJ5060">
        <v>112.243884992905</v>
      </c>
      <c r="AK5060">
        <v>7.0923029879326798</v>
      </c>
      <c r="AL5060">
        <v>86.033117822399305</v>
      </c>
      <c r="AM5060">
        <v>100.43873165290699</v>
      </c>
      <c r="AN5060">
        <v>0.999999926322513</v>
      </c>
    </row>
    <row r="5061" spans="1:40" x14ac:dyDescent="0.25">
      <c r="A5061" t="str">
        <f>"20190312151129630"</f>
        <v>20190312151129630</v>
      </c>
      <c r="B5061" t="str">
        <f>"1552374689626595"</f>
        <v>1552374689626595</v>
      </c>
      <c r="C5061" t="s">
        <v>40</v>
      </c>
      <c r="D5061">
        <v>4.8290660000000001</v>
      </c>
      <c r="E5061">
        <v>0.42403020000000002</v>
      </c>
      <c r="F5061" t="s">
        <v>85</v>
      </c>
      <c r="G5061">
        <v>-414.19970000000001</v>
      </c>
      <c r="H5061" s="1">
        <v>-6.079415E-6</v>
      </c>
      <c r="I5061">
        <v>31.054169999999999</v>
      </c>
      <c r="J5061">
        <v>-419.34039999999999</v>
      </c>
      <c r="K5061">
        <v>1.115391</v>
      </c>
      <c r="L5061">
        <v>36.160029999999999</v>
      </c>
      <c r="M5061">
        <v>0.39134590000000002</v>
      </c>
      <c r="N5061">
        <v>0</v>
      </c>
      <c r="O5061">
        <v>-0.92014689999999999</v>
      </c>
      <c r="P5061">
        <v>0.54970390000000002</v>
      </c>
      <c r="Q5061">
        <v>5.8471250000000002E-2</v>
      </c>
      <c r="R5061">
        <v>-0.83331089999999997</v>
      </c>
      <c r="S5061">
        <v>2.1798709999999999</v>
      </c>
      <c r="T5061">
        <v>-0.4672617</v>
      </c>
      <c r="U5061">
        <v>-2.1973880000000001</v>
      </c>
      <c r="V5061">
        <v>-0.18061579999999999</v>
      </c>
      <c r="W5061">
        <v>6.927738E-2</v>
      </c>
      <c r="X5061">
        <v>0.98111090000000001</v>
      </c>
      <c r="Y5061">
        <v>-0.36190660000000002</v>
      </c>
      <c r="Z5061">
        <v>0.1485117</v>
      </c>
      <c r="AA5061">
        <v>0.92030860000000003</v>
      </c>
      <c r="AB5061">
        <v>29</v>
      </c>
      <c r="AC5061">
        <v>5.1406999999999803</v>
      </c>
      <c r="AD5061">
        <v>-1.1153970794149899</v>
      </c>
      <c r="AE5061">
        <v>-5.1058599999999901</v>
      </c>
      <c r="AF5061">
        <v>-2.6690320034630699</v>
      </c>
      <c r="AG5061">
        <v>-1.1153970794149899</v>
      </c>
      <c r="AH5061">
        <v>6.5551801912390797</v>
      </c>
      <c r="AI5061">
        <v>98.955742034643905</v>
      </c>
      <c r="AJ5061">
        <v>112.154373496726</v>
      </c>
      <c r="AK5061">
        <v>7.16507011967719</v>
      </c>
      <c r="AL5061">
        <v>86.027516659926306</v>
      </c>
      <c r="AM5061">
        <v>100.430970987837</v>
      </c>
      <c r="AN5061">
        <v>1.0000000103440501</v>
      </c>
    </row>
    <row r="5062" spans="1:40" x14ac:dyDescent="0.25">
      <c r="A5062" t="str">
        <f>"20190312151129643"</f>
        <v>20190312151129643</v>
      </c>
      <c r="B5062" t="str">
        <f>"1552374689636355"</f>
        <v>1552374689636355</v>
      </c>
      <c r="C5062" t="s">
        <v>40</v>
      </c>
      <c r="D5062">
        <v>4.8157779999999999</v>
      </c>
      <c r="E5062">
        <v>0.42417389999999999</v>
      </c>
      <c r="F5062" t="s">
        <v>85</v>
      </c>
      <c r="G5062">
        <v>-414.16250000000002</v>
      </c>
      <c r="H5062" s="1">
        <v>-6.1172770000000003E-6</v>
      </c>
      <c r="I5062">
        <v>30.96949</v>
      </c>
      <c r="J5062">
        <v>-419.2756</v>
      </c>
      <c r="K5062">
        <v>1.1153879999999901</v>
      </c>
      <c r="L5062">
        <v>36.017270000000003</v>
      </c>
      <c r="M5062">
        <v>0.39480199999999999</v>
      </c>
      <c r="N5062">
        <v>0</v>
      </c>
      <c r="O5062">
        <v>-0.91866890000000001</v>
      </c>
      <c r="P5062">
        <v>0.55256329999999998</v>
      </c>
      <c r="Q5062">
        <v>5.8554660000000001E-2</v>
      </c>
      <c r="R5062">
        <v>-0.83141160000000003</v>
      </c>
      <c r="S5062">
        <v>2.1858520000000001</v>
      </c>
      <c r="T5062">
        <v>-0.47086600000000001</v>
      </c>
      <c r="U5062">
        <v>-2.1911930000000002</v>
      </c>
      <c r="V5062">
        <v>-0.18030080000000001</v>
      </c>
      <c r="W5062">
        <v>6.9366330000000004E-2</v>
      </c>
      <c r="X5062">
        <v>0.98116250000000005</v>
      </c>
      <c r="Y5062">
        <v>-0.36085119999999998</v>
      </c>
      <c r="Z5062">
        <v>0.1494856</v>
      </c>
      <c r="AA5062">
        <v>0.92056530000000003</v>
      </c>
      <c r="AB5062">
        <v>29</v>
      </c>
      <c r="AC5062">
        <v>5.11309999999997</v>
      </c>
      <c r="AD5062">
        <v>-1.1153941172770001</v>
      </c>
      <c r="AE5062">
        <v>-5.0477800000000004</v>
      </c>
      <c r="AF5062">
        <v>-2.6409684251504801</v>
      </c>
      <c r="AG5062">
        <v>-1.1153941172770001</v>
      </c>
      <c r="AH5062">
        <v>6.4998533143281003</v>
      </c>
      <c r="AI5062">
        <v>99.033339505035499</v>
      </c>
      <c r="AJ5062">
        <v>112.112497584454</v>
      </c>
      <c r="AK5062">
        <v>7.1040067122209196</v>
      </c>
      <c r="AL5062">
        <v>86.0224077052073</v>
      </c>
      <c r="AM5062">
        <v>100.41264166436299</v>
      </c>
      <c r="AN5062">
        <v>0.99999995881227799</v>
      </c>
    </row>
    <row r="5063" spans="1:40" x14ac:dyDescent="0.25">
      <c r="A5063" t="str">
        <f>"20190312151129654"</f>
        <v>20190312151129654</v>
      </c>
      <c r="B5063" t="str">
        <f>"1552374689646115"</f>
        <v>1552374689646115</v>
      </c>
      <c r="C5063" t="s">
        <v>40</v>
      </c>
      <c r="D5063">
        <v>4.8519670000000001</v>
      </c>
      <c r="E5063">
        <v>0.42422690000000002</v>
      </c>
      <c r="F5063" t="s">
        <v>85</v>
      </c>
      <c r="G5063">
        <v>-414.0899</v>
      </c>
      <c r="H5063" s="1">
        <v>-6.17293699999999E-6</v>
      </c>
      <c r="I5063">
        <v>30.85239</v>
      </c>
      <c r="J5063">
        <v>-419.20960000000002</v>
      </c>
      <c r="K5063">
        <v>1.115386</v>
      </c>
      <c r="L5063">
        <v>35.873080000000002</v>
      </c>
      <c r="M5063">
        <v>0.39829340000000002</v>
      </c>
      <c r="N5063">
        <v>0</v>
      </c>
      <c r="O5063">
        <v>-0.9171608</v>
      </c>
      <c r="P5063">
        <v>0.55562900000000004</v>
      </c>
      <c r="Q5063">
        <v>5.8609109999999999E-2</v>
      </c>
      <c r="R5063">
        <v>-0.82936209999999899</v>
      </c>
      <c r="S5063">
        <v>2.1929020000000001</v>
      </c>
      <c r="T5063">
        <v>-0.47166819999999998</v>
      </c>
      <c r="U5063">
        <v>-2.1840820000000001</v>
      </c>
      <c r="V5063">
        <v>-0.18019250000000001</v>
      </c>
      <c r="W5063">
        <v>6.9423399999999996E-2</v>
      </c>
      <c r="X5063">
        <v>0.98117840000000001</v>
      </c>
      <c r="Y5063">
        <v>-0.36026989999999998</v>
      </c>
      <c r="Z5063">
        <v>0.14959149999999999</v>
      </c>
      <c r="AA5063">
        <v>0.92077580000000003</v>
      </c>
      <c r="AB5063">
        <v>29</v>
      </c>
      <c r="AC5063">
        <v>5.1197000000000203</v>
      </c>
      <c r="AD5063">
        <v>-1.115392172937</v>
      </c>
      <c r="AE5063">
        <v>-5.0206899999999903</v>
      </c>
      <c r="AF5063">
        <v>-2.6324281143173098</v>
      </c>
      <c r="AG5063">
        <v>-1.115392172937</v>
      </c>
      <c r="AH5063">
        <v>6.4875462336985104</v>
      </c>
      <c r="AI5063">
        <v>99.051870088039806</v>
      </c>
      <c r="AJ5063">
        <v>112.085659978183</v>
      </c>
      <c r="AK5063">
        <v>7.0895721740365296</v>
      </c>
      <c r="AL5063">
        <v>86.019130093652805</v>
      </c>
      <c r="AM5063">
        <v>100.406358910273</v>
      </c>
      <c r="AN5063">
        <v>0.999999999075185</v>
      </c>
    </row>
    <row r="5064" spans="1:40" x14ac:dyDescent="0.25">
      <c r="A5064" t="str">
        <f>"20190312151129666"</f>
        <v>20190312151129666</v>
      </c>
      <c r="B5064" t="str">
        <f>"1552374689656851"</f>
        <v>1552374689656851</v>
      </c>
      <c r="C5064" t="s">
        <v>40</v>
      </c>
      <c r="D5064">
        <v>4.8096050000000004</v>
      </c>
      <c r="E5064">
        <v>0.4244386</v>
      </c>
      <c r="F5064" t="s">
        <v>85</v>
      </c>
      <c r="G5064">
        <v>-414.00540000000001</v>
      </c>
      <c r="H5064" s="1">
        <v>-6.2341379999999999E-6</v>
      </c>
      <c r="I5064">
        <v>30.725560000000002</v>
      </c>
      <c r="J5064">
        <v>-419.14830000000001</v>
      </c>
      <c r="K5064">
        <v>1.115386</v>
      </c>
      <c r="L5064">
        <v>35.740969999999997</v>
      </c>
      <c r="M5064">
        <v>0.40149479999999999</v>
      </c>
      <c r="N5064">
        <v>0</v>
      </c>
      <c r="O5064">
        <v>-0.91576389999999996</v>
      </c>
      <c r="P5064">
        <v>0.55815459999999995</v>
      </c>
      <c r="Q5064">
        <v>5.8708539999999997E-2</v>
      </c>
      <c r="R5064">
        <v>-0.82765730000000004</v>
      </c>
      <c r="S5064">
        <v>2.2004090000000001</v>
      </c>
      <c r="T5064">
        <v>-0.47159859999999998</v>
      </c>
      <c r="U5064">
        <v>-2.1764220000000001</v>
      </c>
      <c r="V5064">
        <v>-0.17975929999999901</v>
      </c>
      <c r="W5064">
        <v>6.9529969999999996E-2</v>
      </c>
      <c r="X5064">
        <v>0.98125030000000002</v>
      </c>
      <c r="Y5064">
        <v>-0.36021839999999999</v>
      </c>
      <c r="Z5064">
        <v>0.14945349999999999</v>
      </c>
      <c r="AA5064">
        <v>0.92081829999999998</v>
      </c>
      <c r="AB5064">
        <v>29</v>
      </c>
      <c r="AC5064">
        <v>5.1428999999999903</v>
      </c>
      <c r="AD5064">
        <v>-1.115392234138</v>
      </c>
      <c r="AE5064">
        <v>-5.0154100000000001</v>
      </c>
      <c r="AF5064">
        <v>-2.6327885255193899</v>
      </c>
      <c r="AG5064">
        <v>-1.115392234138</v>
      </c>
      <c r="AH5064">
        <v>6.5016271794296303</v>
      </c>
      <c r="AI5064">
        <v>99.035136833101802</v>
      </c>
      <c r="AJ5064">
        <v>112.04514258437</v>
      </c>
      <c r="AK5064">
        <v>7.1025932754438399</v>
      </c>
      <c r="AL5064">
        <v>86.013009243574999</v>
      </c>
      <c r="AM5064">
        <v>100.381141499791</v>
      </c>
      <c r="AN5064">
        <v>0.99999998695739001</v>
      </c>
    </row>
    <row r="5065" spans="1:40" x14ac:dyDescent="0.25">
      <c r="A5065" t="str">
        <f>"20190312151129679"</f>
        <v>20190312151129679</v>
      </c>
      <c r="B5065" t="str">
        <f>"1552374689676371"</f>
        <v>1552374689676371</v>
      </c>
      <c r="C5065" t="s">
        <v>40</v>
      </c>
      <c r="D5065">
        <v>4.8389670000000002</v>
      </c>
      <c r="E5065">
        <v>0.4245546</v>
      </c>
      <c r="F5065" t="s">
        <v>85</v>
      </c>
      <c r="G5065">
        <v>-413.91149999999999</v>
      </c>
      <c r="H5065" s="1">
        <v>-6.3008199999999996E-6</v>
      </c>
      <c r="I5065">
        <v>30.58812</v>
      </c>
      <c r="J5065">
        <v>-419.08069999999998</v>
      </c>
      <c r="K5065">
        <v>1.1153850000000001</v>
      </c>
      <c r="L5065">
        <v>35.59601</v>
      </c>
      <c r="M5065">
        <v>0.4050047</v>
      </c>
      <c r="N5065">
        <v>0</v>
      </c>
      <c r="O5065">
        <v>-0.9142171</v>
      </c>
      <c r="P5065">
        <v>0.56137230000000005</v>
      </c>
      <c r="Q5065">
        <v>5.8820249999999998E-2</v>
      </c>
      <c r="R5065">
        <v>-0.8254705</v>
      </c>
      <c r="S5065">
        <v>2.2058409999999999</v>
      </c>
      <c r="T5065">
        <v>-0.46981689999999998</v>
      </c>
      <c r="U5065">
        <v>-2.1704409999999998</v>
      </c>
      <c r="V5065">
        <v>-0.17981920000000001</v>
      </c>
      <c r="W5065">
        <v>6.9641750000000002E-2</v>
      </c>
      <c r="X5065">
        <v>0.98123139999999998</v>
      </c>
      <c r="Y5065">
        <v>-0.35912240000000001</v>
      </c>
      <c r="Z5065">
        <v>0.1487472</v>
      </c>
      <c r="AA5065">
        <v>0.92136059999999997</v>
      </c>
      <c r="AB5065">
        <v>29</v>
      </c>
      <c r="AC5065">
        <v>5.1691999999999796</v>
      </c>
      <c r="AD5065">
        <v>-1.11539130082</v>
      </c>
      <c r="AE5065">
        <v>-5.0078899999999997</v>
      </c>
      <c r="AF5065">
        <v>-2.6345179577256701</v>
      </c>
      <c r="AG5065">
        <v>-1.11539130082</v>
      </c>
      <c r="AH5065">
        <v>6.5159469091126301</v>
      </c>
      <c r="AI5065">
        <v>99.017525595277604</v>
      </c>
      <c r="AJ5065">
        <v>112.014395220609</v>
      </c>
      <c r="AK5065">
        <v>7.1163436360183203</v>
      </c>
      <c r="AL5065">
        <v>86.006589167675799</v>
      </c>
      <c r="AM5065">
        <v>100.384721160786</v>
      </c>
      <c r="AN5065">
        <v>0.99999998918883104</v>
      </c>
    </row>
    <row r="5066" spans="1:40" x14ac:dyDescent="0.25">
      <c r="A5066" t="str">
        <f>"20190312151129692"</f>
        <v>20190312151129692</v>
      </c>
      <c r="B5066" t="str">
        <f>"1552374689686131"</f>
        <v>1552374689686131</v>
      </c>
      <c r="C5066" t="s">
        <v>40</v>
      </c>
      <c r="D5066">
        <v>4.8727839999999896</v>
      </c>
      <c r="E5066">
        <v>0.4246067</v>
      </c>
      <c r="F5066" t="s">
        <v>85</v>
      </c>
      <c r="G5066">
        <v>-413.84690000000001</v>
      </c>
      <c r="H5066" s="1">
        <v>-6.3504780000000003E-6</v>
      </c>
      <c r="I5066">
        <v>30.483560000000001</v>
      </c>
      <c r="J5066">
        <v>-419.00349999999997</v>
      </c>
      <c r="K5066">
        <v>1.115381</v>
      </c>
      <c r="L5066">
        <v>35.432740000000003</v>
      </c>
      <c r="M5066">
        <v>0.40896270000000001</v>
      </c>
      <c r="N5066">
        <v>0</v>
      </c>
      <c r="O5066">
        <v>-0.91245350000000003</v>
      </c>
      <c r="P5066">
        <v>0.56466119999999898</v>
      </c>
      <c r="Q5066">
        <v>5.912804E-2</v>
      </c>
      <c r="R5066">
        <v>-0.823202199999999</v>
      </c>
      <c r="S5066">
        <v>2.2137760000000002</v>
      </c>
      <c r="T5066">
        <v>-0.47177780000000002</v>
      </c>
      <c r="U5066">
        <v>-2.1624150000000002</v>
      </c>
      <c r="V5066">
        <v>-0.17949379999999901</v>
      </c>
      <c r="W5066">
        <v>6.9955210000000004E-2</v>
      </c>
      <c r="X5066">
        <v>0.98126869999999999</v>
      </c>
      <c r="Y5066">
        <v>-0.35838769999999998</v>
      </c>
      <c r="Z5066">
        <v>0.14917659999999999</v>
      </c>
      <c r="AA5066">
        <v>0.92157719999999999</v>
      </c>
      <c r="AB5066">
        <v>29</v>
      </c>
      <c r="AC5066">
        <v>5.1565999999999601</v>
      </c>
      <c r="AD5066">
        <v>-1.1153873504780001</v>
      </c>
      <c r="AE5066">
        <v>-4.9491800000000001</v>
      </c>
      <c r="AF5066">
        <v>-2.6176187139646401</v>
      </c>
      <c r="AG5066">
        <v>-1.1153873504780001</v>
      </c>
      <c r="AH5066">
        <v>6.4678303725862696</v>
      </c>
      <c r="AI5066">
        <v>99.082237599520894</v>
      </c>
      <c r="AJ5066">
        <v>112.033847318718</v>
      </c>
      <c r="AK5066">
        <v>7.0660347014328799</v>
      </c>
      <c r="AL5066">
        <v>85.988585401081593</v>
      </c>
      <c r="AM5066">
        <v>100.365951294921</v>
      </c>
      <c r="AN5066">
        <v>1.0000000086221299</v>
      </c>
    </row>
    <row r="5067" spans="1:40" x14ac:dyDescent="0.25">
      <c r="A5067" t="str">
        <f>"20190312151129709"</f>
        <v>20190312151129709</v>
      </c>
      <c r="B5067" t="str">
        <f>"1552374689706627"</f>
        <v>1552374689706627</v>
      </c>
      <c r="C5067" t="s">
        <v>40</v>
      </c>
      <c r="D5067">
        <v>4.841602</v>
      </c>
      <c r="E5067">
        <v>0.42477979999999999</v>
      </c>
      <c r="F5067" t="s">
        <v>85</v>
      </c>
      <c r="G5067">
        <v>-413.7405</v>
      </c>
      <c r="H5067" s="1">
        <v>-6.4245809999999898E-6</v>
      </c>
      <c r="I5067">
        <v>30.33164</v>
      </c>
      <c r="J5067">
        <v>-418.91789999999997</v>
      </c>
      <c r="K5067">
        <v>1.1153789999999999</v>
      </c>
      <c r="L5067">
        <v>35.25385</v>
      </c>
      <c r="M5067">
        <v>0.41330080000000002</v>
      </c>
      <c r="N5067">
        <v>0</v>
      </c>
      <c r="O5067">
        <v>-0.91049669999999905</v>
      </c>
      <c r="P5067">
        <v>0.56844079999999997</v>
      </c>
      <c r="Q5067">
        <v>5.9023350000000002E-2</v>
      </c>
      <c r="R5067">
        <v>-0.82060440000000001</v>
      </c>
      <c r="S5067">
        <v>2.2221679999999999</v>
      </c>
      <c r="T5067">
        <v>-0.47095019999999999</v>
      </c>
      <c r="U5067">
        <v>-2.1538390000000001</v>
      </c>
      <c r="V5067">
        <v>-0.17933080000000001</v>
      </c>
      <c r="W5067">
        <v>6.9853899999999997E-2</v>
      </c>
      <c r="X5067">
        <v>0.98130569999999895</v>
      </c>
      <c r="Y5067">
        <v>-0.35756969999999999</v>
      </c>
      <c r="Z5067">
        <v>0.14872009999999999</v>
      </c>
      <c r="AA5067">
        <v>0.92196869999999997</v>
      </c>
      <c r="AB5067">
        <v>29</v>
      </c>
      <c r="AC5067">
        <v>5.1773999999999702</v>
      </c>
      <c r="AD5067">
        <v>-1.115385424581</v>
      </c>
      <c r="AE5067">
        <v>-4.92220999999999</v>
      </c>
      <c r="AF5067">
        <v>-2.6161160719224599</v>
      </c>
      <c r="AG5067">
        <v>-1.115385424581</v>
      </c>
      <c r="AH5067">
        <v>6.4644801515156303</v>
      </c>
      <c r="AI5067">
        <v>99.086921078660396</v>
      </c>
      <c r="AJ5067">
        <v>112.032729604821</v>
      </c>
      <c r="AK5067">
        <v>7.06241117299738</v>
      </c>
      <c r="AL5067">
        <v>85.994404196587695</v>
      </c>
      <c r="AM5067">
        <v>100.356359630508</v>
      </c>
      <c r="AN5067">
        <v>0.99999999001316897</v>
      </c>
    </row>
    <row r="5068" spans="1:40" x14ac:dyDescent="0.25">
      <c r="A5068" t="str">
        <f>"20190312151129732"</f>
        <v>20190312151129732</v>
      </c>
      <c r="B5068" t="str">
        <f>"1552374689726147"</f>
        <v>1552374689726147</v>
      </c>
      <c r="C5068" t="s">
        <v>40</v>
      </c>
      <c r="D5068">
        <v>4.8790849999999999</v>
      </c>
      <c r="E5068">
        <v>0.424873</v>
      </c>
      <c r="F5068" t="s">
        <v>85</v>
      </c>
      <c r="G5068">
        <v>-413.6669</v>
      </c>
      <c r="H5068" s="1">
        <v>-6.48320399999999E-6</v>
      </c>
      <c r="I5068">
        <v>30.207129999999999</v>
      </c>
      <c r="J5068">
        <v>-418.79300000000001</v>
      </c>
      <c r="K5068">
        <v>1.1153679999999999</v>
      </c>
      <c r="L5068">
        <v>34.996400000000001</v>
      </c>
      <c r="M5068">
        <v>0.41954459999999999</v>
      </c>
      <c r="N5068">
        <v>0</v>
      </c>
      <c r="O5068">
        <v>-0.90763640000000001</v>
      </c>
      <c r="P5068">
        <v>0.574053699999999</v>
      </c>
      <c r="Q5068">
        <v>5.9156540000000001E-2</v>
      </c>
      <c r="R5068">
        <v>-0.81667809999999996</v>
      </c>
      <c r="S5068">
        <v>2.2311709999999998</v>
      </c>
      <c r="T5068">
        <v>-0.4739333</v>
      </c>
      <c r="U5068">
        <v>-2.1443789999999998</v>
      </c>
      <c r="V5068">
        <v>-0.17932400000000001</v>
      </c>
      <c r="W5068">
        <v>6.9987569999999999E-2</v>
      </c>
      <c r="X5068">
        <v>0.98129739999999999</v>
      </c>
      <c r="Y5068">
        <v>-0.35497299999999998</v>
      </c>
      <c r="Z5068">
        <v>0.14930270000000001</v>
      </c>
      <c r="AA5068">
        <v>0.92287750000000002</v>
      </c>
      <c r="AB5068">
        <v>29</v>
      </c>
      <c r="AC5068">
        <v>5.1261000000000001</v>
      </c>
      <c r="AD5068">
        <v>-1.115374483204</v>
      </c>
      <c r="AE5068">
        <v>-4.7892700000000001</v>
      </c>
      <c r="AF5068">
        <v>-2.5783807209608098</v>
      </c>
      <c r="AG5068">
        <v>-1.115374483204</v>
      </c>
      <c r="AH5068">
        <v>6.3379099567157198</v>
      </c>
      <c r="AI5068">
        <v>99.258436243370994</v>
      </c>
      <c r="AJ5068">
        <v>112.137414399645</v>
      </c>
      <c r="AK5068">
        <v>6.9326192740869104</v>
      </c>
      <c r="AL5068">
        <v>85.986726607267002</v>
      </c>
      <c r="AM5068">
        <v>100.356061124992</v>
      </c>
      <c r="AN5068">
        <v>0.99999997208863201</v>
      </c>
    </row>
    <row r="5069" spans="1:40" x14ac:dyDescent="0.25">
      <c r="A5069" t="str">
        <f>"20190312151129753"</f>
        <v>20190312151129753</v>
      </c>
      <c r="B5069" t="str">
        <f>"1552374689746643"</f>
        <v>1552374689746643</v>
      </c>
      <c r="C5069" t="s">
        <v>40</v>
      </c>
      <c r="D5069">
        <v>4.8324290000000003</v>
      </c>
      <c r="E5069">
        <v>0.42498979999999997</v>
      </c>
      <c r="F5069" t="s">
        <v>85</v>
      </c>
      <c r="G5069">
        <v>-413.53710000000001</v>
      </c>
      <c r="H5069" s="1">
        <v>-6.5777029999999996E-6</v>
      </c>
      <c r="I5069">
        <v>30.011019999999998</v>
      </c>
      <c r="J5069">
        <v>-418.67239999999998</v>
      </c>
      <c r="K5069">
        <v>1.1153649999999999</v>
      </c>
      <c r="L5069">
        <v>34.751919999999998</v>
      </c>
      <c r="M5069">
        <v>0.42547780000000002</v>
      </c>
      <c r="N5069">
        <v>0</v>
      </c>
      <c r="O5069">
        <v>-0.90487019999999996</v>
      </c>
      <c r="P5069">
        <v>0.57963739999999997</v>
      </c>
      <c r="Q5069">
        <v>5.9389589999999999E-2</v>
      </c>
      <c r="R5069">
        <v>-0.81270719999999996</v>
      </c>
      <c r="S5069">
        <v>2.2452700000000001</v>
      </c>
      <c r="T5069">
        <v>-0.4764756</v>
      </c>
      <c r="U5069">
        <v>-2.1297000000000001</v>
      </c>
      <c r="V5069">
        <v>-0.17963460000000001</v>
      </c>
      <c r="W5069">
        <v>7.0216829999999994E-2</v>
      </c>
      <c r="X5069">
        <v>0.98122419999999999</v>
      </c>
      <c r="Y5069">
        <v>-0.3548579</v>
      </c>
      <c r="Z5069">
        <v>0.14983050000000001</v>
      </c>
      <c r="AA5069">
        <v>0.9228362</v>
      </c>
      <c r="AB5069">
        <v>29</v>
      </c>
      <c r="AC5069">
        <v>5.1352999999999698</v>
      </c>
      <c r="AD5069">
        <v>-1.115371577703</v>
      </c>
      <c r="AE5069">
        <v>-4.7408999999999901</v>
      </c>
      <c r="AF5069">
        <v>-2.56455264106186</v>
      </c>
      <c r="AG5069">
        <v>-1.115371577703</v>
      </c>
      <c r="AH5069">
        <v>6.3146119730655697</v>
      </c>
      <c r="AI5069">
        <v>99.294171290046904</v>
      </c>
      <c r="AJ5069">
        <v>112.103540978982</v>
      </c>
      <c r="AK5069">
        <v>6.9061789996718197</v>
      </c>
      <c r="AL5069">
        <v>85.973558538768103</v>
      </c>
      <c r="AM5069">
        <v>100.374366415149</v>
      </c>
      <c r="AN5069">
        <v>0.99999996169902305</v>
      </c>
    </row>
    <row r="5070" spans="1:40" x14ac:dyDescent="0.25">
      <c r="A5070" t="str">
        <f>"20190312151129766"</f>
        <v>20190312151129766</v>
      </c>
      <c r="B5070" t="str">
        <f>"1552374689756403"</f>
        <v>1552374689756403</v>
      </c>
      <c r="C5070" t="s">
        <v>40</v>
      </c>
      <c r="D5070">
        <v>4.8789189999999998</v>
      </c>
      <c r="E5070">
        <v>0.4250777</v>
      </c>
      <c r="F5070" t="s">
        <v>85</v>
      </c>
      <c r="G5070">
        <v>-413.38780000000003</v>
      </c>
      <c r="H5070" s="1">
        <v>-6.6792959999999996E-6</v>
      </c>
      <c r="I5070">
        <v>29.804169999999999</v>
      </c>
      <c r="J5070">
        <v>-418.6028</v>
      </c>
      <c r="K5070">
        <v>1.115367</v>
      </c>
      <c r="L5070">
        <v>34.613010000000003</v>
      </c>
      <c r="M5070">
        <v>0.42885299999999998</v>
      </c>
      <c r="N5070">
        <v>0</v>
      </c>
      <c r="O5070">
        <v>-0.90327559999999996</v>
      </c>
      <c r="P5070">
        <v>0.58267720000000001</v>
      </c>
      <c r="Q5070">
        <v>5.9445629999999999E-2</v>
      </c>
      <c r="R5070">
        <v>-0.81052679999999999</v>
      </c>
      <c r="S5070">
        <v>2.2590029999999999</v>
      </c>
      <c r="T5070">
        <v>-0.47678920000000002</v>
      </c>
      <c r="U5070">
        <v>-2.115021</v>
      </c>
      <c r="V5070">
        <v>-0.17964840000000001</v>
      </c>
      <c r="W5070">
        <v>7.0272490000000007E-2</v>
      </c>
      <c r="X5070">
        <v>0.98121769999999997</v>
      </c>
      <c r="Y5070">
        <v>-0.35735670000000003</v>
      </c>
      <c r="Z5070">
        <v>0.14987639999999999</v>
      </c>
      <c r="AA5070">
        <v>0.92186400000000002</v>
      </c>
      <c r="AB5070">
        <v>29</v>
      </c>
      <c r="AC5070">
        <v>5.2149999999999697</v>
      </c>
      <c r="AD5070">
        <v>-1.1153736792960001</v>
      </c>
      <c r="AE5070">
        <v>-4.8088399999999902</v>
      </c>
      <c r="AF5070">
        <v>-2.5846346239087601</v>
      </c>
      <c r="AG5070">
        <v>-1.1153736792960001</v>
      </c>
      <c r="AH5070">
        <v>6.4219959638667801</v>
      </c>
      <c r="AI5070">
        <v>99.152872799817203</v>
      </c>
      <c r="AJ5070">
        <v>111.92310564168601</v>
      </c>
      <c r="AK5070">
        <v>7.0118775476683499</v>
      </c>
      <c r="AL5070">
        <v>85.9703616024876</v>
      </c>
      <c r="AM5070">
        <v>100.375213330202</v>
      </c>
      <c r="AN5070">
        <v>0.99999997263332396</v>
      </c>
    </row>
    <row r="5071" spans="1:40" x14ac:dyDescent="0.25">
      <c r="A5071" t="str">
        <f>"20190312151129777"</f>
        <v>20190312151129777</v>
      </c>
      <c r="B5071" t="str">
        <f>"1552374689766164"</f>
        <v>1552374689766164</v>
      </c>
      <c r="C5071" t="s">
        <v>40</v>
      </c>
      <c r="D5071">
        <v>4.8868410000000004</v>
      </c>
      <c r="E5071">
        <v>0.42517240000000001</v>
      </c>
      <c r="F5071" t="s">
        <v>85</v>
      </c>
      <c r="G5071">
        <v>-413.32319999999999</v>
      </c>
      <c r="H5071" s="1">
        <v>-6.7270409999999998E-6</v>
      </c>
      <c r="I5071">
        <v>29.704699999999999</v>
      </c>
      <c r="J5071">
        <v>-418.53300000000002</v>
      </c>
      <c r="K5071">
        <v>1.115364</v>
      </c>
      <c r="L5071">
        <v>34.474059999999902</v>
      </c>
      <c r="M5071">
        <v>0.43222769999999999</v>
      </c>
      <c r="N5071">
        <v>0</v>
      </c>
      <c r="O5071">
        <v>-0.90166570000000001</v>
      </c>
      <c r="P5071">
        <v>0.58586510000000003</v>
      </c>
      <c r="Q5071">
        <v>5.9450299999999998E-2</v>
      </c>
      <c r="R5071">
        <v>-0.80822530000000004</v>
      </c>
      <c r="S5071">
        <v>2.2664789999999999</v>
      </c>
      <c r="T5071">
        <v>-0.47881170000000001</v>
      </c>
      <c r="U5071">
        <v>-2.107056</v>
      </c>
      <c r="V5071">
        <v>-0.179843899999999</v>
      </c>
      <c r="W5071">
        <v>7.0273909999999995E-2</v>
      </c>
      <c r="X5071">
        <v>0.98118179999999999</v>
      </c>
      <c r="Y5071">
        <v>-0.35706130000000003</v>
      </c>
      <c r="Z5071">
        <v>0.1503391</v>
      </c>
      <c r="AA5071">
        <v>0.92190309999999998</v>
      </c>
      <c r="AB5071">
        <v>29</v>
      </c>
      <c r="AC5071">
        <v>5.2098000000000297</v>
      </c>
      <c r="AD5071">
        <v>-1.115370727041</v>
      </c>
      <c r="AE5071">
        <v>-4.7693599999999901</v>
      </c>
      <c r="AF5071">
        <v>-2.57214311615463</v>
      </c>
      <c r="AG5071">
        <v>-1.115370727041</v>
      </c>
      <c r="AH5071">
        <v>6.3933444365613097</v>
      </c>
      <c r="AI5071">
        <v>99.193638291184499</v>
      </c>
      <c r="AJ5071">
        <v>111.91569935545699</v>
      </c>
      <c r="AK5071">
        <v>6.9810332439568796</v>
      </c>
      <c r="AL5071">
        <v>85.970280101746297</v>
      </c>
      <c r="AM5071">
        <v>100.386630171139</v>
      </c>
      <c r="AN5071">
        <v>0.99999998772256804</v>
      </c>
    </row>
    <row r="5072" spans="1:40" x14ac:dyDescent="0.25">
      <c r="A5072" t="str">
        <f>"20190312151129797"</f>
        <v>20190312151129797</v>
      </c>
      <c r="B5072" t="str">
        <f>"1552374689786659"</f>
        <v>1552374689786659</v>
      </c>
      <c r="C5072" t="s">
        <v>40</v>
      </c>
      <c r="D5072">
        <v>4.8979039999999996</v>
      </c>
      <c r="E5072">
        <v>0.42525930000000001</v>
      </c>
      <c r="F5072" t="s">
        <v>85</v>
      </c>
      <c r="G5072">
        <v>-413.2527</v>
      </c>
      <c r="H5072" s="1">
        <v>-9.6388119999999994E-6</v>
      </c>
      <c r="I5072">
        <v>29.60173</v>
      </c>
      <c r="J5072">
        <v>-418.42009999999999</v>
      </c>
      <c r="K5072">
        <v>1.1153599999999999</v>
      </c>
      <c r="L5072">
        <v>34.253169999999997</v>
      </c>
      <c r="M5072">
        <v>0.43760260000000001</v>
      </c>
      <c r="N5072">
        <v>0</v>
      </c>
      <c r="O5072">
        <v>-0.89906939999999902</v>
      </c>
      <c r="P5072">
        <v>0.59095089999999995</v>
      </c>
      <c r="Q5072">
        <v>5.9097040000000003E-2</v>
      </c>
      <c r="R5072">
        <v>-0.80453999999999903</v>
      </c>
      <c r="S5072">
        <v>2.2742610000000001</v>
      </c>
      <c r="T5072">
        <v>-0.48040519999999998</v>
      </c>
      <c r="U5072">
        <v>-2.0985719999999999</v>
      </c>
      <c r="V5072">
        <v>-0.1801596</v>
      </c>
      <c r="W5072">
        <v>6.9915260000000007E-2</v>
      </c>
      <c r="X5072">
        <v>0.98114950000000001</v>
      </c>
      <c r="Y5072">
        <v>-0.3548888</v>
      </c>
      <c r="Z5072">
        <v>0.15050920000000001</v>
      </c>
      <c r="AA5072">
        <v>0.92271389999999998</v>
      </c>
      <c r="AB5072">
        <v>29</v>
      </c>
      <c r="AC5072">
        <v>5.1673999999999802</v>
      </c>
      <c r="AD5072">
        <v>-1.115369638812</v>
      </c>
      <c r="AE5072">
        <v>-4.65144</v>
      </c>
      <c r="AF5072">
        <v>-2.54509957795534</v>
      </c>
      <c r="AG5072">
        <v>-1.115369638812</v>
      </c>
      <c r="AH5072">
        <v>6.2821290480169996</v>
      </c>
      <c r="AI5072">
        <v>99.344553697811804</v>
      </c>
      <c r="AJ5072">
        <v>112.05450772923299</v>
      </c>
      <c r="AK5072">
        <v>6.8692595429806804</v>
      </c>
      <c r="AL5072">
        <v>85.990879883585393</v>
      </c>
      <c r="AM5072">
        <v>100.404800163834</v>
      </c>
      <c r="AN5072">
        <v>0.99999998320163797</v>
      </c>
    </row>
    <row r="5073" spans="1:40" x14ac:dyDescent="0.25">
      <c r="A5073" t="str">
        <f>"20190312151129810"</f>
        <v>20190312151129810</v>
      </c>
      <c r="B5073" t="str">
        <f>"1552374689806179"</f>
        <v>1552374689806179</v>
      </c>
      <c r="C5073" t="s">
        <v>40</v>
      </c>
      <c r="D5073">
        <v>4.9361470000000001</v>
      </c>
      <c r="E5073">
        <v>0.42603029999999997</v>
      </c>
      <c r="F5073" t="s">
        <v>85</v>
      </c>
      <c r="G5073">
        <v>-413.14690000000002</v>
      </c>
      <c r="H5073" s="1">
        <v>-9.6584560000000004E-6</v>
      </c>
      <c r="I5073">
        <v>29.446090000000002</v>
      </c>
      <c r="J5073">
        <v>-418.34620000000001</v>
      </c>
      <c r="K5073">
        <v>1.115362</v>
      </c>
      <c r="L5073">
        <v>34.110660000000003</v>
      </c>
      <c r="M5073">
        <v>0.44107990000000002</v>
      </c>
      <c r="N5073">
        <v>0</v>
      </c>
      <c r="O5073">
        <v>-0.89736870000000002</v>
      </c>
      <c r="P5073">
        <v>0.59439649999999999</v>
      </c>
      <c r="Q5073">
        <v>5.8525149999999998E-2</v>
      </c>
      <c r="R5073">
        <v>-0.80203990000000003</v>
      </c>
      <c r="S5073">
        <v>2.2868040000000001</v>
      </c>
      <c r="T5073">
        <v>-0.4836955</v>
      </c>
      <c r="U5073">
        <v>-2.0846559999999998</v>
      </c>
      <c r="V5073">
        <v>-0.1805445</v>
      </c>
      <c r="W5073">
        <v>6.9336830000000002E-2</v>
      </c>
      <c r="X5073">
        <v>0.98111979999999999</v>
      </c>
      <c r="Y5073">
        <v>-0.35674070000000002</v>
      </c>
      <c r="Z5073">
        <v>0.1514366</v>
      </c>
      <c r="AA5073">
        <v>0.92184759999999999</v>
      </c>
      <c r="AB5073">
        <v>29</v>
      </c>
      <c r="AC5073">
        <v>5.1992999999999903</v>
      </c>
      <c r="AD5073">
        <v>-1.1153716584560001</v>
      </c>
      <c r="AE5073">
        <v>-4.6645699999999897</v>
      </c>
      <c r="AF5073">
        <v>-2.5436168553860998</v>
      </c>
      <c r="AG5073">
        <v>-1.1153716584560001</v>
      </c>
      <c r="AH5073">
        <v>6.3186126163481102</v>
      </c>
      <c r="AI5073">
        <v>99.299721084699797</v>
      </c>
      <c r="AJ5073">
        <v>111.927713657002</v>
      </c>
      <c r="AK5073">
        <v>6.9020943226650298</v>
      </c>
      <c r="AL5073">
        <v>86.024102123285303</v>
      </c>
      <c r="AM5073">
        <v>100.426851072521</v>
      </c>
      <c r="AN5073">
        <v>0.99999998721336902</v>
      </c>
    </row>
    <row r="5074" spans="1:40" x14ac:dyDescent="0.25">
      <c r="A5074" t="str">
        <f>"20190312151129822"</f>
        <v>20190312151129822</v>
      </c>
      <c r="B5074" t="str">
        <f>"1552374689816517"</f>
        <v>1552374689816517</v>
      </c>
      <c r="C5074" t="s">
        <v>40</v>
      </c>
      <c r="D5074">
        <v>4.94137</v>
      </c>
      <c r="E5074">
        <v>0.45026509999999997</v>
      </c>
      <c r="F5074" t="s">
        <v>85</v>
      </c>
      <c r="G5074">
        <v>-413.13819999999998</v>
      </c>
      <c r="H5074" s="1">
        <v>-9.6545299999999992E-6</v>
      </c>
      <c r="I5074">
        <v>29.384039999999999</v>
      </c>
      <c r="J5074">
        <v>-418.27670000000001</v>
      </c>
      <c r="K5074">
        <v>1.1153599999999999</v>
      </c>
      <c r="L5074">
        <v>33.977260000000001</v>
      </c>
      <c r="M5074">
        <v>0.44433600000000001</v>
      </c>
      <c r="N5074">
        <v>0</v>
      </c>
      <c r="O5074">
        <v>-0.89576100000000003</v>
      </c>
      <c r="P5074">
        <v>0.5976648</v>
      </c>
      <c r="Q5074">
        <v>5.8523480000000003E-2</v>
      </c>
      <c r="R5074">
        <v>-0.79960730000000002</v>
      </c>
      <c r="S5074">
        <v>2.2904969999999998</v>
      </c>
      <c r="T5074">
        <v>-0.4905407</v>
      </c>
      <c r="U5074">
        <v>-2.0787659999999999</v>
      </c>
      <c r="V5074">
        <v>-0.18098620000000001</v>
      </c>
      <c r="W5074">
        <v>6.9327330000000006E-2</v>
      </c>
      <c r="X5074">
        <v>0.98103910000000005</v>
      </c>
      <c r="Y5074">
        <v>-0.35514030000000002</v>
      </c>
      <c r="Z5074">
        <v>0.15337819999999999</v>
      </c>
      <c r="AA5074">
        <v>0.92214450000000003</v>
      </c>
      <c r="AB5074">
        <v>29</v>
      </c>
      <c r="AC5074">
        <v>5.1385000000000201</v>
      </c>
      <c r="AD5074">
        <v>-1.11536965453</v>
      </c>
      <c r="AE5074">
        <v>-4.5932199999999899</v>
      </c>
      <c r="AF5074">
        <v>-2.4967733876163201</v>
      </c>
      <c r="AG5074">
        <v>-1.11536965453</v>
      </c>
      <c r="AH5074">
        <v>6.2349269618478198</v>
      </c>
      <c r="AI5074">
        <v>99.429054996427894</v>
      </c>
      <c r="AJ5074">
        <v>111.823608184412</v>
      </c>
      <c r="AK5074">
        <v>6.8082480150867299</v>
      </c>
      <c r="AL5074">
        <v>86.024647795095404</v>
      </c>
      <c r="AM5074">
        <v>100.45263956783199</v>
      </c>
      <c r="AN5074">
        <v>0.99999999950208895</v>
      </c>
    </row>
    <row r="5075" spans="1:40" x14ac:dyDescent="0.25">
      <c r="A5075" t="str">
        <f>"20190312151129832"</f>
        <v>20190312151129832</v>
      </c>
      <c r="B5075" t="str">
        <f>"1552374689825958"</f>
        <v>1552374689825958</v>
      </c>
      <c r="C5075" t="s">
        <v>40</v>
      </c>
      <c r="D5075">
        <v>4.9557969999999996</v>
      </c>
      <c r="E5075">
        <v>0.45075939999999998</v>
      </c>
      <c r="F5075" t="s">
        <v>85</v>
      </c>
      <c r="G5075">
        <v>-413.44060000000002</v>
      </c>
      <c r="H5075" s="1">
        <v>-9.5106520000000006E-6</v>
      </c>
      <c r="I5075">
        <v>29.048729999999999</v>
      </c>
      <c r="J5075">
        <v>-418.21</v>
      </c>
      <c r="K5075">
        <v>1.1153649999999999</v>
      </c>
      <c r="L5075">
        <v>33.850559999999902</v>
      </c>
      <c r="M5075">
        <v>0.4474342</v>
      </c>
      <c r="N5075">
        <v>0</v>
      </c>
      <c r="O5075">
        <v>-0.89421729999999999</v>
      </c>
      <c r="P5075">
        <v>0.60045499999999996</v>
      </c>
      <c r="Q5075">
        <v>5.8357369999999999E-2</v>
      </c>
      <c r="R5075">
        <v>-0.79752670000000003</v>
      </c>
      <c r="S5075">
        <v>2.1442869999999998</v>
      </c>
      <c r="T5075">
        <v>-0.49455320000000003</v>
      </c>
      <c r="U5075">
        <v>-2.1853030000000002</v>
      </c>
      <c r="V5075">
        <v>-0.18101030000000001</v>
      </c>
      <c r="W5075">
        <v>6.9158919999999999E-2</v>
      </c>
      <c r="X5075">
        <v>0.98104659999999999</v>
      </c>
      <c r="Y5075">
        <v>-0.29777510000000001</v>
      </c>
      <c r="Z5075">
        <v>0.15375839999999999</v>
      </c>
      <c r="AA5075">
        <v>0.94217220000000002</v>
      </c>
      <c r="AB5075">
        <v>29</v>
      </c>
      <c r="AC5075">
        <v>4.7693999999999601</v>
      </c>
      <c r="AD5075">
        <v>-1.1153745106520001</v>
      </c>
      <c r="AE5075">
        <v>-4.8018299999999901</v>
      </c>
      <c r="AF5075">
        <v>-2.0605994376385999</v>
      </c>
      <c r="AG5075">
        <v>-1.1153745106520001</v>
      </c>
      <c r="AH5075">
        <v>6.2584641279437303</v>
      </c>
      <c r="AI5075">
        <v>99.607901741549497</v>
      </c>
      <c r="AJ5075">
        <v>108.22413054998199</v>
      </c>
      <c r="AK5075">
        <v>6.6827018175411004</v>
      </c>
      <c r="AL5075">
        <v>86.034320425827303</v>
      </c>
      <c r="AM5075">
        <v>100.45392259282001</v>
      </c>
      <c r="AN5075">
        <v>1.0000000581466</v>
      </c>
    </row>
    <row r="5076" spans="1:40" x14ac:dyDescent="0.25">
      <c r="A5076" t="str">
        <f>"20190312151129853"</f>
        <v>20190312151129853</v>
      </c>
      <c r="B5076" t="str">
        <f>"1552374689846454"</f>
        <v>1552374689846454</v>
      </c>
      <c r="C5076" t="s">
        <v>40</v>
      </c>
      <c r="D5076">
        <v>4.9436419999999996</v>
      </c>
      <c r="E5076">
        <v>0.4530402</v>
      </c>
      <c r="F5076" t="s">
        <v>85</v>
      </c>
      <c r="G5076">
        <v>-413.37610000000001</v>
      </c>
      <c r="H5076" s="1">
        <v>-9.5216429999999997E-6</v>
      </c>
      <c r="I5076">
        <v>28.9451</v>
      </c>
      <c r="J5076">
        <v>-418.0924</v>
      </c>
      <c r="K5076">
        <v>1.1153729999999999</v>
      </c>
      <c r="L5076">
        <v>33.629849999999998</v>
      </c>
      <c r="M5076">
        <v>0.45284229999999998</v>
      </c>
      <c r="N5076">
        <v>0</v>
      </c>
      <c r="O5076">
        <v>-0.89149059999999902</v>
      </c>
      <c r="P5076">
        <v>0.60568029999999995</v>
      </c>
      <c r="Q5076">
        <v>5.8011439999999997E-2</v>
      </c>
      <c r="R5076">
        <v>-0.79359060000000003</v>
      </c>
      <c r="S5076">
        <v>2.1484990000000002</v>
      </c>
      <c r="T5076">
        <v>-0.49575069999999999</v>
      </c>
      <c r="U5076">
        <v>-2.1803279999999998</v>
      </c>
      <c r="V5076">
        <v>-0.18149750000000001</v>
      </c>
      <c r="W5076">
        <v>6.8802150000000006E-2</v>
      </c>
      <c r="X5076">
        <v>0.98098160000000001</v>
      </c>
      <c r="Y5076">
        <v>-0.29398269999999999</v>
      </c>
      <c r="Z5076">
        <v>0.15370410000000001</v>
      </c>
      <c r="AA5076">
        <v>0.94337119999999997</v>
      </c>
      <c r="AB5076">
        <v>29</v>
      </c>
      <c r="AC5076">
        <v>4.7162999999999897</v>
      </c>
      <c r="AD5076">
        <v>-1.115382521643</v>
      </c>
      <c r="AE5076">
        <v>-4.6847499999999904</v>
      </c>
      <c r="AF5076">
        <v>-2.02622620953845</v>
      </c>
      <c r="AG5076">
        <v>-1.115382521643</v>
      </c>
      <c r="AH5076">
        <v>6.13986008770563</v>
      </c>
      <c r="AI5076">
        <v>99.787834533637707</v>
      </c>
      <c r="AJ5076">
        <v>108.263499047528</v>
      </c>
      <c r="AK5076">
        <v>6.5610633832030496</v>
      </c>
      <c r="AL5076">
        <v>86.054810374139905</v>
      </c>
      <c r="AM5076">
        <v>100.48211630027799</v>
      </c>
      <c r="AN5076">
        <v>0.99999998894471598</v>
      </c>
    </row>
    <row r="5077" spans="1:40" x14ac:dyDescent="0.25">
      <c r="A5077" t="str">
        <f>"20190312151129865"</f>
        <v>20190312151129865</v>
      </c>
      <c r="B5077" t="str">
        <f>"1552374689856214"</f>
        <v>1552374689856214</v>
      </c>
      <c r="C5077" t="s">
        <v>40</v>
      </c>
      <c r="D5077">
        <v>4.845834</v>
      </c>
      <c r="E5077">
        <v>0.45373599999999997</v>
      </c>
      <c r="F5077" t="s">
        <v>85</v>
      </c>
      <c r="G5077">
        <v>-412.9255</v>
      </c>
      <c r="H5077" s="1">
        <v>-9.6175739999999997E-6</v>
      </c>
      <c r="I5077">
        <v>28.391660000000002</v>
      </c>
      <c r="J5077">
        <v>-418.02089999999998</v>
      </c>
      <c r="K5077">
        <v>1.1153770000000001</v>
      </c>
      <c r="L5077">
        <v>33.497219999999999</v>
      </c>
      <c r="M5077">
        <v>0.45610099999999998</v>
      </c>
      <c r="N5077">
        <v>0</v>
      </c>
      <c r="O5077">
        <v>-0.88982799999999995</v>
      </c>
      <c r="P5077">
        <v>0.60865100000000005</v>
      </c>
      <c r="Q5077">
        <v>5.783758E-2</v>
      </c>
      <c r="R5077">
        <v>-0.79132760000000002</v>
      </c>
      <c r="S5077">
        <v>2.1463930000000002</v>
      </c>
      <c r="T5077">
        <v>-0.46334049999999999</v>
      </c>
      <c r="U5077">
        <v>-2.1759949999999999</v>
      </c>
      <c r="V5077">
        <v>-0.18157880000000001</v>
      </c>
      <c r="W5077">
        <v>6.8625190000000003E-2</v>
      </c>
      <c r="X5077">
        <v>0.98097900000000005</v>
      </c>
      <c r="Y5077">
        <v>-0.29210930000000002</v>
      </c>
      <c r="Z5077">
        <v>0.14382339999999999</v>
      </c>
      <c r="AA5077">
        <v>0.94550889999999999</v>
      </c>
      <c r="AB5077">
        <v>29</v>
      </c>
      <c r="AC5077">
        <v>5.0953999999999802</v>
      </c>
      <c r="AD5077">
        <v>-1.1153866175739999</v>
      </c>
      <c r="AE5077">
        <v>-5.1055599999999997</v>
      </c>
      <c r="AF5077">
        <v>-2.15406887220851</v>
      </c>
      <c r="AG5077">
        <v>-1.1153866175739999</v>
      </c>
      <c r="AH5077">
        <v>6.7073196204223704</v>
      </c>
      <c r="AI5077">
        <v>98.996919981584995</v>
      </c>
      <c r="AJ5077">
        <v>107.804523415083</v>
      </c>
      <c r="AK5077">
        <v>7.1324775852002302</v>
      </c>
      <c r="AL5077">
        <v>86.0649736494926</v>
      </c>
      <c r="AM5077">
        <v>100.48673470016701</v>
      </c>
      <c r="AN5077">
        <v>1.00000003787648</v>
      </c>
    </row>
    <row r="5078" spans="1:40" x14ac:dyDescent="0.25">
      <c r="A5078" t="str">
        <f>"20190312151129876"</f>
        <v>20190312151129876</v>
      </c>
      <c r="B5078" t="str">
        <f>"1552374689865974"</f>
        <v>1552374689865974</v>
      </c>
      <c r="C5078" t="s">
        <v>40</v>
      </c>
      <c r="D5078">
        <v>4.9800589999999998</v>
      </c>
      <c r="E5078">
        <v>0.4543452</v>
      </c>
      <c r="F5078" t="s">
        <v>85</v>
      </c>
      <c r="G5078">
        <v>-412.74619999999999</v>
      </c>
      <c r="H5078" s="1">
        <v>-9.6556449999999993E-6</v>
      </c>
      <c r="I5078">
        <v>28.170750000000002</v>
      </c>
      <c r="J5078">
        <v>-417.9468</v>
      </c>
      <c r="K5078">
        <v>1.115381</v>
      </c>
      <c r="L5078">
        <v>33.36063</v>
      </c>
      <c r="M5078">
        <v>0.45945989999999998</v>
      </c>
      <c r="N5078">
        <v>0</v>
      </c>
      <c r="O5078">
        <v>-0.88809839999999995</v>
      </c>
      <c r="P5078">
        <v>0.61186319999999905</v>
      </c>
      <c r="Q5078">
        <v>5.7804130000000002E-2</v>
      </c>
      <c r="R5078">
        <v>-0.78884909999999997</v>
      </c>
      <c r="S5078">
        <v>2.1497190000000002</v>
      </c>
      <c r="T5078">
        <v>-0.45458280000000001</v>
      </c>
      <c r="U5078">
        <v>-2.1708370000000001</v>
      </c>
      <c r="V5078">
        <v>-0.18185999999999999</v>
      </c>
      <c r="W5078">
        <v>6.858475E-2</v>
      </c>
      <c r="X5078">
        <v>0.98092970000000002</v>
      </c>
      <c r="Y5078">
        <v>-0.29066160000000002</v>
      </c>
      <c r="Z5078">
        <v>0.140985</v>
      </c>
      <c r="AA5078">
        <v>0.9463821</v>
      </c>
      <c r="AB5078">
        <v>28</v>
      </c>
      <c r="AC5078">
        <v>5.2005999999999997</v>
      </c>
      <c r="AD5078">
        <v>-1.115390655645</v>
      </c>
      <c r="AE5078">
        <v>-5.1898799999999898</v>
      </c>
      <c r="AF5078">
        <v>-2.1839678032820302</v>
      </c>
      <c r="AG5078">
        <v>-1.115390655645</v>
      </c>
      <c r="AH5078">
        <v>6.8415374934714199</v>
      </c>
      <c r="AI5078">
        <v>98.8281227111829</v>
      </c>
      <c r="AJ5078">
        <v>107.704215742087</v>
      </c>
      <c r="AK5078">
        <v>7.2677676734364596</v>
      </c>
      <c r="AL5078">
        <v>86.067296021233204</v>
      </c>
      <c r="AM5078">
        <v>100.50312988332</v>
      </c>
      <c r="AN5078">
        <v>1.0000000019373201</v>
      </c>
    </row>
    <row r="5079" spans="1:40" x14ac:dyDescent="0.25">
      <c r="A5079" t="str">
        <f>"20190312151129889"</f>
        <v>20190312151129889</v>
      </c>
      <c r="B5079" t="str">
        <f>"1552374689886470"</f>
        <v>1552374689886470</v>
      </c>
      <c r="C5079" t="s">
        <v>40</v>
      </c>
      <c r="D5079">
        <v>4.8973250000000004</v>
      </c>
      <c r="E5079">
        <v>0.45541330000000002</v>
      </c>
      <c r="F5079" t="s">
        <v>85</v>
      </c>
      <c r="G5079">
        <v>-412.59449999999998</v>
      </c>
      <c r="H5079" s="1">
        <v>-9.6877429999999997E-6</v>
      </c>
      <c r="I5079">
        <v>27.98282</v>
      </c>
      <c r="J5079">
        <v>-417.87630000000001</v>
      </c>
      <c r="K5079">
        <v>1.1153879999999901</v>
      </c>
      <c r="L5079">
        <v>33.23236</v>
      </c>
      <c r="M5079">
        <v>0.46262809999999999</v>
      </c>
      <c r="N5079">
        <v>0</v>
      </c>
      <c r="O5079">
        <v>-0.88645209999999997</v>
      </c>
      <c r="P5079">
        <v>0.61485800000000002</v>
      </c>
      <c r="Q5079">
        <v>5.7458269999999999E-2</v>
      </c>
      <c r="R5079">
        <v>-0.78654209999999902</v>
      </c>
      <c r="S5079">
        <v>2.1545100000000001</v>
      </c>
      <c r="T5079">
        <v>-0.44899210000000001</v>
      </c>
      <c r="U5079">
        <v>-2.1647949999999998</v>
      </c>
      <c r="V5079">
        <v>-0.18207200000000001</v>
      </c>
      <c r="W5079">
        <v>6.8233180000000004E-2</v>
      </c>
      <c r="X5079">
        <v>0.98091490000000003</v>
      </c>
      <c r="Y5079">
        <v>-0.28981829999999997</v>
      </c>
      <c r="Z5079">
        <v>0.1391242</v>
      </c>
      <c r="AA5079">
        <v>0.94691599999999998</v>
      </c>
      <c r="AB5079">
        <v>28</v>
      </c>
      <c r="AC5079">
        <v>5.2818000000000298</v>
      </c>
      <c r="AD5079">
        <v>-1.1153976877430001</v>
      </c>
      <c r="AE5079">
        <v>-5.2495399999999997</v>
      </c>
      <c r="AF5079">
        <v>-2.2042275362974002</v>
      </c>
      <c r="AG5079">
        <v>-1.1153976877430001</v>
      </c>
      <c r="AH5079">
        <v>6.9418683032989703</v>
      </c>
      <c r="AI5079">
        <v>98.706751515209106</v>
      </c>
      <c r="AJ5079">
        <v>107.616025513699</v>
      </c>
      <c r="AK5079">
        <v>7.3683286146819702</v>
      </c>
      <c r="AL5079">
        <v>86.087486831877001</v>
      </c>
      <c r="AM5079">
        <v>100.515255907982</v>
      </c>
      <c r="AN5079">
        <v>1.00000001053946</v>
      </c>
    </row>
    <row r="5080" spans="1:40" x14ac:dyDescent="0.25">
      <c r="A5080" t="str">
        <f>"20190312151129904"</f>
        <v>20190312151129904</v>
      </c>
      <c r="B5080" t="str">
        <f>"1552374689896230"</f>
        <v>1552374689896230</v>
      </c>
      <c r="C5080" t="s">
        <v>40</v>
      </c>
      <c r="D5080">
        <v>5.187684</v>
      </c>
      <c r="E5080">
        <v>0.45576499999999998</v>
      </c>
      <c r="F5080" t="s">
        <v>85</v>
      </c>
      <c r="G5080">
        <v>-412.69729999999998</v>
      </c>
      <c r="H5080" s="1">
        <v>-9.6579949999999993E-6</v>
      </c>
      <c r="I5080">
        <v>28.039079999999998</v>
      </c>
      <c r="J5080">
        <v>-417.79129999999998</v>
      </c>
      <c r="K5080">
        <v>1.1153949999999999</v>
      </c>
      <c r="L5080">
        <v>33.079039999999999</v>
      </c>
      <c r="M5080">
        <v>0.46641969999999999</v>
      </c>
      <c r="N5080">
        <v>0</v>
      </c>
      <c r="O5080">
        <v>-0.884462999999999</v>
      </c>
      <c r="P5080">
        <v>0.61848009999999998</v>
      </c>
      <c r="Q5080">
        <v>5.7525600000000003E-2</v>
      </c>
      <c r="R5080">
        <v>-0.78369219999999995</v>
      </c>
      <c r="S5080">
        <v>2.1564030000000001</v>
      </c>
      <c r="T5080">
        <v>-0.46443020000000002</v>
      </c>
      <c r="U5080">
        <v>-2.1623839999999999</v>
      </c>
      <c r="V5080">
        <v>-0.18240149999999999</v>
      </c>
      <c r="W5080">
        <v>6.8292179999999994E-2</v>
      </c>
      <c r="X5080">
        <v>0.98084959999999999</v>
      </c>
      <c r="Y5080">
        <v>-0.2861629</v>
      </c>
      <c r="Z5080">
        <v>0.14348459999999999</v>
      </c>
      <c r="AA5080">
        <v>0.94737689999999997</v>
      </c>
      <c r="AB5080">
        <v>28</v>
      </c>
      <c r="AC5080">
        <v>5.0939999999999896</v>
      </c>
      <c r="AD5080">
        <v>-1.1154046579950001</v>
      </c>
      <c r="AE5080">
        <v>-5.0399599999999998</v>
      </c>
      <c r="AF5080">
        <v>-2.1039346358473399</v>
      </c>
      <c r="AG5080">
        <v>-1.1154046579950001</v>
      </c>
      <c r="AH5080">
        <v>6.6725430671221204</v>
      </c>
      <c r="AI5080">
        <v>99.058201897404999</v>
      </c>
      <c r="AJ5080">
        <v>107.500702053949</v>
      </c>
      <c r="AK5080">
        <v>7.08473707949664</v>
      </c>
      <c r="AL5080">
        <v>86.084098566985901</v>
      </c>
      <c r="AM5080">
        <v>100.534545653067</v>
      </c>
      <c r="AN5080">
        <v>1.0000000334357799</v>
      </c>
    </row>
    <row r="5081" spans="1:40" x14ac:dyDescent="0.25">
      <c r="A5081" t="str">
        <f>"20190312151129920"</f>
        <v>20190312151129920</v>
      </c>
      <c r="B5081" t="str">
        <f>"1552374689916726"</f>
        <v>1552374689916726</v>
      </c>
      <c r="C5081" t="s">
        <v>40</v>
      </c>
      <c r="D5081">
        <v>5.0703899999999997</v>
      </c>
      <c r="E5081">
        <v>0.45650570000000001</v>
      </c>
      <c r="F5081" t="s">
        <v>85</v>
      </c>
      <c r="G5081">
        <v>-412.59210000000002</v>
      </c>
      <c r="H5081" s="1">
        <v>-9.6796800000000001E-6</v>
      </c>
      <c r="I5081">
        <v>27.903510000000001</v>
      </c>
      <c r="J5081">
        <v>-417.68329999999997</v>
      </c>
      <c r="K5081">
        <v>1.115405</v>
      </c>
      <c r="L5081">
        <v>32.88608</v>
      </c>
      <c r="M5081">
        <v>0.47120709999999999</v>
      </c>
      <c r="N5081">
        <v>0</v>
      </c>
      <c r="O5081">
        <v>-0.88192169999999903</v>
      </c>
      <c r="P5081">
        <v>0.62290809999999996</v>
      </c>
      <c r="Q5081">
        <v>5.7165069999999998E-2</v>
      </c>
      <c r="R5081">
        <v>-0.7802038</v>
      </c>
      <c r="S5081">
        <v>2.1640929999999998</v>
      </c>
      <c r="T5081">
        <v>-0.46426990000000001</v>
      </c>
      <c r="U5081">
        <v>-2.154236</v>
      </c>
      <c r="V5081">
        <v>-0.18262410000000001</v>
      </c>
      <c r="W5081">
        <v>6.792397E-2</v>
      </c>
      <c r="X5081">
        <v>0.98083370000000003</v>
      </c>
      <c r="Y5081">
        <v>-0.28447600000000001</v>
      </c>
      <c r="Z5081">
        <v>0.1431134</v>
      </c>
      <c r="AA5081">
        <v>0.94794089999999998</v>
      </c>
      <c r="AB5081">
        <v>28</v>
      </c>
      <c r="AC5081">
        <v>5.09119999999995</v>
      </c>
      <c r="AD5081">
        <v>-1.11541467968</v>
      </c>
      <c r="AE5081">
        <v>-4.9825699999999999</v>
      </c>
      <c r="AF5081">
        <v>-2.0911395004746001</v>
      </c>
      <c r="AG5081">
        <v>-1.11541467968</v>
      </c>
      <c r="AH5081">
        <v>6.6312716240417098</v>
      </c>
      <c r="AI5081">
        <v>99.113630627790499</v>
      </c>
      <c r="AJ5081">
        <v>107.502417293579</v>
      </c>
      <c r="AK5081">
        <v>7.0420719727869603</v>
      </c>
      <c r="AL5081">
        <v>86.105244367562506</v>
      </c>
      <c r="AM5081">
        <v>100.547280691327</v>
      </c>
      <c r="AN5081">
        <v>0.99999998732853002</v>
      </c>
    </row>
    <row r="5082" spans="1:40" x14ac:dyDescent="0.25">
      <c r="A5082" t="str">
        <f>"20190312151129935"</f>
        <v>20190312151129935</v>
      </c>
      <c r="B5082" t="str">
        <f>"1552374689926486"</f>
        <v>1552374689926486</v>
      </c>
      <c r="C5082" t="s">
        <v>40</v>
      </c>
      <c r="D5082">
        <v>4.866136</v>
      </c>
      <c r="E5082">
        <v>0.45693830000000002</v>
      </c>
      <c r="F5082" t="s">
        <v>85</v>
      </c>
      <c r="G5082">
        <v>-412.46899999999999</v>
      </c>
      <c r="H5082" s="1">
        <v>-9.7038879999999992E-6</v>
      </c>
      <c r="I5082">
        <v>27.73461</v>
      </c>
      <c r="J5082">
        <v>-417.59350000000001</v>
      </c>
      <c r="K5082">
        <v>1.115416</v>
      </c>
      <c r="L5082">
        <v>32.72775</v>
      </c>
      <c r="M5082">
        <v>0.47515039999999997</v>
      </c>
      <c r="N5082">
        <v>0</v>
      </c>
      <c r="O5082">
        <v>-0.87980349999999996</v>
      </c>
      <c r="P5082">
        <v>0.62631759999999903</v>
      </c>
      <c r="Q5082">
        <v>5.7050959999999998E-2</v>
      </c>
      <c r="R5082">
        <v>-0.77747809999999995</v>
      </c>
      <c r="S5082">
        <v>2.1715390000000001</v>
      </c>
      <c r="T5082">
        <v>-0.46452680000000002</v>
      </c>
      <c r="U5082">
        <v>-2.1453859999999998</v>
      </c>
      <c r="V5082">
        <v>-0.18252309999999999</v>
      </c>
      <c r="W5082">
        <v>6.7807409999999999E-2</v>
      </c>
      <c r="X5082">
        <v>0.98086059999999997</v>
      </c>
      <c r="Y5082">
        <v>-0.2837712</v>
      </c>
      <c r="Z5082">
        <v>0.14297799999999999</v>
      </c>
      <c r="AA5082">
        <v>0.94817260000000003</v>
      </c>
      <c r="AB5082">
        <v>28</v>
      </c>
      <c r="AC5082">
        <v>5.12450000000001</v>
      </c>
      <c r="AD5082">
        <v>-1.115425703888</v>
      </c>
      <c r="AE5082">
        <v>-4.9931400000000004</v>
      </c>
      <c r="AF5082">
        <v>-2.0855628539712701</v>
      </c>
      <c r="AG5082">
        <v>-1.115425703888</v>
      </c>
      <c r="AH5082">
        <v>6.6664749776401502</v>
      </c>
      <c r="AI5082">
        <v>99.072773172283405</v>
      </c>
      <c r="AJ5082">
        <v>107.37194899714</v>
      </c>
      <c r="AK5082">
        <v>7.0735871766919702</v>
      </c>
      <c r="AL5082">
        <v>86.111938330631105</v>
      </c>
      <c r="AM5082">
        <v>100.54129569459199</v>
      </c>
      <c r="AN5082">
        <v>1.0000000217584299</v>
      </c>
    </row>
    <row r="5083" spans="1:40" x14ac:dyDescent="0.25">
      <c r="A5083" t="str">
        <f>"20190312151129953"</f>
        <v>20190312151129953</v>
      </c>
      <c r="B5083" t="str">
        <f>"1552374689946006"</f>
        <v>1552374689946006</v>
      </c>
      <c r="C5083" t="s">
        <v>40</v>
      </c>
      <c r="D5083">
        <v>5.0282980000000004</v>
      </c>
      <c r="E5083">
        <v>0.4576115</v>
      </c>
      <c r="F5083" t="s">
        <v>85</v>
      </c>
      <c r="G5083">
        <v>-412.37189999999998</v>
      </c>
      <c r="H5083" s="1">
        <v>-9.7231300000000005E-6</v>
      </c>
      <c r="I5083">
        <v>27.602650000000001</v>
      </c>
      <c r="J5083">
        <v>-417.47539999999998</v>
      </c>
      <c r="K5083">
        <v>1.1154309999999901</v>
      </c>
      <c r="L5083">
        <v>32.521880000000003</v>
      </c>
      <c r="M5083">
        <v>0.48029650000000002</v>
      </c>
      <c r="N5083">
        <v>0</v>
      </c>
      <c r="O5083">
        <v>-0.87700460000000002</v>
      </c>
      <c r="P5083">
        <v>0.63076599999999905</v>
      </c>
      <c r="Q5083">
        <v>5.6398669999999998E-2</v>
      </c>
      <c r="R5083">
        <v>-0.77392099999999997</v>
      </c>
      <c r="S5083">
        <v>2.1782840000000001</v>
      </c>
      <c r="T5083">
        <v>-0.46532030000000002</v>
      </c>
      <c r="U5083">
        <v>-2.1380309999999998</v>
      </c>
      <c r="V5083">
        <v>-0.18237310000000001</v>
      </c>
      <c r="W5083">
        <v>6.7152770000000001E-2</v>
      </c>
      <c r="X5083">
        <v>0.98093350000000001</v>
      </c>
      <c r="Y5083">
        <v>-0.28125539999999999</v>
      </c>
      <c r="Z5083">
        <v>0.14283080000000001</v>
      </c>
      <c r="AA5083">
        <v>0.94894400000000001</v>
      </c>
      <c r="AB5083">
        <v>28</v>
      </c>
      <c r="AC5083">
        <v>5.1034999999999897</v>
      </c>
      <c r="AD5083">
        <v>-1.1154407231300001</v>
      </c>
      <c r="AE5083">
        <v>-4.91922999999999</v>
      </c>
      <c r="AF5083">
        <v>-2.06222533982125</v>
      </c>
      <c r="AG5083">
        <v>-1.1154407231300001</v>
      </c>
      <c r="AH5083">
        <v>6.6024857241033699</v>
      </c>
      <c r="AI5083">
        <v>99.160630473566499</v>
      </c>
      <c r="AJ5083">
        <v>107.345711657121</v>
      </c>
      <c r="AK5083">
        <v>7.0064112851021303</v>
      </c>
      <c r="AL5083">
        <v>86.149531995196696</v>
      </c>
      <c r="AM5083">
        <v>100.53206139491</v>
      </c>
      <c r="AN5083">
        <v>0.99999998677226598</v>
      </c>
    </row>
    <row r="5084" spans="1:40" x14ac:dyDescent="0.25">
      <c r="A5084" t="str">
        <f>"20190312151129965"</f>
        <v>20190312151129965</v>
      </c>
      <c r="B5084" t="str">
        <f>"1552374689956741"</f>
        <v>1552374689956741</v>
      </c>
      <c r="C5084" t="s">
        <v>40</v>
      </c>
      <c r="D5084">
        <v>5.1974039999999997</v>
      </c>
      <c r="E5084">
        <v>0.45797399999999999</v>
      </c>
      <c r="F5084" t="s">
        <v>85</v>
      </c>
      <c r="G5084">
        <v>-412.24040000000002</v>
      </c>
      <c r="H5084" s="1">
        <v>-9.7493130000000006E-6</v>
      </c>
      <c r="I5084">
        <v>27.424980000000001</v>
      </c>
      <c r="J5084">
        <v>-417.40280000000001</v>
      </c>
      <c r="K5084">
        <v>1.1154409999999999</v>
      </c>
      <c r="L5084">
        <v>32.396940000000001</v>
      </c>
      <c r="M5084">
        <v>0.48343320000000001</v>
      </c>
      <c r="N5084">
        <v>0</v>
      </c>
      <c r="O5084">
        <v>-0.87527940000000004</v>
      </c>
      <c r="P5084">
        <v>0.63332869999999997</v>
      </c>
      <c r="Q5084">
        <v>5.640063E-2</v>
      </c>
      <c r="R5084">
        <v>-0.77182489999999904</v>
      </c>
      <c r="S5084">
        <v>2.186188</v>
      </c>
      <c r="T5084">
        <v>-0.46581790000000001</v>
      </c>
      <c r="U5084">
        <v>-2.1285099999999999</v>
      </c>
      <c r="V5084">
        <v>-0.18211530000000001</v>
      </c>
      <c r="W5084">
        <v>6.7154679999999994E-2</v>
      </c>
      <c r="X5084">
        <v>0.98098129999999994</v>
      </c>
      <c r="Y5084">
        <v>-0.28164650000000002</v>
      </c>
      <c r="Z5084">
        <v>0.14285210000000001</v>
      </c>
      <c r="AA5084">
        <v>0.94882480000000002</v>
      </c>
      <c r="AB5084">
        <v>28</v>
      </c>
      <c r="AC5084">
        <v>5.1623999999999901</v>
      </c>
      <c r="AD5084">
        <v>-1.1154507493129999</v>
      </c>
      <c r="AE5084">
        <v>-4.9719600000000002</v>
      </c>
      <c r="AF5084">
        <v>-2.06510241737013</v>
      </c>
      <c r="AG5084">
        <v>-1.1154507493129999</v>
      </c>
      <c r="AH5084">
        <v>6.6861966399207002</v>
      </c>
      <c r="AI5084">
        <v>99.056705019378498</v>
      </c>
      <c r="AJ5084">
        <v>107.16385558184299</v>
      </c>
      <c r="AK5084">
        <v>7.0861910696831902</v>
      </c>
      <c r="AL5084">
        <v>86.149422449459394</v>
      </c>
      <c r="AM5084">
        <v>100.517004799612</v>
      </c>
      <c r="AN5084">
        <v>1.00000002224484</v>
      </c>
    </row>
    <row r="5085" spans="1:40" x14ac:dyDescent="0.25">
      <c r="A5085" t="str">
        <f>"20190312151129977"</f>
        <v>20190312151129977</v>
      </c>
      <c r="B5085" t="str">
        <f>"1552374689966503"</f>
        <v>1552374689966503</v>
      </c>
      <c r="C5085" t="s">
        <v>40</v>
      </c>
      <c r="D5085">
        <v>4.9231660000000002</v>
      </c>
      <c r="E5085">
        <v>0.45826440000000002</v>
      </c>
      <c r="F5085" t="s">
        <v>85</v>
      </c>
      <c r="G5085">
        <v>-412.16410000000002</v>
      </c>
      <c r="H5085" s="1">
        <v>-9.7655050000000003E-6</v>
      </c>
      <c r="I5085">
        <v>27.320740000000001</v>
      </c>
      <c r="J5085">
        <v>-417.32859999999999</v>
      </c>
      <c r="K5085">
        <v>1.1154520000000001</v>
      </c>
      <c r="L5085">
        <v>32.269620000000003</v>
      </c>
      <c r="M5085">
        <v>0.48663240000000002</v>
      </c>
      <c r="N5085">
        <v>0</v>
      </c>
      <c r="O5085">
        <v>-0.87350490000000003</v>
      </c>
      <c r="P5085">
        <v>0.63592179999999998</v>
      </c>
      <c r="Q5085">
        <v>5.6477819999999998E-2</v>
      </c>
      <c r="R5085">
        <v>-0.76968429999999999</v>
      </c>
      <c r="S5085">
        <v>2.191071</v>
      </c>
      <c r="T5085">
        <v>-0.46652700000000003</v>
      </c>
      <c r="U5085">
        <v>-2.1230769999999999</v>
      </c>
      <c r="V5085">
        <v>-0.18183179999999999</v>
      </c>
      <c r="W5085">
        <v>6.7231739999999998E-2</v>
      </c>
      <c r="X5085">
        <v>0.98102860000000003</v>
      </c>
      <c r="Y5085">
        <v>-0.28039999999999998</v>
      </c>
      <c r="Z5085">
        <v>0.14283299999999999</v>
      </c>
      <c r="AA5085">
        <v>0.94919679999999995</v>
      </c>
      <c r="AB5085">
        <v>28</v>
      </c>
      <c r="AC5085">
        <v>5.1644999999999701</v>
      </c>
      <c r="AD5085">
        <v>-1.1154617655050001</v>
      </c>
      <c r="AE5085">
        <v>-4.9488799999999999</v>
      </c>
      <c r="AF5085">
        <v>-2.0531861395141902</v>
      </c>
      <c r="AG5085">
        <v>-1.1154617655050001</v>
      </c>
      <c r="AH5085">
        <v>6.6743772416567904</v>
      </c>
      <c r="AI5085">
        <v>99.075675502132498</v>
      </c>
      <c r="AJ5085">
        <v>107.09905573200901</v>
      </c>
      <c r="AK5085">
        <v>7.0715726566120196</v>
      </c>
      <c r="AL5085">
        <v>86.144997196892604</v>
      </c>
      <c r="AM5085">
        <v>100.50050231747301</v>
      </c>
      <c r="AN5085">
        <v>1.00000001218631</v>
      </c>
    </row>
    <row r="5086" spans="1:40" x14ac:dyDescent="0.25">
      <c r="A5086" t="str">
        <f>"20190312151129991"</f>
        <v>20190312151129991</v>
      </c>
      <c r="B5086" t="str">
        <f>"1552374689986022"</f>
        <v>1552374689986022</v>
      </c>
      <c r="C5086" t="s">
        <v>40</v>
      </c>
      <c r="D5086">
        <v>5.0700849999999997</v>
      </c>
      <c r="E5086">
        <v>0.4589261</v>
      </c>
      <c r="F5086" t="s">
        <v>85</v>
      </c>
      <c r="G5086">
        <v>-412.0813</v>
      </c>
      <c r="H5086" s="1">
        <v>-9.7847270000000002E-6</v>
      </c>
      <c r="I5086">
        <v>27.2119</v>
      </c>
      <c r="J5086">
        <v>-417.2373</v>
      </c>
      <c r="K5086">
        <v>1.115472</v>
      </c>
      <c r="L5086">
        <v>32.115540000000003</v>
      </c>
      <c r="M5086">
        <v>0.49053350000000001</v>
      </c>
      <c r="N5086">
        <v>0</v>
      </c>
      <c r="O5086">
        <v>-0.87132009999999904</v>
      </c>
      <c r="P5086">
        <v>0.63938439999999996</v>
      </c>
      <c r="Q5086">
        <v>5.6260739999999997E-2</v>
      </c>
      <c r="R5086">
        <v>-0.76682629999999996</v>
      </c>
      <c r="S5086">
        <v>2.1965330000000001</v>
      </c>
      <c r="T5086">
        <v>-0.46693800000000002</v>
      </c>
      <c r="U5086">
        <v>-2.1171880000000001</v>
      </c>
      <c r="V5086">
        <v>-0.18185850000000001</v>
      </c>
      <c r="W5086">
        <v>6.7008620000000005E-2</v>
      </c>
      <c r="X5086">
        <v>0.98103890000000005</v>
      </c>
      <c r="Y5086">
        <v>-0.27861770000000002</v>
      </c>
      <c r="Z5086">
        <v>0.1426501</v>
      </c>
      <c r="AA5086">
        <v>0.94974899999999995</v>
      </c>
      <c r="AB5086">
        <v>28</v>
      </c>
      <c r="AC5086">
        <v>5.1559999999999997</v>
      </c>
      <c r="AD5086">
        <v>-1.115481784727</v>
      </c>
      <c r="AE5086">
        <v>-4.9036400000000002</v>
      </c>
      <c r="AF5086">
        <v>-2.03724472035602</v>
      </c>
      <c r="AG5086">
        <v>-1.115481784727</v>
      </c>
      <c r="AH5086">
        <v>6.6392680613499602</v>
      </c>
      <c r="AI5086">
        <v>99.124974718225502</v>
      </c>
      <c r="AJ5086">
        <v>107.05851594008099</v>
      </c>
      <c r="AK5086">
        <v>7.03381447389238</v>
      </c>
      <c r="AL5086">
        <v>86.157809863755404</v>
      </c>
      <c r="AM5086">
        <v>100.50190209113499</v>
      </c>
      <c r="AN5086">
        <v>0.99999999624488201</v>
      </c>
    </row>
    <row r="5087" spans="1:40" x14ac:dyDescent="0.25">
      <c r="A5087" t="str">
        <f>"20190312151130009"</f>
        <v>20190312151130009</v>
      </c>
      <c r="B5087" t="str">
        <f>"1552374690006518"</f>
        <v>1552374690006518</v>
      </c>
      <c r="C5087" t="s">
        <v>40</v>
      </c>
      <c r="D5087">
        <v>4.8646830000000003</v>
      </c>
      <c r="E5087">
        <v>0.45944580000000002</v>
      </c>
      <c r="F5087" t="s">
        <v>85</v>
      </c>
      <c r="G5087">
        <v>-411.98869999999999</v>
      </c>
      <c r="H5087" s="1">
        <v>-9.8056869999999994E-6</v>
      </c>
      <c r="I5087">
        <v>27.084779999999999</v>
      </c>
      <c r="J5087">
        <v>-417.12090000000001</v>
      </c>
      <c r="K5087">
        <v>1.115489</v>
      </c>
      <c r="L5087">
        <v>31.920870000000001</v>
      </c>
      <c r="M5087">
        <v>0.4954828</v>
      </c>
      <c r="N5087">
        <v>0</v>
      </c>
      <c r="O5087">
        <v>-0.86851499999999904</v>
      </c>
      <c r="P5087">
        <v>0.64358789999999999</v>
      </c>
      <c r="Q5087">
        <v>5.6242640000000003E-2</v>
      </c>
      <c r="R5087">
        <v>-0.76330290000000001</v>
      </c>
      <c r="S5087">
        <v>2.201965</v>
      </c>
      <c r="T5087">
        <v>-0.46798050000000002</v>
      </c>
      <c r="U5087">
        <v>-2.1105649999999998</v>
      </c>
      <c r="V5087">
        <v>-0.18166969999999999</v>
      </c>
      <c r="W5087">
        <v>6.6985310000000006E-2</v>
      </c>
      <c r="X5087">
        <v>0.98107549999999999</v>
      </c>
      <c r="Y5087">
        <v>-0.27580710000000003</v>
      </c>
      <c r="Z5087">
        <v>0.14256540000000001</v>
      </c>
      <c r="AA5087">
        <v>0.95058169999999997</v>
      </c>
      <c r="AB5087">
        <v>28</v>
      </c>
      <c r="AC5087">
        <v>5.1322000000000099</v>
      </c>
      <c r="AD5087">
        <v>-1.1154988056870001</v>
      </c>
      <c r="AE5087">
        <v>-4.8360900000000004</v>
      </c>
      <c r="AF5087">
        <v>-2.0110541203160199</v>
      </c>
      <c r="AG5087">
        <v>-1.1154988056870001</v>
      </c>
      <c r="AH5087">
        <v>6.5791047739217499</v>
      </c>
      <c r="AI5087">
        <v>99.210111678345001</v>
      </c>
      <c r="AJ5087">
        <v>106.996972988702</v>
      </c>
      <c r="AK5087">
        <v>6.9694544898843498</v>
      </c>
      <c r="AL5087">
        <v>86.159148543356906</v>
      </c>
      <c r="AM5087">
        <v>100.49085882810699</v>
      </c>
      <c r="AN5087">
        <v>1.0000000241770599</v>
      </c>
    </row>
    <row r="5088" spans="1:40" x14ac:dyDescent="0.25">
      <c r="A5088" t="str">
        <f>"20190312151130022"</f>
        <v>20190312151130022</v>
      </c>
      <c r="B5088" t="str">
        <f>"1552374690016278"</f>
        <v>1552374690016278</v>
      </c>
      <c r="C5088" t="s">
        <v>40</v>
      </c>
      <c r="D5088">
        <v>5.3772799999999998</v>
      </c>
      <c r="E5088">
        <v>0.45971430000000002</v>
      </c>
      <c r="F5088" t="s">
        <v>85</v>
      </c>
      <c r="G5088">
        <v>-411.86070000000001</v>
      </c>
      <c r="H5088" s="1">
        <v>-9.8357589999999994E-6</v>
      </c>
      <c r="I5088">
        <v>26.91968</v>
      </c>
      <c r="J5088">
        <v>-417.04059999999998</v>
      </c>
      <c r="K5088">
        <v>1.1155090000000001</v>
      </c>
      <c r="L5088">
        <v>31.787929999999999</v>
      </c>
      <c r="M5088">
        <v>0.49887789999999999</v>
      </c>
      <c r="N5088">
        <v>0</v>
      </c>
      <c r="O5088">
        <v>-0.86656949999999999</v>
      </c>
      <c r="P5088">
        <v>0.64639279999999999</v>
      </c>
      <c r="Q5088">
        <v>5.5990789999999999E-2</v>
      </c>
      <c r="R5088">
        <v>-0.76094779999999995</v>
      </c>
      <c r="S5088">
        <v>2.210175</v>
      </c>
      <c r="T5088">
        <v>-0.4686921</v>
      </c>
      <c r="U5088">
        <v>-2.101318</v>
      </c>
      <c r="V5088">
        <v>-0.18143049999999999</v>
      </c>
      <c r="W5088">
        <v>6.6731239999999997E-2</v>
      </c>
      <c r="X5088">
        <v>0.98113700000000004</v>
      </c>
      <c r="Y5088">
        <v>-0.2758872</v>
      </c>
      <c r="Z5088">
        <v>0.1425816</v>
      </c>
      <c r="AA5088">
        <v>0.95055599999999996</v>
      </c>
      <c r="AB5088">
        <v>28</v>
      </c>
      <c r="AC5088">
        <v>5.1798999999999698</v>
      </c>
      <c r="AD5088">
        <v>-1.115518835759</v>
      </c>
      <c r="AE5088">
        <v>-4.8682499999999997</v>
      </c>
      <c r="AF5088">
        <v>-2.0107478427297498</v>
      </c>
      <c r="AG5088">
        <v>-1.115518835759</v>
      </c>
      <c r="AH5088">
        <v>6.6399062356819698</v>
      </c>
      <c r="AI5088">
        <v>99.134474525836197</v>
      </c>
      <c r="AJ5088">
        <v>106.847768622792</v>
      </c>
      <c r="AK5088">
        <v>7.0267947158447503</v>
      </c>
      <c r="AL5088">
        <v>86.173738037592301</v>
      </c>
      <c r="AM5088">
        <v>100.476709644968</v>
      </c>
      <c r="AN5088">
        <v>0.99999994874559195</v>
      </c>
    </row>
    <row r="5089" spans="1:40" x14ac:dyDescent="0.25">
      <c r="A5089" t="str">
        <f>"20190312151130033"</f>
        <v>20190312151130033</v>
      </c>
      <c r="B5089" t="str">
        <f>"1552374690026039"</f>
        <v>1552374690026039</v>
      </c>
      <c r="C5089" t="s">
        <v>40</v>
      </c>
      <c r="D5089">
        <v>4.8778240000000004</v>
      </c>
      <c r="E5089">
        <v>0.45984380000000002</v>
      </c>
      <c r="F5089" t="s">
        <v>85</v>
      </c>
      <c r="G5089">
        <v>-411.77339999999998</v>
      </c>
      <c r="H5089" s="1">
        <v>-9.8565400000000007E-6</v>
      </c>
      <c r="I5089">
        <v>26.810189999999999</v>
      </c>
      <c r="J5089">
        <v>-416.96010000000001</v>
      </c>
      <c r="K5089">
        <v>1.115529</v>
      </c>
      <c r="L5089">
        <v>31.655819999999999</v>
      </c>
      <c r="M5089">
        <v>0.50226800000000005</v>
      </c>
      <c r="N5089">
        <v>0</v>
      </c>
      <c r="O5089">
        <v>-0.86460910000000002</v>
      </c>
      <c r="P5089">
        <v>0.64945819999999999</v>
      </c>
      <c r="Q5089">
        <v>5.5886720000000001E-2</v>
      </c>
      <c r="R5089">
        <v>-0.75834099999999904</v>
      </c>
      <c r="S5089">
        <v>2.2161870000000001</v>
      </c>
      <c r="T5089">
        <v>-0.46935559999999998</v>
      </c>
      <c r="U5089">
        <v>-2.0943909999999999</v>
      </c>
      <c r="V5089">
        <v>-0.1815455</v>
      </c>
      <c r="W5089">
        <v>6.6618469999999999E-2</v>
      </c>
      <c r="X5089">
        <v>0.98112339999999998</v>
      </c>
      <c r="Y5089">
        <v>-0.27497519999999998</v>
      </c>
      <c r="Z5089">
        <v>0.14253769999999999</v>
      </c>
      <c r="AA5089">
        <v>0.95082679999999997</v>
      </c>
      <c r="AB5089">
        <v>28</v>
      </c>
      <c r="AC5089">
        <v>5.1867000000000303</v>
      </c>
      <c r="AD5089">
        <v>-1.11553885654</v>
      </c>
      <c r="AE5089">
        <v>-4.8456299999999999</v>
      </c>
      <c r="AF5089">
        <v>-2.0014110921836599</v>
      </c>
      <c r="AG5089">
        <v>-1.11553885654</v>
      </c>
      <c r="AH5089">
        <v>6.6314969975907303</v>
      </c>
      <c r="AI5089">
        <v>99.148574031521505</v>
      </c>
      <c r="AJ5089">
        <v>106.79401450969399</v>
      </c>
      <c r="AK5089">
        <v>7.0161831311206004</v>
      </c>
      <c r="AL5089">
        <v>86.180213726660199</v>
      </c>
      <c r="AM5089">
        <v>100.48334524523401</v>
      </c>
      <c r="AN5089">
        <v>0.99999995757147397</v>
      </c>
    </row>
    <row r="5090" spans="1:40" x14ac:dyDescent="0.25">
      <c r="A5090" t="str">
        <f>"20190312151130045"</f>
        <v>20190312151130045</v>
      </c>
      <c r="B5090" t="str">
        <f>"1552374690036774"</f>
        <v>1552374690036774</v>
      </c>
      <c r="C5090" t="s">
        <v>40</v>
      </c>
      <c r="D5090">
        <v>5.0545609999999996</v>
      </c>
      <c r="E5090">
        <v>0.45984380000000002</v>
      </c>
      <c r="F5090" t="s">
        <v>85</v>
      </c>
      <c r="G5090">
        <v>-411.66730000000001</v>
      </c>
      <c r="H5090" s="1">
        <v>-9.8832009999999999E-6</v>
      </c>
      <c r="I5090">
        <v>26.6907</v>
      </c>
      <c r="J5090">
        <v>-416.88740000000001</v>
      </c>
      <c r="K5090">
        <v>1.1155469999999901</v>
      </c>
      <c r="L5090">
        <v>31.537839999999999</v>
      </c>
      <c r="M5090">
        <v>0.50531239999999999</v>
      </c>
      <c r="N5090">
        <v>0</v>
      </c>
      <c r="O5090">
        <v>-0.86283319999999997</v>
      </c>
      <c r="P5090">
        <v>0.65226790000000001</v>
      </c>
      <c r="Q5090">
        <v>5.562135E-2</v>
      </c>
      <c r="R5090">
        <v>-0.75594510000000004</v>
      </c>
      <c r="S5090">
        <v>2.2237550000000001</v>
      </c>
      <c r="T5090">
        <v>-0.46868520000000002</v>
      </c>
      <c r="U5090">
        <v>-2.0860599999999998</v>
      </c>
      <c r="V5090">
        <v>-0.18171780000000001</v>
      </c>
      <c r="W5090">
        <v>6.6344429999999996E-2</v>
      </c>
      <c r="X5090">
        <v>0.98111009999999998</v>
      </c>
      <c r="Y5090">
        <v>-0.2751344</v>
      </c>
      <c r="Z5090">
        <v>0.14215129999999901</v>
      </c>
      <c r="AA5090">
        <v>0.95083859999999998</v>
      </c>
      <c r="AB5090">
        <v>28</v>
      </c>
      <c r="AC5090">
        <v>5.2201000000000004</v>
      </c>
      <c r="AD5090">
        <v>-1.1155568832010001</v>
      </c>
      <c r="AE5090">
        <v>-4.8471399999999996</v>
      </c>
      <c r="AF5090">
        <v>-2.0057491619164001</v>
      </c>
      <c r="AG5090">
        <v>-1.1155568832010001</v>
      </c>
      <c r="AH5090">
        <v>6.6573944264216101</v>
      </c>
      <c r="AI5090">
        <v>99.115023038562697</v>
      </c>
      <c r="AJ5090">
        <v>106.76657754903501</v>
      </c>
      <c r="AK5090">
        <v>7.0419029678869496</v>
      </c>
      <c r="AL5090">
        <v>86.195949982034705</v>
      </c>
      <c r="AM5090">
        <v>100.493212914642</v>
      </c>
      <c r="AN5090">
        <v>0.99999998527543699</v>
      </c>
    </row>
    <row r="5091" spans="1:40" x14ac:dyDescent="0.25">
      <c r="A5091" t="str">
        <f>"20190312151130058"</f>
        <v>20190312151130058</v>
      </c>
      <c r="B5091" t="str">
        <f>"1552374690046534"</f>
        <v>1552374690046534</v>
      </c>
      <c r="C5091" t="s">
        <v>40</v>
      </c>
      <c r="D5091">
        <v>4.8783019999999997</v>
      </c>
      <c r="E5091">
        <v>0.45985340000000002</v>
      </c>
      <c r="F5091" t="s">
        <v>85</v>
      </c>
      <c r="G5091">
        <v>-411.58600000000001</v>
      </c>
      <c r="H5091" s="1">
        <v>-9.9038119999999994E-6</v>
      </c>
      <c r="I5091">
        <v>26.60117</v>
      </c>
      <c r="J5091">
        <v>-416.80360000000002</v>
      </c>
      <c r="K5091">
        <v>1.115567</v>
      </c>
      <c r="L5091">
        <v>31.402470000000001</v>
      </c>
      <c r="M5091">
        <v>0.50881009999999904</v>
      </c>
      <c r="N5091">
        <v>0</v>
      </c>
      <c r="O5091">
        <v>-0.86077519999999996</v>
      </c>
      <c r="P5091">
        <v>0.65551019999999904</v>
      </c>
      <c r="Q5091">
        <v>5.5551969999999999E-2</v>
      </c>
      <c r="R5091">
        <v>-0.75314060000000005</v>
      </c>
      <c r="S5091">
        <v>2.2313230000000002</v>
      </c>
      <c r="T5091">
        <v>-0.46952569999999999</v>
      </c>
      <c r="U5091">
        <v>-2.0777890000000001</v>
      </c>
      <c r="V5091">
        <v>-0.18195169999999999</v>
      </c>
      <c r="W5091">
        <v>6.6264030000000002E-2</v>
      </c>
      <c r="X5091">
        <v>0.98107219999999995</v>
      </c>
      <c r="Y5091">
        <v>-0.27471879999999999</v>
      </c>
      <c r="Z5091">
        <v>0.1421539</v>
      </c>
      <c r="AA5091">
        <v>0.95095839999999998</v>
      </c>
      <c r="AB5091">
        <v>28</v>
      </c>
      <c r="AC5091">
        <v>5.2176</v>
      </c>
      <c r="AD5091">
        <v>-1.115576903812</v>
      </c>
      <c r="AE5091">
        <v>-4.8013000000000003</v>
      </c>
      <c r="AF5091">
        <v>-1.9989324783834701</v>
      </c>
      <c r="AG5091">
        <v>-1.115576903812</v>
      </c>
      <c r="AH5091">
        <v>6.6242385877065804</v>
      </c>
      <c r="AI5091">
        <v>99.158843992799106</v>
      </c>
      <c r="AJ5091">
        <v>106.79173142211999</v>
      </c>
      <c r="AK5091">
        <v>7.0086218151870598</v>
      </c>
      <c r="AL5091">
        <v>86.200566786560501</v>
      </c>
      <c r="AM5091">
        <v>100.506815648176</v>
      </c>
      <c r="AN5091">
        <v>1.00000000220878</v>
      </c>
    </row>
    <row r="5092" spans="1:40" x14ac:dyDescent="0.25">
      <c r="A5092" t="str">
        <f>"20190312151130069"</f>
        <v>20190312151130069</v>
      </c>
      <c r="B5092" t="str">
        <f>"1552374690066054"</f>
        <v>1552374690066054</v>
      </c>
      <c r="C5092" t="s">
        <v>40</v>
      </c>
      <c r="D5092">
        <v>5.0164049999999998</v>
      </c>
      <c r="E5092">
        <v>0.4602369</v>
      </c>
      <c r="F5092" t="s">
        <v>85</v>
      </c>
      <c r="G5092">
        <v>-411.49650000000003</v>
      </c>
      <c r="H5092" s="1">
        <v>-9.9264879999999994E-6</v>
      </c>
      <c r="I5092">
        <v>26.50235</v>
      </c>
      <c r="J5092">
        <v>-416.72109999999998</v>
      </c>
      <c r="K5092">
        <v>1.1155839999999999</v>
      </c>
      <c r="L5092">
        <v>31.271149999999999</v>
      </c>
      <c r="M5092">
        <v>0.5122352</v>
      </c>
      <c r="N5092">
        <v>0</v>
      </c>
      <c r="O5092">
        <v>-0.85874130000000004</v>
      </c>
      <c r="P5092">
        <v>0.65850589999999998</v>
      </c>
      <c r="Q5092">
        <v>5.5572490000000002E-2</v>
      </c>
      <c r="R5092">
        <v>-0.7505212</v>
      </c>
      <c r="S5092">
        <v>2.2401119999999999</v>
      </c>
      <c r="T5092">
        <v>-0.47087590000000001</v>
      </c>
      <c r="U5092">
        <v>-2.068298</v>
      </c>
      <c r="V5092">
        <v>-0.1819567</v>
      </c>
      <c r="W5092">
        <v>6.6277340000000004E-2</v>
      </c>
      <c r="X5092">
        <v>0.98107040000000001</v>
      </c>
      <c r="Y5092">
        <v>-0.2748929</v>
      </c>
      <c r="Z5092">
        <v>0.14232810000000001</v>
      </c>
      <c r="AA5092">
        <v>0.95088200000000001</v>
      </c>
      <c r="AB5092">
        <v>28</v>
      </c>
      <c r="AC5092">
        <v>5.22459999999995</v>
      </c>
      <c r="AD5092">
        <v>-1.1155939264879999</v>
      </c>
      <c r="AE5092">
        <v>-4.7687999999999899</v>
      </c>
      <c r="AF5092">
        <v>-1.99440974388131</v>
      </c>
      <c r="AG5092">
        <v>-1.1155939264879999</v>
      </c>
      <c r="AH5092">
        <v>6.6076475359440696</v>
      </c>
      <c r="AI5092">
        <v>99.181404552465693</v>
      </c>
      <c r="AJ5092">
        <v>106.795576212889</v>
      </c>
      <c r="AK5092">
        <v>6.9916540242329903</v>
      </c>
      <c r="AL5092">
        <v>86.199802598181506</v>
      </c>
      <c r="AM5092">
        <v>100.507116792332</v>
      </c>
      <c r="AN5092">
        <v>1.00000002811426</v>
      </c>
    </row>
    <row r="5093" spans="1:40" x14ac:dyDescent="0.25">
      <c r="A5093" t="str">
        <f>"20190312151130082"</f>
        <v>20190312151130082</v>
      </c>
      <c r="B5093" t="str">
        <f>"1552374690076790"</f>
        <v>1552374690076790</v>
      </c>
      <c r="C5093" t="s">
        <v>40</v>
      </c>
      <c r="D5093">
        <v>5.0828629999999997</v>
      </c>
      <c r="E5093">
        <v>0.46045429999999998</v>
      </c>
      <c r="F5093" t="s">
        <v>85</v>
      </c>
      <c r="G5093">
        <v>-411.37029999999999</v>
      </c>
      <c r="H5093" s="1">
        <v>-9.9581300000000008E-6</v>
      </c>
      <c r="I5093">
        <v>26.36009</v>
      </c>
      <c r="J5093">
        <v>-416.64249999999998</v>
      </c>
      <c r="K5093">
        <v>1.115599</v>
      </c>
      <c r="L5093">
        <v>31.146640000000001</v>
      </c>
      <c r="M5093">
        <v>0.5154879</v>
      </c>
      <c r="N5093">
        <v>0</v>
      </c>
      <c r="O5093">
        <v>-0.85679259999999902</v>
      </c>
      <c r="P5093">
        <v>0.66160299999999905</v>
      </c>
      <c r="Q5093">
        <v>5.5617220000000002E-2</v>
      </c>
      <c r="R5093">
        <v>-0.74778909999999998</v>
      </c>
      <c r="S5093">
        <v>2.245911</v>
      </c>
      <c r="T5093">
        <v>-0.46825280000000002</v>
      </c>
      <c r="U5093">
        <v>-2.06134</v>
      </c>
      <c r="V5093">
        <v>-0.18229780000000001</v>
      </c>
      <c r="W5093">
        <v>6.6309709999999994E-2</v>
      </c>
      <c r="X5093">
        <v>0.98100480000000001</v>
      </c>
      <c r="Y5093">
        <v>-0.27418169999999997</v>
      </c>
      <c r="Z5093">
        <v>0.141317</v>
      </c>
      <c r="AA5093">
        <v>0.95123809999999998</v>
      </c>
      <c r="AB5093">
        <v>28</v>
      </c>
      <c r="AC5093">
        <v>5.27219999999999</v>
      </c>
      <c r="AD5093">
        <v>-1.1156089581299999</v>
      </c>
      <c r="AE5093">
        <v>-4.7865499999999903</v>
      </c>
      <c r="AF5093">
        <v>-2.0008466306928598</v>
      </c>
      <c r="AG5093">
        <v>-1.1156089581299999</v>
      </c>
      <c r="AH5093">
        <v>6.6560749107425998</v>
      </c>
      <c r="AI5093">
        <v>99.118892481379802</v>
      </c>
      <c r="AJ5093">
        <v>106.73101887081999</v>
      </c>
      <c r="AK5093">
        <v>7.0392686981271</v>
      </c>
      <c r="AL5093">
        <v>86.197943515385305</v>
      </c>
      <c r="AM5093">
        <v>100.527061990192</v>
      </c>
      <c r="AN5093">
        <v>0.99999994157408001</v>
      </c>
    </row>
    <row r="5094" spans="1:40" x14ac:dyDescent="0.25">
      <c r="A5094" t="str">
        <f>"20190312151130094"</f>
        <v>20190312151130094</v>
      </c>
      <c r="B5094" t="str">
        <f>"1552374690086550"</f>
        <v>1552374690086550</v>
      </c>
      <c r="C5094" t="s">
        <v>40</v>
      </c>
      <c r="D5094">
        <v>4.8775829999999996</v>
      </c>
      <c r="E5094">
        <v>0.46064850000000002</v>
      </c>
      <c r="F5094" t="s">
        <v>85</v>
      </c>
      <c r="G5094">
        <v>-411.25689999999997</v>
      </c>
      <c r="H5094" s="1">
        <v>-9.9873530000000001E-6</v>
      </c>
      <c r="I5094">
        <v>26.239719999999998</v>
      </c>
      <c r="J5094">
        <v>-416.55799999999999</v>
      </c>
      <c r="K5094">
        <v>1.1156200000000001</v>
      </c>
      <c r="L5094">
        <v>31.01407</v>
      </c>
      <c r="M5094">
        <v>0.51896819999999999</v>
      </c>
      <c r="N5094">
        <v>0</v>
      </c>
      <c r="O5094">
        <v>-0.85468889999999997</v>
      </c>
      <c r="P5094">
        <v>0.66490629999999995</v>
      </c>
      <c r="Q5094">
        <v>5.5169639999999999E-2</v>
      </c>
      <c r="R5094">
        <v>-0.74488650000000001</v>
      </c>
      <c r="S5094">
        <v>2.2532960000000002</v>
      </c>
      <c r="T5094">
        <v>-0.46676060000000003</v>
      </c>
      <c r="U5094">
        <v>-2.0530089999999999</v>
      </c>
      <c r="V5094">
        <v>-0.18263080000000001</v>
      </c>
      <c r="W5094">
        <v>6.5850560000000002E-2</v>
      </c>
      <c r="X5094">
        <v>0.98097380000000001</v>
      </c>
      <c r="Y5094">
        <v>-0.27381820000000001</v>
      </c>
      <c r="Z5094">
        <v>0.140625799999999</v>
      </c>
      <c r="AA5094">
        <v>0.95144519999999999</v>
      </c>
      <c r="AB5094">
        <v>28</v>
      </c>
      <c r="AC5094">
        <v>5.3011000000000701</v>
      </c>
      <c r="AD5094">
        <v>-1.115629987353</v>
      </c>
      <c r="AE5094">
        <v>-4.7743499999999903</v>
      </c>
      <c r="AF5094">
        <v>-2.00422710329426</v>
      </c>
      <c r="AG5094">
        <v>-1.115629987353</v>
      </c>
      <c r="AH5094">
        <v>6.6692063506750001</v>
      </c>
      <c r="AI5094">
        <v>99.101616868736997</v>
      </c>
      <c r="AJ5094">
        <v>106.726552109332</v>
      </c>
      <c r="AK5094">
        <v>7.0526498493930898</v>
      </c>
      <c r="AL5094">
        <v>86.224308534740004</v>
      </c>
      <c r="AM5094">
        <v>100.54618636932599</v>
      </c>
      <c r="AN5094">
        <v>0.99999995082369497</v>
      </c>
    </row>
    <row r="5095" spans="1:40" x14ac:dyDescent="0.25">
      <c r="A5095" t="str">
        <f>"20190312151130108"</f>
        <v>20190312151130108</v>
      </c>
      <c r="B5095" t="str">
        <f>"1552374690096310"</f>
        <v>1552374690096310</v>
      </c>
      <c r="C5095" t="s">
        <v>40</v>
      </c>
      <c r="D5095">
        <v>4.8803049999999999</v>
      </c>
      <c r="E5095">
        <v>0.46081610000000001</v>
      </c>
      <c r="F5095" t="s">
        <v>85</v>
      </c>
      <c r="G5095">
        <v>-411.15949999999998</v>
      </c>
      <c r="H5095" s="1">
        <v>-1.0012209999999999E-5</v>
      </c>
      <c r="I5095">
        <v>26.134209999999999</v>
      </c>
      <c r="J5095">
        <v>-416.4658</v>
      </c>
      <c r="K5095">
        <v>1.115642</v>
      </c>
      <c r="L5095">
        <v>30.870940000000001</v>
      </c>
      <c r="M5095">
        <v>0.52275059999999995</v>
      </c>
      <c r="N5095">
        <v>0</v>
      </c>
      <c r="O5095">
        <v>-0.8523809</v>
      </c>
      <c r="P5095">
        <v>0.66823669999999902</v>
      </c>
      <c r="Q5095">
        <v>5.5325569999999998E-2</v>
      </c>
      <c r="R5095">
        <v>-0.74188859999999901</v>
      </c>
      <c r="S5095">
        <v>2.261047</v>
      </c>
      <c r="T5095">
        <v>-0.46725800000000001</v>
      </c>
      <c r="U5095">
        <v>-2.0438230000000002</v>
      </c>
      <c r="V5095">
        <v>-0.18268980000000001</v>
      </c>
      <c r="W5095">
        <v>6.5998050000000003E-2</v>
      </c>
      <c r="X5095">
        <v>0.98095299999999996</v>
      </c>
      <c r="Y5095">
        <v>-0.27330910000000003</v>
      </c>
      <c r="Z5095">
        <v>0.14050409999999999</v>
      </c>
      <c r="AA5095">
        <v>0.95160960000000006</v>
      </c>
      <c r="AB5095">
        <v>28</v>
      </c>
      <c r="AC5095">
        <v>5.3063000000000198</v>
      </c>
      <c r="AD5095">
        <v>-1.11565201221</v>
      </c>
      <c r="AE5095">
        <v>-4.7367299999999997</v>
      </c>
      <c r="AF5095">
        <v>-1.9978918034517601</v>
      </c>
      <c r="AG5095">
        <v>-1.11565201221</v>
      </c>
      <c r="AH5095">
        <v>6.6484163763205304</v>
      </c>
      <c r="AI5095">
        <v>99.129809322131194</v>
      </c>
      <c r="AJ5095">
        <v>106.72586045313599</v>
      </c>
      <c r="AK5095">
        <v>7.0311941648325202</v>
      </c>
      <c r="AL5095">
        <v>86.215839920774599</v>
      </c>
      <c r="AM5095">
        <v>100.549735578785</v>
      </c>
      <c r="AN5095">
        <v>1.00000004691842</v>
      </c>
    </row>
    <row r="5096" spans="1:40" x14ac:dyDescent="0.25">
      <c r="A5096" t="str">
        <f>"20190312151130122"</f>
        <v>20190312151130122</v>
      </c>
      <c r="B5096" t="str">
        <f>"1552374690116806"</f>
        <v>1552374690116806</v>
      </c>
      <c r="C5096" t="s">
        <v>40</v>
      </c>
      <c r="D5096">
        <v>4.8653959999999996</v>
      </c>
      <c r="E5096">
        <v>0.46125189999999999</v>
      </c>
      <c r="F5096" t="s">
        <v>85</v>
      </c>
      <c r="G5096">
        <v>-411.02510000000001</v>
      </c>
      <c r="H5096" s="1">
        <v>-1.004695E-5</v>
      </c>
      <c r="I5096">
        <v>25.99286</v>
      </c>
      <c r="J5096">
        <v>-416.37110000000001</v>
      </c>
      <c r="K5096">
        <v>1.115664</v>
      </c>
      <c r="L5096">
        <v>30.725249999999999</v>
      </c>
      <c r="M5096">
        <v>0.52661480000000005</v>
      </c>
      <c r="N5096">
        <v>0</v>
      </c>
      <c r="O5096">
        <v>-0.84999899999999995</v>
      </c>
      <c r="P5096">
        <v>0.67198000000000002</v>
      </c>
      <c r="Q5096">
        <v>5.5245879999999997E-2</v>
      </c>
      <c r="R5096">
        <v>-0.73850609999999905</v>
      </c>
      <c r="S5096">
        <v>2.2691650000000001</v>
      </c>
      <c r="T5096">
        <v>-0.46531549999999999</v>
      </c>
      <c r="U5096">
        <v>-2.0345460000000002</v>
      </c>
      <c r="V5096">
        <v>-0.1831971</v>
      </c>
      <c r="W5096">
        <v>6.59029E-2</v>
      </c>
      <c r="X5096">
        <v>0.98086479999999998</v>
      </c>
      <c r="Y5096">
        <v>-0.27288420000000002</v>
      </c>
      <c r="Z5096">
        <v>0.13964560000000001</v>
      </c>
      <c r="AA5096">
        <v>0.95185790000000003</v>
      </c>
      <c r="AB5096">
        <v>28</v>
      </c>
      <c r="AC5096">
        <v>5.3460000000000001</v>
      </c>
      <c r="AD5096">
        <v>-1.1156740469499999</v>
      </c>
      <c r="AE5096">
        <v>-4.7323899999999899</v>
      </c>
      <c r="AF5096">
        <v>-2.0032161194758702</v>
      </c>
      <c r="AG5096">
        <v>-1.1156740469499999</v>
      </c>
      <c r="AH5096">
        <v>6.6754176606225499</v>
      </c>
      <c r="AI5096">
        <v>99.094704560633701</v>
      </c>
      <c r="AJ5096">
        <v>106.70389648616</v>
      </c>
      <c r="AK5096">
        <v>7.0582437152677802</v>
      </c>
      <c r="AL5096">
        <v>86.221303568746606</v>
      </c>
      <c r="AM5096">
        <v>100.57929991263001</v>
      </c>
      <c r="AN5096">
        <v>1.00000006277792</v>
      </c>
    </row>
    <row r="5097" spans="1:40" x14ac:dyDescent="0.25">
      <c r="A5097" t="str">
        <f>"20190312151130137"</f>
        <v>20190312151130137</v>
      </c>
      <c r="B5097" t="str">
        <f>"1552374690126567"</f>
        <v>1552374690126567</v>
      </c>
      <c r="C5097" t="s">
        <v>40</v>
      </c>
      <c r="D5097">
        <v>5.0220789999999997</v>
      </c>
      <c r="E5097">
        <v>0.46139940000000002</v>
      </c>
      <c r="F5097" t="s">
        <v>85</v>
      </c>
      <c r="G5097">
        <v>-410.88929999999999</v>
      </c>
      <c r="H5097" s="1">
        <v>-1.0081879999999999E-5</v>
      </c>
      <c r="I5097">
        <v>25.847999999999999</v>
      </c>
      <c r="J5097">
        <v>-416.26760000000002</v>
      </c>
      <c r="K5097">
        <v>1.1156919999999999</v>
      </c>
      <c r="L5097">
        <v>30.56757</v>
      </c>
      <c r="M5097">
        <v>0.53081739999999999</v>
      </c>
      <c r="N5097">
        <v>0</v>
      </c>
      <c r="O5097">
        <v>-0.84738060000000004</v>
      </c>
      <c r="P5097">
        <v>0.67563799999999996</v>
      </c>
      <c r="Q5097">
        <v>5.525236E-2</v>
      </c>
      <c r="R5097">
        <v>-0.73516029999999999</v>
      </c>
      <c r="S5097">
        <v>2.2765200000000001</v>
      </c>
      <c r="T5097">
        <v>-0.4633237</v>
      </c>
      <c r="U5097">
        <v>-2.025452</v>
      </c>
      <c r="V5097">
        <v>-0.1832134</v>
      </c>
      <c r="W5097">
        <v>6.5900529999999999E-2</v>
      </c>
      <c r="X5097">
        <v>0.98086180000000001</v>
      </c>
      <c r="Y5097">
        <v>-0.27186630000000001</v>
      </c>
      <c r="Z5097">
        <v>0.1387388</v>
      </c>
      <c r="AA5097">
        <v>0.95228170000000001</v>
      </c>
      <c r="AB5097">
        <v>28</v>
      </c>
      <c r="AC5097">
        <v>5.3783000000000198</v>
      </c>
      <c r="AD5097">
        <v>-1.1157020818800001</v>
      </c>
      <c r="AE5097">
        <v>-4.7195699999999903</v>
      </c>
      <c r="AF5097">
        <v>-2.0037065719466201</v>
      </c>
      <c r="AG5097">
        <v>-1.1157020818800001</v>
      </c>
      <c r="AH5097">
        <v>6.6920821802782502</v>
      </c>
      <c r="AI5097">
        <v>99.074312368100806</v>
      </c>
      <c r="AJ5097">
        <v>106.66846354394799</v>
      </c>
      <c r="AK5097">
        <v>7.0741497771514004</v>
      </c>
      <c r="AL5097">
        <v>86.221439229747801</v>
      </c>
      <c r="AM5097">
        <v>100.580251585466</v>
      </c>
      <c r="AN5097">
        <v>0.99999995024653898</v>
      </c>
    </row>
    <row r="5098" spans="1:40" x14ac:dyDescent="0.25">
      <c r="A5098" t="str">
        <f>"20190312151130154"</f>
        <v>20190312151130154</v>
      </c>
      <c r="B5098" t="str">
        <f>"1552374690146086"</f>
        <v>1552374690146086</v>
      </c>
      <c r="C5098" t="s">
        <v>40</v>
      </c>
      <c r="D5098">
        <v>4.8648069999999999</v>
      </c>
      <c r="E5098">
        <v>0.46181830000000001</v>
      </c>
      <c r="F5098" t="s">
        <v>85</v>
      </c>
      <c r="G5098">
        <v>-410.74959999999999</v>
      </c>
      <c r="H5098" s="1">
        <v>-1.011821E-5</v>
      </c>
      <c r="I5098">
        <v>25.703330000000001</v>
      </c>
      <c r="J5098">
        <v>-416.14460000000003</v>
      </c>
      <c r="K5098">
        <v>1.1157159999999999</v>
      </c>
      <c r="L5098">
        <v>30.382840000000002</v>
      </c>
      <c r="M5098">
        <v>0.53577739999999996</v>
      </c>
      <c r="N5098">
        <v>0</v>
      </c>
      <c r="O5098">
        <v>-0.84425339999999904</v>
      </c>
      <c r="P5098">
        <v>0.67993769999999998</v>
      </c>
      <c r="Q5098">
        <v>5.4483129999999998E-2</v>
      </c>
      <c r="R5098">
        <v>-0.73124319999999998</v>
      </c>
      <c r="S5098">
        <v>2.2856450000000001</v>
      </c>
      <c r="T5098">
        <v>-0.46214559999999999</v>
      </c>
      <c r="U5098">
        <v>-2.0148619999999999</v>
      </c>
      <c r="V5098">
        <v>-0.18317700000000001</v>
      </c>
      <c r="W5098">
        <v>6.5123529999999999E-2</v>
      </c>
      <c r="X5098">
        <v>0.98092060000000003</v>
      </c>
      <c r="Y5098">
        <v>-0.27066689999999999</v>
      </c>
      <c r="Z5098">
        <v>0.13798740000000001</v>
      </c>
      <c r="AA5098">
        <v>0.95273229999999998</v>
      </c>
      <c r="AB5098">
        <v>28</v>
      </c>
      <c r="AC5098">
        <v>5.3950000000000404</v>
      </c>
      <c r="AD5098">
        <v>-1.11572611821</v>
      </c>
      <c r="AE5098">
        <v>-4.6795099999999996</v>
      </c>
      <c r="AF5098">
        <v>-1.9989659140774001</v>
      </c>
      <c r="AG5098">
        <v>-1.11572611821</v>
      </c>
      <c r="AH5098">
        <v>6.6788138647047202</v>
      </c>
      <c r="AI5098">
        <v>99.092513852851596</v>
      </c>
      <c r="AJ5098">
        <v>106.662417478172</v>
      </c>
      <c r="AK5098">
        <v>7.0602594949386397</v>
      </c>
      <c r="AL5098">
        <v>86.266054289487101</v>
      </c>
      <c r="AM5098">
        <v>100.57757721028401</v>
      </c>
      <c r="AN5098">
        <v>1.0000000554965001</v>
      </c>
    </row>
    <row r="5099" spans="1:40" x14ac:dyDescent="0.25">
      <c r="A5099" t="str">
        <f>"20190312151130166"</f>
        <v>20190312151130166</v>
      </c>
      <c r="B5099" t="str">
        <f>"1552374690156822"</f>
        <v>1552374690156822</v>
      </c>
      <c r="C5099" t="s">
        <v>40</v>
      </c>
      <c r="D5099">
        <v>5.0304250000000001</v>
      </c>
      <c r="E5099">
        <v>0.46203709999999998</v>
      </c>
      <c r="F5099" t="s">
        <v>85</v>
      </c>
      <c r="G5099">
        <v>-410.6078</v>
      </c>
      <c r="H5099" s="1">
        <v>-1.0154230000000001E-5</v>
      </c>
      <c r="I5099">
        <v>25.547560000000001</v>
      </c>
      <c r="J5099">
        <v>-416.0607</v>
      </c>
      <c r="K5099">
        <v>1.1157349999999999</v>
      </c>
      <c r="L5099">
        <v>30.258299999999998</v>
      </c>
      <c r="M5099">
        <v>0.53913949999999999</v>
      </c>
      <c r="N5099">
        <v>0</v>
      </c>
      <c r="O5099">
        <v>-0.84211019999999903</v>
      </c>
      <c r="P5099">
        <v>0.68273119999999998</v>
      </c>
      <c r="Q5099">
        <v>5.406507E-2</v>
      </c>
      <c r="R5099">
        <v>-0.72866699999999995</v>
      </c>
      <c r="S5099">
        <v>2.2943730000000002</v>
      </c>
      <c r="T5099">
        <v>-0.46233869999999999</v>
      </c>
      <c r="U5099">
        <v>-2.0036619999999998</v>
      </c>
      <c r="V5099">
        <v>-0.18299960000000001</v>
      </c>
      <c r="W5099">
        <v>6.4704789999999998E-2</v>
      </c>
      <c r="X5099">
        <v>0.98098129999999994</v>
      </c>
      <c r="Y5099">
        <v>-0.27126729999999999</v>
      </c>
      <c r="Z5099">
        <v>0.13785729999999999</v>
      </c>
      <c r="AA5099">
        <v>0.95258039999999999</v>
      </c>
      <c r="AB5099">
        <v>28</v>
      </c>
      <c r="AC5099">
        <v>5.4528999999999996</v>
      </c>
      <c r="AD5099">
        <v>-1.1157451542299901</v>
      </c>
      <c r="AE5099">
        <v>-4.7107399999999897</v>
      </c>
      <c r="AF5099">
        <v>-2.0043273992644002</v>
      </c>
      <c r="AG5099">
        <v>-1.1157451542299901</v>
      </c>
      <c r="AH5099">
        <v>6.7457279285371996</v>
      </c>
      <c r="AI5099">
        <v>99.009231335249495</v>
      </c>
      <c r="AJ5099">
        <v>106.54802404338</v>
      </c>
      <c r="AK5099">
        <v>7.1251007612858697</v>
      </c>
      <c r="AL5099">
        <v>86.290096593268402</v>
      </c>
      <c r="AM5099">
        <v>100.566924916609</v>
      </c>
      <c r="AN5099">
        <v>0.99999993719939495</v>
      </c>
    </row>
    <row r="5100" spans="1:40" x14ac:dyDescent="0.25">
      <c r="A5100" t="str">
        <f>"20190312151130178"</f>
        <v>20190312151130178</v>
      </c>
      <c r="B5100" t="str">
        <f>"1552374690166583"</f>
        <v>1552374690166583</v>
      </c>
      <c r="C5100" t="s">
        <v>40</v>
      </c>
      <c r="D5100">
        <v>4.8437849999999996</v>
      </c>
      <c r="E5100">
        <v>0.4622733</v>
      </c>
      <c r="F5100" t="s">
        <v>85</v>
      </c>
      <c r="G5100">
        <v>-410.51479999999998</v>
      </c>
      <c r="H5100" s="1">
        <v>-1.017798E-5</v>
      </c>
      <c r="I5100">
        <v>25.446840000000002</v>
      </c>
      <c r="J5100">
        <v>-415.98160000000001</v>
      </c>
      <c r="K5100">
        <v>1.1157509999999999</v>
      </c>
      <c r="L5100">
        <v>30.141359999999999</v>
      </c>
      <c r="M5100">
        <v>0.54229769999999999</v>
      </c>
      <c r="N5100">
        <v>0</v>
      </c>
      <c r="O5100">
        <v>-0.84007989999999999</v>
      </c>
      <c r="P5100">
        <v>0.68548299999999995</v>
      </c>
      <c r="Q5100">
        <v>5.3987050000000002E-2</v>
      </c>
      <c r="R5100">
        <v>-0.72608470000000003</v>
      </c>
      <c r="S5100">
        <v>2.3005680000000002</v>
      </c>
      <c r="T5100">
        <v>-0.46283099999999999</v>
      </c>
      <c r="U5100">
        <v>-1.9958800000000001</v>
      </c>
      <c r="V5100">
        <v>-0.1830263</v>
      </c>
      <c r="W5100">
        <v>6.4623910000000007E-2</v>
      </c>
      <c r="X5100">
        <v>0.98098169999999996</v>
      </c>
      <c r="Y5100">
        <v>-0.27076220000000001</v>
      </c>
      <c r="Z5100">
        <v>0.13776189999999999</v>
      </c>
      <c r="AA5100">
        <v>0.95273790000000003</v>
      </c>
      <c r="AB5100">
        <v>28</v>
      </c>
      <c r="AC5100">
        <v>5.4668000000000303</v>
      </c>
      <c r="AD5100">
        <v>-1.1157611779800001</v>
      </c>
      <c r="AE5100">
        <v>-4.6945199999999998</v>
      </c>
      <c r="AF5100">
        <v>-1.9989777305869201</v>
      </c>
      <c r="AG5100">
        <v>-1.1157611779800001</v>
      </c>
      <c r="AH5100">
        <v>6.7472532776552301</v>
      </c>
      <c r="AI5100">
        <v>99.009433294537104</v>
      </c>
      <c r="AJ5100">
        <v>106.502734316396</v>
      </c>
      <c r="AK5100">
        <v>7.1250446852282296</v>
      </c>
      <c r="AL5100">
        <v>86.294740576374394</v>
      </c>
      <c r="AM5100">
        <v>100.568427709136</v>
      </c>
      <c r="AN5100">
        <v>0.99999998598513395</v>
      </c>
    </row>
    <row r="5101" spans="1:40" x14ac:dyDescent="0.25">
      <c r="A5101" t="str">
        <f>"20190312151130189"</f>
        <v>20190312151130189</v>
      </c>
      <c r="B5101" t="str">
        <f>"1552374690186103"</f>
        <v>1552374690186103</v>
      </c>
      <c r="C5101" t="s">
        <v>40</v>
      </c>
      <c r="D5101">
        <v>4.880719</v>
      </c>
      <c r="E5101">
        <v>0.46246710000000002</v>
      </c>
      <c r="F5101" t="s">
        <v>85</v>
      </c>
      <c r="G5101">
        <v>-410.4058</v>
      </c>
      <c r="H5101" s="1">
        <v>-1.0206399999999999E-5</v>
      </c>
      <c r="I5101">
        <v>25.33456</v>
      </c>
      <c r="J5101">
        <v>-415.90109999999999</v>
      </c>
      <c r="K5101">
        <v>1.1157680000000001</v>
      </c>
      <c r="L5101">
        <v>30.023959999999999</v>
      </c>
      <c r="M5101">
        <v>0.54549320000000001</v>
      </c>
      <c r="N5101">
        <v>0</v>
      </c>
      <c r="O5101">
        <v>-0.83800819999999998</v>
      </c>
      <c r="P5101">
        <v>0.68814049999999904</v>
      </c>
      <c r="Q5101">
        <v>5.3951010000000001E-2</v>
      </c>
      <c r="R5101">
        <v>-0.72356899999999902</v>
      </c>
      <c r="S5101">
        <v>2.30661</v>
      </c>
      <c r="T5101">
        <v>-0.46156540000000001</v>
      </c>
      <c r="U5101">
        <v>-1.988464</v>
      </c>
      <c r="V5101">
        <v>-0.1828873</v>
      </c>
      <c r="W5101">
        <v>6.4590120000000001E-2</v>
      </c>
      <c r="X5101">
        <v>0.98100989999999999</v>
      </c>
      <c r="Y5101">
        <v>-0.27015339999999999</v>
      </c>
      <c r="Z5101">
        <v>0.13713599999999901</v>
      </c>
      <c r="AA5101">
        <v>0.95300099999999999</v>
      </c>
      <c r="AB5101">
        <v>28</v>
      </c>
      <c r="AC5101">
        <v>5.4952999999999799</v>
      </c>
      <c r="AD5101">
        <v>-1.1157782063999999</v>
      </c>
      <c r="AE5101">
        <v>-4.6893999999999902</v>
      </c>
      <c r="AF5101">
        <v>-1.99955503984579</v>
      </c>
      <c r="AG5101">
        <v>-1.1157782063999999</v>
      </c>
      <c r="AH5101">
        <v>6.7666088883300999</v>
      </c>
      <c r="AI5101">
        <v>98.986050671843103</v>
      </c>
      <c r="AJ5101">
        <v>106.462582251383</v>
      </c>
      <c r="AK5101">
        <v>7.1435409434591897</v>
      </c>
      <c r="AL5101">
        <v>86.296680839513101</v>
      </c>
      <c r="AM5101">
        <v>100.560285349989</v>
      </c>
      <c r="AN5101">
        <v>1.00000003600045</v>
      </c>
    </row>
    <row r="5102" spans="1:40" x14ac:dyDescent="0.25">
      <c r="A5102" t="str">
        <f>"20190312151130200"</f>
        <v>20190312151130200</v>
      </c>
      <c r="B5102" t="str">
        <f>"1552374690196839"</f>
        <v>1552374690196839</v>
      </c>
      <c r="C5102" t="s">
        <v>40</v>
      </c>
      <c r="D5102">
        <v>4.8573940000000002</v>
      </c>
      <c r="E5102">
        <v>0.46266410000000002</v>
      </c>
      <c r="F5102" t="s">
        <v>85</v>
      </c>
      <c r="G5102">
        <v>-410.31700000000001</v>
      </c>
      <c r="H5102" s="1">
        <v>-1.0229209999999999E-5</v>
      </c>
      <c r="I5102">
        <v>25.239719999999998</v>
      </c>
      <c r="J5102">
        <v>-415.82260000000002</v>
      </c>
      <c r="K5102">
        <v>1.115785</v>
      </c>
      <c r="L5102">
        <v>29.90991</v>
      </c>
      <c r="M5102">
        <v>0.54859859999999905</v>
      </c>
      <c r="N5102">
        <v>0</v>
      </c>
      <c r="O5102">
        <v>-0.83597869999999996</v>
      </c>
      <c r="P5102">
        <v>0.69066609999999995</v>
      </c>
      <c r="Q5102">
        <v>5.4076840000000001E-2</v>
      </c>
      <c r="R5102">
        <v>-0.72114959999999995</v>
      </c>
      <c r="S5102">
        <v>2.3125309999999999</v>
      </c>
      <c r="T5102">
        <v>-0.46206960000000002</v>
      </c>
      <c r="U5102">
        <v>-1.9812620000000001</v>
      </c>
      <c r="V5102">
        <v>-0.18268599999999999</v>
      </c>
      <c r="W5102">
        <v>6.4719070000000004E-2</v>
      </c>
      <c r="X5102">
        <v>0.98103890000000005</v>
      </c>
      <c r="Y5102">
        <v>-0.26950079999999998</v>
      </c>
      <c r="Z5102">
        <v>0.13702549999999999</v>
      </c>
      <c r="AA5102">
        <v>0.95320159999999998</v>
      </c>
      <c r="AB5102">
        <v>28</v>
      </c>
      <c r="AC5102">
        <v>5.5056000000000704</v>
      </c>
      <c r="AD5102">
        <v>-1.11579522921</v>
      </c>
      <c r="AE5102">
        <v>-4.6701899999999901</v>
      </c>
      <c r="AF5102">
        <v>-1.9930805421025799</v>
      </c>
      <c r="AG5102">
        <v>-1.11579522921</v>
      </c>
      <c r="AH5102">
        <v>6.76360803508737</v>
      </c>
      <c r="AI5102">
        <v>98.992090787533897</v>
      </c>
      <c r="AJ5102">
        <v>106.41903916053001</v>
      </c>
      <c r="AK5102">
        <v>7.1388908587492903</v>
      </c>
      <c r="AL5102">
        <v>86.289277028238303</v>
      </c>
      <c r="AM5102">
        <v>100.548618082025</v>
      </c>
      <c r="AN5102">
        <v>1.00000002796543</v>
      </c>
    </row>
    <row r="5103" spans="1:40" x14ac:dyDescent="0.25">
      <c r="A5103" t="str">
        <f>"20190312151130211"</f>
        <v>20190312151130211</v>
      </c>
      <c r="B5103" t="str">
        <f>"1552374690206598"</f>
        <v>1552374690206598</v>
      </c>
      <c r="C5103" t="s">
        <v>40</v>
      </c>
      <c r="D5103">
        <v>5.0762450000000001</v>
      </c>
      <c r="E5103">
        <v>0.46266410000000002</v>
      </c>
      <c r="F5103" t="s">
        <v>85</v>
      </c>
      <c r="G5103">
        <v>-410.21969999999999</v>
      </c>
      <c r="H5103" s="1">
        <v>-1.025448E-5</v>
      </c>
      <c r="I5103">
        <v>25.138680000000001</v>
      </c>
      <c r="J5103">
        <v>-415.74259999999998</v>
      </c>
      <c r="K5103">
        <v>1.115804</v>
      </c>
      <c r="L5103">
        <v>29.795010000000001</v>
      </c>
      <c r="M5103">
        <v>0.55174299999999998</v>
      </c>
      <c r="N5103">
        <v>0</v>
      </c>
      <c r="O5103">
        <v>-0.83390649999999999</v>
      </c>
      <c r="P5103">
        <v>0.69322819999999996</v>
      </c>
      <c r="Q5103">
        <v>5.3552799999999998E-2</v>
      </c>
      <c r="R5103">
        <v>-0.71872599999999998</v>
      </c>
      <c r="S5103">
        <v>2.31839</v>
      </c>
      <c r="T5103">
        <v>-0.4616942</v>
      </c>
      <c r="U5103">
        <v>-1.974243</v>
      </c>
      <c r="V5103">
        <v>-0.18245629999999999</v>
      </c>
      <c r="W5103">
        <v>6.4199919999999994E-2</v>
      </c>
      <c r="X5103">
        <v>0.98111570000000003</v>
      </c>
      <c r="Y5103">
        <v>-0.2687717</v>
      </c>
      <c r="Z5103">
        <v>0.13664509999999999</v>
      </c>
      <c r="AA5103">
        <v>0.95346209999999998</v>
      </c>
      <c r="AB5103">
        <v>28</v>
      </c>
      <c r="AC5103">
        <v>5.5228999999999902</v>
      </c>
      <c r="AD5103">
        <v>-1.11581425448</v>
      </c>
      <c r="AE5103">
        <v>-4.6563299999999996</v>
      </c>
      <c r="AF5103">
        <v>-1.9892076150933999</v>
      </c>
      <c r="AG5103">
        <v>-1.11581425448</v>
      </c>
      <c r="AH5103">
        <v>6.7692810807532098</v>
      </c>
      <c r="AI5103">
        <v>98.986789314152801</v>
      </c>
      <c r="AJ5103">
        <v>106.375848817503</v>
      </c>
      <c r="AK5103">
        <v>7.1431893952694399</v>
      </c>
      <c r="AL5103">
        <v>86.319083921709307</v>
      </c>
      <c r="AM5103">
        <v>100.534845683659</v>
      </c>
      <c r="AN5103">
        <v>0.99999997396209195</v>
      </c>
    </row>
    <row r="5104" spans="1:40" x14ac:dyDescent="0.25">
      <c r="A5104" t="str">
        <f>"20190312151130223"</f>
        <v>20190312151130223</v>
      </c>
      <c r="B5104" t="str">
        <f>"1552374690216358"</f>
        <v>1552374690216358</v>
      </c>
      <c r="C5104" t="s">
        <v>40</v>
      </c>
      <c r="D5104">
        <v>4.8401899999999998</v>
      </c>
      <c r="E5104">
        <v>0.4735298</v>
      </c>
      <c r="F5104" t="s">
        <v>85</v>
      </c>
      <c r="G5104">
        <v>-410.14280000000002</v>
      </c>
      <c r="H5104" s="1">
        <v>-1.02746699999999E-5</v>
      </c>
      <c r="I5104">
        <v>25.06071</v>
      </c>
      <c r="J5104">
        <v>-415.6651</v>
      </c>
      <c r="K5104">
        <v>1.115818</v>
      </c>
      <c r="L5104">
        <v>29.684360000000002</v>
      </c>
      <c r="M5104">
        <v>0.55477739999999998</v>
      </c>
      <c r="N5104">
        <v>0</v>
      </c>
      <c r="O5104">
        <v>-0.83189059999999904</v>
      </c>
      <c r="P5104">
        <v>0.69570330000000002</v>
      </c>
      <c r="Q5104">
        <v>5.3490799999999998E-2</v>
      </c>
      <c r="R5104">
        <v>-0.71633519999999995</v>
      </c>
      <c r="S5104">
        <v>2.3252259999999998</v>
      </c>
      <c r="T5104">
        <v>-0.46331830000000002</v>
      </c>
      <c r="U5104">
        <v>-1.9658199999999999</v>
      </c>
      <c r="V5104">
        <v>-0.18226429999999999</v>
      </c>
      <c r="W5104">
        <v>6.4141390000000006E-2</v>
      </c>
      <c r="X5104">
        <v>0.98115529999999995</v>
      </c>
      <c r="Y5104">
        <v>-0.26861819999999997</v>
      </c>
      <c r="Z5104">
        <v>0.13688229999999901</v>
      </c>
      <c r="AA5104">
        <v>0.95347130000000002</v>
      </c>
      <c r="AB5104">
        <v>28</v>
      </c>
      <c r="AC5104">
        <v>5.5222999999999702</v>
      </c>
      <c r="AD5104">
        <v>-1.1158282746699999</v>
      </c>
      <c r="AE5104">
        <v>-4.6236499999999898</v>
      </c>
      <c r="AF5104">
        <v>-1.9814764355651899</v>
      </c>
      <c r="AG5104">
        <v>-1.1158282746699999</v>
      </c>
      <c r="AH5104">
        <v>6.7486598040496704</v>
      </c>
      <c r="AI5104">
        <v>99.014504442162803</v>
      </c>
      <c r="AJ5104">
        <v>106.362785386901</v>
      </c>
      <c r="AK5104">
        <v>7.1214977886712099</v>
      </c>
      <c r="AL5104">
        <v>86.322444678756</v>
      </c>
      <c r="AM5104">
        <v>100.523592319108</v>
      </c>
      <c r="AN5104">
        <v>1.00000005784185</v>
      </c>
    </row>
    <row r="5105" spans="1:40" x14ac:dyDescent="0.25">
      <c r="A5105" t="str">
        <f>"20190312151130233"</f>
        <v>20190312151130233</v>
      </c>
      <c r="B5105" t="str">
        <f>"1552374690226118"</f>
        <v>1552374690226118</v>
      </c>
      <c r="C5105" t="s">
        <v>40</v>
      </c>
      <c r="D5105">
        <v>4.8666700000000001</v>
      </c>
      <c r="E5105">
        <v>0.47338989999999997</v>
      </c>
      <c r="F5105" t="s">
        <v>85</v>
      </c>
      <c r="G5105">
        <v>-409.52609999999999</v>
      </c>
      <c r="H5105" s="1">
        <v>-2.1530960000000001E-6</v>
      </c>
      <c r="I5105">
        <v>24.223220000000001</v>
      </c>
      <c r="J5105">
        <v>-415.58300000000003</v>
      </c>
      <c r="K5105">
        <v>1.115831</v>
      </c>
      <c r="L5105">
        <v>29.568210000000001</v>
      </c>
      <c r="M5105">
        <v>0.55797189999999997</v>
      </c>
      <c r="N5105">
        <v>0</v>
      </c>
      <c r="O5105">
        <v>-0.82975140000000003</v>
      </c>
      <c r="P5105">
        <v>0.69853659999999995</v>
      </c>
      <c r="Q5105">
        <v>5.3554570000000003E-2</v>
      </c>
      <c r="R5105">
        <v>-0.71356739999999996</v>
      </c>
      <c r="S5105">
        <v>2.2672119999999998</v>
      </c>
      <c r="T5105">
        <v>-0.41208889999999998</v>
      </c>
      <c r="U5105">
        <v>-2.0168759999999999</v>
      </c>
      <c r="V5105">
        <v>-0.18238660000000001</v>
      </c>
      <c r="W5105">
        <v>6.4204189999999994E-2</v>
      </c>
      <c r="X5105">
        <v>0.98112840000000001</v>
      </c>
      <c r="Y5105">
        <v>-0.24256920000000001</v>
      </c>
      <c r="Z5105">
        <v>0.1211262</v>
      </c>
      <c r="AA5105">
        <v>0.96254280000000003</v>
      </c>
      <c r="AB5105">
        <v>28</v>
      </c>
      <c r="AC5105">
        <v>6.0569000000000397</v>
      </c>
      <c r="AD5105">
        <v>-1.115833153096</v>
      </c>
      <c r="AE5105">
        <v>-5.3449899999999904</v>
      </c>
      <c r="AF5105">
        <v>-2.0052894209650902</v>
      </c>
      <c r="AG5105">
        <v>-1.115833153096</v>
      </c>
      <c r="AH5105">
        <v>7.6689700496445603</v>
      </c>
      <c r="AI5105">
        <v>98.012708004257505</v>
      </c>
      <c r="AJ5105">
        <v>104.653665799723</v>
      </c>
      <c r="AK5105">
        <v>8.0049591447881898</v>
      </c>
      <c r="AL5105">
        <v>86.318838835257907</v>
      </c>
      <c r="AM5105">
        <v>100.53077805055599</v>
      </c>
      <c r="AN5105">
        <v>0.99999999357983804</v>
      </c>
    </row>
    <row r="5106" spans="1:40" x14ac:dyDescent="0.25">
      <c r="A5106" t="str">
        <f>"20190312151130246"</f>
        <v>20190312151130246</v>
      </c>
      <c r="B5106" t="str">
        <f>"1552374690236854"</f>
        <v>1552374690236854</v>
      </c>
      <c r="C5106" t="s">
        <v>40</v>
      </c>
      <c r="D5106">
        <v>4.8627929999999999</v>
      </c>
      <c r="E5106">
        <v>0.47370810000000002</v>
      </c>
      <c r="F5106" t="s">
        <v>85</v>
      </c>
      <c r="G5106">
        <v>-409.459</v>
      </c>
      <c r="H5106" s="1">
        <v>-2.180287E-6</v>
      </c>
      <c r="I5106">
        <v>24.166899999999998</v>
      </c>
      <c r="J5106">
        <v>-415.49919999999997</v>
      </c>
      <c r="K5106">
        <v>1.1158440000000001</v>
      </c>
      <c r="L5106">
        <v>29.45065</v>
      </c>
      <c r="M5106">
        <v>0.56121860000000001</v>
      </c>
      <c r="N5106">
        <v>0</v>
      </c>
      <c r="O5106">
        <v>-0.82755879999999904</v>
      </c>
      <c r="P5106">
        <v>0.70133819999999902</v>
      </c>
      <c r="Q5106">
        <v>5.3524509999999997E-2</v>
      </c>
      <c r="R5106">
        <v>-0.71081640000000001</v>
      </c>
      <c r="S5106">
        <v>2.2759399999999999</v>
      </c>
      <c r="T5106">
        <v>-0.41469109999999998</v>
      </c>
      <c r="U5106">
        <v>-2.007355</v>
      </c>
      <c r="V5106">
        <v>-0.18240190000000001</v>
      </c>
      <c r="W5106">
        <v>6.4173759999999996E-2</v>
      </c>
      <c r="X5106">
        <v>0.98112759999999999</v>
      </c>
      <c r="Y5106">
        <v>-0.2427985</v>
      </c>
      <c r="Z5106">
        <v>0.12163930000000001</v>
      </c>
      <c r="AA5106">
        <v>0.96242030000000001</v>
      </c>
      <c r="AB5106">
        <v>28</v>
      </c>
      <c r="AC5106">
        <v>6.0401999999999703</v>
      </c>
      <c r="AD5106">
        <v>-1.1158461802869999</v>
      </c>
      <c r="AE5106">
        <v>-5.2837500000000004</v>
      </c>
      <c r="AF5106">
        <v>-1.99489680853392</v>
      </c>
      <c r="AG5106">
        <v>-1.1158461802869999</v>
      </c>
      <c r="AH5106">
        <v>7.6159431934398301</v>
      </c>
      <c r="AI5106">
        <v>98.066969112949593</v>
      </c>
      <c r="AJ5106">
        <v>104.678118116704</v>
      </c>
      <c r="AK5106">
        <v>7.95156064558791</v>
      </c>
      <c r="AL5106">
        <v>86.320586142089397</v>
      </c>
      <c r="AM5106">
        <v>100.53165008558901</v>
      </c>
      <c r="AN5106">
        <v>1.00000004603895</v>
      </c>
    </row>
    <row r="5107" spans="1:40" x14ac:dyDescent="0.25">
      <c r="A5107" t="str">
        <f>"20190312151130258"</f>
        <v>20190312151130258</v>
      </c>
      <c r="B5107" t="str">
        <f>"1552374690246615"</f>
        <v>1552374690246615</v>
      </c>
      <c r="C5107" t="s">
        <v>40</v>
      </c>
      <c r="D5107">
        <v>5.0120529999999999</v>
      </c>
      <c r="E5107">
        <v>0.4740142</v>
      </c>
      <c r="F5107" t="s">
        <v>85</v>
      </c>
      <c r="G5107">
        <v>-409.35680000000002</v>
      </c>
      <c r="H5107" s="1">
        <v>-2.2185259999999999E-6</v>
      </c>
      <c r="I5107">
        <v>24.066559999999999</v>
      </c>
      <c r="J5107">
        <v>-415.40870000000001</v>
      </c>
      <c r="K5107">
        <v>1.1158600000000001</v>
      </c>
      <c r="L5107">
        <v>29.324490000000001</v>
      </c>
      <c r="M5107">
        <v>0.56470669999999901</v>
      </c>
      <c r="N5107">
        <v>0</v>
      </c>
      <c r="O5107">
        <v>-0.82518239999999998</v>
      </c>
      <c r="P5107">
        <v>0.70442150000000003</v>
      </c>
      <c r="Q5107">
        <v>5.3588759999999999E-2</v>
      </c>
      <c r="R5107">
        <v>-0.70775619999999995</v>
      </c>
      <c r="S5107">
        <v>2.281952</v>
      </c>
      <c r="T5107">
        <v>-0.4145412</v>
      </c>
      <c r="U5107">
        <v>-2.0002140000000002</v>
      </c>
      <c r="V5107">
        <v>-0.18253169999999999</v>
      </c>
      <c r="W5107">
        <v>6.4236559999999998E-2</v>
      </c>
      <c r="X5107">
        <v>0.98109930000000001</v>
      </c>
      <c r="Y5107">
        <v>-0.2416893</v>
      </c>
      <c r="Z5107">
        <v>0.121297699999999</v>
      </c>
      <c r="AA5107">
        <v>0.96274249999999995</v>
      </c>
      <c r="AB5107">
        <v>28</v>
      </c>
      <c r="AC5107">
        <v>6.0518999999999803</v>
      </c>
      <c r="AD5107">
        <v>-1.1158622185259901</v>
      </c>
      <c r="AE5107">
        <v>-5.25793</v>
      </c>
      <c r="AF5107">
        <v>-1.9864319031899</v>
      </c>
      <c r="AG5107">
        <v>-1.1158622185259901</v>
      </c>
      <c r="AH5107">
        <v>7.6095765757727101</v>
      </c>
      <c r="AI5107">
        <v>98.075486021065998</v>
      </c>
      <c r="AJ5107">
        <v>104.630214207674</v>
      </c>
      <c r="AK5107">
        <v>7.9433441231821904</v>
      </c>
      <c r="AL5107">
        <v>86.316980346323604</v>
      </c>
      <c r="AM5107">
        <v>100.53927391060699</v>
      </c>
      <c r="AN5107">
        <v>0.999999996803006</v>
      </c>
    </row>
    <row r="5108" spans="1:40" x14ac:dyDescent="0.25">
      <c r="A5108" t="str">
        <f>"20190312151130271"</f>
        <v>20190312151130271</v>
      </c>
      <c r="B5108" t="str">
        <f>"1552374690266135"</f>
        <v>1552374690266135</v>
      </c>
      <c r="C5108" t="s">
        <v>40</v>
      </c>
      <c r="D5108">
        <v>5.0422589999999996</v>
      </c>
      <c r="E5108">
        <v>0.48111480000000001</v>
      </c>
      <c r="F5108" t="s">
        <v>85</v>
      </c>
      <c r="G5108">
        <v>-409.2235</v>
      </c>
      <c r="H5108" s="1">
        <v>-2.2695839999999998E-6</v>
      </c>
      <c r="I5108">
        <v>23.94143</v>
      </c>
      <c r="J5108">
        <v>-415.3134</v>
      </c>
      <c r="K5108">
        <v>1.1158709999999901</v>
      </c>
      <c r="L5108">
        <v>29.193480000000001</v>
      </c>
      <c r="M5108">
        <v>0.56835449999999998</v>
      </c>
      <c r="N5108">
        <v>0</v>
      </c>
      <c r="O5108">
        <v>-0.82267389999999996</v>
      </c>
      <c r="P5108">
        <v>0.70769609999999905</v>
      </c>
      <c r="Q5108">
        <v>5.3411119999999999E-2</v>
      </c>
      <c r="R5108">
        <v>-0.70449499999999998</v>
      </c>
      <c r="S5108">
        <v>2.288818</v>
      </c>
      <c r="T5108">
        <v>-0.41291860000000002</v>
      </c>
      <c r="U5108">
        <v>-1.9919739999999999</v>
      </c>
      <c r="V5108">
        <v>-0.18273030000000001</v>
      </c>
      <c r="W5108">
        <v>6.4055260000000003E-2</v>
      </c>
      <c r="X5108">
        <v>0.98107420000000001</v>
      </c>
      <c r="Y5108">
        <v>-0.2408672</v>
      </c>
      <c r="Z5108">
        <v>0.1205305</v>
      </c>
      <c r="AA5108">
        <v>0.96304489999999998</v>
      </c>
      <c r="AB5108">
        <v>28</v>
      </c>
      <c r="AC5108">
        <v>6.0899000000000001</v>
      </c>
      <c r="AD5108">
        <v>-1.1158732695839999</v>
      </c>
      <c r="AE5108">
        <v>-5.2520499999999899</v>
      </c>
      <c r="AF5108">
        <v>-1.9869028219010101</v>
      </c>
      <c r="AG5108">
        <v>-1.1158732695839999</v>
      </c>
      <c r="AH5108">
        <v>7.6356337491586599</v>
      </c>
      <c r="AI5108">
        <v>98.049975629401303</v>
      </c>
      <c r="AJ5108">
        <v>104.58572877837599</v>
      </c>
      <c r="AK5108">
        <v>7.9684288745486702</v>
      </c>
      <c r="AL5108">
        <v>86.327389565868899</v>
      </c>
      <c r="AM5108">
        <v>100.550747496086</v>
      </c>
      <c r="AN5108">
        <v>1.0000000123886901</v>
      </c>
    </row>
    <row r="5109" spans="1:40" x14ac:dyDescent="0.25">
      <c r="A5109" t="str">
        <f>"20190312151130282"</f>
        <v>20190312151130282</v>
      </c>
      <c r="B5109" t="str">
        <f>"1552374690276870"</f>
        <v>1552374690276870</v>
      </c>
      <c r="C5109" t="s">
        <v>40</v>
      </c>
      <c r="D5109">
        <v>4.9153120000000001</v>
      </c>
      <c r="E5109">
        <v>0.4812071</v>
      </c>
      <c r="F5109" t="s">
        <v>85</v>
      </c>
      <c r="G5109">
        <v>-410.15260000000001</v>
      </c>
      <c r="H5109" s="1">
        <v>-1.022264E-5</v>
      </c>
      <c r="I5109">
        <v>24.575500000000002</v>
      </c>
      <c r="J5109">
        <v>-415.22809999999998</v>
      </c>
      <c r="K5109">
        <v>1.1158859999999999</v>
      </c>
      <c r="L5109">
        <v>29.076809999999998</v>
      </c>
      <c r="M5109">
        <v>0.57160809999999995</v>
      </c>
      <c r="N5109">
        <v>0</v>
      </c>
      <c r="O5109">
        <v>-0.82041649999999999</v>
      </c>
      <c r="P5109">
        <v>0.71075169999999999</v>
      </c>
      <c r="Q5109">
        <v>5.3302679999999998E-2</v>
      </c>
      <c r="R5109">
        <v>-0.7014203</v>
      </c>
      <c r="S5109">
        <v>2.2615660000000002</v>
      </c>
      <c r="T5109">
        <v>-0.48899169999999997</v>
      </c>
      <c r="U5109">
        <v>-2.0236510000000001</v>
      </c>
      <c r="V5109">
        <v>-0.18310589999999999</v>
      </c>
      <c r="W5109">
        <v>6.3940579999999997E-2</v>
      </c>
      <c r="X5109">
        <v>0.98101159999999998</v>
      </c>
      <c r="Y5109">
        <v>-0.2212636</v>
      </c>
      <c r="Z5109">
        <v>0.14106479999999999</v>
      </c>
      <c r="AA5109">
        <v>0.96495759999999997</v>
      </c>
      <c r="AB5109">
        <v>28</v>
      </c>
      <c r="AC5109">
        <v>5.0754999999999697</v>
      </c>
      <c r="AD5109">
        <v>-1.11589622264</v>
      </c>
      <c r="AE5109">
        <v>-4.5013099999999904</v>
      </c>
      <c r="AF5109">
        <v>-1.54926441606716</v>
      </c>
      <c r="AG5109">
        <v>-1.11589622264</v>
      </c>
      <c r="AH5109">
        <v>6.4210101728288</v>
      </c>
      <c r="AI5109">
        <v>99.589023457112006</v>
      </c>
      <c r="AJ5109">
        <v>103.565083457554</v>
      </c>
      <c r="AK5109">
        <v>6.6988667885072202</v>
      </c>
      <c r="AL5109">
        <v>86.333973564988</v>
      </c>
      <c r="AM5109">
        <v>100.572605429123</v>
      </c>
      <c r="AN5109">
        <v>0.99999996386005197</v>
      </c>
    </row>
    <row r="5110" spans="1:40" x14ac:dyDescent="0.25">
      <c r="A5110" t="str">
        <f>"20190312151130293"</f>
        <v>20190312151130293</v>
      </c>
      <c r="B5110" t="str">
        <f>"1552374690286630"</f>
        <v>1552374690286630</v>
      </c>
      <c r="C5110" t="s">
        <v>40</v>
      </c>
      <c r="D5110">
        <v>4.8853260000000001</v>
      </c>
      <c r="E5110">
        <v>0.4805162</v>
      </c>
      <c r="F5110" t="s">
        <v>85</v>
      </c>
      <c r="G5110">
        <v>-410.09160000000003</v>
      </c>
      <c r="H5110" s="1">
        <v>-1.02392E-5</v>
      </c>
      <c r="I5110">
        <v>24.519300000000001</v>
      </c>
      <c r="J5110">
        <v>-415.14580000000001</v>
      </c>
      <c r="K5110">
        <v>1.1158999999999999</v>
      </c>
      <c r="L5110">
        <v>28.96527</v>
      </c>
      <c r="M5110">
        <v>0.57472889999999999</v>
      </c>
      <c r="N5110">
        <v>0</v>
      </c>
      <c r="O5110">
        <v>-0.81823349999999995</v>
      </c>
      <c r="P5110">
        <v>0.71356049999999904</v>
      </c>
      <c r="Q5110">
        <v>5.3343179999999997E-2</v>
      </c>
      <c r="R5110">
        <v>-0.69856010000000002</v>
      </c>
      <c r="S5110">
        <v>2.270111</v>
      </c>
      <c r="T5110">
        <v>-0.49317739999999999</v>
      </c>
      <c r="U5110">
        <v>-2.014221</v>
      </c>
      <c r="V5110">
        <v>-0.18331030000000001</v>
      </c>
      <c r="W5110">
        <v>6.3977679999999995E-2</v>
      </c>
      <c r="X5110">
        <v>0.98097100000000004</v>
      </c>
      <c r="Y5110">
        <v>-0.22146440000000001</v>
      </c>
      <c r="Z5110">
        <v>0.1419609</v>
      </c>
      <c r="AA5110">
        <v>0.96478010000000003</v>
      </c>
      <c r="AB5110">
        <v>28</v>
      </c>
      <c r="AC5110">
        <v>5.0541999999999803</v>
      </c>
      <c r="AD5110">
        <v>-1.1159102392</v>
      </c>
      <c r="AE5110">
        <v>-4.4459699999999902</v>
      </c>
      <c r="AF5110">
        <v>-1.53815926964915</v>
      </c>
      <c r="AG5110">
        <v>-1.1159102392</v>
      </c>
      <c r="AH5110">
        <v>6.3682157079639499</v>
      </c>
      <c r="AI5110">
        <v>99.666589581592703</v>
      </c>
      <c r="AJ5110">
        <v>103.578967792947</v>
      </c>
      <c r="AK5110">
        <v>6.6457024387131503</v>
      </c>
      <c r="AL5110">
        <v>86.331843502267901</v>
      </c>
      <c r="AM5110">
        <v>100.584569193002</v>
      </c>
      <c r="AN5110">
        <v>0.99999995623263505</v>
      </c>
    </row>
    <row r="5111" spans="1:40" x14ac:dyDescent="0.25">
      <c r="A5111" t="str">
        <f>"20190312151130305"</f>
        <v>20190312151130305</v>
      </c>
      <c r="B5111" t="str">
        <f>"1552374690296391"</f>
        <v>1552374690296391</v>
      </c>
      <c r="C5111" t="s">
        <v>40</v>
      </c>
      <c r="D5111">
        <v>4.8773350000000004</v>
      </c>
      <c r="E5111">
        <v>0.47982330000000001</v>
      </c>
      <c r="F5111" t="s">
        <v>85</v>
      </c>
      <c r="G5111">
        <v>-409.92259999999999</v>
      </c>
      <c r="H5111" s="1">
        <v>-1.954406E-6</v>
      </c>
      <c r="I5111">
        <v>24.385169999999999</v>
      </c>
      <c r="J5111">
        <v>-415.06470000000002</v>
      </c>
      <c r="K5111">
        <v>1.11591</v>
      </c>
      <c r="L5111">
        <v>28.856480000000001</v>
      </c>
      <c r="M5111">
        <v>0.57778560000000001</v>
      </c>
      <c r="N5111">
        <v>0</v>
      </c>
      <c r="O5111">
        <v>-0.81607769999999902</v>
      </c>
      <c r="P5111">
        <v>0.71630719999999903</v>
      </c>
      <c r="Q5111">
        <v>5.3391550000000003E-2</v>
      </c>
      <c r="R5111">
        <v>-0.69573960000000001</v>
      </c>
      <c r="S5111">
        <v>2.2818299999999998</v>
      </c>
      <c r="T5111">
        <v>-0.4875063</v>
      </c>
      <c r="U5111">
        <v>-2.0009160000000001</v>
      </c>
      <c r="V5111">
        <v>-0.1835109</v>
      </c>
      <c r="W5111">
        <v>6.4021939999999999E-2</v>
      </c>
      <c r="X5111">
        <v>0.98093059999999999</v>
      </c>
      <c r="Y5111">
        <v>-0.2236707</v>
      </c>
      <c r="Z5111">
        <v>0.14018329999999901</v>
      </c>
      <c r="AA5111">
        <v>0.96453100000000003</v>
      </c>
      <c r="AB5111">
        <v>28</v>
      </c>
      <c r="AC5111">
        <v>5.1421000000000197</v>
      </c>
      <c r="AD5111">
        <v>-1.1159119544060001</v>
      </c>
      <c r="AE5111">
        <v>-4.4713099999999901</v>
      </c>
      <c r="AF5111">
        <v>-1.57091194853031</v>
      </c>
      <c r="AG5111">
        <v>-1.1159119544060001</v>
      </c>
      <c r="AH5111">
        <v>6.4476539985755199</v>
      </c>
      <c r="AI5111">
        <v>99.545196192769694</v>
      </c>
      <c r="AJ5111">
        <v>103.692814153136</v>
      </c>
      <c r="AK5111">
        <v>6.7294328085930397</v>
      </c>
      <c r="AL5111">
        <v>86.329302360793505</v>
      </c>
      <c r="AM5111">
        <v>100.596316451015</v>
      </c>
      <c r="AN5111">
        <v>0.99999995061826497</v>
      </c>
    </row>
    <row r="5112" spans="1:40" x14ac:dyDescent="0.25">
      <c r="A5112" t="str">
        <f>"20190312151130318"</f>
        <v>20190312151130318</v>
      </c>
      <c r="B5112" t="str">
        <f>"1552374690306150"</f>
        <v>1552374690306150</v>
      </c>
      <c r="C5112" t="s">
        <v>40</v>
      </c>
      <c r="D5112">
        <v>4.9152019999999998</v>
      </c>
      <c r="E5112">
        <v>0.47982330000000001</v>
      </c>
      <c r="F5112" t="s">
        <v>85</v>
      </c>
      <c r="G5112">
        <v>-409.78629999999998</v>
      </c>
      <c r="H5112" s="1">
        <v>-2.0120010000000002E-6</v>
      </c>
      <c r="I5112">
        <v>24.281210000000002</v>
      </c>
      <c r="J5112">
        <v>-414.96120000000002</v>
      </c>
      <c r="K5112">
        <v>1.115926</v>
      </c>
      <c r="L5112">
        <v>28.71838</v>
      </c>
      <c r="M5112">
        <v>0.58167119999999894</v>
      </c>
      <c r="N5112">
        <v>0</v>
      </c>
      <c r="O5112">
        <v>-0.81331249999999999</v>
      </c>
      <c r="P5112">
        <v>0.71990299999999996</v>
      </c>
      <c r="Q5112">
        <v>5.3444159999999998E-2</v>
      </c>
      <c r="R5112">
        <v>-0.69201429999999997</v>
      </c>
      <c r="S5112">
        <v>2.2934269999999999</v>
      </c>
      <c r="T5112">
        <v>-0.48485450000000002</v>
      </c>
      <c r="U5112">
        <v>-1.9879150000000001</v>
      </c>
      <c r="V5112">
        <v>-0.18392159999999999</v>
      </c>
      <c r="W5112">
        <v>6.4066189999999995E-2</v>
      </c>
      <c r="X5112">
        <v>0.98085080000000002</v>
      </c>
      <c r="Y5112">
        <v>-0.22467870000000001</v>
      </c>
      <c r="Z5112">
        <v>0.13911219999999999</v>
      </c>
      <c r="AA5112">
        <v>0.96445179999999997</v>
      </c>
      <c r="AB5112">
        <v>28</v>
      </c>
      <c r="AC5112">
        <v>5.1749000000000303</v>
      </c>
      <c r="AD5112">
        <v>-1.115928012001</v>
      </c>
      <c r="AE5112">
        <v>-4.4371699999999903</v>
      </c>
      <c r="AF5112">
        <v>-1.58549492054325</v>
      </c>
      <c r="AG5112">
        <v>-1.115928012001</v>
      </c>
      <c r="AH5112">
        <v>6.4467309027662001</v>
      </c>
      <c r="AI5112">
        <v>99.541702754228993</v>
      </c>
      <c r="AJ5112">
        <v>103.81697992228101</v>
      </c>
      <c r="AK5112">
        <v>6.7319706478651398</v>
      </c>
      <c r="AL5112">
        <v>86.326761847809706</v>
      </c>
      <c r="AM5112">
        <v>100.620336672726</v>
      </c>
      <c r="AN5112">
        <v>0.99999996175415695</v>
      </c>
    </row>
    <row r="5113" spans="1:40" x14ac:dyDescent="0.25">
      <c r="A5113" t="str">
        <f>"20190312151130334"</f>
        <v>20190312151130334</v>
      </c>
      <c r="B5113" t="str">
        <f>"1552374690326646"</f>
        <v>1552374690326646</v>
      </c>
      <c r="C5113" t="s">
        <v>40</v>
      </c>
      <c r="D5113">
        <v>5.0302610000000003</v>
      </c>
      <c r="E5113">
        <v>0.48078480000000001</v>
      </c>
      <c r="F5113" t="s">
        <v>85</v>
      </c>
      <c r="G5113">
        <v>-409.65769999999998</v>
      </c>
      <c r="H5113" s="1">
        <v>-2.0631339999999999E-6</v>
      </c>
      <c r="I5113">
        <v>24.168970000000002</v>
      </c>
      <c r="J5113">
        <v>-414.84249999999997</v>
      </c>
      <c r="K5113">
        <v>1.1159460000000001</v>
      </c>
      <c r="L5113">
        <v>28.56213</v>
      </c>
      <c r="M5113">
        <v>0.586099699999999</v>
      </c>
      <c r="N5113">
        <v>0</v>
      </c>
      <c r="O5113">
        <v>-0.81012700000000004</v>
      </c>
      <c r="P5113">
        <v>0.72416059999999904</v>
      </c>
      <c r="Q5113">
        <v>5.3173400000000003E-2</v>
      </c>
      <c r="R5113">
        <v>-0.68757840000000003</v>
      </c>
      <c r="S5113">
        <v>2.3036799999999999</v>
      </c>
      <c r="T5113">
        <v>-0.48472749999999998</v>
      </c>
      <c r="U5113">
        <v>-1.976135</v>
      </c>
      <c r="V5113">
        <v>-0.18461240000000001</v>
      </c>
      <c r="W5113">
        <v>6.3782110000000003E-2</v>
      </c>
      <c r="X5113">
        <v>0.98073960000000004</v>
      </c>
      <c r="Y5113">
        <v>-0.22436410000000001</v>
      </c>
      <c r="Z5113">
        <v>0.13863879999999901</v>
      </c>
      <c r="AA5113">
        <v>0.96459320000000004</v>
      </c>
      <c r="AB5113">
        <v>28</v>
      </c>
      <c r="AC5113">
        <v>5.1847999999999903</v>
      </c>
      <c r="AD5113">
        <v>-1.115948063134</v>
      </c>
      <c r="AE5113">
        <v>-4.3931599999999902</v>
      </c>
      <c r="AF5113">
        <v>-1.5829777105878999</v>
      </c>
      <c r="AG5113">
        <v>-1.115948063134</v>
      </c>
      <c r="AH5113">
        <v>6.4251652475607397</v>
      </c>
      <c r="AI5113">
        <v>99.572360181988699</v>
      </c>
      <c r="AJ5113">
        <v>103.840409507088</v>
      </c>
      <c r="AK5113">
        <v>6.7107307329599299</v>
      </c>
      <c r="AL5113">
        <v>86.343072038991707</v>
      </c>
      <c r="AM5113">
        <v>100.660494592934</v>
      </c>
      <c r="AN5113">
        <v>1.0000000293989799</v>
      </c>
    </row>
    <row r="5114" spans="1:40" x14ac:dyDescent="0.25">
      <c r="A5114" t="str">
        <f>"20190312151130357"</f>
        <v>20190312151130357</v>
      </c>
      <c r="B5114" t="str">
        <f>"1552374690346166"</f>
        <v>1552374690346166</v>
      </c>
      <c r="C5114" t="s">
        <v>40</v>
      </c>
      <c r="D5114">
        <v>5.1493690000000001</v>
      </c>
      <c r="E5114">
        <v>0.4783771</v>
      </c>
      <c r="F5114" t="s">
        <v>85</v>
      </c>
      <c r="G5114">
        <v>-408.30090000000001</v>
      </c>
      <c r="H5114" s="1">
        <v>-2.6032010000000002E-6</v>
      </c>
      <c r="I5114">
        <v>22.985890000000001</v>
      </c>
      <c r="J5114">
        <v>-414.67700000000002</v>
      </c>
      <c r="K5114">
        <v>1.115972</v>
      </c>
      <c r="L5114">
        <v>28.347079999999998</v>
      </c>
      <c r="M5114">
        <v>0.59222319999999995</v>
      </c>
      <c r="N5114">
        <v>0</v>
      </c>
      <c r="O5114">
        <v>-0.80566110000000002</v>
      </c>
      <c r="P5114">
        <v>0.72959529999999995</v>
      </c>
      <c r="Q5114">
        <v>5.2210619999999999E-2</v>
      </c>
      <c r="R5114">
        <v>-0.68188319999999902</v>
      </c>
      <c r="S5114">
        <v>2.3055729999999999</v>
      </c>
      <c r="T5114">
        <v>-0.39331280000000002</v>
      </c>
      <c r="U5114">
        <v>-1.9653320000000001</v>
      </c>
      <c r="V5114">
        <v>-0.18490999999999999</v>
      </c>
      <c r="W5114">
        <v>6.2811779999999998E-2</v>
      </c>
      <c r="X5114">
        <v>0.98074620000000001</v>
      </c>
      <c r="Y5114">
        <v>-0.2230335</v>
      </c>
      <c r="Z5114">
        <v>0.1125438</v>
      </c>
      <c r="AA5114">
        <v>0.96829229999999999</v>
      </c>
      <c r="AB5114">
        <v>28</v>
      </c>
      <c r="AC5114">
        <v>6.3760999999999504</v>
      </c>
      <c r="AD5114">
        <v>-1.1159746032009901</v>
      </c>
      <c r="AE5114">
        <v>-5.3611899999999997</v>
      </c>
      <c r="AF5114">
        <v>-1.92754140576866</v>
      </c>
      <c r="AG5114">
        <v>-1.1159746032009901</v>
      </c>
      <c r="AH5114">
        <v>7.9533813957638202</v>
      </c>
      <c r="AI5114">
        <v>97.765344463984306</v>
      </c>
      <c r="AJ5114">
        <v>103.623245386337</v>
      </c>
      <c r="AK5114">
        <v>8.2593638261324003</v>
      </c>
      <c r="AL5114">
        <v>86.398779701802894</v>
      </c>
      <c r="AM5114">
        <v>100.677214583213</v>
      </c>
      <c r="AN5114">
        <v>1.0000000683106001</v>
      </c>
    </row>
    <row r="5115" spans="1:40" x14ac:dyDescent="0.25">
      <c r="A5115" t="str">
        <f>"20190312151130369"</f>
        <v>20190312151130369</v>
      </c>
      <c r="B5115" t="str">
        <f>"1552374690366662"</f>
        <v>1552374690366662</v>
      </c>
      <c r="C5115" t="s">
        <v>40</v>
      </c>
      <c r="D5115">
        <v>4.8683170000000002</v>
      </c>
      <c r="E5115">
        <v>0.47312340000000003</v>
      </c>
      <c r="F5115" t="s">
        <v>85</v>
      </c>
      <c r="G5115">
        <v>-408.34629999999999</v>
      </c>
      <c r="H5115" s="1">
        <v>-2.603059E-6</v>
      </c>
      <c r="I5115">
        <v>23.106030000000001</v>
      </c>
      <c r="J5115">
        <v>-414.57889999999998</v>
      </c>
      <c r="K5115">
        <v>1.11599</v>
      </c>
      <c r="L5115">
        <v>28.22156</v>
      </c>
      <c r="M5115">
        <v>0.59582669999999904</v>
      </c>
      <c r="N5115">
        <v>0</v>
      </c>
      <c r="O5115">
        <v>-0.80299960000000004</v>
      </c>
      <c r="P5115">
        <v>0.73268169999999899</v>
      </c>
      <c r="Q5115">
        <v>5.2137330000000003E-2</v>
      </c>
      <c r="R5115">
        <v>-0.67857129999999999</v>
      </c>
      <c r="S5115">
        <v>2.3348080000000002</v>
      </c>
      <c r="T5115">
        <v>-0.41157700000000003</v>
      </c>
      <c r="U5115">
        <v>-1.932922</v>
      </c>
      <c r="V5115">
        <v>-0.18496470000000001</v>
      </c>
      <c r="W5115">
        <v>6.2734689999999996E-2</v>
      </c>
      <c r="X5115">
        <v>0.98074079999999997</v>
      </c>
      <c r="Y5115">
        <v>-0.2320189</v>
      </c>
      <c r="Z5115">
        <v>0.117714</v>
      </c>
      <c r="AA5115">
        <v>0.96556229999999998</v>
      </c>
      <c r="AB5115">
        <v>28</v>
      </c>
      <c r="AC5115">
        <v>6.2325999999999899</v>
      </c>
      <c r="AD5115">
        <v>-1.1159926030589999</v>
      </c>
      <c r="AE5115">
        <v>-5.1155299999999899</v>
      </c>
      <c r="AF5115">
        <v>-1.92019992131446</v>
      </c>
      <c r="AG5115">
        <v>-1.1159926030589999</v>
      </c>
      <c r="AH5115">
        <v>7.67500440543939</v>
      </c>
      <c r="AI5115">
        <v>98.029077185155899</v>
      </c>
      <c r="AJ5115">
        <v>104.04642258677301</v>
      </c>
      <c r="AK5115">
        <v>7.9898873491065201</v>
      </c>
      <c r="AL5115">
        <v>86.403205292460797</v>
      </c>
      <c r="AM5115">
        <v>100.680357915931</v>
      </c>
      <c r="AN5115">
        <v>1.00000004918006</v>
      </c>
    </row>
    <row r="5116" spans="1:40" x14ac:dyDescent="0.25">
      <c r="A5116" t="str">
        <f>"20190312151130381"</f>
        <v>20190312151130381</v>
      </c>
      <c r="B5116" t="str">
        <f>"1552374690376423"</f>
        <v>1552374690376423</v>
      </c>
      <c r="C5116" t="s">
        <v>40</v>
      </c>
      <c r="D5116">
        <v>4.7887209999999998</v>
      </c>
      <c r="E5116">
        <v>0.47120079999999998</v>
      </c>
      <c r="F5116" t="s">
        <v>85</v>
      </c>
      <c r="G5116">
        <v>-408.25200000000001</v>
      </c>
      <c r="H5116" s="1">
        <v>-2.6749489999999999E-6</v>
      </c>
      <c r="I5116">
        <v>23.178550000000001</v>
      </c>
      <c r="J5116">
        <v>-414.49310000000003</v>
      </c>
      <c r="K5116">
        <v>1.1160079999999999</v>
      </c>
      <c r="L5116">
        <v>28.112269999999999</v>
      </c>
      <c r="M5116">
        <v>0.5989681</v>
      </c>
      <c r="N5116">
        <v>0</v>
      </c>
      <c r="O5116">
        <v>-0.80065949999999997</v>
      </c>
      <c r="P5116">
        <v>0.73527640000000005</v>
      </c>
      <c r="Q5116">
        <v>5.1801140000000002E-2</v>
      </c>
      <c r="R5116">
        <v>-0.67578519999999997</v>
      </c>
      <c r="S5116">
        <v>2.3727109999999998</v>
      </c>
      <c r="T5116">
        <v>-0.41852139999999999</v>
      </c>
      <c r="U5116">
        <v>-1.891235</v>
      </c>
      <c r="V5116">
        <v>-0.18486240000000001</v>
      </c>
      <c r="W5116">
        <v>6.2397759999999997E-2</v>
      </c>
      <c r="X5116">
        <v>0.98078160000000003</v>
      </c>
      <c r="Y5116">
        <v>-0.2458436</v>
      </c>
      <c r="Z5116">
        <v>0.1198776</v>
      </c>
      <c r="AA5116">
        <v>0.9618681</v>
      </c>
      <c r="AB5116">
        <v>28</v>
      </c>
      <c r="AC5116">
        <v>6.2411000000000696</v>
      </c>
      <c r="AD5116">
        <v>-1.116010674949</v>
      </c>
      <c r="AE5116">
        <v>-4.9337200000000001</v>
      </c>
      <c r="AF5116">
        <v>-2.0026326573382298</v>
      </c>
      <c r="AG5116">
        <v>-1.116010674949</v>
      </c>
      <c r="AH5116">
        <v>7.5407604407938997</v>
      </c>
      <c r="AI5116">
        <v>98.140301706166397</v>
      </c>
      <c r="AJ5116">
        <v>104.87297194266201</v>
      </c>
      <c r="AK5116">
        <v>7.8815661776248396</v>
      </c>
      <c r="AL5116">
        <v>86.422547918601595</v>
      </c>
      <c r="AM5116">
        <v>100.674152767008</v>
      </c>
      <c r="AN5116">
        <v>1.0000000671426601</v>
      </c>
    </row>
    <row r="5117" spans="1:40" x14ac:dyDescent="0.25">
      <c r="A5117" t="str">
        <f>"20190312151130392"</f>
        <v>20190312151130392</v>
      </c>
      <c r="B5117" t="str">
        <f>"1552374690386182"</f>
        <v>1552374690386182</v>
      </c>
      <c r="C5117" t="s">
        <v>40</v>
      </c>
      <c r="D5117">
        <v>5.0597089999999998</v>
      </c>
      <c r="E5117">
        <v>0.46984130000000002</v>
      </c>
      <c r="F5117" t="s">
        <v>85</v>
      </c>
      <c r="G5117">
        <v>-408.14240000000001</v>
      </c>
      <c r="H5117" s="1">
        <v>-2.731677E-6</v>
      </c>
      <c r="I5117">
        <v>23.141780000000001</v>
      </c>
      <c r="J5117">
        <v>-414.4024</v>
      </c>
      <c r="K5117">
        <v>1.116026</v>
      </c>
      <c r="L5117">
        <v>27.998049999999999</v>
      </c>
      <c r="M5117">
        <v>0.60227310000000001</v>
      </c>
      <c r="N5117">
        <v>0</v>
      </c>
      <c r="O5117">
        <v>-0.79817629999999995</v>
      </c>
      <c r="P5117">
        <v>0.73814659999999999</v>
      </c>
      <c r="Q5117">
        <v>5.1552679999999997E-2</v>
      </c>
      <c r="R5117">
        <v>-0.67266809999999999</v>
      </c>
      <c r="S5117">
        <v>2.3902589999999999</v>
      </c>
      <c r="T5117">
        <v>-0.42004279999999999</v>
      </c>
      <c r="U5117">
        <v>-1.870789</v>
      </c>
      <c r="V5117">
        <v>-0.1849711</v>
      </c>
      <c r="W5117">
        <v>6.2144089999999999E-2</v>
      </c>
      <c r="X5117">
        <v>0.98077709999999996</v>
      </c>
      <c r="Y5117">
        <v>-0.25032179999999998</v>
      </c>
      <c r="Z5117">
        <v>0.1201776</v>
      </c>
      <c r="AA5117">
        <v>0.9606749</v>
      </c>
      <c r="AB5117">
        <v>28</v>
      </c>
      <c r="AC5117">
        <v>6.25999999999999</v>
      </c>
      <c r="AD5117">
        <v>-1.1160287316769999</v>
      </c>
      <c r="AE5117">
        <v>-4.8562700000000003</v>
      </c>
      <c r="AF5117">
        <v>-2.03165833286246</v>
      </c>
      <c r="AG5117">
        <v>-1.1160287316769999</v>
      </c>
      <c r="AH5117">
        <v>7.4983005015009399</v>
      </c>
      <c r="AI5117">
        <v>98.175050484803194</v>
      </c>
      <c r="AJ5117">
        <v>105.160251518512</v>
      </c>
      <c r="AK5117">
        <v>7.8484180649496098</v>
      </c>
      <c r="AL5117">
        <v>86.437110009704099</v>
      </c>
      <c r="AM5117">
        <v>100.68033275221001</v>
      </c>
      <c r="AN5117">
        <v>0.999999957820773</v>
      </c>
    </row>
    <row r="5118" spans="1:40" x14ac:dyDescent="0.25">
      <c r="A5118" t="str">
        <f>"20190312151130404"</f>
        <v>20190312151130404</v>
      </c>
      <c r="B5118" t="str">
        <f>"1552374690396918"</f>
        <v>1552374690396918</v>
      </c>
      <c r="C5118" t="s">
        <v>40</v>
      </c>
      <c r="D5118">
        <v>4.8524039999999999</v>
      </c>
      <c r="E5118">
        <v>0.46890229999999999</v>
      </c>
      <c r="F5118" t="s">
        <v>85</v>
      </c>
      <c r="G5118">
        <v>-407.93369999999999</v>
      </c>
      <c r="H5118" s="1">
        <v>-2.8270639999999999E-6</v>
      </c>
      <c r="I5118">
        <v>23.015319999999999</v>
      </c>
      <c r="J5118">
        <v>-414.31180000000001</v>
      </c>
      <c r="K5118">
        <v>1.116045</v>
      </c>
      <c r="L5118">
        <v>27.88486</v>
      </c>
      <c r="M5118">
        <v>0.60555999999999999</v>
      </c>
      <c r="N5118">
        <v>0</v>
      </c>
      <c r="O5118">
        <v>-0.79568519999999998</v>
      </c>
      <c r="P5118">
        <v>0.74103980000000003</v>
      </c>
      <c r="Q5118">
        <v>5.1581200000000001E-2</v>
      </c>
      <c r="R5118">
        <v>-0.66947699999999999</v>
      </c>
      <c r="S5118">
        <v>2.4049990000000001</v>
      </c>
      <c r="T5118">
        <v>-0.4149312</v>
      </c>
      <c r="U5118">
        <v>-1.8525389999999999</v>
      </c>
      <c r="V5118">
        <v>-0.18515880000000001</v>
      </c>
      <c r="W5118">
        <v>6.2165989999999997E-2</v>
      </c>
      <c r="X5118">
        <v>0.98074030000000001</v>
      </c>
      <c r="Y5118">
        <v>-0.25392619999999999</v>
      </c>
      <c r="Z5118">
        <v>0.1185963</v>
      </c>
      <c r="AA5118">
        <v>0.95992520000000003</v>
      </c>
      <c r="AB5118">
        <v>28</v>
      </c>
      <c r="AC5118">
        <v>6.3781000000000097</v>
      </c>
      <c r="AD5118">
        <v>-1.116047827064</v>
      </c>
      <c r="AE5118">
        <v>-4.86953999999999</v>
      </c>
      <c r="AF5118">
        <v>-2.08600465549759</v>
      </c>
      <c r="AG5118">
        <v>-1.116047827064</v>
      </c>
      <c r="AH5118">
        <v>7.5908166971020403</v>
      </c>
      <c r="AI5118">
        <v>98.069068747547604</v>
      </c>
      <c r="AJ5118">
        <v>105.365935678962</v>
      </c>
      <c r="AK5118">
        <v>7.95094185012411</v>
      </c>
      <c r="AL5118">
        <v>86.435852822567298</v>
      </c>
      <c r="AM5118">
        <v>100.691312867506</v>
      </c>
      <c r="AN5118">
        <v>0.99999996378710398</v>
      </c>
    </row>
    <row r="5119" spans="1:40" x14ac:dyDescent="0.25">
      <c r="A5119" t="str">
        <f>"20190312151130415"</f>
        <v>20190312151130415</v>
      </c>
      <c r="B5119" t="str">
        <f>"1552374690406678"</f>
        <v>1552374690406678</v>
      </c>
      <c r="C5119" t="s">
        <v>40</v>
      </c>
      <c r="D5119">
        <v>4.9607449999999904</v>
      </c>
      <c r="E5119">
        <v>0.46823870000000001</v>
      </c>
      <c r="F5119" t="s">
        <v>85</v>
      </c>
      <c r="G5119">
        <v>-407.73289999999997</v>
      </c>
      <c r="H5119" s="1">
        <v>-2.917498E-6</v>
      </c>
      <c r="I5119">
        <v>22.88739</v>
      </c>
      <c r="J5119">
        <v>-414.22179999999997</v>
      </c>
      <c r="K5119">
        <v>1.1160650000000001</v>
      </c>
      <c r="L5119">
        <v>27.77328</v>
      </c>
      <c r="M5119">
        <v>0.60881010000000002</v>
      </c>
      <c r="N5119">
        <v>0</v>
      </c>
      <c r="O5119">
        <v>-0.79320100000000004</v>
      </c>
      <c r="P5119">
        <v>0.74376059999999999</v>
      </c>
      <c r="Q5119">
        <v>5.116921E-2</v>
      </c>
      <c r="R5119">
        <v>-0.66648469999999904</v>
      </c>
      <c r="S5119">
        <v>2.4177550000000001</v>
      </c>
      <c r="T5119">
        <v>-0.4101496</v>
      </c>
      <c r="U5119">
        <v>-1.836578</v>
      </c>
      <c r="V5119">
        <v>-0.18511910000000001</v>
      </c>
      <c r="W5119">
        <v>6.1751460000000001E-2</v>
      </c>
      <c r="X5119">
        <v>0.98077400000000003</v>
      </c>
      <c r="Y5119">
        <v>-0.25659539999999997</v>
      </c>
      <c r="Z5119">
        <v>0.1170727</v>
      </c>
      <c r="AA5119">
        <v>0.95940230000000004</v>
      </c>
      <c r="AB5119">
        <v>28</v>
      </c>
      <c r="AC5119">
        <v>6.4889000000000001</v>
      </c>
      <c r="AD5119">
        <v>-1.1160679174979999</v>
      </c>
      <c r="AE5119">
        <v>-4.8858899999999998</v>
      </c>
      <c r="AF5119">
        <v>-2.1323636423287402</v>
      </c>
      <c r="AG5119">
        <v>-1.1160679174979999</v>
      </c>
      <c r="AH5119">
        <v>7.6816904247795001</v>
      </c>
      <c r="AI5119">
        <v>97.969366873805797</v>
      </c>
      <c r="AJ5119">
        <v>105.51414447379101</v>
      </c>
      <c r="AK5119">
        <v>8.0499037312096409</v>
      </c>
      <c r="AL5119">
        <v>86.459649425999302</v>
      </c>
      <c r="AM5119">
        <v>100.688714541907</v>
      </c>
      <c r="AN5119">
        <v>0.99999998153646996</v>
      </c>
    </row>
    <row r="5120" spans="1:40" x14ac:dyDescent="0.25">
      <c r="A5120" t="str">
        <f>"20190312151130427"</f>
        <v>20190312151130427</v>
      </c>
      <c r="B5120" t="str">
        <f>"1552374690416438"</f>
        <v>1552374690416438</v>
      </c>
      <c r="C5120" t="s">
        <v>40</v>
      </c>
      <c r="D5120">
        <v>4.8348079999999998</v>
      </c>
      <c r="E5120">
        <v>0.4676091</v>
      </c>
      <c r="F5120" t="s">
        <v>85</v>
      </c>
      <c r="G5120">
        <v>-407.57220000000001</v>
      </c>
      <c r="H5120" s="1">
        <v>-2.989042E-6</v>
      </c>
      <c r="I5120">
        <v>22.78125</v>
      </c>
      <c r="J5120">
        <v>-414.13479999999998</v>
      </c>
      <c r="K5120">
        <v>1.1160829999999999</v>
      </c>
      <c r="L5120">
        <v>27.66656</v>
      </c>
      <c r="M5120">
        <v>0.61194029999999999</v>
      </c>
      <c r="N5120">
        <v>0</v>
      </c>
      <c r="O5120">
        <v>-0.79078850000000001</v>
      </c>
      <c r="P5120">
        <v>0.74635240000000003</v>
      </c>
      <c r="Q5120">
        <v>5.0802609999999998E-2</v>
      </c>
      <c r="R5120">
        <v>-0.66360920000000001</v>
      </c>
      <c r="S5120">
        <v>2.428131</v>
      </c>
      <c r="T5120">
        <v>-0.40753279999999997</v>
      </c>
      <c r="U5120">
        <v>-1.822845</v>
      </c>
      <c r="V5120">
        <v>-0.1850453</v>
      </c>
      <c r="W5120">
        <v>6.1382609999999997E-2</v>
      </c>
      <c r="X5120">
        <v>0.98081110000000005</v>
      </c>
      <c r="Y5120">
        <v>-0.25831140000000002</v>
      </c>
      <c r="Z5120">
        <v>0.116144899999999</v>
      </c>
      <c r="AA5120">
        <v>0.95905450000000003</v>
      </c>
      <c r="AB5120">
        <v>28</v>
      </c>
      <c r="AC5120">
        <v>6.5625999999999696</v>
      </c>
      <c r="AD5120">
        <v>-1.1160859890419901</v>
      </c>
      <c r="AE5120">
        <v>-4.8853099999999898</v>
      </c>
      <c r="AF5120">
        <v>-2.1601115672986202</v>
      </c>
      <c r="AG5120">
        <v>-1.1160859890419901</v>
      </c>
      <c r="AH5120">
        <v>7.7359196749529797</v>
      </c>
      <c r="AI5120">
        <v>97.911025541606094</v>
      </c>
      <c r="AJ5120">
        <v>105.601401536916</v>
      </c>
      <c r="AK5120">
        <v>8.1090186296146793</v>
      </c>
      <c r="AL5120">
        <v>86.480823210503601</v>
      </c>
      <c r="AM5120">
        <v>100.684156629387</v>
      </c>
      <c r="AN5120">
        <v>1.00000000087285</v>
      </c>
    </row>
    <row r="5121" spans="1:40" x14ac:dyDescent="0.25">
      <c r="A5121" t="str">
        <f>"20190312151130440"</f>
        <v>20190312151130440</v>
      </c>
      <c r="B5121" t="str">
        <f>"1552374690436934"</f>
        <v>1552374690436934</v>
      </c>
      <c r="C5121" t="s">
        <v>40</v>
      </c>
      <c r="D5121">
        <v>5.1107699999999996</v>
      </c>
      <c r="E5121">
        <v>0.46672999999999998</v>
      </c>
      <c r="F5121" t="s">
        <v>85</v>
      </c>
      <c r="G5121">
        <v>-407.39319999999998</v>
      </c>
      <c r="H5121" s="1">
        <v>-3.0690589999999999E-6</v>
      </c>
      <c r="I5121">
        <v>22.664639999999999</v>
      </c>
      <c r="J5121">
        <v>-414.0283</v>
      </c>
      <c r="K5121">
        <v>1.1161110000000001</v>
      </c>
      <c r="L5121">
        <v>27.536740000000002</v>
      </c>
      <c r="M5121">
        <v>0.61575649999999904</v>
      </c>
      <c r="N5121">
        <v>0</v>
      </c>
      <c r="O5121">
        <v>-0.78782050000000003</v>
      </c>
      <c r="P5121">
        <v>0.74931190000000003</v>
      </c>
      <c r="Q5121">
        <v>5.0838130000000002E-2</v>
      </c>
      <c r="R5121">
        <v>-0.66026309999999999</v>
      </c>
      <c r="S5121">
        <v>2.4384160000000001</v>
      </c>
      <c r="T5121">
        <v>-0.40368340000000003</v>
      </c>
      <c r="U5121">
        <v>-1.8091740000000001</v>
      </c>
      <c r="V5121">
        <v>-0.18469360000000001</v>
      </c>
      <c r="W5121">
        <v>6.1419260000000003E-2</v>
      </c>
      <c r="X5121">
        <v>0.9808751</v>
      </c>
      <c r="Y5121">
        <v>-0.25918980000000003</v>
      </c>
      <c r="Z5121">
        <v>0.1147748</v>
      </c>
      <c r="AA5121">
        <v>0.95898249999999996</v>
      </c>
      <c r="AB5121">
        <v>28</v>
      </c>
      <c r="AC5121">
        <v>6.63510000000002</v>
      </c>
      <c r="AD5121">
        <v>-1.1161140690589999</v>
      </c>
      <c r="AE5121">
        <v>-4.8720999999999997</v>
      </c>
      <c r="AF5121">
        <v>-2.18723480639752</v>
      </c>
      <c r="AG5121">
        <v>-1.1161140690589999</v>
      </c>
      <c r="AH5121">
        <v>7.7816160949686202</v>
      </c>
      <c r="AI5121">
        <v>97.861624485331205</v>
      </c>
      <c r="AJ5121">
        <v>105.699462069303</v>
      </c>
      <c r="AK5121">
        <v>8.1598563567591693</v>
      </c>
      <c r="AL5121">
        <v>86.478719370743505</v>
      </c>
      <c r="AM5121">
        <v>100.66363646684999</v>
      </c>
      <c r="AN5121">
        <v>1.0000000065899499</v>
      </c>
    </row>
    <row r="5122" spans="1:40" x14ac:dyDescent="0.25">
      <c r="A5122" t="str">
        <f>"20190312151130456"</f>
        <v>20190312151130456</v>
      </c>
      <c r="B5122" t="str">
        <f>"1552374690446695"</f>
        <v>1552374690446695</v>
      </c>
      <c r="C5122" t="s">
        <v>40</v>
      </c>
      <c r="D5122">
        <v>4.8824569999999996</v>
      </c>
      <c r="E5122">
        <v>0.4664488</v>
      </c>
      <c r="F5122" t="s">
        <v>85</v>
      </c>
      <c r="G5122">
        <v>-407.137</v>
      </c>
      <c r="H5122" s="1">
        <v>-3.1834030000000002E-6</v>
      </c>
      <c r="I5122">
        <v>22.496960000000001</v>
      </c>
      <c r="J5122">
        <v>-413.89580000000001</v>
      </c>
      <c r="K5122">
        <v>1.1161399999999999</v>
      </c>
      <c r="L5122">
        <v>27.37726</v>
      </c>
      <c r="M5122">
        <v>0.62047649999999999</v>
      </c>
      <c r="N5122">
        <v>0</v>
      </c>
      <c r="O5122">
        <v>-0.78410849999999999</v>
      </c>
      <c r="P5122">
        <v>0.75291819999999998</v>
      </c>
      <c r="Q5122">
        <v>5.072981E-2</v>
      </c>
      <c r="R5122">
        <v>-0.65615610000000002</v>
      </c>
      <c r="S5122">
        <v>2.451111</v>
      </c>
      <c r="T5122">
        <v>-0.39698450000000002</v>
      </c>
      <c r="U5122">
        <v>-1.7925720000000001</v>
      </c>
      <c r="V5122">
        <v>-0.18417510000000001</v>
      </c>
      <c r="W5122">
        <v>6.1312650000000003E-2</v>
      </c>
      <c r="X5122">
        <v>0.9809793</v>
      </c>
      <c r="Y5122">
        <v>-0.26023180000000001</v>
      </c>
      <c r="Z5122">
        <v>0.1125273</v>
      </c>
      <c r="AA5122">
        <v>0.95896669999999995</v>
      </c>
      <c r="AB5122">
        <v>28</v>
      </c>
      <c r="AC5122">
        <v>6.7588000000000603</v>
      </c>
      <c r="AD5122">
        <v>-1.116143183403</v>
      </c>
      <c r="AE5122">
        <v>-4.8802999999999903</v>
      </c>
      <c r="AF5122">
        <v>-2.23172465428246</v>
      </c>
      <c r="AG5122">
        <v>-1.116143183403</v>
      </c>
      <c r="AH5122">
        <v>7.8798467985698304</v>
      </c>
      <c r="AI5122">
        <v>97.76073112988</v>
      </c>
      <c r="AJ5122">
        <v>105.813145395954</v>
      </c>
      <c r="AK5122">
        <v>8.2654918853822803</v>
      </c>
      <c r="AL5122">
        <v>86.484839352543403</v>
      </c>
      <c r="AM5122">
        <v>100.633279787148</v>
      </c>
      <c r="AN5122">
        <v>1.0000000477692601</v>
      </c>
    </row>
    <row r="5123" spans="1:40" x14ac:dyDescent="0.25">
      <c r="A5123" t="str">
        <f>"20190312151130468"</f>
        <v>20190312151130468</v>
      </c>
      <c r="B5123" t="str">
        <f>"1552374690456455"</f>
        <v>1552374690456455</v>
      </c>
      <c r="C5123" t="s">
        <v>40</v>
      </c>
      <c r="D5123">
        <v>5.0284810000000002</v>
      </c>
      <c r="E5123">
        <v>0.46630270000000001</v>
      </c>
      <c r="F5123" t="s">
        <v>85</v>
      </c>
      <c r="G5123">
        <v>-406.93200000000002</v>
      </c>
      <c r="H5123" s="1">
        <v>-3.272056E-6</v>
      </c>
      <c r="I5123">
        <v>22.35004</v>
      </c>
      <c r="J5123">
        <v>-413.81319999999999</v>
      </c>
      <c r="K5123">
        <v>1.116161</v>
      </c>
      <c r="L5123">
        <v>27.279209999999999</v>
      </c>
      <c r="M5123">
        <v>0.62340419999999996</v>
      </c>
      <c r="N5123">
        <v>0</v>
      </c>
      <c r="O5123">
        <v>-0.78178259999999999</v>
      </c>
      <c r="P5123">
        <v>0.75528960000000001</v>
      </c>
      <c r="Q5123">
        <v>5.0599039999999998E-2</v>
      </c>
      <c r="R5123">
        <v>-0.65343519999999999</v>
      </c>
      <c r="S5123">
        <v>2.4621279999999999</v>
      </c>
      <c r="T5123">
        <v>-0.39462609999999998</v>
      </c>
      <c r="U5123">
        <v>-1.7774350000000001</v>
      </c>
      <c r="V5123">
        <v>-0.18405360000000001</v>
      </c>
      <c r="W5123">
        <v>6.1179860000000003E-2</v>
      </c>
      <c r="X5123">
        <v>0.9810103</v>
      </c>
      <c r="Y5123">
        <v>-0.26261610000000002</v>
      </c>
      <c r="Z5123">
        <v>0.11172</v>
      </c>
      <c r="AA5123">
        <v>0.95841089999999995</v>
      </c>
      <c r="AB5123">
        <v>28</v>
      </c>
      <c r="AC5123">
        <v>6.88120000000003</v>
      </c>
      <c r="AD5123">
        <v>-1.1161642720560001</v>
      </c>
      <c r="AE5123">
        <v>-4.9291699999999903</v>
      </c>
      <c r="AF5123">
        <v>-2.2675203607060701</v>
      </c>
      <c r="AG5123">
        <v>-1.1161642720560001</v>
      </c>
      <c r="AH5123">
        <v>8.0048641194775705</v>
      </c>
      <c r="AI5123">
        <v>97.641016313597703</v>
      </c>
      <c r="AJ5123">
        <v>105.81571887440001</v>
      </c>
      <c r="AK5123">
        <v>8.3943624439102198</v>
      </c>
      <c r="AL5123">
        <v>86.492461645886394</v>
      </c>
      <c r="AM5123">
        <v>100.626096690647</v>
      </c>
      <c r="AN5123">
        <v>0.99999995582433299</v>
      </c>
    </row>
    <row r="5124" spans="1:40" x14ac:dyDescent="0.25">
      <c r="A5124" t="str">
        <f>"20190312151130478"</f>
        <v>20190312151130478</v>
      </c>
      <c r="B5124" t="str">
        <f>"1552374690476951"</f>
        <v>1552374690476951</v>
      </c>
      <c r="C5124" t="s">
        <v>40</v>
      </c>
      <c r="D5124">
        <v>4.836068</v>
      </c>
      <c r="E5124">
        <v>0.46623330000000002</v>
      </c>
      <c r="F5124" t="s">
        <v>85</v>
      </c>
      <c r="G5124">
        <v>-406.77390000000003</v>
      </c>
      <c r="H5124" s="1">
        <v>-3.3411749999999998E-6</v>
      </c>
      <c r="I5124">
        <v>22.24</v>
      </c>
      <c r="J5124">
        <v>-413.72179999999997</v>
      </c>
      <c r="K5124">
        <v>1.1161810000000001</v>
      </c>
      <c r="L5124">
        <v>27.170870000000001</v>
      </c>
      <c r="M5124">
        <v>0.62663590000000002</v>
      </c>
      <c r="N5124">
        <v>0</v>
      </c>
      <c r="O5124">
        <v>-0.77919469999999902</v>
      </c>
      <c r="P5124">
        <v>0.75785009999999997</v>
      </c>
      <c r="Q5124">
        <v>5.025429E-2</v>
      </c>
      <c r="R5124">
        <v>-0.65049049999999997</v>
      </c>
      <c r="S5124">
        <v>2.469055</v>
      </c>
      <c r="T5124">
        <v>-0.39149790000000001</v>
      </c>
      <c r="U5124">
        <v>-1.76751699999999</v>
      </c>
      <c r="V5124">
        <v>-0.1838255</v>
      </c>
      <c r="W5124">
        <v>6.0834319999999997E-2</v>
      </c>
      <c r="X5124">
        <v>0.98107460000000002</v>
      </c>
      <c r="Y5124">
        <v>-0.2625575</v>
      </c>
      <c r="Z5124">
        <v>0.1105746</v>
      </c>
      <c r="AA5124">
        <v>0.95855979999999996</v>
      </c>
      <c r="AB5124">
        <v>28</v>
      </c>
      <c r="AC5124">
        <v>6.9478999999999402</v>
      </c>
      <c r="AD5124">
        <v>-1.1161843411750001</v>
      </c>
      <c r="AE5124">
        <v>-4.9308699999999996</v>
      </c>
      <c r="AF5124">
        <v>-2.2849017731502701</v>
      </c>
      <c r="AG5124">
        <v>-1.1161843411750001</v>
      </c>
      <c r="AH5124">
        <v>8.0583494967374794</v>
      </c>
      <c r="AI5124">
        <v>97.590484283325907</v>
      </c>
      <c r="AJ5124">
        <v>105.830400387503</v>
      </c>
      <c r="AK5124">
        <v>8.4500674676595704</v>
      </c>
      <c r="AL5124">
        <v>86.512296730140804</v>
      </c>
      <c r="AM5124">
        <v>100.612547197091</v>
      </c>
      <c r="AN5124">
        <v>0.99999999985263599</v>
      </c>
    </row>
    <row r="5125" spans="1:40" x14ac:dyDescent="0.25">
      <c r="A5125" t="str">
        <f>"20190312151130489"</f>
        <v>20190312151130489</v>
      </c>
      <c r="B5125" t="str">
        <f>"1552374690486710"</f>
        <v>1552374690486710</v>
      </c>
      <c r="C5125" t="s">
        <v>40</v>
      </c>
      <c r="D5125">
        <v>4.9764039999999996</v>
      </c>
      <c r="E5125">
        <v>0.46648400000000001</v>
      </c>
      <c r="F5125" t="s">
        <v>85</v>
      </c>
      <c r="G5125">
        <v>-406.5795</v>
      </c>
      <c r="H5125" s="1">
        <v>-3.4255710000000001E-6</v>
      </c>
      <c r="I5125">
        <v>22.101990000000001</v>
      </c>
      <c r="J5125">
        <v>-413.63369999999998</v>
      </c>
      <c r="K5125">
        <v>1.1162019999999999</v>
      </c>
      <c r="L5125">
        <v>27.06793</v>
      </c>
      <c r="M5125">
        <v>0.62973639999999997</v>
      </c>
      <c r="N5125">
        <v>0</v>
      </c>
      <c r="O5125">
        <v>-0.77669100000000002</v>
      </c>
      <c r="P5125">
        <v>0.76045469999999904</v>
      </c>
      <c r="Q5125">
        <v>5.0149109999999997E-2</v>
      </c>
      <c r="R5125">
        <v>-0.64745180000000002</v>
      </c>
      <c r="S5125">
        <v>2.4759829999999998</v>
      </c>
      <c r="T5125">
        <v>-0.38694190000000001</v>
      </c>
      <c r="U5125">
        <v>-1.7572019999999999</v>
      </c>
      <c r="V5125">
        <v>-0.1838497</v>
      </c>
      <c r="W5125">
        <v>6.0723899999999997E-2</v>
      </c>
      <c r="X5125">
        <v>0.98107690000000003</v>
      </c>
      <c r="Y5125">
        <v>-0.26279360000000002</v>
      </c>
      <c r="Z5125">
        <v>0.10906299999999999</v>
      </c>
      <c r="AA5125">
        <v>0.95866819999999997</v>
      </c>
      <c r="AB5125">
        <v>28</v>
      </c>
      <c r="AC5125">
        <v>7.0541999999999803</v>
      </c>
      <c r="AD5125">
        <v>-1.1162054255709899</v>
      </c>
      <c r="AE5125">
        <v>-4.9659399999999998</v>
      </c>
      <c r="AF5125">
        <v>-2.31319041042088</v>
      </c>
      <c r="AG5125">
        <v>-1.1162054255709899</v>
      </c>
      <c r="AH5125">
        <v>8.1633831687671705</v>
      </c>
      <c r="AI5125">
        <v>97.494434386721295</v>
      </c>
      <c r="AJ5125">
        <v>105.82070025369499</v>
      </c>
      <c r="AK5125">
        <v>8.55789630616359</v>
      </c>
      <c r="AL5125">
        <v>86.518635027627994</v>
      </c>
      <c r="AM5125">
        <v>100.613888243186</v>
      </c>
      <c r="AN5125">
        <v>0.99999999396745498</v>
      </c>
    </row>
    <row r="5126" spans="1:40" x14ac:dyDescent="0.25">
      <c r="A5126" t="str">
        <f>"20190312151130501"</f>
        <v>20190312151130501</v>
      </c>
      <c r="B5126" t="str">
        <f>"1552374690496471"</f>
        <v>1552374690496471</v>
      </c>
      <c r="C5126" t="s">
        <v>40</v>
      </c>
      <c r="D5126">
        <v>4.8406320000000003</v>
      </c>
      <c r="E5126">
        <v>0.46643269999999998</v>
      </c>
      <c r="F5126" t="s">
        <v>85</v>
      </c>
      <c r="G5126">
        <v>-406.5412</v>
      </c>
      <c r="H5126" s="1">
        <v>-3.4412519999999999E-6</v>
      </c>
      <c r="I5126">
        <v>22.070650000000001</v>
      </c>
      <c r="J5126">
        <v>-413.54360000000003</v>
      </c>
      <c r="K5126">
        <v>1.1162240000000001</v>
      </c>
      <c r="L5126">
        <v>26.963100000000001</v>
      </c>
      <c r="M5126">
        <v>0.63289709999999999</v>
      </c>
      <c r="N5126">
        <v>0</v>
      </c>
      <c r="O5126">
        <v>-0.77411750000000001</v>
      </c>
      <c r="P5126">
        <v>0.76299240000000002</v>
      </c>
      <c r="Q5126">
        <v>5.0088349999999997E-2</v>
      </c>
      <c r="R5126">
        <v>-0.64446409999999998</v>
      </c>
      <c r="S5126">
        <v>2.4819339999999999</v>
      </c>
      <c r="T5126">
        <v>-0.39060470000000003</v>
      </c>
      <c r="U5126">
        <v>-1.7487490000000001</v>
      </c>
      <c r="V5126">
        <v>-0.18370439999999999</v>
      </c>
      <c r="W5126">
        <v>6.0660600000000002E-2</v>
      </c>
      <c r="X5126">
        <v>0.98110799999999998</v>
      </c>
      <c r="Y5126">
        <v>-0.26202999999999999</v>
      </c>
      <c r="Z5126">
        <v>0.10977770000000001</v>
      </c>
      <c r="AA5126">
        <v>0.95879570000000003</v>
      </c>
      <c r="AB5126">
        <v>28</v>
      </c>
      <c r="AC5126">
        <v>7.0024000000000202</v>
      </c>
      <c r="AD5126">
        <v>-1.1162274412519999</v>
      </c>
      <c r="AE5126">
        <v>-4.8924500000000002</v>
      </c>
      <c r="AF5126">
        <v>-2.2854517853464502</v>
      </c>
      <c r="AG5126">
        <v>-1.1162274412519999</v>
      </c>
      <c r="AH5126">
        <v>8.0818845344930796</v>
      </c>
      <c r="AI5126">
        <v>97.570411728002199</v>
      </c>
      <c r="AJ5126">
        <v>105.790212733034</v>
      </c>
      <c r="AK5126">
        <v>8.4726684812180402</v>
      </c>
      <c r="AL5126">
        <v>86.5222684351086</v>
      </c>
      <c r="AM5126">
        <v>100.605361692744</v>
      </c>
      <c r="AN5126">
        <v>0.99999996131785895</v>
      </c>
    </row>
    <row r="5127" spans="1:40" x14ac:dyDescent="0.25">
      <c r="A5127" t="str">
        <f>"20190312151130513"</f>
        <v>20190312151130513</v>
      </c>
      <c r="B5127" t="str">
        <f>"1552374690506231"</f>
        <v>1552374690506231</v>
      </c>
      <c r="C5127" t="s">
        <v>40</v>
      </c>
      <c r="D5127">
        <v>5.0594190000000001</v>
      </c>
      <c r="E5127">
        <v>0.4664413</v>
      </c>
      <c r="F5127" t="s">
        <v>85</v>
      </c>
      <c r="G5127">
        <v>-406.44319999999999</v>
      </c>
      <c r="H5127" s="1">
        <v>-3.484382E-6</v>
      </c>
      <c r="I5127">
        <v>22.003679999999999</v>
      </c>
      <c r="J5127">
        <v>-413.4427</v>
      </c>
      <c r="K5127">
        <v>1.116249</v>
      </c>
      <c r="L5127">
        <v>26.847049999999999</v>
      </c>
      <c r="M5127">
        <v>0.63641840000000005</v>
      </c>
      <c r="N5127">
        <v>0</v>
      </c>
      <c r="O5127">
        <v>-0.77122519999999894</v>
      </c>
      <c r="P5127">
        <v>0.76579370000000002</v>
      </c>
      <c r="Q5127">
        <v>5.0093310000000002E-2</v>
      </c>
      <c r="R5127">
        <v>-0.64113209999999998</v>
      </c>
      <c r="S5127">
        <v>2.4890750000000001</v>
      </c>
      <c r="T5127">
        <v>-0.39130019999999999</v>
      </c>
      <c r="U5127">
        <v>-1.738556</v>
      </c>
      <c r="V5127">
        <v>-0.1835126</v>
      </c>
      <c r="W5127">
        <v>6.0662489999999999E-2</v>
      </c>
      <c r="X5127">
        <v>0.98114380000000001</v>
      </c>
      <c r="Y5127">
        <v>-0.26156289999999999</v>
      </c>
      <c r="Z5127">
        <v>0.1096427</v>
      </c>
      <c r="AA5127">
        <v>0.95893870000000003</v>
      </c>
      <c r="AB5127">
        <v>28</v>
      </c>
      <c r="AC5127">
        <v>6.99950000000001</v>
      </c>
      <c r="AD5127">
        <v>-1.1162524843819901</v>
      </c>
      <c r="AE5127">
        <v>-4.8433699999999904</v>
      </c>
      <c r="AF5127">
        <v>-2.27683615280678</v>
      </c>
      <c r="AG5127">
        <v>-1.1162524843819901</v>
      </c>
      <c r="AH5127">
        <v>8.0522081023312495</v>
      </c>
      <c r="AI5127">
        <v>97.598210191739298</v>
      </c>
      <c r="AJ5127">
        <v>105.788740002666</v>
      </c>
      <c r="AK5127">
        <v>8.4420410919910793</v>
      </c>
      <c r="AL5127">
        <v>86.522160025844101</v>
      </c>
      <c r="AM5127">
        <v>100.594161946472</v>
      </c>
      <c r="AN5127">
        <v>0.99999998416509905</v>
      </c>
    </row>
    <row r="5128" spans="1:40" x14ac:dyDescent="0.25">
      <c r="A5128" t="str">
        <f>"20190312151130526"</f>
        <v>20190312151130526</v>
      </c>
      <c r="B5128" t="str">
        <f>"1552374690515990"</f>
        <v>1552374690515990</v>
      </c>
      <c r="C5128" t="s">
        <v>40</v>
      </c>
      <c r="D5128">
        <v>5.0369159999999997</v>
      </c>
      <c r="E5128">
        <v>0.46673100000000001</v>
      </c>
      <c r="F5128" t="s">
        <v>85</v>
      </c>
      <c r="G5128">
        <v>-406.26510000000002</v>
      </c>
      <c r="H5128" s="1">
        <v>-3.5622980000000001E-6</v>
      </c>
      <c r="I5128">
        <v>21.879909999999999</v>
      </c>
      <c r="J5128">
        <v>-413.34210000000002</v>
      </c>
      <c r="K5128">
        <v>1.1162749999999999</v>
      </c>
      <c r="L5128">
        <v>26.732420000000001</v>
      </c>
      <c r="M5128">
        <v>0.63991779999999998</v>
      </c>
      <c r="N5128">
        <v>0</v>
      </c>
      <c r="O5128">
        <v>-0.76832409999999995</v>
      </c>
      <c r="P5128">
        <v>0.76882700000000004</v>
      </c>
      <c r="Q5128">
        <v>5.0164319999999998E-2</v>
      </c>
      <c r="R5128">
        <v>-0.63748640000000001</v>
      </c>
      <c r="S5128">
        <v>2.496521</v>
      </c>
      <c r="T5128">
        <v>-0.38825270000000001</v>
      </c>
      <c r="U5128">
        <v>-1.7276609999999999</v>
      </c>
      <c r="V5128">
        <v>-0.1837154</v>
      </c>
      <c r="W5128">
        <v>6.072437E-2</v>
      </c>
      <c r="X5128">
        <v>0.98110200000000003</v>
      </c>
      <c r="Y5128">
        <v>-0.26146140000000001</v>
      </c>
      <c r="Z5128">
        <v>0.108491</v>
      </c>
      <c r="AA5128">
        <v>0.95909730000000004</v>
      </c>
      <c r="AB5128">
        <v>28</v>
      </c>
      <c r="AC5128">
        <v>7.0769999999999902</v>
      </c>
      <c r="AD5128">
        <v>-1.1162785622979901</v>
      </c>
      <c r="AE5128">
        <v>-4.8525099999999997</v>
      </c>
      <c r="AF5128">
        <v>-2.2936202084398598</v>
      </c>
      <c r="AG5128">
        <v>-1.1162785622979901</v>
      </c>
      <c r="AH5128">
        <v>8.1203324085585606</v>
      </c>
      <c r="AI5128">
        <v>97.535970748168694</v>
      </c>
      <c r="AJ5128">
        <v>105.772544055822</v>
      </c>
      <c r="AK5128">
        <v>8.5115550820456001</v>
      </c>
      <c r="AL5128">
        <v>86.5186079508386</v>
      </c>
      <c r="AM5128">
        <v>100.606045712178</v>
      </c>
      <c r="AN5128">
        <v>0.99999996585652695</v>
      </c>
    </row>
    <row r="5129" spans="1:40" x14ac:dyDescent="0.25">
      <c r="A5129" t="str">
        <f>"20190312151130541"</f>
        <v>20190312151130541</v>
      </c>
      <c r="B5129" t="str">
        <f>"1552374690536486"</f>
        <v>1552374690536486</v>
      </c>
      <c r="C5129" t="s">
        <v>40</v>
      </c>
      <c r="D5129">
        <v>4.8632090000000003</v>
      </c>
      <c r="E5129">
        <v>0.46702589999999999</v>
      </c>
      <c r="F5129" t="s">
        <v>85</v>
      </c>
      <c r="G5129">
        <v>-406.20089999999999</v>
      </c>
      <c r="H5129" s="1">
        <v>-3.5896260000000002E-6</v>
      </c>
      <c r="I5129">
        <v>21.83201</v>
      </c>
      <c r="J5129">
        <v>-413.22399999999999</v>
      </c>
      <c r="K5129">
        <v>1.1163050000000001</v>
      </c>
      <c r="L5129">
        <v>26.598970000000001</v>
      </c>
      <c r="M5129">
        <v>0.64400539999999995</v>
      </c>
      <c r="N5129">
        <v>0</v>
      </c>
      <c r="O5129">
        <v>-0.76490100000000005</v>
      </c>
      <c r="P5129">
        <v>0.7720901</v>
      </c>
      <c r="Q5129">
        <v>5.0117969999999998E-2</v>
      </c>
      <c r="R5129">
        <v>-0.63353409999999999</v>
      </c>
      <c r="S5129">
        <v>2.5032350000000001</v>
      </c>
      <c r="T5129">
        <v>-0.39129649999999999</v>
      </c>
      <c r="U5129">
        <v>-1.717773</v>
      </c>
      <c r="V5129">
        <v>-0.18352270000000001</v>
      </c>
      <c r="W5129">
        <v>6.0673919999999999E-2</v>
      </c>
      <c r="X5129">
        <v>0.98114120000000005</v>
      </c>
      <c r="Y5129">
        <v>-0.26002360000000002</v>
      </c>
      <c r="Z5129">
        <v>0.108905</v>
      </c>
      <c r="AA5129">
        <v>0.95944119999999999</v>
      </c>
      <c r="AB5129">
        <v>28</v>
      </c>
      <c r="AC5129">
        <v>7.0231000000000003</v>
      </c>
      <c r="AD5129">
        <v>-1.1163085896260001</v>
      </c>
      <c r="AE5129">
        <v>-4.7669600000000001</v>
      </c>
      <c r="AF5129">
        <v>-2.2630967856203101</v>
      </c>
      <c r="AG5129">
        <v>-1.1163085896260001</v>
      </c>
      <c r="AH5129">
        <v>8.0310114634736003</v>
      </c>
      <c r="AI5129">
        <v>97.620306437632806</v>
      </c>
      <c r="AJ5129">
        <v>105.73755712522301</v>
      </c>
      <c r="AK5129">
        <v>8.4181290709279395</v>
      </c>
      <c r="AL5129">
        <v>86.521503912583697</v>
      </c>
      <c r="AM5129">
        <v>100.59475925819901</v>
      </c>
      <c r="AN5129">
        <v>0.999999980160448</v>
      </c>
    </row>
    <row r="5130" spans="1:40" x14ac:dyDescent="0.25">
      <c r="A5130" t="str">
        <f>"20190312151130555"</f>
        <v>20190312151130555</v>
      </c>
      <c r="B5130" t="str">
        <f>"1552374690546247"</f>
        <v>1552374690546247</v>
      </c>
      <c r="C5130" t="s">
        <v>40</v>
      </c>
      <c r="D5130">
        <v>5.0913000000000004</v>
      </c>
      <c r="E5130">
        <v>0.46713369999999999</v>
      </c>
      <c r="F5130" t="s">
        <v>85</v>
      </c>
      <c r="G5130">
        <v>-406.1069</v>
      </c>
      <c r="H5130" s="1">
        <v>-3.6294980000000001E-6</v>
      </c>
      <c r="I5130">
        <v>21.76097</v>
      </c>
      <c r="J5130">
        <v>-413.09949999999998</v>
      </c>
      <c r="K5130">
        <v>1.1163369999999999</v>
      </c>
      <c r="L5130">
        <v>26.459959999999999</v>
      </c>
      <c r="M5130">
        <v>0.64829590000000004</v>
      </c>
      <c r="N5130">
        <v>0</v>
      </c>
      <c r="O5130">
        <v>-0.7612679</v>
      </c>
      <c r="P5130">
        <v>0.77563700000000002</v>
      </c>
      <c r="Q5130">
        <v>5.0400100000000003E-2</v>
      </c>
      <c r="R5130">
        <v>-0.62916399999999995</v>
      </c>
      <c r="S5130">
        <v>2.5107119999999998</v>
      </c>
      <c r="T5130">
        <v>-0.39379890000000001</v>
      </c>
      <c r="U5130">
        <v>-1.706696</v>
      </c>
      <c r="V5130">
        <v>-0.1835417</v>
      </c>
      <c r="W5130">
        <v>6.094712E-2</v>
      </c>
      <c r="X5130">
        <v>0.98112080000000002</v>
      </c>
      <c r="Y5130">
        <v>-0.25876969999999999</v>
      </c>
      <c r="Z5130">
        <v>0.1091476</v>
      </c>
      <c r="AA5130">
        <v>0.95975259999999996</v>
      </c>
      <c r="AB5130">
        <v>28</v>
      </c>
      <c r="AC5130">
        <v>6.9925999999999799</v>
      </c>
      <c r="AD5130">
        <v>-1.1163406294980001</v>
      </c>
      <c r="AE5130">
        <v>-4.6989899999999896</v>
      </c>
      <c r="AF5130">
        <v>-2.2378232350904002</v>
      </c>
      <c r="AG5130">
        <v>-1.1163406294980001</v>
      </c>
      <c r="AH5130">
        <v>7.9712493233902402</v>
      </c>
      <c r="AI5130">
        <v>97.679068278853507</v>
      </c>
      <c r="AJ5130">
        <v>105.681386798484</v>
      </c>
      <c r="AK5130">
        <v>8.3543333072261294</v>
      </c>
      <c r="AL5130">
        <v>86.505821981623399</v>
      </c>
      <c r="AM5130">
        <v>100.59604661601099</v>
      </c>
      <c r="AN5130">
        <v>1.0000000656339101</v>
      </c>
    </row>
    <row r="5131" spans="1:40" x14ac:dyDescent="0.25">
      <c r="A5131" t="str">
        <f>"20190312151130568"</f>
        <v>20190312151130568</v>
      </c>
      <c r="B5131" t="str">
        <f>"1552374690556006"</f>
        <v>1552374690556006</v>
      </c>
      <c r="C5131" t="s">
        <v>40</v>
      </c>
      <c r="D5131">
        <v>4.8314979999999998</v>
      </c>
      <c r="E5131">
        <v>0.4672809</v>
      </c>
      <c r="F5131" t="s">
        <v>85</v>
      </c>
      <c r="G5131">
        <v>-405.9153</v>
      </c>
      <c r="H5131" s="1">
        <v>-3.7100020000000001E-6</v>
      </c>
      <c r="I5131">
        <v>21.63336</v>
      </c>
      <c r="J5131">
        <v>-412.99369999999999</v>
      </c>
      <c r="K5131">
        <v>1.1163620000000001</v>
      </c>
      <c r="L5131">
        <v>26.343350000000001</v>
      </c>
      <c r="M5131">
        <v>0.65192229999999995</v>
      </c>
      <c r="N5131">
        <v>0</v>
      </c>
      <c r="O5131">
        <v>-0.75816450000000002</v>
      </c>
      <c r="P5131">
        <v>0.77885950000000004</v>
      </c>
      <c r="Q5131">
        <v>5.0764759999999999E-2</v>
      </c>
      <c r="R5131">
        <v>-0.62514099999999995</v>
      </c>
      <c r="S5131">
        <v>2.5199579999999999</v>
      </c>
      <c r="T5131">
        <v>-0.39157140000000001</v>
      </c>
      <c r="U5131">
        <v>-1.692993</v>
      </c>
      <c r="V5131">
        <v>-0.18392829999999999</v>
      </c>
      <c r="W5131">
        <v>6.1298369999999998E-2</v>
      </c>
      <c r="X5131">
        <v>0.98102650000000002</v>
      </c>
      <c r="Y5131">
        <v>-0.2594764</v>
      </c>
      <c r="Z5131">
        <v>0.108234999999999</v>
      </c>
      <c r="AA5131">
        <v>0.9596652</v>
      </c>
      <c r="AB5131">
        <v>28</v>
      </c>
      <c r="AC5131">
        <v>7.0783999999999798</v>
      </c>
      <c r="AD5131">
        <v>-1.1163657100019999</v>
      </c>
      <c r="AE5131">
        <v>-4.7099900000000003</v>
      </c>
      <c r="AF5131">
        <v>-2.25733775195831</v>
      </c>
      <c r="AG5131">
        <v>-1.1163657100019999</v>
      </c>
      <c r="AH5131">
        <v>8.0475239813268207</v>
      </c>
      <c r="AI5131">
        <v>97.607772496842799</v>
      </c>
      <c r="AJ5131">
        <v>105.668856205582</v>
      </c>
      <c r="AK5131">
        <v>8.4323477368354993</v>
      </c>
      <c r="AL5131">
        <v>86.485659091944797</v>
      </c>
      <c r="AM5131">
        <v>100.618855867845</v>
      </c>
      <c r="AN5131">
        <v>1.0000000517038901</v>
      </c>
    </row>
    <row r="5132" spans="1:40" x14ac:dyDescent="0.25">
      <c r="A5132" t="str">
        <f>"20190312151130580"</f>
        <v>20190312151130580</v>
      </c>
      <c r="B5132" t="str">
        <f>"1552374690576503"</f>
        <v>1552374690576503</v>
      </c>
      <c r="C5132" t="s">
        <v>40</v>
      </c>
      <c r="D5132">
        <v>4.8337430000000001</v>
      </c>
      <c r="E5132">
        <v>0.46736709999999898</v>
      </c>
      <c r="F5132" t="s">
        <v>85</v>
      </c>
      <c r="G5132">
        <v>-405.7337</v>
      </c>
      <c r="H5132" s="1">
        <v>-3.7803870000000001E-6</v>
      </c>
      <c r="I5132">
        <v>21.51538</v>
      </c>
      <c r="J5132">
        <v>-412.8974</v>
      </c>
      <c r="K5132">
        <v>1.116384</v>
      </c>
      <c r="L5132">
        <v>26.237760000000002</v>
      </c>
      <c r="M5132">
        <v>0.65521099999999999</v>
      </c>
      <c r="N5132">
        <v>0</v>
      </c>
      <c r="O5132">
        <v>-0.755324199999999</v>
      </c>
      <c r="P5132">
        <v>0.7818138</v>
      </c>
      <c r="Q5132">
        <v>5.0943080000000002E-2</v>
      </c>
      <c r="R5132">
        <v>-0.62142749999999902</v>
      </c>
      <c r="S5132">
        <v>2.5278320000000001</v>
      </c>
      <c r="T5132">
        <v>-0.38870260000000001</v>
      </c>
      <c r="U5132">
        <v>-1.68103</v>
      </c>
      <c r="V5132">
        <v>-0.1843311</v>
      </c>
      <c r="W5132">
        <v>6.1463039999999997E-2</v>
      </c>
      <c r="X5132">
        <v>0.98094049999999999</v>
      </c>
      <c r="Y5132">
        <v>-0.25991700000000001</v>
      </c>
      <c r="Z5132">
        <v>0.1071703</v>
      </c>
      <c r="AA5132">
        <v>0.9596654</v>
      </c>
      <c r="AB5132">
        <v>28</v>
      </c>
      <c r="AC5132">
        <v>7.1637000000000004</v>
      </c>
      <c r="AD5132">
        <v>-1.1163877803869999</v>
      </c>
      <c r="AE5132">
        <v>-4.7223799999999896</v>
      </c>
      <c r="AF5132">
        <v>-2.2784020875403099</v>
      </c>
      <c r="AG5132">
        <v>-1.1163877803869999</v>
      </c>
      <c r="AH5132">
        <v>8.1238912978442492</v>
      </c>
      <c r="AI5132">
        <v>97.537315254721506</v>
      </c>
      <c r="AJ5132">
        <v>105.666523533462</v>
      </c>
      <c r="AK5132">
        <v>8.5108781901690396</v>
      </c>
      <c r="AL5132">
        <v>86.476206056567406</v>
      </c>
      <c r="AM5132">
        <v>100.64249207052301</v>
      </c>
      <c r="AN5132">
        <v>0.99999996212675002</v>
      </c>
    </row>
    <row r="5133" spans="1:40" x14ac:dyDescent="0.25">
      <c r="A5133" t="str">
        <f>"20190312151130592"</f>
        <v>20190312151130592</v>
      </c>
      <c r="B5133" t="str">
        <f>"1552374690586263"</f>
        <v>1552374690586263</v>
      </c>
      <c r="C5133" t="s">
        <v>40</v>
      </c>
      <c r="D5133">
        <v>5.0316340000000004</v>
      </c>
      <c r="E5133">
        <v>0.46744950000000002</v>
      </c>
      <c r="F5133" t="s">
        <v>85</v>
      </c>
      <c r="G5133">
        <v>-405.58609999999999</v>
      </c>
      <c r="H5133" s="1">
        <v>-3.8380929999999997E-6</v>
      </c>
      <c r="I5133">
        <v>21.422329999999999</v>
      </c>
      <c r="J5133">
        <v>-412.79349999999999</v>
      </c>
      <c r="K5133">
        <v>1.116406</v>
      </c>
      <c r="L5133">
        <v>26.125430000000001</v>
      </c>
      <c r="M5133">
        <v>0.65873719999999902</v>
      </c>
      <c r="N5133">
        <v>0</v>
      </c>
      <c r="O5133">
        <v>-0.7522508</v>
      </c>
      <c r="P5133">
        <v>0.78512389999999999</v>
      </c>
      <c r="Q5133">
        <v>5.1176390000000002E-2</v>
      </c>
      <c r="R5133">
        <v>-0.61722119999999903</v>
      </c>
      <c r="S5133">
        <v>2.5352169999999998</v>
      </c>
      <c r="T5133">
        <v>-0.3871115</v>
      </c>
      <c r="U5133">
        <v>-1.6697689999999901</v>
      </c>
      <c r="V5133">
        <v>-0.1850049</v>
      </c>
      <c r="W5133">
        <v>6.1678160000000003E-2</v>
      </c>
      <c r="X5133">
        <v>0.98080020000000001</v>
      </c>
      <c r="Y5133">
        <v>-0.25973049999999998</v>
      </c>
      <c r="Z5133">
        <v>0.1064021</v>
      </c>
      <c r="AA5133">
        <v>0.95980129999999997</v>
      </c>
      <c r="AB5133">
        <v>28</v>
      </c>
      <c r="AC5133">
        <v>7.2073999999999998</v>
      </c>
      <c r="AD5133">
        <v>-1.1164098380930001</v>
      </c>
      <c r="AE5133">
        <v>-4.7030999999999903</v>
      </c>
      <c r="AF5133">
        <v>-2.2854205210823402</v>
      </c>
      <c r="AG5133">
        <v>-1.1164098380930001</v>
      </c>
      <c r="AH5133">
        <v>8.1493198664551105</v>
      </c>
      <c r="AI5133">
        <v>97.514239090310497</v>
      </c>
      <c r="AJ5133">
        <v>105.665785776327</v>
      </c>
      <c r="AK5133">
        <v>8.5370329840393104</v>
      </c>
      <c r="AL5133">
        <v>86.463857365064996</v>
      </c>
      <c r="AM5133">
        <v>100.681993673695</v>
      </c>
      <c r="AN5133">
        <v>1.0000000203825099</v>
      </c>
    </row>
    <row r="5134" spans="1:40" x14ac:dyDescent="0.25">
      <c r="A5134" t="str">
        <f>"20190312151130603"</f>
        <v>20190312151130603</v>
      </c>
      <c r="B5134" t="str">
        <f>"1552374690596023"</f>
        <v>1552374690596023</v>
      </c>
      <c r="C5134" t="s">
        <v>40</v>
      </c>
      <c r="D5134">
        <v>4.9351089999999997</v>
      </c>
      <c r="E5134">
        <v>0.46776640000000003</v>
      </c>
      <c r="F5134" t="s">
        <v>85</v>
      </c>
      <c r="G5134">
        <v>-405.4153</v>
      </c>
      <c r="H5134" s="1">
        <v>-3.9058129999999997E-6</v>
      </c>
      <c r="I5134">
        <v>21.319949999999999</v>
      </c>
      <c r="J5134">
        <v>-412.6986</v>
      </c>
      <c r="K5134">
        <v>1.1164240000000001</v>
      </c>
      <c r="L5134">
        <v>26.023589999999999</v>
      </c>
      <c r="M5134">
        <v>0.66194580000000003</v>
      </c>
      <c r="N5134">
        <v>0</v>
      </c>
      <c r="O5134">
        <v>-0.7494286</v>
      </c>
      <c r="P5134">
        <v>0.78789529999999997</v>
      </c>
      <c r="Q5134">
        <v>5.1015970000000001E-2</v>
      </c>
      <c r="R5134">
        <v>-0.61369229999999997</v>
      </c>
      <c r="S5134">
        <v>2.5437319999999999</v>
      </c>
      <c r="T5134">
        <v>-0.38489400000000001</v>
      </c>
      <c r="U5134">
        <v>-1.656738</v>
      </c>
      <c r="V5134">
        <v>-0.18522250000000001</v>
      </c>
      <c r="W5134">
        <v>6.1507779999999998E-2</v>
      </c>
      <c r="X5134">
        <v>0.98076980000000002</v>
      </c>
      <c r="Y5134">
        <v>-0.26061220000000002</v>
      </c>
      <c r="Z5134">
        <v>0.1055389</v>
      </c>
      <c r="AA5134">
        <v>0.95965769999999995</v>
      </c>
      <c r="AB5134">
        <v>28</v>
      </c>
      <c r="AC5134">
        <v>7.2832999999999899</v>
      </c>
      <c r="AD5134">
        <v>-1.116427905813</v>
      </c>
      <c r="AE5134">
        <v>-4.70364</v>
      </c>
      <c r="AF5134">
        <v>-2.3067269243853801</v>
      </c>
      <c r="AG5134">
        <v>-1.116427905813</v>
      </c>
      <c r="AH5134">
        <v>8.2108181186496392</v>
      </c>
      <c r="AI5134">
        <v>97.457764857494595</v>
      </c>
      <c r="AJ5134">
        <v>105.69204538789199</v>
      </c>
      <c r="AK5134">
        <v>8.6014495609814396</v>
      </c>
      <c r="AL5134">
        <v>86.473637886198105</v>
      </c>
      <c r="AM5134">
        <v>100.694591894469</v>
      </c>
      <c r="AN5134">
        <v>0.99999999104940895</v>
      </c>
    </row>
    <row r="5135" spans="1:40" x14ac:dyDescent="0.25">
      <c r="A5135" t="str">
        <f>"20190312151130614"</f>
        <v>20190312151130614</v>
      </c>
      <c r="B5135" t="str">
        <f>"1552374690606759"</f>
        <v>1552374690606759</v>
      </c>
      <c r="C5135" t="s">
        <v>40</v>
      </c>
      <c r="D5135">
        <v>5.0592569999999997</v>
      </c>
      <c r="E5135">
        <v>0.46814450000000002</v>
      </c>
      <c r="F5135" t="s">
        <v>85</v>
      </c>
      <c r="G5135">
        <v>-405.34859999999998</v>
      </c>
      <c r="H5135" s="1">
        <v>-3.931194E-6</v>
      </c>
      <c r="I5135">
        <v>21.274090000000001</v>
      </c>
      <c r="J5135">
        <v>-412.6044</v>
      </c>
      <c r="K5135">
        <v>1.1164430000000001</v>
      </c>
      <c r="L5135">
        <v>25.923190000000002</v>
      </c>
      <c r="M5135">
        <v>0.66511809999999905</v>
      </c>
      <c r="N5135">
        <v>0</v>
      </c>
      <c r="O5135">
        <v>-0.74661489999999997</v>
      </c>
      <c r="P5135">
        <v>0.79076440000000003</v>
      </c>
      <c r="Q5135">
        <v>5.0464630000000003E-2</v>
      </c>
      <c r="R5135">
        <v>-0.61003699999999905</v>
      </c>
      <c r="S5135">
        <v>2.5495000000000001</v>
      </c>
      <c r="T5135">
        <v>-0.38725569999999998</v>
      </c>
      <c r="U5135">
        <v>-1.6474610000000001</v>
      </c>
      <c r="V5135">
        <v>-0.18562690000000001</v>
      </c>
      <c r="W5135">
        <v>6.0944270000000002E-2</v>
      </c>
      <c r="X5135">
        <v>0.9807285</v>
      </c>
      <c r="Y5135">
        <v>-0.2599185</v>
      </c>
      <c r="Z5135">
        <v>0.1058535</v>
      </c>
      <c r="AA5135">
        <v>0.95981119999999998</v>
      </c>
      <c r="AB5135">
        <v>28</v>
      </c>
      <c r="AC5135">
        <v>7.2558000000000202</v>
      </c>
      <c r="AD5135">
        <v>-1.116446931194</v>
      </c>
      <c r="AE5135">
        <v>-4.64909999999999</v>
      </c>
      <c r="AF5135">
        <v>-2.2869164054838298</v>
      </c>
      <c r="AG5135">
        <v>-1.116446931194</v>
      </c>
      <c r="AH5135">
        <v>8.1608369088450399</v>
      </c>
      <c r="AI5135">
        <v>97.504411662012402</v>
      </c>
      <c r="AJ5135">
        <v>105.654498769219</v>
      </c>
      <c r="AK5135">
        <v>8.5484325726188608</v>
      </c>
      <c r="AL5135">
        <v>86.505985245468807</v>
      </c>
      <c r="AM5135">
        <v>100.71784219099401</v>
      </c>
      <c r="AN5135">
        <v>0.99999997038084598</v>
      </c>
    </row>
    <row r="5136" spans="1:40" x14ac:dyDescent="0.25">
      <c r="A5136" t="str">
        <f>"20190312151130636"</f>
        <v>20190312151130636</v>
      </c>
      <c r="B5136" t="str">
        <f>"1552374690626282"</f>
        <v>1552374690626282</v>
      </c>
      <c r="C5136" t="s">
        <v>40</v>
      </c>
      <c r="D5136">
        <v>4.8810760000000002</v>
      </c>
      <c r="E5136">
        <v>0.4687017</v>
      </c>
      <c r="F5136" t="s">
        <v>85</v>
      </c>
      <c r="G5136">
        <v>-405.2978</v>
      </c>
      <c r="H5136" s="1">
        <v>-3.950657E-6</v>
      </c>
      <c r="I5136">
        <v>21.239750000000001</v>
      </c>
      <c r="J5136">
        <v>-412.4307</v>
      </c>
      <c r="K5136">
        <v>1.1164670000000001</v>
      </c>
      <c r="L5136">
        <v>25.740600000000001</v>
      </c>
      <c r="M5136">
        <v>0.67092680000000005</v>
      </c>
      <c r="N5136">
        <v>0</v>
      </c>
      <c r="O5136">
        <v>-0.74139900000000003</v>
      </c>
      <c r="P5136">
        <v>0.79582319999999995</v>
      </c>
      <c r="Q5136">
        <v>4.983928E-2</v>
      </c>
      <c r="R5136">
        <v>-0.60347469999999903</v>
      </c>
      <c r="S5136">
        <v>2.5552060000000001</v>
      </c>
      <c r="T5136">
        <v>-0.39043369999999999</v>
      </c>
      <c r="U5136">
        <v>-1.637848</v>
      </c>
      <c r="V5136">
        <v>-0.18610789999999999</v>
      </c>
      <c r="W5136">
        <v>6.0301710000000001E-2</v>
      </c>
      <c r="X5136">
        <v>0.98067709999999997</v>
      </c>
      <c r="Y5136">
        <v>-0.25586350000000002</v>
      </c>
      <c r="Z5136">
        <v>0.10597669999999999</v>
      </c>
      <c r="AA5136">
        <v>0.96088649999999998</v>
      </c>
      <c r="AB5136">
        <v>28</v>
      </c>
      <c r="AC5136">
        <v>7.1329000000000002</v>
      </c>
      <c r="AD5136">
        <v>-1.1164709506569901</v>
      </c>
      <c r="AE5136">
        <v>-4.5008499999999998</v>
      </c>
      <c r="AF5136">
        <v>-2.2297224311156998</v>
      </c>
      <c r="AG5136">
        <v>-1.1164709506569901</v>
      </c>
      <c r="AH5136">
        <v>7.9834369406258396</v>
      </c>
      <c r="AI5136">
        <v>97.671209410233402</v>
      </c>
      <c r="AJ5136">
        <v>105.604705546183</v>
      </c>
      <c r="AK5136">
        <v>8.3638170047192393</v>
      </c>
      <c r="AL5136">
        <v>86.542869201500693</v>
      </c>
      <c r="AM5136">
        <v>100.745518744135</v>
      </c>
      <c r="AN5136">
        <v>1.0000000105678699</v>
      </c>
    </row>
    <row r="5137" spans="1:40" x14ac:dyDescent="0.25">
      <c r="A5137" t="str">
        <f>"20190312151130647"</f>
        <v>20190312151130647</v>
      </c>
      <c r="B5137" t="str">
        <f>"1552374690636040"</f>
        <v>1552374690636040</v>
      </c>
      <c r="C5137" t="s">
        <v>40</v>
      </c>
      <c r="D5137">
        <v>4.8997120000000001</v>
      </c>
      <c r="E5137">
        <v>0.46883950000000002</v>
      </c>
      <c r="F5137" t="s">
        <v>85</v>
      </c>
      <c r="G5137">
        <v>-405.1542</v>
      </c>
      <c r="H5137" s="1">
        <v>-4.006268E-6</v>
      </c>
      <c r="I5137">
        <v>21.146260000000002</v>
      </c>
      <c r="J5137">
        <v>-412.33139999999997</v>
      </c>
      <c r="K5137">
        <v>1.1164849999999999</v>
      </c>
      <c r="L5137">
        <v>25.637699999999999</v>
      </c>
      <c r="M5137">
        <v>0.67422519999999997</v>
      </c>
      <c r="N5137">
        <v>0</v>
      </c>
      <c r="O5137">
        <v>-0.73840079999999997</v>
      </c>
      <c r="P5137">
        <v>0.79854259999999999</v>
      </c>
      <c r="Q5137">
        <v>4.929712E-2</v>
      </c>
      <c r="R5137">
        <v>-0.59991680000000003</v>
      </c>
      <c r="S5137">
        <v>2.5658259999999999</v>
      </c>
      <c r="T5137">
        <v>-0.39368979999999998</v>
      </c>
      <c r="U5137">
        <v>-1.6200559999999999</v>
      </c>
      <c r="V5137">
        <v>-0.1861322</v>
      </c>
      <c r="W5137">
        <v>5.9755299999999997E-2</v>
      </c>
      <c r="X5137">
        <v>0.98070590000000002</v>
      </c>
      <c r="Y5137">
        <v>-0.25801689999999999</v>
      </c>
      <c r="Z5137">
        <v>0.1066402</v>
      </c>
      <c r="AA5137">
        <v>0.96023700000000001</v>
      </c>
      <c r="AB5137">
        <v>28</v>
      </c>
      <c r="AC5137">
        <v>7.1771999999999698</v>
      </c>
      <c r="AD5137">
        <v>-1.116489006268</v>
      </c>
      <c r="AE5137">
        <v>-4.4914399999999901</v>
      </c>
      <c r="AF5137">
        <v>-2.23279149108863</v>
      </c>
      <c r="AG5137">
        <v>-1.116489006268</v>
      </c>
      <c r="AH5137">
        <v>8.0168780438619098</v>
      </c>
      <c r="AI5137">
        <v>97.641239255156506</v>
      </c>
      <c r="AJ5137">
        <v>105.563123178772</v>
      </c>
      <c r="AK5137">
        <v>8.3965611481100009</v>
      </c>
      <c r="AL5137">
        <v>86.574232632433905</v>
      </c>
      <c r="AM5137">
        <v>100.746580855796</v>
      </c>
      <c r="AN5137">
        <v>0.99999997702486898</v>
      </c>
    </row>
    <row r="5138" spans="1:40" x14ac:dyDescent="0.25">
      <c r="A5138" t="str">
        <f>"20190312151130658"</f>
        <v>20190312151130658</v>
      </c>
      <c r="B5138" t="str">
        <f>"1552374690646775"</f>
        <v>1552374690646775</v>
      </c>
      <c r="C5138" t="s">
        <v>40</v>
      </c>
      <c r="D5138">
        <v>4.9562309999999998</v>
      </c>
      <c r="E5138">
        <v>0.46917969999999998</v>
      </c>
      <c r="F5138" t="s">
        <v>85</v>
      </c>
      <c r="G5138">
        <v>-405.07029999999997</v>
      </c>
      <c r="H5138" s="1">
        <v>-4.0394970000000002E-6</v>
      </c>
      <c r="I5138">
        <v>21.095500000000001</v>
      </c>
      <c r="J5138">
        <v>-412.23820000000001</v>
      </c>
      <c r="K5138">
        <v>1.116501</v>
      </c>
      <c r="L5138">
        <v>25.541599999999999</v>
      </c>
      <c r="M5138">
        <v>0.67730360000000001</v>
      </c>
      <c r="N5138">
        <v>0</v>
      </c>
      <c r="O5138">
        <v>-0.73557790000000001</v>
      </c>
      <c r="P5138">
        <v>0.80115819999999904</v>
      </c>
      <c r="Q5138">
        <v>4.9030749999999998E-2</v>
      </c>
      <c r="R5138">
        <v>-0.59644059999999999</v>
      </c>
      <c r="S5138">
        <v>2.5723569999999998</v>
      </c>
      <c r="T5138">
        <v>-0.39553080000000002</v>
      </c>
      <c r="U5138">
        <v>-1.6091310000000001</v>
      </c>
      <c r="V5138">
        <v>-0.18630830000000001</v>
      </c>
      <c r="W5138">
        <v>5.948113E-2</v>
      </c>
      <c r="X5138">
        <v>0.98068920000000004</v>
      </c>
      <c r="Y5138">
        <v>-0.25796910000000001</v>
      </c>
      <c r="Z5138">
        <v>0.1068292</v>
      </c>
      <c r="AA5138">
        <v>0.96022890000000005</v>
      </c>
      <c r="AB5138">
        <v>28</v>
      </c>
      <c r="AC5138">
        <v>7.1679000000000297</v>
      </c>
      <c r="AD5138">
        <v>-1.116505039497</v>
      </c>
      <c r="AE5138">
        <v>-4.4460999999999897</v>
      </c>
      <c r="AF5138">
        <v>-2.2224580302745101</v>
      </c>
      <c r="AG5138">
        <v>-1.116505039497</v>
      </c>
      <c r="AH5138">
        <v>7.9861214862224204</v>
      </c>
      <c r="AI5138">
        <v>97.670860126977303</v>
      </c>
      <c r="AJ5138">
        <v>105.551355140102</v>
      </c>
      <c r="AK5138">
        <v>8.3644509438609997</v>
      </c>
      <c r="AL5138">
        <v>86.589969648174602</v>
      </c>
      <c r="AM5138">
        <v>100.756689999103</v>
      </c>
      <c r="AN5138">
        <v>1.0000000472357999</v>
      </c>
    </row>
    <row r="5139" spans="1:40" x14ac:dyDescent="0.25">
      <c r="A5139" t="str">
        <f>"20190312151130670"</f>
        <v>20190312151130670</v>
      </c>
      <c r="B5139" t="str">
        <f>"1552374690666295"</f>
        <v>1552374690666295</v>
      </c>
      <c r="C5139" t="s">
        <v>40</v>
      </c>
      <c r="D5139">
        <v>4.9624990000000002</v>
      </c>
      <c r="E5139">
        <v>0.46963080000000001</v>
      </c>
      <c r="F5139" t="s">
        <v>85</v>
      </c>
      <c r="G5139">
        <v>-404.9939</v>
      </c>
      <c r="H5139" s="1">
        <v>-4.0690030000000002E-6</v>
      </c>
      <c r="I5139">
        <v>21.04543</v>
      </c>
      <c r="J5139">
        <v>-412.13229999999999</v>
      </c>
      <c r="K5139">
        <v>1.1165259999999999</v>
      </c>
      <c r="L5139">
        <v>25.433900000000001</v>
      </c>
      <c r="M5139">
        <v>0.68078359999999905</v>
      </c>
      <c r="N5139">
        <v>0</v>
      </c>
      <c r="O5139">
        <v>-0.73235830000000002</v>
      </c>
      <c r="P5139">
        <v>0.80403279999999999</v>
      </c>
      <c r="Q5139">
        <v>4.8922010000000002E-2</v>
      </c>
      <c r="R5139">
        <v>-0.59256889999999995</v>
      </c>
      <c r="S5139">
        <v>2.57782</v>
      </c>
      <c r="T5139">
        <v>-0.39729690000000001</v>
      </c>
      <c r="U5139">
        <v>-1.599915</v>
      </c>
      <c r="V5139">
        <v>-0.18639520000000001</v>
      </c>
      <c r="W5139">
        <v>5.9366420000000003E-2</v>
      </c>
      <c r="X5139">
        <v>0.98067959999999998</v>
      </c>
      <c r="Y5139">
        <v>-0.25674999999999998</v>
      </c>
      <c r="Z5139">
        <v>0.10689419999999999</v>
      </c>
      <c r="AA5139">
        <v>0.96054830000000002</v>
      </c>
      <c r="AB5139">
        <v>28</v>
      </c>
      <c r="AC5139">
        <v>7.1383999999999901</v>
      </c>
      <c r="AD5139">
        <v>-1.116530069003</v>
      </c>
      <c r="AE5139">
        <v>-4.3884699999999999</v>
      </c>
      <c r="AF5139">
        <v>-2.2013907671594302</v>
      </c>
      <c r="AG5139">
        <v>-1.116530069003</v>
      </c>
      <c r="AH5139">
        <v>7.9335292300397002</v>
      </c>
      <c r="AI5139">
        <v>97.722866062010098</v>
      </c>
      <c r="AJ5139">
        <v>105.508237518879</v>
      </c>
      <c r="AK5139">
        <v>8.3086489123453209</v>
      </c>
      <c r="AL5139">
        <v>86.596553555303899</v>
      </c>
      <c r="AM5139">
        <v>100.761692996975</v>
      </c>
      <c r="AN5139">
        <v>1.0000000101313999</v>
      </c>
    </row>
    <row r="5140" spans="1:40" x14ac:dyDescent="0.25">
      <c r="A5140" t="str">
        <f>"20190312151130683"</f>
        <v>20190312151130683</v>
      </c>
      <c r="B5140" t="str">
        <f>"1552374690676056"</f>
        <v>1552374690676056</v>
      </c>
      <c r="C5140" t="s">
        <v>40</v>
      </c>
      <c r="D5140">
        <v>5.1191409999999999</v>
      </c>
      <c r="E5140">
        <v>0.46977079999999999</v>
      </c>
      <c r="F5140" t="s">
        <v>85</v>
      </c>
      <c r="G5140">
        <v>-404.9239</v>
      </c>
      <c r="H5140" s="1">
        <v>-4.0942910000000003E-6</v>
      </c>
      <c r="I5140">
        <v>20.996639999999999</v>
      </c>
      <c r="J5140">
        <v>-412.01900000000001</v>
      </c>
      <c r="K5140">
        <v>1.116544</v>
      </c>
      <c r="L5140">
        <v>25.319520000000001</v>
      </c>
      <c r="M5140">
        <v>0.68448330000000002</v>
      </c>
      <c r="N5140">
        <v>0</v>
      </c>
      <c r="O5140">
        <v>-0.72890159999999904</v>
      </c>
      <c r="P5140">
        <v>0.80718650000000003</v>
      </c>
      <c r="Q5140">
        <v>4.8877610000000002E-2</v>
      </c>
      <c r="R5140">
        <v>-0.5882695</v>
      </c>
      <c r="S5140">
        <v>2.5834959999999998</v>
      </c>
      <c r="T5140">
        <v>-0.4001613</v>
      </c>
      <c r="U5140">
        <v>-1.5903020000000001</v>
      </c>
      <c r="V5140">
        <v>-0.18666749999999999</v>
      </c>
      <c r="W5140">
        <v>5.9312620000000003E-2</v>
      </c>
      <c r="X5140">
        <v>0.98063109999999998</v>
      </c>
      <c r="Y5140">
        <v>-0.25532899999999997</v>
      </c>
      <c r="Z5140">
        <v>0.1072085</v>
      </c>
      <c r="AA5140">
        <v>0.96089199999999997</v>
      </c>
      <c r="AB5140">
        <v>28</v>
      </c>
      <c r="AC5140">
        <v>7.0951000000000004</v>
      </c>
      <c r="AD5140">
        <v>-1.116548094291</v>
      </c>
      <c r="AE5140">
        <v>-4.3228799999999996</v>
      </c>
      <c r="AF5140">
        <v>-2.1736382270982499</v>
      </c>
      <c r="AG5140">
        <v>-1.116548094291</v>
      </c>
      <c r="AH5140">
        <v>7.8661063828028999</v>
      </c>
      <c r="AI5140">
        <v>97.790651412437299</v>
      </c>
      <c r="AJ5140">
        <v>105.447052852179</v>
      </c>
      <c r="AK5140">
        <v>8.2369297929956993</v>
      </c>
      <c r="AL5140">
        <v>86.599641639793205</v>
      </c>
      <c r="AM5140">
        <v>100.777567065941</v>
      </c>
      <c r="AN5140">
        <v>1.0000000483673599</v>
      </c>
    </row>
    <row r="5141" spans="1:40" x14ac:dyDescent="0.25">
      <c r="A5141" t="str">
        <f>"20190312151130696"</f>
        <v>20190312151130696</v>
      </c>
      <c r="B5141" t="str">
        <f>"1552374690686791"</f>
        <v>1552374690686791</v>
      </c>
      <c r="C5141" t="s">
        <v>40</v>
      </c>
      <c r="D5141">
        <v>4.8944559999999999</v>
      </c>
      <c r="E5141">
        <v>0.46977079999999999</v>
      </c>
      <c r="F5141" t="s">
        <v>85</v>
      </c>
      <c r="G5141">
        <v>-404.83229999999998</v>
      </c>
      <c r="H5141" s="1">
        <v>-4.1276339999999998E-6</v>
      </c>
      <c r="I5141">
        <v>20.94435</v>
      </c>
      <c r="J5141">
        <v>-411.90120000000002</v>
      </c>
      <c r="K5141">
        <v>1.1165609999999999</v>
      </c>
      <c r="L5141">
        <v>25.201540000000001</v>
      </c>
      <c r="M5141">
        <v>0.68830839999999904</v>
      </c>
      <c r="N5141">
        <v>0</v>
      </c>
      <c r="O5141">
        <v>-0.72529049999999995</v>
      </c>
      <c r="P5141">
        <v>0.8102009</v>
      </c>
      <c r="Q5141">
        <v>4.8717570000000002E-2</v>
      </c>
      <c r="R5141">
        <v>-0.58412410000000003</v>
      </c>
      <c r="S5141">
        <v>2.5913089999999999</v>
      </c>
      <c r="T5141">
        <v>-0.40259089999999997</v>
      </c>
      <c r="U5141">
        <v>-1.577545</v>
      </c>
      <c r="V5141">
        <v>-0.1865416</v>
      </c>
      <c r="W5141">
        <v>5.9151259999999997E-2</v>
      </c>
      <c r="X5141">
        <v>0.98066469999999994</v>
      </c>
      <c r="Y5141">
        <v>-0.25493130000000003</v>
      </c>
      <c r="Z5141">
        <v>0.10742409999999999</v>
      </c>
      <c r="AA5141">
        <v>0.96097359999999998</v>
      </c>
      <c r="AB5141">
        <v>28</v>
      </c>
      <c r="AC5141">
        <v>7.0689000000000402</v>
      </c>
      <c r="AD5141">
        <v>-1.1165651276340001</v>
      </c>
      <c r="AE5141">
        <v>-4.2571899999999898</v>
      </c>
      <c r="AF5141">
        <v>-2.1574490458934101</v>
      </c>
      <c r="AG5141">
        <v>-1.1165651276340001</v>
      </c>
      <c r="AH5141">
        <v>7.8110073930822601</v>
      </c>
      <c r="AI5141">
        <v>97.8452884316808</v>
      </c>
      <c r="AJ5141">
        <v>105.440485148593</v>
      </c>
      <c r="AK5141">
        <v>8.1800452666632797</v>
      </c>
      <c r="AL5141">
        <v>86.608902802962902</v>
      </c>
      <c r="AM5141">
        <v>100.77010771421099</v>
      </c>
      <c r="AN5141">
        <v>0.999999946958117</v>
      </c>
    </row>
    <row r="5142" spans="1:40" x14ac:dyDescent="0.25">
      <c r="A5142" t="str">
        <f>"20190312151130715"</f>
        <v>20190312151130715</v>
      </c>
      <c r="B5142" t="str">
        <f>"1552374690706311"</f>
        <v>1552374690706311</v>
      </c>
      <c r="C5142" t="s">
        <v>40</v>
      </c>
      <c r="D5142">
        <v>4.9524800000000004</v>
      </c>
      <c r="E5142">
        <v>0.45484940000000001</v>
      </c>
      <c r="F5142" t="s">
        <v>85</v>
      </c>
      <c r="G5142">
        <v>-404.7029</v>
      </c>
      <c r="H5142" s="1">
        <v>-4.1744920000000002E-6</v>
      </c>
      <c r="I5142">
        <v>20.869019999999999</v>
      </c>
      <c r="J5142">
        <v>-411.74689999999998</v>
      </c>
      <c r="K5142">
        <v>1.1165799999999999</v>
      </c>
      <c r="L5142">
        <v>25.049499999999998</v>
      </c>
      <c r="M5142">
        <v>0.69326849999999995</v>
      </c>
      <c r="N5142">
        <v>0</v>
      </c>
      <c r="O5142">
        <v>-0.72055100000000005</v>
      </c>
      <c r="P5142">
        <v>0.81412059999999997</v>
      </c>
      <c r="Q5142">
        <v>4.7960410000000002E-2</v>
      </c>
      <c r="R5142">
        <v>-0.57871240000000002</v>
      </c>
      <c r="S5142">
        <v>2.5991520000000001</v>
      </c>
      <c r="T5142">
        <v>-0.4031708</v>
      </c>
      <c r="U5142">
        <v>-1.564392</v>
      </c>
      <c r="V5142">
        <v>-0.1863717</v>
      </c>
      <c r="W5142">
        <v>5.8393439999999998E-2</v>
      </c>
      <c r="X5142">
        <v>0.98074249999999996</v>
      </c>
      <c r="Y5142">
        <v>-0.25317479999999998</v>
      </c>
      <c r="Z5142">
        <v>0.10695780000000001</v>
      </c>
      <c r="AA5142">
        <v>0.96148979999999995</v>
      </c>
      <c r="AB5142">
        <v>28</v>
      </c>
      <c r="AC5142">
        <v>7.0439999999999801</v>
      </c>
      <c r="AD5142">
        <v>-1.116584174492</v>
      </c>
      <c r="AE5142">
        <v>-4.1804799999999904</v>
      </c>
      <c r="AF5142">
        <v>-2.1378418346078001</v>
      </c>
      <c r="AG5142">
        <v>-1.116584174492</v>
      </c>
      <c r="AH5142">
        <v>7.7523080830814601</v>
      </c>
      <c r="AI5142">
        <v>97.904953189593201</v>
      </c>
      <c r="AJ5142">
        <v>105.41717553204801</v>
      </c>
      <c r="AK5142">
        <v>8.11883049111972</v>
      </c>
      <c r="AL5142">
        <v>86.652398150155406</v>
      </c>
      <c r="AM5142">
        <v>100.759693878582</v>
      </c>
      <c r="AN5142">
        <v>1.0000000278510801</v>
      </c>
    </row>
    <row r="5143" spans="1:40" x14ac:dyDescent="0.25">
      <c r="A5143" t="str">
        <f>"20190312151130730"</f>
        <v>20190312151130730</v>
      </c>
      <c r="B5143" t="str">
        <f>"1552374690726807"</f>
        <v>1552374690726807</v>
      </c>
      <c r="C5143" t="s">
        <v>40</v>
      </c>
      <c r="D5143">
        <v>4.9424789999999996</v>
      </c>
      <c r="E5143">
        <v>0.45426070000000002</v>
      </c>
      <c r="F5143" t="s">
        <v>85</v>
      </c>
      <c r="G5143">
        <v>-405.9753</v>
      </c>
      <c r="H5143" s="1">
        <v>-3.7323420000000001E-6</v>
      </c>
      <c r="I5143">
        <v>21.928470000000001</v>
      </c>
      <c r="J5143">
        <v>-411.61739999999998</v>
      </c>
      <c r="K5143">
        <v>1.1165929999999999</v>
      </c>
      <c r="L5143">
        <v>24.923580000000001</v>
      </c>
      <c r="M5143">
        <v>0.69739569999999995</v>
      </c>
      <c r="N5143">
        <v>0</v>
      </c>
      <c r="O5143">
        <v>-0.716557</v>
      </c>
      <c r="P5143">
        <v>0.81741269999999999</v>
      </c>
      <c r="Q5143">
        <v>4.7987290000000002E-2</v>
      </c>
      <c r="R5143">
        <v>-0.57405050000000002</v>
      </c>
      <c r="S5143">
        <v>2.6838989999999998</v>
      </c>
      <c r="T5143">
        <v>-0.51922800000000002</v>
      </c>
      <c r="U5143">
        <v>-1.4513240000000001</v>
      </c>
      <c r="V5143">
        <v>-0.18634439999999999</v>
      </c>
      <c r="W5143">
        <v>5.841677E-2</v>
      </c>
      <c r="X5143">
        <v>0.98074629999999996</v>
      </c>
      <c r="Y5143">
        <v>-0.28712789999999999</v>
      </c>
      <c r="Z5143">
        <v>0.1379687</v>
      </c>
      <c r="AA5143">
        <v>0.94790410000000003</v>
      </c>
      <c r="AB5143">
        <v>28</v>
      </c>
      <c r="AC5143">
        <v>5.6420999999999699</v>
      </c>
      <c r="AD5143">
        <v>-1.1165967323420001</v>
      </c>
      <c r="AE5143">
        <v>-2.9951099999999902</v>
      </c>
      <c r="AF5143">
        <v>-1.89634656405963</v>
      </c>
      <c r="AG5143">
        <v>-1.1165967323420001</v>
      </c>
      <c r="AH5143">
        <v>5.9011925716690303</v>
      </c>
      <c r="AI5143">
        <v>100.211889616645</v>
      </c>
      <c r="AJ5143">
        <v>107.814793880249</v>
      </c>
      <c r="AK5143">
        <v>6.2981737290756996</v>
      </c>
      <c r="AL5143">
        <v>86.651059160129194</v>
      </c>
      <c r="AM5143">
        <v>100.758113858708</v>
      </c>
      <c r="AN5143">
        <v>1.00000002969614</v>
      </c>
    </row>
    <row r="5144" spans="1:40" x14ac:dyDescent="0.25">
      <c r="A5144" t="str">
        <f>"20190312151130744"</f>
        <v>20190312151130744</v>
      </c>
      <c r="B5144" t="str">
        <f>"1552374690736567"</f>
        <v>1552374690736567</v>
      </c>
      <c r="C5144" t="s">
        <v>40</v>
      </c>
      <c r="D5144">
        <v>4.8791500000000001</v>
      </c>
      <c r="E5144">
        <v>0.45399679999999998</v>
      </c>
      <c r="F5144" t="s">
        <v>85</v>
      </c>
      <c r="G5144">
        <v>-406.07659999999998</v>
      </c>
      <c r="H5144" s="1">
        <v>-3.6904650000000002E-6</v>
      </c>
      <c r="I5144">
        <v>21.979620000000001</v>
      </c>
      <c r="J5144">
        <v>-411.49619999999999</v>
      </c>
      <c r="K5144">
        <v>1.116608</v>
      </c>
      <c r="L5144">
        <v>24.806760000000001</v>
      </c>
      <c r="M5144">
        <v>0.701233</v>
      </c>
      <c r="N5144">
        <v>0</v>
      </c>
      <c r="O5144">
        <v>-0.71280219999999905</v>
      </c>
      <c r="P5144">
        <v>0.82044539999999999</v>
      </c>
      <c r="Q5144">
        <v>4.7533829999999999E-2</v>
      </c>
      <c r="R5144">
        <v>-0.56974579999999997</v>
      </c>
      <c r="S5144">
        <v>2.6960449999999998</v>
      </c>
      <c r="T5144">
        <v>-0.5433095</v>
      </c>
      <c r="U5144">
        <v>-1.4324650000000001</v>
      </c>
      <c r="V5144">
        <v>-0.18624779999999999</v>
      </c>
      <c r="W5144">
        <v>5.796217E-2</v>
      </c>
      <c r="X5144">
        <v>0.98079159999999999</v>
      </c>
      <c r="Y5144">
        <v>-0.28791230000000001</v>
      </c>
      <c r="Z5144">
        <v>0.14364640000000001</v>
      </c>
      <c r="AA5144">
        <v>0.94682219999999995</v>
      </c>
      <c r="AB5144">
        <v>28</v>
      </c>
      <c r="AC5144">
        <v>5.4196</v>
      </c>
      <c r="AD5144">
        <v>-1.1166116904650001</v>
      </c>
      <c r="AE5144">
        <v>-2.82714</v>
      </c>
      <c r="AF5144">
        <v>-1.82005981700473</v>
      </c>
      <c r="AG5144">
        <v>-1.1166116904650001</v>
      </c>
      <c r="AH5144">
        <v>5.6283219795240802</v>
      </c>
      <c r="AI5144">
        <v>100.68977323138201</v>
      </c>
      <c r="AJ5144">
        <v>107.91992158422001</v>
      </c>
      <c r="AK5144">
        <v>6.01975478819132</v>
      </c>
      <c r="AL5144">
        <v>86.677149962894603</v>
      </c>
      <c r="AM5144">
        <v>100.752181908829</v>
      </c>
      <c r="AN5144">
        <v>1.00000000939325</v>
      </c>
    </row>
    <row r="5145" spans="1:40" x14ac:dyDescent="0.25">
      <c r="A5145" t="str">
        <f>"20190312151130759"</f>
        <v>20190312151130759</v>
      </c>
      <c r="B5145" t="str">
        <f>"1552374690756086"</f>
        <v>1552374690756086</v>
      </c>
      <c r="C5145" t="s">
        <v>40</v>
      </c>
      <c r="D5145">
        <v>4.8788960000000001</v>
      </c>
      <c r="E5145">
        <v>0.45401789999999997</v>
      </c>
      <c r="F5145" t="s">
        <v>85</v>
      </c>
      <c r="G5145">
        <v>-405.88639999999998</v>
      </c>
      <c r="H5145" s="1">
        <v>-3.7664649999999999E-6</v>
      </c>
      <c r="I5145">
        <v>21.868829999999999</v>
      </c>
      <c r="J5145">
        <v>-411.3537</v>
      </c>
      <c r="K5145">
        <v>1.1166240000000001</v>
      </c>
      <c r="L5145">
        <v>24.671019999999999</v>
      </c>
      <c r="M5145">
        <v>0.70570569999999999</v>
      </c>
      <c r="N5145">
        <v>0</v>
      </c>
      <c r="O5145">
        <v>-0.70837410000000001</v>
      </c>
      <c r="P5145">
        <v>0.82381539999999998</v>
      </c>
      <c r="Q5145">
        <v>4.7271430000000003E-2</v>
      </c>
      <c r="R5145">
        <v>-0.56488389999999999</v>
      </c>
      <c r="S5145">
        <v>2.7042540000000002</v>
      </c>
      <c r="T5145">
        <v>-0.53827389999999997</v>
      </c>
      <c r="U5145">
        <v>-1.4162600000000001</v>
      </c>
      <c r="V5145">
        <v>-0.18588299999999999</v>
      </c>
      <c r="W5145">
        <v>5.7703199999999899E-2</v>
      </c>
      <c r="X5145">
        <v>0.98087610000000003</v>
      </c>
      <c r="Y5145">
        <v>-0.28781190000000001</v>
      </c>
      <c r="Z5145">
        <v>0.14169970000000001</v>
      </c>
      <c r="AA5145">
        <v>0.94714589999999999</v>
      </c>
      <c r="AB5145">
        <v>28</v>
      </c>
      <c r="AC5145">
        <v>5.4673000000000203</v>
      </c>
      <c r="AD5145">
        <v>-1.1166277664649999</v>
      </c>
      <c r="AE5145">
        <v>-2.80219</v>
      </c>
      <c r="AF5145">
        <v>-1.83493138843008</v>
      </c>
      <c r="AG5145">
        <v>-1.1166277664649999</v>
      </c>
      <c r="AH5145">
        <v>5.65696849785731</v>
      </c>
      <c r="AI5145">
        <v>100.634008806445</v>
      </c>
      <c r="AJ5145">
        <v>107.971329109114</v>
      </c>
      <c r="AK5145">
        <v>6.0510431625329302</v>
      </c>
      <c r="AL5145">
        <v>86.692012815770497</v>
      </c>
      <c r="AM5145">
        <v>100.730708354603</v>
      </c>
      <c r="AN5145">
        <v>1.0000000362652199</v>
      </c>
    </row>
    <row r="5146" spans="1:40" x14ac:dyDescent="0.25">
      <c r="A5146" t="str">
        <f>"20190312151130773"</f>
        <v>20190312151130773</v>
      </c>
      <c r="B5146" t="str">
        <f>"1552374690766822"</f>
        <v>1552374690766822</v>
      </c>
      <c r="C5146" t="s">
        <v>40</v>
      </c>
      <c r="D5146">
        <v>4.8237740000000002</v>
      </c>
      <c r="E5146">
        <v>0.45437149999999998</v>
      </c>
      <c r="F5146" t="s">
        <v>85</v>
      </c>
      <c r="G5146">
        <v>-405.7099</v>
      </c>
      <c r="H5146" s="1">
        <v>-3.8355900000000003E-6</v>
      </c>
      <c r="I5146">
        <v>21.758310000000002</v>
      </c>
      <c r="J5146">
        <v>-411.22750000000002</v>
      </c>
      <c r="K5146">
        <v>1.116638</v>
      </c>
      <c r="L5146">
        <v>24.552579999999999</v>
      </c>
      <c r="M5146">
        <v>0.70962760000000003</v>
      </c>
      <c r="N5146">
        <v>0</v>
      </c>
      <c r="O5146">
        <v>-0.70444530000000005</v>
      </c>
      <c r="P5146">
        <v>0.82688150000000005</v>
      </c>
      <c r="Q5146">
        <v>4.7066440000000001E-2</v>
      </c>
      <c r="R5146">
        <v>-0.56040330000000005</v>
      </c>
      <c r="S5146">
        <v>2.712494</v>
      </c>
      <c r="T5146">
        <v>-0.53667159999999903</v>
      </c>
      <c r="U5146">
        <v>-1.399902</v>
      </c>
      <c r="V5146">
        <v>-0.1857692</v>
      </c>
      <c r="W5146">
        <v>5.7497550000000001E-2</v>
      </c>
      <c r="X5146">
        <v>0.9809097</v>
      </c>
      <c r="Y5146">
        <v>-0.288302</v>
      </c>
      <c r="Z5146">
        <v>0.14075299999999999</v>
      </c>
      <c r="AA5146">
        <v>0.94713809999999998</v>
      </c>
      <c r="AB5146">
        <v>28</v>
      </c>
      <c r="AC5146">
        <v>5.5176000000000096</v>
      </c>
      <c r="AD5146">
        <v>-1.1166418355900001</v>
      </c>
      <c r="AE5146">
        <v>-2.7942699999999898</v>
      </c>
      <c r="AF5146">
        <v>-1.84402356663362</v>
      </c>
      <c r="AG5146">
        <v>-1.1166418355900001</v>
      </c>
      <c r="AH5146">
        <v>5.69863982202095</v>
      </c>
      <c r="AI5146">
        <v>100.560482008552</v>
      </c>
      <c r="AJ5146">
        <v>107.931068656162</v>
      </c>
      <c r="AK5146">
        <v>6.0927668365376402</v>
      </c>
      <c r="AL5146">
        <v>86.703815173897098</v>
      </c>
      <c r="AM5146">
        <v>100.723932456299</v>
      </c>
      <c r="AN5146">
        <v>1.00000000173936</v>
      </c>
    </row>
    <row r="5147" spans="1:40" x14ac:dyDescent="0.25">
      <c r="A5147" t="str">
        <f>"20190312151130785"</f>
        <v>20190312151130785</v>
      </c>
      <c r="B5147" t="str">
        <f>"1552374690776583"</f>
        <v>1552374690776583</v>
      </c>
      <c r="C5147" t="s">
        <v>40</v>
      </c>
      <c r="D5147">
        <v>4.8695440000000003</v>
      </c>
      <c r="E5147">
        <v>0.45460499999999998</v>
      </c>
      <c r="F5147" t="s">
        <v>85</v>
      </c>
      <c r="G5147">
        <v>-405.58440000000002</v>
      </c>
      <c r="H5147" s="1">
        <v>-3.8834230000000004E-6</v>
      </c>
      <c r="I5147">
        <v>21.672139999999999</v>
      </c>
      <c r="J5147">
        <v>-411.12869999999998</v>
      </c>
      <c r="K5147">
        <v>1.116649</v>
      </c>
      <c r="L5147">
        <v>24.460599999999999</v>
      </c>
      <c r="M5147">
        <v>0.71268140000000002</v>
      </c>
      <c r="N5147">
        <v>0</v>
      </c>
      <c r="O5147">
        <v>-0.70135550000000002</v>
      </c>
      <c r="P5147">
        <v>0.82924310000000001</v>
      </c>
      <c r="Q5147">
        <v>4.6872619999999997E-2</v>
      </c>
      <c r="R5147">
        <v>-0.55691930000000001</v>
      </c>
      <c r="S5147">
        <v>2.7183229999999998</v>
      </c>
      <c r="T5147">
        <v>-0.53788840000000004</v>
      </c>
      <c r="U5147">
        <v>-1.3875120000000001</v>
      </c>
      <c r="V5147">
        <v>-0.18564079999999999</v>
      </c>
      <c r="W5147">
        <v>5.7303800000000002E-2</v>
      </c>
      <c r="X5147">
        <v>0.98094530000000002</v>
      </c>
      <c r="Y5147">
        <v>-0.28837489999999999</v>
      </c>
      <c r="Z5147">
        <v>0.14063629999999999</v>
      </c>
      <c r="AA5147">
        <v>0.94713320000000001</v>
      </c>
      <c r="AB5147">
        <v>28</v>
      </c>
      <c r="AC5147">
        <v>5.5442999999999598</v>
      </c>
      <c r="AD5147">
        <v>-1.1166528834230001</v>
      </c>
      <c r="AE5147">
        <v>-2.7884600000000002</v>
      </c>
      <c r="AF5147">
        <v>-1.84179039725482</v>
      </c>
      <c r="AG5147">
        <v>-1.1166528834230001</v>
      </c>
      <c r="AH5147">
        <v>5.7223102548327001</v>
      </c>
      <c r="AI5147">
        <v>100.523074148315</v>
      </c>
      <c r="AJ5147">
        <v>107.84135952594001</v>
      </c>
      <c r="AK5147">
        <v>6.1142407690604097</v>
      </c>
      <c r="AL5147">
        <v>86.714934416974501</v>
      </c>
      <c r="AM5147">
        <v>100.716312094082</v>
      </c>
      <c r="AN5147">
        <v>0.99999995685558396</v>
      </c>
    </row>
    <row r="5148" spans="1:40" x14ac:dyDescent="0.25">
      <c r="A5148" t="str">
        <f>"20190312151130803"</f>
        <v>20190312151130803</v>
      </c>
      <c r="B5148" t="str">
        <f>"1552374690796103"</f>
        <v>1552374690796103</v>
      </c>
      <c r="C5148" t="s">
        <v>40</v>
      </c>
      <c r="D5148">
        <v>4.8840729999999999</v>
      </c>
      <c r="E5148">
        <v>0.45535880000000001</v>
      </c>
      <c r="F5148" t="s">
        <v>85</v>
      </c>
      <c r="G5148">
        <v>-405.49669999999998</v>
      </c>
      <c r="H5148" s="1">
        <v>-3.9167869999999998E-6</v>
      </c>
      <c r="I5148">
        <v>21.611660000000001</v>
      </c>
      <c r="J5148">
        <v>-410.9597</v>
      </c>
      <c r="K5148">
        <v>1.11666</v>
      </c>
      <c r="L5148">
        <v>24.30518</v>
      </c>
      <c r="M5148">
        <v>0.71785549999999998</v>
      </c>
      <c r="N5148">
        <v>0</v>
      </c>
      <c r="O5148">
        <v>-0.69605869999999903</v>
      </c>
      <c r="P5148">
        <v>0.83345949999999902</v>
      </c>
      <c r="Q5148">
        <v>4.6866280000000003E-2</v>
      </c>
      <c r="R5148">
        <v>-0.55058940000000001</v>
      </c>
      <c r="S5148">
        <v>2.7231450000000001</v>
      </c>
      <c r="T5148">
        <v>-0.53991730000000004</v>
      </c>
      <c r="U5148">
        <v>-1.377502</v>
      </c>
      <c r="V5148">
        <v>-0.1858477</v>
      </c>
      <c r="W5148">
        <v>5.7290000000000001E-2</v>
      </c>
      <c r="X5148">
        <v>0.98090699999999997</v>
      </c>
      <c r="Y5148">
        <v>-0.28475080000000003</v>
      </c>
      <c r="Z5148">
        <v>0.14013599999999901</v>
      </c>
      <c r="AA5148">
        <v>0.94830320000000001</v>
      </c>
      <c r="AB5148">
        <v>28</v>
      </c>
      <c r="AC5148">
        <v>5.4630000000000196</v>
      </c>
      <c r="AD5148">
        <v>-1.1166639167870001</v>
      </c>
      <c r="AE5148">
        <v>-2.6935199999999901</v>
      </c>
      <c r="AF5148">
        <v>-1.8084024424746099</v>
      </c>
      <c r="AG5148">
        <v>-1.1166639167870001</v>
      </c>
      <c r="AH5148">
        <v>5.6085245346958104</v>
      </c>
      <c r="AI5148">
        <v>100.72999434510299</v>
      </c>
      <c r="AJ5148">
        <v>107.871302962367</v>
      </c>
      <c r="AK5148">
        <v>5.9977333346262602</v>
      </c>
      <c r="AL5148">
        <v>86.715726631040894</v>
      </c>
      <c r="AM5148">
        <v>100.728387726213</v>
      </c>
      <c r="AN5148">
        <v>1.0000000271721401</v>
      </c>
    </row>
    <row r="5149" spans="1:40" x14ac:dyDescent="0.25">
      <c r="A5149" t="str">
        <f>"20190312151130815"</f>
        <v>20190312151130815</v>
      </c>
      <c r="B5149" t="str">
        <f>"1552374690806839"</f>
        <v>1552374690806839</v>
      </c>
      <c r="C5149" t="s">
        <v>40</v>
      </c>
      <c r="D5149">
        <v>5.1208499999999999</v>
      </c>
      <c r="E5149">
        <v>0.4561385</v>
      </c>
      <c r="F5149" t="s">
        <v>85</v>
      </c>
      <c r="G5149">
        <v>-405.30759999999998</v>
      </c>
      <c r="H5149" s="1">
        <v>-3.9894460000000003E-6</v>
      </c>
      <c r="I5149">
        <v>21.485399999999998</v>
      </c>
      <c r="J5149">
        <v>-410.84379999999999</v>
      </c>
      <c r="K5149">
        <v>1.1166720000000001</v>
      </c>
      <c r="L5149">
        <v>24.19971</v>
      </c>
      <c r="M5149">
        <v>0.72137410000000002</v>
      </c>
      <c r="N5149">
        <v>0</v>
      </c>
      <c r="O5149">
        <v>-0.69241119999999901</v>
      </c>
      <c r="P5149">
        <v>0.83630230000000005</v>
      </c>
      <c r="Q5149">
        <v>4.6429909999999998E-2</v>
      </c>
      <c r="R5149">
        <v>-0.54629919999999899</v>
      </c>
      <c r="S5149">
        <v>2.7300420000000001</v>
      </c>
      <c r="T5149">
        <v>-0.53936740000000005</v>
      </c>
      <c r="U5149">
        <v>-1.3620000000000001</v>
      </c>
      <c r="V5149">
        <v>-0.18592810000000001</v>
      </c>
      <c r="W5149">
        <v>5.684964E-2</v>
      </c>
      <c r="X5149">
        <v>0.98091729999999999</v>
      </c>
      <c r="Y5149">
        <v>-0.285228599999999</v>
      </c>
      <c r="Z5149">
        <v>0.1395216</v>
      </c>
      <c r="AA5149">
        <v>0.94825020000000004</v>
      </c>
      <c r="AB5149">
        <v>28</v>
      </c>
      <c r="AC5149">
        <v>5.5362</v>
      </c>
      <c r="AD5149">
        <v>-1.1166759894460001</v>
      </c>
      <c r="AE5149">
        <v>-2.7143099999999998</v>
      </c>
      <c r="AF5149">
        <v>-1.8159063953315899</v>
      </c>
      <c r="AG5149">
        <v>-1.1166759894460001</v>
      </c>
      <c r="AH5149">
        <v>5.6870985824008997</v>
      </c>
      <c r="AI5149">
        <v>100.59467245197099</v>
      </c>
      <c r="AJ5149">
        <v>107.70842728036899</v>
      </c>
      <c r="AK5149">
        <v>6.0735139407066301</v>
      </c>
      <c r="AL5149">
        <v>86.740998319418495</v>
      </c>
      <c r="AM5149">
        <v>100.732811083127</v>
      </c>
      <c r="AN5149">
        <v>0.99999994468851305</v>
      </c>
    </row>
    <row r="5150" spans="1:40" x14ac:dyDescent="0.25">
      <c r="A5150" t="str">
        <f>"20190312151130827"</f>
        <v>20190312151130827</v>
      </c>
      <c r="B5150" t="str">
        <f>"1552374690816599"</f>
        <v>1552374690816599</v>
      </c>
      <c r="C5150" t="s">
        <v>40</v>
      </c>
      <c r="D5150">
        <v>5.0706629999999997</v>
      </c>
      <c r="E5150">
        <v>0.45670500000000003</v>
      </c>
      <c r="F5150" t="s">
        <v>85</v>
      </c>
      <c r="G5150">
        <v>-405.18270000000001</v>
      </c>
      <c r="H5150" s="1">
        <v>-4.0366179999999997E-6</v>
      </c>
      <c r="I5150">
        <v>21.397210000000001</v>
      </c>
      <c r="J5150">
        <v>-410.74130000000002</v>
      </c>
      <c r="K5150">
        <v>1.116679</v>
      </c>
      <c r="L5150">
        <v>24.107790000000001</v>
      </c>
      <c r="M5150">
        <v>0.72446009999999905</v>
      </c>
      <c r="N5150">
        <v>0</v>
      </c>
      <c r="O5150">
        <v>-0.68918230000000003</v>
      </c>
      <c r="P5150">
        <v>0.83879049999999999</v>
      </c>
      <c r="Q5150">
        <v>4.6575529999999997E-2</v>
      </c>
      <c r="R5150">
        <v>-0.54245909999999997</v>
      </c>
      <c r="S5150">
        <v>2.7332459999999998</v>
      </c>
      <c r="T5150">
        <v>-0.53914790000000001</v>
      </c>
      <c r="U5150">
        <v>-1.3530879999999901</v>
      </c>
      <c r="V5150">
        <v>-0.18604270000000001</v>
      </c>
      <c r="W5150">
        <v>5.6990550000000001E-2</v>
      </c>
      <c r="X5150">
        <v>0.98088750000000002</v>
      </c>
      <c r="Y5150">
        <v>-0.28393370000000001</v>
      </c>
      <c r="Z5150">
        <v>0.1389455</v>
      </c>
      <c r="AA5150">
        <v>0.94872330000000005</v>
      </c>
      <c r="AB5150">
        <v>28</v>
      </c>
      <c r="AC5150">
        <v>5.55860000000001</v>
      </c>
      <c r="AD5150">
        <v>-1.1166830366180001</v>
      </c>
      <c r="AE5150">
        <v>-2.71057999999999</v>
      </c>
      <c r="AF5150">
        <v>-1.8083923764270899</v>
      </c>
      <c r="AG5150">
        <v>-1.1166830366180001</v>
      </c>
      <c r="AH5150">
        <v>5.7094580442844798</v>
      </c>
      <c r="AI5150">
        <v>100.561830554826</v>
      </c>
      <c r="AJ5150">
        <v>107.574882601906</v>
      </c>
      <c r="AK5150">
        <v>6.0922225132405297</v>
      </c>
      <c r="AL5150">
        <v>86.732911999059894</v>
      </c>
      <c r="AM5150">
        <v>100.739591304212</v>
      </c>
      <c r="AN5150">
        <v>1.00000004833442</v>
      </c>
    </row>
    <row r="5151" spans="1:40" x14ac:dyDescent="0.25">
      <c r="A5151" t="str">
        <f>"20190312151130839"</f>
        <v>20190312151130839</v>
      </c>
      <c r="B5151" t="str">
        <f>"1552374690836459"</f>
        <v>1552374690836459</v>
      </c>
      <c r="C5151" t="s">
        <v>40</v>
      </c>
      <c r="D5151">
        <v>5.251906</v>
      </c>
      <c r="E5151">
        <v>0.45716570000000001</v>
      </c>
      <c r="F5151" t="s">
        <v>85</v>
      </c>
      <c r="G5151">
        <v>-405.11309999999997</v>
      </c>
      <c r="H5151" s="1">
        <v>-4.0621149999999998E-6</v>
      </c>
      <c r="I5151">
        <v>21.343669999999999</v>
      </c>
      <c r="J5151">
        <v>-410.63760000000002</v>
      </c>
      <c r="K5151">
        <v>1.1166910000000001</v>
      </c>
      <c r="L5151">
        <v>24.015170000000001</v>
      </c>
      <c r="M5151">
        <v>0.72756449999999995</v>
      </c>
      <c r="N5151">
        <v>0</v>
      </c>
      <c r="O5151">
        <v>-0.68590410000000002</v>
      </c>
      <c r="P5151">
        <v>0.84121369999999895</v>
      </c>
      <c r="Q5151">
        <v>4.6507260000000002E-2</v>
      </c>
      <c r="R5151">
        <v>-0.538699699999999</v>
      </c>
      <c r="S5151">
        <v>2.7373349999999999</v>
      </c>
      <c r="T5151">
        <v>-0.54311189999999998</v>
      </c>
      <c r="U5151">
        <v>-1.34436</v>
      </c>
      <c r="V5151">
        <v>-0.18600649999999999</v>
      </c>
      <c r="W5151">
        <v>5.6921050000000001E-2</v>
      </c>
      <c r="X5151">
        <v>0.98089839999999995</v>
      </c>
      <c r="Y5151">
        <v>-0.28248519999999999</v>
      </c>
      <c r="Z5151">
        <v>0.1393615</v>
      </c>
      <c r="AA5151">
        <v>0.94909449999999995</v>
      </c>
      <c r="AB5151">
        <v>28</v>
      </c>
      <c r="AC5151">
        <v>5.5245000000000397</v>
      </c>
      <c r="AD5151">
        <v>-1.11669506211499</v>
      </c>
      <c r="AE5151">
        <v>-2.6715</v>
      </c>
      <c r="AF5151">
        <v>-1.78659684782785</v>
      </c>
      <c r="AG5151">
        <v>-1.11669506211499</v>
      </c>
      <c r="AH5151">
        <v>5.6647771330524801</v>
      </c>
      <c r="AI5151">
        <v>100.647386080723</v>
      </c>
      <c r="AJ5151">
        <v>107.504594990623</v>
      </c>
      <c r="AK5151">
        <v>6.0438924647593399</v>
      </c>
      <c r="AL5151">
        <v>86.736900527556898</v>
      </c>
      <c r="AM5151">
        <v>100.73743365109399</v>
      </c>
      <c r="AN5151">
        <v>1.0000000475489501</v>
      </c>
    </row>
    <row r="5152" spans="1:40" x14ac:dyDescent="0.25">
      <c r="A5152" t="str">
        <f>"20190312151130851"</f>
        <v>20190312151130851</v>
      </c>
      <c r="B5152" t="str">
        <f>"1552374690846219"</f>
        <v>1552374690846219</v>
      </c>
      <c r="C5152" t="s">
        <v>40</v>
      </c>
      <c r="D5152">
        <v>5.0555240000000001</v>
      </c>
      <c r="E5152">
        <v>0.45738810000000002</v>
      </c>
      <c r="F5152" t="s">
        <v>85</v>
      </c>
      <c r="G5152">
        <v>-404.93150000000003</v>
      </c>
      <c r="H5152" s="1">
        <v>-4.1333510000000002E-6</v>
      </c>
      <c r="I5152">
        <v>21.23612</v>
      </c>
      <c r="J5152">
        <v>-410.52429999999998</v>
      </c>
      <c r="K5152">
        <v>1.1167</v>
      </c>
      <c r="L5152">
        <v>23.91534</v>
      </c>
      <c r="M5152">
        <v>0.73093149999999996</v>
      </c>
      <c r="N5152">
        <v>0</v>
      </c>
      <c r="O5152">
        <v>-0.68231459999999999</v>
      </c>
      <c r="P5152">
        <v>0.84409210000000001</v>
      </c>
      <c r="Q5152">
        <v>4.6370069999999999E-2</v>
      </c>
      <c r="R5152">
        <v>-0.53418969999999999</v>
      </c>
      <c r="S5152">
        <v>2.7409970000000001</v>
      </c>
      <c r="T5152">
        <v>-0.53642299999999998</v>
      </c>
      <c r="U5152">
        <v>-1.3349610000000001</v>
      </c>
      <c r="V5152">
        <v>-0.18643270000000001</v>
      </c>
      <c r="W5152">
        <v>5.6772980000000001E-2</v>
      </c>
      <c r="X5152">
        <v>0.98082599999999998</v>
      </c>
      <c r="Y5152">
        <v>-0.28125409999999901</v>
      </c>
      <c r="Z5152">
        <v>0.1370982</v>
      </c>
      <c r="AA5152">
        <v>0.94978960000000001</v>
      </c>
      <c r="AB5152">
        <v>28</v>
      </c>
      <c r="AC5152">
        <v>5.5927999999999498</v>
      </c>
      <c r="AD5152">
        <v>-1.1167041333509999</v>
      </c>
      <c r="AE5152">
        <v>-2.6792199999999999</v>
      </c>
      <c r="AF5152">
        <v>-1.7995434858649699</v>
      </c>
      <c r="AG5152">
        <v>-1.1167041333509999</v>
      </c>
      <c r="AH5152">
        <v>5.7307492545668701</v>
      </c>
      <c r="AI5152">
        <v>100.53169594873501</v>
      </c>
      <c r="AJ5152">
        <v>107.43309145724</v>
      </c>
      <c r="AK5152">
        <v>6.1095721534065701</v>
      </c>
      <c r="AL5152">
        <v>86.745397842905206</v>
      </c>
      <c r="AM5152">
        <v>100.762238415209</v>
      </c>
      <c r="AN5152">
        <v>0.99999998258168499</v>
      </c>
    </row>
    <row r="5153" spans="1:40" x14ac:dyDescent="0.25">
      <c r="A5153" t="str">
        <f>"20190312151130862"</f>
        <v>20190312151130862</v>
      </c>
      <c r="B5153" t="str">
        <f>"1552374690856954"</f>
        <v>1552374690856954</v>
      </c>
      <c r="C5153" t="s">
        <v>40</v>
      </c>
      <c r="D5153">
        <v>5.0073239999999997</v>
      </c>
      <c r="E5153">
        <v>0.45757249999999999</v>
      </c>
      <c r="F5153" t="s">
        <v>85</v>
      </c>
      <c r="G5153">
        <v>-404.75880000000001</v>
      </c>
      <c r="H5153" s="1">
        <v>-4.1970359999999999E-6</v>
      </c>
      <c r="I5153">
        <v>21.141950000000001</v>
      </c>
      <c r="J5153">
        <v>-410.42399999999998</v>
      </c>
      <c r="K5153">
        <v>1.116711</v>
      </c>
      <c r="L5153">
        <v>23.827760000000001</v>
      </c>
      <c r="M5153">
        <v>0.7338886</v>
      </c>
      <c r="N5153">
        <v>0</v>
      </c>
      <c r="O5153">
        <v>-0.67913279999999998</v>
      </c>
      <c r="P5153">
        <v>0.84641029999999995</v>
      </c>
      <c r="Q5153">
        <v>4.603235E-2</v>
      </c>
      <c r="R5153">
        <v>-0.53053830000000002</v>
      </c>
      <c r="S5153">
        <v>2.7470699999999999</v>
      </c>
      <c r="T5153">
        <v>-0.53207799999999905</v>
      </c>
      <c r="U5153">
        <v>-1.321442</v>
      </c>
      <c r="V5153">
        <v>-0.18641759999999999</v>
      </c>
      <c r="W5153">
        <v>5.6433560000000001E-2</v>
      </c>
      <c r="X5153">
        <v>0.98084850000000001</v>
      </c>
      <c r="Y5153">
        <v>-0.28193210000000002</v>
      </c>
      <c r="Z5153">
        <v>0.1356029</v>
      </c>
      <c r="AA5153">
        <v>0.94980319999999996</v>
      </c>
      <c r="AB5153">
        <v>28</v>
      </c>
      <c r="AC5153">
        <v>5.66520000000002</v>
      </c>
      <c r="AD5153">
        <v>-1.1167151970360001</v>
      </c>
      <c r="AE5153">
        <v>-2.68581</v>
      </c>
      <c r="AF5153">
        <v>-1.81881050623693</v>
      </c>
      <c r="AG5153">
        <v>-1.1167151970360001</v>
      </c>
      <c r="AH5153">
        <v>5.7982539604141099</v>
      </c>
      <c r="AI5153">
        <v>100.41284979574699</v>
      </c>
      <c r="AJ5153">
        <v>107.415725693517</v>
      </c>
      <c r="AK5153">
        <v>6.1785818339119603</v>
      </c>
      <c r="AL5153">
        <v>86.764876540352205</v>
      </c>
      <c r="AM5153">
        <v>100.761145996926</v>
      </c>
      <c r="AN5153">
        <v>1.0000000241181399</v>
      </c>
    </row>
    <row r="5154" spans="1:40" x14ac:dyDescent="0.25">
      <c r="A5154" t="str">
        <f>"20190312151130873"</f>
        <v>20190312151130873</v>
      </c>
      <c r="B5154" t="str">
        <f>"1552374690866714"</f>
        <v>1552374690866714</v>
      </c>
      <c r="C5154" t="s">
        <v>40</v>
      </c>
      <c r="D5154">
        <v>4.998691</v>
      </c>
      <c r="E5154">
        <v>0.45774039999999999</v>
      </c>
      <c r="F5154" t="s">
        <v>85</v>
      </c>
      <c r="G5154">
        <v>-404.61419999999998</v>
      </c>
      <c r="H5154" s="1">
        <v>-4.249894E-6</v>
      </c>
      <c r="I5154">
        <v>21.060390000000002</v>
      </c>
      <c r="J5154">
        <v>-410.31889999999999</v>
      </c>
      <c r="K5154">
        <v>1.1167229999999999</v>
      </c>
      <c r="L5154">
        <v>23.736689999999999</v>
      </c>
      <c r="M5154">
        <v>0.73697139999999906</v>
      </c>
      <c r="N5154">
        <v>0</v>
      </c>
      <c r="O5154">
        <v>-0.67578629999999995</v>
      </c>
      <c r="P5154">
        <v>0.84877809999999898</v>
      </c>
      <c r="Q5154">
        <v>4.6309549999999998E-2</v>
      </c>
      <c r="R5154">
        <v>-0.52671759999999901</v>
      </c>
      <c r="S5154">
        <v>2.7516479999999999</v>
      </c>
      <c r="T5154">
        <v>-0.52889489999999995</v>
      </c>
      <c r="U5154">
        <v>-1.3106690000000001</v>
      </c>
      <c r="V5154">
        <v>-0.18637119999999999</v>
      </c>
      <c r="W5154">
        <v>5.6708719999999997E-2</v>
      </c>
      <c r="X5154">
        <v>0.98084139999999997</v>
      </c>
      <c r="Y5154">
        <v>-0.28140140000000002</v>
      </c>
      <c r="Z5154">
        <v>0.13430020000000001</v>
      </c>
      <c r="AA5154">
        <v>0.95014569999999998</v>
      </c>
      <c r="AB5154">
        <v>28</v>
      </c>
      <c r="AC5154">
        <v>5.7046999999999999</v>
      </c>
      <c r="AD5154">
        <v>-1.116727249894</v>
      </c>
      <c r="AE5154">
        <v>-2.6762999999999999</v>
      </c>
      <c r="AF5154">
        <v>-1.82563763140618</v>
      </c>
      <c r="AG5154">
        <v>-1.116727249894</v>
      </c>
      <c r="AH5154">
        <v>5.8302521977717801</v>
      </c>
      <c r="AI5154">
        <v>100.358642580907</v>
      </c>
      <c r="AJ5154">
        <v>107.386999964488</v>
      </c>
      <c r="AK5154">
        <v>6.2106258300983601</v>
      </c>
      <c r="AL5154">
        <v>86.749085594548404</v>
      </c>
      <c r="AM5154">
        <v>100.758606093686</v>
      </c>
      <c r="AN5154">
        <v>0.99999997753371805</v>
      </c>
    </row>
    <row r="5155" spans="1:40" x14ac:dyDescent="0.25">
      <c r="A5155" t="str">
        <f>"20190312151130885"</f>
        <v>20190312151130885</v>
      </c>
      <c r="B5155" t="str">
        <f>"1552374690876476"</f>
        <v>1552374690876476</v>
      </c>
      <c r="C5155" t="s">
        <v>40</v>
      </c>
      <c r="D5155">
        <v>4.9827969999999997</v>
      </c>
      <c r="E5155">
        <v>0.45791730000000003</v>
      </c>
      <c r="F5155" t="s">
        <v>85</v>
      </c>
      <c r="G5155">
        <v>-404.44110000000001</v>
      </c>
      <c r="H5155" s="1">
        <v>-4.3138579999999996E-6</v>
      </c>
      <c r="I5155">
        <v>20.966719999999999</v>
      </c>
      <c r="J5155">
        <v>-410.21910000000003</v>
      </c>
      <c r="K5155">
        <v>1.116735</v>
      </c>
      <c r="L5155">
        <v>23.65109</v>
      </c>
      <c r="M5155">
        <v>0.73987780000000003</v>
      </c>
      <c r="N5155">
        <v>0</v>
      </c>
      <c r="O5155">
        <v>-0.67260310000000001</v>
      </c>
      <c r="P5155">
        <v>0.8510839</v>
      </c>
      <c r="Q5155">
        <v>4.6102579999999997E-2</v>
      </c>
      <c r="R5155">
        <v>-0.52300210000000003</v>
      </c>
      <c r="S5155">
        <v>2.756866</v>
      </c>
      <c r="T5155">
        <v>-0.5237752</v>
      </c>
      <c r="U5155">
        <v>-1.299194</v>
      </c>
      <c r="V5155">
        <v>-0.18643609999999999</v>
      </c>
      <c r="W5155">
        <v>5.6498769999999997E-2</v>
      </c>
      <c r="X5155">
        <v>0.98084119999999997</v>
      </c>
      <c r="Y5155">
        <v>-0.28146339999999997</v>
      </c>
      <c r="Z5155">
        <v>0.13257160000000001</v>
      </c>
      <c r="AA5155">
        <v>0.95037000000000005</v>
      </c>
      <c r="AB5155">
        <v>28</v>
      </c>
      <c r="AC5155">
        <v>5.7780000000000102</v>
      </c>
      <c r="AD5155">
        <v>-1.116739313858</v>
      </c>
      <c r="AE5155">
        <v>-2.6843699999999902</v>
      </c>
      <c r="AF5155">
        <v>-1.8437256573349201</v>
      </c>
      <c r="AG5155">
        <v>-1.116739313858</v>
      </c>
      <c r="AH5155">
        <v>5.8998306040413597</v>
      </c>
      <c r="AI5155">
        <v>100.240978348032</v>
      </c>
      <c r="AJ5155">
        <v>107.354277615306</v>
      </c>
      <c r="AK5155">
        <v>6.2812763154484896</v>
      </c>
      <c r="AL5155">
        <v>86.761134217593806</v>
      </c>
      <c r="AM5155">
        <v>100.76226721457</v>
      </c>
      <c r="AN5155">
        <v>0.99999999500608105</v>
      </c>
    </row>
    <row r="5156" spans="1:40" x14ac:dyDescent="0.25">
      <c r="A5156" t="str">
        <f>"20190312151130895"</f>
        <v>20190312151130895</v>
      </c>
      <c r="B5156" t="str">
        <f>"1552374690886235"</f>
        <v>1552374690886235</v>
      </c>
      <c r="C5156" t="s">
        <v>40</v>
      </c>
      <c r="D5156">
        <v>5.2144940000000002</v>
      </c>
      <c r="E5156">
        <v>0.45791730000000003</v>
      </c>
      <c r="F5156" t="s">
        <v>85</v>
      </c>
      <c r="G5156">
        <v>-404.30689999999998</v>
      </c>
      <c r="H5156" s="1">
        <v>-4.3632089999999996E-6</v>
      </c>
      <c r="I5156">
        <v>20.892959999999999</v>
      </c>
      <c r="J5156">
        <v>-410.11</v>
      </c>
      <c r="K5156">
        <v>1.116744</v>
      </c>
      <c r="L5156">
        <v>23.558140000000002</v>
      </c>
      <c r="M5156">
        <v>0.74303350000000001</v>
      </c>
      <c r="N5156">
        <v>0</v>
      </c>
      <c r="O5156">
        <v>-0.66911519999999902</v>
      </c>
      <c r="P5156">
        <v>0.85368250000000001</v>
      </c>
      <c r="Q5156">
        <v>4.6050180000000003E-2</v>
      </c>
      <c r="R5156">
        <v>-0.51875420000000005</v>
      </c>
      <c r="S5156">
        <v>2.7615050000000001</v>
      </c>
      <c r="T5156">
        <v>-0.52162029999999904</v>
      </c>
      <c r="U5156">
        <v>-1.2883</v>
      </c>
      <c r="V5156">
        <v>-0.18671309999999999</v>
      </c>
      <c r="W5156">
        <v>5.6439259999999998E-2</v>
      </c>
      <c r="X5156">
        <v>0.98079190000000005</v>
      </c>
      <c r="Y5156">
        <v>-0.28078740000000002</v>
      </c>
      <c r="Z5156">
        <v>0.13149910000000001</v>
      </c>
      <c r="AA5156">
        <v>0.95071890000000003</v>
      </c>
      <c r="AB5156">
        <v>28</v>
      </c>
      <c r="AC5156">
        <v>5.8031000000000201</v>
      </c>
      <c r="AD5156">
        <v>-1.1167483632089901</v>
      </c>
      <c r="AE5156">
        <v>-2.6651799999999901</v>
      </c>
      <c r="AF5156">
        <v>-1.84633592873206</v>
      </c>
      <c r="AG5156">
        <v>-1.1167483632089901</v>
      </c>
      <c r="AH5156">
        <v>5.9148855316931099</v>
      </c>
      <c r="AI5156">
        <v>100.216550745969</v>
      </c>
      <c r="AJ5156">
        <v>107.335792340369</v>
      </c>
      <c r="AK5156">
        <v>6.2961856803535703</v>
      </c>
      <c r="AL5156">
        <v>86.764549230074707</v>
      </c>
      <c r="AM5156">
        <v>100.77841218338099</v>
      </c>
      <c r="AN5156">
        <v>0.99999996144328296</v>
      </c>
    </row>
    <row r="5157" spans="1:40" x14ac:dyDescent="0.25">
      <c r="A5157" t="str">
        <f>"20190312151130907"</f>
        <v>20190312151130907</v>
      </c>
      <c r="B5157" t="str">
        <f>"1552374690896971"</f>
        <v>1552374690896971</v>
      </c>
      <c r="C5157" t="s">
        <v>40</v>
      </c>
      <c r="D5157">
        <v>5.0265930000000001</v>
      </c>
      <c r="E5157">
        <v>0.45873700000000001</v>
      </c>
      <c r="F5157" t="s">
        <v>85</v>
      </c>
      <c r="G5157">
        <v>-404.18619999999999</v>
      </c>
      <c r="H5157" s="1">
        <v>-4.4083270000000003E-6</v>
      </c>
      <c r="I5157">
        <v>20.830539999999999</v>
      </c>
      <c r="J5157">
        <v>-410.00569999999999</v>
      </c>
      <c r="K5157">
        <v>1.116752</v>
      </c>
      <c r="L5157">
        <v>23.470549999999999</v>
      </c>
      <c r="M5157">
        <v>0.74602489999999999</v>
      </c>
      <c r="N5157">
        <v>0</v>
      </c>
      <c r="O5157">
        <v>-0.66577799999999998</v>
      </c>
      <c r="P5157">
        <v>0.85608130000000005</v>
      </c>
      <c r="Q5157">
        <v>4.6232040000000002E-2</v>
      </c>
      <c r="R5157">
        <v>-0.51476909999999998</v>
      </c>
      <c r="S5157">
        <v>2.7678530000000001</v>
      </c>
      <c r="T5157">
        <v>-0.52179089999999995</v>
      </c>
      <c r="U5157">
        <v>-1.2744450000000001</v>
      </c>
      <c r="V5157">
        <v>-0.1868861</v>
      </c>
      <c r="W5157">
        <v>5.6615890000000002E-2</v>
      </c>
      <c r="X5157">
        <v>0.98074879999999998</v>
      </c>
      <c r="Y5157">
        <v>-0.28127540000000001</v>
      </c>
      <c r="Z5157">
        <v>0.13108839999999999</v>
      </c>
      <c r="AA5157">
        <v>0.95063140000000002</v>
      </c>
      <c r="AB5157">
        <v>28</v>
      </c>
      <c r="AC5157">
        <v>5.8194999999999997</v>
      </c>
      <c r="AD5157">
        <v>-1.1167564083270001</v>
      </c>
      <c r="AE5157">
        <v>-2.64000999999999</v>
      </c>
      <c r="AF5157">
        <v>-1.84869995950774</v>
      </c>
      <c r="AG5157">
        <v>-1.1167564083270001</v>
      </c>
      <c r="AH5157">
        <v>5.9189555021028797</v>
      </c>
      <c r="AI5157">
        <v>100.209220124342</v>
      </c>
      <c r="AJ5157">
        <v>107.345437908953</v>
      </c>
      <c r="AK5157">
        <v>6.3007039806435303</v>
      </c>
      <c r="AL5157">
        <v>86.754412964634199</v>
      </c>
      <c r="AM5157">
        <v>100.788627680476</v>
      </c>
      <c r="AN5157">
        <v>0.99999999103757098</v>
      </c>
    </row>
    <row r="5158" spans="1:40" x14ac:dyDescent="0.25">
      <c r="A5158" t="str">
        <f>"20190312151130920"</f>
        <v>20190312151130920</v>
      </c>
      <c r="B5158" t="str">
        <f>"1552374690916490"</f>
        <v>1552374690916490</v>
      </c>
      <c r="C5158" t="s">
        <v>40</v>
      </c>
      <c r="D5158">
        <v>4.9811019999999999</v>
      </c>
      <c r="E5158">
        <v>0.45825310000000002</v>
      </c>
      <c r="F5158" t="s">
        <v>85</v>
      </c>
      <c r="G5158">
        <v>-404.08409999999998</v>
      </c>
      <c r="H5158" s="1">
        <v>-4.4435199999999996E-6</v>
      </c>
      <c r="I5158">
        <v>20.761119999999998</v>
      </c>
      <c r="J5158">
        <v>-409.89600000000002</v>
      </c>
      <c r="K5158">
        <v>1.1167590000000001</v>
      </c>
      <c r="L5158">
        <v>23.378720000000001</v>
      </c>
      <c r="M5158">
        <v>0.74915500000000002</v>
      </c>
      <c r="N5158">
        <v>0</v>
      </c>
      <c r="O5158">
        <v>-0.66225389999999995</v>
      </c>
      <c r="P5158">
        <v>0.85874280000000003</v>
      </c>
      <c r="Q5158">
        <v>4.6038929999999999E-2</v>
      </c>
      <c r="R5158">
        <v>-0.51033439999999997</v>
      </c>
      <c r="S5158">
        <v>2.7703549999999999</v>
      </c>
      <c r="T5158">
        <v>-0.5224626</v>
      </c>
      <c r="U5158">
        <v>-1.2675780000000001</v>
      </c>
      <c r="V5158">
        <v>-0.1873409</v>
      </c>
      <c r="W5158">
        <v>5.64126E-2</v>
      </c>
      <c r="X5158">
        <v>0.98067369999999998</v>
      </c>
      <c r="Y5158">
        <v>-0.27906259999999999</v>
      </c>
      <c r="Z5158">
        <v>0.13061030000000001</v>
      </c>
      <c r="AA5158">
        <v>0.95134909999999995</v>
      </c>
      <c r="AB5158">
        <v>28</v>
      </c>
      <c r="AC5158">
        <v>5.8118999999999801</v>
      </c>
      <c r="AD5158">
        <v>-1.11676344352</v>
      </c>
      <c r="AE5158">
        <v>-2.6175999999999902</v>
      </c>
      <c r="AF5158">
        <v>-1.83190995976908</v>
      </c>
      <c r="AG5158">
        <v>-1.11676344352</v>
      </c>
      <c r="AH5158">
        <v>5.9067856310483302</v>
      </c>
      <c r="AI5158">
        <v>100.236123804993</v>
      </c>
      <c r="AJ5158">
        <v>107.230572318791</v>
      </c>
      <c r="AK5158">
        <v>6.2843592498076397</v>
      </c>
      <c r="AL5158">
        <v>86.766079136292703</v>
      </c>
      <c r="AM5158">
        <v>100.815072770225</v>
      </c>
      <c r="AN5158">
        <v>0.99999995006162801</v>
      </c>
    </row>
    <row r="5159" spans="1:40" x14ac:dyDescent="0.25">
      <c r="A5159" t="str">
        <f>"20190312151130932"</f>
        <v>20190312151130932</v>
      </c>
      <c r="B5159" t="str">
        <f>"1552374690926453"</f>
        <v>1552374690926453</v>
      </c>
      <c r="C5159" t="s">
        <v>40</v>
      </c>
      <c r="D5159">
        <v>4.9824840000000004</v>
      </c>
      <c r="E5159">
        <v>0.4273884</v>
      </c>
      <c r="F5159" t="s">
        <v>85</v>
      </c>
      <c r="G5159">
        <v>-403.99149999999997</v>
      </c>
      <c r="H5159" s="1">
        <v>-4.4797819999999998E-6</v>
      </c>
      <c r="I5159">
        <v>20.72242</v>
      </c>
      <c r="J5159">
        <v>-409.77140000000003</v>
      </c>
      <c r="K5159">
        <v>1.116765</v>
      </c>
      <c r="L5159">
        <v>23.275939999999999</v>
      </c>
      <c r="M5159">
        <v>0.75267600000000001</v>
      </c>
      <c r="N5159">
        <v>0</v>
      </c>
      <c r="O5159">
        <v>-0.65824969999999905</v>
      </c>
      <c r="P5159">
        <v>0.86148829999999998</v>
      </c>
      <c r="Q5159">
        <v>4.5870080000000001E-2</v>
      </c>
      <c r="R5159">
        <v>-0.50570150000000003</v>
      </c>
      <c r="S5159">
        <v>2.778778</v>
      </c>
      <c r="T5159">
        <v>-0.52557549999999997</v>
      </c>
      <c r="U5159">
        <v>-1.250122</v>
      </c>
      <c r="V5159">
        <v>-0.18739800000000001</v>
      </c>
      <c r="W5159">
        <v>5.624121E-2</v>
      </c>
      <c r="X5159">
        <v>0.98067269999999895</v>
      </c>
      <c r="Y5159">
        <v>-0.27990920000000002</v>
      </c>
      <c r="Z5159">
        <v>0.1308194</v>
      </c>
      <c r="AA5159">
        <v>0.95107160000000002</v>
      </c>
      <c r="AB5159">
        <v>28</v>
      </c>
      <c r="AC5159">
        <v>5.7799000000000502</v>
      </c>
      <c r="AD5159">
        <v>-1.116769479782</v>
      </c>
      <c r="AE5159">
        <v>-2.55351999999999</v>
      </c>
      <c r="AF5159">
        <v>-1.8257894907572501</v>
      </c>
      <c r="AG5159">
        <v>-1.116769479782</v>
      </c>
      <c r="AH5159">
        <v>5.8491057668073498</v>
      </c>
      <c r="AI5159">
        <v>100.329185012935</v>
      </c>
      <c r="AJ5159">
        <v>107.335674202833</v>
      </c>
      <c r="AK5159">
        <v>6.2283801752005497</v>
      </c>
      <c r="AL5159">
        <v>86.775914882929996</v>
      </c>
      <c r="AM5159">
        <v>100.81830211130401</v>
      </c>
      <c r="AN5159">
        <v>1.0000000143157699</v>
      </c>
    </row>
    <row r="5160" spans="1:40" x14ac:dyDescent="0.25">
      <c r="A5160" t="str">
        <f>"20190312151130949"</f>
        <v>20190312151130949</v>
      </c>
      <c r="B5160" t="str">
        <f>"1552374690946935"</f>
        <v>1552374690946935</v>
      </c>
      <c r="C5160" t="s">
        <v>40</v>
      </c>
      <c r="D5160">
        <v>4.9744140000000003</v>
      </c>
      <c r="E5160">
        <v>0.42394599999999999</v>
      </c>
      <c r="F5160" t="s">
        <v>85</v>
      </c>
      <c r="G5160">
        <v>-404.30950000000001</v>
      </c>
      <c r="H5160" s="1">
        <v>-4.444615E-6</v>
      </c>
      <c r="I5160">
        <v>21.35697</v>
      </c>
      <c r="J5160">
        <v>-409.61009999999999</v>
      </c>
      <c r="K5160">
        <v>1.1167720000000001</v>
      </c>
      <c r="L5160">
        <v>23.14453</v>
      </c>
      <c r="M5160">
        <v>0.75718569999999996</v>
      </c>
      <c r="N5160">
        <v>0</v>
      </c>
      <c r="O5160">
        <v>-0.65305690000000005</v>
      </c>
      <c r="P5160">
        <v>0.86506530000000004</v>
      </c>
      <c r="Q5160">
        <v>4.5420599999999998E-2</v>
      </c>
      <c r="R5160">
        <v>-0.49959920000000002</v>
      </c>
      <c r="S5160">
        <v>2.9132389999999999</v>
      </c>
      <c r="T5160">
        <v>-0.59565729999999995</v>
      </c>
      <c r="U5160">
        <v>-1.0235289999999999</v>
      </c>
      <c r="V5160">
        <v>-0.18759400000000001</v>
      </c>
      <c r="W5160">
        <v>5.5787499999999997E-2</v>
      </c>
      <c r="X5160">
        <v>0.98066120000000001</v>
      </c>
      <c r="Y5160">
        <v>-0.34930139999999998</v>
      </c>
      <c r="Z5160">
        <v>0.15057980000000001</v>
      </c>
      <c r="AA5160">
        <v>0.92483199999999999</v>
      </c>
      <c r="AB5160">
        <v>28</v>
      </c>
      <c r="AC5160">
        <v>5.30059999999997</v>
      </c>
      <c r="AD5160">
        <v>-1.1167764446149999</v>
      </c>
      <c r="AE5160">
        <v>-1.78755999999999</v>
      </c>
      <c r="AF5160">
        <v>-2.0274667177072501</v>
      </c>
      <c r="AG5160">
        <v>-1.1167764446149999</v>
      </c>
      <c r="AH5160">
        <v>4.9828013704647196</v>
      </c>
      <c r="AI5160">
        <v>101.72795236551001</v>
      </c>
      <c r="AJ5160">
        <v>112.141060761963</v>
      </c>
      <c r="AK5160">
        <v>5.4941896960482302</v>
      </c>
      <c r="AL5160">
        <v>86.801951612585597</v>
      </c>
      <c r="AM5160">
        <v>100.829473567191</v>
      </c>
      <c r="AN5160">
        <v>1.00000007158884</v>
      </c>
    </row>
    <row r="5161" spans="1:40" x14ac:dyDescent="0.25">
      <c r="A5161" t="str">
        <f>"20190312151130964"</f>
        <v>20190312151130964</v>
      </c>
      <c r="B5161" t="str">
        <f>"1552374690956695"</f>
        <v>1552374690956695</v>
      </c>
      <c r="C5161" t="s">
        <v>40</v>
      </c>
      <c r="D5161">
        <v>4.9621579999999996</v>
      </c>
      <c r="E5161">
        <v>0.42320160000000001</v>
      </c>
      <c r="F5161" t="s">
        <v>85</v>
      </c>
      <c r="G5161">
        <v>-404.07139999999998</v>
      </c>
      <c r="H5161" s="1">
        <v>-4.5447510000000002E-6</v>
      </c>
      <c r="I5161">
        <v>21.296589999999998</v>
      </c>
      <c r="J5161">
        <v>-409.48050000000001</v>
      </c>
      <c r="K5161">
        <v>1.116773</v>
      </c>
      <c r="L5161">
        <v>23.040099999999999</v>
      </c>
      <c r="M5161">
        <v>0.76077329999999999</v>
      </c>
      <c r="N5161">
        <v>0</v>
      </c>
      <c r="O5161">
        <v>-0.6488739</v>
      </c>
      <c r="P5161">
        <v>0.86784589999999995</v>
      </c>
      <c r="Q5161">
        <v>4.5202119999999998E-2</v>
      </c>
      <c r="R5161">
        <v>-0.49477320000000002</v>
      </c>
      <c r="S5161">
        <v>2.933716</v>
      </c>
      <c r="T5161">
        <v>-0.59153469999999997</v>
      </c>
      <c r="U5161">
        <v>-0.97882080000000005</v>
      </c>
      <c r="V5161">
        <v>-0.18765570000000001</v>
      </c>
      <c r="W5161">
        <v>5.5568020000000003E-2</v>
      </c>
      <c r="X5161">
        <v>0.98066180000000003</v>
      </c>
      <c r="Y5161">
        <v>-0.35897990000000002</v>
      </c>
      <c r="Z5161">
        <v>0.14944849999999901</v>
      </c>
      <c r="AA5161">
        <v>0.92130270000000003</v>
      </c>
      <c r="AB5161">
        <v>28</v>
      </c>
      <c r="AC5161">
        <v>5.40910000000002</v>
      </c>
      <c r="AD5161">
        <v>-1.116777544751</v>
      </c>
      <c r="AE5161">
        <v>-1.7435099999999999</v>
      </c>
      <c r="AF5161">
        <v>-2.1024267057710002</v>
      </c>
      <c r="AG5161">
        <v>-1.116777544751</v>
      </c>
      <c r="AH5161">
        <v>5.0518306296864601</v>
      </c>
      <c r="AI5161">
        <v>101.53535006488799</v>
      </c>
      <c r="AJ5161">
        <v>112.59567478276</v>
      </c>
      <c r="AK5161">
        <v>5.5846560188285101</v>
      </c>
      <c r="AL5161">
        <v>86.814546250239999</v>
      </c>
      <c r="AM5161">
        <v>100.832944662408</v>
      </c>
      <c r="AN5161">
        <v>1.00000001628422</v>
      </c>
    </row>
    <row r="5162" spans="1:40" x14ac:dyDescent="0.25">
      <c r="A5162" t="str">
        <f>"20190312151130975"</f>
        <v>20190312151130975</v>
      </c>
      <c r="B5162" t="str">
        <f>"1552374690966455"</f>
        <v>1552374690966455</v>
      </c>
      <c r="C5162" t="s">
        <v>40</v>
      </c>
      <c r="D5162">
        <v>4.9996130000000001</v>
      </c>
      <c r="E5162">
        <v>0.42334860000000002</v>
      </c>
      <c r="F5162" t="s">
        <v>85</v>
      </c>
      <c r="G5162">
        <v>-403.93329999999997</v>
      </c>
      <c r="H5162" s="1">
        <v>-4.5981710000000001E-6</v>
      </c>
      <c r="I5162">
        <v>21.23518</v>
      </c>
      <c r="J5162">
        <v>-409.3698</v>
      </c>
      <c r="K5162">
        <v>1.116776</v>
      </c>
      <c r="L5162">
        <v>22.951750000000001</v>
      </c>
      <c r="M5162">
        <v>0.76381119999999902</v>
      </c>
      <c r="N5162">
        <v>0</v>
      </c>
      <c r="O5162">
        <v>-0.64529539999999996</v>
      </c>
      <c r="P5162">
        <v>0.87013430000000003</v>
      </c>
      <c r="Q5162">
        <v>4.5053360000000001E-2</v>
      </c>
      <c r="R5162">
        <v>-0.49075089999999999</v>
      </c>
      <c r="S5162">
        <v>2.9419559999999998</v>
      </c>
      <c r="T5162">
        <v>-0.59228740000000002</v>
      </c>
      <c r="U5162">
        <v>-0.95724489999999995</v>
      </c>
      <c r="V5162">
        <v>-0.1875936</v>
      </c>
      <c r="W5162">
        <v>5.5420419999999998E-2</v>
      </c>
      <c r="X5162">
        <v>0.98068200000000005</v>
      </c>
      <c r="Y5162">
        <v>-0.36147600000000002</v>
      </c>
      <c r="Z5162">
        <v>0.14922240000000001</v>
      </c>
      <c r="AA5162">
        <v>0.92036280000000004</v>
      </c>
      <c r="AB5162">
        <v>28</v>
      </c>
      <c r="AC5162">
        <v>5.4365000000000201</v>
      </c>
      <c r="AD5162">
        <v>-1.1167805981709999</v>
      </c>
      <c r="AE5162">
        <v>-1.7165699999999999</v>
      </c>
      <c r="AF5162">
        <v>-2.11602007385095</v>
      </c>
      <c r="AG5162">
        <v>-1.1167805981709999</v>
      </c>
      <c r="AH5162">
        <v>5.0662385079917902</v>
      </c>
      <c r="AI5162">
        <v>101.497488770949</v>
      </c>
      <c r="AJ5162">
        <v>112.66887109267</v>
      </c>
      <c r="AK5162">
        <v>5.6028129075715398</v>
      </c>
      <c r="AL5162">
        <v>86.823016054704496</v>
      </c>
      <c r="AM5162">
        <v>100.82922676346401</v>
      </c>
      <c r="AN5162">
        <v>0.99999998341896801</v>
      </c>
    </row>
    <row r="5163" spans="1:40" x14ac:dyDescent="0.25">
      <c r="A5163" t="str">
        <f>"20190312151130987"</f>
        <v>20190312151130987</v>
      </c>
      <c r="B5163" t="str">
        <f>"1552374690976215"</f>
        <v>1552374690976215</v>
      </c>
      <c r="C5163" t="s">
        <v>40</v>
      </c>
      <c r="D5163">
        <v>4.9915430000000001</v>
      </c>
      <c r="E5163">
        <v>0.42329139999999998</v>
      </c>
      <c r="F5163" t="s">
        <v>85</v>
      </c>
      <c r="G5163">
        <v>-403.83850000000001</v>
      </c>
      <c r="H5163" s="1">
        <v>-4.632167E-6</v>
      </c>
      <c r="I5163">
        <v>21.17801</v>
      </c>
      <c r="J5163">
        <v>-409.25240000000002</v>
      </c>
      <c r="K5163">
        <v>1.1167750000000001</v>
      </c>
      <c r="L5163">
        <v>22.85934</v>
      </c>
      <c r="M5163">
        <v>0.76700000000000002</v>
      </c>
      <c r="N5163">
        <v>0</v>
      </c>
      <c r="O5163">
        <v>-0.64150200000000002</v>
      </c>
      <c r="P5163">
        <v>0.87256420000000001</v>
      </c>
      <c r="Q5163">
        <v>4.5021779999999997E-2</v>
      </c>
      <c r="R5163">
        <v>-0.48642039999999998</v>
      </c>
      <c r="S5163">
        <v>2.94577</v>
      </c>
      <c r="T5163">
        <v>-0.59476030000000002</v>
      </c>
      <c r="U5163">
        <v>-0.94464110000000001</v>
      </c>
      <c r="V5163">
        <v>-0.18760789999999999</v>
      </c>
      <c r="W5163">
        <v>5.5389470000000003E-2</v>
      </c>
      <c r="X5163">
        <v>0.98068100000000002</v>
      </c>
      <c r="Y5163">
        <v>-0.36072480000000001</v>
      </c>
      <c r="Z5163">
        <v>0.14918100000000001</v>
      </c>
      <c r="AA5163">
        <v>0.92066429999999999</v>
      </c>
      <c r="AB5163">
        <v>28</v>
      </c>
      <c r="AC5163">
        <v>5.4139000000000097</v>
      </c>
      <c r="AD5163">
        <v>-1.116779632167</v>
      </c>
      <c r="AE5163">
        <v>-1.68132999999999</v>
      </c>
      <c r="AF5163">
        <v>-2.1020725206589699</v>
      </c>
      <c r="AG5163">
        <v>-1.116779632167</v>
      </c>
      <c r="AH5163">
        <v>5.0360819729659099</v>
      </c>
      <c r="AI5163">
        <v>101.56555189672299</v>
      </c>
      <c r="AJ5163">
        <v>112.655772360166</v>
      </c>
      <c r="AK5163">
        <v>5.5702807171061801</v>
      </c>
      <c r="AL5163">
        <v>86.824792046554506</v>
      </c>
      <c r="AM5163">
        <v>100.83004352086699</v>
      </c>
      <c r="AN5163">
        <v>0.99999997064514501</v>
      </c>
    </row>
    <row r="5164" spans="1:40" x14ac:dyDescent="0.25">
      <c r="A5164" t="str">
        <f>"20190312151131000"</f>
        <v>20190312151131000</v>
      </c>
      <c r="B5164" t="str">
        <f>"1552374690996711"</f>
        <v>1552374690996711</v>
      </c>
      <c r="C5164" t="s">
        <v>40</v>
      </c>
      <c r="D5164">
        <v>4.9857469999999999</v>
      </c>
      <c r="E5164">
        <v>0.42338609999999999</v>
      </c>
      <c r="F5164" t="s">
        <v>85</v>
      </c>
      <c r="G5164">
        <v>-403.72570000000002</v>
      </c>
      <c r="H5164" s="1">
        <v>-4.6739409999999999E-6</v>
      </c>
      <c r="I5164">
        <v>21.117660000000001</v>
      </c>
      <c r="J5164">
        <v>-409.1284</v>
      </c>
      <c r="K5164">
        <v>1.1167739999999999</v>
      </c>
      <c r="L5164">
        <v>22.762450000000001</v>
      </c>
      <c r="M5164">
        <v>0.77033799999999997</v>
      </c>
      <c r="N5164">
        <v>0</v>
      </c>
      <c r="O5164">
        <v>-0.63748990000000005</v>
      </c>
      <c r="P5164">
        <v>0.87509950000000003</v>
      </c>
      <c r="Q5164">
        <v>4.498278E-2</v>
      </c>
      <c r="R5164">
        <v>-0.48184860000000002</v>
      </c>
      <c r="S5164">
        <v>2.9505309999999998</v>
      </c>
      <c r="T5164">
        <v>-0.59622050000000004</v>
      </c>
      <c r="U5164">
        <v>-0.92984009999999995</v>
      </c>
      <c r="V5164">
        <v>-0.1876205</v>
      </c>
      <c r="W5164">
        <v>5.5350919999999998E-2</v>
      </c>
      <c r="X5164">
        <v>0.98068080000000002</v>
      </c>
      <c r="Y5164">
        <v>-0.3604908</v>
      </c>
      <c r="Z5164">
        <v>0.14887890000000001</v>
      </c>
      <c r="AA5164">
        <v>0.92080479999999998</v>
      </c>
      <c r="AB5164">
        <v>27</v>
      </c>
      <c r="AC5164">
        <v>5.4026999999999799</v>
      </c>
      <c r="AD5164">
        <v>-1.1167786739409999</v>
      </c>
      <c r="AE5164">
        <v>-1.64479</v>
      </c>
      <c r="AF5164">
        <v>-2.0953874308964102</v>
      </c>
      <c r="AG5164">
        <v>-1.1167786739409999</v>
      </c>
      <c r="AH5164">
        <v>5.0148281600534697</v>
      </c>
      <c r="AI5164">
        <v>101.611479045276</v>
      </c>
      <c r="AJ5164">
        <v>112.677041904394</v>
      </c>
      <c r="AK5164">
        <v>5.5485443646954202</v>
      </c>
      <c r="AL5164">
        <v>86.827004298297197</v>
      </c>
      <c r="AM5164">
        <v>100.83075583448399</v>
      </c>
      <c r="AN5164">
        <v>1.0000000039268599</v>
      </c>
    </row>
    <row r="5165" spans="1:40" x14ac:dyDescent="0.25">
      <c r="A5165" t="str">
        <f>"20190312151131015"</f>
        <v>20190312151131015</v>
      </c>
      <c r="B5165" t="str">
        <f>"1552374691006470"</f>
        <v>1552374691006470</v>
      </c>
      <c r="C5165" t="s">
        <v>40</v>
      </c>
      <c r="D5165">
        <v>4.9731990000000001</v>
      </c>
      <c r="E5165">
        <v>0.42351119999999998</v>
      </c>
      <c r="F5165" t="s">
        <v>85</v>
      </c>
      <c r="G5165">
        <v>-403.70249999999999</v>
      </c>
      <c r="H5165" s="1">
        <v>-4.6785820000000003E-6</v>
      </c>
      <c r="I5165">
        <v>21.082840000000001</v>
      </c>
      <c r="J5165">
        <v>-408.97829999999999</v>
      </c>
      <c r="K5165">
        <v>1.1167659999999999</v>
      </c>
      <c r="L5165">
        <v>22.646640000000001</v>
      </c>
      <c r="M5165">
        <v>0.77433560000000001</v>
      </c>
      <c r="N5165">
        <v>0</v>
      </c>
      <c r="O5165">
        <v>-0.63262790000000002</v>
      </c>
      <c r="P5165">
        <v>0.87808909999999996</v>
      </c>
      <c r="Q5165">
        <v>4.4772439999999997E-2</v>
      </c>
      <c r="R5165">
        <v>-0.47639819999999999</v>
      </c>
      <c r="S5165">
        <v>2.9557190000000002</v>
      </c>
      <c r="T5165">
        <v>-0.60835220000000001</v>
      </c>
      <c r="U5165">
        <v>-0.91494750000000002</v>
      </c>
      <c r="V5165">
        <v>-0.18754789999999999</v>
      </c>
      <c r="W5165">
        <v>5.5143810000000001E-2</v>
      </c>
      <c r="X5165">
        <v>0.98070630000000003</v>
      </c>
      <c r="Y5165">
        <v>-0.35879100000000003</v>
      </c>
      <c r="Z5165">
        <v>0.1508805</v>
      </c>
      <c r="AA5165">
        <v>0.92114280000000004</v>
      </c>
      <c r="AB5165">
        <v>27</v>
      </c>
      <c r="AC5165">
        <v>5.2758000000000003</v>
      </c>
      <c r="AD5165">
        <v>-1.116770678582</v>
      </c>
      <c r="AE5165">
        <v>-1.5637999999999901</v>
      </c>
      <c r="AF5165">
        <v>-2.04277118839858</v>
      </c>
      <c r="AG5165">
        <v>-1.116770678582</v>
      </c>
      <c r="AH5165">
        <v>4.8742516610680999</v>
      </c>
      <c r="AI5165">
        <v>101.931615853587</v>
      </c>
      <c r="AJ5165">
        <v>112.73828095952901</v>
      </c>
      <c r="AK5165">
        <v>5.4017052985253704</v>
      </c>
      <c r="AL5165">
        <v>86.838888810292005</v>
      </c>
      <c r="AM5165">
        <v>100.826389072163</v>
      </c>
      <c r="AN5165">
        <v>0.99999995071770598</v>
      </c>
    </row>
    <row r="5166" spans="1:40" x14ac:dyDescent="0.25">
      <c r="A5166" t="str">
        <f>"20190312151131026"</f>
        <v>20190312151131026</v>
      </c>
      <c r="B5166" t="str">
        <f>"1552374691016231"</f>
        <v>1552374691016231</v>
      </c>
      <c r="C5166" t="s">
        <v>40</v>
      </c>
      <c r="D5166">
        <v>4.9723649999999999</v>
      </c>
      <c r="E5166">
        <v>0.42387200000000003</v>
      </c>
      <c r="F5166" t="s">
        <v>85</v>
      </c>
      <c r="G5166">
        <v>-403.54730000000001</v>
      </c>
      <c r="H5166" s="1">
        <v>-4.7361899999999998E-6</v>
      </c>
      <c r="I5166">
        <v>21.000389999999999</v>
      </c>
      <c r="J5166">
        <v>-408.87979999999999</v>
      </c>
      <c r="K5166">
        <v>1.1167689999999999</v>
      </c>
      <c r="L5166">
        <v>22.571619999999999</v>
      </c>
      <c r="M5166">
        <v>0.77693080000000003</v>
      </c>
      <c r="N5166">
        <v>0</v>
      </c>
      <c r="O5166">
        <v>-0.62943780000000005</v>
      </c>
      <c r="P5166">
        <v>0.88013169999999996</v>
      </c>
      <c r="Q5166">
        <v>4.490769E-2</v>
      </c>
      <c r="R5166">
        <v>-0.47260079999999999</v>
      </c>
      <c r="S5166">
        <v>2.9606629999999998</v>
      </c>
      <c r="T5166">
        <v>-0.60879419999999995</v>
      </c>
      <c r="U5166">
        <v>-0.89743039999999996</v>
      </c>
      <c r="V5166">
        <v>-0.187748</v>
      </c>
      <c r="W5166">
        <v>5.5276159999999998E-2</v>
      </c>
      <c r="X5166">
        <v>0.98066059999999999</v>
      </c>
      <c r="Y5166">
        <v>-0.36038429999999999</v>
      </c>
      <c r="Z5166">
        <v>0.15062139999999999</v>
      </c>
      <c r="AA5166">
        <v>0.92056300000000002</v>
      </c>
      <c r="AB5166">
        <v>27</v>
      </c>
      <c r="AC5166">
        <v>5.33249999999998</v>
      </c>
      <c r="AD5166">
        <v>-1.1167737361900001</v>
      </c>
      <c r="AE5166">
        <v>-1.5712299999999999</v>
      </c>
      <c r="AF5166">
        <v>-2.0530845016618602</v>
      </c>
      <c r="AG5166">
        <v>-1.1167737361900001</v>
      </c>
      <c r="AH5166">
        <v>4.9333617371860701</v>
      </c>
      <c r="AI5166">
        <v>101.804665285788</v>
      </c>
      <c r="AJ5166">
        <v>112.595290129799</v>
      </c>
      <c r="AK5166">
        <v>5.4589740408559804</v>
      </c>
      <c r="AL5166">
        <v>86.831294250874805</v>
      </c>
      <c r="AM5166">
        <v>100.838159715659</v>
      </c>
      <c r="AN5166">
        <v>0.99999998888035202</v>
      </c>
    </row>
    <row r="5167" spans="1:40" x14ac:dyDescent="0.25">
      <c r="A5167" t="str">
        <f>"20190312151131038"</f>
        <v>20190312151131038</v>
      </c>
      <c r="B5167" t="str">
        <f>"1552374691025991"</f>
        <v>1552374691025991</v>
      </c>
      <c r="C5167" t="s">
        <v>40</v>
      </c>
      <c r="D5167">
        <v>4.9633149999999997</v>
      </c>
      <c r="E5167">
        <v>0.42412</v>
      </c>
      <c r="F5167" t="s">
        <v>85</v>
      </c>
      <c r="G5167">
        <v>-403.44450000000001</v>
      </c>
      <c r="H5167" s="1">
        <v>-4.7740070000000004E-6</v>
      </c>
      <c r="I5167">
        <v>20.94398</v>
      </c>
      <c r="J5167">
        <v>-408.76600000000002</v>
      </c>
      <c r="K5167">
        <v>1.1167670000000001</v>
      </c>
      <c r="L5167">
        <v>22.485379999999999</v>
      </c>
      <c r="M5167">
        <v>0.77990619999999999</v>
      </c>
      <c r="N5167">
        <v>0</v>
      </c>
      <c r="O5167">
        <v>-0.62574719999999995</v>
      </c>
      <c r="P5167">
        <v>0.88232339999999998</v>
      </c>
      <c r="Q5167">
        <v>4.5050760000000002E-2</v>
      </c>
      <c r="R5167">
        <v>-0.46848230000000002</v>
      </c>
      <c r="S5167">
        <v>2.9631959999999999</v>
      </c>
      <c r="T5167">
        <v>-0.60884629999999995</v>
      </c>
      <c r="U5167">
        <v>-0.88735959999999903</v>
      </c>
      <c r="V5167">
        <v>-0.18767919999999999</v>
      </c>
      <c r="W5167">
        <v>5.5421850000000002E-2</v>
      </c>
      <c r="X5167">
        <v>0.98066560000000003</v>
      </c>
      <c r="Y5167">
        <v>-0.3591374</v>
      </c>
      <c r="Z5167">
        <v>0.14994739999999901</v>
      </c>
      <c r="AA5167">
        <v>0.92116019999999998</v>
      </c>
      <c r="AB5167">
        <v>27</v>
      </c>
      <c r="AC5167">
        <v>5.3214999999999497</v>
      </c>
      <c r="AD5167">
        <v>-1.116771774007</v>
      </c>
      <c r="AE5167">
        <v>-1.5413999999999899</v>
      </c>
      <c r="AF5167">
        <v>-2.0448769631049601</v>
      </c>
      <c r="AG5167">
        <v>-1.116771774007</v>
      </c>
      <c r="AH5167">
        <v>4.9155453289279398</v>
      </c>
      <c r="AI5167">
        <v>101.846882915462</v>
      </c>
      <c r="AJ5167">
        <v>112.58741095196299</v>
      </c>
      <c r="AK5167">
        <v>5.4397873920036099</v>
      </c>
      <c r="AL5167">
        <v>86.822934179689298</v>
      </c>
      <c r="AM5167">
        <v>100.834228170888</v>
      </c>
      <c r="AN5167">
        <v>1.0000000412967101</v>
      </c>
    </row>
    <row r="5168" spans="1:40" x14ac:dyDescent="0.25">
      <c r="A5168" t="str">
        <f>"20190312151131049"</f>
        <v>20190312151131049</v>
      </c>
      <c r="B5168" t="str">
        <f>"1552374691046487"</f>
        <v>1552374691046487</v>
      </c>
      <c r="C5168" t="s">
        <v>40</v>
      </c>
      <c r="D5168">
        <v>4.9676900000000002</v>
      </c>
      <c r="E5168">
        <v>0.42464170000000001</v>
      </c>
      <c r="F5168" t="s">
        <v>85</v>
      </c>
      <c r="G5168">
        <v>-403.32310000000001</v>
      </c>
      <c r="H5168" s="1">
        <v>-4.8190220000000001E-6</v>
      </c>
      <c r="I5168">
        <v>20.878990000000002</v>
      </c>
      <c r="J5168">
        <v>-408.65800000000002</v>
      </c>
      <c r="K5168">
        <v>1.1167659999999999</v>
      </c>
      <c r="L5168">
        <v>22.404789999999998</v>
      </c>
      <c r="M5168">
        <v>0.78269940000000005</v>
      </c>
      <c r="N5168">
        <v>0</v>
      </c>
      <c r="O5168">
        <v>-0.62224990000000002</v>
      </c>
      <c r="P5168">
        <v>0.88469609999999999</v>
      </c>
      <c r="Q5168">
        <v>4.5055409999999997E-2</v>
      </c>
      <c r="R5168">
        <v>-0.46398590000000001</v>
      </c>
      <c r="S5168">
        <v>2.9663089999999999</v>
      </c>
      <c r="T5168">
        <v>-0.60862169999999904</v>
      </c>
      <c r="U5168">
        <v>-0.87545779999999995</v>
      </c>
      <c r="V5168">
        <v>-0.18828010000000001</v>
      </c>
      <c r="W5168">
        <v>5.541662E-2</v>
      </c>
      <c r="X5168">
        <v>0.98055060000000005</v>
      </c>
      <c r="Y5168">
        <v>-0.35870960000000002</v>
      </c>
      <c r="Z5168">
        <v>0.1493033</v>
      </c>
      <c r="AA5168">
        <v>0.92143149999999996</v>
      </c>
      <c r="AB5168">
        <v>27</v>
      </c>
      <c r="AC5168">
        <v>5.3349000000000002</v>
      </c>
      <c r="AD5168">
        <v>-1.11677081902199</v>
      </c>
      <c r="AE5168">
        <v>-1.5258</v>
      </c>
      <c r="AF5168">
        <v>-2.0428472145158301</v>
      </c>
      <c r="AG5168">
        <v>-1.11677081902199</v>
      </c>
      <c r="AH5168">
        <v>4.9259935483083703</v>
      </c>
      <c r="AI5168">
        <v>101.827722812245</v>
      </c>
      <c r="AJ5168">
        <v>112.52415919843401</v>
      </c>
      <c r="AK5168">
        <v>5.44846898147083</v>
      </c>
      <c r="AL5168">
        <v>86.823233970919006</v>
      </c>
      <c r="AM5168">
        <v>100.869335990332</v>
      </c>
      <c r="AN5168">
        <v>0.99999993849429503</v>
      </c>
    </row>
    <row r="5169" spans="1:40" x14ac:dyDescent="0.25">
      <c r="A5169" t="str">
        <f>"20190312151131060"</f>
        <v>20190312151131060</v>
      </c>
      <c r="B5169" t="str">
        <f>"1552374691056247"</f>
        <v>1552374691056247</v>
      </c>
      <c r="C5169" t="s">
        <v>40</v>
      </c>
      <c r="D5169">
        <v>5.0247440000000001</v>
      </c>
      <c r="E5169">
        <v>0.42492950000000002</v>
      </c>
      <c r="F5169" t="s">
        <v>85</v>
      </c>
      <c r="G5169">
        <v>-403.1952</v>
      </c>
      <c r="H5169" s="1">
        <v>-4.8671700000000002E-6</v>
      </c>
      <c r="I5169">
        <v>20.814789999999999</v>
      </c>
      <c r="J5169">
        <v>-408.55579999999998</v>
      </c>
      <c r="K5169">
        <v>1.1167640000000001</v>
      </c>
      <c r="L5169">
        <v>22.328700000000001</v>
      </c>
      <c r="M5169">
        <v>0.78532729999999995</v>
      </c>
      <c r="N5169">
        <v>0</v>
      </c>
      <c r="O5169">
        <v>-0.61892990000000003</v>
      </c>
      <c r="P5169">
        <v>0.88671639999999996</v>
      </c>
      <c r="Q5169">
        <v>4.5320829999999999E-2</v>
      </c>
      <c r="R5169">
        <v>-0.46008690000000002</v>
      </c>
      <c r="S5169">
        <v>2.96875</v>
      </c>
      <c r="T5169">
        <v>-0.60690409999999995</v>
      </c>
      <c r="U5169">
        <v>-0.86407469999999997</v>
      </c>
      <c r="V5169">
        <v>-0.18843960000000001</v>
      </c>
      <c r="W5169">
        <v>5.5680380000000002E-2</v>
      </c>
      <c r="X5169">
        <v>0.98050510000000002</v>
      </c>
      <c r="Y5169">
        <v>-0.35837449999999998</v>
      </c>
      <c r="Z5169">
        <v>0.14835960000000001</v>
      </c>
      <c r="AA5169">
        <v>0.92171420000000004</v>
      </c>
      <c r="AB5169">
        <v>27</v>
      </c>
      <c r="AC5169">
        <v>5.3605999999999696</v>
      </c>
      <c r="AD5169">
        <v>-1.11676886716999</v>
      </c>
      <c r="AE5169">
        <v>-1.5139100000000001</v>
      </c>
      <c r="AF5169">
        <v>-2.04684639389684</v>
      </c>
      <c r="AG5169">
        <v>-1.11676886716999</v>
      </c>
      <c r="AH5169">
        <v>4.9484085748743096</v>
      </c>
      <c r="AI5169">
        <v>101.77995771469401</v>
      </c>
      <c r="AJ5169">
        <v>112.471812457287</v>
      </c>
      <c r="AK5169">
        <v>5.4702376810133497</v>
      </c>
      <c r="AL5169">
        <v>86.808098523795294</v>
      </c>
      <c r="AM5169">
        <v>100.87881701930201</v>
      </c>
      <c r="AN5169">
        <v>1.0000000193455501</v>
      </c>
    </row>
    <row r="5170" spans="1:40" x14ac:dyDescent="0.25">
      <c r="A5170" t="str">
        <f>"20190312151131070"</f>
        <v>20190312151131070</v>
      </c>
      <c r="B5170" t="str">
        <f>"1552374691066007"</f>
        <v>1552374691066007</v>
      </c>
      <c r="C5170" t="s">
        <v>40</v>
      </c>
      <c r="D5170">
        <v>5.009449</v>
      </c>
      <c r="E5170">
        <v>0.4251337</v>
      </c>
      <c r="F5170" t="s">
        <v>85</v>
      </c>
      <c r="G5170">
        <v>-403.08569999999997</v>
      </c>
      <c r="H5170" s="1">
        <v>-4.9081039999999998E-6</v>
      </c>
      <c r="I5170">
        <v>20.758199999999999</v>
      </c>
      <c r="J5170">
        <v>-408.44200000000001</v>
      </c>
      <c r="K5170">
        <v>1.1167640000000001</v>
      </c>
      <c r="L5170">
        <v>22.24521</v>
      </c>
      <c r="M5170">
        <v>0.78822049999999999</v>
      </c>
      <c r="N5170">
        <v>0</v>
      </c>
      <c r="O5170">
        <v>-0.61524140000000005</v>
      </c>
      <c r="P5170">
        <v>0.8890055</v>
      </c>
      <c r="Q5170">
        <v>4.5193329999999997E-2</v>
      </c>
      <c r="R5170">
        <v>-0.45566079999999998</v>
      </c>
      <c r="S5170">
        <v>2.971619</v>
      </c>
      <c r="T5170">
        <v>-0.60668559999999905</v>
      </c>
      <c r="U5170">
        <v>-0.85317989999999999</v>
      </c>
      <c r="V5170">
        <v>-0.18873219999999999</v>
      </c>
      <c r="W5170">
        <v>5.5548970000000003E-2</v>
      </c>
      <c r="X5170">
        <v>0.9804562</v>
      </c>
      <c r="Y5170">
        <v>-0.35745549999999998</v>
      </c>
      <c r="Z5170">
        <v>0.147636299999999</v>
      </c>
      <c r="AA5170">
        <v>0.92218710000000004</v>
      </c>
      <c r="AB5170">
        <v>27</v>
      </c>
      <c r="AC5170">
        <v>5.3562999999999699</v>
      </c>
      <c r="AD5170">
        <v>-1.11676890810399</v>
      </c>
      <c r="AE5170">
        <v>-1.4870099999999999</v>
      </c>
      <c r="AF5170">
        <v>-2.04114303929344</v>
      </c>
      <c r="AG5170">
        <v>-1.11676890810399</v>
      </c>
      <c r="AH5170">
        <v>4.9379966244152396</v>
      </c>
      <c r="AI5170">
        <v>101.805246283356</v>
      </c>
      <c r="AJ5170">
        <v>112.45797393605</v>
      </c>
      <c r="AK5170">
        <v>5.45868558937957</v>
      </c>
      <c r="AL5170">
        <v>86.815639198467295</v>
      </c>
      <c r="AM5170">
        <v>100.89583553964</v>
      </c>
      <c r="AN5170">
        <v>0.99999994575166895</v>
      </c>
    </row>
    <row r="5171" spans="1:40" x14ac:dyDescent="0.25">
      <c r="A5171" t="str">
        <f>"20190312151131083"</f>
        <v>20190312151131083</v>
      </c>
      <c r="B5171" t="str">
        <f>"1552374691076742"</f>
        <v>1552374691076742</v>
      </c>
      <c r="C5171" t="s">
        <v>40</v>
      </c>
      <c r="D5171">
        <v>5.0234889999999996</v>
      </c>
      <c r="E5171">
        <v>0.4252377</v>
      </c>
      <c r="F5171" t="s">
        <v>85</v>
      </c>
      <c r="G5171">
        <v>-402.97969999999998</v>
      </c>
      <c r="H5171" s="1">
        <v>-4.9477489999999999E-6</v>
      </c>
      <c r="I5171">
        <v>20.70354</v>
      </c>
      <c r="J5171">
        <v>-408.32650000000001</v>
      </c>
      <c r="K5171">
        <v>1.1167579999999999</v>
      </c>
      <c r="L5171">
        <v>22.161159999999999</v>
      </c>
      <c r="M5171">
        <v>0.79112890000000002</v>
      </c>
      <c r="N5171">
        <v>0</v>
      </c>
      <c r="O5171">
        <v>-0.61149699999999996</v>
      </c>
      <c r="P5171">
        <v>0.89118809999999904</v>
      </c>
      <c r="Q5171">
        <v>4.5492890000000001E-2</v>
      </c>
      <c r="R5171">
        <v>-0.4513471</v>
      </c>
      <c r="S5171">
        <v>2.975098</v>
      </c>
      <c r="T5171">
        <v>-0.60826359999999902</v>
      </c>
      <c r="U5171">
        <v>-0.83969119999999997</v>
      </c>
      <c r="V5171">
        <v>-0.18883</v>
      </c>
      <c r="W5171">
        <v>5.5847969999999997E-2</v>
      </c>
      <c r="X5171">
        <v>0.98042039999999997</v>
      </c>
      <c r="Y5171">
        <v>-0.3571763</v>
      </c>
      <c r="Z5171">
        <v>0.14738679999999901</v>
      </c>
      <c r="AA5171">
        <v>0.92233520000000002</v>
      </c>
      <c r="AB5171">
        <v>27</v>
      </c>
      <c r="AC5171">
        <v>5.3468000000000302</v>
      </c>
      <c r="AD5171">
        <v>-1.116762947749</v>
      </c>
      <c r="AE5171">
        <v>-1.4576199999999899</v>
      </c>
      <c r="AF5171">
        <v>-2.03399000354008</v>
      </c>
      <c r="AG5171">
        <v>-1.116762947749</v>
      </c>
      <c r="AH5171">
        <v>4.9219502630965897</v>
      </c>
      <c r="AI5171">
        <v>101.84301610633401</v>
      </c>
      <c r="AJ5171">
        <v>112.452801839887</v>
      </c>
      <c r="AK5171">
        <v>5.4414951261912101</v>
      </c>
      <c r="AL5171">
        <v>86.7984811781064</v>
      </c>
      <c r="AM5171">
        <v>100.90173498068999</v>
      </c>
      <c r="AN5171">
        <v>0.99999996269463898</v>
      </c>
    </row>
    <row r="5172" spans="1:40" x14ac:dyDescent="0.25">
      <c r="A5172" t="str">
        <f>"20190312151131093"</f>
        <v>20190312151131093</v>
      </c>
      <c r="B5172" t="str">
        <f>"1552374691086502"</f>
        <v>1552374691086502</v>
      </c>
      <c r="C5172" t="s">
        <v>40</v>
      </c>
      <c r="D5172">
        <v>5.0225419999999996</v>
      </c>
      <c r="E5172">
        <v>0.42534179999999999</v>
      </c>
      <c r="F5172" t="s">
        <v>85</v>
      </c>
      <c r="G5172">
        <v>-402.86700000000002</v>
      </c>
      <c r="H5172" s="1">
        <v>-4.990235E-6</v>
      </c>
      <c r="I5172">
        <v>20.647300000000001</v>
      </c>
      <c r="J5172">
        <v>-408.22379999999998</v>
      </c>
      <c r="K5172">
        <v>1.1167549999999999</v>
      </c>
      <c r="L5172">
        <v>22.087039999999998</v>
      </c>
      <c r="M5172">
        <v>0.79369579999999995</v>
      </c>
      <c r="N5172">
        <v>0</v>
      </c>
      <c r="O5172">
        <v>-0.60816169999999903</v>
      </c>
      <c r="P5172">
        <v>0.89316779999999996</v>
      </c>
      <c r="Q5172">
        <v>4.5531509999999997E-2</v>
      </c>
      <c r="R5172">
        <v>-0.44741259999999999</v>
      </c>
      <c r="S5172">
        <v>2.979034</v>
      </c>
      <c r="T5172">
        <v>-0.60936859999999904</v>
      </c>
      <c r="U5172">
        <v>-0.82604979999999995</v>
      </c>
      <c r="V5172">
        <v>-0.189026</v>
      </c>
      <c r="W5172">
        <v>5.5884139999999999E-2</v>
      </c>
      <c r="X5172">
        <v>0.98038060000000005</v>
      </c>
      <c r="Y5172">
        <v>-0.3574888</v>
      </c>
      <c r="Z5172">
        <v>0.14711850000000001</v>
      </c>
      <c r="AA5172">
        <v>0.92225690000000005</v>
      </c>
      <c r="AB5172">
        <v>27</v>
      </c>
      <c r="AC5172">
        <v>5.3568000000000202</v>
      </c>
      <c r="AD5172">
        <v>-1.1167599902349901</v>
      </c>
      <c r="AE5172">
        <v>-1.43973999999999</v>
      </c>
      <c r="AF5172">
        <v>-2.03288149687965</v>
      </c>
      <c r="AG5172">
        <v>-1.1167599902349901</v>
      </c>
      <c r="AH5172">
        <v>4.9279914923802401</v>
      </c>
      <c r="AI5172">
        <v>101.83184338459201</v>
      </c>
      <c r="AJ5172">
        <v>112.416992091173</v>
      </c>
      <c r="AK5172">
        <v>5.4465457131210497</v>
      </c>
      <c r="AL5172">
        <v>86.796405646322199</v>
      </c>
      <c r="AM5172">
        <v>100.913211496725</v>
      </c>
      <c r="AN5172">
        <v>0.99999999331794898</v>
      </c>
    </row>
    <row r="5173" spans="1:40" x14ac:dyDescent="0.25">
      <c r="A5173" t="str">
        <f>"20190312151131106"</f>
        <v>20190312151131106</v>
      </c>
      <c r="B5173" t="str">
        <f>"1552374691096262"</f>
        <v>1552374691096262</v>
      </c>
      <c r="C5173" t="s">
        <v>40</v>
      </c>
      <c r="D5173">
        <v>4.9976830000000003</v>
      </c>
      <c r="E5173">
        <v>0.42561130000000003</v>
      </c>
      <c r="F5173" t="s">
        <v>85</v>
      </c>
      <c r="G5173">
        <v>-402.7722</v>
      </c>
      <c r="H5173" s="1">
        <v>-5.0259579999999999E-6</v>
      </c>
      <c r="I5173">
        <v>20.599879999999999</v>
      </c>
      <c r="J5173">
        <v>-408.1096</v>
      </c>
      <c r="K5173">
        <v>1.116751</v>
      </c>
      <c r="L5173">
        <v>22.00562</v>
      </c>
      <c r="M5173">
        <v>0.79651890000000003</v>
      </c>
      <c r="N5173">
        <v>0</v>
      </c>
      <c r="O5173">
        <v>-0.60445959999999999</v>
      </c>
      <c r="P5173">
        <v>0.89526969999999995</v>
      </c>
      <c r="Q5173">
        <v>4.522234E-2</v>
      </c>
      <c r="R5173">
        <v>-0.44322410000000001</v>
      </c>
      <c r="S5173">
        <v>2.9824519999999999</v>
      </c>
      <c r="T5173">
        <v>-0.61095819999999901</v>
      </c>
      <c r="U5173">
        <v>-0.81359859999999995</v>
      </c>
      <c r="V5173">
        <v>-0.18905730000000001</v>
      </c>
      <c r="W5173">
        <v>5.557612E-2</v>
      </c>
      <c r="X5173">
        <v>0.98039209999999999</v>
      </c>
      <c r="Y5173">
        <v>-0.35699379999999997</v>
      </c>
      <c r="Z5173">
        <v>0.14683599999999999</v>
      </c>
      <c r="AA5173">
        <v>0.92249369999999997</v>
      </c>
      <c r="AB5173">
        <v>27</v>
      </c>
      <c r="AC5173">
        <v>5.3373999999999997</v>
      </c>
      <c r="AD5173">
        <v>-1.1167560259580001</v>
      </c>
      <c r="AE5173">
        <v>-1.40574</v>
      </c>
      <c r="AF5173">
        <v>-2.0238857990599599</v>
      </c>
      <c r="AG5173">
        <v>-1.1167560259580001</v>
      </c>
      <c r="AH5173">
        <v>4.9008935124795903</v>
      </c>
      <c r="AI5173">
        <v>101.893549049431</v>
      </c>
      <c r="AJ5173">
        <v>112.43879534713</v>
      </c>
      <c r="AK5173">
        <v>5.4186728052000497</v>
      </c>
      <c r="AL5173">
        <v>86.814081444073906</v>
      </c>
      <c r="AM5173">
        <v>100.91485021012301</v>
      </c>
      <c r="AN5173">
        <v>1.00000001876997</v>
      </c>
    </row>
    <row r="5174" spans="1:40" x14ac:dyDescent="0.25">
      <c r="A5174" t="str">
        <f>"20190312151131116"</f>
        <v>20190312151131116</v>
      </c>
      <c r="B5174" t="str">
        <f>"1552374691106999"</f>
        <v>1552374691106999</v>
      </c>
      <c r="C5174" t="s">
        <v>40</v>
      </c>
      <c r="D5174">
        <v>5.0255210000000003</v>
      </c>
      <c r="E5174">
        <v>0.42584670000000002</v>
      </c>
      <c r="F5174" t="s">
        <v>85</v>
      </c>
      <c r="G5174">
        <v>-402.66570000000002</v>
      </c>
      <c r="H5174" s="1">
        <v>-5.0656490000000001E-6</v>
      </c>
      <c r="I5174">
        <v>20.5442</v>
      </c>
      <c r="J5174">
        <v>-407.995</v>
      </c>
      <c r="K5174">
        <v>1.116744</v>
      </c>
      <c r="L5174">
        <v>21.924320000000002</v>
      </c>
      <c r="M5174">
        <v>0.7993304</v>
      </c>
      <c r="N5174">
        <v>0</v>
      </c>
      <c r="O5174">
        <v>-0.60073669999999901</v>
      </c>
      <c r="P5174">
        <v>0.89746190000000003</v>
      </c>
      <c r="Q5174">
        <v>4.5387419999999998E-2</v>
      </c>
      <c r="R5174">
        <v>-0.43875130000000001</v>
      </c>
      <c r="S5174">
        <v>2.9851380000000001</v>
      </c>
      <c r="T5174">
        <v>-0.61236579999999996</v>
      </c>
      <c r="U5174">
        <v>-0.80136109999999905</v>
      </c>
      <c r="V5174">
        <v>-0.1893726</v>
      </c>
      <c r="W5174">
        <v>5.5736559999999997E-2</v>
      </c>
      <c r="X5174">
        <v>0.98032209999999997</v>
      </c>
      <c r="Y5174">
        <v>-0.35637780000000002</v>
      </c>
      <c r="Z5174">
        <v>0.14651979999999901</v>
      </c>
      <c r="AA5174">
        <v>0.92278210000000005</v>
      </c>
      <c r="AB5174">
        <v>27</v>
      </c>
      <c r="AC5174">
        <v>5.3292999999999804</v>
      </c>
      <c r="AD5174">
        <v>-1.116749065649</v>
      </c>
      <c r="AE5174">
        <v>-1.38012</v>
      </c>
      <c r="AF5174">
        <v>-2.01558639296969</v>
      </c>
      <c r="AG5174">
        <v>-1.116749065649</v>
      </c>
      <c r="AH5174">
        <v>4.8882770383351701</v>
      </c>
      <c r="AI5174">
        <v>101.925877363483</v>
      </c>
      <c r="AJ5174">
        <v>112.407854337659</v>
      </c>
      <c r="AK5174">
        <v>5.4041622280116099</v>
      </c>
      <c r="AL5174">
        <v>86.804874523473998</v>
      </c>
      <c r="AM5174">
        <v>100.933376988105</v>
      </c>
      <c r="AN5174">
        <v>0.99999998274990098</v>
      </c>
    </row>
    <row r="5175" spans="1:40" x14ac:dyDescent="0.25">
      <c r="A5175" t="str">
        <f>"20190312151131128"</f>
        <v>20190312151131128</v>
      </c>
      <c r="B5175" t="str">
        <f>"1552374691116759"</f>
        <v>1552374691116759</v>
      </c>
      <c r="C5175" t="s">
        <v>40</v>
      </c>
      <c r="D5175">
        <v>4.9954799999999997</v>
      </c>
      <c r="E5175">
        <v>0.42608790000000002</v>
      </c>
      <c r="F5175" t="s">
        <v>85</v>
      </c>
      <c r="G5175">
        <v>-402.55360000000002</v>
      </c>
      <c r="H5175" s="1">
        <v>-5.107968E-6</v>
      </c>
      <c r="I5175">
        <v>20.488630000000001</v>
      </c>
      <c r="J5175">
        <v>-407.88490000000002</v>
      </c>
      <c r="K5175">
        <v>1.1167400000000001</v>
      </c>
      <c r="L5175">
        <v>21.847439999999999</v>
      </c>
      <c r="M5175">
        <v>0.80200229999999995</v>
      </c>
      <c r="N5175">
        <v>0</v>
      </c>
      <c r="O5175">
        <v>-0.59716480000000005</v>
      </c>
      <c r="P5175">
        <v>0.89940710000000001</v>
      </c>
      <c r="Q5175">
        <v>4.5290759999999999E-2</v>
      </c>
      <c r="R5175">
        <v>-0.43475920000000001</v>
      </c>
      <c r="S5175">
        <v>2.9883120000000001</v>
      </c>
      <c r="T5175">
        <v>-0.61329940000000005</v>
      </c>
      <c r="U5175">
        <v>-0.78845209999999999</v>
      </c>
      <c r="V5175">
        <v>-0.18935579999999999</v>
      </c>
      <c r="W5175">
        <v>5.5641820000000002E-2</v>
      </c>
      <c r="X5175">
        <v>0.98033079999999995</v>
      </c>
      <c r="Y5175">
        <v>-0.35620489999999999</v>
      </c>
      <c r="Z5175">
        <v>0.14613679999999901</v>
      </c>
      <c r="AA5175">
        <v>0.9229096</v>
      </c>
      <c r="AB5175">
        <v>27</v>
      </c>
      <c r="AC5175">
        <v>5.3312999999999899</v>
      </c>
      <c r="AD5175">
        <v>-1.116745107968</v>
      </c>
      <c r="AE5175">
        <v>-1.3588099999999901</v>
      </c>
      <c r="AF5175">
        <v>-2.01122660567792</v>
      </c>
      <c r="AG5175">
        <v>-1.116745107968</v>
      </c>
      <c r="AH5175">
        <v>4.8863020733746598</v>
      </c>
      <c r="AI5175">
        <v>101.933480243256</v>
      </c>
      <c r="AJ5175">
        <v>112.372313101076</v>
      </c>
      <c r="AK5175">
        <v>5.4007499523513101</v>
      </c>
      <c r="AL5175">
        <v>86.810311390940498</v>
      </c>
      <c r="AM5175">
        <v>100.932335733976</v>
      </c>
      <c r="AN5175">
        <v>1.00000005427759</v>
      </c>
    </row>
    <row r="5176" spans="1:40" x14ac:dyDescent="0.25">
      <c r="A5176" t="str">
        <f>"20190312151131142"</f>
        <v>20190312151131142</v>
      </c>
      <c r="B5176" t="str">
        <f>"1552374691136278"</f>
        <v>1552374691136278</v>
      </c>
      <c r="C5176" t="s">
        <v>40</v>
      </c>
      <c r="D5176">
        <v>5.0172660000000002</v>
      </c>
      <c r="E5176">
        <v>0.4267205</v>
      </c>
      <c r="F5176" t="s">
        <v>85</v>
      </c>
      <c r="G5176">
        <v>-402.4452</v>
      </c>
      <c r="H5176" s="1">
        <v>-5.1489019999999996E-6</v>
      </c>
      <c r="I5176">
        <v>20.434750000000001</v>
      </c>
      <c r="J5176">
        <v>-407.74990000000003</v>
      </c>
      <c r="K5176">
        <v>1.116733</v>
      </c>
      <c r="L5176">
        <v>21.753810000000001</v>
      </c>
      <c r="M5176">
        <v>0.80524719999999905</v>
      </c>
      <c r="N5176">
        <v>0</v>
      </c>
      <c r="O5176">
        <v>-0.59278209999999998</v>
      </c>
      <c r="P5176">
        <v>0.90182479999999998</v>
      </c>
      <c r="Q5176">
        <v>4.5360039999999997E-2</v>
      </c>
      <c r="R5176">
        <v>-0.4297146</v>
      </c>
      <c r="S5176">
        <v>2.991028</v>
      </c>
      <c r="T5176">
        <v>-0.61403989999999997</v>
      </c>
      <c r="U5176">
        <v>-0.77676389999999995</v>
      </c>
      <c r="V5176">
        <v>-0.189499</v>
      </c>
      <c r="W5176">
        <v>5.5710849999999999E-2</v>
      </c>
      <c r="X5176">
        <v>0.98029920000000004</v>
      </c>
      <c r="Y5176">
        <v>-0.35476550000000001</v>
      </c>
      <c r="Z5176">
        <v>0.14546110000000001</v>
      </c>
      <c r="AA5176">
        <v>0.92357049999999996</v>
      </c>
      <c r="AB5176">
        <v>27</v>
      </c>
      <c r="AC5176">
        <v>5.30470000000002</v>
      </c>
      <c r="AD5176">
        <v>-1.1167381489020001</v>
      </c>
      <c r="AE5176">
        <v>-1.3190599999999999</v>
      </c>
      <c r="AF5176">
        <v>-1.99911784598506</v>
      </c>
      <c r="AG5176">
        <v>-1.1167381489020001</v>
      </c>
      <c r="AH5176">
        <v>4.8514920976313496</v>
      </c>
      <c r="AI5176">
        <v>102.014672064743</v>
      </c>
      <c r="AJ5176">
        <v>112.394721156865</v>
      </c>
      <c r="AK5176">
        <v>5.3647508636215804</v>
      </c>
      <c r="AL5176">
        <v>86.806350091511902</v>
      </c>
      <c r="AM5176">
        <v>100.940748022196</v>
      </c>
      <c r="AN5176">
        <v>1.00000004566468</v>
      </c>
    </row>
    <row r="5177" spans="1:40" x14ac:dyDescent="0.25">
      <c r="A5177" t="str">
        <f>"20190312151131155"</f>
        <v>20190312151131155</v>
      </c>
      <c r="B5177" t="str">
        <f>"1552374691147015"</f>
        <v>1552374691147015</v>
      </c>
      <c r="C5177" t="s">
        <v>40</v>
      </c>
      <c r="D5177">
        <v>5.0626259999999998</v>
      </c>
      <c r="E5177">
        <v>0.42695179999999999</v>
      </c>
      <c r="F5177" t="s">
        <v>85</v>
      </c>
      <c r="G5177">
        <v>-402.31790000000001</v>
      </c>
      <c r="H5177" s="1">
        <v>-5.19593399999999E-6</v>
      </c>
      <c r="I5177">
        <v>20.365880000000001</v>
      </c>
      <c r="J5177">
        <v>-407.60599999999999</v>
      </c>
      <c r="K5177">
        <v>1.1167279999999999</v>
      </c>
      <c r="L5177">
        <v>21.655149999999999</v>
      </c>
      <c r="M5177">
        <v>0.80866930000000004</v>
      </c>
      <c r="N5177">
        <v>0</v>
      </c>
      <c r="O5177">
        <v>-0.58810499999999999</v>
      </c>
      <c r="P5177">
        <v>0.90426130000000005</v>
      </c>
      <c r="Q5177">
        <v>4.5237649999999997E-2</v>
      </c>
      <c r="R5177">
        <v>-0.42457650000000002</v>
      </c>
      <c r="S5177">
        <v>2.993134</v>
      </c>
      <c r="T5177">
        <v>-0.61533470000000001</v>
      </c>
      <c r="U5177">
        <v>-0.76477050000000002</v>
      </c>
      <c r="V5177">
        <v>-0.18939549999999999</v>
      </c>
      <c r="W5177">
        <v>5.559182E-2</v>
      </c>
      <c r="X5177">
        <v>0.98032589999999997</v>
      </c>
      <c r="Y5177">
        <v>-0.35302519999999998</v>
      </c>
      <c r="Z5177">
        <v>0.1448605</v>
      </c>
      <c r="AA5177">
        <v>0.92433149999999997</v>
      </c>
      <c r="AB5177">
        <v>27</v>
      </c>
      <c r="AC5177">
        <v>5.2880999999999796</v>
      </c>
      <c r="AD5177">
        <v>-1.1167331959339999</v>
      </c>
      <c r="AE5177">
        <v>-1.2892699999999999</v>
      </c>
      <c r="AF5177">
        <v>-1.9840410699275799</v>
      </c>
      <c r="AG5177">
        <v>-1.1167331959339999</v>
      </c>
      <c r="AH5177">
        <v>4.8316357142425899</v>
      </c>
      <c r="AI5177">
        <v>102.068432919963</v>
      </c>
      <c r="AJ5177">
        <v>112.32479295275</v>
      </c>
      <c r="AK5177">
        <v>5.3411811121890302</v>
      </c>
      <c r="AL5177">
        <v>86.813180409490201</v>
      </c>
      <c r="AM5177">
        <v>100.934625881397</v>
      </c>
      <c r="AN5177">
        <v>0.999999988040986</v>
      </c>
    </row>
    <row r="5178" spans="1:40" x14ac:dyDescent="0.25">
      <c r="A5178" t="str">
        <f>"20190312151131173"</f>
        <v>20190312151131173</v>
      </c>
      <c r="B5178" t="str">
        <f>"1552374691166534"</f>
        <v>1552374691166534</v>
      </c>
      <c r="C5178" t="s">
        <v>40</v>
      </c>
      <c r="D5178">
        <v>5.0326019999999998</v>
      </c>
      <c r="E5178">
        <v>0.42723939999999999</v>
      </c>
      <c r="F5178" t="s">
        <v>85</v>
      </c>
      <c r="G5178">
        <v>-402.17360000000002</v>
      </c>
      <c r="H5178" s="1">
        <v>-5.2507679999999997E-6</v>
      </c>
      <c r="I5178">
        <v>20.29646</v>
      </c>
      <c r="J5178">
        <v>-407.43889999999999</v>
      </c>
      <c r="K5178">
        <v>1.1167199999999999</v>
      </c>
      <c r="L5178">
        <v>21.54242</v>
      </c>
      <c r="M5178">
        <v>0.81258940000000002</v>
      </c>
      <c r="N5178">
        <v>0</v>
      </c>
      <c r="O5178">
        <v>-0.58267659999999999</v>
      </c>
      <c r="P5178">
        <v>0.9069604</v>
      </c>
      <c r="Q5178">
        <v>4.5228740000000003E-2</v>
      </c>
      <c r="R5178">
        <v>-0.41878070000000001</v>
      </c>
      <c r="S5178">
        <v>2.996613</v>
      </c>
      <c r="T5178">
        <v>-0.61601079999999997</v>
      </c>
      <c r="U5178">
        <v>-0.74948119999999996</v>
      </c>
      <c r="V5178">
        <v>-0.18910389999999999</v>
      </c>
      <c r="W5178">
        <v>5.5590399999999998E-2</v>
      </c>
      <c r="X5178">
        <v>0.98038230000000004</v>
      </c>
      <c r="Y5178">
        <v>-0.35155229999999998</v>
      </c>
      <c r="Z5178">
        <v>0.1439812</v>
      </c>
      <c r="AA5178">
        <v>0.92502989999999996</v>
      </c>
      <c r="AB5178">
        <v>27</v>
      </c>
      <c r="AC5178">
        <v>5.2652999999999599</v>
      </c>
      <c r="AD5178">
        <v>-1.1167252507680001</v>
      </c>
      <c r="AE5178">
        <v>-1.24596</v>
      </c>
      <c r="AF5178">
        <v>-1.9717147833372399</v>
      </c>
      <c r="AG5178">
        <v>-1.1167252507680001</v>
      </c>
      <c r="AH5178">
        <v>4.8004962700853504</v>
      </c>
      <c r="AI5178">
        <v>102.143919562576</v>
      </c>
      <c r="AJ5178">
        <v>112.329497759662</v>
      </c>
      <c r="AK5178">
        <v>5.3084365788466297</v>
      </c>
      <c r="AL5178">
        <v>86.813261984251099</v>
      </c>
      <c r="AM5178">
        <v>100.917582437218</v>
      </c>
      <c r="AN5178">
        <v>1.0000000158603299</v>
      </c>
    </row>
    <row r="5179" spans="1:40" x14ac:dyDescent="0.25">
      <c r="A5179" t="str">
        <f>"20190312151131185"</f>
        <v>20190312151131185</v>
      </c>
      <c r="B5179" t="str">
        <f>"1552374691176295"</f>
        <v>1552374691176295</v>
      </c>
      <c r="C5179" t="s">
        <v>40</v>
      </c>
      <c r="D5179">
        <v>5.0243679999999999</v>
      </c>
      <c r="E5179">
        <v>0.4274791</v>
      </c>
      <c r="F5179" t="s">
        <v>85</v>
      </c>
      <c r="G5179">
        <v>-402.00689999999997</v>
      </c>
      <c r="H5179" s="1">
        <v>-5.3142330000000001E-6</v>
      </c>
      <c r="I5179">
        <v>20.216629999999999</v>
      </c>
      <c r="J5179">
        <v>-407.31920000000002</v>
      </c>
      <c r="K5179">
        <v>1.1167149999999999</v>
      </c>
      <c r="L5179">
        <v>21.46265</v>
      </c>
      <c r="M5179">
        <v>0.81536319999999995</v>
      </c>
      <c r="N5179">
        <v>0</v>
      </c>
      <c r="O5179">
        <v>-0.57878890000000005</v>
      </c>
      <c r="P5179">
        <v>0.90902360000000004</v>
      </c>
      <c r="Q5179">
        <v>4.5105149999999997E-2</v>
      </c>
      <c r="R5179">
        <v>-0.41429690000000002</v>
      </c>
      <c r="S5179">
        <v>3.0003660000000001</v>
      </c>
      <c r="T5179">
        <v>-0.61682300000000001</v>
      </c>
      <c r="U5179">
        <v>-0.73229979999999995</v>
      </c>
      <c r="V5179">
        <v>-0.18926370000000001</v>
      </c>
      <c r="W5179">
        <v>5.546566E-2</v>
      </c>
      <c r="X5179">
        <v>0.98035850000000002</v>
      </c>
      <c r="Y5179">
        <v>-0.35236899999999999</v>
      </c>
      <c r="Z5179">
        <v>0.14360029999999999</v>
      </c>
      <c r="AA5179">
        <v>0.9247784</v>
      </c>
      <c r="AB5179">
        <v>27</v>
      </c>
      <c r="AC5179">
        <v>5.3123000000000502</v>
      </c>
      <c r="AD5179">
        <v>-1.116720314233</v>
      </c>
      <c r="AE5179">
        <v>-1.2460199999999999</v>
      </c>
      <c r="AF5179">
        <v>-1.9761604949132801</v>
      </c>
      <c r="AG5179">
        <v>-1.116720314233</v>
      </c>
      <c r="AH5179">
        <v>4.8499634291170004</v>
      </c>
      <c r="AI5179">
        <v>102.037023612026</v>
      </c>
      <c r="AJ5179">
        <v>112.168873374794</v>
      </c>
      <c r="AK5179">
        <v>5.3548501216793003</v>
      </c>
      <c r="AL5179">
        <v>86.820420015218204</v>
      </c>
      <c r="AM5179">
        <v>100.92684511554999</v>
      </c>
      <c r="AN5179">
        <v>0.99999998804958701</v>
      </c>
    </row>
    <row r="5180" spans="1:40" x14ac:dyDescent="0.25">
      <c r="A5180" t="str">
        <f>"20190312151131195"</f>
        <v>20190312151131195</v>
      </c>
      <c r="B5180" t="str">
        <f>"1552374691187031"</f>
        <v>1552374691187031</v>
      </c>
      <c r="C5180" t="s">
        <v>40</v>
      </c>
      <c r="D5180">
        <v>5.0317850000000002</v>
      </c>
      <c r="E5180">
        <v>0.42770059999999899</v>
      </c>
      <c r="F5180" t="s">
        <v>85</v>
      </c>
      <c r="G5180">
        <v>-401.88690000000003</v>
      </c>
      <c r="H5180" s="1">
        <v>-5.3603839999999999E-6</v>
      </c>
      <c r="I5180">
        <v>20.161850000000001</v>
      </c>
      <c r="J5180">
        <v>-407.20519999999999</v>
      </c>
      <c r="K5180">
        <v>1.1167100000000001</v>
      </c>
      <c r="L5180">
        <v>21.387149999999998</v>
      </c>
      <c r="M5180">
        <v>0.81798329999999997</v>
      </c>
      <c r="N5180">
        <v>0</v>
      </c>
      <c r="O5180">
        <v>-0.57507989999999998</v>
      </c>
      <c r="P5180">
        <v>0.91082070000000004</v>
      </c>
      <c r="Q5180">
        <v>4.5340270000000002E-2</v>
      </c>
      <c r="R5180">
        <v>-0.41030430000000001</v>
      </c>
      <c r="S5180">
        <v>3.0031430000000001</v>
      </c>
      <c r="T5180">
        <v>-0.61735180000000001</v>
      </c>
      <c r="U5180">
        <v>-0.71911619999999998</v>
      </c>
      <c r="V5180">
        <v>-0.18910879999999999</v>
      </c>
      <c r="W5180">
        <v>5.5704660000000003E-2</v>
      </c>
      <c r="X5180">
        <v>0.98037490000000005</v>
      </c>
      <c r="Y5180">
        <v>-0.35220319999999999</v>
      </c>
      <c r="Z5180">
        <v>0.1430912</v>
      </c>
      <c r="AA5180">
        <v>0.92492039999999998</v>
      </c>
      <c r="AB5180">
        <v>27</v>
      </c>
      <c r="AC5180">
        <v>5.3182999999999598</v>
      </c>
      <c r="AD5180">
        <v>-1.1167153603839901</v>
      </c>
      <c r="AE5180">
        <v>-1.2252999999999901</v>
      </c>
      <c r="AF5180">
        <v>-1.97372899252207</v>
      </c>
      <c r="AG5180">
        <v>-1.1167153603839901</v>
      </c>
      <c r="AH5180">
        <v>4.8522456161431498</v>
      </c>
      <c r="AI5180">
        <v>102.03430162319199</v>
      </c>
      <c r="AJ5180">
        <v>112.134824866016</v>
      </c>
      <c r="AK5180">
        <v>5.3560196836288902</v>
      </c>
      <c r="AL5180">
        <v>86.806705304939101</v>
      </c>
      <c r="AM5180">
        <v>100.91793896081801</v>
      </c>
      <c r="AN5180">
        <v>1.0000000459665801</v>
      </c>
    </row>
    <row r="5181" spans="1:40" x14ac:dyDescent="0.25">
      <c r="A5181" t="str">
        <f>"20190312151131207"</f>
        <v>20190312151131207</v>
      </c>
      <c r="B5181" t="str">
        <f>"1552374691196791"</f>
        <v>1552374691196791</v>
      </c>
      <c r="C5181" t="s">
        <v>40</v>
      </c>
      <c r="D5181">
        <v>5.0447280000000001</v>
      </c>
      <c r="E5181">
        <v>0.42794539999999998</v>
      </c>
      <c r="F5181" t="s">
        <v>85</v>
      </c>
      <c r="G5181">
        <v>-401.76560000000001</v>
      </c>
      <c r="H5181" s="1">
        <v>-5.4070849999999899E-6</v>
      </c>
      <c r="I5181">
        <v>20.106829999999999</v>
      </c>
      <c r="J5181">
        <v>-407.09190000000001</v>
      </c>
      <c r="K5181">
        <v>1.1167049999999901</v>
      </c>
      <c r="L5181">
        <v>21.31326</v>
      </c>
      <c r="M5181">
        <v>0.82055919999999904</v>
      </c>
      <c r="N5181">
        <v>0</v>
      </c>
      <c r="O5181">
        <v>-0.57139839999999997</v>
      </c>
      <c r="P5181">
        <v>0.91264670000000003</v>
      </c>
      <c r="Q5181">
        <v>4.5056449999999998E-2</v>
      </c>
      <c r="R5181">
        <v>-0.40625840000000002</v>
      </c>
      <c r="S5181">
        <v>3.0057680000000002</v>
      </c>
      <c r="T5181">
        <v>-0.61705980000000005</v>
      </c>
      <c r="U5181">
        <v>-0.70745849999999999</v>
      </c>
      <c r="V5181">
        <v>-0.189057</v>
      </c>
      <c r="W5181">
        <v>5.542329E-2</v>
      </c>
      <c r="X5181">
        <v>0.98040079999999996</v>
      </c>
      <c r="Y5181">
        <v>-0.35167999999999999</v>
      </c>
      <c r="Z5181">
        <v>0.14235510000000001</v>
      </c>
      <c r="AA5181">
        <v>0.92523299999999997</v>
      </c>
      <c r="AB5181">
        <v>27</v>
      </c>
      <c r="AC5181">
        <v>5.3262999999999998</v>
      </c>
      <c r="AD5181">
        <v>-1.11671040708499</v>
      </c>
      <c r="AE5181">
        <v>-1.2064299999999999</v>
      </c>
      <c r="AF5181">
        <v>-1.9712610748061199</v>
      </c>
      <c r="AG5181">
        <v>-1.11671040708499</v>
      </c>
      <c r="AH5181">
        <v>4.8572757935862496</v>
      </c>
      <c r="AI5181">
        <v>102.025933380472</v>
      </c>
      <c r="AJ5181">
        <v>112.089122614685</v>
      </c>
      <c r="AK5181">
        <v>5.3596679461788197</v>
      </c>
      <c r="AL5181">
        <v>86.822851445578706</v>
      </c>
      <c r="AM5181">
        <v>100.91473877516999</v>
      </c>
      <c r="AN5181">
        <v>1.0000000094820301</v>
      </c>
    </row>
    <row r="5182" spans="1:40" x14ac:dyDescent="0.25">
      <c r="A5182" t="str">
        <f>"20190312151131220"</f>
        <v>20190312151131220</v>
      </c>
      <c r="B5182" t="str">
        <f>"1552374691216311"</f>
        <v>1552374691216311</v>
      </c>
      <c r="C5182" t="s">
        <v>40</v>
      </c>
      <c r="D5182">
        <v>5.0250050000000002</v>
      </c>
      <c r="E5182">
        <v>0.4284695</v>
      </c>
      <c r="F5182" t="s">
        <v>85</v>
      </c>
      <c r="G5182">
        <v>-401.66239999999999</v>
      </c>
      <c r="H5182" s="1">
        <v>-5.4462289999999998E-6</v>
      </c>
      <c r="I5182">
        <v>20.05678</v>
      </c>
      <c r="J5182">
        <v>-406.96800000000002</v>
      </c>
      <c r="K5182">
        <v>1.1167009999999999</v>
      </c>
      <c r="L5182">
        <v>21.232880000000002</v>
      </c>
      <c r="M5182">
        <v>0.82335360000000002</v>
      </c>
      <c r="N5182">
        <v>0</v>
      </c>
      <c r="O5182">
        <v>-0.5673646</v>
      </c>
      <c r="P5182">
        <v>0.9146725</v>
      </c>
      <c r="Q5182">
        <v>4.4700700000000003E-2</v>
      </c>
      <c r="R5182">
        <v>-0.40171649999999998</v>
      </c>
      <c r="S5182">
        <v>3.0078740000000002</v>
      </c>
      <c r="T5182">
        <v>-0.61864379999999997</v>
      </c>
      <c r="U5182">
        <v>-0.69607540000000001</v>
      </c>
      <c r="V5182">
        <v>-0.18912300000000001</v>
      </c>
      <c r="W5182">
        <v>5.5068110000000003E-2</v>
      </c>
      <c r="X5182">
        <v>0.9804081</v>
      </c>
      <c r="Y5182">
        <v>-0.35056870000000001</v>
      </c>
      <c r="Z5182">
        <v>0.14194329999999999</v>
      </c>
      <c r="AA5182">
        <v>0.92571789999999998</v>
      </c>
      <c r="AB5182">
        <v>27</v>
      </c>
      <c r="AC5182">
        <v>5.3056000000000196</v>
      </c>
      <c r="AD5182">
        <v>-1.1167064462289999</v>
      </c>
      <c r="AE5182">
        <v>-1.1760999999999899</v>
      </c>
      <c r="AF5182">
        <v>-1.9593200777970201</v>
      </c>
      <c r="AG5182">
        <v>-1.1167064462289999</v>
      </c>
      <c r="AH5182">
        <v>4.8320931380655203</v>
      </c>
      <c r="AI5182">
        <v>102.088182548069</v>
      </c>
      <c r="AJ5182">
        <v>112.071600197476</v>
      </c>
      <c r="AK5182">
        <v>5.3324565210836798</v>
      </c>
      <c r="AL5182">
        <v>86.843232933729396</v>
      </c>
      <c r="AM5182">
        <v>100.918378214878</v>
      </c>
      <c r="AN5182">
        <v>1.0000000242067899</v>
      </c>
    </row>
    <row r="5183" spans="1:40" x14ac:dyDescent="0.25">
      <c r="A5183" t="str">
        <f>"20190312151131230"</f>
        <v>20190312151131230</v>
      </c>
      <c r="B5183" t="str">
        <f>"1552374691227047"</f>
        <v>1552374691227047</v>
      </c>
      <c r="C5183" t="s">
        <v>40</v>
      </c>
      <c r="D5183">
        <v>5.0343929999999997</v>
      </c>
      <c r="E5183">
        <v>0.42874709999999999</v>
      </c>
      <c r="F5183" t="s">
        <v>85</v>
      </c>
      <c r="G5183">
        <v>-401.5521</v>
      </c>
      <c r="H5183" s="1">
        <v>-5.4874960000000003E-6</v>
      </c>
      <c r="I5183">
        <v>19.999839999999999</v>
      </c>
      <c r="J5183">
        <v>-406.85289999999998</v>
      </c>
      <c r="K5183">
        <v>1.1166940000000001</v>
      </c>
      <c r="L5183">
        <v>21.159300000000002</v>
      </c>
      <c r="M5183">
        <v>0.82591899999999996</v>
      </c>
      <c r="N5183">
        <v>0</v>
      </c>
      <c r="O5183">
        <v>-0.5636234</v>
      </c>
      <c r="P5183">
        <v>0.91653649999999998</v>
      </c>
      <c r="Q5183">
        <v>4.4507810000000002E-2</v>
      </c>
      <c r="R5183">
        <v>-0.39746730000000002</v>
      </c>
      <c r="S5183">
        <v>3.009277</v>
      </c>
      <c r="T5183">
        <v>-0.62048230000000004</v>
      </c>
      <c r="U5183">
        <v>-0.68511959999999905</v>
      </c>
      <c r="V5183">
        <v>-0.1892269</v>
      </c>
      <c r="W5183">
        <v>5.4874800000000001E-2</v>
      </c>
      <c r="X5183">
        <v>0.98039889999999996</v>
      </c>
      <c r="Y5183">
        <v>-0.34960649999999999</v>
      </c>
      <c r="Z5183">
        <v>0.1416712</v>
      </c>
      <c r="AA5183">
        <v>0.92612340000000004</v>
      </c>
      <c r="AB5183">
        <v>27</v>
      </c>
      <c r="AC5183">
        <v>5.3007999999999802</v>
      </c>
      <c r="AD5183">
        <v>-1.1166994874959999</v>
      </c>
      <c r="AE5183">
        <v>-1.1594599999999999</v>
      </c>
      <c r="AF5183">
        <v>-1.9477302541614001</v>
      </c>
      <c r="AG5183">
        <v>-1.1166994874959999</v>
      </c>
      <c r="AH5183">
        <v>4.8275346202177598</v>
      </c>
      <c r="AI5183">
        <v>102.10742703203699</v>
      </c>
      <c r="AJ5183">
        <v>111.972238886295</v>
      </c>
      <c r="AK5183">
        <v>5.32407375960838</v>
      </c>
      <c r="AL5183">
        <v>86.854325581917095</v>
      </c>
      <c r="AM5183">
        <v>100.924332298045</v>
      </c>
      <c r="AN5183">
        <v>1.0000000332399199</v>
      </c>
    </row>
    <row r="5184" spans="1:40" x14ac:dyDescent="0.25">
      <c r="A5184" t="str">
        <f>"20190312151131242"</f>
        <v>20190312151131242</v>
      </c>
      <c r="B5184" t="str">
        <f>"1552374691236807"</f>
        <v>1552374691236807</v>
      </c>
      <c r="C5184" t="s">
        <v>40</v>
      </c>
      <c r="D5184">
        <v>5.0598599999999996</v>
      </c>
      <c r="E5184">
        <v>0.42898229999999998</v>
      </c>
      <c r="F5184" t="s">
        <v>85</v>
      </c>
      <c r="G5184">
        <v>-401.44529999999997</v>
      </c>
      <c r="H5184" s="1">
        <v>-5.5284460000000003E-6</v>
      </c>
      <c r="I5184">
        <v>19.950520000000001</v>
      </c>
      <c r="J5184">
        <v>-406.74130000000002</v>
      </c>
      <c r="K5184">
        <v>1.1166910000000001</v>
      </c>
      <c r="L5184">
        <v>21.0885</v>
      </c>
      <c r="M5184">
        <v>0.82838590000000001</v>
      </c>
      <c r="N5184">
        <v>0</v>
      </c>
      <c r="O5184">
        <v>-0.55999160000000003</v>
      </c>
      <c r="P5184">
        <v>0.91818180000000005</v>
      </c>
      <c r="Q5184">
        <v>4.4271539999999998E-2</v>
      </c>
      <c r="R5184">
        <v>-0.39367829999999998</v>
      </c>
      <c r="S5184">
        <v>3.011444</v>
      </c>
      <c r="T5184">
        <v>-0.62187789999999998</v>
      </c>
      <c r="U5184">
        <v>-0.67315669999999905</v>
      </c>
      <c r="V5184">
        <v>-0.1889731</v>
      </c>
      <c r="W5184">
        <v>5.4644360000000003E-2</v>
      </c>
      <c r="X5184">
        <v>0.98046069999999996</v>
      </c>
      <c r="Y5184">
        <v>-0.34914729999999999</v>
      </c>
      <c r="Z5184">
        <v>0.1413346</v>
      </c>
      <c r="AA5184">
        <v>0.92634799999999995</v>
      </c>
      <c r="AB5184">
        <v>27</v>
      </c>
      <c r="AC5184">
        <v>5.2960000000000402</v>
      </c>
      <c r="AD5184">
        <v>-1.116696528446</v>
      </c>
      <c r="AE5184">
        <v>-1.13797999999999</v>
      </c>
      <c r="AF5184">
        <v>-1.94073919593052</v>
      </c>
      <c r="AG5184">
        <v>-1.116696528446</v>
      </c>
      <c r="AH5184">
        <v>4.8200163405184604</v>
      </c>
      <c r="AI5184">
        <v>102.129073033623</v>
      </c>
      <c r="AJ5184">
        <v>111.931767908623</v>
      </c>
      <c r="AK5184">
        <v>5.3147001125302804</v>
      </c>
      <c r="AL5184">
        <v>86.867548592855997</v>
      </c>
      <c r="AM5184">
        <v>100.909360738728</v>
      </c>
      <c r="AN5184">
        <v>1.00000001142395</v>
      </c>
    </row>
    <row r="5185" spans="1:40" x14ac:dyDescent="0.25">
      <c r="A5185" t="str">
        <f>"20190312151131252"</f>
        <v>20190312151131252</v>
      </c>
      <c r="B5185" t="str">
        <f>"1552374691246568"</f>
        <v>1552374691246568</v>
      </c>
      <c r="C5185" t="s">
        <v>40</v>
      </c>
      <c r="D5185">
        <v>5.0787649999999998</v>
      </c>
      <c r="E5185">
        <v>0.42920720000000001</v>
      </c>
      <c r="F5185" t="s">
        <v>85</v>
      </c>
      <c r="G5185">
        <v>-401.32589999999999</v>
      </c>
      <c r="H5185" s="1">
        <v>-5.5748600000000004E-6</v>
      </c>
      <c r="I5185">
        <v>19.898790000000002</v>
      </c>
      <c r="J5185">
        <v>-406.62959999999998</v>
      </c>
      <c r="K5185">
        <v>1.1166879999999999</v>
      </c>
      <c r="L5185">
        <v>21.018280000000001</v>
      </c>
      <c r="M5185">
        <v>0.83083320000000005</v>
      </c>
      <c r="N5185">
        <v>0</v>
      </c>
      <c r="O5185">
        <v>-0.55635419999999902</v>
      </c>
      <c r="P5185">
        <v>0.91980170000000006</v>
      </c>
      <c r="Q5185">
        <v>4.4401089999999997E-2</v>
      </c>
      <c r="R5185">
        <v>-0.38986369999999998</v>
      </c>
      <c r="S5185">
        <v>3.0134280000000002</v>
      </c>
      <c r="T5185">
        <v>-0.62138890000000002</v>
      </c>
      <c r="U5185">
        <v>-0.66201779999999999</v>
      </c>
      <c r="V5185">
        <v>-0.1887421</v>
      </c>
      <c r="W5185">
        <v>5.4779590000000003E-2</v>
      </c>
      <c r="X5185">
        <v>0.98049770000000003</v>
      </c>
      <c r="Y5185">
        <v>-0.34854499999999999</v>
      </c>
      <c r="Z5185">
        <v>0.14056089999999999</v>
      </c>
      <c r="AA5185">
        <v>0.92669250000000003</v>
      </c>
      <c r="AB5185">
        <v>27</v>
      </c>
      <c r="AC5185">
        <v>5.3036999999999903</v>
      </c>
      <c r="AD5185">
        <v>-1.11669357486</v>
      </c>
      <c r="AE5185">
        <v>-1.1194899999999901</v>
      </c>
      <c r="AF5185">
        <v>-1.93854196952796</v>
      </c>
      <c r="AG5185">
        <v>-1.11669357486</v>
      </c>
      <c r="AH5185">
        <v>4.8250157243201199</v>
      </c>
      <c r="AI5185">
        <v>102.120398742098</v>
      </c>
      <c r="AJ5185">
        <v>111.88873453634901</v>
      </c>
      <c r="AK5185">
        <v>5.3184326871448997</v>
      </c>
      <c r="AL5185">
        <v>86.859789020170894</v>
      </c>
      <c r="AM5185">
        <v>100.895943247163</v>
      </c>
      <c r="AN5185">
        <v>1.00000006174913</v>
      </c>
    </row>
    <row r="5186" spans="1:40" x14ac:dyDescent="0.25">
      <c r="A5186" t="str">
        <f>"20190312151131264"</f>
        <v>20190312151131264</v>
      </c>
      <c r="B5186" t="str">
        <f>"1552374691256327"</f>
        <v>1552374691256327</v>
      </c>
      <c r="C5186" t="s">
        <v>40</v>
      </c>
      <c r="D5186">
        <v>5.0694319999999999</v>
      </c>
      <c r="E5186">
        <v>0.42947279999999999</v>
      </c>
      <c r="F5186" t="s">
        <v>85</v>
      </c>
      <c r="G5186">
        <v>-401.1961</v>
      </c>
      <c r="H5186" s="1">
        <v>-5.625837E-6</v>
      </c>
      <c r="I5186">
        <v>19.845549999999999</v>
      </c>
      <c r="J5186">
        <v>-406.51900000000001</v>
      </c>
      <c r="K5186">
        <v>1.1166860000000001</v>
      </c>
      <c r="L5186">
        <v>20.94952</v>
      </c>
      <c r="M5186">
        <v>0.83323349999999996</v>
      </c>
      <c r="N5186">
        <v>0</v>
      </c>
      <c r="O5186">
        <v>-0.55275269999999899</v>
      </c>
      <c r="P5186">
        <v>0.92139040000000005</v>
      </c>
      <c r="Q5186">
        <v>4.4576419999999999E-2</v>
      </c>
      <c r="R5186">
        <v>-0.38607320000000001</v>
      </c>
      <c r="S5186">
        <v>3.015625</v>
      </c>
      <c r="T5186">
        <v>-0.61977720000000003</v>
      </c>
      <c r="U5186">
        <v>-0.65087890000000004</v>
      </c>
      <c r="V5186">
        <v>-0.18853220000000001</v>
      </c>
      <c r="W5186">
        <v>5.4959550000000003E-2</v>
      </c>
      <c r="X5186">
        <v>0.98052790000000001</v>
      </c>
      <c r="Y5186">
        <v>-0.3480685</v>
      </c>
      <c r="Z5186">
        <v>0.13954629999999901</v>
      </c>
      <c r="AA5186">
        <v>0.92702490000000004</v>
      </c>
      <c r="AB5186">
        <v>27</v>
      </c>
      <c r="AC5186">
        <v>5.3228999999999997</v>
      </c>
      <c r="AD5186">
        <v>-1.1166916258370001</v>
      </c>
      <c r="AE5186">
        <v>-1.1039699999999999</v>
      </c>
      <c r="AF5186">
        <v>-1.9406805655738899</v>
      </c>
      <c r="AG5186">
        <v>-1.1166916258370001</v>
      </c>
      <c r="AH5186">
        <v>4.8416108202897599</v>
      </c>
      <c r="AI5186">
        <v>102.083848083628</v>
      </c>
      <c r="AJ5186">
        <v>111.842574339687</v>
      </c>
      <c r="AK5186">
        <v>5.3342700137842201</v>
      </c>
      <c r="AL5186">
        <v>86.849462171605197</v>
      </c>
      <c r="AM5186">
        <v>100.883788223821</v>
      </c>
      <c r="AN5186">
        <v>0.99999995262572505</v>
      </c>
    </row>
    <row r="5187" spans="1:40" x14ac:dyDescent="0.25">
      <c r="A5187" t="str">
        <f>"20190312151131274"</f>
        <v>20190312151131274</v>
      </c>
      <c r="B5187" t="str">
        <f>"1552374691266087"</f>
        <v>1552374691266087</v>
      </c>
      <c r="C5187" t="s">
        <v>40</v>
      </c>
      <c r="D5187">
        <v>5.075399</v>
      </c>
      <c r="E5187">
        <v>0.42968669999999998</v>
      </c>
      <c r="F5187" t="s">
        <v>85</v>
      </c>
      <c r="G5187">
        <v>-401.06549999999999</v>
      </c>
      <c r="H5187" s="1">
        <v>-5.6773069999999998E-6</v>
      </c>
      <c r="I5187">
        <v>19.79278</v>
      </c>
      <c r="J5187">
        <v>-406.40339999999998</v>
      </c>
      <c r="K5187">
        <v>1.1166830000000001</v>
      </c>
      <c r="L5187">
        <v>20.878229999999999</v>
      </c>
      <c r="M5187">
        <v>0.83571779999999996</v>
      </c>
      <c r="N5187">
        <v>0</v>
      </c>
      <c r="O5187">
        <v>-0.54898970000000002</v>
      </c>
      <c r="P5187">
        <v>0.923041</v>
      </c>
      <c r="Q5187">
        <v>4.4715909999999998E-2</v>
      </c>
      <c r="R5187">
        <v>-0.38209399999999999</v>
      </c>
      <c r="S5187">
        <v>3.017639</v>
      </c>
      <c r="T5187">
        <v>-0.61791240000000003</v>
      </c>
      <c r="U5187">
        <v>-0.64007569999999903</v>
      </c>
      <c r="V5187">
        <v>-0.18833900000000001</v>
      </c>
      <c r="W5187">
        <v>5.5103819999999998E-2</v>
      </c>
      <c r="X5187">
        <v>0.98055700000000001</v>
      </c>
      <c r="Y5187">
        <v>-0.3473328</v>
      </c>
      <c r="Z5187">
        <v>0.13842929999999901</v>
      </c>
      <c r="AA5187">
        <v>0.92746819999999996</v>
      </c>
      <c r="AB5187">
        <v>27</v>
      </c>
      <c r="AC5187">
        <v>5.3378999999999897</v>
      </c>
      <c r="AD5187">
        <v>-1.1166886773069999</v>
      </c>
      <c r="AE5187">
        <v>-1.08544999999999</v>
      </c>
      <c r="AF5187">
        <v>-1.94189867586063</v>
      </c>
      <c r="AG5187">
        <v>-1.1166886773069999</v>
      </c>
      <c r="AH5187">
        <v>4.8533774328455497</v>
      </c>
      <c r="AI5187">
        <v>102.05829048692399</v>
      </c>
      <c r="AJ5187">
        <v>111.80698325034</v>
      </c>
      <c r="AK5187">
        <v>5.3453939588200097</v>
      </c>
      <c r="AL5187">
        <v>86.8411837770376</v>
      </c>
      <c r="AM5187">
        <v>100.872585959066</v>
      </c>
      <c r="AN5187">
        <v>1.00000002007429</v>
      </c>
    </row>
    <row r="5188" spans="1:40" x14ac:dyDescent="0.25">
      <c r="A5188" t="str">
        <f>"20190312151131285"</f>
        <v>20190312151131285</v>
      </c>
      <c r="B5188" t="str">
        <f>"1552374691276822"</f>
        <v>1552374691276822</v>
      </c>
      <c r="C5188" t="s">
        <v>40</v>
      </c>
      <c r="D5188">
        <v>5.0568249999999999</v>
      </c>
      <c r="E5188">
        <v>0.4299248</v>
      </c>
      <c r="F5188" t="s">
        <v>85</v>
      </c>
      <c r="G5188">
        <v>-400.94159999999999</v>
      </c>
      <c r="H5188" s="1">
        <v>-5.7257080000000003E-6</v>
      </c>
      <c r="I5188">
        <v>19.74052</v>
      </c>
      <c r="J5188">
        <v>-406.29629999999997</v>
      </c>
      <c r="K5188">
        <v>1.116679</v>
      </c>
      <c r="L5188">
        <v>20.81305</v>
      </c>
      <c r="M5188">
        <v>0.83799799999999902</v>
      </c>
      <c r="N5188">
        <v>0</v>
      </c>
      <c r="O5188">
        <v>-0.54550279999999995</v>
      </c>
      <c r="P5188">
        <v>0.92467029999999995</v>
      </c>
      <c r="Q5188">
        <v>4.4563199999999997E-2</v>
      </c>
      <c r="R5188">
        <v>-0.37815280000000001</v>
      </c>
      <c r="S5188">
        <v>3.0196529999999999</v>
      </c>
      <c r="T5188">
        <v>-0.61737559999999903</v>
      </c>
      <c r="U5188">
        <v>-0.62899780000000005</v>
      </c>
      <c r="V5188">
        <v>-0.18843779999999999</v>
      </c>
      <c r="W5188">
        <v>5.4950510000000001E-2</v>
      </c>
      <c r="X5188">
        <v>0.98054660000000005</v>
      </c>
      <c r="Y5188">
        <v>-0.34691870000000002</v>
      </c>
      <c r="Z5188">
        <v>0.13768279999999999</v>
      </c>
      <c r="AA5188">
        <v>0.92773430000000001</v>
      </c>
      <c r="AB5188">
        <v>27</v>
      </c>
      <c r="AC5188">
        <v>5.3546999999999798</v>
      </c>
      <c r="AD5188">
        <v>-1.1166847257079999</v>
      </c>
      <c r="AE5188">
        <v>-1.07253</v>
      </c>
      <c r="AF5188">
        <v>-1.9412453402712</v>
      </c>
      <c r="AG5188">
        <v>-1.1166847257079999</v>
      </c>
      <c r="AH5188">
        <v>4.86917472645362</v>
      </c>
      <c r="AI5188">
        <v>102.026026544909</v>
      </c>
      <c r="AJ5188">
        <v>111.736209204982</v>
      </c>
      <c r="AK5188">
        <v>5.3595037796879099</v>
      </c>
      <c r="AL5188">
        <v>86.849981055272906</v>
      </c>
      <c r="AM5188">
        <v>100.878266144885</v>
      </c>
      <c r="AN5188">
        <v>0.99999999889482905</v>
      </c>
    </row>
    <row r="5189" spans="1:40" x14ac:dyDescent="0.25">
      <c r="A5189" t="str">
        <f>"20190312151131297"</f>
        <v>20190312151131297</v>
      </c>
      <c r="B5189" t="str">
        <f>"1552374691286583"</f>
        <v>1552374691286583</v>
      </c>
      <c r="C5189" t="s">
        <v>40</v>
      </c>
      <c r="D5189">
        <v>5.0789759999999999</v>
      </c>
      <c r="E5189">
        <v>0.4299248</v>
      </c>
      <c r="F5189" t="s">
        <v>85</v>
      </c>
      <c r="G5189">
        <v>-400.83510000000001</v>
      </c>
      <c r="H5189" s="1">
        <v>-5.767361E-6</v>
      </c>
      <c r="I5189">
        <v>19.695699999999999</v>
      </c>
      <c r="J5189">
        <v>-406.17540000000002</v>
      </c>
      <c r="K5189">
        <v>1.116671</v>
      </c>
      <c r="L5189">
        <v>20.739809999999999</v>
      </c>
      <c r="M5189">
        <v>0.84055119999999905</v>
      </c>
      <c r="N5189">
        <v>0</v>
      </c>
      <c r="O5189">
        <v>-0.54156059999999995</v>
      </c>
      <c r="P5189">
        <v>0.92634159999999999</v>
      </c>
      <c r="Q5189">
        <v>4.4359129999999997E-2</v>
      </c>
      <c r="R5189">
        <v>-0.37406410000000001</v>
      </c>
      <c r="S5189">
        <v>3.0213930000000002</v>
      </c>
      <c r="T5189">
        <v>-0.61779379999999995</v>
      </c>
      <c r="U5189">
        <v>-0.61816409999999999</v>
      </c>
      <c r="V5189">
        <v>-0.1881649</v>
      </c>
      <c r="W5189">
        <v>5.4752910000000002E-2</v>
      </c>
      <c r="X5189">
        <v>0.98061010000000004</v>
      </c>
      <c r="Y5189">
        <v>-0.34588839999999998</v>
      </c>
      <c r="Z5189">
        <v>0.1370151</v>
      </c>
      <c r="AA5189">
        <v>0.92821759999999998</v>
      </c>
      <c r="AB5189">
        <v>27</v>
      </c>
      <c r="AC5189">
        <v>5.3403000000000098</v>
      </c>
      <c r="AD5189">
        <v>-1.1166767673610001</v>
      </c>
      <c r="AE5189">
        <v>-1.0441100000000001</v>
      </c>
      <c r="AF5189">
        <v>-1.93323797209801</v>
      </c>
      <c r="AG5189">
        <v>-1.1166767673610001</v>
      </c>
      <c r="AH5189">
        <v>4.8504401392502903</v>
      </c>
      <c r="AI5189">
        <v>102.07148037773</v>
      </c>
      <c r="AJ5189">
        <v>111.730722890444</v>
      </c>
      <c r="AK5189">
        <v>5.3395829054314596</v>
      </c>
      <c r="AL5189">
        <v>86.861319899163803</v>
      </c>
      <c r="AM5189">
        <v>100.862200373517</v>
      </c>
      <c r="AN5189">
        <v>1.0000000394837401</v>
      </c>
    </row>
    <row r="5190" spans="1:40" x14ac:dyDescent="0.25">
      <c r="A5190" t="str">
        <f>"20190312151131309"</f>
        <v>20190312151131309</v>
      </c>
      <c r="B5190" t="str">
        <f>"1552374691296345"</f>
        <v>1552374691296345</v>
      </c>
      <c r="C5190" t="s">
        <v>40</v>
      </c>
      <c r="D5190">
        <v>5.0337269999999998</v>
      </c>
      <c r="E5190">
        <v>0.44002350000000001</v>
      </c>
      <c r="F5190" t="s">
        <v>85</v>
      </c>
      <c r="G5190">
        <v>-400.71699999999998</v>
      </c>
      <c r="H5190" s="1">
        <v>-5.813817E-6</v>
      </c>
      <c r="I5190">
        <v>19.647749999999998</v>
      </c>
      <c r="J5190">
        <v>-406.06310000000002</v>
      </c>
      <c r="K5190">
        <v>1.116665</v>
      </c>
      <c r="L5190">
        <v>20.672910000000002</v>
      </c>
      <c r="M5190">
        <v>0.84289639999999999</v>
      </c>
      <c r="N5190">
        <v>0</v>
      </c>
      <c r="O5190">
        <v>-0.53790289999999996</v>
      </c>
      <c r="P5190">
        <v>0.92791729999999994</v>
      </c>
      <c r="Q5190">
        <v>4.4279590000000001E-2</v>
      </c>
      <c r="R5190">
        <v>-0.37014730000000001</v>
      </c>
      <c r="S5190">
        <v>3.023895</v>
      </c>
      <c r="T5190">
        <v>-0.61862159999999999</v>
      </c>
      <c r="U5190">
        <v>-0.60498050000000003</v>
      </c>
      <c r="V5190">
        <v>-0.18804699999999999</v>
      </c>
      <c r="W5190">
        <v>5.4676740000000001E-2</v>
      </c>
      <c r="X5190">
        <v>0.98063699999999998</v>
      </c>
      <c r="Y5190">
        <v>-0.34588629999999998</v>
      </c>
      <c r="Z5190">
        <v>0.136564299999999</v>
      </c>
      <c r="AA5190">
        <v>0.92828489999999997</v>
      </c>
      <c r="AB5190">
        <v>27</v>
      </c>
      <c r="AC5190">
        <v>5.3461000000000301</v>
      </c>
      <c r="AD5190">
        <v>-1.1166708138169901</v>
      </c>
      <c r="AE5190">
        <v>-1.0251600000000001</v>
      </c>
      <c r="AF5190">
        <v>-1.93052643269831</v>
      </c>
      <c r="AG5190">
        <v>-1.1166708138169901</v>
      </c>
      <c r="AH5190">
        <v>4.8538572060375902</v>
      </c>
      <c r="AI5190">
        <v>102.066546505703</v>
      </c>
      <c r="AJ5190">
        <v>111.689218291353</v>
      </c>
      <c r="AK5190">
        <v>5.3417053260527796</v>
      </c>
      <c r="AL5190">
        <v>86.865690770789001</v>
      </c>
      <c r="AM5190">
        <v>100.855265412336</v>
      </c>
      <c r="AN5190">
        <v>1.00000007293751</v>
      </c>
    </row>
    <row r="5191" spans="1:40" x14ac:dyDescent="0.25">
      <c r="A5191" t="str">
        <f>"20190312151131319"</f>
        <v>20190312151131319</v>
      </c>
      <c r="B5191" t="str">
        <f>"1552374691316839"</f>
        <v>1552374691316839</v>
      </c>
      <c r="C5191" t="s">
        <v>40</v>
      </c>
      <c r="D5191">
        <v>5.1026439999999997</v>
      </c>
      <c r="E5191">
        <v>0.44058989999999998</v>
      </c>
      <c r="F5191" t="s">
        <v>85</v>
      </c>
      <c r="G5191">
        <v>-400.48149999999998</v>
      </c>
      <c r="H5191" s="1">
        <v>-7.5274159999999997E-6</v>
      </c>
      <c r="I5191">
        <v>19.429320000000001</v>
      </c>
      <c r="J5191">
        <v>-405.94529999999997</v>
      </c>
      <c r="K5191">
        <v>1.1166609999999999</v>
      </c>
      <c r="L5191">
        <v>20.60303</v>
      </c>
      <c r="M5191">
        <v>0.84533599999999998</v>
      </c>
      <c r="N5191">
        <v>0</v>
      </c>
      <c r="O5191">
        <v>-0.53406100000000001</v>
      </c>
      <c r="P5191">
        <v>0.92959029999999998</v>
      </c>
      <c r="Q5191">
        <v>4.4056119999999997E-2</v>
      </c>
      <c r="R5191">
        <v>-0.3659521</v>
      </c>
      <c r="S5191">
        <v>2.995422</v>
      </c>
      <c r="T5191">
        <v>-0.59927569999999997</v>
      </c>
      <c r="U5191">
        <v>-0.66738889999999995</v>
      </c>
      <c r="V5191">
        <v>-0.1880146</v>
      </c>
      <c r="W5191">
        <v>5.4454860000000001E-2</v>
      </c>
      <c r="X5191">
        <v>0.98065550000000001</v>
      </c>
      <c r="Y5191">
        <v>-0.32259769999999999</v>
      </c>
      <c r="Z5191">
        <v>0.1302604</v>
      </c>
      <c r="AA5191">
        <v>0.93753019999999998</v>
      </c>
      <c r="AB5191">
        <v>27</v>
      </c>
      <c r="AC5191">
        <v>5.4637999999999902</v>
      </c>
      <c r="AD5191">
        <v>-1.116668527416</v>
      </c>
      <c r="AE5191">
        <v>-1.17370999999999</v>
      </c>
      <c r="AF5191">
        <v>-1.8520551809141601</v>
      </c>
      <c r="AG5191">
        <v>-1.116668527416</v>
      </c>
      <c r="AH5191">
        <v>5.0446494518195699</v>
      </c>
      <c r="AI5191">
        <v>101.73875456428399</v>
      </c>
      <c r="AJ5191">
        <v>110.15983123387301</v>
      </c>
      <c r="AK5191">
        <v>5.4886742556846899</v>
      </c>
      <c r="AL5191">
        <v>86.878422346455594</v>
      </c>
      <c r="AM5191">
        <v>100.85323961819</v>
      </c>
      <c r="AN5191">
        <v>1.00000001563551</v>
      </c>
    </row>
    <row r="5192" spans="1:40" x14ac:dyDescent="0.25">
      <c r="A5192" t="str">
        <f>"20190312151131330"</f>
        <v>20190312151131330</v>
      </c>
      <c r="B5192" t="str">
        <f>"1552374691326599"</f>
        <v>1552374691326599</v>
      </c>
      <c r="C5192" t="s">
        <v>40</v>
      </c>
      <c r="D5192">
        <v>5.068962</v>
      </c>
      <c r="E5192">
        <v>0.44079180000000001</v>
      </c>
      <c r="F5192" t="s">
        <v>85</v>
      </c>
      <c r="G5192">
        <v>-400.4332</v>
      </c>
      <c r="H5192" s="1">
        <v>-7.5394759999999997E-6</v>
      </c>
      <c r="I5192">
        <v>19.392769999999999</v>
      </c>
      <c r="J5192">
        <v>-405.83580000000001</v>
      </c>
      <c r="K5192">
        <v>1.1166529999999999</v>
      </c>
      <c r="L5192">
        <v>20.539059999999999</v>
      </c>
      <c r="M5192">
        <v>0.84758009999999995</v>
      </c>
      <c r="N5192">
        <v>0</v>
      </c>
      <c r="O5192">
        <v>-0.53049190000000002</v>
      </c>
      <c r="P5192">
        <v>0.93114779999999997</v>
      </c>
      <c r="Q5192">
        <v>4.3938339999999999E-2</v>
      </c>
      <c r="R5192">
        <v>-0.3619851</v>
      </c>
      <c r="S5192">
        <v>2.996918</v>
      </c>
      <c r="T5192">
        <v>-0.60713790000000001</v>
      </c>
      <c r="U5192">
        <v>-0.65801999999999905</v>
      </c>
      <c r="V5192">
        <v>-0.1880617</v>
      </c>
      <c r="W5192">
        <v>5.4337249999999997E-2</v>
      </c>
      <c r="X5192">
        <v>0.980653</v>
      </c>
      <c r="Y5192">
        <v>-0.3212045</v>
      </c>
      <c r="Z5192">
        <v>0.13120889999999999</v>
      </c>
      <c r="AA5192">
        <v>0.9378763</v>
      </c>
      <c r="AB5192">
        <v>27</v>
      </c>
      <c r="AC5192">
        <v>5.4025999999999996</v>
      </c>
      <c r="AD5192">
        <v>-1.1166605394760001</v>
      </c>
      <c r="AE5192">
        <v>-1.14628999999999</v>
      </c>
      <c r="AF5192">
        <v>-1.8202281576980399</v>
      </c>
      <c r="AG5192">
        <v>-1.1166605394760001</v>
      </c>
      <c r="AH5192">
        <v>4.9839713454589303</v>
      </c>
      <c r="AI5192">
        <v>101.884692961228</v>
      </c>
      <c r="AJ5192">
        <v>110.063023417067</v>
      </c>
      <c r="AK5192">
        <v>5.4221888272961696</v>
      </c>
      <c r="AL5192">
        <v>86.885170917823501</v>
      </c>
      <c r="AM5192">
        <v>100.855920910506</v>
      </c>
      <c r="AN5192">
        <v>1.0000000230767201</v>
      </c>
    </row>
    <row r="5193" spans="1:40" x14ac:dyDescent="0.25">
      <c r="A5193" t="str">
        <f>"20190312151131342"</f>
        <v>20190312151131342</v>
      </c>
      <c r="B5193" t="str">
        <f>"1552374691336947"</f>
        <v>1552374691336947</v>
      </c>
      <c r="C5193" t="s">
        <v>40</v>
      </c>
      <c r="D5193">
        <v>5.0660080000000001</v>
      </c>
      <c r="E5193">
        <v>0.44127509999999998</v>
      </c>
      <c r="F5193" t="s">
        <v>85</v>
      </c>
      <c r="G5193">
        <v>-400.34449999999998</v>
      </c>
      <c r="H5193" s="1">
        <v>-7.5648599999999999E-6</v>
      </c>
      <c r="I5193">
        <v>19.35435</v>
      </c>
      <c r="J5193">
        <v>-405.71749999999997</v>
      </c>
      <c r="K5193">
        <v>1.11664599999999</v>
      </c>
      <c r="L5193">
        <v>20.470369999999999</v>
      </c>
      <c r="M5193">
        <v>0.84998379999999996</v>
      </c>
      <c r="N5193">
        <v>0</v>
      </c>
      <c r="O5193">
        <v>-0.52663209999999905</v>
      </c>
      <c r="P5193">
        <v>0.93282220000000005</v>
      </c>
      <c r="Q5193">
        <v>4.3868400000000002E-2</v>
      </c>
      <c r="R5193">
        <v>-0.357657</v>
      </c>
      <c r="S5193">
        <v>2.9990839999999999</v>
      </c>
      <c r="T5193">
        <v>-0.609869199999999</v>
      </c>
      <c r="U5193">
        <v>-0.64703369999999905</v>
      </c>
      <c r="V5193">
        <v>-0.1881564</v>
      </c>
      <c r="W5193">
        <v>5.4267259999999998E-2</v>
      </c>
      <c r="X5193">
        <v>0.98063869999999997</v>
      </c>
      <c r="Y5193">
        <v>-0.32028010000000001</v>
      </c>
      <c r="Z5193">
        <v>0.13103519999999999</v>
      </c>
      <c r="AA5193">
        <v>0.93821659999999996</v>
      </c>
      <c r="AB5193">
        <v>27</v>
      </c>
      <c r="AC5193">
        <v>5.3729999999999896</v>
      </c>
      <c r="AD5193">
        <v>-1.11665356485999</v>
      </c>
      <c r="AE5193">
        <v>-1.11602</v>
      </c>
      <c r="AF5193">
        <v>-1.8063763227109599</v>
      </c>
      <c r="AG5193">
        <v>-1.11665356485999</v>
      </c>
      <c r="AH5193">
        <v>4.9502083186022601</v>
      </c>
      <c r="AI5193">
        <v>101.96450229966899</v>
      </c>
      <c r="AJ5193">
        <v>110.04748877304699</v>
      </c>
      <c r="AK5193">
        <v>5.3865084238980199</v>
      </c>
      <c r="AL5193">
        <v>86.889186943954499</v>
      </c>
      <c r="AM5193">
        <v>100.861412122209</v>
      </c>
      <c r="AN5193">
        <v>1.00000001315327</v>
      </c>
    </row>
    <row r="5194" spans="1:40" x14ac:dyDescent="0.25">
      <c r="A5194" t="str">
        <f>"20190312151131355"</f>
        <v>20190312151131355</v>
      </c>
      <c r="B5194" t="str">
        <f>"1552374691346704"</f>
        <v>1552374691346704</v>
      </c>
      <c r="C5194" t="s">
        <v>40</v>
      </c>
      <c r="D5194">
        <v>5.0822129999999897</v>
      </c>
      <c r="E5194">
        <v>0.44142599999999999</v>
      </c>
      <c r="F5194" t="s">
        <v>85</v>
      </c>
      <c r="G5194">
        <v>-400.20310000000001</v>
      </c>
      <c r="H5194" s="1">
        <v>-7.606125E-6</v>
      </c>
      <c r="I5194">
        <v>19.300450000000001</v>
      </c>
      <c r="J5194">
        <v>-405.57569999999998</v>
      </c>
      <c r="K5194">
        <v>1.1166400000000001</v>
      </c>
      <c r="L5194">
        <v>20.389099999999999</v>
      </c>
      <c r="M5194">
        <v>0.85283089999999995</v>
      </c>
      <c r="N5194">
        <v>0</v>
      </c>
      <c r="O5194">
        <v>-0.522009099999999</v>
      </c>
      <c r="P5194">
        <v>0.93484469999999997</v>
      </c>
      <c r="Q5194">
        <v>4.3583150000000001E-2</v>
      </c>
      <c r="R5194">
        <v>-0.35237239999999997</v>
      </c>
      <c r="S5194">
        <v>3.0005799999999998</v>
      </c>
      <c r="T5194">
        <v>-0.60761359999999998</v>
      </c>
      <c r="U5194">
        <v>-0.63659670000000002</v>
      </c>
      <c r="V5194">
        <v>-0.18838289999999999</v>
      </c>
      <c r="W5194">
        <v>5.397921E-2</v>
      </c>
      <c r="X5194">
        <v>0.98061109999999896</v>
      </c>
      <c r="Y5194">
        <v>-0.31858389999999998</v>
      </c>
      <c r="Z5194">
        <v>0.12962770000000001</v>
      </c>
      <c r="AA5194">
        <v>0.93898930000000003</v>
      </c>
      <c r="AB5194">
        <v>27</v>
      </c>
      <c r="AC5194">
        <v>5.3725999999999701</v>
      </c>
      <c r="AD5194">
        <v>-1.1166476061249999</v>
      </c>
      <c r="AE5194">
        <v>-1.0886499999999899</v>
      </c>
      <c r="AF5194">
        <v>-1.80153292888386</v>
      </c>
      <c r="AG5194">
        <v>-1.1166476061249999</v>
      </c>
      <c r="AH5194">
        <v>4.9454746442712798</v>
      </c>
      <c r="AI5194">
        <v>101.977920234496</v>
      </c>
      <c r="AJ5194">
        <v>110.015623766286</v>
      </c>
      <c r="AK5194">
        <v>5.3805336377768098</v>
      </c>
      <c r="AL5194">
        <v>86.905715180867503</v>
      </c>
      <c r="AM5194">
        <v>100.87447416193601</v>
      </c>
      <c r="AN5194">
        <v>1.00000000078392</v>
      </c>
    </row>
    <row r="5195" spans="1:40" x14ac:dyDescent="0.25">
      <c r="A5195" t="str">
        <f>"20190312151131369"</f>
        <v>20190312151131369</v>
      </c>
      <c r="B5195" t="str">
        <f>"1552374691356465"</f>
        <v>1552374691356465</v>
      </c>
      <c r="C5195" t="s">
        <v>40</v>
      </c>
      <c r="D5195">
        <v>5.0772909999999998</v>
      </c>
      <c r="E5195">
        <v>0.44183080000000002</v>
      </c>
      <c r="F5195" t="s">
        <v>85</v>
      </c>
      <c r="G5195">
        <v>-400.08589999999998</v>
      </c>
      <c r="H5195" s="1">
        <v>-7.6402100000000008E-6</v>
      </c>
      <c r="I5195">
        <v>19.254740000000002</v>
      </c>
      <c r="J5195">
        <v>-405.43810000000002</v>
      </c>
      <c r="K5195">
        <v>1.1166370000000001</v>
      </c>
      <c r="L5195">
        <v>20.311340000000001</v>
      </c>
      <c r="M5195">
        <v>0.85556239999999995</v>
      </c>
      <c r="N5195">
        <v>0</v>
      </c>
      <c r="O5195">
        <v>-0.51752019999999999</v>
      </c>
      <c r="P5195">
        <v>0.93673850000000003</v>
      </c>
      <c r="Q5195">
        <v>4.3457750000000003E-2</v>
      </c>
      <c r="R5195">
        <v>-0.34732190000000002</v>
      </c>
      <c r="S5195">
        <v>3.0036320000000001</v>
      </c>
      <c r="T5195">
        <v>-0.61094749999999998</v>
      </c>
      <c r="U5195">
        <v>-0.62063599999999997</v>
      </c>
      <c r="V5195">
        <v>-0.1885221</v>
      </c>
      <c r="W5195">
        <v>5.3852549999999999E-2</v>
      </c>
      <c r="X5195">
        <v>0.98059130000000005</v>
      </c>
      <c r="Y5195">
        <v>-0.31850659999999997</v>
      </c>
      <c r="Z5195">
        <v>0.12953770000000001</v>
      </c>
      <c r="AA5195">
        <v>0.93902799999999997</v>
      </c>
      <c r="AB5195">
        <v>27</v>
      </c>
      <c r="AC5195">
        <v>5.35220000000003</v>
      </c>
      <c r="AD5195">
        <v>-1.1166446402099901</v>
      </c>
      <c r="AE5195">
        <v>-1.05659999999999</v>
      </c>
      <c r="AF5195">
        <v>-1.79102301101978</v>
      </c>
      <c r="AG5195">
        <v>-1.1166446402099901</v>
      </c>
      <c r="AH5195">
        <v>4.9202939473697898</v>
      </c>
      <c r="AI5195">
        <v>102.03842635563601</v>
      </c>
      <c r="AJ5195">
        <v>110.001876248309</v>
      </c>
      <c r="AK5195">
        <v>5.3538725430323701</v>
      </c>
      <c r="AL5195">
        <v>86.912982797229702</v>
      </c>
      <c r="AM5195">
        <v>100.882532233391</v>
      </c>
      <c r="AN5195">
        <v>0.99999998848280103</v>
      </c>
    </row>
    <row r="5196" spans="1:40" x14ac:dyDescent="0.25">
      <c r="A5196" t="str">
        <f>"20190312151131386"</f>
        <v>20190312151131386</v>
      </c>
      <c r="B5196" t="str">
        <f>"1552374691376960"</f>
        <v>1552374691376960</v>
      </c>
      <c r="C5196" t="s">
        <v>40</v>
      </c>
      <c r="D5196">
        <v>5.0798360000000002</v>
      </c>
      <c r="E5196">
        <v>0.44252750000000002</v>
      </c>
      <c r="F5196" t="s">
        <v>85</v>
      </c>
      <c r="G5196">
        <v>-399.96269999999998</v>
      </c>
      <c r="H5196" s="1">
        <v>-7.6758079999999903E-6</v>
      </c>
      <c r="I5196">
        <v>19.204609999999999</v>
      </c>
      <c r="J5196">
        <v>-405.25889999999998</v>
      </c>
      <c r="K5196">
        <v>1.1166309999999999</v>
      </c>
      <c r="L5196">
        <v>20.211269999999999</v>
      </c>
      <c r="M5196">
        <v>0.85907540000000004</v>
      </c>
      <c r="N5196">
        <v>0</v>
      </c>
      <c r="O5196">
        <v>-0.5116676</v>
      </c>
      <c r="P5196">
        <v>0.93923570000000001</v>
      </c>
      <c r="Q5196">
        <v>4.3343350000000003E-2</v>
      </c>
      <c r="R5196">
        <v>-0.3405261</v>
      </c>
      <c r="S5196">
        <v>3.0057369999999999</v>
      </c>
      <c r="T5196">
        <v>-0.61298739999999996</v>
      </c>
      <c r="U5196">
        <v>-0.60754390000000003</v>
      </c>
      <c r="V5196">
        <v>-0.18893289999999999</v>
      </c>
      <c r="W5196">
        <v>5.3732080000000002E-2</v>
      </c>
      <c r="X5196">
        <v>0.98051889999999997</v>
      </c>
      <c r="Y5196">
        <v>-0.31615199999999999</v>
      </c>
      <c r="Z5196">
        <v>0.12872919999999999</v>
      </c>
      <c r="AA5196">
        <v>0.93993439999999995</v>
      </c>
      <c r="AB5196">
        <v>27</v>
      </c>
      <c r="AC5196">
        <v>5.29619999999999</v>
      </c>
      <c r="AD5196">
        <v>-1.116638675808</v>
      </c>
      <c r="AE5196">
        <v>-1.0066600000000001</v>
      </c>
      <c r="AF5196">
        <v>-1.7693584224903101</v>
      </c>
      <c r="AG5196">
        <v>-1.116638675808</v>
      </c>
      <c r="AH5196">
        <v>4.8570028867271802</v>
      </c>
      <c r="AI5196">
        <v>102.189496240851</v>
      </c>
      <c r="AJ5196">
        <v>110.01618514501401</v>
      </c>
      <c r="AK5196">
        <v>5.288476926415</v>
      </c>
      <c r="AL5196">
        <v>86.919895402900906</v>
      </c>
      <c r="AM5196">
        <v>100.906463793732</v>
      </c>
      <c r="AN5196">
        <v>1.0000000451903699</v>
      </c>
    </row>
    <row r="5197" spans="1:40" x14ac:dyDescent="0.25">
      <c r="A5197" t="str">
        <f>"20190312151131398"</f>
        <v>20190312151131398</v>
      </c>
      <c r="B5197" t="str">
        <f>"1552374691386721"</f>
        <v>1552374691386721</v>
      </c>
      <c r="C5197" t="s">
        <v>40</v>
      </c>
      <c r="D5197">
        <v>5.0905129999999996</v>
      </c>
      <c r="E5197">
        <v>0.44286730000000002</v>
      </c>
      <c r="F5197" t="s">
        <v>42</v>
      </c>
      <c r="G5197">
        <v>-399.79849999999999</v>
      </c>
      <c r="H5197" s="1">
        <v>-1.886846E-7</v>
      </c>
      <c r="I5197">
        <v>19.138739999999999</v>
      </c>
      <c r="J5197">
        <v>-405.13060000000002</v>
      </c>
      <c r="K5197">
        <v>1.11663</v>
      </c>
      <c r="L5197">
        <v>20.140409999999999</v>
      </c>
      <c r="M5197">
        <v>0.86155890000000002</v>
      </c>
      <c r="N5197">
        <v>0</v>
      </c>
      <c r="O5197">
        <v>-0.50747469999999995</v>
      </c>
      <c r="P5197">
        <v>0.94095899999999999</v>
      </c>
      <c r="Q5197">
        <v>4.3465650000000002E-2</v>
      </c>
      <c r="R5197">
        <v>-0.33571869999999998</v>
      </c>
      <c r="S5197">
        <v>3.0082399999999998</v>
      </c>
      <c r="T5197">
        <v>-0.61517359999999999</v>
      </c>
      <c r="U5197">
        <v>-0.59088130000000005</v>
      </c>
      <c r="V5197">
        <v>-0.18916730000000001</v>
      </c>
      <c r="W5197">
        <v>5.3851110000000001E-2</v>
      </c>
      <c r="X5197">
        <v>0.98046710000000004</v>
      </c>
      <c r="Y5197">
        <v>-0.3166544</v>
      </c>
      <c r="Z5197">
        <v>0.1285115</v>
      </c>
      <c r="AA5197">
        <v>0.93979509999999999</v>
      </c>
      <c r="AB5197">
        <v>27</v>
      </c>
      <c r="AC5197">
        <v>5.33210000000002</v>
      </c>
      <c r="AD5197">
        <v>-1.1166301886846</v>
      </c>
      <c r="AE5197">
        <v>-1.0016700000000001</v>
      </c>
      <c r="AF5197">
        <v>-1.76817851603515</v>
      </c>
      <c r="AG5197">
        <v>-1.1166301886846</v>
      </c>
      <c r="AH5197">
        <v>4.8953453671664002</v>
      </c>
      <c r="AI5197">
        <v>102.10840698695201</v>
      </c>
      <c r="AJ5197">
        <v>109.85951022910299</v>
      </c>
      <c r="AK5197">
        <v>5.3233189371563796</v>
      </c>
      <c r="AL5197">
        <v>86.913065371530607</v>
      </c>
      <c r="AM5197">
        <v>100.92023286998401</v>
      </c>
      <c r="AN5197">
        <v>0.99999997180996503</v>
      </c>
    </row>
    <row r="5198" spans="1:40" x14ac:dyDescent="0.25">
      <c r="A5198" t="str">
        <f>"20190312151131416"</f>
        <v>20190312151131416</v>
      </c>
      <c r="B5198" t="str">
        <f>"1552374691406240"</f>
        <v>1552374691406240</v>
      </c>
      <c r="C5198" t="s">
        <v>40</v>
      </c>
      <c r="D5198">
        <v>5.0933339999999996</v>
      </c>
      <c r="E5198">
        <v>0.44366060000000002</v>
      </c>
      <c r="F5198" t="s">
        <v>42</v>
      </c>
      <c r="G5198">
        <v>-399.68049999999999</v>
      </c>
      <c r="H5198" s="1">
        <v>-2.4606280000000001E-7</v>
      </c>
      <c r="I5198">
        <v>19.09337</v>
      </c>
      <c r="J5198">
        <v>-404.93209999999999</v>
      </c>
      <c r="K5198">
        <v>1.1166240000000001</v>
      </c>
      <c r="L5198">
        <v>20.032810000000001</v>
      </c>
      <c r="M5198">
        <v>0.86534330000000004</v>
      </c>
      <c r="N5198">
        <v>0</v>
      </c>
      <c r="O5198">
        <v>-0.50099380000000004</v>
      </c>
      <c r="P5198">
        <v>0.94351260000000003</v>
      </c>
      <c r="Q5198">
        <v>4.3513700000000002E-2</v>
      </c>
      <c r="R5198">
        <v>-0.32846690000000001</v>
      </c>
      <c r="S5198">
        <v>3.0103759999999999</v>
      </c>
      <c r="T5198">
        <v>-0.61677530000000003</v>
      </c>
      <c r="U5198">
        <v>-0.57833859999999904</v>
      </c>
      <c r="V5198">
        <v>-0.18935289999999999</v>
      </c>
      <c r="W5198">
        <v>5.3897300000000002E-2</v>
      </c>
      <c r="X5198">
        <v>0.98042879999999999</v>
      </c>
      <c r="Y5198">
        <v>-0.31354789999999999</v>
      </c>
      <c r="Z5198">
        <v>0.1273996</v>
      </c>
      <c r="AA5198">
        <v>0.94098729999999997</v>
      </c>
      <c r="AB5198">
        <v>27</v>
      </c>
      <c r="AC5198">
        <v>5.2515999999999901</v>
      </c>
      <c r="AD5198">
        <v>-1.1166242460628</v>
      </c>
      <c r="AE5198">
        <v>-0.93944000000000105</v>
      </c>
      <c r="AF5198">
        <v>-1.7419397378029899</v>
      </c>
      <c r="AG5198">
        <v>-1.1166242460628</v>
      </c>
      <c r="AH5198">
        <v>4.8050586016546903</v>
      </c>
      <c r="AI5198">
        <v>102.32389172819499</v>
      </c>
      <c r="AJ5198">
        <v>109.92669774381</v>
      </c>
      <c r="AK5198">
        <v>5.23161465728968</v>
      </c>
      <c r="AL5198">
        <v>86.9104152282153</v>
      </c>
      <c r="AM5198">
        <v>100.931105924268</v>
      </c>
      <c r="AN5198">
        <v>1.00000003577756</v>
      </c>
    </row>
    <row r="5199" spans="1:40" x14ac:dyDescent="0.25">
      <c r="A5199" t="str">
        <f>"20190312151131429"</f>
        <v>20190312151131429</v>
      </c>
      <c r="B5199" t="str">
        <f>"1552374691426737"</f>
        <v>1552374691426737</v>
      </c>
      <c r="C5199" t="s">
        <v>40</v>
      </c>
      <c r="D5199">
        <v>5.0719919999999998</v>
      </c>
      <c r="E5199">
        <v>0.44460899999999998</v>
      </c>
      <c r="F5199" t="s">
        <v>42</v>
      </c>
      <c r="G5199">
        <v>-399.46870000000001</v>
      </c>
      <c r="H5199" s="1">
        <v>-3.4818409999999998E-7</v>
      </c>
      <c r="I5199">
        <v>19.01521</v>
      </c>
      <c r="J5199">
        <v>-404.80560000000003</v>
      </c>
      <c r="K5199">
        <v>1.116617</v>
      </c>
      <c r="L5199">
        <v>19.965420000000002</v>
      </c>
      <c r="M5199">
        <v>0.8677222</v>
      </c>
      <c r="N5199">
        <v>0</v>
      </c>
      <c r="O5199">
        <v>-0.49686269999999999</v>
      </c>
      <c r="P5199">
        <v>0.94509200000000004</v>
      </c>
      <c r="Q5199">
        <v>4.3619949999999998E-2</v>
      </c>
      <c r="R5199">
        <v>-0.32388050000000002</v>
      </c>
      <c r="S5199">
        <v>3.0126650000000001</v>
      </c>
      <c r="T5199">
        <v>-0.61573259999999996</v>
      </c>
      <c r="U5199">
        <v>-0.56112669999999998</v>
      </c>
      <c r="V5199">
        <v>-0.18943879999999999</v>
      </c>
      <c r="W5199">
        <v>5.4003009999999997E-2</v>
      </c>
      <c r="X5199">
        <v>0.98040629999999995</v>
      </c>
      <c r="Y5199">
        <v>-0.31445869999999998</v>
      </c>
      <c r="Z5199">
        <v>0.12657309999999999</v>
      </c>
      <c r="AA5199">
        <v>0.94079489999999999</v>
      </c>
      <c r="AB5199">
        <v>27</v>
      </c>
      <c r="AC5199">
        <v>5.3369000000000097</v>
      </c>
      <c r="AD5199">
        <v>-1.1166173481841</v>
      </c>
      <c r="AE5199">
        <v>-0.950210000000002</v>
      </c>
      <c r="AF5199">
        <v>-1.7529782863074701</v>
      </c>
      <c r="AG5199">
        <v>-1.1166173481841</v>
      </c>
      <c r="AH5199">
        <v>4.8958129493118596</v>
      </c>
      <c r="AI5199">
        <v>102.118900899978</v>
      </c>
      <c r="AJ5199">
        <v>109.700243398322</v>
      </c>
      <c r="AK5199">
        <v>5.3187171018189003</v>
      </c>
      <c r="AL5199">
        <v>86.904349387594905</v>
      </c>
      <c r="AM5199">
        <v>100.936190211778</v>
      </c>
      <c r="AN5199">
        <v>0.99999994855709295</v>
      </c>
    </row>
    <row r="5200" spans="1:40" x14ac:dyDescent="0.25">
      <c r="A5200" t="str">
        <f>"20190312151131441"</f>
        <v>20190312151131441</v>
      </c>
      <c r="B5200" t="str">
        <f>"1552374691436145"</f>
        <v>1552374691436145</v>
      </c>
      <c r="C5200" t="s">
        <v>40</v>
      </c>
      <c r="D5200">
        <v>5.124269</v>
      </c>
      <c r="E5200">
        <v>0.44478200000000001</v>
      </c>
      <c r="F5200" t="s">
        <v>42</v>
      </c>
      <c r="G5200">
        <v>-399.3852</v>
      </c>
      <c r="H5200" s="1">
        <v>-3.92519E-7</v>
      </c>
      <c r="I5200">
        <v>18.969059999999999</v>
      </c>
      <c r="J5200">
        <v>-404.68599999999998</v>
      </c>
      <c r="K5200">
        <v>1.116614</v>
      </c>
      <c r="L5200">
        <v>19.90204</v>
      </c>
      <c r="M5200">
        <v>0.86995040000000001</v>
      </c>
      <c r="N5200">
        <v>0</v>
      </c>
      <c r="O5200">
        <v>-0.49295070000000002</v>
      </c>
      <c r="P5200">
        <v>0.94659439999999995</v>
      </c>
      <c r="Q5200">
        <v>4.3661800000000001E-2</v>
      </c>
      <c r="R5200">
        <v>-0.3194573</v>
      </c>
      <c r="S5200">
        <v>3.0131230000000002</v>
      </c>
      <c r="T5200">
        <v>-0.62071309999999902</v>
      </c>
      <c r="U5200">
        <v>-0.55386349999999995</v>
      </c>
      <c r="V5200">
        <v>-0.18960850000000001</v>
      </c>
      <c r="W5200">
        <v>5.4043010000000002E-2</v>
      </c>
      <c r="X5200">
        <v>0.9803714</v>
      </c>
      <c r="Y5200">
        <v>-0.31227670000000002</v>
      </c>
      <c r="Z5200">
        <v>0.12669559999999999</v>
      </c>
      <c r="AA5200">
        <v>0.94150489999999998</v>
      </c>
      <c r="AB5200">
        <v>27</v>
      </c>
      <c r="AC5200">
        <v>5.3007999999999802</v>
      </c>
      <c r="AD5200">
        <v>-1.116614392519</v>
      </c>
      <c r="AE5200">
        <v>-0.93298000000000003</v>
      </c>
      <c r="AF5200">
        <v>-1.7272146103708399</v>
      </c>
      <c r="AG5200">
        <v>-1.116614392519</v>
      </c>
      <c r="AH5200">
        <v>4.8625334402530704</v>
      </c>
      <c r="AI5200">
        <v>102.210003218382</v>
      </c>
      <c r="AJ5200">
        <v>109.55548543800199</v>
      </c>
      <c r="AK5200">
        <v>5.2796145190191996</v>
      </c>
      <c r="AL5200">
        <v>86.902054538013701</v>
      </c>
      <c r="AM5200">
        <v>100.946130611225</v>
      </c>
      <c r="AN5200">
        <v>1.00000005607003</v>
      </c>
    </row>
    <row r="5201" spans="1:40" x14ac:dyDescent="0.25">
      <c r="A5201" t="str">
        <f>"20190312151131452"</f>
        <v>20190312151131452</v>
      </c>
      <c r="B5201" t="str">
        <f>"1552374691446881"</f>
        <v>1552374691446881</v>
      </c>
      <c r="C5201" t="s">
        <v>40</v>
      </c>
      <c r="D5201">
        <v>5.0585680000000002</v>
      </c>
      <c r="E5201">
        <v>0.44478200000000001</v>
      </c>
      <c r="F5201" t="s">
        <v>42</v>
      </c>
      <c r="G5201">
        <v>-399.27940000000001</v>
      </c>
      <c r="H5201" s="1">
        <v>-4.4307579999999998E-7</v>
      </c>
      <c r="I5201">
        <v>18.931819999999998</v>
      </c>
      <c r="J5201">
        <v>-404.55779999999999</v>
      </c>
      <c r="K5201">
        <v>1.1166069999999999</v>
      </c>
      <c r="L5201">
        <v>19.835139999999999</v>
      </c>
      <c r="M5201">
        <v>0.87231080000000005</v>
      </c>
      <c r="N5201">
        <v>0</v>
      </c>
      <c r="O5201">
        <v>-0.48876199999999997</v>
      </c>
      <c r="P5201">
        <v>0.94813360000000002</v>
      </c>
      <c r="Q5201">
        <v>4.3893229999999998E-2</v>
      </c>
      <c r="R5201">
        <v>-0.31482769999999999</v>
      </c>
      <c r="S5201">
        <v>3.0153500000000002</v>
      </c>
      <c r="T5201">
        <v>-0.62275389999999997</v>
      </c>
      <c r="U5201">
        <v>-0.54110719999999901</v>
      </c>
      <c r="V5201">
        <v>-0.18968380000000001</v>
      </c>
      <c r="W5201">
        <v>5.4273460000000003E-2</v>
      </c>
      <c r="X5201">
        <v>0.98034410000000005</v>
      </c>
      <c r="Y5201">
        <v>-0.31169170000000002</v>
      </c>
      <c r="Z5201">
        <v>0.1262897</v>
      </c>
      <c r="AA5201">
        <v>0.94175330000000002</v>
      </c>
      <c r="AB5201">
        <v>27</v>
      </c>
      <c r="AC5201">
        <v>5.2783999999999702</v>
      </c>
      <c r="AD5201">
        <v>-1.1166074430758</v>
      </c>
      <c r="AE5201">
        <v>-0.90331999999999701</v>
      </c>
      <c r="AF5201">
        <v>-1.7174042087261501</v>
      </c>
      <c r="AG5201">
        <v>-1.1166074430758</v>
      </c>
      <c r="AH5201">
        <v>4.8361218762543201</v>
      </c>
      <c r="AI5201">
        <v>102.274928154652</v>
      </c>
      <c r="AJ5201">
        <v>109.55097447910001</v>
      </c>
      <c r="AK5201">
        <v>5.2520818919803798</v>
      </c>
      <c r="AL5201">
        <v>86.888831311249305</v>
      </c>
      <c r="AM5201">
        <v>100.95067019385399</v>
      </c>
      <c r="AN5201">
        <v>1.0000000534238001</v>
      </c>
    </row>
    <row r="5202" spans="1:40" x14ac:dyDescent="0.25">
      <c r="A5202" t="str">
        <f>"20190312151131464"</f>
        <v>20190312151131464</v>
      </c>
      <c r="B5202" t="str">
        <f>"1552374691456641"</f>
        <v>1552374691456641</v>
      </c>
      <c r="C5202" t="s">
        <v>40</v>
      </c>
      <c r="D5202">
        <v>5.1075799999999996</v>
      </c>
      <c r="E5202">
        <v>0.45235170000000002</v>
      </c>
      <c r="F5202" t="s">
        <v>42</v>
      </c>
      <c r="G5202">
        <v>-399.14139999999998</v>
      </c>
      <c r="H5202" s="1">
        <v>-5.1514060000000005E-7</v>
      </c>
      <c r="I5202">
        <v>18.89012</v>
      </c>
      <c r="J5202">
        <v>-404.43950000000001</v>
      </c>
      <c r="K5202">
        <v>1.1166039999999999</v>
      </c>
      <c r="L5202">
        <v>19.773990000000001</v>
      </c>
      <c r="M5202">
        <v>0.87446819999999903</v>
      </c>
      <c r="N5202">
        <v>0</v>
      </c>
      <c r="O5202">
        <v>-0.48489149999999998</v>
      </c>
      <c r="P5202">
        <v>0.94958730000000002</v>
      </c>
      <c r="Q5202">
        <v>4.3742990000000002E-2</v>
      </c>
      <c r="R5202">
        <v>-0.31043589999999999</v>
      </c>
      <c r="S5202">
        <v>3.018097</v>
      </c>
      <c r="T5202">
        <v>-0.62219209999999903</v>
      </c>
      <c r="U5202">
        <v>-0.52658079999999996</v>
      </c>
      <c r="V5202">
        <v>-0.1898765</v>
      </c>
      <c r="W5202">
        <v>5.412061E-2</v>
      </c>
      <c r="X5202">
        <v>0.98031520000000005</v>
      </c>
      <c r="Y5202">
        <v>-0.31213210000000002</v>
      </c>
      <c r="Z5202">
        <v>0.12550989999999901</v>
      </c>
      <c r="AA5202">
        <v>0.94171159999999998</v>
      </c>
      <c r="AB5202">
        <v>27</v>
      </c>
      <c r="AC5202">
        <v>5.29810000000003</v>
      </c>
      <c r="AD5202">
        <v>-1.1166045151406001</v>
      </c>
      <c r="AE5202">
        <v>-0.88386999999999805</v>
      </c>
      <c r="AF5202">
        <v>-1.7218443012015801</v>
      </c>
      <c r="AG5202">
        <v>-1.1166045151406001</v>
      </c>
      <c r="AH5202">
        <v>4.8523744658444699</v>
      </c>
      <c r="AI5202">
        <v>102.23605036559999</v>
      </c>
      <c r="AJ5202">
        <v>109.53701157820799</v>
      </c>
      <c r="AK5202">
        <v>5.2684999191033599</v>
      </c>
      <c r="AL5202">
        <v>86.897601721648499</v>
      </c>
      <c r="AM5202">
        <v>100.961840970926</v>
      </c>
      <c r="AN5202">
        <v>1.00000000851503</v>
      </c>
    </row>
    <row r="5203" spans="1:40" x14ac:dyDescent="0.25">
      <c r="A5203" t="str">
        <f>"20190312151131475"</f>
        <v>20190312151131475</v>
      </c>
      <c r="B5203" t="str">
        <f>"1552374691466401"</f>
        <v>1552374691466401</v>
      </c>
      <c r="C5203" t="s">
        <v>40</v>
      </c>
      <c r="D5203">
        <v>5.086112</v>
      </c>
      <c r="E5203">
        <v>0.45323180000000002</v>
      </c>
      <c r="F5203" t="s">
        <v>42</v>
      </c>
      <c r="G5203">
        <v>-399.25330000000002</v>
      </c>
      <c r="H5203" s="1">
        <v>-4.9103730000000003E-7</v>
      </c>
      <c r="I5203">
        <v>18.789239999999999</v>
      </c>
      <c r="J5203">
        <v>-404.3141</v>
      </c>
      <c r="K5203">
        <v>1.1165989999999999</v>
      </c>
      <c r="L5203">
        <v>19.709869999999999</v>
      </c>
      <c r="M5203">
        <v>0.87672879999999997</v>
      </c>
      <c r="N5203">
        <v>0</v>
      </c>
      <c r="O5203">
        <v>-0.48079230000000001</v>
      </c>
      <c r="P5203">
        <v>0.95104739999999999</v>
      </c>
      <c r="Q5203">
        <v>4.3935479999999999E-2</v>
      </c>
      <c r="R5203">
        <v>-0.30590689999999998</v>
      </c>
      <c r="S5203">
        <v>3.0025940000000002</v>
      </c>
      <c r="T5203">
        <v>-0.64646939999999997</v>
      </c>
      <c r="U5203">
        <v>-0.57012940000000001</v>
      </c>
      <c r="V5203">
        <v>-0.18995770000000001</v>
      </c>
      <c r="W5203">
        <v>5.43125E-2</v>
      </c>
      <c r="X5203">
        <v>0.98028890000000002</v>
      </c>
      <c r="Y5203">
        <v>-0.29279300000000003</v>
      </c>
      <c r="Z5203">
        <v>0.12790579999999999</v>
      </c>
      <c r="AA5203">
        <v>0.94758240000000005</v>
      </c>
      <c r="AB5203">
        <v>27</v>
      </c>
      <c r="AC5203">
        <v>5.0607999999999702</v>
      </c>
      <c r="AD5203">
        <v>-1.1165994910372901</v>
      </c>
      <c r="AE5203">
        <v>-0.92063000000000195</v>
      </c>
      <c r="AF5203">
        <v>-1.5530212021676799</v>
      </c>
      <c r="AG5203">
        <v>-1.1165994910372901</v>
      </c>
      <c r="AH5203">
        <v>4.6604278691941996</v>
      </c>
      <c r="AI5203">
        <v>102.80592772890201</v>
      </c>
      <c r="AJ5203">
        <v>108.429916959886</v>
      </c>
      <c r="AK5203">
        <v>5.0376837139432498</v>
      </c>
      <c r="AL5203">
        <v>86.886591173914098</v>
      </c>
      <c r="AM5203">
        <v>100.96670221630301</v>
      </c>
      <c r="AN5203">
        <v>1.0000000514543701</v>
      </c>
    </row>
    <row r="5204" spans="1:40" x14ac:dyDescent="0.25">
      <c r="A5204" t="str">
        <f>"20190312151131489"</f>
        <v>20190312151131489</v>
      </c>
      <c r="B5204" t="str">
        <f>"1552374691486897"</f>
        <v>1552374691486897</v>
      </c>
      <c r="C5204" t="s">
        <v>40</v>
      </c>
      <c r="D5204">
        <v>5.0704789999999997</v>
      </c>
      <c r="E5204">
        <v>0.45473540000000001</v>
      </c>
      <c r="F5204" t="s">
        <v>42</v>
      </c>
      <c r="G5204">
        <v>-399.16300000000001</v>
      </c>
      <c r="H5204" s="1">
        <v>-5.375722E-7</v>
      </c>
      <c r="I5204">
        <v>18.744669999999999</v>
      </c>
      <c r="J5204">
        <v>-404.1617</v>
      </c>
      <c r="K5204">
        <v>1.1165929999999999</v>
      </c>
      <c r="L5204">
        <v>19.633120000000002</v>
      </c>
      <c r="M5204">
        <v>0.87944519999999904</v>
      </c>
      <c r="N5204">
        <v>0</v>
      </c>
      <c r="O5204">
        <v>-0.47580539999999999</v>
      </c>
      <c r="P5204">
        <v>0.95276130000000003</v>
      </c>
      <c r="Q5204">
        <v>4.4011750000000002E-2</v>
      </c>
      <c r="R5204">
        <v>-0.30051489999999997</v>
      </c>
      <c r="S5204">
        <v>3.003479</v>
      </c>
      <c r="T5204">
        <v>-0.6510513</v>
      </c>
      <c r="U5204">
        <v>-0.56277469999999996</v>
      </c>
      <c r="V5204">
        <v>-0.189942</v>
      </c>
      <c r="W5204">
        <v>5.4390109999999998E-2</v>
      </c>
      <c r="X5204">
        <v>0.98028760000000004</v>
      </c>
      <c r="Y5204">
        <v>-0.28960659999999999</v>
      </c>
      <c r="Z5204">
        <v>0.12753519999999999</v>
      </c>
      <c r="AA5204">
        <v>0.94861099999999998</v>
      </c>
      <c r="AB5204">
        <v>27</v>
      </c>
      <c r="AC5204">
        <v>4.9986999999999799</v>
      </c>
      <c r="AD5204">
        <v>-1.1165935375722</v>
      </c>
      <c r="AE5204">
        <v>-0.88844999999999796</v>
      </c>
      <c r="AF5204">
        <v>-1.5235218724247801</v>
      </c>
      <c r="AG5204">
        <v>-1.1165935375722</v>
      </c>
      <c r="AH5204">
        <v>4.5969098609205599</v>
      </c>
      <c r="AI5204">
        <v>102.983659810763</v>
      </c>
      <c r="AJ5204">
        <v>108.336386219917</v>
      </c>
      <c r="AK5204">
        <v>4.9698571703152004</v>
      </c>
      <c r="AL5204">
        <v>86.882137746360797</v>
      </c>
      <c r="AM5204">
        <v>100.965831981794</v>
      </c>
      <c r="AN5204">
        <v>1.0000000130717801</v>
      </c>
    </row>
    <row r="5205" spans="1:40" x14ac:dyDescent="0.25">
      <c r="A5205" t="str">
        <f>"20190312151131501"</f>
        <v>20190312151131501</v>
      </c>
      <c r="B5205" t="str">
        <f>"1552374691496657"</f>
        <v>1552374691496657</v>
      </c>
      <c r="C5205" t="s">
        <v>40</v>
      </c>
      <c r="D5205">
        <v>5.0946809999999996</v>
      </c>
      <c r="E5205">
        <v>0.45508120000000002</v>
      </c>
      <c r="F5205" t="s">
        <v>42</v>
      </c>
      <c r="G5205">
        <v>-398.98759999999999</v>
      </c>
      <c r="H5205" s="1">
        <v>-6.263776E-7</v>
      </c>
      <c r="I5205">
        <v>18.672820000000002</v>
      </c>
      <c r="J5205">
        <v>-404.03179999999998</v>
      </c>
      <c r="K5205">
        <v>1.116595</v>
      </c>
      <c r="L5205">
        <v>19.568390000000001</v>
      </c>
      <c r="M5205">
        <v>0.88173099999999904</v>
      </c>
      <c r="N5205">
        <v>0</v>
      </c>
      <c r="O5205">
        <v>-0.47155589999999997</v>
      </c>
      <c r="P5205">
        <v>0.95422019999999996</v>
      </c>
      <c r="Q5205">
        <v>4.4176439999999997E-2</v>
      </c>
      <c r="R5205">
        <v>-0.2958248</v>
      </c>
      <c r="S5205">
        <v>3.0028990000000002</v>
      </c>
      <c r="T5205">
        <v>-0.64805089999999999</v>
      </c>
      <c r="U5205">
        <v>-0.55734249999999996</v>
      </c>
      <c r="V5205">
        <v>-0.19003149999999999</v>
      </c>
      <c r="W5205">
        <v>5.4554369999999998E-2</v>
      </c>
      <c r="X5205">
        <v>0.9802611</v>
      </c>
      <c r="Y5205">
        <v>-0.28689750000000003</v>
      </c>
      <c r="Z5205">
        <v>0.12594069999999999</v>
      </c>
      <c r="AA5205">
        <v>0.94964669999999896</v>
      </c>
      <c r="AB5205">
        <v>27</v>
      </c>
      <c r="AC5205">
        <v>5.0441999999999796</v>
      </c>
      <c r="AD5205">
        <v>-1.1165956263776</v>
      </c>
      <c r="AE5205">
        <v>-0.89556999999999898</v>
      </c>
      <c r="AF5205">
        <v>-1.51705201930962</v>
      </c>
      <c r="AG5205">
        <v>-1.1165956263776</v>
      </c>
      <c r="AH5205">
        <v>4.6495204381567303</v>
      </c>
      <c r="AI5205">
        <v>102.860624185462</v>
      </c>
      <c r="AJ5205">
        <v>108.070541170444</v>
      </c>
      <c r="AK5205">
        <v>5.0165997375686802</v>
      </c>
      <c r="AL5205">
        <v>86.872712266794906</v>
      </c>
      <c r="AM5205">
        <v>100.971163084228</v>
      </c>
      <c r="AN5205">
        <v>0.99999998722577799</v>
      </c>
    </row>
    <row r="5206" spans="1:40" x14ac:dyDescent="0.25">
      <c r="A5206" t="str">
        <f>"20190312151131519"</f>
        <v>20190312151131519</v>
      </c>
      <c r="B5206" t="str">
        <f>"1552374691506417"</f>
        <v>1552374691506417</v>
      </c>
      <c r="C5206" t="s">
        <v>40</v>
      </c>
      <c r="D5206">
        <v>5.0874189999999997</v>
      </c>
      <c r="E5206">
        <v>0.45542680000000002</v>
      </c>
      <c r="F5206" t="s">
        <v>42</v>
      </c>
      <c r="G5206">
        <v>-398.84879999999998</v>
      </c>
      <c r="H5206" s="1">
        <v>-6.9999659999999896E-7</v>
      </c>
      <c r="I5206">
        <v>18.627829999999999</v>
      </c>
      <c r="J5206">
        <v>-403.85480000000001</v>
      </c>
      <c r="K5206">
        <v>1.1165879999999999</v>
      </c>
      <c r="L5206">
        <v>19.481349999999999</v>
      </c>
      <c r="M5206">
        <v>0.88480789999999998</v>
      </c>
      <c r="N5206">
        <v>0</v>
      </c>
      <c r="O5206">
        <v>-0.46575689999999997</v>
      </c>
      <c r="P5206">
        <v>0.95621780000000001</v>
      </c>
      <c r="Q5206">
        <v>4.4441250000000002E-2</v>
      </c>
      <c r="R5206">
        <v>-0.28926230000000003</v>
      </c>
      <c r="S5206">
        <v>3.0048520000000001</v>
      </c>
      <c r="T5206">
        <v>-0.64734639999999999</v>
      </c>
      <c r="U5206">
        <v>-0.54528809999999905</v>
      </c>
      <c r="V5206">
        <v>-0.19032789999999999</v>
      </c>
      <c r="W5206">
        <v>5.4814330000000001E-2</v>
      </c>
      <c r="X5206">
        <v>0.98018910000000004</v>
      </c>
      <c r="Y5206">
        <v>-0.28461880000000001</v>
      </c>
      <c r="Z5206">
        <v>0.1244772</v>
      </c>
      <c r="AA5206">
        <v>0.95052490000000001</v>
      </c>
      <c r="AB5206">
        <v>27</v>
      </c>
      <c r="AC5206">
        <v>5.0060000000000198</v>
      </c>
      <c r="AD5206">
        <v>-1.1165886999965999</v>
      </c>
      <c r="AE5206">
        <v>-0.85351999999999895</v>
      </c>
      <c r="AF5206">
        <v>-1.5038204414315099</v>
      </c>
      <c r="AG5206">
        <v>-1.1165886999965999</v>
      </c>
      <c r="AH5206">
        <v>4.6047099685931796</v>
      </c>
      <c r="AI5206">
        <v>102.980362643772</v>
      </c>
      <c r="AJ5206">
        <v>108.08616274864499</v>
      </c>
      <c r="AK5206">
        <v>4.9710763562722304</v>
      </c>
      <c r="AL5206">
        <v>86.857795363065193</v>
      </c>
      <c r="AM5206">
        <v>100.988646557284</v>
      </c>
      <c r="AN5206">
        <v>0.999999996025284</v>
      </c>
    </row>
    <row r="5207" spans="1:40" x14ac:dyDescent="0.25">
      <c r="A5207" t="str">
        <f>"20190312151131529"</f>
        <v>20190312151131529</v>
      </c>
      <c r="B5207" t="str">
        <f>"1552374691526913"</f>
        <v>1552374691526913</v>
      </c>
      <c r="C5207" t="s">
        <v>40</v>
      </c>
      <c r="D5207">
        <v>5.0296180000000001</v>
      </c>
      <c r="E5207">
        <v>0.45514589999999999</v>
      </c>
      <c r="F5207" t="s">
        <v>42</v>
      </c>
      <c r="G5207">
        <v>-398.63479999999998</v>
      </c>
      <c r="H5207" s="1">
        <v>-8.1209399999999997E-7</v>
      </c>
      <c r="I5207">
        <v>18.56615</v>
      </c>
      <c r="J5207">
        <v>-403.7337</v>
      </c>
      <c r="K5207">
        <v>1.1165849999999999</v>
      </c>
      <c r="L5207">
        <v>19.422969999999999</v>
      </c>
      <c r="M5207">
        <v>0.88688140000000004</v>
      </c>
      <c r="N5207">
        <v>0</v>
      </c>
      <c r="O5207">
        <v>-0.46179629999999999</v>
      </c>
      <c r="P5207">
        <v>0.95755009999999996</v>
      </c>
      <c r="Q5207">
        <v>4.4675979999999997E-2</v>
      </c>
      <c r="R5207">
        <v>-0.28478409999999998</v>
      </c>
      <c r="S5207">
        <v>3.0077820000000002</v>
      </c>
      <c r="T5207">
        <v>-0.6433856</v>
      </c>
      <c r="U5207">
        <v>-0.52734380000000003</v>
      </c>
      <c r="V5207">
        <v>-0.19053059999999999</v>
      </c>
      <c r="W5207">
        <v>5.5046209999999998E-2</v>
      </c>
      <c r="X5207">
        <v>0.98013680000000003</v>
      </c>
      <c r="Y5207">
        <v>-0.28623860000000001</v>
      </c>
      <c r="Z5207">
        <v>0.1231476</v>
      </c>
      <c r="AA5207">
        <v>0.95021160000000005</v>
      </c>
      <c r="AB5207">
        <v>27</v>
      </c>
      <c r="AC5207">
        <v>5.0989000000000102</v>
      </c>
      <c r="AD5207">
        <v>-1.116585812094</v>
      </c>
      <c r="AE5207">
        <v>-0.85681999999999803</v>
      </c>
      <c r="AF5207">
        <v>-1.52383514063243</v>
      </c>
      <c r="AG5207">
        <v>-1.116585812094</v>
      </c>
      <c r="AH5207">
        <v>4.6990968119291203</v>
      </c>
      <c r="AI5207">
        <v>102.736519675099</v>
      </c>
      <c r="AJ5207">
        <v>107.966974504962</v>
      </c>
      <c r="AK5207">
        <v>5.0646172865753902</v>
      </c>
      <c r="AL5207">
        <v>86.844489764396798</v>
      </c>
      <c r="AM5207">
        <v>101.00063683976001</v>
      </c>
      <c r="AN5207">
        <v>1.0000000707429699</v>
      </c>
    </row>
    <row r="5208" spans="1:40" x14ac:dyDescent="0.25">
      <c r="A5208" t="str">
        <f>"20190312151131541"</f>
        <v>20190312151131541</v>
      </c>
      <c r="B5208" t="str">
        <f>"1552374691536340"</f>
        <v>1552374691536340</v>
      </c>
      <c r="C5208" t="s">
        <v>40</v>
      </c>
      <c r="D5208">
        <v>5.0042669999999996</v>
      </c>
      <c r="E5208">
        <v>0.4398647</v>
      </c>
      <c r="F5208" t="s">
        <v>42</v>
      </c>
      <c r="G5208">
        <v>-398.46129999999999</v>
      </c>
      <c r="H5208" s="1">
        <v>-9.0080330000000003E-7</v>
      </c>
      <c r="I5208">
        <v>18.528310000000001</v>
      </c>
      <c r="J5208">
        <v>-403.61529999999999</v>
      </c>
      <c r="K5208">
        <v>1.116581</v>
      </c>
      <c r="L5208">
        <v>19.366240000000001</v>
      </c>
      <c r="M5208">
        <v>0.88889039999999997</v>
      </c>
      <c r="N5208">
        <v>0</v>
      </c>
      <c r="O5208">
        <v>-0.45791749999999998</v>
      </c>
      <c r="P5208">
        <v>0.95875759999999999</v>
      </c>
      <c r="Q5208">
        <v>4.4849760000000002E-2</v>
      </c>
      <c r="R5208">
        <v>-0.28066449999999998</v>
      </c>
      <c r="S5208">
        <v>3.0107729999999999</v>
      </c>
      <c r="T5208">
        <v>-0.63762259999999904</v>
      </c>
      <c r="U5208">
        <v>-0.51089479999999998</v>
      </c>
      <c r="V5208">
        <v>-0.19046150000000001</v>
      </c>
      <c r="W5208">
        <v>5.522237E-2</v>
      </c>
      <c r="X5208">
        <v>0.98014029999999996</v>
      </c>
      <c r="Y5208">
        <v>-0.28759259999999998</v>
      </c>
      <c r="Z5208">
        <v>0.1214621</v>
      </c>
      <c r="AA5208">
        <v>0.95001970000000002</v>
      </c>
      <c r="AB5208">
        <v>27</v>
      </c>
      <c r="AC5208">
        <v>5.1539999999999901</v>
      </c>
      <c r="AD5208">
        <v>-1.1165819008033</v>
      </c>
      <c r="AE5208">
        <v>-0.83792999999999596</v>
      </c>
      <c r="AF5208">
        <v>-1.5447916500405401</v>
      </c>
      <c r="AG5208">
        <v>-1.1165819008033</v>
      </c>
      <c r="AH5208">
        <v>4.7483803500732797</v>
      </c>
      <c r="AI5208">
        <v>102.604775513777</v>
      </c>
      <c r="AJ5208">
        <v>108.021272914295</v>
      </c>
      <c r="AK5208">
        <v>5.1166641801273798</v>
      </c>
      <c r="AL5208">
        <v>86.834381100437298</v>
      </c>
      <c r="AM5208">
        <v>100.99670618653801</v>
      </c>
      <c r="AN5208">
        <v>1.0000000504073701</v>
      </c>
    </row>
    <row r="5209" spans="1:40" x14ac:dyDescent="0.25">
      <c r="A5209" t="str">
        <f>"20190312151131553"</f>
        <v>20190312151131553</v>
      </c>
      <c r="B5209" t="str">
        <f>"1552374691546100"</f>
        <v>1552374691546100</v>
      </c>
      <c r="C5209" t="s">
        <v>40</v>
      </c>
      <c r="D5209">
        <v>5.0414589999999997</v>
      </c>
      <c r="E5209">
        <v>0.43795519999999999</v>
      </c>
      <c r="F5209" t="s">
        <v>42</v>
      </c>
      <c r="G5209">
        <v>-397.0299</v>
      </c>
      <c r="H5209" s="1">
        <v>-1.5751359999999999E-6</v>
      </c>
      <c r="I5209">
        <v>18.541440000000001</v>
      </c>
      <c r="J5209">
        <v>-403.4735</v>
      </c>
      <c r="K5209">
        <v>1.1165750000000001</v>
      </c>
      <c r="L5209">
        <v>19.299289999999999</v>
      </c>
      <c r="M5209">
        <v>0.89126719999999904</v>
      </c>
      <c r="N5209">
        <v>0</v>
      </c>
      <c r="O5209">
        <v>-0.45327390000000001</v>
      </c>
      <c r="P5209">
        <v>0.96016729999999995</v>
      </c>
      <c r="Q5209">
        <v>4.5010080000000001E-2</v>
      </c>
      <c r="R5209">
        <v>-0.27577659999999998</v>
      </c>
      <c r="S5209">
        <v>3.0416259999999999</v>
      </c>
      <c r="T5209">
        <v>-0.51571859999999903</v>
      </c>
      <c r="U5209">
        <v>-0.38095089999999998</v>
      </c>
      <c r="V5209">
        <v>-0.1903396</v>
      </c>
      <c r="W5209">
        <v>5.5385669999999998E-2</v>
      </c>
      <c r="X5209">
        <v>0.98015469999999905</v>
      </c>
      <c r="Y5209">
        <v>-0.3285614</v>
      </c>
      <c r="Z5209">
        <v>0.1008559</v>
      </c>
      <c r="AA5209">
        <v>0.93908230000000004</v>
      </c>
      <c r="AB5209">
        <v>27</v>
      </c>
      <c r="AC5209">
        <v>6.4436</v>
      </c>
      <c r="AD5209">
        <v>-1.1165765751359999</v>
      </c>
      <c r="AE5209">
        <v>-0.75785000000000102</v>
      </c>
      <c r="AF5209">
        <v>-2.18088408700793</v>
      </c>
      <c r="AG5209">
        <v>-1.1165765751359999</v>
      </c>
      <c r="AH5209">
        <v>5.91194849372219</v>
      </c>
      <c r="AI5209">
        <v>100.04825821335</v>
      </c>
      <c r="AJ5209">
        <v>110.248730138426</v>
      </c>
      <c r="AK5209">
        <v>6.3995416743334701</v>
      </c>
      <c r="AL5209">
        <v>86.825010153585595</v>
      </c>
      <c r="AM5209">
        <v>100.98968191240699</v>
      </c>
      <c r="AN5209">
        <v>0.99999998585079897</v>
      </c>
    </row>
    <row r="5210" spans="1:40" x14ac:dyDescent="0.25">
      <c r="A5210" t="str">
        <f>"20190312151131566"</f>
        <v>20190312151131566</v>
      </c>
      <c r="B5210" t="str">
        <f>"1552374691556836"</f>
        <v>1552374691556836</v>
      </c>
      <c r="C5210" t="s">
        <v>40</v>
      </c>
      <c r="D5210">
        <v>4.9914399999999999</v>
      </c>
      <c r="E5210">
        <v>0.43649579999999999</v>
      </c>
      <c r="F5210" t="s">
        <v>42</v>
      </c>
      <c r="G5210">
        <v>-396.64600000000002</v>
      </c>
      <c r="H5210" s="1">
        <v>-1.761692E-6</v>
      </c>
      <c r="I5210">
        <v>18.51275</v>
      </c>
      <c r="J5210">
        <v>-403.33679999999998</v>
      </c>
      <c r="K5210">
        <v>1.1165719999999999</v>
      </c>
      <c r="L5210">
        <v>19.235600000000002</v>
      </c>
      <c r="M5210">
        <v>0.8935322</v>
      </c>
      <c r="N5210">
        <v>0</v>
      </c>
      <c r="O5210">
        <v>-0.44879269999999999</v>
      </c>
      <c r="P5210">
        <v>0.96153509999999998</v>
      </c>
      <c r="Q5210">
        <v>4.4903709999999999E-2</v>
      </c>
      <c r="R5210">
        <v>-0.27098709999999998</v>
      </c>
      <c r="S5210">
        <v>3.0469970000000002</v>
      </c>
      <c r="T5210">
        <v>-0.49830479999999999</v>
      </c>
      <c r="U5210">
        <v>-0.35101320000000003</v>
      </c>
      <c r="V5210">
        <v>-0.19030330000000001</v>
      </c>
      <c r="W5210">
        <v>5.5280929999999999E-2</v>
      </c>
      <c r="X5210">
        <v>0.98016769999999998</v>
      </c>
      <c r="Y5210">
        <v>-0.3338179</v>
      </c>
      <c r="Z5210">
        <v>9.7199430000000003E-2</v>
      </c>
      <c r="AA5210">
        <v>0.93761280000000002</v>
      </c>
      <c r="AB5210">
        <v>27</v>
      </c>
      <c r="AC5210">
        <v>6.6908000000000198</v>
      </c>
      <c r="AD5210">
        <v>-1.116573761692</v>
      </c>
      <c r="AE5210">
        <v>-0.72285000000000099</v>
      </c>
      <c r="AF5210">
        <v>-2.2939620384814501</v>
      </c>
      <c r="AG5210">
        <v>-1.116573761692</v>
      </c>
      <c r="AH5210">
        <v>6.1345651278707303</v>
      </c>
      <c r="AI5210">
        <v>99.674988631045196</v>
      </c>
      <c r="AJ5210">
        <v>110.502803412418</v>
      </c>
      <c r="AK5210">
        <v>6.6439361907968904</v>
      </c>
      <c r="AL5210">
        <v>86.831020641832595</v>
      </c>
      <c r="AM5210">
        <v>100.987494880889</v>
      </c>
      <c r="AN5210">
        <v>1.0000000236679201</v>
      </c>
    </row>
    <row r="5211" spans="1:40" x14ac:dyDescent="0.25">
      <c r="A5211" t="str">
        <f>"20190312151131584"</f>
        <v>20190312151131584</v>
      </c>
      <c r="B5211" t="str">
        <f>"1552374691576356"</f>
        <v>1552374691576356</v>
      </c>
      <c r="C5211" t="s">
        <v>40</v>
      </c>
      <c r="D5211">
        <v>4.9988109999999999</v>
      </c>
      <c r="E5211">
        <v>0.43572840000000002</v>
      </c>
      <c r="F5211" t="s">
        <v>42</v>
      </c>
      <c r="G5211">
        <v>-396.39609999999999</v>
      </c>
      <c r="H5211" s="1">
        <v>-1.8825669999999999E-6</v>
      </c>
      <c r="I5211">
        <v>18.497170000000001</v>
      </c>
      <c r="J5211">
        <v>-403.15289999999999</v>
      </c>
      <c r="K5211">
        <v>1.116565</v>
      </c>
      <c r="L5211">
        <v>19.151150000000001</v>
      </c>
      <c r="M5211">
        <v>0.89653490000000002</v>
      </c>
      <c r="N5211">
        <v>0</v>
      </c>
      <c r="O5211">
        <v>-0.44276369999999998</v>
      </c>
      <c r="P5211">
        <v>0.96331710000000004</v>
      </c>
      <c r="Q5211">
        <v>4.4903899999999997E-2</v>
      </c>
      <c r="R5211">
        <v>-0.26458290000000001</v>
      </c>
      <c r="S5211">
        <v>3.051453</v>
      </c>
      <c r="T5211">
        <v>-0.4908998</v>
      </c>
      <c r="U5211">
        <v>-0.32464599999999999</v>
      </c>
      <c r="V5211">
        <v>-0.19022240000000001</v>
      </c>
      <c r="W5211">
        <v>5.5283789999999999E-2</v>
      </c>
      <c r="X5211">
        <v>0.98018320000000003</v>
      </c>
      <c r="Y5211">
        <v>-0.33598420000000001</v>
      </c>
      <c r="Z5211">
        <v>9.5023679999999999E-2</v>
      </c>
      <c r="AA5211">
        <v>0.93706199999999995</v>
      </c>
      <c r="AB5211">
        <v>27</v>
      </c>
      <c r="AC5211">
        <v>6.7567999999999904</v>
      </c>
      <c r="AD5211">
        <v>-1.1165668825669901</v>
      </c>
      <c r="AE5211">
        <v>-0.65398000000000001</v>
      </c>
      <c r="AF5211">
        <v>-2.3422060098955</v>
      </c>
      <c r="AG5211">
        <v>-1.1165668825669901</v>
      </c>
      <c r="AH5211">
        <v>6.1806408428486304</v>
      </c>
      <c r="AI5211">
        <v>99.588571132178402</v>
      </c>
      <c r="AJ5211">
        <v>110.754625998965</v>
      </c>
      <c r="AK5211">
        <v>6.7032060854731803</v>
      </c>
      <c r="AL5211">
        <v>86.830856393477504</v>
      </c>
      <c r="AM5211">
        <v>100.982768128552</v>
      </c>
      <c r="AN5211">
        <v>0.999999982230381</v>
      </c>
    </row>
    <row r="5212" spans="1:40" x14ac:dyDescent="0.25">
      <c r="A5212" t="str">
        <f>"20190312151131596"</f>
        <v>20190312151131596</v>
      </c>
      <c r="B5212" t="str">
        <f>"1552374691586116"</f>
        <v>1552374691586116</v>
      </c>
      <c r="C5212" t="s">
        <v>40</v>
      </c>
      <c r="D5212">
        <v>4.9733640000000001</v>
      </c>
      <c r="E5212">
        <v>0.43565880000000001</v>
      </c>
      <c r="F5212" t="s">
        <v>42</v>
      </c>
      <c r="G5212">
        <v>-396.0795</v>
      </c>
      <c r="H5212" s="1">
        <v>-2.0388930000000001E-6</v>
      </c>
      <c r="I5212">
        <v>18.459630000000001</v>
      </c>
      <c r="J5212">
        <v>-403.00420000000003</v>
      </c>
      <c r="K5212">
        <v>1.1165609999999999</v>
      </c>
      <c r="L5212">
        <v>19.083770000000001</v>
      </c>
      <c r="M5212">
        <v>0.89892709999999998</v>
      </c>
      <c r="N5212">
        <v>0</v>
      </c>
      <c r="O5212">
        <v>-0.43788690000000002</v>
      </c>
      <c r="P5212">
        <v>0.96460690000000004</v>
      </c>
      <c r="Q5212">
        <v>4.4664929999999999E-2</v>
      </c>
      <c r="R5212">
        <v>-0.25988289999999997</v>
      </c>
      <c r="S5212">
        <v>3.0547179999999998</v>
      </c>
      <c r="T5212">
        <v>-0.48220350000000001</v>
      </c>
      <c r="U5212">
        <v>-0.29864499999999999</v>
      </c>
      <c r="V5212">
        <v>-0.18967700000000001</v>
      </c>
      <c r="W5212">
        <v>5.5055729999999997E-2</v>
      </c>
      <c r="X5212">
        <v>0.98030170000000005</v>
      </c>
      <c r="Y5212">
        <v>-0.33922930000000001</v>
      </c>
      <c r="Z5212">
        <v>9.2899629999999997E-2</v>
      </c>
      <c r="AA5212">
        <v>0.93610530000000003</v>
      </c>
      <c r="AB5212">
        <v>27</v>
      </c>
      <c r="AC5212">
        <v>6.9247000000000298</v>
      </c>
      <c r="AD5212">
        <v>-1.1165630388929999</v>
      </c>
      <c r="AE5212">
        <v>-0.62414000000000402</v>
      </c>
      <c r="AF5212">
        <v>-2.4092727847281501</v>
      </c>
      <c r="AG5212">
        <v>-1.1165630388929999</v>
      </c>
      <c r="AH5212">
        <v>6.33531722386192</v>
      </c>
      <c r="AI5212">
        <v>99.354559125502803</v>
      </c>
      <c r="AJ5212">
        <v>110.821427316916</v>
      </c>
      <c r="AK5212">
        <v>6.8693196677702497</v>
      </c>
      <c r="AL5212">
        <v>86.843943131531404</v>
      </c>
      <c r="AM5212">
        <v>100.95074928370499</v>
      </c>
      <c r="AN5212">
        <v>0.99999996037885996</v>
      </c>
    </row>
    <row r="5213" spans="1:40" x14ac:dyDescent="0.25">
      <c r="A5213" t="str">
        <f>"20190312151131608"</f>
        <v>20190312151131608</v>
      </c>
      <c r="B5213" t="str">
        <f>"1552374691596853"</f>
        <v>1552374691596853</v>
      </c>
      <c r="C5213" t="s">
        <v>40</v>
      </c>
      <c r="D5213">
        <v>4.9632630000000004</v>
      </c>
      <c r="E5213">
        <v>0.4357702</v>
      </c>
      <c r="F5213" t="s">
        <v>42</v>
      </c>
      <c r="G5213">
        <v>-395.85860000000002</v>
      </c>
      <c r="H5213" s="1">
        <v>-2.1501189999999999E-6</v>
      </c>
      <c r="I5213">
        <v>18.421410000000002</v>
      </c>
      <c r="J5213">
        <v>-402.88060000000002</v>
      </c>
      <c r="K5213">
        <v>1.1165579999999999</v>
      </c>
      <c r="L5213">
        <v>19.0289</v>
      </c>
      <c r="M5213">
        <v>0.90088900000000005</v>
      </c>
      <c r="N5213">
        <v>0</v>
      </c>
      <c r="O5213">
        <v>-0.43383569999999999</v>
      </c>
      <c r="P5213">
        <v>0.96570800000000001</v>
      </c>
      <c r="Q5213">
        <v>4.4256919999999998E-2</v>
      </c>
      <c r="R5213">
        <v>-0.25583030000000001</v>
      </c>
      <c r="S5213">
        <v>3.0558779999999999</v>
      </c>
      <c r="T5213">
        <v>-0.47750599999999999</v>
      </c>
      <c r="U5213">
        <v>-0.28326420000000002</v>
      </c>
      <c r="V5213">
        <v>-0.1893811</v>
      </c>
      <c r="W5213">
        <v>5.4654349999999997E-2</v>
      </c>
      <c r="X5213">
        <v>0.98038139999999996</v>
      </c>
      <c r="Y5213">
        <v>-0.33992</v>
      </c>
      <c r="Z5213">
        <v>9.1496170000000002E-2</v>
      </c>
      <c r="AA5213">
        <v>0.93599299999999996</v>
      </c>
      <c r="AB5213">
        <v>27</v>
      </c>
      <c r="AC5213">
        <v>7.0219999999999896</v>
      </c>
      <c r="AD5213">
        <v>-1.1165601501189999</v>
      </c>
      <c r="AE5213">
        <v>-0.60748999999999798</v>
      </c>
      <c r="AF5213">
        <v>-2.43815721048305</v>
      </c>
      <c r="AG5213">
        <v>-1.1165601501189999</v>
      </c>
      <c r="AH5213">
        <v>6.4288662506994401</v>
      </c>
      <c r="AI5213">
        <v>99.223899924947204</v>
      </c>
      <c r="AJ5213">
        <v>110.76930746203099</v>
      </c>
      <c r="AK5213">
        <v>6.9657475134580098</v>
      </c>
      <c r="AL5213">
        <v>86.866975297481304</v>
      </c>
      <c r="AM5213">
        <v>100.933210491656</v>
      </c>
      <c r="AN5213">
        <v>0.99999999423854602</v>
      </c>
    </row>
    <row r="5214" spans="1:40" x14ac:dyDescent="0.25">
      <c r="A5214" t="str">
        <f>"20190312151131620"</f>
        <v>20190312151131620</v>
      </c>
      <c r="B5214" t="str">
        <f>"1552374691616373"</f>
        <v>1552374691616373</v>
      </c>
      <c r="C5214" t="s">
        <v>40</v>
      </c>
      <c r="D5214">
        <v>4.9823519999999997</v>
      </c>
      <c r="E5214">
        <v>0.43634879999999998</v>
      </c>
      <c r="F5214" t="s">
        <v>42</v>
      </c>
      <c r="G5214">
        <v>-395.66390000000001</v>
      </c>
      <c r="H5214" s="1">
        <v>-2.2479440000000001E-6</v>
      </c>
      <c r="I5214">
        <v>18.388660000000002</v>
      </c>
      <c r="J5214">
        <v>-402.755</v>
      </c>
      <c r="K5214">
        <v>1.116554</v>
      </c>
      <c r="L5214">
        <v>18.973479999999999</v>
      </c>
      <c r="M5214">
        <v>0.90286239999999995</v>
      </c>
      <c r="N5214">
        <v>0</v>
      </c>
      <c r="O5214">
        <v>-0.42971389999999998</v>
      </c>
      <c r="P5214">
        <v>0.96681870000000003</v>
      </c>
      <c r="Q5214">
        <v>4.4158240000000001E-2</v>
      </c>
      <c r="R5214">
        <v>-0.2516176</v>
      </c>
      <c r="S5214">
        <v>3.0563660000000001</v>
      </c>
      <c r="T5214">
        <v>-0.47287610000000002</v>
      </c>
      <c r="U5214">
        <v>-0.27114870000000002</v>
      </c>
      <c r="V5214">
        <v>-0.18917400000000001</v>
      </c>
      <c r="W5214">
        <v>5.4561039999999998E-2</v>
      </c>
      <c r="X5214">
        <v>0.98042660000000004</v>
      </c>
      <c r="Y5214">
        <v>-0.33954319999999999</v>
      </c>
      <c r="Z5214">
        <v>9.0031979999999998E-2</v>
      </c>
      <c r="AA5214">
        <v>0.93627169999999904</v>
      </c>
      <c r="AB5214">
        <v>27</v>
      </c>
      <c r="AC5214">
        <v>7.0910999999999804</v>
      </c>
      <c r="AD5214">
        <v>-1.1165562479440001</v>
      </c>
      <c r="AE5214">
        <v>-0.58481999999999701</v>
      </c>
      <c r="AF5214">
        <v>-2.4588156071993699</v>
      </c>
      <c r="AG5214">
        <v>-1.1165562479440001</v>
      </c>
      <c r="AH5214">
        <v>6.49428308252386</v>
      </c>
      <c r="AI5214">
        <v>99.134431612856801</v>
      </c>
      <c r="AJ5214">
        <v>110.737283304193</v>
      </c>
      <c r="AK5214">
        <v>7.03336226857295</v>
      </c>
      <c r="AL5214">
        <v>86.872329616711497</v>
      </c>
      <c r="AM5214">
        <v>100.921050615038</v>
      </c>
      <c r="AN5214">
        <v>1.00000001367472</v>
      </c>
    </row>
    <row r="5215" spans="1:40" x14ac:dyDescent="0.25">
      <c r="A5215" t="str">
        <f>"20190312151131631"</f>
        <v>20190312151131631</v>
      </c>
      <c r="B5215" t="str">
        <f>"1552374691626133"</f>
        <v>1552374691626133</v>
      </c>
      <c r="C5215" t="s">
        <v>40</v>
      </c>
      <c r="D5215">
        <v>4.9790869999999998</v>
      </c>
      <c r="E5215">
        <v>0.43671480000000001</v>
      </c>
      <c r="F5215" t="s">
        <v>42</v>
      </c>
      <c r="G5215">
        <v>-395.51029999999997</v>
      </c>
      <c r="H5215" s="1">
        <v>-2.327071E-6</v>
      </c>
      <c r="I5215">
        <v>18.351780000000002</v>
      </c>
      <c r="J5215">
        <v>-402.63310000000001</v>
      </c>
      <c r="K5215">
        <v>1.116544</v>
      </c>
      <c r="L5215">
        <v>18.920590000000001</v>
      </c>
      <c r="M5215">
        <v>0.90475479999999997</v>
      </c>
      <c r="N5215">
        <v>0</v>
      </c>
      <c r="O5215">
        <v>-0.42571510000000001</v>
      </c>
      <c r="P5215">
        <v>0.96788070000000004</v>
      </c>
      <c r="Q5215">
        <v>4.4153940000000003E-2</v>
      </c>
      <c r="R5215">
        <v>-0.24750249999999999</v>
      </c>
      <c r="S5215">
        <v>3.0562130000000001</v>
      </c>
      <c r="T5215">
        <v>-0.47102739999999998</v>
      </c>
      <c r="U5215">
        <v>-0.262268099999999</v>
      </c>
      <c r="V5215">
        <v>-0.18900620000000001</v>
      </c>
      <c r="W5215">
        <v>5.4560089999999999E-2</v>
      </c>
      <c r="X5215">
        <v>0.98045899999999997</v>
      </c>
      <c r="Y5215">
        <v>-0.33820790000000001</v>
      </c>
      <c r="Z5215">
        <v>8.9051130000000006E-2</v>
      </c>
      <c r="AA5215">
        <v>0.93684860000000003</v>
      </c>
      <c r="AB5215">
        <v>27</v>
      </c>
      <c r="AC5215">
        <v>7.1228000000000398</v>
      </c>
      <c r="AD5215">
        <v>-1.1165463270710001</v>
      </c>
      <c r="AE5215">
        <v>-0.56881000000000204</v>
      </c>
      <c r="AF5215">
        <v>-2.4578697115322701</v>
      </c>
      <c r="AG5215">
        <v>-1.1165463270710001</v>
      </c>
      <c r="AH5215">
        <v>6.5277702848205204</v>
      </c>
      <c r="AI5215">
        <v>99.094442769773394</v>
      </c>
      <c r="AJ5215">
        <v>110.632618184949</v>
      </c>
      <c r="AK5215">
        <v>7.0639637676554701</v>
      </c>
      <c r="AL5215">
        <v>86.872384082550099</v>
      </c>
      <c r="AM5215">
        <v>100.911244194776</v>
      </c>
      <c r="AN5215">
        <v>0.99999999887012403</v>
      </c>
    </row>
    <row r="5216" spans="1:40" x14ac:dyDescent="0.25">
      <c r="A5216" t="str">
        <f>"20190312151131642"</f>
        <v>20190312151131642</v>
      </c>
      <c r="B5216" t="str">
        <f>"1552374691636964"</f>
        <v>1552374691636964</v>
      </c>
      <c r="C5216" t="s">
        <v>40</v>
      </c>
      <c r="D5216">
        <v>4.9780530000000001</v>
      </c>
      <c r="E5216">
        <v>0.436892</v>
      </c>
      <c r="F5216" t="s">
        <v>42</v>
      </c>
      <c r="G5216">
        <v>-395.36160000000001</v>
      </c>
      <c r="H5216" s="1">
        <v>-2.4028039999999998E-6</v>
      </c>
      <c r="I5216">
        <v>18.321200000000001</v>
      </c>
      <c r="J5216">
        <v>-402.51049999999998</v>
      </c>
      <c r="K5216">
        <v>1.1165400000000001</v>
      </c>
      <c r="L5216">
        <v>18.867830000000001</v>
      </c>
      <c r="M5216">
        <v>0.90663800000000005</v>
      </c>
      <c r="N5216">
        <v>0</v>
      </c>
      <c r="O5216">
        <v>-0.42168990000000001</v>
      </c>
      <c r="P5216">
        <v>0.96889919999999996</v>
      </c>
      <c r="Q5216">
        <v>4.4240300000000003E-2</v>
      </c>
      <c r="R5216">
        <v>-0.24346860000000001</v>
      </c>
      <c r="S5216">
        <v>3.056549</v>
      </c>
      <c r="T5216">
        <v>-0.46933570000000002</v>
      </c>
      <c r="U5216">
        <v>-0.25195309999999999</v>
      </c>
      <c r="V5216">
        <v>-0.1887317</v>
      </c>
      <c r="W5216">
        <v>5.465246E-2</v>
      </c>
      <c r="X5216">
        <v>0.98050669999999995</v>
      </c>
      <c r="Y5216">
        <v>-0.33729530000000002</v>
      </c>
      <c r="Z5216">
        <v>8.8120100000000007E-2</v>
      </c>
      <c r="AA5216">
        <v>0.93726560000000003</v>
      </c>
      <c r="AB5216">
        <v>27</v>
      </c>
      <c r="AC5216">
        <v>7.1488999999999603</v>
      </c>
      <c r="AD5216">
        <v>-1.1165424028040001</v>
      </c>
      <c r="AE5216">
        <v>-0.54662999999999595</v>
      </c>
      <c r="AF5216">
        <v>-2.4596072597113698</v>
      </c>
      <c r="AG5216">
        <v>-1.1165424028040001</v>
      </c>
      <c r="AH5216">
        <v>6.5536576292420099</v>
      </c>
      <c r="AI5216">
        <v>99.062671647048703</v>
      </c>
      <c r="AJ5216">
        <v>110.57126313457999</v>
      </c>
      <c r="AK5216">
        <v>7.0884951245385102</v>
      </c>
      <c r="AL5216">
        <v>86.867083664295905</v>
      </c>
      <c r="AM5216">
        <v>100.895259618219</v>
      </c>
      <c r="AN5216">
        <v>0.99999996735691499</v>
      </c>
    </row>
    <row r="5217" spans="1:40" x14ac:dyDescent="0.25">
      <c r="A5217" t="str">
        <f>"20190312151131659"</f>
        <v>20190312151131659</v>
      </c>
      <c r="B5217" t="str">
        <f>"1552374691646724"</f>
        <v>1552374691646724</v>
      </c>
      <c r="C5217" t="s">
        <v>40</v>
      </c>
      <c r="D5217">
        <v>4.9696889999999998</v>
      </c>
      <c r="E5217">
        <v>0.43718170000000001</v>
      </c>
      <c r="F5217" t="s">
        <v>42</v>
      </c>
      <c r="G5217">
        <v>-395.2396</v>
      </c>
      <c r="H5217" s="1">
        <v>-2.4650850000000001E-6</v>
      </c>
      <c r="I5217">
        <v>18.29532</v>
      </c>
      <c r="J5217">
        <v>-402.33269999999999</v>
      </c>
      <c r="K5217">
        <v>1.1165339999999999</v>
      </c>
      <c r="L5217">
        <v>18.79242</v>
      </c>
      <c r="M5217">
        <v>0.90933209999999998</v>
      </c>
      <c r="N5217">
        <v>0</v>
      </c>
      <c r="O5217">
        <v>-0.41584880000000002</v>
      </c>
      <c r="P5217">
        <v>0.97042320000000004</v>
      </c>
      <c r="Q5217">
        <v>4.4225569999999999E-2</v>
      </c>
      <c r="R5217">
        <v>-0.23732500000000001</v>
      </c>
      <c r="S5217">
        <v>3.05722</v>
      </c>
      <c r="T5217">
        <v>-0.46947610000000001</v>
      </c>
      <c r="U5217">
        <v>-0.24072270000000001</v>
      </c>
      <c r="V5217">
        <v>-0.188636</v>
      </c>
      <c r="W5217">
        <v>5.4640550000000003E-2</v>
      </c>
      <c r="X5217">
        <v>0.9805258</v>
      </c>
      <c r="Y5217">
        <v>-0.33477459999999998</v>
      </c>
      <c r="Z5217">
        <v>8.7145559999999997E-2</v>
      </c>
      <c r="AA5217">
        <v>0.93825990000000004</v>
      </c>
      <c r="AB5217">
        <v>27</v>
      </c>
      <c r="AC5217">
        <v>7.09309999999999</v>
      </c>
      <c r="AD5217">
        <v>-1.11653646508499</v>
      </c>
      <c r="AE5217">
        <v>-0.49709999999999899</v>
      </c>
      <c r="AF5217">
        <v>-2.4377506896108998</v>
      </c>
      <c r="AG5217">
        <v>-1.11653646508499</v>
      </c>
      <c r="AH5217">
        <v>6.4971160237533097</v>
      </c>
      <c r="AI5217">
        <v>99.140456199496398</v>
      </c>
      <c r="AJ5217">
        <v>110.566344170364</v>
      </c>
      <c r="AK5217">
        <v>7.0286413145553901</v>
      </c>
      <c r="AL5217">
        <v>86.867767140866405</v>
      </c>
      <c r="AM5217">
        <v>100.889660037523</v>
      </c>
      <c r="AN5217">
        <v>0.99999998733297102</v>
      </c>
    </row>
    <row r="5218" spans="1:40" x14ac:dyDescent="0.25">
      <c r="A5218" t="str">
        <f>"20190312151131681"</f>
        <v>20190312151131681</v>
      </c>
      <c r="B5218" t="str">
        <f>"1552374691676981"</f>
        <v>1552374691676981</v>
      </c>
      <c r="C5218" t="s">
        <v>40</v>
      </c>
      <c r="D5218">
        <v>4.9482520000000001</v>
      </c>
      <c r="E5218">
        <v>0.43836999999999998</v>
      </c>
      <c r="F5218" t="s">
        <v>42</v>
      </c>
      <c r="G5218">
        <v>-395.06119999999999</v>
      </c>
      <c r="H5218" s="1">
        <v>-2.5554889999999998E-6</v>
      </c>
      <c r="I5218">
        <v>18.260829999999999</v>
      </c>
      <c r="J5218">
        <v>-402.08730000000003</v>
      </c>
      <c r="K5218">
        <v>1.1165259999999999</v>
      </c>
      <c r="L5218">
        <v>18.69089</v>
      </c>
      <c r="M5218">
        <v>0.91297439999999996</v>
      </c>
      <c r="N5218">
        <v>0</v>
      </c>
      <c r="O5218">
        <v>-0.40778959999999997</v>
      </c>
      <c r="P5218">
        <v>0.97247209999999995</v>
      </c>
      <c r="Q5218">
        <v>4.4087950000000001E-2</v>
      </c>
      <c r="R5218">
        <v>-0.2288106</v>
      </c>
      <c r="S5218">
        <v>3.0581670000000001</v>
      </c>
      <c r="T5218">
        <v>-0.469586</v>
      </c>
      <c r="U5218">
        <v>-0.22357179999999999</v>
      </c>
      <c r="V5218">
        <v>-0.1885561</v>
      </c>
      <c r="W5218">
        <v>5.45058E-2</v>
      </c>
      <c r="X5218">
        <v>0.98054870000000005</v>
      </c>
      <c r="Y5218">
        <v>-0.33182669999999997</v>
      </c>
      <c r="Z5218">
        <v>8.5822480000000007E-2</v>
      </c>
      <c r="AA5218">
        <v>0.93942829999999999</v>
      </c>
      <c r="AB5218">
        <v>27</v>
      </c>
      <c r="AC5218">
        <v>7.0261000000000404</v>
      </c>
      <c r="AD5218">
        <v>-1.1165285554889901</v>
      </c>
      <c r="AE5218">
        <v>-0.430060000000001</v>
      </c>
      <c r="AF5218">
        <v>-2.4120813013160198</v>
      </c>
      <c r="AG5218">
        <v>-1.1165285554889901</v>
      </c>
      <c r="AH5218">
        <v>6.4288922543018998</v>
      </c>
      <c r="AI5218">
        <v>99.235761112500398</v>
      </c>
      <c r="AJ5218">
        <v>110.56578569019401</v>
      </c>
      <c r="AK5218">
        <v>6.9566822434838702</v>
      </c>
      <c r="AL5218">
        <v>86.875499369160707</v>
      </c>
      <c r="AM5218">
        <v>100.884909604163</v>
      </c>
      <c r="AN5218">
        <v>1.0000000190762699</v>
      </c>
    </row>
    <row r="5219" spans="1:40" x14ac:dyDescent="0.25">
      <c r="A5219" t="str">
        <f>"20190312151131699"</f>
        <v>20190312151131699</v>
      </c>
      <c r="B5219" t="str">
        <f>"1552374691696500"</f>
        <v>1552374691696500</v>
      </c>
      <c r="C5219" t="s">
        <v>40</v>
      </c>
      <c r="D5219">
        <v>4.9460559999999996</v>
      </c>
      <c r="E5219">
        <v>0.43910919999999998</v>
      </c>
      <c r="F5219" t="s">
        <v>42</v>
      </c>
      <c r="G5219">
        <v>-394.80590000000001</v>
      </c>
      <c r="H5219" s="1">
        <v>-2.6868740000000002E-6</v>
      </c>
      <c r="I5219">
        <v>18.20065</v>
      </c>
      <c r="J5219">
        <v>-401.89370000000002</v>
      </c>
      <c r="K5219">
        <v>1.11652</v>
      </c>
      <c r="L5219">
        <v>18.61243</v>
      </c>
      <c r="M5219">
        <v>0.91578879999999996</v>
      </c>
      <c r="N5219">
        <v>0</v>
      </c>
      <c r="O5219">
        <v>-0.40142939999999999</v>
      </c>
      <c r="P5219">
        <v>0.97402920000000004</v>
      </c>
      <c r="Q5219">
        <v>4.4204899999999998E-2</v>
      </c>
      <c r="R5219">
        <v>-0.22206519999999999</v>
      </c>
      <c r="S5219">
        <v>3.0577390000000002</v>
      </c>
      <c r="T5219">
        <v>-0.46887430000000002</v>
      </c>
      <c r="U5219">
        <v>-0.20587159999999999</v>
      </c>
      <c r="V5219">
        <v>-0.18853049999999999</v>
      </c>
      <c r="W5219">
        <v>5.4624840000000001E-2</v>
      </c>
      <c r="X5219">
        <v>0.98054699999999995</v>
      </c>
      <c r="Y5219">
        <v>-0.33077790000000001</v>
      </c>
      <c r="Z5219">
        <v>8.476786E-2</v>
      </c>
      <c r="AA5219">
        <v>0.9398938</v>
      </c>
      <c r="AB5219">
        <v>27</v>
      </c>
      <c r="AC5219">
        <v>7.0878000000000103</v>
      </c>
      <c r="AD5219">
        <v>-1.1165226868739999</v>
      </c>
      <c r="AE5219">
        <v>-0.41177999999999998</v>
      </c>
      <c r="AF5219">
        <v>-2.40880341304331</v>
      </c>
      <c r="AG5219">
        <v>-1.1165226868739999</v>
      </c>
      <c r="AH5219">
        <v>6.4961854756540802</v>
      </c>
      <c r="AI5219">
        <v>99.154596614453894</v>
      </c>
      <c r="AJ5219">
        <v>110.344918725921</v>
      </c>
      <c r="AK5219">
        <v>7.0177904305481</v>
      </c>
      <c r="AL5219">
        <v>86.868668709081504</v>
      </c>
      <c r="AM5219">
        <v>100.883485488652</v>
      </c>
      <c r="AN5219">
        <v>1.00000002089213</v>
      </c>
    </row>
    <row r="5220" spans="1:40" x14ac:dyDescent="0.25">
      <c r="A5220" t="str">
        <f>"20190312151131712"</f>
        <v>20190312151131712</v>
      </c>
      <c r="B5220" t="str">
        <f>"1552374691706260"</f>
        <v>1552374691706260</v>
      </c>
      <c r="C5220" t="s">
        <v>40</v>
      </c>
      <c r="D5220">
        <v>4.937551</v>
      </c>
      <c r="E5220">
        <v>0.43950020000000001</v>
      </c>
      <c r="F5220" t="s">
        <v>42</v>
      </c>
      <c r="G5220">
        <v>-394.59550000000002</v>
      </c>
      <c r="H5220" s="1">
        <v>-2.7938409999999999E-6</v>
      </c>
      <c r="I5220">
        <v>18.158349999999999</v>
      </c>
      <c r="J5220">
        <v>-401.7491</v>
      </c>
      <c r="K5220">
        <v>1.1165160000000001</v>
      </c>
      <c r="L5220">
        <v>18.554960000000001</v>
      </c>
      <c r="M5220">
        <v>0.91785819999999996</v>
      </c>
      <c r="N5220">
        <v>0</v>
      </c>
      <c r="O5220">
        <v>-0.3966751</v>
      </c>
      <c r="P5220">
        <v>0.97520709999999999</v>
      </c>
      <c r="Q5220">
        <v>4.4068110000000001E-2</v>
      </c>
      <c r="R5220">
        <v>-0.21686169999999999</v>
      </c>
      <c r="S5220">
        <v>3.0577999999999999</v>
      </c>
      <c r="T5220">
        <v>-0.46779759999999998</v>
      </c>
      <c r="U5220">
        <v>-0.19024659999999999</v>
      </c>
      <c r="V5220">
        <v>-0.1886806</v>
      </c>
      <c r="W5220">
        <v>5.448629E-2</v>
      </c>
      <c r="X5220">
        <v>0.9805258</v>
      </c>
      <c r="Y5220">
        <v>-0.33076290000000003</v>
      </c>
      <c r="Z5220">
        <v>8.3933560000000004E-2</v>
      </c>
      <c r="AA5220">
        <v>0.93997399999999998</v>
      </c>
      <c r="AB5220">
        <v>27</v>
      </c>
      <c r="AC5220">
        <v>7.1535999999999804</v>
      </c>
      <c r="AD5220">
        <v>-1.1165187938409999</v>
      </c>
      <c r="AE5220">
        <v>-0.39661000000000202</v>
      </c>
      <c r="AF5220">
        <v>-2.41519766657798</v>
      </c>
      <c r="AG5220">
        <v>-1.1165187938409999</v>
      </c>
      <c r="AH5220">
        <v>6.5645148000748099</v>
      </c>
      <c r="AI5220">
        <v>99.069225866723798</v>
      </c>
      <c r="AJ5220">
        <v>110.199434971797</v>
      </c>
      <c r="AK5220">
        <v>7.0832653872380904</v>
      </c>
      <c r="AL5220">
        <v>86.876618765419195</v>
      </c>
      <c r="AM5220">
        <v>100.892173147111</v>
      </c>
      <c r="AN5220">
        <v>0.99999998453998096</v>
      </c>
    </row>
    <row r="5221" spans="1:40" x14ac:dyDescent="0.25">
      <c r="A5221" t="str">
        <f>"20190312151131731"</f>
        <v>20190312151131731</v>
      </c>
      <c r="B5221" t="str">
        <f>"1552374691726756"</f>
        <v>1552374691726756</v>
      </c>
      <c r="C5221" t="s">
        <v>40</v>
      </c>
      <c r="D5221">
        <v>4.9497960000000001</v>
      </c>
      <c r="E5221">
        <v>0.44798650000000001</v>
      </c>
      <c r="F5221" t="s">
        <v>42</v>
      </c>
      <c r="G5221">
        <v>-394.44850000000002</v>
      </c>
      <c r="H5221" s="1">
        <v>-2.8679160000000001E-6</v>
      </c>
      <c r="I5221">
        <v>18.132400000000001</v>
      </c>
      <c r="J5221">
        <v>-401.53829999999999</v>
      </c>
      <c r="K5221">
        <v>1.1165119999999999</v>
      </c>
      <c r="L5221">
        <v>18.47269</v>
      </c>
      <c r="M5221">
        <v>0.92082120000000001</v>
      </c>
      <c r="N5221">
        <v>0</v>
      </c>
      <c r="O5221">
        <v>-0.38974760000000003</v>
      </c>
      <c r="P5221">
        <v>0.97675319999999999</v>
      </c>
      <c r="Q5221">
        <v>4.4451190000000002E-2</v>
      </c>
      <c r="R5221">
        <v>-0.2097078</v>
      </c>
      <c r="S5221">
        <v>3.0580440000000002</v>
      </c>
      <c r="T5221">
        <v>-0.46768700000000002</v>
      </c>
      <c r="U5221">
        <v>-0.17700199999999999</v>
      </c>
      <c r="V5221">
        <v>-0.18847749999999999</v>
      </c>
      <c r="W5221">
        <v>5.4873850000000002E-2</v>
      </c>
      <c r="X5221">
        <v>0.98054330000000001</v>
      </c>
      <c r="Y5221">
        <v>-0.32783600000000002</v>
      </c>
      <c r="Z5221">
        <v>8.2732169999999994E-2</v>
      </c>
      <c r="AA5221">
        <v>0.94110519999999998</v>
      </c>
      <c r="AB5221">
        <v>27</v>
      </c>
      <c r="AC5221">
        <v>7.0897999999999604</v>
      </c>
      <c r="AD5221">
        <v>-1.116514867916</v>
      </c>
      <c r="AE5221">
        <v>-0.34028999999999898</v>
      </c>
      <c r="AF5221">
        <v>-2.3909524771846198</v>
      </c>
      <c r="AG5221">
        <v>-1.116514867916</v>
      </c>
      <c r="AH5221">
        <v>6.5008285429552997</v>
      </c>
      <c r="AI5221">
        <v>99.156909327631993</v>
      </c>
      <c r="AJ5221">
        <v>110.193116388175</v>
      </c>
      <c r="AK5221">
        <v>7.01598396116575</v>
      </c>
      <c r="AL5221">
        <v>86.854380101521301</v>
      </c>
      <c r="AM5221">
        <v>100.880539020317</v>
      </c>
      <c r="AN5221">
        <v>1.00000003529748</v>
      </c>
    </row>
    <row r="5222" spans="1:40" x14ac:dyDescent="0.25">
      <c r="A5222" t="str">
        <f>"20190312151131745"</f>
        <v>20190312151131745</v>
      </c>
      <c r="B5222" t="str">
        <f>"1552374691736517"</f>
        <v>1552374691736517</v>
      </c>
      <c r="C5222" t="s">
        <v>40</v>
      </c>
      <c r="D5222">
        <v>4.9331129999999996</v>
      </c>
      <c r="E5222">
        <v>0.44742470000000001</v>
      </c>
      <c r="F5222" t="s">
        <v>42</v>
      </c>
      <c r="G5222">
        <v>-393.89109999999999</v>
      </c>
      <c r="H5222" s="1">
        <v>-3.169513E-6</v>
      </c>
      <c r="I5222">
        <v>17.917649999999998</v>
      </c>
      <c r="J5222">
        <v>-401.39350000000002</v>
      </c>
      <c r="K5222">
        <v>1.116509</v>
      </c>
      <c r="L5222">
        <v>18.41714</v>
      </c>
      <c r="M5222">
        <v>0.92282390000000003</v>
      </c>
      <c r="N5222">
        <v>0</v>
      </c>
      <c r="O5222">
        <v>-0.38498199999999999</v>
      </c>
      <c r="P5222">
        <v>0.97781580000000001</v>
      </c>
      <c r="Q5222">
        <v>4.4591409999999998E-2</v>
      </c>
      <c r="R5222">
        <v>-0.20466590000000001</v>
      </c>
      <c r="S5222">
        <v>3.0441889999999998</v>
      </c>
      <c r="T5222">
        <v>-0.44445879999999999</v>
      </c>
      <c r="U5222">
        <v>-0.22094730000000001</v>
      </c>
      <c r="V5222">
        <v>-0.18846570000000001</v>
      </c>
      <c r="W5222">
        <v>5.5015729999999999E-2</v>
      </c>
      <c r="X5222">
        <v>0.98053760000000001</v>
      </c>
      <c r="Y5222">
        <v>-0.31008160000000001</v>
      </c>
      <c r="Z5222">
        <v>7.7015559999999997E-2</v>
      </c>
      <c r="AA5222">
        <v>0.94758529999999996</v>
      </c>
      <c r="AB5222">
        <v>27</v>
      </c>
      <c r="AC5222">
        <v>7.5024000000000202</v>
      </c>
      <c r="AD5222">
        <v>-1.116512169513</v>
      </c>
      <c r="AE5222">
        <v>-0.49949000000000099</v>
      </c>
      <c r="AF5222">
        <v>-2.3751993002130298</v>
      </c>
      <c r="AG5222">
        <v>-1.116512169513</v>
      </c>
      <c r="AH5222">
        <v>6.9628175468679299</v>
      </c>
      <c r="AI5222">
        <v>98.629706489257202</v>
      </c>
      <c r="AJ5222">
        <v>108.83585213225599</v>
      </c>
      <c r="AK5222">
        <v>7.4410348293348996</v>
      </c>
      <c r="AL5222">
        <v>86.846238622943105</v>
      </c>
      <c r="AM5222">
        <v>100.87993581770699</v>
      </c>
      <c r="AN5222">
        <v>1.00000001781884</v>
      </c>
    </row>
    <row r="5223" spans="1:40" x14ac:dyDescent="0.25">
      <c r="A5223" t="str">
        <f>"20190312151131758"</f>
        <v>20190312151131758</v>
      </c>
      <c r="B5223" t="str">
        <f>"1552374691746277"</f>
        <v>1552374691746277</v>
      </c>
      <c r="C5223" t="s">
        <v>40</v>
      </c>
      <c r="D5223">
        <v>4.9022240000000004</v>
      </c>
      <c r="E5223">
        <v>0.4478374</v>
      </c>
      <c r="F5223" t="s">
        <v>42</v>
      </c>
      <c r="G5223">
        <v>-393.96249999999998</v>
      </c>
      <c r="H5223" s="1">
        <v>-3.1340500000000001E-6</v>
      </c>
      <c r="I5223">
        <v>17.92726</v>
      </c>
      <c r="J5223">
        <v>-401.24180000000001</v>
      </c>
      <c r="K5223">
        <v>1.116503</v>
      </c>
      <c r="L5223">
        <v>18.359739999999999</v>
      </c>
      <c r="M5223">
        <v>0.9248902</v>
      </c>
      <c r="N5223">
        <v>0</v>
      </c>
      <c r="O5223">
        <v>-0.37999060000000001</v>
      </c>
      <c r="P5223">
        <v>0.97888810000000004</v>
      </c>
      <c r="Q5223">
        <v>4.4791820000000003E-2</v>
      </c>
      <c r="R5223">
        <v>-0.1994282</v>
      </c>
      <c r="S5223">
        <v>3.0469059999999999</v>
      </c>
      <c r="T5223">
        <v>-0.45780179999999998</v>
      </c>
      <c r="U5223">
        <v>-0.20086670000000001</v>
      </c>
      <c r="V5223">
        <v>-0.1884168</v>
      </c>
      <c r="W5223">
        <v>5.521761E-2</v>
      </c>
      <c r="X5223">
        <v>0.98053559999999995</v>
      </c>
      <c r="Y5223">
        <v>-0.31084869999999998</v>
      </c>
      <c r="Z5223">
        <v>7.8631679999999995E-2</v>
      </c>
      <c r="AA5223">
        <v>0.94720119999999997</v>
      </c>
      <c r="AB5223">
        <v>27</v>
      </c>
      <c r="AC5223">
        <v>7.2793000000000303</v>
      </c>
      <c r="AD5223">
        <v>-1.11650613405</v>
      </c>
      <c r="AE5223">
        <v>-0.43247999999999798</v>
      </c>
      <c r="AF5223">
        <v>-2.3120860882789702</v>
      </c>
      <c r="AG5223">
        <v>-1.11650613405</v>
      </c>
      <c r="AH5223">
        <v>6.7395357596783301</v>
      </c>
      <c r="AI5223">
        <v>98.905846355080598</v>
      </c>
      <c r="AJ5223">
        <v>108.935203417083</v>
      </c>
      <c r="AK5223">
        <v>7.2120503522207402</v>
      </c>
      <c r="AL5223">
        <v>86.834653986902197</v>
      </c>
      <c r="AM5223">
        <v>100.877201874344</v>
      </c>
      <c r="AN5223">
        <v>0.99999996892185505</v>
      </c>
    </row>
    <row r="5224" spans="1:40" x14ac:dyDescent="0.25">
      <c r="A5224" t="str">
        <f>"20190312151131777"</f>
        <v>20190312151131777</v>
      </c>
      <c r="B5224" t="str">
        <f>"1552374691766772"</f>
        <v>1552374691766772</v>
      </c>
      <c r="C5224" t="s">
        <v>40</v>
      </c>
      <c r="D5224">
        <v>4.9345869999999996</v>
      </c>
      <c r="E5224">
        <v>0.44764710000000002</v>
      </c>
      <c r="F5224" t="s">
        <v>42</v>
      </c>
      <c r="G5224">
        <v>-393.74599999999998</v>
      </c>
      <c r="H5224" s="1">
        <v>-3.2415830000000002E-6</v>
      </c>
      <c r="I5224">
        <v>17.89791</v>
      </c>
      <c r="J5224">
        <v>-401.02659999999997</v>
      </c>
      <c r="K5224">
        <v>1.116495</v>
      </c>
      <c r="L5224">
        <v>18.280180000000001</v>
      </c>
      <c r="M5224">
        <v>0.92776820000000004</v>
      </c>
      <c r="N5224">
        <v>0</v>
      </c>
      <c r="O5224">
        <v>-0.3729092</v>
      </c>
      <c r="P5224">
        <v>0.9803866</v>
      </c>
      <c r="Q5224">
        <v>4.48828E-2</v>
      </c>
      <c r="R5224">
        <v>-0.19190560000000001</v>
      </c>
      <c r="S5224">
        <v>3.04718</v>
      </c>
      <c r="T5224">
        <v>-0.45388469999999997</v>
      </c>
      <c r="U5224">
        <v>-0.1877441</v>
      </c>
      <c r="V5224">
        <v>-0.18844910000000001</v>
      </c>
      <c r="W5224">
        <v>5.5309499999999998E-2</v>
      </c>
      <c r="X5224">
        <v>0.98052419999999996</v>
      </c>
      <c r="Y5224">
        <v>-0.30789240000000001</v>
      </c>
      <c r="Z5224">
        <v>7.6783749999999998E-2</v>
      </c>
      <c r="AA5224">
        <v>0.94831770000000004</v>
      </c>
      <c r="AB5224">
        <v>27</v>
      </c>
      <c r="AC5224">
        <v>7.28059999999999</v>
      </c>
      <c r="AD5224">
        <v>-1.116498241583</v>
      </c>
      <c r="AE5224">
        <v>-0.382269999999998</v>
      </c>
      <c r="AF5224">
        <v>-2.306470878366</v>
      </c>
      <c r="AG5224">
        <v>-1.116498241583</v>
      </c>
      <c r="AH5224">
        <v>6.7398340231267504</v>
      </c>
      <c r="AI5224">
        <v>98.907676307015393</v>
      </c>
      <c r="AJ5224">
        <v>108.89170505796901</v>
      </c>
      <c r="AK5224">
        <v>7.2105297236406498</v>
      </c>
      <c r="AL5224">
        <v>86.829380976607993</v>
      </c>
      <c r="AM5224">
        <v>100.87914551084999</v>
      </c>
      <c r="AN5224">
        <v>0.99999995543334896</v>
      </c>
    </row>
    <row r="5225" spans="1:40" x14ac:dyDescent="0.25">
      <c r="A5225" t="str">
        <f>"20190312151131799"</f>
        <v>20190312151131799</v>
      </c>
      <c r="B5225" t="str">
        <f>"1552374691797028"</f>
        <v>1552374691797028</v>
      </c>
      <c r="C5225" t="s">
        <v>40</v>
      </c>
      <c r="D5225">
        <v>4.9424440000000001</v>
      </c>
      <c r="E5225">
        <v>0.44920739999999998</v>
      </c>
      <c r="F5225" t="s">
        <v>42</v>
      </c>
      <c r="G5225">
        <v>-393.81560000000002</v>
      </c>
      <c r="H5225" s="1">
        <v>-3.2092620000000001E-6</v>
      </c>
      <c r="I5225">
        <v>17.89479</v>
      </c>
      <c r="J5225">
        <v>-400.78579999999999</v>
      </c>
      <c r="K5225">
        <v>1.1164860000000001</v>
      </c>
      <c r="L5225">
        <v>18.19342</v>
      </c>
      <c r="M5225">
        <v>0.93091570000000001</v>
      </c>
      <c r="N5225">
        <v>0</v>
      </c>
      <c r="O5225">
        <v>-0.36498120000000001</v>
      </c>
      <c r="P5225">
        <v>0.98197889999999999</v>
      </c>
      <c r="Q5225">
        <v>4.483434E-2</v>
      </c>
      <c r="R5225">
        <v>-0.1835966</v>
      </c>
      <c r="S5225">
        <v>3.049744</v>
      </c>
      <c r="T5225">
        <v>-0.47219749999999999</v>
      </c>
      <c r="U5225">
        <v>-0.16299439999999901</v>
      </c>
      <c r="V5225">
        <v>-0.1883869</v>
      </c>
      <c r="W5225">
        <v>5.5263779999999998E-2</v>
      </c>
      <c r="X5225">
        <v>0.98053880000000004</v>
      </c>
      <c r="Y5225">
        <v>-0.3070177</v>
      </c>
      <c r="Z5225">
        <v>7.8608830000000005E-2</v>
      </c>
      <c r="AA5225">
        <v>0.94845179999999996</v>
      </c>
      <c r="AB5225">
        <v>27</v>
      </c>
      <c r="AC5225">
        <v>6.97019999999997</v>
      </c>
      <c r="AD5225">
        <v>-1.116489209262</v>
      </c>
      <c r="AE5225">
        <v>-0.29862999999999901</v>
      </c>
      <c r="AF5225">
        <v>-2.20961207908669</v>
      </c>
      <c r="AG5225">
        <v>-1.116489209262</v>
      </c>
      <c r="AH5225">
        <v>6.4335054372467999</v>
      </c>
      <c r="AI5225">
        <v>99.320971302420602</v>
      </c>
      <c r="AJ5225">
        <v>108.95523036807801</v>
      </c>
      <c r="AK5225">
        <v>6.8933972688021203</v>
      </c>
      <c r="AL5225">
        <v>86.832004769547595</v>
      </c>
      <c r="AM5225">
        <v>100.87548228288701</v>
      </c>
      <c r="AN5225">
        <v>1.0000000238884601</v>
      </c>
    </row>
    <row r="5226" spans="1:40" x14ac:dyDescent="0.25">
      <c r="A5226" t="str">
        <f>"20190312151131811"</f>
        <v>20190312151131811</v>
      </c>
      <c r="B5226" t="str">
        <f>"1552374691806788"</f>
        <v>1552374691806788</v>
      </c>
      <c r="C5226" t="s">
        <v>40</v>
      </c>
      <c r="D5226">
        <v>4.9166080000000001</v>
      </c>
      <c r="E5226">
        <v>0.44950820000000002</v>
      </c>
      <c r="F5226" t="s">
        <v>42</v>
      </c>
      <c r="G5226">
        <v>-393.58449999999999</v>
      </c>
      <c r="H5226" s="1">
        <v>-3.3281680000000001E-6</v>
      </c>
      <c r="I5226">
        <v>17.840339999999902</v>
      </c>
      <c r="J5226">
        <v>-400.65190000000001</v>
      </c>
      <c r="K5226">
        <v>1.1164829999999999</v>
      </c>
      <c r="L5226">
        <v>18.146329999999999</v>
      </c>
      <c r="M5226">
        <v>0.93263130000000005</v>
      </c>
      <c r="N5226">
        <v>0</v>
      </c>
      <c r="O5226">
        <v>-0.36057450000000002</v>
      </c>
      <c r="P5226">
        <v>0.98283100000000001</v>
      </c>
      <c r="Q5226">
        <v>4.5000230000000002E-2</v>
      </c>
      <c r="R5226">
        <v>-0.17893680000000001</v>
      </c>
      <c r="S5226">
        <v>3.0486759999999999</v>
      </c>
      <c r="T5226">
        <v>-0.47266649999999999</v>
      </c>
      <c r="U5226">
        <v>-0.1494751</v>
      </c>
      <c r="V5226">
        <v>-0.18840009999999999</v>
      </c>
      <c r="W5226">
        <v>5.5430420000000001E-2</v>
      </c>
      <c r="X5226">
        <v>0.98052680000000003</v>
      </c>
      <c r="Y5226">
        <v>-0.30673089999999997</v>
      </c>
      <c r="Z5226">
        <v>7.8072970000000005E-2</v>
      </c>
      <c r="AA5226">
        <v>0.94858880000000001</v>
      </c>
      <c r="AB5226">
        <v>27</v>
      </c>
      <c r="AC5226">
        <v>7.0674000000000197</v>
      </c>
      <c r="AD5226">
        <v>-1.116486328168</v>
      </c>
      <c r="AE5226">
        <v>-0.30599000000000098</v>
      </c>
      <c r="AF5226">
        <v>-2.2081524657548601</v>
      </c>
      <c r="AG5226">
        <v>-1.116486328168</v>
      </c>
      <c r="AH5226">
        <v>6.5393352577460702</v>
      </c>
      <c r="AI5226">
        <v>99.188608030669997</v>
      </c>
      <c r="AJ5226">
        <v>108.658401551395</v>
      </c>
      <c r="AK5226">
        <v>6.9918083959878503</v>
      </c>
      <c r="AL5226">
        <v>86.822442163633596</v>
      </c>
      <c r="AM5226">
        <v>100.87635607056799</v>
      </c>
      <c r="AN5226">
        <v>0.999999967329812</v>
      </c>
    </row>
    <row r="5227" spans="1:40" x14ac:dyDescent="0.25">
      <c r="A5227" t="str">
        <f>"20190312151131823"</f>
        <v>20190312151131823</v>
      </c>
      <c r="B5227" t="str">
        <f>"1552374691816548"</f>
        <v>1552374691816548</v>
      </c>
      <c r="C5227" t="s">
        <v>40</v>
      </c>
      <c r="D5227">
        <v>4.9438420000000001</v>
      </c>
      <c r="E5227">
        <v>0.44988869999999997</v>
      </c>
      <c r="F5227" t="s">
        <v>42</v>
      </c>
      <c r="G5227">
        <v>-393.4255</v>
      </c>
      <c r="H5227" s="1">
        <v>-3.4067770000000001E-6</v>
      </c>
      <c r="I5227">
        <v>17.820699999999999</v>
      </c>
      <c r="J5227">
        <v>-400.5231</v>
      </c>
      <c r="K5227">
        <v>1.116479</v>
      </c>
      <c r="L5227">
        <v>18.101469999999999</v>
      </c>
      <c r="M5227">
        <v>0.93426109999999896</v>
      </c>
      <c r="N5227">
        <v>0</v>
      </c>
      <c r="O5227">
        <v>-0.3563308</v>
      </c>
      <c r="P5227">
        <v>0.98364609999999997</v>
      </c>
      <c r="Q5227">
        <v>4.51154E-2</v>
      </c>
      <c r="R5227">
        <v>-0.1743702</v>
      </c>
      <c r="S5227">
        <v>3.04895</v>
      </c>
      <c r="T5227">
        <v>-0.47106949999999997</v>
      </c>
      <c r="U5227">
        <v>-0.13739009999999999</v>
      </c>
      <c r="V5227">
        <v>-0.1884952</v>
      </c>
      <c r="W5227">
        <v>5.5544690000000001E-2</v>
      </c>
      <c r="X5227">
        <v>0.98050210000000004</v>
      </c>
      <c r="Y5227">
        <v>-0.30627110000000002</v>
      </c>
      <c r="Z5227">
        <v>7.7173359999999996E-2</v>
      </c>
      <c r="AA5227">
        <v>0.94881099999999996</v>
      </c>
      <c r="AB5227">
        <v>27</v>
      </c>
      <c r="AC5227">
        <v>7.0975999999999999</v>
      </c>
      <c r="AD5227">
        <v>-1.1164824067770001</v>
      </c>
      <c r="AE5227">
        <v>-0.28077000000000402</v>
      </c>
      <c r="AF5227">
        <v>-2.21233241734393</v>
      </c>
      <c r="AG5227">
        <v>-1.1164824067770001</v>
      </c>
      <c r="AH5227">
        <v>6.5693770698004004</v>
      </c>
      <c r="AI5227">
        <v>99.149741227004299</v>
      </c>
      <c r="AJ5227">
        <v>108.61169411573999</v>
      </c>
      <c r="AK5227">
        <v>7.0212294346996398</v>
      </c>
      <c r="AL5227">
        <v>86.815885010172295</v>
      </c>
      <c r="AM5227">
        <v>100.88198274190999</v>
      </c>
      <c r="AN5227">
        <v>1.0000000105573199</v>
      </c>
    </row>
    <row r="5228" spans="1:40" x14ac:dyDescent="0.25">
      <c r="A5228" t="str">
        <f>"20190312151131835"</f>
        <v>20190312151131835</v>
      </c>
      <c r="B5228" t="str">
        <f>"1552374691826308"</f>
        <v>1552374691826308</v>
      </c>
      <c r="C5228" t="s">
        <v>40</v>
      </c>
      <c r="D5228">
        <v>4.9319989999999896</v>
      </c>
      <c r="E5228">
        <v>0.45039040000000002</v>
      </c>
      <c r="F5228" t="s">
        <v>42</v>
      </c>
      <c r="G5228">
        <v>-393.32389999999998</v>
      </c>
      <c r="H5228" s="1">
        <v>-3.4579130000000001E-6</v>
      </c>
      <c r="I5228">
        <v>17.803239999999999</v>
      </c>
      <c r="J5228">
        <v>-400.38189999999997</v>
      </c>
      <c r="K5228">
        <v>1.116474</v>
      </c>
      <c r="L5228">
        <v>18.05301</v>
      </c>
      <c r="M5228">
        <v>0.93602189999999996</v>
      </c>
      <c r="N5228">
        <v>0</v>
      </c>
      <c r="O5228">
        <v>-0.35167910000000002</v>
      </c>
      <c r="P5228">
        <v>0.98447989999999996</v>
      </c>
      <c r="Q5228">
        <v>4.5372759999999998E-2</v>
      </c>
      <c r="R5228">
        <v>-0.16953080000000001</v>
      </c>
      <c r="S5228">
        <v>3.0491640000000002</v>
      </c>
      <c r="T5228">
        <v>-0.47288000000000002</v>
      </c>
      <c r="U5228">
        <v>-0.12631229999999999</v>
      </c>
      <c r="V5228">
        <v>-0.18843879999999999</v>
      </c>
      <c r="W5228">
        <v>5.5803690000000003E-2</v>
      </c>
      <c r="X5228">
        <v>0.98049830000000004</v>
      </c>
      <c r="Y5228">
        <v>-0.30499569999999998</v>
      </c>
      <c r="Z5228">
        <v>7.6701119999999998E-2</v>
      </c>
      <c r="AA5228">
        <v>0.94925999999999999</v>
      </c>
      <c r="AB5228">
        <v>27</v>
      </c>
      <c r="AC5228">
        <v>7.0579999999999901</v>
      </c>
      <c r="AD5228">
        <v>-1.1164774579129999</v>
      </c>
      <c r="AE5228">
        <v>-0.24977000000000099</v>
      </c>
      <c r="AF5228">
        <v>-2.1937436512280302</v>
      </c>
      <c r="AG5228">
        <v>-1.1164774579129999</v>
      </c>
      <c r="AH5228">
        <v>6.5316637842074803</v>
      </c>
      <c r="AI5228">
        <v>99.204093550664396</v>
      </c>
      <c r="AJ5228">
        <v>108.565290704348</v>
      </c>
      <c r="AK5228">
        <v>6.9800906091009196</v>
      </c>
      <c r="AL5228">
        <v>86.801022556763002</v>
      </c>
      <c r="AM5228">
        <v>100.878845583207</v>
      </c>
      <c r="AN5228">
        <v>1.00000007473297</v>
      </c>
    </row>
    <row r="5229" spans="1:40" x14ac:dyDescent="0.25">
      <c r="A5229" t="str">
        <f>"20190312151131845"</f>
        <v>20190312151131845</v>
      </c>
      <c r="B5229" t="str">
        <f>"1552374691836069"</f>
        <v>1552374691836069</v>
      </c>
      <c r="C5229" t="s">
        <v>40</v>
      </c>
      <c r="D5229">
        <v>4.9179430000000002</v>
      </c>
      <c r="E5229">
        <v>0.4510612</v>
      </c>
      <c r="F5229" t="s">
        <v>42</v>
      </c>
      <c r="G5229">
        <v>-393.1035</v>
      </c>
      <c r="H5229" s="1">
        <v>-3.5666139999999998E-6</v>
      </c>
      <c r="I5229">
        <v>17.77778</v>
      </c>
      <c r="J5229">
        <v>-400.26299999999998</v>
      </c>
      <c r="K5229">
        <v>1.1164719999999999</v>
      </c>
      <c r="L5229">
        <v>18.013059999999999</v>
      </c>
      <c r="M5229">
        <v>0.93748390000000004</v>
      </c>
      <c r="N5229">
        <v>0</v>
      </c>
      <c r="O5229">
        <v>-0.34776319999999999</v>
      </c>
      <c r="P5229">
        <v>0.98518570000000005</v>
      </c>
      <c r="Q5229">
        <v>4.5351790000000003E-2</v>
      </c>
      <c r="R5229">
        <v>-0.16538699999999901</v>
      </c>
      <c r="S5229">
        <v>3.0489809999999999</v>
      </c>
      <c r="T5229">
        <v>-0.46770099999999998</v>
      </c>
      <c r="U5229">
        <v>-0.11529540000000001</v>
      </c>
      <c r="V5229">
        <v>-0.1884651</v>
      </c>
      <c r="W5229">
        <v>5.5782739999999997E-2</v>
      </c>
      <c r="X5229">
        <v>0.98049439999999999</v>
      </c>
      <c r="Y5229">
        <v>-0.30465449999999999</v>
      </c>
      <c r="Z5229">
        <v>7.5298690000000001E-2</v>
      </c>
      <c r="AA5229">
        <v>0.94948180000000004</v>
      </c>
      <c r="AB5229">
        <v>27</v>
      </c>
      <c r="AC5229">
        <v>7.1595000000000297</v>
      </c>
      <c r="AD5229">
        <v>-1.1164755666139901</v>
      </c>
      <c r="AE5229">
        <v>-0.23527999999999899</v>
      </c>
      <c r="AF5229">
        <v>-2.2156268701605399</v>
      </c>
      <c r="AG5229">
        <v>-1.1164755666139901</v>
      </c>
      <c r="AH5229">
        <v>6.63323036432402</v>
      </c>
      <c r="AI5229">
        <v>99.070456497845996</v>
      </c>
      <c r="AJ5229">
        <v>108.470313514315</v>
      </c>
      <c r="AK5229">
        <v>7.0820382083700801</v>
      </c>
      <c r="AL5229">
        <v>86.802224659000402</v>
      </c>
      <c r="AM5229">
        <v>100.880369927757</v>
      </c>
      <c r="AN5229">
        <v>1.00000003821563</v>
      </c>
    </row>
    <row r="5230" spans="1:40" x14ac:dyDescent="0.25">
      <c r="A5230" t="str">
        <f>"20190312151131979"</f>
        <v>20190312151131979</v>
      </c>
      <c r="B5230" t="str">
        <f>"1552374691976613"</f>
        <v>1552374691976613</v>
      </c>
      <c r="C5230" t="s">
        <v>40</v>
      </c>
      <c r="D5230">
        <v>5.0550269999999999</v>
      </c>
      <c r="E5230">
        <v>0.44101040000000002</v>
      </c>
      <c r="F5230" t="s">
        <v>42</v>
      </c>
      <c r="G5230">
        <v>-392.90940000000001</v>
      </c>
      <c r="H5230" s="1">
        <v>-3.6627609999999999E-6</v>
      </c>
      <c r="I5230">
        <v>17.75319</v>
      </c>
      <c r="J5230">
        <v>-398.77640000000002</v>
      </c>
      <c r="K5230">
        <v>1.1164529999999999</v>
      </c>
      <c r="L5230">
        <v>17.557279999999999</v>
      </c>
      <c r="M5230">
        <v>0.95424880000000001</v>
      </c>
      <c r="N5230">
        <v>0</v>
      </c>
      <c r="O5230">
        <v>-0.29870560000000002</v>
      </c>
      <c r="P5230">
        <v>0.99178730000000004</v>
      </c>
      <c r="Q5230">
        <v>4.8381750000000001E-2</v>
      </c>
      <c r="R5230">
        <v>-0.118394899999999</v>
      </c>
      <c r="S5230">
        <v>3.04834</v>
      </c>
      <c r="T5230">
        <v>-0.46281529999999999</v>
      </c>
      <c r="U5230">
        <v>-0.10772710000000001</v>
      </c>
      <c r="V5230">
        <v>-0.18421560000000001</v>
      </c>
      <c r="W5230">
        <v>5.8895169999999997E-2</v>
      </c>
      <c r="X5230">
        <v>0.98111979999999999</v>
      </c>
      <c r="Y5230">
        <v>-0.25856050000000003</v>
      </c>
      <c r="Z5230">
        <v>6.4004699999999998E-2</v>
      </c>
      <c r="AA5230">
        <v>0.96387230000000002</v>
      </c>
      <c r="AB5230">
        <v>27</v>
      </c>
      <c r="AC5230">
        <v>5.8670000000000098</v>
      </c>
      <c r="AD5230">
        <v>-1.116456662761</v>
      </c>
      <c r="AE5230">
        <v>0.195910000000001</v>
      </c>
      <c r="AF5230">
        <v>-1.8719209239953101</v>
      </c>
      <c r="AG5230">
        <v>-1.116456662761</v>
      </c>
      <c r="AH5230">
        <v>5.3471535434338602</v>
      </c>
      <c r="AI5230">
        <v>101.148295855293</v>
      </c>
      <c r="AJ5230">
        <v>109.29402848725201</v>
      </c>
      <c r="AK5230">
        <v>5.7743064035927496</v>
      </c>
      <c r="AL5230">
        <v>86.623601637070195</v>
      </c>
      <c r="AM5230">
        <v>100.63407638782699</v>
      </c>
      <c r="AN5230">
        <v>1.0000000451423601</v>
      </c>
    </row>
    <row r="5231" spans="1:40" x14ac:dyDescent="0.25">
      <c r="A5231" t="str">
        <f>"20190312151132012"</f>
        <v>20190312151132012</v>
      </c>
      <c r="B5231" t="str">
        <f>"1552374692006868"</f>
        <v>1552374692006868</v>
      </c>
      <c r="C5231" t="s">
        <v>40</v>
      </c>
      <c r="D5231">
        <v>5.0119480000000003</v>
      </c>
      <c r="E5231">
        <v>0.44570609999999999</v>
      </c>
      <c r="F5231" t="s">
        <v>86</v>
      </c>
      <c r="G5231">
        <v>-382.6875</v>
      </c>
      <c r="H5231" s="1">
        <v>-3.7151479999999999E-6</v>
      </c>
      <c r="I5231">
        <v>18.161670000000001</v>
      </c>
      <c r="J5231">
        <v>-398.38209999999998</v>
      </c>
      <c r="K5231">
        <v>1.1164480000000001</v>
      </c>
      <c r="L5231">
        <v>17.450620000000001</v>
      </c>
      <c r="M5231">
        <v>0.95823040000000004</v>
      </c>
      <c r="N5231">
        <v>0</v>
      </c>
      <c r="O5231">
        <v>-0.28567500000000001</v>
      </c>
      <c r="P5231">
        <v>0.99304110000000001</v>
      </c>
      <c r="Q5231">
        <v>4.9484590000000002E-2</v>
      </c>
      <c r="R5231">
        <v>-0.106868699999999</v>
      </c>
      <c r="S5231">
        <v>3.0488590000000002</v>
      </c>
      <c r="T5231">
        <v>-0.21156920000000001</v>
      </c>
      <c r="U5231">
        <v>0.1145325</v>
      </c>
      <c r="V5231">
        <v>-0.18223839999999999</v>
      </c>
      <c r="W5231">
        <v>6.0034700000000003E-2</v>
      </c>
      <c r="X5231">
        <v>0.98141990000000001</v>
      </c>
      <c r="Y5231">
        <v>-0.3200305</v>
      </c>
      <c r="Z5231">
        <v>3.0697240000000001E-2</v>
      </c>
      <c r="AA5231">
        <v>0.94690980000000002</v>
      </c>
      <c r="AB5231">
        <v>27</v>
      </c>
      <c r="AC5231">
        <v>15.6945999999999</v>
      </c>
      <c r="AD5231">
        <v>-1.11645171514799</v>
      </c>
      <c r="AE5231">
        <v>0.71104999999999996</v>
      </c>
      <c r="AF5231">
        <v>-5.1394266244658802</v>
      </c>
      <c r="AG5231">
        <v>-1.11645171514799</v>
      </c>
      <c r="AH5231">
        <v>14.762729552645601</v>
      </c>
      <c r="AI5231">
        <v>94.085242988589599</v>
      </c>
      <c r="AJ5231">
        <v>109.19480875823599</v>
      </c>
      <c r="AK5231">
        <v>15.671577913697201</v>
      </c>
      <c r="AL5231">
        <v>86.558195512505193</v>
      </c>
      <c r="AM5231">
        <v>100.519356766537</v>
      </c>
      <c r="AN5231">
        <v>1.0000000098773201</v>
      </c>
    </row>
    <row r="5232" spans="1:40" x14ac:dyDescent="0.25">
      <c r="A5232" t="str">
        <f>"20190312151132033"</f>
        <v>20190312151132033</v>
      </c>
      <c r="B5232" t="str">
        <f>"1552374692026395"</f>
        <v>1552374692026395</v>
      </c>
      <c r="C5232" t="s">
        <v>40</v>
      </c>
      <c r="D5232">
        <v>5.0366470000000003</v>
      </c>
      <c r="E5232">
        <v>0.44684400000000002</v>
      </c>
      <c r="F5232" t="s">
        <v>86</v>
      </c>
      <c r="G5232">
        <v>-381.62110000000001</v>
      </c>
      <c r="H5232" s="1">
        <v>-4.2346909999999998E-6</v>
      </c>
      <c r="I5232">
        <v>18.07452</v>
      </c>
      <c r="J5232">
        <v>-398.15370000000001</v>
      </c>
      <c r="K5232">
        <v>1.1164430000000001</v>
      </c>
      <c r="L5232">
        <v>17.391389999999902</v>
      </c>
      <c r="M5232">
        <v>0.960449</v>
      </c>
      <c r="N5232">
        <v>0</v>
      </c>
      <c r="O5232">
        <v>-0.27812559999999997</v>
      </c>
      <c r="P5232">
        <v>0.99370780000000003</v>
      </c>
      <c r="Q5232">
        <v>5.0272570000000003E-2</v>
      </c>
      <c r="R5232">
        <v>-0.1000878</v>
      </c>
      <c r="S5232">
        <v>3.043304</v>
      </c>
      <c r="T5232">
        <v>-0.20271529999999999</v>
      </c>
      <c r="U5232">
        <v>0.1132813</v>
      </c>
      <c r="V5232">
        <v>-0.1812135</v>
      </c>
      <c r="W5232">
        <v>6.0841930000000002E-2</v>
      </c>
      <c r="X5232">
        <v>0.98155990000000004</v>
      </c>
      <c r="Y5232">
        <v>-0.31239029999999901</v>
      </c>
      <c r="Z5232">
        <v>2.8727490000000001E-2</v>
      </c>
      <c r="AA5232">
        <v>0.94951929999999996</v>
      </c>
      <c r="AB5232">
        <v>27</v>
      </c>
      <c r="AC5232">
        <v>16.532599999999999</v>
      </c>
      <c r="AD5232">
        <v>-1.1164472346909999</v>
      </c>
      <c r="AE5232">
        <v>0.68313000000000201</v>
      </c>
      <c r="AF5232">
        <v>-5.2309199909661697</v>
      </c>
      <c r="AG5232">
        <v>-1.1164472346909999</v>
      </c>
      <c r="AH5232">
        <v>15.619059426859801</v>
      </c>
      <c r="AI5232">
        <v>93.877556703448207</v>
      </c>
      <c r="AJ5232">
        <v>108.516017772604</v>
      </c>
      <c r="AK5232">
        <v>16.509512281091698</v>
      </c>
      <c r="AL5232">
        <v>86.5118597440012</v>
      </c>
      <c r="AM5232">
        <v>100.460046913444</v>
      </c>
      <c r="AN5232">
        <v>0.99999995515819096</v>
      </c>
    </row>
    <row r="5233" spans="1:40" x14ac:dyDescent="0.25">
      <c r="A5233" t="str">
        <f>"20190312151132045"</f>
        <v>20190312151132045</v>
      </c>
      <c r="B5233" t="str">
        <f>"1552374692036148"</f>
        <v>1552374692036148</v>
      </c>
      <c r="C5233" t="s">
        <v>40</v>
      </c>
      <c r="D5233">
        <v>5.0317749999999997</v>
      </c>
      <c r="E5233">
        <v>0.44755859999999897</v>
      </c>
      <c r="F5233" t="s">
        <v>86</v>
      </c>
      <c r="G5233">
        <v>-382.20819999999998</v>
      </c>
      <c r="H5233" s="1">
        <v>-3.9619540000000004E-6</v>
      </c>
      <c r="I5233">
        <v>18.04749</v>
      </c>
      <c r="J5233">
        <v>-398.01900000000001</v>
      </c>
      <c r="K5233">
        <v>1.11643799999999</v>
      </c>
      <c r="L5233">
        <v>17.357420000000001</v>
      </c>
      <c r="M5233">
        <v>0.96172709999999995</v>
      </c>
      <c r="N5233">
        <v>0</v>
      </c>
      <c r="O5233">
        <v>-0.27367249999999999</v>
      </c>
      <c r="P5233">
        <v>0.99407699999999999</v>
      </c>
      <c r="Q5233">
        <v>5.0779770000000002E-2</v>
      </c>
      <c r="R5233">
        <v>-9.6086060000000001E-2</v>
      </c>
      <c r="S5233">
        <v>3.042389</v>
      </c>
      <c r="T5233">
        <v>-0.2130167</v>
      </c>
      <c r="U5233">
        <v>0.12518309999999999</v>
      </c>
      <c r="V5233">
        <v>-0.180617</v>
      </c>
      <c r="W5233">
        <v>6.1360709999999999E-2</v>
      </c>
      <c r="X5233">
        <v>0.9816376</v>
      </c>
      <c r="Y5233">
        <v>-0.31158659999999999</v>
      </c>
      <c r="Z5233">
        <v>2.9862489999999998E-2</v>
      </c>
      <c r="AA5233">
        <v>0.94974840000000005</v>
      </c>
      <c r="AB5233">
        <v>27</v>
      </c>
      <c r="AC5233">
        <v>15.8108</v>
      </c>
      <c r="AD5233">
        <v>-1.11644196195399</v>
      </c>
      <c r="AE5233">
        <v>0.69006999999999796</v>
      </c>
      <c r="AF5233">
        <v>-4.9663842403509797</v>
      </c>
      <c r="AG5233">
        <v>-1.11644196195399</v>
      </c>
      <c r="AH5233">
        <v>14.9438355907345</v>
      </c>
      <c r="AI5233">
        <v>94.055287082198603</v>
      </c>
      <c r="AJ5233">
        <v>108.383538228815</v>
      </c>
      <c r="AK5233">
        <v>15.787008495599199</v>
      </c>
      <c r="AL5233">
        <v>86.482080381433093</v>
      </c>
      <c r="AM5233">
        <v>100.425564725379</v>
      </c>
      <c r="AN5233">
        <v>1.00000000757723</v>
      </c>
    </row>
    <row r="5234" spans="1:40" x14ac:dyDescent="0.25">
      <c r="A5234" t="str">
        <f>"20190312151132057"</f>
        <v>20190312151132057</v>
      </c>
      <c r="B5234" t="str">
        <f>"1552374692046885"</f>
        <v>1552374692046885</v>
      </c>
      <c r="C5234" t="s">
        <v>40</v>
      </c>
      <c r="D5234">
        <v>5.0409689999999996</v>
      </c>
      <c r="E5234">
        <v>0.44776840000000001</v>
      </c>
      <c r="F5234" t="s">
        <v>86</v>
      </c>
      <c r="G5234">
        <v>-382.41590000000002</v>
      </c>
      <c r="H5234" s="1">
        <v>-3.8663840000000004E-6</v>
      </c>
      <c r="I5234">
        <v>18.03276</v>
      </c>
      <c r="J5234">
        <v>-397.87819999999999</v>
      </c>
      <c r="K5234">
        <v>1.1164320000000001</v>
      </c>
      <c r="L5234">
        <v>17.322329999999901</v>
      </c>
      <c r="M5234">
        <v>0.9630396</v>
      </c>
      <c r="N5234">
        <v>0</v>
      </c>
      <c r="O5234">
        <v>-0.26901779999999997</v>
      </c>
      <c r="P5234">
        <v>0.99448530000000002</v>
      </c>
      <c r="Q5234">
        <v>5.077694E-2</v>
      </c>
      <c r="R5234">
        <v>-9.1763869999999997E-2</v>
      </c>
      <c r="S5234">
        <v>3.0417179999999999</v>
      </c>
      <c r="T5234">
        <v>-0.21764310000000001</v>
      </c>
      <c r="U5234">
        <v>0.13165279999999999</v>
      </c>
      <c r="V5234">
        <v>-0.1801352</v>
      </c>
      <c r="W5234">
        <v>6.1367369999999997E-2</v>
      </c>
      <c r="X5234">
        <v>0.98172570000000003</v>
      </c>
      <c r="Y5234">
        <v>-0.30897200000000002</v>
      </c>
      <c r="Z5234">
        <v>3.009912E-2</v>
      </c>
      <c r="AA5234">
        <v>0.95059470000000001</v>
      </c>
      <c r="AB5234">
        <v>27</v>
      </c>
      <c r="AC5234">
        <v>15.4622999999999</v>
      </c>
      <c r="AD5234">
        <v>-1.1164358663839999</v>
      </c>
      <c r="AE5234">
        <v>0.710430000000002</v>
      </c>
      <c r="AF5234">
        <v>-4.8191809176715301</v>
      </c>
      <c r="AG5234">
        <v>-1.1164358663839999</v>
      </c>
      <c r="AH5234">
        <v>14.624957725132401</v>
      </c>
      <c r="AI5234">
        <v>94.146853177201905</v>
      </c>
      <c r="AJ5234">
        <v>108.237961044562</v>
      </c>
      <c r="AK5234">
        <v>15.438922314167799</v>
      </c>
      <c r="AL5234">
        <v>86.481698034541495</v>
      </c>
      <c r="AM5234">
        <v>100.397448931592</v>
      </c>
      <c r="AN5234">
        <v>0.999999997210123</v>
      </c>
    </row>
    <row r="5235" spans="1:40" x14ac:dyDescent="0.25">
      <c r="A5235" t="str">
        <f>"20190312151132069"</f>
        <v>20190312151132069</v>
      </c>
      <c r="B5235" t="str">
        <f>"1552374692066404"</f>
        <v>1552374692066404</v>
      </c>
      <c r="C5235" t="s">
        <v>40</v>
      </c>
      <c r="D5235">
        <v>4.9462159999999997</v>
      </c>
      <c r="E5235">
        <v>0.44885609999999998</v>
      </c>
      <c r="F5235" t="s">
        <v>86</v>
      </c>
      <c r="G5235">
        <v>-382.358</v>
      </c>
      <c r="H5235" s="1">
        <v>-3.8901700000000001E-6</v>
      </c>
      <c r="I5235">
        <v>18.05311</v>
      </c>
      <c r="J5235">
        <v>-397.74889999999999</v>
      </c>
      <c r="K5235">
        <v>1.1164179999999999</v>
      </c>
      <c r="L5235">
        <v>17.291170000000001</v>
      </c>
      <c r="M5235">
        <v>0.96422110000000005</v>
      </c>
      <c r="N5235">
        <v>0</v>
      </c>
      <c r="O5235">
        <v>-0.26475189999999998</v>
      </c>
      <c r="P5235">
        <v>0.99480939999999995</v>
      </c>
      <c r="Q5235">
        <v>5.0881370000000002E-2</v>
      </c>
      <c r="R5235">
        <v>-8.8121930000000001E-2</v>
      </c>
      <c r="S5235">
        <v>3.0410159999999999</v>
      </c>
      <c r="T5235">
        <v>-0.218753</v>
      </c>
      <c r="U5235">
        <v>0.1431885</v>
      </c>
      <c r="V5235">
        <v>-0.17938200000000001</v>
      </c>
      <c r="W5235">
        <v>6.1487310000000003E-2</v>
      </c>
      <c r="X5235">
        <v>0.98185610000000001</v>
      </c>
      <c r="Y5235">
        <v>-0.30836829999999998</v>
      </c>
      <c r="Z5235">
        <v>2.9938820000000001E-2</v>
      </c>
      <c r="AA5235">
        <v>0.95079579999999997</v>
      </c>
      <c r="AB5235">
        <v>27</v>
      </c>
      <c r="AC5235">
        <v>15.390899999999901</v>
      </c>
      <c r="AD5235">
        <v>-1.11642189017</v>
      </c>
      <c r="AE5235">
        <v>0.76193999999999895</v>
      </c>
      <c r="AF5235">
        <v>-4.7847767606465803</v>
      </c>
      <c r="AG5235">
        <v>-1.11642189017</v>
      </c>
      <c r="AH5235">
        <v>14.5634117266462</v>
      </c>
      <c r="AI5235">
        <v>94.1654595500315</v>
      </c>
      <c r="AJ5235">
        <v>108.187823353724</v>
      </c>
      <c r="AK5235">
        <v>15.369887690087101</v>
      </c>
      <c r="AL5235">
        <v>86.474812972987095</v>
      </c>
      <c r="AM5235">
        <v>100.353570954234</v>
      </c>
      <c r="AN5235">
        <v>0.99999999616112301</v>
      </c>
    </row>
    <row r="5236" spans="1:40" x14ac:dyDescent="0.25">
      <c r="A5236" t="str">
        <f>"20190312151132081"</f>
        <v>20190312151132081</v>
      </c>
      <c r="B5236" t="str">
        <f>"1552374692076164"</f>
        <v>1552374692076164</v>
      </c>
      <c r="C5236" t="s">
        <v>40</v>
      </c>
      <c r="D5236">
        <v>5.0140320000000003</v>
      </c>
      <c r="E5236">
        <v>0.44957409999999998</v>
      </c>
      <c r="F5236" t="s">
        <v>86</v>
      </c>
      <c r="G5236">
        <v>-382.8519</v>
      </c>
      <c r="H5236" s="1">
        <v>-3.665196E-6</v>
      </c>
      <c r="I5236">
        <v>18.005189999999999</v>
      </c>
      <c r="J5236">
        <v>-397.61410000000001</v>
      </c>
      <c r="K5236">
        <v>1.116409</v>
      </c>
      <c r="L5236">
        <v>17.258970000000001</v>
      </c>
      <c r="M5236">
        <v>0.9654317</v>
      </c>
      <c r="N5236">
        <v>0</v>
      </c>
      <c r="O5236">
        <v>-0.2603027</v>
      </c>
      <c r="P5236">
        <v>0.99515989999999999</v>
      </c>
      <c r="Q5236">
        <v>5.0657550000000003E-2</v>
      </c>
      <c r="R5236">
        <v>-8.420627E-2</v>
      </c>
      <c r="S5236">
        <v>3.0402529999999999</v>
      </c>
      <c r="T5236">
        <v>-0.2278442</v>
      </c>
      <c r="U5236">
        <v>0.1457214</v>
      </c>
      <c r="V5236">
        <v>-0.17871619999999999</v>
      </c>
      <c r="W5236">
        <v>6.1277909999999998E-2</v>
      </c>
      <c r="X5236">
        <v>0.98199060000000005</v>
      </c>
      <c r="Y5236">
        <v>-0.30468020000000001</v>
      </c>
      <c r="Z5236">
        <v>3.0724720000000001E-2</v>
      </c>
      <c r="AA5236">
        <v>0.951959</v>
      </c>
      <c r="AB5236">
        <v>27</v>
      </c>
      <c r="AC5236">
        <v>14.7622</v>
      </c>
      <c r="AD5236">
        <v>-1.116412665196</v>
      </c>
      <c r="AE5236">
        <v>0.746219999999997</v>
      </c>
      <c r="AF5236">
        <v>-4.5375991213748996</v>
      </c>
      <c r="AG5236">
        <v>-1.116412665196</v>
      </c>
      <c r="AH5236">
        <v>13.9791989288465</v>
      </c>
      <c r="AI5236">
        <v>94.343896227412102</v>
      </c>
      <c r="AJ5236">
        <v>107.983249202723</v>
      </c>
      <c r="AK5236">
        <v>14.739544963043301</v>
      </c>
      <c r="AL5236">
        <v>86.486833391103005</v>
      </c>
      <c r="AM5236">
        <v>100.31458630999499</v>
      </c>
      <c r="AN5236">
        <v>1.0000000004423799</v>
      </c>
    </row>
    <row r="5237" spans="1:40" x14ac:dyDescent="0.25">
      <c r="A5237" t="str">
        <f>"20190312151132092"</f>
        <v>20190312151132092</v>
      </c>
      <c r="B5237" t="str">
        <f>"1552374692086900"</f>
        <v>1552374692086900</v>
      </c>
      <c r="C5237" t="s">
        <v>40</v>
      </c>
      <c r="D5237">
        <v>5.0034850000000004</v>
      </c>
      <c r="E5237">
        <v>0.45014179999999998</v>
      </c>
      <c r="F5237" t="s">
        <v>86</v>
      </c>
      <c r="G5237">
        <v>-383.02050000000003</v>
      </c>
      <c r="H5237" s="1">
        <v>-3.5884179999999999E-6</v>
      </c>
      <c r="I5237">
        <v>17.988569999999999</v>
      </c>
      <c r="J5237">
        <v>-397.47039999999998</v>
      </c>
      <c r="K5237">
        <v>1.116393</v>
      </c>
      <c r="L5237">
        <v>17.225560000000002</v>
      </c>
      <c r="M5237">
        <v>0.96669539999999998</v>
      </c>
      <c r="N5237">
        <v>0</v>
      </c>
      <c r="O5237">
        <v>-0.25557000000000002</v>
      </c>
      <c r="P5237">
        <v>0.99549160000000003</v>
      </c>
      <c r="Q5237">
        <v>5.0716360000000002E-2</v>
      </c>
      <c r="R5237">
        <v>-8.015216E-2</v>
      </c>
      <c r="S5237">
        <v>3.0392760000000001</v>
      </c>
      <c r="T5237">
        <v>-0.23250589999999999</v>
      </c>
      <c r="U5237">
        <v>0.151947</v>
      </c>
      <c r="V5237">
        <v>-0.1779029</v>
      </c>
      <c r="W5237">
        <v>6.1354060000000002E-2</v>
      </c>
      <c r="X5237">
        <v>0.98213349999999999</v>
      </c>
      <c r="Y5237">
        <v>-0.3019307</v>
      </c>
      <c r="Z5237">
        <v>3.0903449999999999E-2</v>
      </c>
      <c r="AA5237">
        <v>0.95282889999999998</v>
      </c>
      <c r="AB5237">
        <v>27</v>
      </c>
      <c r="AC5237">
        <v>14.4498999999999</v>
      </c>
      <c r="AD5237">
        <v>-1.116396588418</v>
      </c>
      <c r="AE5237">
        <v>0.76301000000000097</v>
      </c>
      <c r="AF5237">
        <v>-4.4047476400580496</v>
      </c>
      <c r="AG5237">
        <v>-1.116396588418</v>
      </c>
      <c r="AH5237">
        <v>13.6934068422891</v>
      </c>
      <c r="AI5237">
        <v>94.437919390688293</v>
      </c>
      <c r="AJ5237">
        <v>107.831385579563</v>
      </c>
      <c r="AK5237">
        <v>14.427665579146201</v>
      </c>
      <c r="AL5237">
        <v>86.482462045715394</v>
      </c>
      <c r="AM5237">
        <v>100.267185398656</v>
      </c>
      <c r="AN5237">
        <v>0.99999998716457095</v>
      </c>
    </row>
    <row r="5238" spans="1:40" x14ac:dyDescent="0.25">
      <c r="A5238" t="str">
        <f>"20190312151132111"</f>
        <v>20190312151132111</v>
      </c>
      <c r="B5238" t="str">
        <f>"1552374692106420"</f>
        <v>1552374692106420</v>
      </c>
      <c r="C5238" t="s">
        <v>40</v>
      </c>
      <c r="D5238">
        <v>5.1142510000000003</v>
      </c>
      <c r="E5238">
        <v>0.45154870000000003</v>
      </c>
      <c r="F5238" t="s">
        <v>86</v>
      </c>
      <c r="G5238">
        <v>-383.15159999999997</v>
      </c>
      <c r="H5238" s="1">
        <v>-3.5281639999999998E-6</v>
      </c>
      <c r="I5238">
        <v>17.978839999999899</v>
      </c>
      <c r="J5238">
        <v>-397.26639999999998</v>
      </c>
      <c r="K5238">
        <v>1.1163689999999999</v>
      </c>
      <c r="L5238">
        <v>17.179289999999899</v>
      </c>
      <c r="M5238">
        <v>0.96844249999999998</v>
      </c>
      <c r="N5238">
        <v>0</v>
      </c>
      <c r="O5238">
        <v>-0.2488679</v>
      </c>
      <c r="P5238">
        <v>0.99595120000000004</v>
      </c>
      <c r="Q5238">
        <v>5.025458E-2</v>
      </c>
      <c r="R5238">
        <v>-7.4538770000000004E-2</v>
      </c>
      <c r="S5238">
        <v>3.038513</v>
      </c>
      <c r="T5238">
        <v>-0.23690510000000001</v>
      </c>
      <c r="U5238">
        <v>0.1598511</v>
      </c>
      <c r="V5238">
        <v>-0.1766308</v>
      </c>
      <c r="W5238">
        <v>6.0921419999999997E-2</v>
      </c>
      <c r="X5238">
        <v>0.98238999999999999</v>
      </c>
      <c r="Y5238">
        <v>-0.29778169999999998</v>
      </c>
      <c r="Z5238">
        <v>3.0822450000000001E-2</v>
      </c>
      <c r="AA5238">
        <v>0.95413630000000005</v>
      </c>
      <c r="AB5238">
        <v>27</v>
      </c>
      <c r="AC5238">
        <v>14.114800000000001</v>
      </c>
      <c r="AD5238">
        <v>-1.116372528164</v>
      </c>
      <c r="AE5238">
        <v>0.79954999999999998</v>
      </c>
      <c r="AF5238">
        <v>-4.2608640695859297</v>
      </c>
      <c r="AG5238">
        <v>-1.116372528164</v>
      </c>
      <c r="AH5238">
        <v>13.3881456168002</v>
      </c>
      <c r="AI5238">
        <v>94.543071344899104</v>
      </c>
      <c r="AJ5238">
        <v>107.654008564514</v>
      </c>
      <c r="AK5238">
        <v>14.094101365386001</v>
      </c>
      <c r="AL5238">
        <v>86.507296944194096</v>
      </c>
      <c r="AM5238">
        <v>100.192708721076</v>
      </c>
      <c r="AN5238">
        <v>0.99999998551172797</v>
      </c>
    </row>
    <row r="5239" spans="1:40" x14ac:dyDescent="0.25">
      <c r="A5239" t="str">
        <f>"20190312151132123"</f>
        <v>20190312151132123</v>
      </c>
      <c r="B5239" t="str">
        <f>"1552374692116180"</f>
        <v>1552374692116180</v>
      </c>
      <c r="C5239" t="s">
        <v>40</v>
      </c>
      <c r="D5239">
        <v>5.0043839999999999</v>
      </c>
      <c r="E5239">
        <v>0.45217459999999998</v>
      </c>
      <c r="F5239" t="s">
        <v>86</v>
      </c>
      <c r="G5239">
        <v>-383.3587</v>
      </c>
      <c r="H5239" s="1">
        <v>-3.437678E-6</v>
      </c>
      <c r="I5239">
        <v>17.937190000000001</v>
      </c>
      <c r="J5239">
        <v>-397.12450000000001</v>
      </c>
      <c r="K5239">
        <v>1.1163479999999999</v>
      </c>
      <c r="L5239">
        <v>17.14798</v>
      </c>
      <c r="M5239">
        <v>0.96962510000000002</v>
      </c>
      <c r="N5239">
        <v>0</v>
      </c>
      <c r="O5239">
        <v>-0.24421989999999999</v>
      </c>
      <c r="P5239">
        <v>0.99625240000000004</v>
      </c>
      <c r="Q5239">
        <v>5.0230129999999998E-2</v>
      </c>
      <c r="R5239">
        <v>-7.0413699999999996E-2</v>
      </c>
      <c r="S5239">
        <v>3.036896</v>
      </c>
      <c r="T5239">
        <v>-0.2437725</v>
      </c>
      <c r="U5239">
        <v>0.165496799999999</v>
      </c>
      <c r="V5239">
        <v>-0.1759839</v>
      </c>
      <c r="W5239">
        <v>6.0914280000000001E-2</v>
      </c>
      <c r="X5239">
        <v>0.98250649999999995</v>
      </c>
      <c r="Y5239">
        <v>-0.29492429999999997</v>
      </c>
      <c r="Z5239">
        <v>3.125054E-2</v>
      </c>
      <c r="AA5239">
        <v>0.95500949999999996</v>
      </c>
      <c r="AB5239">
        <v>27</v>
      </c>
      <c r="AC5239">
        <v>13.7658</v>
      </c>
      <c r="AD5239">
        <v>-1.1163514376779999</v>
      </c>
      <c r="AE5239">
        <v>0.78920999999999997</v>
      </c>
      <c r="AF5239">
        <v>-4.10061983796425</v>
      </c>
      <c r="AG5239">
        <v>-1.1163514376779999</v>
      </c>
      <c r="AH5239">
        <v>13.070456490662099</v>
      </c>
      <c r="AI5239">
        <v>94.658953815685905</v>
      </c>
      <c r="AJ5239">
        <v>107.418307889422</v>
      </c>
      <c r="AK5239">
        <v>13.744022572093099</v>
      </c>
      <c r="AL5239">
        <v>86.507706682013406</v>
      </c>
      <c r="AM5239">
        <v>100.154977762333</v>
      </c>
      <c r="AN5239">
        <v>0.99999995255468799</v>
      </c>
    </row>
    <row r="5240" spans="1:40" x14ac:dyDescent="0.25">
      <c r="A5240" t="str">
        <f>"20190312151132136"</f>
        <v>20190312151132136</v>
      </c>
      <c r="B5240" t="str">
        <f>"1552374692126917"</f>
        <v>1552374692126917</v>
      </c>
      <c r="C5240" t="s">
        <v>40</v>
      </c>
      <c r="D5240">
        <v>4.9887459999999999</v>
      </c>
      <c r="E5240">
        <v>0.45272109999999899</v>
      </c>
      <c r="F5240" t="s">
        <v>86</v>
      </c>
      <c r="G5240">
        <v>-383.40019999999998</v>
      </c>
      <c r="H5240" s="1">
        <v>-3.41939E-6</v>
      </c>
      <c r="I5240">
        <v>17.929639999999999</v>
      </c>
      <c r="J5240">
        <v>-396.97449999999998</v>
      </c>
      <c r="K5240">
        <v>1.116328</v>
      </c>
      <c r="L5240">
        <v>17.115449999999999</v>
      </c>
      <c r="M5240">
        <v>0.97084760000000003</v>
      </c>
      <c r="N5240">
        <v>0</v>
      </c>
      <c r="O5240">
        <v>-0.2393141</v>
      </c>
      <c r="P5240">
        <v>0.99657600000000002</v>
      </c>
      <c r="Q5240">
        <v>5.0082010000000003E-2</v>
      </c>
      <c r="R5240">
        <v>-6.5788840000000001E-2</v>
      </c>
      <c r="S5240">
        <v>3.0359799999999999</v>
      </c>
      <c r="T5240">
        <v>-0.24695110000000001</v>
      </c>
      <c r="U5240">
        <v>0.1729126</v>
      </c>
      <c r="V5240">
        <v>-0.1755717</v>
      </c>
      <c r="W5240">
        <v>6.077958E-2</v>
      </c>
      <c r="X5240">
        <v>0.98258860000000003</v>
      </c>
      <c r="Y5240">
        <v>-0.2924136</v>
      </c>
      <c r="Z5240">
        <v>3.1173389999999999E-2</v>
      </c>
      <c r="AA5240">
        <v>0.95578370000000001</v>
      </c>
      <c r="AB5240">
        <v>26</v>
      </c>
      <c r="AC5240">
        <v>13.5742999999999</v>
      </c>
      <c r="AD5240">
        <v>-1.11633141939</v>
      </c>
      <c r="AE5240">
        <v>0.81418999999999997</v>
      </c>
      <c r="AF5240">
        <v>-4.0123081087134604</v>
      </c>
      <c r="AG5240">
        <v>-1.11633141939</v>
      </c>
      <c r="AH5240">
        <v>12.8980032351927</v>
      </c>
      <c r="AI5240">
        <v>94.724431447474899</v>
      </c>
      <c r="AJ5240">
        <v>107.279862039855</v>
      </c>
      <c r="AK5240">
        <v>13.553719033985001</v>
      </c>
      <c r="AL5240">
        <v>86.515438804517004</v>
      </c>
      <c r="AM5240">
        <v>100.130856458029</v>
      </c>
      <c r="AN5240">
        <v>0.99999996801791202</v>
      </c>
    </row>
    <row r="5241" spans="1:40" x14ac:dyDescent="0.25">
      <c r="A5241" t="str">
        <f>"20190312151132148"</f>
        <v>20190312151132148</v>
      </c>
      <c r="B5241" t="str">
        <f>"1552374692136677"</f>
        <v>1552374692136677</v>
      </c>
      <c r="C5241" t="s">
        <v>40</v>
      </c>
      <c r="D5241">
        <v>5.3742510000000001</v>
      </c>
      <c r="E5241">
        <v>0.4533625</v>
      </c>
      <c r="F5241" t="s">
        <v>86</v>
      </c>
      <c r="G5241">
        <v>-383.41359999999997</v>
      </c>
      <c r="H5241" s="1">
        <v>-3.4128000000000002E-6</v>
      </c>
      <c r="I5241">
        <v>17.931159999999998</v>
      </c>
      <c r="J5241">
        <v>-396.84059999999999</v>
      </c>
      <c r="K5241">
        <v>1.116304</v>
      </c>
      <c r="L5241">
        <v>17.087429999999902</v>
      </c>
      <c r="M5241">
        <v>0.97190889999999996</v>
      </c>
      <c r="N5241">
        <v>0</v>
      </c>
      <c r="O5241">
        <v>-0.2349678</v>
      </c>
      <c r="P5241">
        <v>0.99681679999999995</v>
      </c>
      <c r="Q5241">
        <v>5.0334669999999998E-2</v>
      </c>
      <c r="R5241">
        <v>-6.1829149999999999E-2</v>
      </c>
      <c r="S5241">
        <v>3.0349119999999998</v>
      </c>
      <c r="T5241">
        <v>-0.24983420000000001</v>
      </c>
      <c r="U5241">
        <v>0.1825562</v>
      </c>
      <c r="V5241">
        <v>-0.17507590000000001</v>
      </c>
      <c r="W5241">
        <v>6.1048020000000001E-2</v>
      </c>
      <c r="X5241">
        <v>0.98266050000000005</v>
      </c>
      <c r="Y5241">
        <v>-0.2911591</v>
      </c>
      <c r="Z5241">
        <v>3.1144359999999999E-2</v>
      </c>
      <c r="AA5241">
        <v>0.95616760000000001</v>
      </c>
      <c r="AB5241">
        <v>26</v>
      </c>
      <c r="AC5241">
        <v>13.427</v>
      </c>
      <c r="AD5241">
        <v>-1.1163074127999999</v>
      </c>
      <c r="AE5241">
        <v>0.84373000000000398</v>
      </c>
      <c r="AF5241">
        <v>-3.9481230833195</v>
      </c>
      <c r="AG5241">
        <v>-1.1163074127999999</v>
      </c>
      <c r="AH5241">
        <v>12.7648640186411</v>
      </c>
      <c r="AI5241">
        <v>94.775777795847404</v>
      </c>
      <c r="AJ5241">
        <v>107.186636068602</v>
      </c>
      <c r="AK5241">
        <v>13.4080413012233</v>
      </c>
      <c r="AL5241">
        <v>86.500029980066103</v>
      </c>
      <c r="AM5241">
        <v>100.102113890803</v>
      </c>
      <c r="AN5241">
        <v>1.00000004488348</v>
      </c>
    </row>
    <row r="5242" spans="1:40" x14ac:dyDescent="0.25">
      <c r="A5242" t="str">
        <f>"20190312151132170"</f>
        <v>20190312151132170</v>
      </c>
      <c r="B5242" t="str">
        <f>"1552374692166933"</f>
        <v>1552374692166933</v>
      </c>
      <c r="C5242" t="s">
        <v>40</v>
      </c>
      <c r="D5242">
        <v>5.3184649999999998</v>
      </c>
      <c r="E5242">
        <v>0.45492680000000002</v>
      </c>
      <c r="F5242" t="s">
        <v>86</v>
      </c>
      <c r="G5242">
        <v>-383.00119999999998</v>
      </c>
      <c r="H5242" s="1">
        <v>-3.6041330000000002E-6</v>
      </c>
      <c r="I5242">
        <v>17.951560000000001</v>
      </c>
      <c r="J5242">
        <v>-396.60140000000001</v>
      </c>
      <c r="K5242">
        <v>1.1162449999999999</v>
      </c>
      <c r="L5242">
        <v>17.03848</v>
      </c>
      <c r="M5242">
        <v>0.97374680000000002</v>
      </c>
      <c r="N5242">
        <v>0</v>
      </c>
      <c r="O5242">
        <v>-0.22723109999999999</v>
      </c>
      <c r="P5242">
        <v>0.99723300000000004</v>
      </c>
      <c r="Q5242">
        <v>5.035125E-2</v>
      </c>
      <c r="R5242">
        <v>-5.4691990000000003E-2</v>
      </c>
      <c r="S5242">
        <v>3.0336910000000001</v>
      </c>
      <c r="T5242">
        <v>-0.2447011</v>
      </c>
      <c r="U5242">
        <v>0.1894226</v>
      </c>
      <c r="V5242">
        <v>-0.17428679999999999</v>
      </c>
      <c r="W5242">
        <v>6.109038E-2</v>
      </c>
      <c r="X5242">
        <v>0.98279810000000001</v>
      </c>
      <c r="Y5242">
        <v>-0.28584189999999998</v>
      </c>
      <c r="Z5242">
        <v>2.9692409999999999E-2</v>
      </c>
      <c r="AA5242">
        <v>0.95781669999999997</v>
      </c>
      <c r="AB5242">
        <v>26</v>
      </c>
      <c r="AC5242">
        <v>13.600199999999999</v>
      </c>
      <c r="AD5242">
        <v>-1.116248604133</v>
      </c>
      <c r="AE5242">
        <v>0.91308</v>
      </c>
      <c r="AF5242">
        <v>-3.95334964740068</v>
      </c>
      <c r="AG5242">
        <v>-1.116248604133</v>
      </c>
      <c r="AH5242">
        <v>12.9500195213399</v>
      </c>
      <c r="AI5242">
        <v>94.712848111498303</v>
      </c>
      <c r="AJ5242">
        <v>106.976251414749</v>
      </c>
      <c r="AK5242">
        <v>13.5859482548667</v>
      </c>
      <c r="AL5242">
        <v>86.497598285137698</v>
      </c>
      <c r="AM5242">
        <v>100.05613398378</v>
      </c>
      <c r="AN5242">
        <v>1.00000001427319</v>
      </c>
    </row>
    <row r="5243" spans="1:40" x14ac:dyDescent="0.25">
      <c r="A5243" t="str">
        <f>"20190312151132191"</f>
        <v>20190312151132191</v>
      </c>
      <c r="B5243" t="str">
        <f>"1552374692186453"</f>
        <v>1552374692186453</v>
      </c>
      <c r="C5243" t="s">
        <v>40</v>
      </c>
      <c r="D5243">
        <v>5.0868250000000002</v>
      </c>
      <c r="E5243">
        <v>0.45578600000000002</v>
      </c>
      <c r="F5243" t="s">
        <v>86</v>
      </c>
      <c r="G5243">
        <v>-383.26780000000002</v>
      </c>
      <c r="H5243" s="1">
        <v>-3.4851400000000001E-6</v>
      </c>
      <c r="I5243">
        <v>17.911750000000001</v>
      </c>
      <c r="J5243">
        <v>-396.35649999999998</v>
      </c>
      <c r="K5243">
        <v>1.1161749999999999</v>
      </c>
      <c r="L5243">
        <v>16.990389999999898</v>
      </c>
      <c r="M5243">
        <v>0.97554479999999999</v>
      </c>
      <c r="N5243">
        <v>0</v>
      </c>
      <c r="O5243">
        <v>-0.2193842</v>
      </c>
      <c r="P5243">
        <v>0.99763769999999996</v>
      </c>
      <c r="Q5243">
        <v>4.9874219999999997E-2</v>
      </c>
      <c r="R5243">
        <v>-4.724093E-2</v>
      </c>
      <c r="S5243">
        <v>3.0320130000000001</v>
      </c>
      <c r="T5243">
        <v>-0.2538321</v>
      </c>
      <c r="U5243">
        <v>0.1985779</v>
      </c>
      <c r="V5243">
        <v>-0.17370389999999999</v>
      </c>
      <c r="W5243">
        <v>6.0633939999999997E-2</v>
      </c>
      <c r="X5243">
        <v>0.98292950000000001</v>
      </c>
      <c r="Y5243">
        <v>-0.28095679999999901</v>
      </c>
      <c r="Z5243">
        <v>2.996358E-2</v>
      </c>
      <c r="AA5243">
        <v>0.95925249999999995</v>
      </c>
      <c r="AB5243">
        <v>26</v>
      </c>
      <c r="AC5243">
        <v>13.0886999999999</v>
      </c>
      <c r="AD5243">
        <v>-1.1161784851399901</v>
      </c>
      <c r="AE5243">
        <v>0.92136000000000295</v>
      </c>
      <c r="AF5243">
        <v>-3.7435367652279998</v>
      </c>
      <c r="AG5243">
        <v>-1.1161784851399901</v>
      </c>
      <c r="AH5243">
        <v>12.4773388105555</v>
      </c>
      <c r="AI5243">
        <v>94.897319216690605</v>
      </c>
      <c r="AJ5243">
        <v>106.70065603658399</v>
      </c>
      <c r="AK5243">
        <v>13.0745518361701</v>
      </c>
      <c r="AL5243">
        <v>86.523798755643099</v>
      </c>
      <c r="AM5243">
        <v>100.02187171188</v>
      </c>
      <c r="AN5243">
        <v>0.99999996076269104</v>
      </c>
    </row>
    <row r="5244" spans="1:40" x14ac:dyDescent="0.25">
      <c r="A5244" t="str">
        <f>"20190312151132212"</f>
        <v>20190312151132212</v>
      </c>
      <c r="B5244" t="str">
        <f>"1552374692206948"</f>
        <v>1552374692206948</v>
      </c>
      <c r="C5244" t="s">
        <v>40</v>
      </c>
      <c r="D5244">
        <v>5.0598359999999998</v>
      </c>
      <c r="E5244">
        <v>0.45691690000000001</v>
      </c>
      <c r="F5244" t="s">
        <v>86</v>
      </c>
      <c r="G5244">
        <v>-383.29579999999999</v>
      </c>
      <c r="H5244" s="1">
        <v>-3.471779E-6</v>
      </c>
      <c r="I5244">
        <v>17.912589999999899</v>
      </c>
      <c r="J5244">
        <v>-396.11180000000002</v>
      </c>
      <c r="K5244">
        <v>1.1160969999999999</v>
      </c>
      <c r="L5244">
        <v>16.944240000000001</v>
      </c>
      <c r="M5244">
        <v>0.97725700000000004</v>
      </c>
      <c r="N5244">
        <v>0</v>
      </c>
      <c r="O5244">
        <v>-0.2116276</v>
      </c>
      <c r="P5244">
        <v>0.99799090000000001</v>
      </c>
      <c r="Q5244">
        <v>4.8950439999999998E-2</v>
      </c>
      <c r="R5244">
        <v>-4.0223620000000002E-2</v>
      </c>
      <c r="S5244">
        <v>3.0301819999999999</v>
      </c>
      <c r="T5244">
        <v>-0.258961</v>
      </c>
      <c r="U5244">
        <v>0.2139587</v>
      </c>
      <c r="V5244">
        <v>-0.17279359999999999</v>
      </c>
      <c r="W5244">
        <v>5.9736259999999999E-2</v>
      </c>
      <c r="X5244">
        <v>0.98314489999999999</v>
      </c>
      <c r="Y5244">
        <v>-0.27818500000000002</v>
      </c>
      <c r="Z5244">
        <v>2.9813079999999999E-2</v>
      </c>
      <c r="AA5244">
        <v>0.96006469999999999</v>
      </c>
      <c r="AB5244">
        <v>26</v>
      </c>
      <c r="AC5244">
        <v>12.816000000000001</v>
      </c>
      <c r="AD5244">
        <v>-1.116100471779</v>
      </c>
      <c r="AE5244">
        <v>0.96834999999999705</v>
      </c>
      <c r="AF5244">
        <v>-3.6314949299543802</v>
      </c>
      <c r="AG5244">
        <v>-1.116100471779</v>
      </c>
      <c r="AH5244">
        <v>12.2285053097469</v>
      </c>
      <c r="AI5244">
        <v>95.0002929427136</v>
      </c>
      <c r="AJ5244">
        <v>106.539821476909</v>
      </c>
      <c r="AK5244">
        <v>12.805068441827901</v>
      </c>
      <c r="AL5244">
        <v>86.575325478031999</v>
      </c>
      <c r="AM5244">
        <v>99.968267741080098</v>
      </c>
      <c r="AN5244">
        <v>0.99999997167787802</v>
      </c>
    </row>
    <row r="5245" spans="1:40" x14ac:dyDescent="0.25">
      <c r="A5245" t="str">
        <f>"20190312151132225"</f>
        <v>20190312151132225</v>
      </c>
      <c r="B5245" t="str">
        <f>"1552374692216709"</f>
        <v>1552374692216709</v>
      </c>
      <c r="C5245" t="s">
        <v>40</v>
      </c>
      <c r="D5245">
        <v>5.1381050000000004</v>
      </c>
      <c r="E5245">
        <v>0.4573605</v>
      </c>
      <c r="F5245" t="s">
        <v>86</v>
      </c>
      <c r="G5245">
        <v>-383.11180000000002</v>
      </c>
      <c r="H5245" s="1">
        <v>-3.5582099999999902E-6</v>
      </c>
      <c r="I5245">
        <v>17.91564</v>
      </c>
      <c r="J5245">
        <v>-395.95330000000001</v>
      </c>
      <c r="K5245">
        <v>1.116042</v>
      </c>
      <c r="L5245">
        <v>16.915410000000001</v>
      </c>
      <c r="M5245">
        <v>0.978321</v>
      </c>
      <c r="N5245">
        <v>0</v>
      </c>
      <c r="O5245">
        <v>-0.20665449999999999</v>
      </c>
      <c r="P5245">
        <v>0.99818980000000002</v>
      </c>
      <c r="Q5245">
        <v>4.8492349999999997E-2</v>
      </c>
      <c r="R5245">
        <v>-3.5575889999999999E-2</v>
      </c>
      <c r="S5245">
        <v>3.0279539999999998</v>
      </c>
      <c r="T5245">
        <v>-0.25996069999999999</v>
      </c>
      <c r="U5245">
        <v>0.22625729999999999</v>
      </c>
      <c r="V5245">
        <v>-0.17236119999999999</v>
      </c>
      <c r="W5245">
        <v>5.9293579999999999E-2</v>
      </c>
      <c r="X5245">
        <v>0.9832476</v>
      </c>
      <c r="Y5245">
        <v>-0.27723629999999999</v>
      </c>
      <c r="Z5245">
        <v>2.9486600000000002E-2</v>
      </c>
      <c r="AA5245">
        <v>0.96034920000000001</v>
      </c>
      <c r="AB5245">
        <v>26</v>
      </c>
      <c r="AC5245">
        <v>12.8414999999999</v>
      </c>
      <c r="AD5245">
        <v>-1.11604555821</v>
      </c>
      <c r="AE5245">
        <v>1.00022999999999</v>
      </c>
      <c r="AF5245">
        <v>-3.6055608691577001</v>
      </c>
      <c r="AG5245">
        <v>-1.11604555821</v>
      </c>
      <c r="AH5245">
        <v>12.265446313128701</v>
      </c>
      <c r="AI5245">
        <v>94.989122030679795</v>
      </c>
      <c r="AJ5245">
        <v>106.381270779799</v>
      </c>
      <c r="AK5245">
        <v>12.833035499422801</v>
      </c>
      <c r="AL5245">
        <v>86.600734233227598</v>
      </c>
      <c r="AM5245">
        <v>99.9428036628439</v>
      </c>
      <c r="AN5245">
        <v>0.99999997740020796</v>
      </c>
    </row>
    <row r="5246" spans="1:40" x14ac:dyDescent="0.25">
      <c r="A5246" t="str">
        <f>"20190312151132238"</f>
        <v>20190312151132238</v>
      </c>
      <c r="B5246" t="str">
        <f>"1552374692226469"</f>
        <v>1552374692226469</v>
      </c>
      <c r="C5246" t="s">
        <v>40</v>
      </c>
      <c r="D5246">
        <v>5.1141249999999996</v>
      </c>
      <c r="E5246">
        <v>0.45778380000000002</v>
      </c>
      <c r="F5246" t="s">
        <v>86</v>
      </c>
      <c r="G5246">
        <v>-383.20350000000002</v>
      </c>
      <c r="H5246" s="1">
        <v>-3.5152400000000001E-6</v>
      </c>
      <c r="I5246">
        <v>17.91348</v>
      </c>
      <c r="J5246">
        <v>-395.81569999999999</v>
      </c>
      <c r="K5246">
        <v>1.1159939999999999</v>
      </c>
      <c r="L5246">
        <v>16.890809999999998</v>
      </c>
      <c r="M5246">
        <v>0.97921820000000004</v>
      </c>
      <c r="N5246">
        <v>0</v>
      </c>
      <c r="O5246">
        <v>-0.20236180000000001</v>
      </c>
      <c r="P5246">
        <v>0.9983168</v>
      </c>
      <c r="Q5246">
        <v>4.8546909999999999E-2</v>
      </c>
      <c r="R5246">
        <v>-3.1732589999999998E-2</v>
      </c>
      <c r="S5246">
        <v>3.026764</v>
      </c>
      <c r="T5246">
        <v>-0.26494590000000001</v>
      </c>
      <c r="U5246">
        <v>0.2369385</v>
      </c>
      <c r="V5246">
        <v>-0.17182739999999999</v>
      </c>
      <c r="W5246">
        <v>5.9364989999999999E-2</v>
      </c>
      <c r="X5246">
        <v>0.98333669999999995</v>
      </c>
      <c r="Y5246">
        <v>-0.2763716</v>
      </c>
      <c r="Z5246">
        <v>2.965168E-2</v>
      </c>
      <c r="AA5246">
        <v>0.96059329999999998</v>
      </c>
      <c r="AB5246">
        <v>26</v>
      </c>
      <c r="AC5246">
        <v>12.6121999999999</v>
      </c>
      <c r="AD5246">
        <v>-1.1159975152399999</v>
      </c>
      <c r="AE5246">
        <v>1.02266999999999</v>
      </c>
      <c r="AF5246">
        <v>-3.5265356287324798</v>
      </c>
      <c r="AG5246">
        <v>-1.1159975152399999</v>
      </c>
      <c r="AH5246">
        <v>12.050512569696799</v>
      </c>
      <c r="AI5246">
        <v>95.079223483765006</v>
      </c>
      <c r="AJ5246">
        <v>106.311909409698</v>
      </c>
      <c r="AK5246">
        <v>12.605425704321201</v>
      </c>
      <c r="AL5246">
        <v>86.596635467314897</v>
      </c>
      <c r="AM5246">
        <v>99.911742287697805</v>
      </c>
      <c r="AN5246">
        <v>0.99999996149767401</v>
      </c>
    </row>
    <row r="5247" spans="1:40" x14ac:dyDescent="0.25">
      <c r="A5247" t="str">
        <f>"20190312151132256"</f>
        <v>20190312151132256</v>
      </c>
      <c r="B5247" t="str">
        <f>"1552374692246964"</f>
        <v>1552374692246964</v>
      </c>
      <c r="C5247" t="s">
        <v>40</v>
      </c>
      <c r="D5247">
        <v>5.0968229999999997</v>
      </c>
      <c r="E5247">
        <v>0.4587946</v>
      </c>
      <c r="F5247" t="s">
        <v>86</v>
      </c>
      <c r="G5247">
        <v>-382.97239999999999</v>
      </c>
      <c r="H5247" s="1">
        <v>-3.6211770000000002E-6</v>
      </c>
      <c r="I5247">
        <v>17.93205</v>
      </c>
      <c r="J5247">
        <v>-395.59109999999998</v>
      </c>
      <c r="K5247">
        <v>1.115904</v>
      </c>
      <c r="L5247">
        <v>16.8522</v>
      </c>
      <c r="M5247">
        <v>0.98062159999999998</v>
      </c>
      <c r="N5247">
        <v>0</v>
      </c>
      <c r="O5247">
        <v>-0.19544810000000001</v>
      </c>
      <c r="P5247">
        <v>0.99850939999999999</v>
      </c>
      <c r="Q5247">
        <v>4.8145809999999997E-2</v>
      </c>
      <c r="R5247">
        <v>-2.5709470000000002E-2</v>
      </c>
      <c r="S5247">
        <v>3.025665</v>
      </c>
      <c r="T5247">
        <v>-0.26291039999999999</v>
      </c>
      <c r="U5247">
        <v>0.2453003</v>
      </c>
      <c r="V5247">
        <v>-0.17080789999999901</v>
      </c>
      <c r="W5247">
        <v>5.8995609999999997E-2</v>
      </c>
      <c r="X5247">
        <v>0.98353650000000004</v>
      </c>
      <c r="Y5247">
        <v>-0.27232489999999998</v>
      </c>
      <c r="Z5247">
        <v>2.8666250000000001E-2</v>
      </c>
      <c r="AA5247">
        <v>0.96177829999999997</v>
      </c>
      <c r="AB5247">
        <v>26</v>
      </c>
      <c r="AC5247">
        <v>12.618699999999899</v>
      </c>
      <c r="AD5247">
        <v>-1.115907621177</v>
      </c>
      <c r="AE5247">
        <v>1.07985</v>
      </c>
      <c r="AF5247">
        <v>-3.49838504306094</v>
      </c>
      <c r="AG5247">
        <v>-1.115907621177</v>
      </c>
      <c r="AH5247">
        <v>12.0705084145581</v>
      </c>
      <c r="AI5247">
        <v>95.074262898866294</v>
      </c>
      <c r="AJ5247">
        <v>106.163128347834</v>
      </c>
      <c r="AK5247">
        <v>12.6167000881542</v>
      </c>
      <c r="AL5247">
        <v>86.617836448302498</v>
      </c>
      <c r="AM5247">
        <v>99.852126755686001</v>
      </c>
      <c r="AN5247">
        <v>0.99999993376696295</v>
      </c>
    </row>
    <row r="5248" spans="1:40" x14ac:dyDescent="0.25">
      <c r="A5248" t="str">
        <f>"20190312151132269"</f>
        <v>20190312151132269</v>
      </c>
      <c r="B5248" t="str">
        <f>"1552374692266485"</f>
        <v>1552374692266485</v>
      </c>
      <c r="C5248" t="s">
        <v>40</v>
      </c>
      <c r="D5248">
        <v>5.154871</v>
      </c>
      <c r="E5248">
        <v>0.45991019999999999</v>
      </c>
      <c r="F5248" t="s">
        <v>86</v>
      </c>
      <c r="G5248">
        <v>-382.5754</v>
      </c>
      <c r="H5248" s="1">
        <v>-3.8053650000000001E-6</v>
      </c>
      <c r="I5248">
        <v>17.951650000000001</v>
      </c>
      <c r="J5248">
        <v>-395.45839999999998</v>
      </c>
      <c r="K5248">
        <v>1.115848</v>
      </c>
      <c r="L5248">
        <v>16.83032</v>
      </c>
      <c r="M5248">
        <v>0.98141489999999998</v>
      </c>
      <c r="N5248">
        <v>0</v>
      </c>
      <c r="O5248">
        <v>-0.1914264</v>
      </c>
      <c r="P5248">
        <v>0.99860640000000001</v>
      </c>
      <c r="Q5248">
        <v>4.801586E-2</v>
      </c>
      <c r="R5248">
        <v>-2.1907969999999999E-2</v>
      </c>
      <c r="S5248">
        <v>3.0235289999999999</v>
      </c>
      <c r="T5248">
        <v>-0.25922539999999999</v>
      </c>
      <c r="U5248">
        <v>0.25540160000000001</v>
      </c>
      <c r="V5248">
        <v>-0.17051129999999901</v>
      </c>
      <c r="W5248">
        <v>5.8880420000000003E-2</v>
      </c>
      <c r="X5248">
        <v>0.983595</v>
      </c>
      <c r="Y5248">
        <v>-0.27169169999999998</v>
      </c>
      <c r="Z5248">
        <v>2.7916219999999999E-2</v>
      </c>
      <c r="AA5248">
        <v>0.96197940000000004</v>
      </c>
      <c r="AB5248">
        <v>26</v>
      </c>
      <c r="AC5248">
        <v>12.8829999999999</v>
      </c>
      <c r="AD5248">
        <v>-1.1158518053649999</v>
      </c>
      <c r="AE5248">
        <v>1.1213299999999999</v>
      </c>
      <c r="AF5248">
        <v>-3.5405966577341501</v>
      </c>
      <c r="AG5248">
        <v>-1.1158518053649999</v>
      </c>
      <c r="AH5248">
        <v>12.338173828739</v>
      </c>
      <c r="AI5248">
        <v>94.968261793102997</v>
      </c>
      <c r="AJ5248">
        <v>106.011508751888</v>
      </c>
      <c r="AK5248">
        <v>12.8845443602975</v>
      </c>
      <c r="AL5248">
        <v>86.624448288256303</v>
      </c>
      <c r="AM5248">
        <v>99.8347798344181</v>
      </c>
      <c r="AN5248">
        <v>1.0000000656560299</v>
      </c>
    </row>
    <row r="5249" spans="1:40" x14ac:dyDescent="0.25">
      <c r="A5249" t="str">
        <f>"20190312151132282"</f>
        <v>20190312151132282</v>
      </c>
      <c r="B5249" t="str">
        <f>"1552374692276245"</f>
        <v>1552374692276245</v>
      </c>
      <c r="C5249" t="s">
        <v>40</v>
      </c>
      <c r="D5249">
        <v>5.3536289999999997</v>
      </c>
      <c r="E5249">
        <v>0.46048790000000001</v>
      </c>
      <c r="F5249" t="s">
        <v>86</v>
      </c>
      <c r="G5249">
        <v>-382.18770000000001</v>
      </c>
      <c r="H5249" s="1">
        <v>-3.986543E-6</v>
      </c>
      <c r="I5249">
        <v>17.963379999999901</v>
      </c>
      <c r="J5249">
        <v>-395.31099999999998</v>
      </c>
      <c r="K5249">
        <v>1.1157859999999999</v>
      </c>
      <c r="L5249">
        <v>16.8063</v>
      </c>
      <c r="M5249">
        <v>0.98227129999999996</v>
      </c>
      <c r="N5249">
        <v>0</v>
      </c>
      <c r="O5249">
        <v>-0.1869826</v>
      </c>
      <c r="P5249">
        <v>0.99870230000000004</v>
      </c>
      <c r="Q5249">
        <v>4.7589310000000003E-2</v>
      </c>
      <c r="R5249">
        <v>-1.8142309999999998E-2</v>
      </c>
      <c r="S5249">
        <v>3.0220639999999999</v>
      </c>
      <c r="T5249">
        <v>-0.25410739999999998</v>
      </c>
      <c r="U5249">
        <v>0.25802609999999998</v>
      </c>
      <c r="V5249">
        <v>-0.169757399999999</v>
      </c>
      <c r="W5249">
        <v>5.8477710000000002E-2</v>
      </c>
      <c r="X5249">
        <v>0.98374930000000005</v>
      </c>
      <c r="Y5249">
        <v>-0.26829649999999999</v>
      </c>
      <c r="Z5249">
        <v>2.6868599999999999E-2</v>
      </c>
      <c r="AA5249">
        <v>0.96296159999999997</v>
      </c>
      <c r="AB5249">
        <v>26</v>
      </c>
      <c r="AC5249">
        <v>13.123299999999899</v>
      </c>
      <c r="AD5249">
        <v>-1.1157899865430001</v>
      </c>
      <c r="AE5249">
        <v>1.1570799999999899</v>
      </c>
      <c r="AF5249">
        <v>-3.5651458221846801</v>
      </c>
      <c r="AG5249">
        <v>-1.1157899865430001</v>
      </c>
      <c r="AH5249">
        <v>12.585155363573501</v>
      </c>
      <c r="AI5249">
        <v>94.875673076485199</v>
      </c>
      <c r="AJ5249">
        <v>105.81646219201799</v>
      </c>
      <c r="AK5249">
        <v>13.1278858752197</v>
      </c>
      <c r="AL5249">
        <v>86.647561313308003</v>
      </c>
      <c r="AM5249">
        <v>99.790633708294905</v>
      </c>
      <c r="AN5249">
        <v>0.99999995133604502</v>
      </c>
    </row>
    <row r="5250" spans="1:40" x14ac:dyDescent="0.25">
      <c r="A5250" t="str">
        <f>"20190312151132293"</f>
        <v>20190312151132293</v>
      </c>
      <c r="B5250" t="str">
        <f>"1552374692286980"</f>
        <v>1552374692286980</v>
      </c>
      <c r="C5250" t="s">
        <v>40</v>
      </c>
      <c r="D5250">
        <v>5.1211289999999998</v>
      </c>
      <c r="E5250">
        <v>0.46108349999999998</v>
      </c>
      <c r="F5250" t="s">
        <v>86</v>
      </c>
      <c r="G5250">
        <v>-381.95609999999999</v>
      </c>
      <c r="H5250" s="1">
        <v>-4.0935340000000004E-6</v>
      </c>
      <c r="I5250">
        <v>17.977540000000001</v>
      </c>
      <c r="J5250">
        <v>-395.16660000000002</v>
      </c>
      <c r="K5250">
        <v>1.11572</v>
      </c>
      <c r="L5250">
        <v>16.783479999999901</v>
      </c>
      <c r="M5250">
        <v>0.98308070000000003</v>
      </c>
      <c r="N5250">
        <v>0</v>
      </c>
      <c r="O5250">
        <v>-0.18268119999999999</v>
      </c>
      <c r="P5250">
        <v>0.99876929999999997</v>
      </c>
      <c r="Q5250">
        <v>4.7391900000000001E-2</v>
      </c>
      <c r="R5250">
        <v>-1.4643099999999999E-2</v>
      </c>
      <c r="S5250">
        <v>3.0207519999999999</v>
      </c>
      <c r="T5250">
        <v>-0.25238060000000001</v>
      </c>
      <c r="U5250">
        <v>0.26492310000000002</v>
      </c>
      <c r="V5250">
        <v>-0.16888739999999999</v>
      </c>
      <c r="W5250">
        <v>5.8306810000000001E-2</v>
      </c>
      <c r="X5250">
        <v>0.98390920000000004</v>
      </c>
      <c r="Y5250">
        <v>-0.26634079999999999</v>
      </c>
      <c r="Z5250">
        <v>2.6260169999999999E-2</v>
      </c>
      <c r="AA5250">
        <v>0.96352110000000002</v>
      </c>
      <c r="AB5250">
        <v>26</v>
      </c>
      <c r="AC5250">
        <v>13.2105</v>
      </c>
      <c r="AD5250">
        <v>-1.115724093534</v>
      </c>
      <c r="AE5250">
        <v>1.1940599999999999</v>
      </c>
      <c r="AF5250">
        <v>-3.56228602986867</v>
      </c>
      <c r="AG5250">
        <v>-1.115724093534</v>
      </c>
      <c r="AH5250">
        <v>12.6802879635192</v>
      </c>
      <c r="AI5250">
        <v>94.841943103629006</v>
      </c>
      <c r="AJ5250">
        <v>105.691699073148</v>
      </c>
      <c r="AK5250">
        <v>13.218336689964501</v>
      </c>
      <c r="AL5250">
        <v>86.657369980974593</v>
      </c>
      <c r="AM5250">
        <v>99.739868081511403</v>
      </c>
      <c r="AN5250">
        <v>0.99999997590788703</v>
      </c>
    </row>
    <row r="5251" spans="1:40" x14ac:dyDescent="0.25">
      <c r="A5251" t="str">
        <f>"20190312151132313"</f>
        <v>20190312151132313</v>
      </c>
      <c r="B5251" t="str">
        <f>"1552374692306501"</f>
        <v>1552374692306501</v>
      </c>
      <c r="C5251" t="s">
        <v>40</v>
      </c>
      <c r="D5251">
        <v>5.2347260000000002</v>
      </c>
      <c r="E5251">
        <v>0.4623524</v>
      </c>
      <c r="F5251" t="s">
        <v>86</v>
      </c>
      <c r="G5251">
        <v>-381.80970000000002</v>
      </c>
      <c r="H5251" s="1">
        <v>-4.1620049999999996E-6</v>
      </c>
      <c r="I5251">
        <v>17.981660000000002</v>
      </c>
      <c r="J5251">
        <v>-394.95549999999997</v>
      </c>
      <c r="K5251">
        <v>1.1156239999999999</v>
      </c>
      <c r="L5251">
        <v>16.751190000000001</v>
      </c>
      <c r="M5251">
        <v>0.98421139999999996</v>
      </c>
      <c r="N5251">
        <v>0</v>
      </c>
      <c r="O5251">
        <v>-0.1764897</v>
      </c>
      <c r="P5251">
        <v>0.99882249999999995</v>
      </c>
      <c r="Q5251">
        <v>4.7440080000000003E-2</v>
      </c>
      <c r="R5251">
        <v>-1.0152080000000001E-2</v>
      </c>
      <c r="S5251">
        <v>3.0195919999999998</v>
      </c>
      <c r="T5251">
        <v>-0.25223139999999999</v>
      </c>
      <c r="U5251">
        <v>0.270874</v>
      </c>
      <c r="V5251">
        <v>-0.1671029</v>
      </c>
      <c r="W5251">
        <v>5.8402490000000001E-2</v>
      </c>
      <c r="X5251">
        <v>0.98420819999999998</v>
      </c>
      <c r="Y5251">
        <v>-0.26222659999999998</v>
      </c>
      <c r="Z5251">
        <v>2.557096E-2</v>
      </c>
      <c r="AA5251">
        <v>0.96466750000000001</v>
      </c>
      <c r="AB5251">
        <v>26</v>
      </c>
      <c r="AC5251">
        <v>13.1457999999999</v>
      </c>
      <c r="AD5251">
        <v>-1.1156281620049999</v>
      </c>
      <c r="AE5251">
        <v>1.23047</v>
      </c>
      <c r="AF5251">
        <v>-3.5064229120886501</v>
      </c>
      <c r="AG5251">
        <v>-1.1156281620049999</v>
      </c>
      <c r="AH5251">
        <v>12.632033369935799</v>
      </c>
      <c r="AI5251">
        <v>94.864133235675496</v>
      </c>
      <c r="AJ5251">
        <v>105.51368759925801</v>
      </c>
      <c r="AK5251">
        <v>13.1570473470855</v>
      </c>
      <c r="AL5251">
        <v>86.6518786619624</v>
      </c>
      <c r="AM5251">
        <v>99.636021989502197</v>
      </c>
      <c r="AN5251">
        <v>1.00000000548692</v>
      </c>
    </row>
    <row r="5252" spans="1:40" x14ac:dyDescent="0.25">
      <c r="A5252" t="str">
        <f>"20190312151132325"</f>
        <v>20190312151132325</v>
      </c>
      <c r="B5252" t="str">
        <f>"1552374692316262"</f>
        <v>1552374692316262</v>
      </c>
      <c r="C5252" t="s">
        <v>40</v>
      </c>
      <c r="D5252">
        <v>5.1756529999999996</v>
      </c>
      <c r="E5252">
        <v>0.462982</v>
      </c>
      <c r="F5252" t="s">
        <v>86</v>
      </c>
      <c r="G5252">
        <v>-381.50400000000002</v>
      </c>
      <c r="H5252" s="1">
        <v>-4.3077689999999999E-6</v>
      </c>
      <c r="I5252">
        <v>17.974589999999999</v>
      </c>
      <c r="J5252">
        <v>-394.81369999999998</v>
      </c>
      <c r="K5252">
        <v>1.1155539999999999</v>
      </c>
      <c r="L5252">
        <v>16.730219999999999</v>
      </c>
      <c r="M5252">
        <v>0.98493699999999995</v>
      </c>
      <c r="N5252">
        <v>0</v>
      </c>
      <c r="O5252">
        <v>-0.17239499999999999</v>
      </c>
      <c r="P5252">
        <v>0.99884099999999998</v>
      </c>
      <c r="Q5252">
        <v>4.7598090000000003E-2</v>
      </c>
      <c r="R5252">
        <v>-7.1700590000000003E-3</v>
      </c>
      <c r="S5252">
        <v>3.0182500000000001</v>
      </c>
      <c r="T5252">
        <v>-0.25032500000000002</v>
      </c>
      <c r="U5252">
        <v>0.27450560000000002</v>
      </c>
      <c r="V5252">
        <v>-0.165938</v>
      </c>
      <c r="W5252">
        <v>5.8592900000000003E-2</v>
      </c>
      <c r="X5252">
        <v>0.98439399999999999</v>
      </c>
      <c r="Y5252">
        <v>-0.25944820000000002</v>
      </c>
      <c r="Z5252">
        <v>2.4938080000000001E-2</v>
      </c>
      <c r="AA5252">
        <v>0.96543500000000004</v>
      </c>
      <c r="AB5252">
        <v>26</v>
      </c>
      <c r="AC5252">
        <v>13.3096999999999</v>
      </c>
      <c r="AD5252">
        <v>-1.1155583077689999</v>
      </c>
      <c r="AE5252">
        <v>1.24436999999999</v>
      </c>
      <c r="AF5252">
        <v>-3.4961194927366099</v>
      </c>
      <c r="AG5252">
        <v>-1.1155583077689999</v>
      </c>
      <c r="AH5252">
        <v>12.806659959189</v>
      </c>
      <c r="AI5252">
        <v>94.8034322301624</v>
      </c>
      <c r="AJ5252">
        <v>105.26925116082199</v>
      </c>
      <c r="AK5252">
        <v>13.322081712548499</v>
      </c>
      <c r="AL5252">
        <v>86.640950399516996</v>
      </c>
      <c r="AM5252">
        <v>99.568321556001095</v>
      </c>
      <c r="AN5252">
        <v>1.0000000475052</v>
      </c>
    </row>
    <row r="5253" spans="1:40" x14ac:dyDescent="0.25">
      <c r="A5253" t="str">
        <f>"20190312151132337"</f>
        <v>20190312151132337</v>
      </c>
      <c r="B5253" t="str">
        <f>"1552374692326997"</f>
        <v>1552374692326997</v>
      </c>
      <c r="C5253" t="s">
        <v>40</v>
      </c>
      <c r="D5253">
        <v>5.3684129999999897</v>
      </c>
      <c r="E5253">
        <v>0.46359709999999898</v>
      </c>
      <c r="F5253" t="s">
        <v>86</v>
      </c>
      <c r="G5253">
        <v>-381.30720000000002</v>
      </c>
      <c r="H5253" s="1">
        <v>-4.4002559999999997E-6</v>
      </c>
      <c r="I5253">
        <v>17.977709999999998</v>
      </c>
      <c r="J5253">
        <v>-394.66860000000003</v>
      </c>
      <c r="K5253">
        <v>1.1154869999999999</v>
      </c>
      <c r="L5253">
        <v>16.709139999999898</v>
      </c>
      <c r="M5253">
        <v>0.98565519999999995</v>
      </c>
      <c r="N5253">
        <v>0</v>
      </c>
      <c r="O5253">
        <v>-0.168241</v>
      </c>
      <c r="P5253">
        <v>0.99884949999999995</v>
      </c>
      <c r="Q5253">
        <v>4.7752309999999999E-2</v>
      </c>
      <c r="R5253">
        <v>-4.4183139999999996E-3</v>
      </c>
      <c r="S5253">
        <v>3.017334</v>
      </c>
      <c r="T5253">
        <v>-0.24921370000000001</v>
      </c>
      <c r="U5253">
        <v>0.2786865</v>
      </c>
      <c r="V5253">
        <v>-0.16448879999999999</v>
      </c>
      <c r="W5253">
        <v>5.8784250000000003E-2</v>
      </c>
      <c r="X5253">
        <v>0.9846258</v>
      </c>
      <c r="Y5253">
        <v>-0.25676559999999998</v>
      </c>
      <c r="Z5253">
        <v>2.4384380000000001E-2</v>
      </c>
      <c r="AA5253">
        <v>0.96616610000000003</v>
      </c>
      <c r="AB5253">
        <v>26</v>
      </c>
      <c r="AC5253">
        <v>13.3614</v>
      </c>
      <c r="AD5253">
        <v>-1.1154914002559999</v>
      </c>
      <c r="AE5253">
        <v>1.26857</v>
      </c>
      <c r="AF5253">
        <v>-3.4746191871148602</v>
      </c>
      <c r="AG5253">
        <v>-1.1154914002559999</v>
      </c>
      <c r="AH5253">
        <v>12.8685745045376</v>
      </c>
      <c r="AI5253">
        <v>94.783735127165897</v>
      </c>
      <c r="AJ5253">
        <v>105.11000700058599</v>
      </c>
      <c r="AK5253">
        <v>13.3760049842375</v>
      </c>
      <c r="AL5253">
        <v>86.629967963700295</v>
      </c>
      <c r="AM5253">
        <v>99.484090332904003</v>
      </c>
      <c r="AN5253">
        <v>1.00000005969956</v>
      </c>
    </row>
    <row r="5254" spans="1:40" x14ac:dyDescent="0.25">
      <c r="A5254" t="str">
        <f>"20190312151132350"</f>
        <v>20190312151132350</v>
      </c>
      <c r="B5254" t="str">
        <f>"1552374692346517"</f>
        <v>1552374692346517</v>
      </c>
      <c r="C5254" t="s">
        <v>40</v>
      </c>
      <c r="D5254">
        <v>5.1274249999999997</v>
      </c>
      <c r="E5254">
        <v>0.4829601</v>
      </c>
      <c r="F5254" t="s">
        <v>86</v>
      </c>
      <c r="G5254">
        <v>-380.98820000000001</v>
      </c>
      <c r="H5254" s="1">
        <v>-4.5491059999999999E-6</v>
      </c>
      <c r="I5254">
        <v>17.988700000000001</v>
      </c>
      <c r="J5254">
        <v>-394.52870000000001</v>
      </c>
      <c r="K5254">
        <v>1.115413</v>
      </c>
      <c r="L5254">
        <v>16.68967</v>
      </c>
      <c r="M5254">
        <v>0.98631639999999998</v>
      </c>
      <c r="N5254">
        <v>0</v>
      </c>
      <c r="O5254">
        <v>-0.16432169999999999</v>
      </c>
      <c r="P5254">
        <v>0.99885829999999998</v>
      </c>
      <c r="Q5254">
        <v>4.7730950000000001E-2</v>
      </c>
      <c r="R5254">
        <v>-2.023192E-3</v>
      </c>
      <c r="S5254">
        <v>3.0164490000000002</v>
      </c>
      <c r="T5254">
        <v>-0.24595819999999999</v>
      </c>
      <c r="U5254">
        <v>0.28213500000000002</v>
      </c>
      <c r="V5254">
        <v>-0.16292400000000001</v>
      </c>
      <c r="W5254">
        <v>5.8801869999999999E-2</v>
      </c>
      <c r="X5254">
        <v>0.9848848</v>
      </c>
      <c r="Y5254">
        <v>-0.25410349999999998</v>
      </c>
      <c r="Z5254">
        <v>2.3648619999999999E-2</v>
      </c>
      <c r="AA5254">
        <v>0.96688790000000002</v>
      </c>
      <c r="AB5254">
        <v>26</v>
      </c>
      <c r="AC5254">
        <v>13.5405</v>
      </c>
      <c r="AD5254">
        <v>-1.1154175491060001</v>
      </c>
      <c r="AE5254">
        <v>1.2990299999999999</v>
      </c>
      <c r="AF5254">
        <v>-3.4831446550401202</v>
      </c>
      <c r="AG5254">
        <v>-1.1154175491060001</v>
      </c>
      <c r="AH5254">
        <v>13.055147789986499</v>
      </c>
      <c r="AI5254">
        <v>94.719138712371304</v>
      </c>
      <c r="AJ5254">
        <v>104.93867712685901</v>
      </c>
      <c r="AK5254">
        <v>13.5577777240659</v>
      </c>
      <c r="AL5254">
        <v>86.628956392037395</v>
      </c>
      <c r="AM5254">
        <v>99.3930566401189</v>
      </c>
      <c r="AN5254">
        <v>0.99999997948126795</v>
      </c>
    </row>
    <row r="5255" spans="1:40" x14ac:dyDescent="0.25">
      <c r="A5255" t="str">
        <f>"20190312151132362"</f>
        <v>20190312151132362</v>
      </c>
      <c r="B5255" t="str">
        <f>"1552374692356277"</f>
        <v>1552374692356277</v>
      </c>
      <c r="C5255" t="s">
        <v>40</v>
      </c>
      <c r="D5255">
        <v>5.1266879999999997</v>
      </c>
      <c r="E5255">
        <v>0.48305140000000002</v>
      </c>
      <c r="F5255" t="s">
        <v>87</v>
      </c>
      <c r="G5255">
        <v>-375.53879999999998</v>
      </c>
      <c r="H5255" s="1">
        <v>-2.4583510000000002E-6</v>
      </c>
      <c r="I5255">
        <v>17.53584</v>
      </c>
      <c r="J5255">
        <v>-394.39249999999998</v>
      </c>
      <c r="K5255">
        <v>1.11534</v>
      </c>
      <c r="L5255">
        <v>16.67099</v>
      </c>
      <c r="M5255">
        <v>0.98693920000000002</v>
      </c>
      <c r="N5255">
        <v>0</v>
      </c>
      <c r="O5255">
        <v>-0.16053970000000001</v>
      </c>
      <c r="P5255">
        <v>0.99886439999999999</v>
      </c>
      <c r="Q5255">
        <v>4.7643419999999999E-2</v>
      </c>
      <c r="R5255">
        <v>2.4971420000000002E-4</v>
      </c>
      <c r="S5255">
        <v>3.0121150000000001</v>
      </c>
      <c r="T5255">
        <v>-0.17692339999999901</v>
      </c>
      <c r="U5255">
        <v>0.13421629999999901</v>
      </c>
      <c r="V5255">
        <v>-0.1613773</v>
      </c>
      <c r="W5255">
        <v>5.8752850000000002E-2</v>
      </c>
      <c r="X5255">
        <v>0.98514239999999997</v>
      </c>
      <c r="Y5255">
        <v>-0.2037061</v>
      </c>
      <c r="Z5255">
        <v>1.5369839999999999E-2</v>
      </c>
      <c r="AA5255">
        <v>0.97891139999999999</v>
      </c>
      <c r="AB5255">
        <v>26</v>
      </c>
      <c r="AC5255">
        <v>18.8537</v>
      </c>
      <c r="AD5255">
        <v>-1.1153424583509901</v>
      </c>
      <c r="AE5255">
        <v>0.86485000000000001</v>
      </c>
      <c r="AF5255">
        <v>-3.8671618891087598</v>
      </c>
      <c r="AG5255">
        <v>-1.1153424583509901</v>
      </c>
      <c r="AH5255">
        <v>18.405977920926802</v>
      </c>
      <c r="AI5255">
        <v>93.393778929012299</v>
      </c>
      <c r="AJ5255">
        <v>101.865463136504</v>
      </c>
      <c r="AK5255">
        <v>18.840885146447398</v>
      </c>
      <c r="AL5255">
        <v>86.631770097169905</v>
      </c>
      <c r="AM5255">
        <v>99.303061148628998</v>
      </c>
      <c r="AN5255">
        <v>1.0000000393080799</v>
      </c>
    </row>
    <row r="5256" spans="1:40" x14ac:dyDescent="0.25">
      <c r="A5256" t="str">
        <f>"20190312151132381"</f>
        <v>20190312151132381</v>
      </c>
      <c r="B5256" t="str">
        <f>"1552374692376773"</f>
        <v>1552374692376773</v>
      </c>
      <c r="C5256" t="s">
        <v>40</v>
      </c>
      <c r="D5256">
        <v>5.2433239999999897</v>
      </c>
      <c r="E5256">
        <v>0.48381020000000002</v>
      </c>
      <c r="F5256" t="s">
        <v>87</v>
      </c>
      <c r="G5256">
        <v>-375.72230000000002</v>
      </c>
      <c r="H5256" s="1">
        <v>-2.3705220000000002E-6</v>
      </c>
      <c r="I5256">
        <v>17.542110000000001</v>
      </c>
      <c r="J5256">
        <v>-394.16379999999998</v>
      </c>
      <c r="K5256">
        <v>1.1152150000000001</v>
      </c>
      <c r="L5256">
        <v>16.640750000000001</v>
      </c>
      <c r="M5256">
        <v>0.98793129999999996</v>
      </c>
      <c r="N5256">
        <v>0</v>
      </c>
      <c r="O5256">
        <v>-0.1543187</v>
      </c>
      <c r="P5256">
        <v>0.9988745</v>
      </c>
      <c r="Q5256">
        <v>4.7373650000000003E-2</v>
      </c>
      <c r="R5256">
        <v>2.3641209999999998E-3</v>
      </c>
      <c r="S5256">
        <v>3.0119929999999999</v>
      </c>
      <c r="T5256">
        <v>-0.17993310000000001</v>
      </c>
      <c r="U5256">
        <v>0.140533399999999</v>
      </c>
      <c r="V5256">
        <v>-0.15723299999999901</v>
      </c>
      <c r="W5256">
        <v>5.8570520000000001E-2</v>
      </c>
      <c r="X5256">
        <v>0.98582320000000001</v>
      </c>
      <c r="Y5256">
        <v>-0.1995845</v>
      </c>
      <c r="Z5256">
        <v>1.51399E-2</v>
      </c>
      <c r="AA5256">
        <v>0.97976359999999996</v>
      </c>
      <c r="AB5256">
        <v>26</v>
      </c>
      <c r="AC5256">
        <v>18.441499999999898</v>
      </c>
      <c r="AD5256">
        <v>-1.1152173705220001</v>
      </c>
      <c r="AE5256">
        <v>0.90136000000000005</v>
      </c>
      <c r="AF5256">
        <v>-3.7230987069358399</v>
      </c>
      <c r="AG5256">
        <v>-1.1152173705220001</v>
      </c>
      <c r="AH5256">
        <v>18.015716330686601</v>
      </c>
      <c r="AI5256">
        <v>93.469110831613406</v>
      </c>
      <c r="AJ5256">
        <v>101.676282351639</v>
      </c>
      <c r="AK5256">
        <v>18.4301711514806</v>
      </c>
      <c r="AL5256">
        <v>86.642234899661801</v>
      </c>
      <c r="AM5256">
        <v>99.062013179790597</v>
      </c>
      <c r="AN5256">
        <v>1.00000005188015</v>
      </c>
    </row>
    <row r="5257" spans="1:40" x14ac:dyDescent="0.25">
      <c r="A5257" t="str">
        <f>"20190312151132404"</f>
        <v>20190312151132404</v>
      </c>
      <c r="B5257" t="str">
        <f>"1552374692396292"</f>
        <v>1552374692396292</v>
      </c>
      <c r="C5257" t="s">
        <v>40</v>
      </c>
      <c r="D5257">
        <v>5.1971660000000002</v>
      </c>
      <c r="E5257">
        <v>0.48453570000000001</v>
      </c>
      <c r="F5257" t="s">
        <v>87</v>
      </c>
      <c r="G5257">
        <v>-377.66539999999998</v>
      </c>
      <c r="H5257" s="1">
        <v>-1.4742579999999999E-6</v>
      </c>
      <c r="I5257">
        <v>17.416539999999902</v>
      </c>
      <c r="J5257">
        <v>-393.90809999999999</v>
      </c>
      <c r="K5257">
        <v>1.1150719999999901</v>
      </c>
      <c r="L5257">
        <v>16.608550000000001</v>
      </c>
      <c r="M5257">
        <v>0.98896640000000002</v>
      </c>
      <c r="N5257">
        <v>0</v>
      </c>
      <c r="O5257">
        <v>-0.14754200000000001</v>
      </c>
      <c r="P5257">
        <v>0.99884989999999996</v>
      </c>
      <c r="Q5257">
        <v>4.7687779999999999E-2</v>
      </c>
      <c r="R5257">
        <v>4.9926129999999999E-3</v>
      </c>
      <c r="S5257">
        <v>3.0126650000000001</v>
      </c>
      <c r="T5257">
        <v>-0.20364170000000001</v>
      </c>
      <c r="U5257">
        <v>0.1416626</v>
      </c>
      <c r="V5257">
        <v>-0.15304519999999999</v>
      </c>
      <c r="W5257">
        <v>5.8972289999999997E-2</v>
      </c>
      <c r="X5257">
        <v>0.98645799999999995</v>
      </c>
      <c r="Y5257">
        <v>-0.19307340000000001</v>
      </c>
      <c r="Z5257">
        <v>1.645276E-2</v>
      </c>
      <c r="AA5257">
        <v>0.98104639999999999</v>
      </c>
      <c r="AB5257">
        <v>26</v>
      </c>
      <c r="AC5257">
        <v>16.242699999999999</v>
      </c>
      <c r="AD5257">
        <v>-1.11507347425799</v>
      </c>
      <c r="AE5257">
        <v>0.80798999999999599</v>
      </c>
      <c r="AF5257">
        <v>-3.1808836970000001</v>
      </c>
      <c r="AG5257">
        <v>-1.11507347425799</v>
      </c>
      <c r="AH5257">
        <v>15.871067375772901</v>
      </c>
      <c r="AI5257">
        <v>93.940783628871998</v>
      </c>
      <c r="AJ5257">
        <v>101.333084463334</v>
      </c>
      <c r="AK5257">
        <v>16.225048215433901</v>
      </c>
      <c r="AL5257">
        <v>86.619175055889599</v>
      </c>
      <c r="AM5257">
        <v>98.818912344374795</v>
      </c>
      <c r="AN5257">
        <v>0.99999997499744098</v>
      </c>
    </row>
    <row r="5258" spans="1:40" x14ac:dyDescent="0.25">
      <c r="A5258" t="str">
        <f>"20190312151132426"</f>
        <v>20190312151132426</v>
      </c>
      <c r="B5258" t="str">
        <f>"1552374692416788"</f>
        <v>1552374692416788</v>
      </c>
      <c r="C5258" t="s">
        <v>40</v>
      </c>
      <c r="D5258">
        <v>5.1886780000000003</v>
      </c>
      <c r="E5258">
        <v>0.48515160000000002</v>
      </c>
      <c r="F5258" t="s">
        <v>87</v>
      </c>
      <c r="G5258">
        <v>-377.64190000000002</v>
      </c>
      <c r="H5258" s="1">
        <v>-1.490694E-6</v>
      </c>
      <c r="I5258">
        <v>17.38645</v>
      </c>
      <c r="J5258">
        <v>-393.65219999999999</v>
      </c>
      <c r="K5258">
        <v>1.114938</v>
      </c>
      <c r="L5258">
        <v>16.57788</v>
      </c>
      <c r="M5258">
        <v>0.98993030000000004</v>
      </c>
      <c r="N5258">
        <v>0</v>
      </c>
      <c r="O5258">
        <v>-0.1409319</v>
      </c>
      <c r="P5258">
        <v>0.99878440000000002</v>
      </c>
      <c r="Q5258">
        <v>4.871545E-2</v>
      </c>
      <c r="R5258">
        <v>7.5320119999999898E-3</v>
      </c>
      <c r="S5258">
        <v>3.0126339999999998</v>
      </c>
      <c r="T5258">
        <v>-0.20652119999999999</v>
      </c>
      <c r="U5258">
        <v>0.14407349999999999</v>
      </c>
      <c r="V5258">
        <v>-0.14894450000000001</v>
      </c>
      <c r="W5258">
        <v>6.0081339999999997E-2</v>
      </c>
      <c r="X5258">
        <v>0.98701859999999997</v>
      </c>
      <c r="Y5258">
        <v>-0.1873068</v>
      </c>
      <c r="Z5258">
        <v>1.603798E-2</v>
      </c>
      <c r="AA5258">
        <v>0.98217049999999995</v>
      </c>
      <c r="AB5258">
        <v>26</v>
      </c>
      <c r="AC5258">
        <v>16.010299999999901</v>
      </c>
      <c r="AD5258">
        <v>-1.114939490694</v>
      </c>
      <c r="AE5258">
        <v>0.80856999999999901</v>
      </c>
      <c r="AF5258">
        <v>-3.0423427480288399</v>
      </c>
      <c r="AG5258">
        <v>-1.114939490694</v>
      </c>
      <c r="AH5258">
        <v>15.6607594234278</v>
      </c>
      <c r="AI5258">
        <v>93.997711760624895</v>
      </c>
      <c r="AJ5258">
        <v>100.993652424687</v>
      </c>
      <c r="AK5258">
        <v>15.9924458786915</v>
      </c>
      <c r="AL5258">
        <v>86.555518281585705</v>
      </c>
      <c r="AM5258">
        <v>98.581383023297306</v>
      </c>
      <c r="AN5258">
        <v>0.99999997412120201</v>
      </c>
    </row>
    <row r="5259" spans="1:40" x14ac:dyDescent="0.25">
      <c r="A5259" t="str">
        <f>"20190312151132439"</f>
        <v>20190312151132439</v>
      </c>
      <c r="B5259" t="str">
        <f>"1552374692426549"</f>
        <v>1552374692426549</v>
      </c>
      <c r="C5259" t="s">
        <v>40</v>
      </c>
      <c r="D5259">
        <v>5.1734400000000003</v>
      </c>
      <c r="E5259">
        <v>0.48554389999999997</v>
      </c>
      <c r="F5259" t="s">
        <v>87</v>
      </c>
      <c r="G5259">
        <v>-377.58670000000001</v>
      </c>
      <c r="H5259" s="1">
        <v>-1.5212280000000001E-6</v>
      </c>
      <c r="I5259">
        <v>17.361460000000001</v>
      </c>
      <c r="J5259">
        <v>-393.49770000000001</v>
      </c>
      <c r="K5259">
        <v>1.114859</v>
      </c>
      <c r="L5259">
        <v>16.559999999999999</v>
      </c>
      <c r="M5259">
        <v>0.99048029999999998</v>
      </c>
      <c r="N5259">
        <v>0</v>
      </c>
      <c r="O5259">
        <v>-0.1370151</v>
      </c>
      <c r="P5259">
        <v>0.99876399999999999</v>
      </c>
      <c r="Q5259">
        <v>4.888083E-2</v>
      </c>
      <c r="R5259">
        <v>9.001696E-3</v>
      </c>
      <c r="S5259">
        <v>3.0127259999999998</v>
      </c>
      <c r="T5259">
        <v>-0.2090824</v>
      </c>
      <c r="U5259">
        <v>0.14694209999999999</v>
      </c>
      <c r="V5259">
        <v>-0.14647929999999901</v>
      </c>
      <c r="W5259">
        <v>6.029458E-2</v>
      </c>
      <c r="X5259">
        <v>0.98737450000000004</v>
      </c>
      <c r="Y5259">
        <v>-0.18435000000000001</v>
      </c>
      <c r="Z5259">
        <v>1.5863470000000001E-2</v>
      </c>
      <c r="AA5259">
        <v>0.98273270000000001</v>
      </c>
      <c r="AB5259">
        <v>26</v>
      </c>
      <c r="AC5259">
        <v>15.911</v>
      </c>
      <c r="AD5259">
        <v>-1.1148605212279901</v>
      </c>
      <c r="AE5259">
        <v>0.80146000000000195</v>
      </c>
      <c r="AF5259">
        <v>-2.95964489636299</v>
      </c>
      <c r="AG5259">
        <v>-1.1148605212279901</v>
      </c>
      <c r="AH5259">
        <v>15.5748218304298</v>
      </c>
      <c r="AI5259">
        <v>94.022561409178905</v>
      </c>
      <c r="AJ5259">
        <v>100.759489381827</v>
      </c>
      <c r="AK5259">
        <v>15.8926865867289</v>
      </c>
      <c r="AL5259">
        <v>86.543278471706699</v>
      </c>
      <c r="AM5259">
        <v>98.438415757571605</v>
      </c>
      <c r="AN5259">
        <v>1.0000000124780499</v>
      </c>
    </row>
    <row r="5260" spans="1:40" x14ac:dyDescent="0.25">
      <c r="A5260" t="str">
        <f>"20190312151132459"</f>
        <v>20190312151132459</v>
      </c>
      <c r="B5260" t="str">
        <f>"1552374692456805"</f>
        <v>1552374692456805</v>
      </c>
      <c r="C5260" t="s">
        <v>40</v>
      </c>
      <c r="D5260">
        <v>5.3942579999999998</v>
      </c>
      <c r="E5260">
        <v>0.4863479</v>
      </c>
      <c r="F5260" t="s">
        <v>87</v>
      </c>
      <c r="G5260">
        <v>-377.38659999999999</v>
      </c>
      <c r="H5260" s="1">
        <v>-1.6171829999999999E-6</v>
      </c>
      <c r="I5260">
        <v>17.353839999999899</v>
      </c>
      <c r="J5260">
        <v>-393.26560000000001</v>
      </c>
      <c r="K5260">
        <v>1.1147359999999999</v>
      </c>
      <c r="L5260">
        <v>16.534329999999901</v>
      </c>
      <c r="M5260">
        <v>0.99125649999999998</v>
      </c>
      <c r="N5260">
        <v>0</v>
      </c>
      <c r="O5260">
        <v>-0.1312846</v>
      </c>
      <c r="P5260">
        <v>0.99875990000000003</v>
      </c>
      <c r="Q5260">
        <v>4.8900150000000003E-2</v>
      </c>
      <c r="R5260">
        <v>9.3681279999999999E-3</v>
      </c>
      <c r="S5260">
        <v>3.012543</v>
      </c>
      <c r="T5260">
        <v>-0.20846210000000001</v>
      </c>
      <c r="U5260">
        <v>0.1484375</v>
      </c>
      <c r="V5260">
        <v>-0.14110799999999901</v>
      </c>
      <c r="W5260">
        <v>6.0406910000000001E-2</v>
      </c>
      <c r="X5260">
        <v>0.98814959999999996</v>
      </c>
      <c r="Y5260">
        <v>-0.17918399999999901</v>
      </c>
      <c r="Z5260">
        <v>1.5245150000000001E-2</v>
      </c>
      <c r="AA5260">
        <v>0.9836975</v>
      </c>
      <c r="AB5260">
        <v>26</v>
      </c>
      <c r="AC5260">
        <v>15.879</v>
      </c>
      <c r="AD5260">
        <v>-1.1147376171829999</v>
      </c>
      <c r="AE5260">
        <v>0.81951000000000096</v>
      </c>
      <c r="AF5260">
        <v>-2.8830950884477802</v>
      </c>
      <c r="AG5260">
        <v>-1.1147376171829999</v>
      </c>
      <c r="AH5260">
        <v>15.557471666988301</v>
      </c>
      <c r="AI5260">
        <v>94.030017476274296</v>
      </c>
      <c r="AJ5260">
        <v>100.498889635011</v>
      </c>
      <c r="AK5260">
        <v>15.8615825790915</v>
      </c>
      <c r="AL5260">
        <v>86.536830804482804</v>
      </c>
      <c r="AM5260">
        <v>98.126907238980095</v>
      </c>
      <c r="AN5260">
        <v>1.0000000472099499</v>
      </c>
    </row>
    <row r="5261" spans="1:40" x14ac:dyDescent="0.25">
      <c r="A5261" t="str">
        <f>"20190312151132471"</f>
        <v>20190312151132471</v>
      </c>
      <c r="B5261" t="str">
        <f>"1552374692466566"</f>
        <v>1552374692466566</v>
      </c>
      <c r="C5261" t="s">
        <v>40</v>
      </c>
      <c r="D5261">
        <v>5.1998629999999997</v>
      </c>
      <c r="E5261">
        <v>0.48651870000000003</v>
      </c>
      <c r="F5261" t="s">
        <v>87</v>
      </c>
      <c r="G5261">
        <v>-376.8306</v>
      </c>
      <c r="H5261" s="1">
        <v>-1.886458E-6</v>
      </c>
      <c r="I5261">
        <v>17.31737</v>
      </c>
      <c r="J5261">
        <v>-393.11720000000003</v>
      </c>
      <c r="K5261">
        <v>1.1146499999999999</v>
      </c>
      <c r="L5261">
        <v>16.518650000000001</v>
      </c>
      <c r="M5261">
        <v>0.99172159999999998</v>
      </c>
      <c r="N5261">
        <v>0</v>
      </c>
      <c r="O5261">
        <v>-0.12772420000000001</v>
      </c>
      <c r="P5261">
        <v>0.99875749999999996</v>
      </c>
      <c r="Q5261">
        <v>4.876904E-2</v>
      </c>
      <c r="R5261">
        <v>1.02524E-2</v>
      </c>
      <c r="S5261">
        <v>3.0123899999999999</v>
      </c>
      <c r="T5261">
        <v>-0.20432139999999999</v>
      </c>
      <c r="U5261">
        <v>0.14352419999999999</v>
      </c>
      <c r="V5261">
        <v>-0.13841899999999999</v>
      </c>
      <c r="W5261">
        <v>6.0325530000000002E-2</v>
      </c>
      <c r="X5261">
        <v>0.98853469999999999</v>
      </c>
      <c r="Y5261">
        <v>-0.17409959999999999</v>
      </c>
      <c r="Z5261">
        <v>1.4532069999999999E-2</v>
      </c>
      <c r="AA5261">
        <v>0.98462079999999996</v>
      </c>
      <c r="AB5261">
        <v>26</v>
      </c>
      <c r="AC5261">
        <v>16.2866</v>
      </c>
      <c r="AD5261">
        <v>-1.114651886458</v>
      </c>
      <c r="AE5261">
        <v>0.79871999999999899</v>
      </c>
      <c r="AF5261">
        <v>-2.8591915553238598</v>
      </c>
      <c r="AG5261">
        <v>-1.114651886458</v>
      </c>
      <c r="AH5261">
        <v>15.976505510928099</v>
      </c>
      <c r="AI5261">
        <v>93.928737962343803</v>
      </c>
      <c r="AJ5261">
        <v>100.14637125914901</v>
      </c>
      <c r="AK5261">
        <v>16.268563351406801</v>
      </c>
      <c r="AL5261">
        <v>86.541501617151098</v>
      </c>
      <c r="AM5261">
        <v>97.970982768935698</v>
      </c>
      <c r="AN5261">
        <v>0.99999992111743197</v>
      </c>
    </row>
    <row r="5262" spans="1:40" x14ac:dyDescent="0.25">
      <c r="A5262" t="str">
        <f>"20190312151132484"</f>
        <v>20190312151132484</v>
      </c>
      <c r="B5262" t="str">
        <f>"1552374692476325"</f>
        <v>1552374692476325</v>
      </c>
      <c r="C5262" t="s">
        <v>40</v>
      </c>
      <c r="D5262">
        <v>5.1847659999999998</v>
      </c>
      <c r="E5262">
        <v>0.48667539999999998</v>
      </c>
      <c r="F5262" t="s">
        <v>87</v>
      </c>
      <c r="G5262">
        <v>-376.72609999999997</v>
      </c>
      <c r="H5262" s="1">
        <v>-1.9375180000000002E-6</v>
      </c>
      <c r="I5262">
        <v>17.307929999999999</v>
      </c>
      <c r="J5262">
        <v>-392.98340000000002</v>
      </c>
      <c r="K5262">
        <v>1.114568</v>
      </c>
      <c r="L5262">
        <v>16.50479</v>
      </c>
      <c r="M5262">
        <v>0.9921238</v>
      </c>
      <c r="N5262">
        <v>0</v>
      </c>
      <c r="O5262">
        <v>-0.1245623</v>
      </c>
      <c r="P5262">
        <v>0.99873679999999998</v>
      </c>
      <c r="Q5262">
        <v>4.9072940000000002E-2</v>
      </c>
      <c r="R5262">
        <v>1.0802259999999999E-2</v>
      </c>
      <c r="S5262">
        <v>3.0122680000000002</v>
      </c>
      <c r="T5262">
        <v>-0.20484459999999999</v>
      </c>
      <c r="U5262">
        <v>0.14505000000000001</v>
      </c>
      <c r="V5262">
        <v>-0.13579910000000001</v>
      </c>
      <c r="W5262">
        <v>6.0676309999999997E-2</v>
      </c>
      <c r="X5262">
        <v>0.98887659999999999</v>
      </c>
      <c r="Y5262">
        <v>-0.1714697</v>
      </c>
      <c r="Z5262">
        <v>1.426672E-2</v>
      </c>
      <c r="AA5262">
        <v>0.98508609999999996</v>
      </c>
      <c r="AB5262">
        <v>26</v>
      </c>
      <c r="AC5262">
        <v>16.257300000000001</v>
      </c>
      <c r="AD5262">
        <v>-1.114569937518</v>
      </c>
      <c r="AE5262">
        <v>0.80313999999999897</v>
      </c>
      <c r="AF5262">
        <v>-2.80893690075309</v>
      </c>
      <c r="AG5262">
        <v>-1.114569937518</v>
      </c>
      <c r="AH5262">
        <v>15.9557996932439</v>
      </c>
      <c r="AI5262">
        <v>93.935501004640201</v>
      </c>
      <c r="AJ5262">
        <v>99.984323647227498</v>
      </c>
      <c r="AK5262">
        <v>16.2394561641994</v>
      </c>
      <c r="AL5262">
        <v>86.521366687837002</v>
      </c>
      <c r="AM5262">
        <v>97.819327744631593</v>
      </c>
      <c r="AN5262">
        <v>0.99999997009179198</v>
      </c>
    </row>
    <row r="5263" spans="1:40" x14ac:dyDescent="0.25">
      <c r="A5263" t="str">
        <f>"20190312151132495"</f>
        <v>20190312151132495</v>
      </c>
      <c r="B5263" t="str">
        <f>"1552374692486085"</f>
        <v>1552374692486085</v>
      </c>
      <c r="C5263" t="s">
        <v>40</v>
      </c>
      <c r="D5263">
        <v>5.1808800000000002</v>
      </c>
      <c r="E5263">
        <v>0.48682259999999999</v>
      </c>
      <c r="F5263" t="s">
        <v>87</v>
      </c>
      <c r="G5263">
        <v>-376.4332</v>
      </c>
      <c r="H5263" s="1">
        <v>-2.076654E-6</v>
      </c>
      <c r="I5263">
        <v>17.304269999999999</v>
      </c>
      <c r="J5263">
        <v>-392.8399</v>
      </c>
      <c r="K5263">
        <v>1.114479</v>
      </c>
      <c r="L5263">
        <v>16.49033</v>
      </c>
      <c r="M5263">
        <v>0.99253720000000001</v>
      </c>
      <c r="N5263">
        <v>0</v>
      </c>
      <c r="O5263">
        <v>-0.121226</v>
      </c>
      <c r="P5263">
        <v>0.99873749999999994</v>
      </c>
      <c r="Q5263">
        <v>4.8979679999999998E-2</v>
      </c>
      <c r="R5263">
        <v>1.1140799999999999E-2</v>
      </c>
      <c r="S5263">
        <v>3.0121769999999999</v>
      </c>
      <c r="T5263">
        <v>-0.20285449999999999</v>
      </c>
      <c r="U5263">
        <v>0.14550779999999999</v>
      </c>
      <c r="V5263">
        <v>-0.13279369999999999</v>
      </c>
      <c r="W5263">
        <v>6.0635370000000001E-2</v>
      </c>
      <c r="X5263">
        <v>0.98928720000000003</v>
      </c>
      <c r="Y5263">
        <v>-0.1683354</v>
      </c>
      <c r="Z5263">
        <v>1.3800110000000001E-2</v>
      </c>
      <c r="AA5263">
        <v>0.98563319999999999</v>
      </c>
      <c r="AB5263">
        <v>26</v>
      </c>
      <c r="AC5263">
        <v>16.406700000000001</v>
      </c>
      <c r="AD5263">
        <v>-1.1144810766540001</v>
      </c>
      <c r="AE5263">
        <v>0.813940000000002</v>
      </c>
      <c r="AF5263">
        <v>-2.7842123596431598</v>
      </c>
      <c r="AG5263">
        <v>-1.1144810766540001</v>
      </c>
      <c r="AH5263">
        <v>16.1128326325675</v>
      </c>
      <c r="AI5263">
        <v>93.899093200162696</v>
      </c>
      <c r="AJ5263">
        <v>99.803600965811398</v>
      </c>
      <c r="AK5263">
        <v>16.389547949194299</v>
      </c>
      <c r="AL5263">
        <v>86.523716771557702</v>
      </c>
      <c r="AM5263">
        <v>97.645210787148201</v>
      </c>
      <c r="AN5263">
        <v>0.99999998946928303</v>
      </c>
    </row>
    <row r="5264" spans="1:40" x14ac:dyDescent="0.25">
      <c r="A5264" t="str">
        <f>"20190312151132515"</f>
        <v>20190312151132515</v>
      </c>
      <c r="B5264" t="str">
        <f>"1552374692506581"</f>
        <v>1552374692506581</v>
      </c>
      <c r="C5264" t="s">
        <v>40</v>
      </c>
      <c r="D5264">
        <v>5.182944</v>
      </c>
      <c r="E5264">
        <v>0.4874407</v>
      </c>
      <c r="F5264" t="s">
        <v>87</v>
      </c>
      <c r="G5264">
        <v>-376.2749</v>
      </c>
      <c r="H5264" s="1">
        <v>-2.1541030000000001E-6</v>
      </c>
      <c r="I5264">
        <v>17.289370000000002</v>
      </c>
      <c r="J5264">
        <v>-392.6241</v>
      </c>
      <c r="K5264">
        <v>1.114317</v>
      </c>
      <c r="L5264">
        <v>16.46942</v>
      </c>
      <c r="M5264">
        <v>0.99311660000000002</v>
      </c>
      <c r="N5264">
        <v>0</v>
      </c>
      <c r="O5264">
        <v>-0.1163865</v>
      </c>
      <c r="P5264">
        <v>0.99875389999999997</v>
      </c>
      <c r="Q5264">
        <v>4.8772379999999997E-2</v>
      </c>
      <c r="R5264">
        <v>1.059099E-2</v>
      </c>
      <c r="S5264">
        <v>3.0120849999999999</v>
      </c>
      <c r="T5264">
        <v>-0.202651</v>
      </c>
      <c r="U5264">
        <v>0.14529420000000001</v>
      </c>
      <c r="V5264">
        <v>-0.12739800000000001</v>
      </c>
      <c r="W5264">
        <v>6.0520659999999997E-2</v>
      </c>
      <c r="X5264">
        <v>0.99000350000000004</v>
      </c>
      <c r="Y5264">
        <v>-0.16348379999999901</v>
      </c>
      <c r="Z5264">
        <v>1.3300009999999999E-2</v>
      </c>
      <c r="AA5264">
        <v>0.98645629999999995</v>
      </c>
      <c r="AB5264">
        <v>26</v>
      </c>
      <c r="AC5264">
        <v>16.3491999999999</v>
      </c>
      <c r="AD5264">
        <v>-1.114319154103</v>
      </c>
      <c r="AE5264">
        <v>0.81995000000000196</v>
      </c>
      <c r="AF5264">
        <v>-2.70483440053198</v>
      </c>
      <c r="AG5264">
        <v>-1.114319154103</v>
      </c>
      <c r="AH5264">
        <v>16.0681757055901</v>
      </c>
      <c r="AI5264">
        <v>93.912211558008906</v>
      </c>
      <c r="AJ5264">
        <v>99.555295173043504</v>
      </c>
      <c r="AK5264">
        <v>16.332302557117298</v>
      </c>
      <c r="AL5264">
        <v>86.530301179360194</v>
      </c>
      <c r="AM5264">
        <v>97.332773732004696</v>
      </c>
      <c r="AN5264">
        <v>0.99999996535154201</v>
      </c>
    </row>
    <row r="5265" spans="1:40" x14ac:dyDescent="0.25">
      <c r="A5265" t="str">
        <f>"20190312151132527"</f>
        <v>20190312151132527</v>
      </c>
      <c r="B5265" t="str">
        <f>"1552374692516340"</f>
        <v>1552374692516340</v>
      </c>
      <c r="C5265" t="s">
        <v>40</v>
      </c>
      <c r="D5265">
        <v>5.2066840000000001</v>
      </c>
      <c r="E5265">
        <v>0.4874407</v>
      </c>
      <c r="F5265" t="s">
        <v>87</v>
      </c>
      <c r="G5265">
        <v>-375.65870000000001</v>
      </c>
      <c r="H5265" s="1">
        <v>-2.4523860000000001E-6</v>
      </c>
      <c r="I5265">
        <v>17.250019999999999</v>
      </c>
      <c r="J5265">
        <v>-392.48050000000001</v>
      </c>
      <c r="K5265">
        <v>1.114196</v>
      </c>
      <c r="L5265">
        <v>16.456019999999999</v>
      </c>
      <c r="M5265">
        <v>0.99347479999999999</v>
      </c>
      <c r="N5265">
        <v>0</v>
      </c>
      <c r="O5265">
        <v>-0.11329110000000001</v>
      </c>
      <c r="P5265">
        <v>0.99876540000000003</v>
      </c>
      <c r="Q5265">
        <v>4.851432E-2</v>
      </c>
      <c r="R5265">
        <v>1.0698539999999999E-2</v>
      </c>
      <c r="S5265">
        <v>3.0119020000000001</v>
      </c>
      <c r="T5265">
        <v>-0.19782649999999999</v>
      </c>
      <c r="U5265">
        <v>0.13858029999999999</v>
      </c>
      <c r="V5265">
        <v>-0.12439840000000001</v>
      </c>
      <c r="W5265">
        <v>6.0318860000000002E-2</v>
      </c>
      <c r="X5265">
        <v>0.99039719999999998</v>
      </c>
      <c r="Y5265">
        <v>-0.1582636</v>
      </c>
      <c r="Z5265">
        <v>1.2611850000000001E-2</v>
      </c>
      <c r="AA5265">
        <v>0.98731639999999998</v>
      </c>
      <c r="AB5265">
        <v>26</v>
      </c>
      <c r="AC5265">
        <v>16.8217999999999</v>
      </c>
      <c r="AD5265">
        <v>-1.114198452386</v>
      </c>
      <c r="AE5265">
        <v>0.79400000000000004</v>
      </c>
      <c r="AF5265">
        <v>-2.6830674684901199</v>
      </c>
      <c r="AG5265">
        <v>-1.114198452386</v>
      </c>
      <c r="AH5265">
        <v>16.5510686030504</v>
      </c>
      <c r="AI5265">
        <v>93.8017921038727</v>
      </c>
      <c r="AJ5265">
        <v>99.208025835897502</v>
      </c>
      <c r="AK5265">
        <v>16.804111435438902</v>
      </c>
      <c r="AL5265">
        <v>86.541884647455106</v>
      </c>
      <c r="AM5265">
        <v>97.159119382095597</v>
      </c>
      <c r="AN5265">
        <v>0.99999997028104903</v>
      </c>
    </row>
    <row r="5266" spans="1:40" x14ac:dyDescent="0.25">
      <c r="A5266" t="str">
        <f>"20190312151132539"</f>
        <v>20190312151132539</v>
      </c>
      <c r="B5266" t="str">
        <f>"1552374692526101"</f>
        <v>1552374692526101</v>
      </c>
      <c r="C5266" t="s">
        <v>40</v>
      </c>
      <c r="D5266">
        <v>5.2021769999999998</v>
      </c>
      <c r="E5266">
        <v>0.50636769999999998</v>
      </c>
      <c r="F5266" t="s">
        <v>87</v>
      </c>
      <c r="G5266">
        <v>-375.58240000000001</v>
      </c>
      <c r="H5266" s="1">
        <v>-2.490942E-6</v>
      </c>
      <c r="I5266">
        <v>17.23592</v>
      </c>
      <c r="J5266">
        <v>-392.33780000000002</v>
      </c>
      <c r="K5266">
        <v>1.1140620000000001</v>
      </c>
      <c r="L5266">
        <v>16.44293</v>
      </c>
      <c r="M5266">
        <v>0.99381439999999999</v>
      </c>
      <c r="N5266">
        <v>0</v>
      </c>
      <c r="O5266">
        <v>-0.11027289999999999</v>
      </c>
      <c r="P5266">
        <v>0.99879680000000004</v>
      </c>
      <c r="Q5266">
        <v>4.7848080000000001E-2</v>
      </c>
      <c r="R5266">
        <v>1.0754420000000001E-2</v>
      </c>
      <c r="S5266">
        <v>3.0119020000000001</v>
      </c>
      <c r="T5266">
        <v>-0.1985934</v>
      </c>
      <c r="U5266">
        <v>0.13900760000000001</v>
      </c>
      <c r="V5266">
        <v>-0.1214219</v>
      </c>
      <c r="W5266">
        <v>5.9708650000000002E-2</v>
      </c>
      <c r="X5266">
        <v>0.99080349999999995</v>
      </c>
      <c r="Y5266">
        <v>-0.15541189999999999</v>
      </c>
      <c r="Z5266">
        <v>1.236873E-2</v>
      </c>
      <c r="AA5266">
        <v>0.98777230000000005</v>
      </c>
      <c r="AB5266">
        <v>26</v>
      </c>
      <c r="AC5266">
        <v>16.755400000000002</v>
      </c>
      <c r="AD5266">
        <v>-1.1140644909420001</v>
      </c>
      <c r="AE5266">
        <v>0.79298999999999897</v>
      </c>
      <c r="AF5266">
        <v>-2.6244029190532498</v>
      </c>
      <c r="AG5266">
        <v>-1.1140644909420001</v>
      </c>
      <c r="AH5266">
        <v>16.492993065594501</v>
      </c>
      <c r="AI5266">
        <v>93.816460973247999</v>
      </c>
      <c r="AJ5266">
        <v>99.0412367215405</v>
      </c>
      <c r="AK5266">
        <v>16.737605881166601</v>
      </c>
      <c r="AL5266">
        <v>86.576910299768997</v>
      </c>
      <c r="AM5266">
        <v>96.986698979106905</v>
      </c>
      <c r="AN5266">
        <v>0.99999998814834101</v>
      </c>
    </row>
    <row r="5267" spans="1:40" x14ac:dyDescent="0.25">
      <c r="A5267" t="str">
        <f>"20190312151132559"</f>
        <v>20190312151132559</v>
      </c>
      <c r="B5267" t="str">
        <f>"1552374692546597"</f>
        <v>1552374692546597</v>
      </c>
      <c r="C5267" t="s">
        <v>40</v>
      </c>
      <c r="D5267">
        <v>5.2071880000000004</v>
      </c>
      <c r="E5267">
        <v>0.50649929999999999</v>
      </c>
      <c r="F5267" t="s">
        <v>86</v>
      </c>
      <c r="G5267">
        <v>-380.0104</v>
      </c>
      <c r="H5267" s="1">
        <v>-5.2930570000000001E-6</v>
      </c>
      <c r="I5267">
        <v>16.400410000000001</v>
      </c>
      <c r="J5267">
        <v>-392.11540000000002</v>
      </c>
      <c r="K5267">
        <v>1.113845</v>
      </c>
      <c r="L5267">
        <v>16.423310000000001</v>
      </c>
      <c r="M5267">
        <v>0.99430169999999996</v>
      </c>
      <c r="N5267">
        <v>0</v>
      </c>
      <c r="O5267">
        <v>-0.1057925</v>
      </c>
      <c r="P5267">
        <v>0.99887340000000002</v>
      </c>
      <c r="Q5267">
        <v>4.6544849999999999E-2</v>
      </c>
      <c r="R5267">
        <v>9.2595969999999996E-3</v>
      </c>
      <c r="S5267">
        <v>3.0167540000000002</v>
      </c>
      <c r="T5267">
        <v>-0.2726325</v>
      </c>
      <c r="U5267">
        <v>-1.0406489999999999E-2</v>
      </c>
      <c r="V5267">
        <v>-0.1154316</v>
      </c>
      <c r="W5267">
        <v>5.8507219999999999E-2</v>
      </c>
      <c r="X5267">
        <v>0.99159090000000005</v>
      </c>
      <c r="Y5267">
        <v>-0.1015272</v>
      </c>
      <c r="Z5267">
        <v>1.4106530000000001E-2</v>
      </c>
      <c r="AA5267">
        <v>0.99473270000000003</v>
      </c>
      <c r="AB5267">
        <v>26</v>
      </c>
      <c r="AC5267">
        <v>12.105</v>
      </c>
      <c r="AD5267">
        <v>-1.113850293057</v>
      </c>
      <c r="AE5267">
        <v>-2.28999999999999E-2</v>
      </c>
      <c r="AF5267">
        <v>-1.24739541511081</v>
      </c>
      <c r="AG5267">
        <v>-1.113850293057</v>
      </c>
      <c r="AH5267">
        <v>11.938399836636</v>
      </c>
      <c r="AI5267">
        <v>95.301558970774707</v>
      </c>
      <c r="AJ5267">
        <v>95.964961418918193</v>
      </c>
      <c r="AK5267">
        <v>12.054959496256</v>
      </c>
      <c r="AL5267">
        <v>86.645867882471705</v>
      </c>
      <c r="AM5267">
        <v>96.639944871405902</v>
      </c>
      <c r="AN5267">
        <v>1.0000000310167401</v>
      </c>
    </row>
    <row r="5268" spans="1:40" x14ac:dyDescent="0.25">
      <c r="A5268" t="str">
        <f>"20190312151132571"</f>
        <v>20190312151132571</v>
      </c>
      <c r="B5268" t="str">
        <f>"1552374692566117"</f>
        <v>1552374692566117</v>
      </c>
      <c r="C5268" t="s">
        <v>40</v>
      </c>
      <c r="D5268">
        <v>5.2829920000000001</v>
      </c>
      <c r="E5268">
        <v>0.50623419999999997</v>
      </c>
      <c r="F5268" t="s">
        <v>86</v>
      </c>
      <c r="G5268">
        <v>-380.41</v>
      </c>
      <c r="H5268" s="1">
        <v>-5.1109870000000001E-6</v>
      </c>
      <c r="I5268">
        <v>16.36186</v>
      </c>
      <c r="J5268">
        <v>-391.95609999999999</v>
      </c>
      <c r="K5268">
        <v>1.113686</v>
      </c>
      <c r="L5268">
        <v>16.409759999999999</v>
      </c>
      <c r="M5268">
        <v>0.99462159999999999</v>
      </c>
      <c r="N5268">
        <v>0</v>
      </c>
      <c r="O5268">
        <v>-0.1027434</v>
      </c>
      <c r="P5268">
        <v>0.99888540000000003</v>
      </c>
      <c r="Q5268">
        <v>4.6250729999999997E-2</v>
      </c>
      <c r="R5268">
        <v>9.4419859999999994E-3</v>
      </c>
      <c r="S5268">
        <v>3.0169069999999998</v>
      </c>
      <c r="T5268">
        <v>-0.2870798</v>
      </c>
      <c r="U5268">
        <v>-1.5838620000000001E-2</v>
      </c>
      <c r="V5268">
        <v>-0.11254749999999999</v>
      </c>
      <c r="W5268">
        <v>5.8267300000000001E-2</v>
      </c>
      <c r="X5268">
        <v>0.9919365</v>
      </c>
      <c r="Y5268">
        <v>-9.6629409999999999E-2</v>
      </c>
      <c r="Z5268">
        <v>1.432895E-2</v>
      </c>
      <c r="AA5268">
        <v>0.99521729999999997</v>
      </c>
      <c r="AB5268">
        <v>26</v>
      </c>
      <c r="AC5268">
        <v>11.5460999999999</v>
      </c>
      <c r="AD5268">
        <v>-1.113691110987</v>
      </c>
      <c r="AE5268">
        <v>-4.7900000000001997E-2</v>
      </c>
      <c r="AF5268">
        <v>-1.1282442004128099</v>
      </c>
      <c r="AG5268">
        <v>-1.113691110987</v>
      </c>
      <c r="AH5268">
        <v>11.3839958883968</v>
      </c>
      <c r="AI5268">
        <v>95.560370739401606</v>
      </c>
      <c r="AJ5268">
        <v>95.659982557423405</v>
      </c>
      <c r="AK5268">
        <v>11.4938507582747</v>
      </c>
      <c r="AL5268">
        <v>86.659637736694904</v>
      </c>
      <c r="AM5268">
        <v>96.473233420601403</v>
      </c>
      <c r="AN5268">
        <v>1.00000001901889</v>
      </c>
    </row>
    <row r="5269" spans="1:40" x14ac:dyDescent="0.25">
      <c r="A5269" t="str">
        <f>"20190312151132594"</f>
        <v>20190312151132594</v>
      </c>
      <c r="B5269" t="str">
        <f>"1552374692586613"</f>
        <v>1552374692586613</v>
      </c>
      <c r="C5269" t="s">
        <v>40</v>
      </c>
      <c r="D5269">
        <v>5.2479449999999996</v>
      </c>
      <c r="E5269">
        <v>0.50547759999999997</v>
      </c>
      <c r="F5269" t="s">
        <v>86</v>
      </c>
      <c r="G5269">
        <v>-380.69810000000001</v>
      </c>
      <c r="H5269" s="1">
        <v>-4.9749030000000003E-6</v>
      </c>
      <c r="I5269">
        <v>16.361249999999998</v>
      </c>
      <c r="J5269">
        <v>-391.70839999999998</v>
      </c>
      <c r="K5269">
        <v>1.113459</v>
      </c>
      <c r="L5269">
        <v>16.389340000000001</v>
      </c>
      <c r="M5269">
        <v>0.99508220000000003</v>
      </c>
      <c r="N5269">
        <v>0</v>
      </c>
      <c r="O5269">
        <v>-9.8184740000000006E-2</v>
      </c>
      <c r="P5269">
        <v>0.99894819999999995</v>
      </c>
      <c r="Q5269">
        <v>4.5036060000000003E-2</v>
      </c>
      <c r="R5269">
        <v>8.6175829999999998E-3</v>
      </c>
      <c r="S5269">
        <v>3.017334</v>
      </c>
      <c r="T5269">
        <v>-0.29848920000000001</v>
      </c>
      <c r="U5269">
        <v>-1.300049E-2</v>
      </c>
      <c r="V5269">
        <v>-0.10714319999999999</v>
      </c>
      <c r="W5269">
        <v>5.7139559999999999E-2</v>
      </c>
      <c r="X5269">
        <v>0.99260029999999999</v>
      </c>
      <c r="Y5269">
        <v>-9.2972669999999993E-2</v>
      </c>
      <c r="Z5269">
        <v>1.42652E-2</v>
      </c>
      <c r="AA5269">
        <v>0.99556650000000002</v>
      </c>
      <c r="AB5269">
        <v>26</v>
      </c>
      <c r="AC5269">
        <v>11.0102999999999</v>
      </c>
      <c r="AD5269">
        <v>-1.113463974903</v>
      </c>
      <c r="AE5269">
        <v>-2.8090000000002301E-2</v>
      </c>
      <c r="AF5269">
        <v>-1.0425198028076701</v>
      </c>
      <c r="AG5269">
        <v>-1.113463974903</v>
      </c>
      <c r="AH5269">
        <v>10.8488971803084</v>
      </c>
      <c r="AI5269">
        <v>95.833283331763496</v>
      </c>
      <c r="AJ5269">
        <v>95.488957772503696</v>
      </c>
      <c r="AK5269">
        <v>10.955602201228199</v>
      </c>
      <c r="AL5269">
        <v>86.724360180059804</v>
      </c>
      <c r="AM5269">
        <v>96.160764067878702</v>
      </c>
      <c r="AN5269">
        <v>0.99999997509166105</v>
      </c>
    </row>
    <row r="5270" spans="1:40" x14ac:dyDescent="0.25">
      <c r="A5270" t="str">
        <f>"20190312151132615"</f>
        <v>20190312151132615</v>
      </c>
      <c r="B5270" t="str">
        <f>"1552374692606133"</f>
        <v>1552374692606133</v>
      </c>
      <c r="C5270" t="s">
        <v>40</v>
      </c>
      <c r="D5270">
        <v>5.3238529999999997</v>
      </c>
      <c r="E5270">
        <v>0.5052972</v>
      </c>
      <c r="F5270" t="s">
        <v>86</v>
      </c>
      <c r="G5270">
        <v>-380.31479999999999</v>
      </c>
      <c r="H5270" s="1">
        <v>-5.1577130000000003E-6</v>
      </c>
      <c r="I5270">
        <v>16.35211</v>
      </c>
      <c r="J5270">
        <v>-391.45420000000001</v>
      </c>
      <c r="K5270">
        <v>1.1132409999999999</v>
      </c>
      <c r="L5270">
        <v>16.369260000000001</v>
      </c>
      <c r="M5270">
        <v>0.99550479999999997</v>
      </c>
      <c r="N5270">
        <v>0</v>
      </c>
      <c r="O5270">
        <v>-9.3806239999999999E-2</v>
      </c>
      <c r="P5270">
        <v>0.99900149999999999</v>
      </c>
      <c r="Q5270">
        <v>4.4001419999999999E-2</v>
      </c>
      <c r="R5270">
        <v>7.7390899999999997E-3</v>
      </c>
      <c r="S5270">
        <v>3.0165410000000001</v>
      </c>
      <c r="T5270">
        <v>-0.29479729999999998</v>
      </c>
      <c r="U5270">
        <v>-9.8571779999999994E-3</v>
      </c>
      <c r="V5270">
        <v>-0.1018652</v>
      </c>
      <c r="W5270">
        <v>5.6185029999999997E-2</v>
      </c>
      <c r="X5270">
        <v>0.99321029999999999</v>
      </c>
      <c r="Y5270">
        <v>-8.9687340000000004E-2</v>
      </c>
      <c r="Z5270">
        <v>1.35079E-2</v>
      </c>
      <c r="AA5270">
        <v>0.99587829999999999</v>
      </c>
      <c r="AB5270">
        <v>26</v>
      </c>
      <c r="AC5270">
        <v>11.1394</v>
      </c>
      <c r="AD5270">
        <v>-1.113246157713</v>
      </c>
      <c r="AE5270">
        <v>-1.71500000000008E-2</v>
      </c>
      <c r="AF5270">
        <v>-1.01779475400373</v>
      </c>
      <c r="AG5270">
        <v>-1.113246157713</v>
      </c>
      <c r="AH5270">
        <v>10.9821960935021</v>
      </c>
      <c r="AI5270">
        <v>95.7636703810131</v>
      </c>
      <c r="AJ5270">
        <v>95.294864693820699</v>
      </c>
      <c r="AK5270">
        <v>11.0852990128852</v>
      </c>
      <c r="AL5270">
        <v>86.779138773657706</v>
      </c>
      <c r="AM5270">
        <v>95.855869550650894</v>
      </c>
      <c r="AN5270">
        <v>0.99999998829661496</v>
      </c>
    </row>
    <row r="5271" spans="1:40" x14ac:dyDescent="0.25">
      <c r="A5271" t="str">
        <f>"20190312151132628"</f>
        <v>20190312151132628</v>
      </c>
      <c r="B5271" t="str">
        <f>"1552374692616869"</f>
        <v>1552374692616869</v>
      </c>
      <c r="C5271" t="s">
        <v>40</v>
      </c>
      <c r="D5271">
        <v>5.1965579999999996</v>
      </c>
      <c r="E5271">
        <v>0.50490550000000001</v>
      </c>
      <c r="F5271" t="s">
        <v>86</v>
      </c>
      <c r="G5271">
        <v>-380.30110000000002</v>
      </c>
      <c r="H5271" s="1">
        <v>-5.1686449999999997E-6</v>
      </c>
      <c r="I5271">
        <v>16.327059999999999</v>
      </c>
      <c r="J5271">
        <v>-391.30689999999998</v>
      </c>
      <c r="K5271">
        <v>1.1131120000000001</v>
      </c>
      <c r="L5271">
        <v>16.358059999999998</v>
      </c>
      <c r="M5271">
        <v>0.99572490000000002</v>
      </c>
      <c r="N5271">
        <v>0</v>
      </c>
      <c r="O5271">
        <v>-9.1443410000000003E-2</v>
      </c>
      <c r="P5271">
        <v>0.99903180000000003</v>
      </c>
      <c r="Q5271">
        <v>4.3309399999999998E-2</v>
      </c>
      <c r="R5271">
        <v>7.7406369999999999E-3</v>
      </c>
      <c r="S5271">
        <v>3.0163880000000001</v>
      </c>
      <c r="T5271">
        <v>-0.3010795</v>
      </c>
      <c r="U5271">
        <v>-1.141357E-2</v>
      </c>
      <c r="V5271">
        <v>-9.9488670000000001E-2</v>
      </c>
      <c r="W5271">
        <v>5.5530410000000002E-2</v>
      </c>
      <c r="X5271">
        <v>0.99348800000000004</v>
      </c>
      <c r="Y5271">
        <v>-8.6797869999999999E-2</v>
      </c>
      <c r="Z5271">
        <v>1.3416630000000001E-2</v>
      </c>
      <c r="AA5271">
        <v>0.99613560000000001</v>
      </c>
      <c r="AB5271">
        <v>26</v>
      </c>
      <c r="AC5271">
        <v>11.005799999999899</v>
      </c>
      <c r="AD5271">
        <v>-1.1131171686450001</v>
      </c>
      <c r="AE5271">
        <v>-3.10000000000023E-2</v>
      </c>
      <c r="AF5271">
        <v>-0.96574470824657499</v>
      </c>
      <c r="AG5271">
        <v>-1.1131171686450001</v>
      </c>
      <c r="AH5271">
        <v>10.8515152115411</v>
      </c>
      <c r="AI5271">
        <v>95.8338540916113</v>
      </c>
      <c r="AJ5271">
        <v>95.085713787205705</v>
      </c>
      <c r="AK5271">
        <v>10.9511220913177</v>
      </c>
      <c r="AL5271">
        <v>86.8167044696619</v>
      </c>
      <c r="AM5271">
        <v>95.718579649548502</v>
      </c>
      <c r="AN5271">
        <v>1.0000000140185601</v>
      </c>
    </row>
    <row r="5272" spans="1:40" x14ac:dyDescent="0.25">
      <c r="A5272" t="str">
        <f>"20190312151132640"</f>
        <v>20190312151132640</v>
      </c>
      <c r="B5272" t="str">
        <f>"1552374692636389"</f>
        <v>1552374692636389</v>
      </c>
      <c r="C5272" t="s">
        <v>40</v>
      </c>
      <c r="D5272">
        <v>5.252135</v>
      </c>
      <c r="E5272">
        <v>0.50399300000000002</v>
      </c>
      <c r="F5272" t="s">
        <v>86</v>
      </c>
      <c r="G5272">
        <v>-380.29419999999999</v>
      </c>
      <c r="H5272" s="1">
        <v>-5.171778E-6</v>
      </c>
      <c r="I5272">
        <v>16.327870000000001</v>
      </c>
      <c r="J5272">
        <v>-391.17380000000003</v>
      </c>
      <c r="K5272">
        <v>1.112997</v>
      </c>
      <c r="L5272">
        <v>16.348050000000001</v>
      </c>
      <c r="M5272">
        <v>0.99591390000000002</v>
      </c>
      <c r="N5272">
        <v>0</v>
      </c>
      <c r="O5272">
        <v>-8.9363680000000001E-2</v>
      </c>
      <c r="P5272">
        <v>0.9990618</v>
      </c>
      <c r="Q5272">
        <v>4.2640409999999997E-2</v>
      </c>
      <c r="R5272">
        <v>7.5786289999999999E-3</v>
      </c>
      <c r="S5272">
        <v>3.0162049999999998</v>
      </c>
      <c r="T5272">
        <v>-0.304865</v>
      </c>
      <c r="U5272">
        <v>-8.2702639999999994E-3</v>
      </c>
      <c r="V5272">
        <v>-9.7233070000000005E-2</v>
      </c>
      <c r="W5272">
        <v>5.489575E-2</v>
      </c>
      <c r="X5272">
        <v>0.99374649999999998</v>
      </c>
      <c r="Y5272">
        <v>-8.5748669999999999E-2</v>
      </c>
      <c r="Z5272">
        <v>1.332349E-2</v>
      </c>
      <c r="AA5272">
        <v>0.99622770000000005</v>
      </c>
      <c r="AB5272">
        <v>26</v>
      </c>
      <c r="AC5272">
        <v>10.8796</v>
      </c>
      <c r="AD5272">
        <v>-1.1130021717780001</v>
      </c>
      <c r="AE5272">
        <v>-2.0179999999999799E-2</v>
      </c>
      <c r="AF5272">
        <v>-0.94236192460377599</v>
      </c>
      <c r="AG5272">
        <v>-1.1130021717780001</v>
      </c>
      <c r="AH5272">
        <v>10.725617352600599</v>
      </c>
      <c r="AI5272">
        <v>95.901829970065904</v>
      </c>
      <c r="AJ5272">
        <v>95.021162400571697</v>
      </c>
      <c r="AK5272">
        <v>10.8243100207696</v>
      </c>
      <c r="AL5272">
        <v>86.853123191877103</v>
      </c>
      <c r="AM5272">
        <v>95.588314112917502</v>
      </c>
      <c r="AN5272">
        <v>0.99999995976596701</v>
      </c>
    </row>
    <row r="5273" spans="1:40" x14ac:dyDescent="0.25">
      <c r="A5273" t="str">
        <f>"20190312151132652"</f>
        <v>20190312151132652</v>
      </c>
      <c r="B5273" t="str">
        <f>"1552374692646149"</f>
        <v>1552374692646149</v>
      </c>
      <c r="C5273" t="s">
        <v>40</v>
      </c>
      <c r="D5273">
        <v>5.2464230000000001</v>
      </c>
      <c r="E5273">
        <v>0.50365760000000004</v>
      </c>
      <c r="F5273" t="s">
        <v>86</v>
      </c>
      <c r="G5273">
        <v>-380.24810000000002</v>
      </c>
      <c r="H5273" s="1">
        <v>-5.190965E-6</v>
      </c>
      <c r="I5273">
        <v>16.342410000000001</v>
      </c>
      <c r="J5273">
        <v>-391.0204</v>
      </c>
      <c r="K5273">
        <v>1.1128579999999999</v>
      </c>
      <c r="L5273">
        <v>16.336849999999998</v>
      </c>
      <c r="M5273">
        <v>0.99611369999999999</v>
      </c>
      <c r="N5273">
        <v>0</v>
      </c>
      <c r="O5273">
        <v>-8.7111149999999998E-2</v>
      </c>
      <c r="P5273">
        <v>0.99909210000000004</v>
      </c>
      <c r="Q5273">
        <v>4.1959730000000001E-2</v>
      </c>
      <c r="R5273">
        <v>7.38779E-3</v>
      </c>
      <c r="S5273">
        <v>3.0159609999999999</v>
      </c>
      <c r="T5273">
        <v>-0.30723620000000001</v>
      </c>
      <c r="U5273">
        <v>-1.556396E-3</v>
      </c>
      <c r="V5273">
        <v>-9.4773969999999999E-2</v>
      </c>
      <c r="W5273">
        <v>5.4252500000000002E-2</v>
      </c>
      <c r="X5273">
        <v>0.9940194</v>
      </c>
      <c r="Y5273">
        <v>-8.5710850000000005E-2</v>
      </c>
      <c r="Z5273">
        <v>1.3197779999999999E-2</v>
      </c>
      <c r="AA5273">
        <v>0.99623260000000002</v>
      </c>
      <c r="AB5273">
        <v>26</v>
      </c>
      <c r="AC5273">
        <v>10.7722999999999</v>
      </c>
      <c r="AD5273">
        <v>-1.112863190965</v>
      </c>
      <c r="AE5273">
        <v>5.5600000000026696E-3</v>
      </c>
      <c r="AF5273">
        <v>-0.93403715261164799</v>
      </c>
      <c r="AG5273">
        <v>-1.112863190965</v>
      </c>
      <c r="AH5273">
        <v>10.6175430107937</v>
      </c>
      <c r="AI5273">
        <v>95.960677340701693</v>
      </c>
      <c r="AJ5273">
        <v>95.027431603414001</v>
      </c>
      <c r="AK5273">
        <v>10.716487739474999</v>
      </c>
      <c r="AL5273">
        <v>86.890033846827507</v>
      </c>
      <c r="AM5273">
        <v>95.446355852833804</v>
      </c>
      <c r="AN5273">
        <v>1.0000000033610801</v>
      </c>
    </row>
    <row r="5274" spans="1:40" x14ac:dyDescent="0.25">
      <c r="A5274" t="str">
        <f>"20190312151132670"</f>
        <v>20190312151132670</v>
      </c>
      <c r="B5274" t="str">
        <f>"1552374692666645"</f>
        <v>1552374692666645</v>
      </c>
      <c r="C5274" t="s">
        <v>40</v>
      </c>
      <c r="D5274">
        <v>5.2613300000000001</v>
      </c>
      <c r="E5274">
        <v>0.50327250000000001</v>
      </c>
      <c r="F5274" t="s">
        <v>86</v>
      </c>
      <c r="G5274">
        <v>-380.22660000000002</v>
      </c>
      <c r="H5274" s="1">
        <v>-5.2017160000000001E-6</v>
      </c>
      <c r="I5274">
        <v>16.33915</v>
      </c>
      <c r="J5274">
        <v>-390.8184</v>
      </c>
      <c r="K5274">
        <v>1.112676</v>
      </c>
      <c r="L5274">
        <v>16.322420000000001</v>
      </c>
      <c r="M5274">
        <v>0.99635649999999998</v>
      </c>
      <c r="N5274">
        <v>0</v>
      </c>
      <c r="O5274">
        <v>-8.4290359999999995E-2</v>
      </c>
      <c r="P5274">
        <v>0.99917270000000002</v>
      </c>
      <c r="Q5274">
        <v>4.0297960000000001E-2</v>
      </c>
      <c r="R5274">
        <v>5.4947889999999999E-3</v>
      </c>
      <c r="S5274">
        <v>3.0157780000000001</v>
      </c>
      <c r="T5274">
        <v>-0.31093280000000001</v>
      </c>
      <c r="U5274">
        <v>6.408691E-4</v>
      </c>
      <c r="V5274">
        <v>-9.004413E-2</v>
      </c>
      <c r="W5274">
        <v>5.2648819999999999E-2</v>
      </c>
      <c r="X5274">
        <v>0.99454520000000002</v>
      </c>
      <c r="Y5274">
        <v>-8.3619890000000002E-2</v>
      </c>
      <c r="Z5274">
        <v>1.295983E-2</v>
      </c>
      <c r="AA5274">
        <v>0.99641349999999995</v>
      </c>
      <c r="AB5274">
        <v>26</v>
      </c>
      <c r="AC5274">
        <v>10.5917999999999</v>
      </c>
      <c r="AD5274">
        <v>-1.1126812017159999</v>
      </c>
      <c r="AE5274">
        <v>1.6729999999998999E-2</v>
      </c>
      <c r="AF5274">
        <v>-0.89960468438820196</v>
      </c>
      <c r="AG5274">
        <v>-1.1126812017159999</v>
      </c>
      <c r="AH5274">
        <v>10.4375041736394</v>
      </c>
      <c r="AI5274">
        <v>96.062677393986505</v>
      </c>
      <c r="AJ5274">
        <v>94.926128278857803</v>
      </c>
      <c r="AK5274">
        <v>10.535124176751101</v>
      </c>
      <c r="AL5274">
        <v>86.982049476776396</v>
      </c>
      <c r="AM5274">
        <v>95.1733403488318</v>
      </c>
      <c r="AN5274">
        <v>0.999999999218944</v>
      </c>
    </row>
    <row r="5275" spans="1:40" x14ac:dyDescent="0.25">
      <c r="A5275" t="str">
        <f>"20190312151132685"</f>
        <v>20190312151132685</v>
      </c>
      <c r="B5275" t="str">
        <f>"1552374692676405"</f>
        <v>1552374692676405</v>
      </c>
      <c r="C5275" t="s">
        <v>40</v>
      </c>
      <c r="D5275">
        <v>5.2272480000000003</v>
      </c>
      <c r="E5275">
        <v>0.50309190000000004</v>
      </c>
      <c r="F5275" t="s">
        <v>86</v>
      </c>
      <c r="G5275">
        <v>-380.24119999999999</v>
      </c>
      <c r="H5275" s="1">
        <v>-5.198842E-6</v>
      </c>
      <c r="I5275">
        <v>16.316420000000001</v>
      </c>
      <c r="J5275">
        <v>-390.65120000000002</v>
      </c>
      <c r="K5275">
        <v>1.11253</v>
      </c>
      <c r="L5275">
        <v>16.310790000000001</v>
      </c>
      <c r="M5275">
        <v>0.99654129999999996</v>
      </c>
      <c r="N5275">
        <v>0</v>
      </c>
      <c r="O5275">
        <v>-8.2079509999999994E-2</v>
      </c>
      <c r="P5275">
        <v>0.99919559999999996</v>
      </c>
      <c r="Q5275">
        <v>3.9765469999999997E-2</v>
      </c>
      <c r="R5275">
        <v>5.1820770000000002E-3</v>
      </c>
      <c r="S5275">
        <v>3.0152890000000001</v>
      </c>
      <c r="T5275">
        <v>-0.31719589999999998</v>
      </c>
      <c r="U5275">
        <v>-1.708984E-3</v>
      </c>
      <c r="V5275">
        <v>-8.7504680000000001E-2</v>
      </c>
      <c r="W5275">
        <v>5.2150729999999999E-2</v>
      </c>
      <c r="X5275">
        <v>0.99479810000000002</v>
      </c>
      <c r="Y5275">
        <v>-8.0624509999999996E-2</v>
      </c>
      <c r="Z5275">
        <v>1.283306E-2</v>
      </c>
      <c r="AA5275">
        <v>0.99666189999999999</v>
      </c>
      <c r="AB5275">
        <v>26</v>
      </c>
      <c r="AC5275">
        <v>10.41</v>
      </c>
      <c r="AD5275">
        <v>-1.112535198842</v>
      </c>
      <c r="AE5275">
        <v>5.6300000000000204E-3</v>
      </c>
      <c r="AF5275">
        <v>-0.85041754261400204</v>
      </c>
      <c r="AG5275">
        <v>-1.112535198842</v>
      </c>
      <c r="AH5275">
        <v>10.2572523819079</v>
      </c>
      <c r="AI5275">
        <v>96.169285769126006</v>
      </c>
      <c r="AJ5275">
        <v>94.739490486936603</v>
      </c>
      <c r="AK5275">
        <v>10.352399286716199</v>
      </c>
      <c r="AL5275">
        <v>87.010627235686201</v>
      </c>
      <c r="AM5275">
        <v>95.026927327279793</v>
      </c>
      <c r="AN5275">
        <v>1.00000001371252</v>
      </c>
    </row>
    <row r="5276" spans="1:40" x14ac:dyDescent="0.25">
      <c r="A5276" t="str">
        <f>"20190312151132705"</f>
        <v>20190312151132705</v>
      </c>
      <c r="B5276" t="str">
        <f>"1552374692696901"</f>
        <v>1552374692696901</v>
      </c>
      <c r="C5276" t="s">
        <v>40</v>
      </c>
      <c r="D5276">
        <v>5.2584080000000002</v>
      </c>
      <c r="E5276">
        <v>0.50291339999999995</v>
      </c>
      <c r="F5276" t="s">
        <v>86</v>
      </c>
      <c r="G5276">
        <v>-380.1506</v>
      </c>
      <c r="H5276" s="1">
        <v>-5.2433430000000004E-6</v>
      </c>
      <c r="I5276">
        <v>16.30686</v>
      </c>
      <c r="J5276">
        <v>-390.41879999999998</v>
      </c>
      <c r="K5276">
        <v>1.1123320000000001</v>
      </c>
      <c r="L5276">
        <v>16.294979999999999</v>
      </c>
      <c r="M5276">
        <v>0.99677450000000001</v>
      </c>
      <c r="N5276">
        <v>0</v>
      </c>
      <c r="O5276">
        <v>-7.9199649999999996E-2</v>
      </c>
      <c r="P5276">
        <v>0.99922549999999999</v>
      </c>
      <c r="Q5276">
        <v>3.9200239999999997E-2</v>
      </c>
      <c r="R5276">
        <v>3.4225869999999999E-3</v>
      </c>
      <c r="S5276">
        <v>3.0151059999999998</v>
      </c>
      <c r="T5276">
        <v>-0.31945030000000002</v>
      </c>
      <c r="U5276">
        <v>-1.12915E-3</v>
      </c>
      <c r="V5276">
        <v>-8.2849190000000003E-2</v>
      </c>
      <c r="W5276">
        <v>5.1637389999999998E-2</v>
      </c>
      <c r="X5276">
        <v>0.99522339999999998</v>
      </c>
      <c r="Y5276">
        <v>-7.7954049999999997E-2</v>
      </c>
      <c r="Z5276">
        <v>1.247994E-2</v>
      </c>
      <c r="AA5276">
        <v>0.99687890000000001</v>
      </c>
      <c r="AB5276">
        <v>26</v>
      </c>
      <c r="AC5276">
        <v>10.268199999999901</v>
      </c>
      <c r="AD5276">
        <v>-1.1123372433430001</v>
      </c>
      <c r="AE5276">
        <v>1.18800000000014E-2</v>
      </c>
      <c r="AF5276">
        <v>-0.81557802507870802</v>
      </c>
      <c r="AG5276">
        <v>-1.1123372433430001</v>
      </c>
      <c r="AH5276">
        <v>10.1162840946094</v>
      </c>
      <c r="AI5276">
        <v>96.254625991805</v>
      </c>
      <c r="AJ5276">
        <v>94.609235009906399</v>
      </c>
      <c r="AK5276">
        <v>10.209880779948699</v>
      </c>
      <c r="AL5276">
        <v>87.040079129962095</v>
      </c>
      <c r="AM5276">
        <v>94.758719378309607</v>
      </c>
      <c r="AN5276">
        <v>1.0000000121186099</v>
      </c>
    </row>
    <row r="5277" spans="1:40" x14ac:dyDescent="0.25">
      <c r="A5277" t="str">
        <f>"20190312151132727"</f>
        <v>20190312151132727</v>
      </c>
      <c r="B5277" t="str">
        <f>"1552374692716421"</f>
        <v>1552374692716421</v>
      </c>
      <c r="C5277" t="s">
        <v>40</v>
      </c>
      <c r="D5277">
        <v>5.2344080000000002</v>
      </c>
      <c r="E5277">
        <v>0.50260450000000001</v>
      </c>
      <c r="F5277" t="s">
        <v>86</v>
      </c>
      <c r="G5277">
        <v>-380.03809999999999</v>
      </c>
      <c r="H5277" s="1">
        <v>-5.3017660000000001E-6</v>
      </c>
      <c r="I5277">
        <v>16.277539999999998</v>
      </c>
      <c r="J5277">
        <v>-390.15820000000002</v>
      </c>
      <c r="K5277">
        <v>1.112128</v>
      </c>
      <c r="L5277">
        <v>16.27777</v>
      </c>
      <c r="M5277">
        <v>0.99700710000000003</v>
      </c>
      <c r="N5277">
        <v>0</v>
      </c>
      <c r="O5277">
        <v>-7.6220419999999997E-2</v>
      </c>
      <c r="P5277">
        <v>0.99922509999999998</v>
      </c>
      <c r="Q5277">
        <v>3.9339649999999997E-2</v>
      </c>
      <c r="R5277">
        <v>1.240255E-3</v>
      </c>
      <c r="S5277">
        <v>3.015015</v>
      </c>
      <c r="T5277">
        <v>-0.32307059999999999</v>
      </c>
      <c r="U5277">
        <v>-5.065918E-3</v>
      </c>
      <c r="V5277">
        <v>-7.7672720000000001E-2</v>
      </c>
      <c r="W5277">
        <v>5.1827869999999998E-2</v>
      </c>
      <c r="X5277">
        <v>0.99563089999999999</v>
      </c>
      <c r="Y5277">
        <v>-7.369378E-2</v>
      </c>
      <c r="Z5277">
        <v>1.207562E-2</v>
      </c>
      <c r="AA5277">
        <v>0.99720779999999998</v>
      </c>
      <c r="AB5277">
        <v>26</v>
      </c>
      <c r="AC5277">
        <v>10.120100000000001</v>
      </c>
      <c r="AD5277">
        <v>-1.112133301766</v>
      </c>
      <c r="AE5277">
        <v>-2.3000000000195E-4</v>
      </c>
      <c r="AF5277">
        <v>-0.76199121956314597</v>
      </c>
      <c r="AG5277">
        <v>-1.112133301766</v>
      </c>
      <c r="AH5277">
        <v>9.9702664005548005</v>
      </c>
      <c r="AI5277">
        <v>96.346391092329796</v>
      </c>
      <c r="AJ5277">
        <v>94.370412197373597</v>
      </c>
      <c r="AK5277">
        <v>10.060998121340599</v>
      </c>
      <c r="AL5277">
        <v>87.029150862561707</v>
      </c>
      <c r="AM5277">
        <v>94.460813216977201</v>
      </c>
      <c r="AN5277">
        <v>1.0000000342878701</v>
      </c>
    </row>
    <row r="5278" spans="1:40" x14ac:dyDescent="0.25">
      <c r="A5278" t="str">
        <f>"20190312151132749"</f>
        <v>20190312151132749</v>
      </c>
      <c r="B5278" t="str">
        <f>"1552374692746749"</f>
        <v>1552374692746749</v>
      </c>
      <c r="C5278" t="s">
        <v>40</v>
      </c>
      <c r="D5278">
        <v>5.2572580000000002</v>
      </c>
      <c r="E5278">
        <v>0.50234570000000001</v>
      </c>
      <c r="F5278" t="s">
        <v>87</v>
      </c>
      <c r="G5278">
        <v>-379.7835</v>
      </c>
      <c r="H5278" s="1">
        <v>-9.6400149999999994E-7</v>
      </c>
      <c r="I5278">
        <v>16.246369999999999</v>
      </c>
      <c r="J5278">
        <v>-389.90320000000003</v>
      </c>
      <c r="K5278">
        <v>1.1119540000000001</v>
      </c>
      <c r="L5278">
        <v>16.261469999999999</v>
      </c>
      <c r="M5278">
        <v>0.99720909999999996</v>
      </c>
      <c r="N5278">
        <v>0</v>
      </c>
      <c r="O5278">
        <v>-7.3532399999999998E-2</v>
      </c>
      <c r="P5278">
        <v>0.9992046</v>
      </c>
      <c r="Q5278">
        <v>3.9868290000000001E-2</v>
      </c>
      <c r="R5278">
        <v>-8.0437E-4</v>
      </c>
      <c r="S5278">
        <v>3.0150450000000002</v>
      </c>
      <c r="T5278">
        <v>-0.323202299999999</v>
      </c>
      <c r="U5278">
        <v>-9.1247559999999995E-3</v>
      </c>
      <c r="V5278">
        <v>-7.2927850000000002E-2</v>
      </c>
      <c r="W5278">
        <v>5.2396440000000002E-2</v>
      </c>
      <c r="X5278">
        <v>0.99595990000000001</v>
      </c>
      <c r="Y5278">
        <v>-6.9700010000000007E-2</v>
      </c>
      <c r="Z5278">
        <v>1.1580099999999999E-2</v>
      </c>
      <c r="AA5278">
        <v>0.99750079999999997</v>
      </c>
      <c r="AB5278">
        <v>26</v>
      </c>
      <c r="AC5278">
        <v>10.1197</v>
      </c>
      <c r="AD5278">
        <v>-1.1119549640015001</v>
      </c>
      <c r="AE5278">
        <v>-1.5100000000000301E-2</v>
      </c>
      <c r="AF5278">
        <v>-0.72043063583360101</v>
      </c>
      <c r="AG5278">
        <v>-1.1119549640015001</v>
      </c>
      <c r="AH5278">
        <v>9.9729996995609902</v>
      </c>
      <c r="AI5278">
        <v>96.345605155326695</v>
      </c>
      <c r="AJ5278">
        <v>94.131761734192395</v>
      </c>
      <c r="AK5278">
        <v>10.060625584448401</v>
      </c>
      <c r="AL5278">
        <v>86.996529745563393</v>
      </c>
      <c r="AM5278">
        <v>94.187933727942905</v>
      </c>
      <c r="AN5278">
        <v>0.99999999031915299</v>
      </c>
    </row>
    <row r="5279" spans="1:40" x14ac:dyDescent="0.25">
      <c r="A5279" t="str">
        <f>"20190312151132761"</f>
        <v>20190312151132761</v>
      </c>
      <c r="B5279" t="str">
        <f>"1552374692756509"</f>
        <v>1552374692756509</v>
      </c>
      <c r="C5279" t="s">
        <v>40</v>
      </c>
      <c r="D5279">
        <v>5.2908099999999996</v>
      </c>
      <c r="E5279">
        <v>0.50220489999999995</v>
      </c>
      <c r="F5279" t="s">
        <v>87</v>
      </c>
      <c r="G5279">
        <v>-379.48509999999999</v>
      </c>
      <c r="H5279" s="1">
        <v>-1.0868220000000001E-6</v>
      </c>
      <c r="I5279">
        <v>16.215399999999999</v>
      </c>
      <c r="J5279">
        <v>-389.76749999999998</v>
      </c>
      <c r="K5279">
        <v>1.1118729999999999</v>
      </c>
      <c r="L5279">
        <v>16.252929999999999</v>
      </c>
      <c r="M5279">
        <v>0.99730799999999997</v>
      </c>
      <c r="N5279">
        <v>0</v>
      </c>
      <c r="O5279">
        <v>-7.2180069999999999E-2</v>
      </c>
      <c r="P5279">
        <v>0.99919100000000005</v>
      </c>
      <c r="Q5279">
        <v>4.0184589999999999E-2</v>
      </c>
      <c r="R5279">
        <v>-1.557606E-3</v>
      </c>
      <c r="S5279">
        <v>3.0152589999999999</v>
      </c>
      <c r="T5279">
        <v>-0.32183030000000001</v>
      </c>
      <c r="U5279">
        <v>-1.333618E-2</v>
      </c>
      <c r="V5279">
        <v>-7.0814539999999995E-2</v>
      </c>
      <c r="W5279">
        <v>5.2729760000000001E-2</v>
      </c>
      <c r="X5279">
        <v>0.99609479999999995</v>
      </c>
      <c r="Y5279">
        <v>-6.6984210000000002E-2</v>
      </c>
      <c r="Z5279">
        <v>1.124211E-2</v>
      </c>
      <c r="AA5279">
        <v>0.99769070000000004</v>
      </c>
      <c r="AB5279">
        <v>26</v>
      </c>
      <c r="AC5279">
        <v>10.2823999999999</v>
      </c>
      <c r="AD5279">
        <v>-1.1118740868219901</v>
      </c>
      <c r="AE5279">
        <v>-3.7530000000000202E-2</v>
      </c>
      <c r="AF5279">
        <v>-0.69666820023348897</v>
      </c>
      <c r="AG5279">
        <v>-1.1118740868219901</v>
      </c>
      <c r="AH5279">
        <v>10.139723039627301</v>
      </c>
      <c r="AI5279">
        <v>96.2431805465434</v>
      </c>
      <c r="AJ5279">
        <v>93.930434290845497</v>
      </c>
      <c r="AK5279">
        <v>10.2242649558055</v>
      </c>
      <c r="AL5279">
        <v>86.9774054736435</v>
      </c>
      <c r="AM5279">
        <v>94.066439730567694</v>
      </c>
      <c r="AN5279">
        <v>0.99999998862605399</v>
      </c>
    </row>
    <row r="5280" spans="1:40" x14ac:dyDescent="0.25">
      <c r="A5280" t="str">
        <f>"20190312151132774"</f>
        <v>20190312151132774</v>
      </c>
      <c r="B5280" t="str">
        <f>"1552374692766269"</f>
        <v>1552374692766269</v>
      </c>
      <c r="C5280" t="s">
        <v>40</v>
      </c>
      <c r="D5280">
        <v>5.2543699999999998</v>
      </c>
      <c r="E5280">
        <v>0.50211660000000002</v>
      </c>
      <c r="F5280" t="s">
        <v>87</v>
      </c>
      <c r="G5280">
        <v>-379.34739999999999</v>
      </c>
      <c r="H5280" s="1">
        <v>-1.143194E-6</v>
      </c>
      <c r="I5280">
        <v>16.202310000000001</v>
      </c>
      <c r="J5280">
        <v>-389.62029999999999</v>
      </c>
      <c r="K5280">
        <v>1.111793</v>
      </c>
      <c r="L5280">
        <v>16.243870000000001</v>
      </c>
      <c r="M5280">
        <v>0.99740759999999995</v>
      </c>
      <c r="N5280">
        <v>0</v>
      </c>
      <c r="O5280">
        <v>-7.0791900000000005E-2</v>
      </c>
      <c r="P5280">
        <v>0.9991736</v>
      </c>
      <c r="Q5280">
        <v>4.060271E-2</v>
      </c>
      <c r="R5280">
        <v>-1.9089809999999999E-3</v>
      </c>
      <c r="S5280">
        <v>3.0153810000000001</v>
      </c>
      <c r="T5280">
        <v>-0.32175740000000003</v>
      </c>
      <c r="U5280">
        <v>-1.464844E-2</v>
      </c>
      <c r="V5280">
        <v>-6.9066829999999996E-2</v>
      </c>
      <c r="W5280">
        <v>5.3161649999999998E-2</v>
      </c>
      <c r="X5280">
        <v>0.99619449999999998</v>
      </c>
      <c r="Y5280">
        <v>-6.517995E-2</v>
      </c>
      <c r="Z5280">
        <v>1.0995680000000001E-2</v>
      </c>
      <c r="AA5280">
        <v>0.9978129</v>
      </c>
      <c r="AB5280">
        <v>26</v>
      </c>
      <c r="AC5280">
        <v>10.2728999999999</v>
      </c>
      <c r="AD5280">
        <v>-1.1117941431939999</v>
      </c>
      <c r="AE5280">
        <v>-4.1560000000000402E-2</v>
      </c>
      <c r="AF5280">
        <v>-0.67790293155899095</v>
      </c>
      <c r="AG5280">
        <v>-1.1117941431939999</v>
      </c>
      <c r="AH5280">
        <v>10.131398812312099</v>
      </c>
      <c r="AI5280">
        <v>96.2485752095007</v>
      </c>
      <c r="AJ5280">
        <v>93.828017031871198</v>
      </c>
      <c r="AK5280">
        <v>10.214738395846201</v>
      </c>
      <c r="AL5280">
        <v>86.952625078238796</v>
      </c>
      <c r="AM5280">
        <v>93.966008258272296</v>
      </c>
      <c r="AN5280">
        <v>0.99999993493360795</v>
      </c>
    </row>
    <row r="5281" spans="1:40" x14ac:dyDescent="0.25">
      <c r="A5281" t="str">
        <f>"20190312151132794"</f>
        <v>20190312151132794</v>
      </c>
      <c r="B5281" t="str">
        <f>"1552374692786765"</f>
        <v>1552374692786765</v>
      </c>
      <c r="C5281" t="s">
        <v>40</v>
      </c>
      <c r="D5281">
        <v>5.2297169999999999</v>
      </c>
      <c r="E5281">
        <v>0.50193699999999997</v>
      </c>
      <c r="F5281" t="s">
        <v>87</v>
      </c>
      <c r="G5281">
        <v>-379.17250000000001</v>
      </c>
      <c r="H5281" s="1">
        <v>-1.213259E-6</v>
      </c>
      <c r="I5281">
        <v>16.191420000000001</v>
      </c>
      <c r="J5281">
        <v>-389.37880000000001</v>
      </c>
      <c r="K5281">
        <v>1.1116600000000001</v>
      </c>
      <c r="L5281">
        <v>16.22925</v>
      </c>
      <c r="M5281">
        <v>0.99755760000000004</v>
      </c>
      <c r="N5281">
        <v>0</v>
      </c>
      <c r="O5281">
        <v>-6.8649790000000002E-2</v>
      </c>
      <c r="P5281">
        <v>0.99915050000000005</v>
      </c>
      <c r="Q5281">
        <v>4.1012109999999997E-2</v>
      </c>
      <c r="R5281">
        <v>-4.0563919999999998E-3</v>
      </c>
      <c r="S5281">
        <v>3.0155029999999998</v>
      </c>
      <c r="T5281">
        <v>-0.320893599999999</v>
      </c>
      <c r="U5281">
        <v>-1.5136719999999999E-2</v>
      </c>
      <c r="V5281">
        <v>-6.4765729999999994E-2</v>
      </c>
      <c r="W5281">
        <v>5.3599229999999998E-2</v>
      </c>
      <c r="X5281">
        <v>0.99646000000000001</v>
      </c>
      <c r="Y5281">
        <v>-6.2904660000000001E-2</v>
      </c>
      <c r="Z5281">
        <v>1.0618249999999999E-2</v>
      </c>
      <c r="AA5281">
        <v>0.99796309999999999</v>
      </c>
      <c r="AB5281">
        <v>26</v>
      </c>
      <c r="AC5281">
        <v>10.206300000000001</v>
      </c>
      <c r="AD5281">
        <v>-1.111661213259</v>
      </c>
      <c r="AE5281">
        <v>-3.7829999999999503E-2</v>
      </c>
      <c r="AF5281">
        <v>-0.655204955614892</v>
      </c>
      <c r="AG5281">
        <v>-1.111661213259</v>
      </c>
      <c r="AH5281">
        <v>10.065406687699101</v>
      </c>
      <c r="AI5281">
        <v>96.289214414514007</v>
      </c>
      <c r="AJ5281">
        <v>93.724398875303294</v>
      </c>
      <c r="AK5281">
        <v>10.1477828108265</v>
      </c>
      <c r="AL5281">
        <v>86.9275180061355</v>
      </c>
      <c r="AM5281">
        <v>93.718755209674597</v>
      </c>
      <c r="AN5281">
        <v>1.0000000044195101</v>
      </c>
    </row>
    <row r="5282" spans="1:40" x14ac:dyDescent="0.25">
      <c r="A5282" t="str">
        <f>"20190312151132817"</f>
        <v>20190312151132817</v>
      </c>
      <c r="B5282" t="str">
        <f>"1552374692806285"</f>
        <v>1552374692806285</v>
      </c>
      <c r="C5282" t="s">
        <v>40</v>
      </c>
      <c r="D5282">
        <v>5.261908</v>
      </c>
      <c r="E5282">
        <v>0.50176889999999996</v>
      </c>
      <c r="F5282" t="s">
        <v>87</v>
      </c>
      <c r="G5282">
        <v>-378.91480000000001</v>
      </c>
      <c r="H5282" s="1">
        <v>-1.3205469999999999E-6</v>
      </c>
      <c r="I5282">
        <v>16.1601</v>
      </c>
      <c r="J5282">
        <v>-389.12470000000002</v>
      </c>
      <c r="K5282">
        <v>1.111524</v>
      </c>
      <c r="L5282">
        <v>16.214230000000001</v>
      </c>
      <c r="M5282">
        <v>0.99769819999999998</v>
      </c>
      <c r="N5282">
        <v>0</v>
      </c>
      <c r="O5282">
        <v>-6.6577059999999993E-2</v>
      </c>
      <c r="P5282">
        <v>0.99912489999999998</v>
      </c>
      <c r="Q5282">
        <v>4.1352920000000001E-2</v>
      </c>
      <c r="R5282">
        <v>-6.3026009999999997E-3</v>
      </c>
      <c r="S5282">
        <v>3.0155940000000001</v>
      </c>
      <c r="T5282">
        <v>-0.32036940000000003</v>
      </c>
      <c r="U5282">
        <v>-1.9927980000000001E-2</v>
      </c>
      <c r="V5282">
        <v>-6.0433899999999999E-2</v>
      </c>
      <c r="W5282">
        <v>5.3966350000000003E-2</v>
      </c>
      <c r="X5282">
        <v>0.9967123</v>
      </c>
      <c r="Y5282">
        <v>-5.927988E-2</v>
      </c>
      <c r="Z5282">
        <v>1.018934E-2</v>
      </c>
      <c r="AA5282">
        <v>0.9981894</v>
      </c>
      <c r="AB5282">
        <v>26</v>
      </c>
      <c r="AC5282">
        <v>10.209899999999999</v>
      </c>
      <c r="AD5282">
        <v>-1.1115253205469999</v>
      </c>
      <c r="AE5282">
        <v>-5.4130000000000601E-2</v>
      </c>
      <c r="AF5282">
        <v>-0.61846172900009799</v>
      </c>
      <c r="AG5282">
        <v>-1.1115253205469999</v>
      </c>
      <c r="AH5282">
        <v>10.0714825254544</v>
      </c>
      <c r="AI5282">
        <v>96.286136953066702</v>
      </c>
      <c r="AJ5282">
        <v>93.513962019256297</v>
      </c>
      <c r="AK5282">
        <v>10.1514897285565</v>
      </c>
      <c r="AL5282">
        <v>86.906453127533197</v>
      </c>
      <c r="AM5282">
        <v>93.469781045435596</v>
      </c>
      <c r="AN5282">
        <v>1.00000001608641</v>
      </c>
    </row>
    <row r="5283" spans="1:40" x14ac:dyDescent="0.25">
      <c r="A5283" t="str">
        <f>"20190312151132828"</f>
        <v>20190312151132828</v>
      </c>
      <c r="B5283" t="str">
        <f>"1552374692826783"</f>
        <v>1552374692826783</v>
      </c>
      <c r="C5283" t="s">
        <v>40</v>
      </c>
      <c r="D5283">
        <v>5.1646150000000004</v>
      </c>
      <c r="E5283">
        <v>0.50180899999999995</v>
      </c>
      <c r="F5283" t="s">
        <v>87</v>
      </c>
      <c r="G5283">
        <v>-378.66129999999998</v>
      </c>
      <c r="H5283" s="1">
        <v>-1.4266879999999999E-6</v>
      </c>
      <c r="I5283">
        <v>16.127089999999999</v>
      </c>
      <c r="J5283">
        <v>-388.98259999999999</v>
      </c>
      <c r="K5283">
        <v>1.1114489999999999</v>
      </c>
      <c r="L5283">
        <v>16.206019999999999</v>
      </c>
      <c r="M5283">
        <v>0.99776900000000002</v>
      </c>
      <c r="N5283">
        <v>0</v>
      </c>
      <c r="O5283">
        <v>-6.5509440000000002E-2</v>
      </c>
      <c r="P5283">
        <v>0.99911910000000004</v>
      </c>
      <c r="Q5283">
        <v>4.1326229999999999E-2</v>
      </c>
      <c r="R5283">
        <v>-7.300511E-3</v>
      </c>
      <c r="S5283">
        <v>3.0157470000000002</v>
      </c>
      <c r="T5283">
        <v>-0.32036189999999998</v>
      </c>
      <c r="U5283">
        <v>-2.5115970000000001E-2</v>
      </c>
      <c r="V5283">
        <v>-5.836069E-2</v>
      </c>
      <c r="W5283">
        <v>5.3952069999999998E-2</v>
      </c>
      <c r="X5283">
        <v>0.99683659999999996</v>
      </c>
      <c r="Y5283">
        <v>-5.6516419999999998E-2</v>
      </c>
      <c r="Z5283">
        <v>9.9291540000000008E-3</v>
      </c>
      <c r="AA5283">
        <v>0.99835229999999997</v>
      </c>
      <c r="AB5283">
        <v>26</v>
      </c>
      <c r="AC5283">
        <v>10.321300000000001</v>
      </c>
      <c r="AD5283">
        <v>-1.1114504266880001</v>
      </c>
      <c r="AE5283">
        <v>-7.8930000000003206E-2</v>
      </c>
      <c r="AF5283">
        <v>-0.59058999536837897</v>
      </c>
      <c r="AG5283">
        <v>-1.1114504266880001</v>
      </c>
      <c r="AH5283">
        <v>10.1861837947253</v>
      </c>
      <c r="AI5283">
        <v>96.216751184299795</v>
      </c>
      <c r="AJ5283">
        <v>93.318266575783198</v>
      </c>
      <c r="AK5283">
        <v>10.263647445890699</v>
      </c>
      <c r="AL5283">
        <v>86.907272459959202</v>
      </c>
      <c r="AM5283">
        <v>93.350607926022306</v>
      </c>
      <c r="AN5283">
        <v>1.00000000154706</v>
      </c>
    </row>
    <row r="5284" spans="1:40" x14ac:dyDescent="0.25">
      <c r="A5284" t="str">
        <f>"20190312151132841"</f>
        <v>20190312151132841</v>
      </c>
      <c r="B5284" t="str">
        <f>"1552374692836541"</f>
        <v>1552374692836541</v>
      </c>
      <c r="C5284" t="s">
        <v>40</v>
      </c>
      <c r="D5284">
        <v>5.1509330000000002</v>
      </c>
      <c r="E5284">
        <v>0.50187190000000004</v>
      </c>
      <c r="F5284" t="s">
        <v>87</v>
      </c>
      <c r="G5284">
        <v>-378.49180000000001</v>
      </c>
      <c r="H5284" s="1">
        <v>-1.4968969999999999E-6</v>
      </c>
      <c r="I5284">
        <v>16.10782</v>
      </c>
      <c r="J5284">
        <v>-388.83760000000001</v>
      </c>
      <c r="K5284">
        <v>1.1113740000000001</v>
      </c>
      <c r="L5284">
        <v>16.197689999999898</v>
      </c>
      <c r="M5284">
        <v>0.997838</v>
      </c>
      <c r="N5284">
        <v>0</v>
      </c>
      <c r="O5284">
        <v>-6.4452919999999997E-2</v>
      </c>
      <c r="P5284">
        <v>0.99910089999999996</v>
      </c>
      <c r="Q5284">
        <v>4.1626870000000003E-2</v>
      </c>
      <c r="R5284">
        <v>-8.0577700000000006E-3</v>
      </c>
      <c r="S5284">
        <v>3.0156559999999999</v>
      </c>
      <c r="T5284">
        <v>-0.31949420000000001</v>
      </c>
      <c r="U5284">
        <v>-2.8228759999999999E-2</v>
      </c>
      <c r="V5284">
        <v>-5.653818E-2</v>
      </c>
      <c r="W5284">
        <v>5.4262980000000002E-2</v>
      </c>
      <c r="X5284">
        <v>0.99692480000000006</v>
      </c>
      <c r="Y5284">
        <v>-5.4449629999999999E-2</v>
      </c>
      <c r="Z5284">
        <v>9.6819990000000002E-3</v>
      </c>
      <c r="AA5284">
        <v>0.99846959999999996</v>
      </c>
      <c r="AB5284">
        <v>26</v>
      </c>
      <c r="AC5284">
        <v>10.345799999999899</v>
      </c>
      <c r="AD5284">
        <v>-1.111375496897</v>
      </c>
      <c r="AE5284">
        <v>-8.9869999999997605E-2</v>
      </c>
      <c r="AF5284">
        <v>-0.57060488453061298</v>
      </c>
      <c r="AG5284">
        <v>-1.111375496897</v>
      </c>
      <c r="AH5284">
        <v>10.212240768789099</v>
      </c>
      <c r="AI5284">
        <v>96.201332684670405</v>
      </c>
      <c r="AJ5284">
        <v>93.198053543659796</v>
      </c>
      <c r="AK5284">
        <v>10.2883724149678</v>
      </c>
      <c r="AL5284">
        <v>86.889432636588793</v>
      </c>
      <c r="AM5284">
        <v>93.245914640668502</v>
      </c>
      <c r="AN5284">
        <v>1.0000000468256101</v>
      </c>
    </row>
    <row r="5285" spans="1:40" x14ac:dyDescent="0.25">
      <c r="A5285" t="str">
        <f>"20190312151132859"</f>
        <v>20190312151132859</v>
      </c>
      <c r="B5285" t="str">
        <f>"1552374692857038"</f>
        <v>1552374692857038</v>
      </c>
      <c r="C5285" t="s">
        <v>40</v>
      </c>
      <c r="D5285">
        <v>5.1662059999999999</v>
      </c>
      <c r="E5285">
        <v>0.50198129999999996</v>
      </c>
      <c r="F5285" t="s">
        <v>41</v>
      </c>
      <c r="G5285">
        <v>-387.92189999999999</v>
      </c>
      <c r="H5285">
        <v>1.0150349999999999</v>
      </c>
      <c r="I5285">
        <v>16.187839999999898</v>
      </c>
      <c r="J5285">
        <v>-388.62040000000002</v>
      </c>
      <c r="K5285">
        <v>1.1112679999999999</v>
      </c>
      <c r="L5285">
        <v>16.185359999999999</v>
      </c>
      <c r="M5285">
        <v>0.99793259999999995</v>
      </c>
      <c r="N5285">
        <v>0</v>
      </c>
      <c r="O5285">
        <v>-6.297171E-2</v>
      </c>
      <c r="P5285">
        <v>0.99905200000000005</v>
      </c>
      <c r="Q5285">
        <v>4.2269609999999999E-2</v>
      </c>
      <c r="R5285">
        <v>-1.0391030000000001E-2</v>
      </c>
      <c r="S5285">
        <v>3.0156860000000001</v>
      </c>
      <c r="T5285">
        <v>-0.31753019999999998</v>
      </c>
      <c r="U5285">
        <v>-3.0883790000000001E-2</v>
      </c>
      <c r="V5285">
        <v>-5.2713400000000001E-2</v>
      </c>
      <c r="W5285">
        <v>5.4924800000000003E-2</v>
      </c>
      <c r="X5285">
        <v>0.99709809999999999</v>
      </c>
      <c r="Y5285">
        <v>-5.2117690000000001E-2</v>
      </c>
      <c r="Z5285">
        <v>9.3449190000000001E-3</v>
      </c>
      <c r="AA5285">
        <v>0.99859719999999996</v>
      </c>
      <c r="AB5285">
        <v>26</v>
      </c>
      <c r="AC5285">
        <v>0.69850000000002399</v>
      </c>
      <c r="AD5285">
        <v>-9.6232999999999805E-2</v>
      </c>
      <c r="AE5285">
        <v>2.4799999999984799E-3</v>
      </c>
      <c r="AF5285">
        <v>-4.5598952721837602E-2</v>
      </c>
      <c r="AG5285">
        <v>-9.6232999999999805E-2</v>
      </c>
      <c r="AH5285">
        <v>0.68397503278615401</v>
      </c>
      <c r="AI5285">
        <v>97.991245590932806</v>
      </c>
      <c r="AJ5285">
        <v>93.814126307861002</v>
      </c>
      <c r="AK5285">
        <v>0.69221521238206596</v>
      </c>
      <c r="AL5285">
        <v>86.851456451438395</v>
      </c>
      <c r="AM5285">
        <v>93.026228093616595</v>
      </c>
      <c r="AN5285">
        <v>1.0000000286091</v>
      </c>
    </row>
    <row r="5286" spans="1:40" x14ac:dyDescent="0.25">
      <c r="A5286" t="str">
        <f>"20190312151132873"</f>
        <v>20190312151132873</v>
      </c>
      <c r="B5286" t="str">
        <f>"1552374692866797"</f>
        <v>1552374692866797</v>
      </c>
      <c r="C5286" t="s">
        <v>40</v>
      </c>
      <c r="D5286">
        <v>5.1458779999999997</v>
      </c>
      <c r="E5286">
        <v>0.50202840000000004</v>
      </c>
      <c r="F5286" t="s">
        <v>41</v>
      </c>
      <c r="G5286">
        <v>-387.69110000000001</v>
      </c>
      <c r="H5286">
        <v>1.014837</v>
      </c>
      <c r="I5286">
        <v>16.17315</v>
      </c>
      <c r="J5286">
        <v>-388.46510000000001</v>
      </c>
      <c r="K5286">
        <v>1.111194</v>
      </c>
      <c r="L5286">
        <v>16.176729999999999</v>
      </c>
      <c r="M5286">
        <v>0.99799450000000001</v>
      </c>
      <c r="N5286">
        <v>0</v>
      </c>
      <c r="O5286">
        <v>-6.198298E-2</v>
      </c>
      <c r="P5286">
        <v>0.99903359999999997</v>
      </c>
      <c r="Q5286">
        <v>4.2588979999999999E-2</v>
      </c>
      <c r="R5286">
        <v>-1.086761E-2</v>
      </c>
      <c r="S5286">
        <v>3.0156860000000001</v>
      </c>
      <c r="T5286">
        <v>-0.3130424</v>
      </c>
      <c r="U5286">
        <v>-3.8665770000000002E-2</v>
      </c>
      <c r="V5286">
        <v>-5.1239470000000002E-2</v>
      </c>
      <c r="W5286">
        <v>5.525045E-2</v>
      </c>
      <c r="X5286">
        <v>0.99715690000000001</v>
      </c>
      <c r="Y5286">
        <v>-4.8593530000000003E-2</v>
      </c>
      <c r="Z5286">
        <v>8.9286809999999904E-3</v>
      </c>
      <c r="AA5286">
        <v>0.99877870000000002</v>
      </c>
      <c r="AB5286">
        <v>26</v>
      </c>
      <c r="AC5286">
        <v>0.77400000000000002</v>
      </c>
      <c r="AD5286">
        <v>-9.6356999999999998E-2</v>
      </c>
      <c r="AE5286">
        <v>-3.5799999999994699E-3</v>
      </c>
      <c r="AF5286">
        <v>-4.37279761255722E-2</v>
      </c>
      <c r="AG5286">
        <v>-9.6356999999999998E-2</v>
      </c>
      <c r="AH5286">
        <v>0.76094038412416698</v>
      </c>
      <c r="AI5286">
        <v>97.2051261316184</v>
      </c>
      <c r="AJ5286">
        <v>93.288925235387893</v>
      </c>
      <c r="AK5286">
        <v>0.76826237415096299</v>
      </c>
      <c r="AL5286">
        <v>86.832769581491505</v>
      </c>
      <c r="AM5286">
        <v>92.941588717661006</v>
      </c>
      <c r="AN5286">
        <v>0.99999998936434598</v>
      </c>
    </row>
    <row r="5287" spans="1:40" x14ac:dyDescent="0.25">
      <c r="A5287" t="str">
        <f>"20190312151132886"</f>
        <v>20190312151132886</v>
      </c>
      <c r="B5287" t="str">
        <f>"1552374692876557"</f>
        <v>1552374692876557</v>
      </c>
      <c r="C5287" t="s">
        <v>40</v>
      </c>
      <c r="D5287">
        <v>5.2035400000000003</v>
      </c>
      <c r="E5287">
        <v>0.50210880000000002</v>
      </c>
      <c r="F5287" t="s">
        <v>87</v>
      </c>
      <c r="G5287">
        <v>-377.70030000000003</v>
      </c>
      <c r="H5287" s="1">
        <v>-1.8208969999999999E-6</v>
      </c>
      <c r="I5287">
        <v>16.032499999999999</v>
      </c>
      <c r="J5287">
        <v>-388.31720000000001</v>
      </c>
      <c r="K5287">
        <v>1.111135</v>
      </c>
      <c r="L5287">
        <v>16.16855</v>
      </c>
      <c r="M5287">
        <v>0.9980504</v>
      </c>
      <c r="N5287">
        <v>0</v>
      </c>
      <c r="O5287">
        <v>-6.1080919999999997E-2</v>
      </c>
      <c r="P5287">
        <v>0.99901070000000003</v>
      </c>
      <c r="Q5287">
        <v>4.2835619999999998E-2</v>
      </c>
      <c r="R5287">
        <v>-1.195335E-2</v>
      </c>
      <c r="S5287">
        <v>3.0157470000000002</v>
      </c>
      <c r="T5287">
        <v>-0.31129899999999999</v>
      </c>
      <c r="U5287">
        <v>-4.040527E-2</v>
      </c>
      <c r="V5287">
        <v>-4.9245450000000003E-2</v>
      </c>
      <c r="W5287">
        <v>5.5504699999999997E-2</v>
      </c>
      <c r="X5287">
        <v>0.99724330000000005</v>
      </c>
      <c r="Y5287">
        <v>-4.7134089999999997E-2</v>
      </c>
      <c r="Z5287">
        <v>8.7111329999999994E-3</v>
      </c>
      <c r="AA5287">
        <v>0.99885060000000003</v>
      </c>
      <c r="AB5287">
        <v>26</v>
      </c>
      <c r="AC5287">
        <v>10.6168999999999</v>
      </c>
      <c r="AD5287">
        <v>-1.1111368208970001</v>
      </c>
      <c r="AE5287">
        <v>-0.13605</v>
      </c>
      <c r="AF5287">
        <v>-0.50719298672659796</v>
      </c>
      <c r="AG5287">
        <v>-1.1111368208970001</v>
      </c>
      <c r="AH5287">
        <v>10.4904984928051</v>
      </c>
      <c r="AI5287">
        <v>96.039132692017802</v>
      </c>
      <c r="AJ5287">
        <v>92.7679720395262</v>
      </c>
      <c r="AK5287">
        <v>10.561364892289401</v>
      </c>
      <c r="AL5287">
        <v>86.818179911001096</v>
      </c>
      <c r="AM5287">
        <v>92.827059657224197</v>
      </c>
      <c r="AN5287">
        <v>1.00000004273134</v>
      </c>
    </row>
    <row r="5288" spans="1:40" x14ac:dyDescent="0.25">
      <c r="A5288" t="str">
        <f>"20190312151132905"</f>
        <v>20190312151132905</v>
      </c>
      <c r="B5288" t="str">
        <f>"1552374692897053"</f>
        <v>1552374692897053</v>
      </c>
      <c r="C5288" t="s">
        <v>40</v>
      </c>
      <c r="D5288">
        <v>5.2136139999999997</v>
      </c>
      <c r="E5288">
        <v>0.50231309999999996</v>
      </c>
      <c r="F5288" t="s">
        <v>41</v>
      </c>
      <c r="G5288">
        <v>-387.44729999999998</v>
      </c>
      <c r="H5288">
        <v>1.021889</v>
      </c>
      <c r="I5288">
        <v>16.1557</v>
      </c>
      <c r="J5288">
        <v>-388.09449999999998</v>
      </c>
      <c r="K5288">
        <v>1.111056</v>
      </c>
      <c r="L5288">
        <v>16.156400000000001</v>
      </c>
      <c r="M5288">
        <v>0.99812820000000002</v>
      </c>
      <c r="N5288">
        <v>0</v>
      </c>
      <c r="O5288">
        <v>-5.9796670000000003E-2</v>
      </c>
      <c r="P5288">
        <v>0.99897709999999995</v>
      </c>
      <c r="Q5288">
        <v>4.3069900000000001E-2</v>
      </c>
      <c r="R5288">
        <v>-1.3780239999999999E-2</v>
      </c>
      <c r="S5288">
        <v>3.015717</v>
      </c>
      <c r="T5288">
        <v>-0.30945409999999901</v>
      </c>
      <c r="U5288">
        <v>-4.4281010000000003E-2</v>
      </c>
      <c r="V5288">
        <v>-4.6126109999999998E-2</v>
      </c>
      <c r="W5288">
        <v>5.5747980000000003E-2</v>
      </c>
      <c r="X5288">
        <v>0.99737880000000001</v>
      </c>
      <c r="Y5288">
        <v>-4.4591939999999997E-2</v>
      </c>
      <c r="Z5288">
        <v>8.3984139999999999E-3</v>
      </c>
      <c r="AA5288">
        <v>0.99897000000000002</v>
      </c>
      <c r="AB5288">
        <v>26</v>
      </c>
      <c r="AC5288">
        <v>0.647199999999997</v>
      </c>
      <c r="AD5288">
        <v>-8.9166999999999996E-2</v>
      </c>
      <c r="AE5288">
        <v>-7.0000000000192098E-4</v>
      </c>
      <c r="AF5288">
        <v>-3.7296888934008399E-2</v>
      </c>
      <c r="AG5288">
        <v>-8.9166999999999996E-2</v>
      </c>
      <c r="AH5288">
        <v>0.63404836056189995</v>
      </c>
      <c r="AI5288">
        <v>97.991443698682303</v>
      </c>
      <c r="AJ5288">
        <v>93.366454048828999</v>
      </c>
      <c r="AK5288">
        <v>0.64137285204815797</v>
      </c>
      <c r="AL5288">
        <v>86.804219123534907</v>
      </c>
      <c r="AM5288">
        <v>92.647890316120396</v>
      </c>
      <c r="AN5288">
        <v>0.99999996299362504</v>
      </c>
    </row>
    <row r="5289" spans="1:40" x14ac:dyDescent="0.25">
      <c r="A5289" t="str">
        <f>"20190312151132918"</f>
        <v>20190312151132918</v>
      </c>
      <c r="B5289" t="str">
        <f>"1552374692906814"</f>
        <v>1552374692906814</v>
      </c>
      <c r="C5289" t="s">
        <v>40</v>
      </c>
      <c r="D5289">
        <v>5.2387389999999998</v>
      </c>
      <c r="E5289">
        <v>0.50238320000000003</v>
      </c>
      <c r="F5289" t="s">
        <v>41</v>
      </c>
      <c r="G5289">
        <v>-387.2244</v>
      </c>
      <c r="H5289">
        <v>1.0221849999999999</v>
      </c>
      <c r="I5289">
        <v>16.141279999999998</v>
      </c>
      <c r="J5289">
        <v>-387.9477</v>
      </c>
      <c r="K5289">
        <v>1.1110120000000001</v>
      </c>
      <c r="L5289">
        <v>16.148499999999999</v>
      </c>
      <c r="M5289">
        <v>0.99817630000000002</v>
      </c>
      <c r="N5289">
        <v>0</v>
      </c>
      <c r="O5289">
        <v>-5.8992099999999902E-2</v>
      </c>
      <c r="P5289">
        <v>0.99895080000000003</v>
      </c>
      <c r="Q5289">
        <v>4.3408229999999999E-2</v>
      </c>
      <c r="R5289">
        <v>-1.4599330000000001E-2</v>
      </c>
      <c r="S5289">
        <v>3.0156559999999999</v>
      </c>
      <c r="T5289">
        <v>-0.30808069999999999</v>
      </c>
      <c r="U5289">
        <v>-5.1330569999999999E-2</v>
      </c>
      <c r="V5289">
        <v>-4.4496319999999999E-2</v>
      </c>
      <c r="W5289">
        <v>5.6087430000000001E-2</v>
      </c>
      <c r="X5289">
        <v>0.99743380000000004</v>
      </c>
      <c r="Y5289">
        <v>-4.147675E-2</v>
      </c>
      <c r="Z5289">
        <v>8.1206879999999992E-3</v>
      </c>
      <c r="AA5289">
        <v>0.99910650000000001</v>
      </c>
      <c r="AB5289">
        <v>26</v>
      </c>
      <c r="AC5289">
        <v>0.72329999999999395</v>
      </c>
      <c r="AD5289">
        <v>-8.8826999999999906E-2</v>
      </c>
      <c r="AE5289">
        <v>-7.2200000000002202E-3</v>
      </c>
      <c r="AF5289">
        <v>-3.4938183357319401E-2</v>
      </c>
      <c r="AG5289">
        <v>-8.8826999999999906E-2</v>
      </c>
      <c r="AH5289">
        <v>0.71173294609211002</v>
      </c>
      <c r="AI5289">
        <v>97.105481130588501</v>
      </c>
      <c r="AJ5289">
        <v>92.810330543355704</v>
      </c>
      <c r="AK5289">
        <v>0.71810493602137604</v>
      </c>
      <c r="AL5289">
        <v>86.784739562857993</v>
      </c>
      <c r="AM5289">
        <v>92.554317003753496</v>
      </c>
      <c r="AN5289">
        <v>0.99999995383999196</v>
      </c>
    </row>
    <row r="5290" spans="1:40" x14ac:dyDescent="0.25">
      <c r="A5290" t="str">
        <f>"20190312151132939"</f>
        <v>20190312151132939</v>
      </c>
      <c r="B5290" t="str">
        <f>"1552374692937069"</f>
        <v>1552374692937069</v>
      </c>
      <c r="C5290" t="s">
        <v>40</v>
      </c>
      <c r="D5290">
        <v>5.1918139999999999</v>
      </c>
      <c r="E5290">
        <v>0.50263549999999901</v>
      </c>
      <c r="F5290" t="s">
        <v>41</v>
      </c>
      <c r="G5290">
        <v>-386.99880000000002</v>
      </c>
      <c r="H5290">
        <v>1.014446</v>
      </c>
      <c r="I5290">
        <v>16.13101</v>
      </c>
      <c r="J5290">
        <v>-387.70780000000002</v>
      </c>
      <c r="K5290">
        <v>1.110941</v>
      </c>
      <c r="L5290">
        <v>16.135770000000001</v>
      </c>
      <c r="M5290">
        <v>0.99824740000000001</v>
      </c>
      <c r="N5290">
        <v>0</v>
      </c>
      <c r="O5290">
        <v>-5.7779770000000001E-2</v>
      </c>
      <c r="P5290">
        <v>0.99888999999999994</v>
      </c>
      <c r="Q5290">
        <v>4.4112390000000001E-2</v>
      </c>
      <c r="R5290">
        <v>-1.652031E-2</v>
      </c>
      <c r="S5290">
        <v>3.0156860000000001</v>
      </c>
      <c r="T5290">
        <v>-0.30703930000000001</v>
      </c>
      <c r="U5290">
        <v>-5.4321290000000001E-2</v>
      </c>
      <c r="V5290">
        <v>-4.135494E-2</v>
      </c>
      <c r="W5290">
        <v>5.6790130000000001E-2</v>
      </c>
      <c r="X5290">
        <v>0.99752929999999995</v>
      </c>
      <c r="Y5290">
        <v>-3.92939E-2</v>
      </c>
      <c r="Z5290">
        <v>7.8594319999999995E-3</v>
      </c>
      <c r="AA5290">
        <v>0.9991968</v>
      </c>
      <c r="AB5290">
        <v>26</v>
      </c>
      <c r="AC5290">
        <v>0.70900000000000296</v>
      </c>
      <c r="AD5290">
        <v>-9.6494999999999997E-2</v>
      </c>
      <c r="AE5290">
        <v>-4.7600000000009796E-3</v>
      </c>
      <c r="AF5290">
        <v>-3.55585326267467E-2</v>
      </c>
      <c r="AG5290">
        <v>-9.6494999999999997E-2</v>
      </c>
      <c r="AH5290">
        <v>0.69521334285305803</v>
      </c>
      <c r="AI5290">
        <v>97.891930595515205</v>
      </c>
      <c r="AJ5290">
        <v>92.927993285663007</v>
      </c>
      <c r="AK5290">
        <v>0.702778262575395</v>
      </c>
      <c r="AL5290">
        <v>86.744413777599803</v>
      </c>
      <c r="AM5290">
        <v>92.3739728205625</v>
      </c>
      <c r="AN5290">
        <v>1.0000000271431499</v>
      </c>
    </row>
    <row r="5291" spans="1:40" x14ac:dyDescent="0.25">
      <c r="A5291" t="str">
        <f>"20190312151132950"</f>
        <v>20190312151132950</v>
      </c>
      <c r="B5291" t="str">
        <f>"1552374692946829"</f>
        <v>1552374692946829</v>
      </c>
      <c r="C5291" t="s">
        <v>40</v>
      </c>
      <c r="D5291">
        <v>5.2601550000000001</v>
      </c>
      <c r="E5291">
        <v>0.50263549999999901</v>
      </c>
      <c r="F5291" t="s">
        <v>41</v>
      </c>
      <c r="G5291">
        <v>-386.76690000000002</v>
      </c>
      <c r="H5291">
        <v>1.016108</v>
      </c>
      <c r="I5291">
        <v>16.116109999999999</v>
      </c>
      <c r="J5291">
        <v>-387.56670000000003</v>
      </c>
      <c r="K5291">
        <v>1.1108979999999999</v>
      </c>
      <c r="L5291">
        <v>16.12839</v>
      </c>
      <c r="M5291">
        <v>0.9982858</v>
      </c>
      <c r="N5291">
        <v>0</v>
      </c>
      <c r="O5291">
        <v>-5.7114940000000003E-2</v>
      </c>
      <c r="P5291">
        <v>0.99885489999999999</v>
      </c>
      <c r="Q5291">
        <v>4.4482380000000002E-2</v>
      </c>
      <c r="R5291">
        <v>-1.7619659999999999E-2</v>
      </c>
      <c r="S5291">
        <v>3.015717</v>
      </c>
      <c r="T5291">
        <v>-0.3040254</v>
      </c>
      <c r="U5291">
        <v>-6.2255860000000003E-2</v>
      </c>
      <c r="V5291">
        <v>-3.9585549999999997E-2</v>
      </c>
      <c r="W5291">
        <v>5.7155270000000001E-2</v>
      </c>
      <c r="X5291">
        <v>0.99758020000000003</v>
      </c>
      <c r="Y5291">
        <v>-3.6030149999999997E-2</v>
      </c>
      <c r="Z5291">
        <v>7.5514579999999996E-3</v>
      </c>
      <c r="AA5291">
        <v>0.99932220000000005</v>
      </c>
      <c r="AB5291">
        <v>26</v>
      </c>
      <c r="AC5291">
        <v>0.79980000000000395</v>
      </c>
      <c r="AD5291">
        <v>-9.4789999999999902E-2</v>
      </c>
      <c r="AE5291">
        <v>-1.2280000000000501E-2</v>
      </c>
      <c r="AF5291">
        <v>-3.2961431978312701E-2</v>
      </c>
      <c r="AG5291">
        <v>-9.4789999999999902E-2</v>
      </c>
      <c r="AH5291">
        <v>0.78812794899297201</v>
      </c>
      <c r="AI5291">
        <v>96.852222846901498</v>
      </c>
      <c r="AJ5291">
        <v>92.394853522453502</v>
      </c>
      <c r="AK5291">
        <v>0.79449182757403403</v>
      </c>
      <c r="AL5291">
        <v>86.723458665207502</v>
      </c>
      <c r="AM5291">
        <v>92.272394345314595</v>
      </c>
      <c r="AN5291">
        <v>0.99999999804480699</v>
      </c>
    </row>
    <row r="5292" spans="1:40" x14ac:dyDescent="0.25">
      <c r="A5292" t="str">
        <f>"20190312151133040"</f>
        <v>20190312151133040</v>
      </c>
      <c r="B5292" t="str">
        <f>"1552374693036621"</f>
        <v>1552374693036621</v>
      </c>
      <c r="C5292" t="s">
        <v>40</v>
      </c>
      <c r="D5292">
        <v>5.3852909999999996</v>
      </c>
      <c r="E5292">
        <v>0.51971099999999903</v>
      </c>
      <c r="F5292" t="s">
        <v>41</v>
      </c>
      <c r="G5292">
        <v>-385.83479999999997</v>
      </c>
      <c r="H5292">
        <v>1.0275890000000001</v>
      </c>
      <c r="I5292">
        <v>16.05875</v>
      </c>
      <c r="J5292">
        <v>-386.53570000000002</v>
      </c>
      <c r="K5292">
        <v>1.1105910000000001</v>
      </c>
      <c r="L5292">
        <v>16.07593</v>
      </c>
      <c r="M5292">
        <v>0.99850830000000002</v>
      </c>
      <c r="N5292">
        <v>0</v>
      </c>
      <c r="O5292">
        <v>-5.3112159999999999E-2</v>
      </c>
      <c r="P5292">
        <v>0.9985946</v>
      </c>
      <c r="Q5292">
        <v>4.6774099999999999E-2</v>
      </c>
      <c r="R5292">
        <v>-2.4916540000000001E-2</v>
      </c>
      <c r="S5292">
        <v>3.0157780000000001</v>
      </c>
      <c r="T5292">
        <v>-0.2981453</v>
      </c>
      <c r="U5292">
        <v>-8.5815429999999998E-2</v>
      </c>
      <c r="V5292">
        <v>-2.8242610000000001E-2</v>
      </c>
      <c r="W5292">
        <v>5.9374030000000001E-2</v>
      </c>
      <c r="X5292">
        <v>0.99783619999999995</v>
      </c>
      <c r="Y5292">
        <v>-2.4314260000000001E-2</v>
      </c>
      <c r="Z5292">
        <v>6.433238E-3</v>
      </c>
      <c r="AA5292">
        <v>0.99968369999999995</v>
      </c>
      <c r="AB5292">
        <v>26</v>
      </c>
      <c r="AC5292">
        <v>0.70090000000004604</v>
      </c>
      <c r="AD5292">
        <v>-8.3002000000000006E-2</v>
      </c>
      <c r="AE5292">
        <v>-1.7179999999999699E-2</v>
      </c>
      <c r="AF5292">
        <v>-1.9796099649415401E-2</v>
      </c>
      <c r="AG5292">
        <v>-8.3002000000000006E-2</v>
      </c>
      <c r="AH5292">
        <v>0.69113657285142105</v>
      </c>
      <c r="AI5292">
        <v>96.845354594535095</v>
      </c>
      <c r="AJ5292">
        <v>91.640664057982306</v>
      </c>
      <c r="AK5292">
        <v>0.69638421858779698</v>
      </c>
      <c r="AL5292">
        <v>86.596116733654</v>
      </c>
      <c r="AM5292">
        <v>91.621258529200801</v>
      </c>
      <c r="AN5292">
        <v>1.00000000124424</v>
      </c>
    </row>
    <row r="5293" spans="1:40" x14ac:dyDescent="0.25">
      <c r="A5293" t="str">
        <f>"20190312151133052"</f>
        <v>20190312151133052</v>
      </c>
      <c r="B5293" t="str">
        <f>"1552374693046382"</f>
        <v>1552374693046382</v>
      </c>
      <c r="C5293" t="s">
        <v>40</v>
      </c>
      <c r="D5293">
        <v>6.7732999999999999</v>
      </c>
      <c r="E5293">
        <v>0.51971099999999903</v>
      </c>
      <c r="F5293" t="s">
        <v>41</v>
      </c>
      <c r="G5293">
        <v>-385.70949999999999</v>
      </c>
      <c r="H5293">
        <v>0.80067749999999904</v>
      </c>
      <c r="I5293">
        <v>16.019310000000001</v>
      </c>
      <c r="J5293">
        <v>-386.38929999999999</v>
      </c>
      <c r="K5293">
        <v>1.1105449999999999</v>
      </c>
      <c r="L5293">
        <v>16.068629999999999</v>
      </c>
      <c r="M5293">
        <v>0.99853099999999995</v>
      </c>
      <c r="N5293">
        <v>0</v>
      </c>
      <c r="O5293">
        <v>-5.2691059999999998E-2</v>
      </c>
      <c r="P5293">
        <v>0.99853349999999996</v>
      </c>
      <c r="Q5293">
        <v>4.7532480000000002E-2</v>
      </c>
      <c r="R5293">
        <v>-2.592467E-2</v>
      </c>
      <c r="S5293">
        <v>3.0526119999999999</v>
      </c>
      <c r="T5293">
        <v>-1.1451229999999999</v>
      </c>
      <c r="U5293">
        <v>-0.20904539999999999</v>
      </c>
      <c r="V5293">
        <v>-2.6806360000000001E-2</v>
      </c>
      <c r="W5293">
        <v>6.0117039999999997E-2</v>
      </c>
      <c r="X5293">
        <v>0.99783129999999998</v>
      </c>
      <c r="Y5293">
        <v>1.799924E-2</v>
      </c>
      <c r="Z5293">
        <v>1.58202E-2</v>
      </c>
      <c r="AA5293">
        <v>0.99971279999999996</v>
      </c>
      <c r="AB5293">
        <v>26</v>
      </c>
      <c r="AC5293">
        <v>0.67979999999999996</v>
      </c>
      <c r="AD5293">
        <v>-0.30986750000000002</v>
      </c>
      <c r="AE5293">
        <v>-4.9319999999997997E-2</v>
      </c>
      <c r="AF5293">
        <v>1.11290295336096E-2</v>
      </c>
      <c r="AG5293">
        <v>-0.30986750000000002</v>
      </c>
      <c r="AH5293">
        <v>0.56473248952113198</v>
      </c>
      <c r="AI5293">
        <v>118.748790838722</v>
      </c>
      <c r="AJ5293">
        <v>88.871033792118894</v>
      </c>
      <c r="AK5293">
        <v>0.64425500197929797</v>
      </c>
      <c r="AL5293">
        <v>86.553469108584395</v>
      </c>
      <c r="AM5293">
        <v>91.538859287879404</v>
      </c>
      <c r="AN5293">
        <v>0.99999997134725005</v>
      </c>
    </row>
    <row r="5294" spans="1:40" x14ac:dyDescent="0.25">
      <c r="A5294" t="str">
        <f>"20190312151133064"</f>
        <v>20190312151133064</v>
      </c>
      <c r="B5294" t="str">
        <f>"1552374693056141"</f>
        <v>1552374693056141</v>
      </c>
      <c r="C5294" t="s">
        <v>40</v>
      </c>
      <c r="D5294">
        <v>5.7220180000000003</v>
      </c>
      <c r="E5294">
        <v>0.52827630000000003</v>
      </c>
      <c r="F5294" t="s">
        <v>41</v>
      </c>
      <c r="G5294">
        <v>-385.68979999999999</v>
      </c>
      <c r="H5294">
        <v>0.84864810000000002</v>
      </c>
      <c r="I5294">
        <v>16.020189999999999</v>
      </c>
      <c r="J5294">
        <v>-386.25040000000001</v>
      </c>
      <c r="K5294">
        <v>1.1105020000000001</v>
      </c>
      <c r="L5294">
        <v>16.061769999999999</v>
      </c>
      <c r="M5294">
        <v>0.99855039999999995</v>
      </c>
      <c r="N5294">
        <v>0</v>
      </c>
      <c r="O5294">
        <v>-5.2324780000000001E-2</v>
      </c>
      <c r="P5294">
        <v>0.99846880000000005</v>
      </c>
      <c r="Q5294">
        <v>4.832239E-2</v>
      </c>
      <c r="R5294">
        <v>-2.6928190000000001E-2</v>
      </c>
      <c r="S5294">
        <v>3.0533139999999999</v>
      </c>
      <c r="T5294">
        <v>-1.143103</v>
      </c>
      <c r="U5294">
        <v>-0.21127319999999999</v>
      </c>
      <c r="V5294">
        <v>-2.5428639999999999E-2</v>
      </c>
      <c r="W5294">
        <v>6.089191E-2</v>
      </c>
      <c r="X5294">
        <v>0.99782040000000005</v>
      </c>
      <c r="Y5294">
        <v>1.8976659999999999E-2</v>
      </c>
      <c r="Z5294">
        <v>1.5481200000000001E-2</v>
      </c>
      <c r="AA5294">
        <v>0.99970009999999998</v>
      </c>
      <c r="AB5294">
        <v>26</v>
      </c>
      <c r="AC5294">
        <v>0.56060000000002197</v>
      </c>
      <c r="AD5294">
        <v>-0.26185389999999997</v>
      </c>
      <c r="AE5294">
        <v>-4.1580000000003198E-2</v>
      </c>
      <c r="AF5294">
        <v>1.0014442547881501E-2</v>
      </c>
      <c r="AG5294">
        <v>-0.26185389999999997</v>
      </c>
      <c r="AH5294">
        <v>0.46180344014360902</v>
      </c>
      <c r="AI5294">
        <v>119.54852346547101</v>
      </c>
      <c r="AJ5294">
        <v>88.757706581057406</v>
      </c>
      <c r="AK5294">
        <v>0.53097097033004304</v>
      </c>
      <c r="AL5294">
        <v>86.508990922609001</v>
      </c>
      <c r="AM5294">
        <v>91.459820294771106</v>
      </c>
      <c r="AN5294">
        <v>0.999999995545928</v>
      </c>
    </row>
    <row r="5295" spans="1:40" x14ac:dyDescent="0.25">
      <c r="A5295" t="str">
        <f>"20190312151133083"</f>
        <v>20190312151133083</v>
      </c>
      <c r="B5295" t="str">
        <f>"1552374693076637"</f>
        <v>1552374693076637</v>
      </c>
      <c r="C5295" t="s">
        <v>40</v>
      </c>
      <c r="D5295">
        <v>5.2819339999999997</v>
      </c>
      <c r="E5295">
        <v>0.51822420000000002</v>
      </c>
      <c r="F5295" t="s">
        <v>44</v>
      </c>
      <c r="G5295">
        <v>0</v>
      </c>
      <c r="H5295">
        <v>0</v>
      </c>
      <c r="I5295">
        <v>0</v>
      </c>
      <c r="J5295">
        <v>-386.0283</v>
      </c>
      <c r="K5295">
        <v>1.1104320000000001</v>
      </c>
      <c r="L5295">
        <v>16.050750000000001</v>
      </c>
      <c r="M5295">
        <v>0.99857759999999995</v>
      </c>
      <c r="N5295">
        <v>0</v>
      </c>
      <c r="O5295">
        <v>-5.1812440000000001E-2</v>
      </c>
      <c r="P5295">
        <v>0.99835039999999997</v>
      </c>
      <c r="Q5295">
        <v>4.9574420000000001E-2</v>
      </c>
      <c r="R5295">
        <v>-2.8963059999999999E-2</v>
      </c>
      <c r="S5295">
        <v>2.9337770000000001</v>
      </c>
      <c r="T5295">
        <v>1.280262</v>
      </c>
      <c r="U5295">
        <v>-0.32824710000000001</v>
      </c>
      <c r="V5295">
        <v>-2.286798E-2</v>
      </c>
      <c r="W5295">
        <v>6.2116970000000001E-2</v>
      </c>
      <c r="X5295">
        <v>0.99780679999999999</v>
      </c>
      <c r="Y5295">
        <v>5.8906729999999997E-2</v>
      </c>
      <c r="Z5295">
        <v>-9.2860540000000002E-3</v>
      </c>
      <c r="AA5295">
        <v>0.99822029999999995</v>
      </c>
      <c r="AB5295">
        <v>26</v>
      </c>
      <c r="AC5295">
        <v>2.9337770000000001</v>
      </c>
      <c r="AD5295">
        <v>1.280262</v>
      </c>
      <c r="AE5295">
        <v>-0.32824710000000001</v>
      </c>
      <c r="AF5295">
        <v>0.14795981344272</v>
      </c>
      <c r="AG5295">
        <v>1.280262</v>
      </c>
      <c r="AH5295">
        <v>2.4803435938110798</v>
      </c>
      <c r="AI5295">
        <v>62.740337778305701</v>
      </c>
      <c r="AJ5295">
        <v>86.586183196356004</v>
      </c>
      <c r="AK5295">
        <v>2.7951864407222802</v>
      </c>
      <c r="AL5295">
        <v>86.438666802385697</v>
      </c>
      <c r="AM5295">
        <v>91.312888840878003</v>
      </c>
      <c r="AN5295">
        <v>0.99999993629874795</v>
      </c>
    </row>
    <row r="5296" spans="1:40" x14ac:dyDescent="0.25">
      <c r="A5296" t="str">
        <f>"20190312151133095"</f>
        <v>20190312151133095</v>
      </c>
      <c r="B5296" t="str">
        <f>"1552374693086398"</f>
        <v>1552374693086398</v>
      </c>
      <c r="C5296" t="s">
        <v>40</v>
      </c>
      <c r="D5296">
        <v>5.242985</v>
      </c>
      <c r="E5296">
        <v>0.51540829999999904</v>
      </c>
      <c r="F5296" t="s">
        <v>88</v>
      </c>
      <c r="G5296">
        <v>-157.3501</v>
      </c>
      <c r="H5296">
        <v>43.923070000000003</v>
      </c>
      <c r="I5296">
        <v>-2.4675569999999998</v>
      </c>
      <c r="J5296">
        <v>-385.89519999999999</v>
      </c>
      <c r="K5296">
        <v>1.1103860000000001</v>
      </c>
      <c r="L5296">
        <v>16.044129999999999</v>
      </c>
      <c r="M5296">
        <v>0.99859160000000002</v>
      </c>
      <c r="N5296">
        <v>0</v>
      </c>
      <c r="O5296">
        <v>-5.154773E-2</v>
      </c>
      <c r="P5296">
        <v>0.99829820000000002</v>
      </c>
      <c r="Q5296">
        <v>5.0303590000000002E-2</v>
      </c>
      <c r="R5296">
        <v>-2.950821E-2</v>
      </c>
      <c r="S5296">
        <v>2.970367</v>
      </c>
      <c r="T5296">
        <v>0.55610550000000003</v>
      </c>
      <c r="U5296">
        <v>-0.24053959999999999</v>
      </c>
      <c r="V5296">
        <v>-2.205054E-2</v>
      </c>
      <c r="W5296">
        <v>6.2827499999999994E-2</v>
      </c>
      <c r="X5296">
        <v>0.99778080000000002</v>
      </c>
      <c r="Y5296">
        <v>2.96025E-2</v>
      </c>
      <c r="Z5296">
        <v>-6.8021030000000003E-3</v>
      </c>
      <c r="AA5296">
        <v>0.99953860000000005</v>
      </c>
      <c r="AB5296">
        <v>26</v>
      </c>
      <c r="AC5296">
        <v>228.54509999999999</v>
      </c>
      <c r="AD5296">
        <v>42.812683999999997</v>
      </c>
      <c r="AE5296">
        <v>-18.511686999999998</v>
      </c>
      <c r="AF5296">
        <v>6.47927742057239</v>
      </c>
      <c r="AG5296">
        <v>42.812683999999997</v>
      </c>
      <c r="AH5296">
        <v>221.47432451480901</v>
      </c>
      <c r="AI5296">
        <v>79.063798504599205</v>
      </c>
      <c r="AJ5296">
        <v>88.324278011447007</v>
      </c>
      <c r="AK5296">
        <v>225.667417600476</v>
      </c>
      <c r="AL5296">
        <v>86.397877066158998</v>
      </c>
      <c r="AM5296">
        <v>91.266006782039796</v>
      </c>
      <c r="AN5296">
        <v>1.00000002295959</v>
      </c>
    </row>
    <row r="5297" spans="1:40" x14ac:dyDescent="0.25">
      <c r="A5297" t="str">
        <f>"20190312151133106"</f>
        <v>20190312151133106</v>
      </c>
      <c r="B5297" t="str">
        <f>"1552374693096159"</f>
        <v>1552374693096159</v>
      </c>
      <c r="C5297" t="s">
        <v>40</v>
      </c>
      <c r="D5297">
        <v>5.229336</v>
      </c>
      <c r="E5297">
        <v>0.51327199999999995</v>
      </c>
      <c r="F5297" t="s">
        <v>89</v>
      </c>
      <c r="G5297">
        <v>-241.6901</v>
      </c>
      <c r="H5297">
        <v>21.657800000000002</v>
      </c>
      <c r="I5297">
        <v>5.5334430000000001</v>
      </c>
      <c r="J5297">
        <v>-385.76240000000001</v>
      </c>
      <c r="K5297">
        <v>1.110336</v>
      </c>
      <c r="L5297">
        <v>16.037569999999999</v>
      </c>
      <c r="M5297">
        <v>0.99860320000000002</v>
      </c>
      <c r="N5297">
        <v>0</v>
      </c>
      <c r="O5297">
        <v>-5.132892E-2</v>
      </c>
      <c r="P5297">
        <v>0.99825249999999999</v>
      </c>
      <c r="Q5297">
        <v>5.0823889999999997E-2</v>
      </c>
      <c r="R5297">
        <v>-3.0155700000000001E-2</v>
      </c>
      <c r="S5297">
        <v>2.9773559999999999</v>
      </c>
      <c r="T5297">
        <v>0.42423569999999999</v>
      </c>
      <c r="U5297">
        <v>-0.2170105</v>
      </c>
      <c r="V5297">
        <v>-2.117585E-2</v>
      </c>
      <c r="W5297">
        <v>6.3328599999999999E-2</v>
      </c>
      <c r="X5297">
        <v>0.99776799999999999</v>
      </c>
      <c r="Y5297">
        <v>2.16983E-2</v>
      </c>
      <c r="Z5297">
        <v>-5.7261739999999997E-3</v>
      </c>
      <c r="AA5297">
        <v>0.99974819999999998</v>
      </c>
      <c r="AB5297">
        <v>26</v>
      </c>
      <c r="AC5297">
        <v>144.07230000000001</v>
      </c>
      <c r="AD5297">
        <v>20.547464000000002</v>
      </c>
      <c r="AE5297">
        <v>-10.504127</v>
      </c>
      <c r="AF5297">
        <v>3.0332514473359402</v>
      </c>
      <c r="AG5297">
        <v>20.547464000000002</v>
      </c>
      <c r="AH5297">
        <v>141.557477627271</v>
      </c>
      <c r="AI5297">
        <v>81.742907782234795</v>
      </c>
      <c r="AJ5297">
        <v>88.772470959239698</v>
      </c>
      <c r="AK5297">
        <v>143.073122435241</v>
      </c>
      <c r="AL5297">
        <v>86.369108615274101</v>
      </c>
      <c r="AM5297">
        <v>91.215818423600496</v>
      </c>
      <c r="AN5297">
        <v>0.99999995501258998</v>
      </c>
    </row>
    <row r="5298" spans="1:40" x14ac:dyDescent="0.25">
      <c r="A5298" t="str">
        <f>"20190312151133128"</f>
        <v>20190312151133128</v>
      </c>
      <c r="B5298" t="str">
        <f>"1552374693116659"</f>
        <v>1552374693116659</v>
      </c>
      <c r="C5298" t="s">
        <v>40</v>
      </c>
      <c r="D5298">
        <v>5.2503190000000002</v>
      </c>
      <c r="E5298">
        <v>0.51132200000000005</v>
      </c>
      <c r="F5298" t="s">
        <v>89</v>
      </c>
      <c r="G5298">
        <v>-241.07</v>
      </c>
      <c r="H5298">
        <v>17.523199999999999</v>
      </c>
      <c r="I5298">
        <v>6.3250690000000001</v>
      </c>
      <c r="J5298">
        <v>-385.51389999999998</v>
      </c>
      <c r="K5298">
        <v>1.1102399999999999</v>
      </c>
      <c r="L5298">
        <v>16.02524</v>
      </c>
      <c r="M5298">
        <v>0.99862039999999996</v>
      </c>
      <c r="N5298">
        <v>0</v>
      </c>
      <c r="O5298">
        <v>-5.1001190000000002E-2</v>
      </c>
      <c r="P5298">
        <v>0.99818030000000002</v>
      </c>
      <c r="Q5298">
        <v>5.1384069999999997E-2</v>
      </c>
      <c r="R5298">
        <v>-3.1559719999999999E-2</v>
      </c>
      <c r="S5298">
        <v>2.9819640000000001</v>
      </c>
      <c r="T5298">
        <v>0.33825240000000001</v>
      </c>
      <c r="U5298">
        <v>-0.2001648</v>
      </c>
      <c r="V5298">
        <v>-1.9429080000000001E-2</v>
      </c>
      <c r="W5298">
        <v>6.3854460000000002E-2</v>
      </c>
      <c r="X5298">
        <v>0.99777009999999999</v>
      </c>
      <c r="Y5298">
        <v>1.6218299999999901E-2</v>
      </c>
      <c r="Z5298">
        <v>-4.8405289999999997E-3</v>
      </c>
      <c r="AA5298">
        <v>0.99985679999999999</v>
      </c>
      <c r="AB5298">
        <v>26</v>
      </c>
      <c r="AC5298">
        <v>144.44390000000001</v>
      </c>
      <c r="AD5298">
        <v>16.412959999999899</v>
      </c>
      <c r="AE5298">
        <v>-9.7001709999999992</v>
      </c>
      <c r="AF5298">
        <v>2.29071534151214</v>
      </c>
      <c r="AG5298">
        <v>16.412959999999899</v>
      </c>
      <c r="AH5298">
        <v>142.91370856382599</v>
      </c>
      <c r="AI5298">
        <v>83.449388894701997</v>
      </c>
      <c r="AJ5298">
        <v>89.081704028475798</v>
      </c>
      <c r="AK5298">
        <v>143.87133393488699</v>
      </c>
      <c r="AL5298">
        <v>86.338918212649403</v>
      </c>
      <c r="AM5298">
        <v>91.115551182427396</v>
      </c>
      <c r="AN5298">
        <v>1.00000002683277</v>
      </c>
    </row>
    <row r="5299" spans="1:40" x14ac:dyDescent="0.25">
      <c r="A5299" t="str">
        <f>"20190312151133141"</f>
        <v>20190312151133141</v>
      </c>
      <c r="B5299" t="str">
        <f>"1552374693136173"</f>
        <v>1552374693136173</v>
      </c>
      <c r="C5299" t="s">
        <v>40</v>
      </c>
      <c r="D5299">
        <v>5.3238300000000001</v>
      </c>
      <c r="E5299">
        <v>0.5098007</v>
      </c>
      <c r="F5299" t="s">
        <v>89</v>
      </c>
      <c r="G5299">
        <v>-241.07</v>
      </c>
      <c r="H5299">
        <v>12.06401</v>
      </c>
      <c r="I5299">
        <v>7.0111410000000003</v>
      </c>
      <c r="J5299">
        <v>-385.3664</v>
      </c>
      <c r="K5299">
        <v>1.1101859999999999</v>
      </c>
      <c r="L5299">
        <v>16.017910000000001</v>
      </c>
      <c r="M5299">
        <v>0.99862779999999995</v>
      </c>
      <c r="N5299">
        <v>0</v>
      </c>
      <c r="O5299">
        <v>-5.0860000000000002E-2</v>
      </c>
      <c r="P5299">
        <v>0.99816289999999996</v>
      </c>
      <c r="Q5299">
        <v>5.1599979999999997E-2</v>
      </c>
      <c r="R5299">
        <v>-3.175331E-2</v>
      </c>
      <c r="S5299">
        <v>2.9879150000000001</v>
      </c>
      <c r="T5299">
        <v>0.2265856</v>
      </c>
      <c r="U5299">
        <v>-0.1864624</v>
      </c>
      <c r="V5299">
        <v>-1.9085330000000001E-2</v>
      </c>
      <c r="W5299">
        <v>6.4050019999999999E-2</v>
      </c>
      <c r="X5299">
        <v>0.99776419999999999</v>
      </c>
      <c r="Y5299">
        <v>1.15508E-2</v>
      </c>
      <c r="Z5299">
        <v>-3.408272E-3</v>
      </c>
      <c r="AA5299">
        <v>0.99992749999999997</v>
      </c>
      <c r="AB5299">
        <v>26</v>
      </c>
      <c r="AC5299">
        <v>144.29640000000001</v>
      </c>
      <c r="AD5299">
        <v>10.953823999999999</v>
      </c>
      <c r="AE5299">
        <v>-9.0067690000000002</v>
      </c>
      <c r="AF5299">
        <v>1.64617449298055</v>
      </c>
      <c r="AG5299">
        <v>10.953823999999999</v>
      </c>
      <c r="AH5299">
        <v>143.74262097949401</v>
      </c>
      <c r="AI5299">
        <v>85.642514952579305</v>
      </c>
      <c r="AJ5299">
        <v>89.343863865505597</v>
      </c>
      <c r="AK5299">
        <v>144.16878038167201</v>
      </c>
      <c r="AL5299">
        <v>86.327690466685397</v>
      </c>
      <c r="AM5299">
        <v>91.095825569866193</v>
      </c>
      <c r="AN5299">
        <v>1.0000000268424201</v>
      </c>
    </row>
    <row r="5300" spans="1:40" x14ac:dyDescent="0.25">
      <c r="A5300" t="str">
        <f>"20190312151133153"</f>
        <v>20190312151133153</v>
      </c>
      <c r="B5300" t="str">
        <f>"1552374693146910"</f>
        <v>1552374693146910</v>
      </c>
      <c r="C5300" t="s">
        <v>40</v>
      </c>
      <c r="D5300">
        <v>5.2884330000000004</v>
      </c>
      <c r="E5300">
        <v>0.50929650000000004</v>
      </c>
      <c r="F5300" t="s">
        <v>89</v>
      </c>
      <c r="G5300">
        <v>-241.07</v>
      </c>
      <c r="H5300">
        <v>8.3478879999999993</v>
      </c>
      <c r="I5300">
        <v>7.661905</v>
      </c>
      <c r="J5300">
        <v>-385.21850000000001</v>
      </c>
      <c r="K5300">
        <v>1.1101289999999999</v>
      </c>
      <c r="L5300">
        <v>16.010560000000002</v>
      </c>
      <c r="M5300">
        <v>0.99863270000000004</v>
      </c>
      <c r="N5300">
        <v>0</v>
      </c>
      <c r="O5300">
        <v>-5.0769120000000001E-2</v>
      </c>
      <c r="P5300">
        <v>0.99815949999999998</v>
      </c>
      <c r="Q5300">
        <v>5.1405569999999998E-2</v>
      </c>
      <c r="R5300">
        <v>-3.2173729999999998E-2</v>
      </c>
      <c r="S5300">
        <v>2.9922789999999999</v>
      </c>
      <c r="T5300">
        <v>0.15008829999999901</v>
      </c>
      <c r="U5300">
        <v>-0.17327879999999901</v>
      </c>
      <c r="V5300">
        <v>-1.8566039999999999E-2</v>
      </c>
      <c r="W5300">
        <v>6.3837309999999994E-2</v>
      </c>
      <c r="X5300">
        <v>0.9977876</v>
      </c>
      <c r="Y5300">
        <v>7.1037080000000002E-3</v>
      </c>
      <c r="Z5300">
        <v>-2.363328E-3</v>
      </c>
      <c r="AA5300">
        <v>0.99997199999999997</v>
      </c>
      <c r="AB5300">
        <v>26</v>
      </c>
      <c r="AC5300">
        <v>144.14850000000001</v>
      </c>
      <c r="AD5300">
        <v>7.2377589999999996</v>
      </c>
      <c r="AE5300">
        <v>-8.3486550000000008</v>
      </c>
      <c r="AF5300">
        <v>1.01647243390022</v>
      </c>
      <c r="AG5300">
        <v>7.2377589999999996</v>
      </c>
      <c r="AH5300">
        <v>144.02458166940499</v>
      </c>
      <c r="AI5300">
        <v>87.123170412960903</v>
      </c>
      <c r="AJ5300">
        <v>89.595634211650605</v>
      </c>
      <c r="AK5300">
        <v>144.20991122872999</v>
      </c>
      <c r="AL5300">
        <v>86.3399027360649</v>
      </c>
      <c r="AM5300">
        <v>91.065991391734499</v>
      </c>
      <c r="AN5300">
        <v>0.99999999735153799</v>
      </c>
    </row>
    <row r="5301" spans="1:40" x14ac:dyDescent="0.25">
      <c r="A5301" t="str">
        <f>"20190312151133165"</f>
        <v>20190312151133165</v>
      </c>
      <c r="B5301" t="str">
        <f>"1552374693156669"</f>
        <v>1552374693156669</v>
      </c>
      <c r="C5301" t="s">
        <v>40</v>
      </c>
      <c r="D5301">
        <v>5.2841680000000002</v>
      </c>
      <c r="E5301">
        <v>0.50872989999999996</v>
      </c>
      <c r="F5301" t="s">
        <v>89</v>
      </c>
      <c r="G5301">
        <v>-241.07</v>
      </c>
      <c r="H5301">
        <v>6.8706509999999996</v>
      </c>
      <c r="I5301">
        <v>7.8307219999999997</v>
      </c>
      <c r="J5301">
        <v>-385.0838</v>
      </c>
      <c r="K5301">
        <v>1.110079</v>
      </c>
      <c r="L5301">
        <v>16.003810000000001</v>
      </c>
      <c r="M5301">
        <v>0.99863559999999996</v>
      </c>
      <c r="N5301">
        <v>0</v>
      </c>
      <c r="O5301">
        <v>-5.0717949999999998E-2</v>
      </c>
      <c r="P5301">
        <v>0.99812290000000004</v>
      </c>
      <c r="Q5301">
        <v>5.1580349999999997E-2</v>
      </c>
      <c r="R5301">
        <v>-3.301987E-2</v>
      </c>
      <c r="S5301">
        <v>2.9938959999999999</v>
      </c>
      <c r="T5301">
        <v>0.11964320000000001</v>
      </c>
      <c r="U5301">
        <v>-0.1698914</v>
      </c>
      <c r="V5301">
        <v>-1.7660439999999999E-2</v>
      </c>
      <c r="W5301">
        <v>6.3994350000000005E-2</v>
      </c>
      <c r="X5301">
        <v>0.99779399999999996</v>
      </c>
      <c r="Y5301">
        <v>5.9769799999999998E-3</v>
      </c>
      <c r="Z5301">
        <v>-1.903868E-3</v>
      </c>
      <c r="AA5301">
        <v>0.99998030000000004</v>
      </c>
      <c r="AB5301">
        <v>26</v>
      </c>
      <c r="AC5301">
        <v>144.0138</v>
      </c>
      <c r="AD5301">
        <v>5.7605719999999998</v>
      </c>
      <c r="AE5301">
        <v>-8.1730879999999999</v>
      </c>
      <c r="AF5301">
        <v>0.85655216959131097</v>
      </c>
      <c r="AG5301">
        <v>5.7605719999999998</v>
      </c>
      <c r="AH5301">
        <v>144.01329915538699</v>
      </c>
      <c r="AI5301">
        <v>87.709414527113907</v>
      </c>
      <c r="AJ5301">
        <v>89.659224211618394</v>
      </c>
      <c r="AK5301">
        <v>144.131010559857</v>
      </c>
      <c r="AL5301">
        <v>86.330886644343494</v>
      </c>
      <c r="AM5301">
        <v>91.013999916719001</v>
      </c>
      <c r="AN5301">
        <v>1.0000000172044501</v>
      </c>
    </row>
    <row r="5302" spans="1:40" x14ac:dyDescent="0.25">
      <c r="A5302" t="str">
        <f>"20190312151133185"</f>
        <v>20190312151133185</v>
      </c>
      <c r="B5302" t="str">
        <f>"1552374693176189"</f>
        <v>1552374693176189</v>
      </c>
      <c r="C5302" t="s">
        <v>40</v>
      </c>
      <c r="D5302">
        <v>5.2489749999999997</v>
      </c>
      <c r="E5302">
        <v>0.50794269999999997</v>
      </c>
      <c r="F5302" t="s">
        <v>89</v>
      </c>
      <c r="G5302">
        <v>-241.07</v>
      </c>
      <c r="H5302">
        <v>5.529045</v>
      </c>
      <c r="I5302">
        <v>7.9588700000000001</v>
      </c>
      <c r="J5302">
        <v>-384.85289999999998</v>
      </c>
      <c r="K5302">
        <v>1.1100019999999999</v>
      </c>
      <c r="L5302">
        <v>15.99216</v>
      </c>
      <c r="M5302">
        <v>0.99863760000000001</v>
      </c>
      <c r="N5302">
        <v>0</v>
      </c>
      <c r="O5302">
        <v>-5.0688009999999999E-2</v>
      </c>
      <c r="P5302">
        <v>0.99811039999999995</v>
      </c>
      <c r="Q5302">
        <v>5.1062940000000001E-2</v>
      </c>
      <c r="R5302">
        <v>-3.4180729999999999E-2</v>
      </c>
      <c r="S5302">
        <v>2.9953609999999999</v>
      </c>
      <c r="T5302">
        <v>9.1910480000000003E-2</v>
      </c>
      <c r="U5302">
        <v>-0.1673279</v>
      </c>
      <c r="V5302">
        <v>-1.646013E-2</v>
      </c>
      <c r="W5302">
        <v>6.344139E-2</v>
      </c>
      <c r="X5302">
        <v>0.99784980000000001</v>
      </c>
      <c r="Y5302">
        <v>5.1120319999999999E-3</v>
      </c>
      <c r="Z5302">
        <v>-1.474469E-3</v>
      </c>
      <c r="AA5302">
        <v>0.99998589999999998</v>
      </c>
      <c r="AB5302">
        <v>26</v>
      </c>
      <c r="AC5302">
        <v>143.78289999999899</v>
      </c>
      <c r="AD5302">
        <v>4.4190430000000003</v>
      </c>
      <c r="AE5302">
        <v>-8.0332899999999992</v>
      </c>
      <c r="AF5302">
        <v>0.733641964916668</v>
      </c>
      <c r="AG5302">
        <v>4.4190430000000003</v>
      </c>
      <c r="AH5302">
        <v>143.869792048806</v>
      </c>
      <c r="AI5302">
        <v>88.240703336354599</v>
      </c>
      <c r="AJ5302">
        <v>89.707831482036894</v>
      </c>
      <c r="AK5302">
        <v>143.93951242009601</v>
      </c>
      <c r="AL5302">
        <v>86.362633310694704</v>
      </c>
      <c r="AM5302">
        <v>90.945042483238595</v>
      </c>
      <c r="AN5302">
        <v>0.99999998460239403</v>
      </c>
    </row>
    <row r="5303" spans="1:40" x14ac:dyDescent="0.25">
      <c r="A5303" t="str">
        <f>"20190312151133207"</f>
        <v>20190312151133207</v>
      </c>
      <c r="B5303" t="str">
        <f>"1552374693196686"</f>
        <v>1552374693196686</v>
      </c>
      <c r="C5303" t="s">
        <v>40</v>
      </c>
      <c r="D5303">
        <v>5.3062469999999999</v>
      </c>
      <c r="E5303">
        <v>0.50701839999999998</v>
      </c>
      <c r="F5303" t="s">
        <v>89</v>
      </c>
      <c r="G5303">
        <v>-241.07</v>
      </c>
      <c r="H5303">
        <v>3.592587</v>
      </c>
      <c r="I5303">
        <v>8.1413360000000008</v>
      </c>
      <c r="J5303">
        <v>-384.5958</v>
      </c>
      <c r="K5303">
        <v>1.1099319999999999</v>
      </c>
      <c r="L5303">
        <v>15.97913</v>
      </c>
      <c r="M5303">
        <v>0.99863570000000002</v>
      </c>
      <c r="N5303">
        <v>0</v>
      </c>
      <c r="O5303">
        <v>-5.0739769999999997E-2</v>
      </c>
      <c r="P5303">
        <v>0.99806779999999995</v>
      </c>
      <c r="Q5303">
        <v>5.094713E-2</v>
      </c>
      <c r="R5303">
        <v>-3.5571609999999997E-2</v>
      </c>
      <c r="S5303">
        <v>2.9974370000000001</v>
      </c>
      <c r="T5303">
        <v>5.175424E-2</v>
      </c>
      <c r="U5303">
        <v>-0.1636658</v>
      </c>
      <c r="V5303">
        <v>-1.511087E-2</v>
      </c>
      <c r="W5303">
        <v>6.3273880000000005E-2</v>
      </c>
      <c r="X5303">
        <v>0.99788180000000004</v>
      </c>
      <c r="Y5303">
        <v>3.7892780000000001E-3</v>
      </c>
      <c r="Z5303">
        <v>-8.4215959999999997E-4</v>
      </c>
      <c r="AA5303">
        <v>0.99999249999999995</v>
      </c>
      <c r="AB5303">
        <v>26</v>
      </c>
      <c r="AC5303">
        <v>143.5258</v>
      </c>
      <c r="AD5303">
        <v>2.4826549999999998</v>
      </c>
      <c r="AE5303">
        <v>-7.8377939999999899</v>
      </c>
      <c r="AF5303">
        <v>0.54451383362218297</v>
      </c>
      <c r="AG5303">
        <v>2.4826549999999998</v>
      </c>
      <c r="AH5303">
        <v>143.69574853605999</v>
      </c>
      <c r="AI5303">
        <v>89.010197009593398</v>
      </c>
      <c r="AJ5303">
        <v>89.782887137966895</v>
      </c>
      <c r="AK5303">
        <v>143.71822507428399</v>
      </c>
      <c r="AL5303">
        <v>86.372250320774995</v>
      </c>
      <c r="AM5303">
        <v>90.867560573995505</v>
      </c>
      <c r="AN5303">
        <v>1.00000000452682</v>
      </c>
    </row>
    <row r="5304" spans="1:40" x14ac:dyDescent="0.25">
      <c r="A5304" t="str">
        <f>"20190312151133221"</f>
        <v>20190312151133221</v>
      </c>
      <c r="B5304" t="str">
        <f>"1552374693216206"</f>
        <v>1552374693216206</v>
      </c>
      <c r="C5304" t="s">
        <v>40</v>
      </c>
      <c r="D5304">
        <v>5.3318879999999904</v>
      </c>
      <c r="E5304">
        <v>0.50644369999999905</v>
      </c>
      <c r="F5304" t="s">
        <v>89</v>
      </c>
      <c r="G5304">
        <v>-241.07</v>
      </c>
      <c r="H5304">
        <v>2.1831499999999999</v>
      </c>
      <c r="I5304">
        <v>8.327356</v>
      </c>
      <c r="J5304">
        <v>-384.44560000000001</v>
      </c>
      <c r="K5304">
        <v>1.1098950000000001</v>
      </c>
      <c r="L5304">
        <v>15.97147</v>
      </c>
      <c r="M5304">
        <v>0.99863290000000005</v>
      </c>
      <c r="N5304">
        <v>0</v>
      </c>
      <c r="O5304">
        <v>-5.080022E-2</v>
      </c>
      <c r="P5304">
        <v>0.99803520000000001</v>
      </c>
      <c r="Q5304">
        <v>5.0873330000000001E-2</v>
      </c>
      <c r="R5304">
        <v>-3.6572630000000002E-2</v>
      </c>
      <c r="S5304">
        <v>2.9989319999999999</v>
      </c>
      <c r="T5304">
        <v>2.242446E-2</v>
      </c>
      <c r="U5304">
        <v>-0.15988160000000001</v>
      </c>
      <c r="V5304">
        <v>-1.416501E-2</v>
      </c>
      <c r="W5304">
        <v>6.3166319999999998E-2</v>
      </c>
      <c r="X5304">
        <v>0.99790250000000003</v>
      </c>
      <c r="Y5304">
        <v>2.4378070000000002E-3</v>
      </c>
      <c r="Z5304">
        <v>-3.702531E-4</v>
      </c>
      <c r="AA5304">
        <v>0.99999700000000002</v>
      </c>
      <c r="AB5304">
        <v>26</v>
      </c>
      <c r="AC5304">
        <v>143.37559999999999</v>
      </c>
      <c r="AD5304">
        <v>1.0732549999999901</v>
      </c>
      <c r="AE5304">
        <v>-7.6441140000000001</v>
      </c>
      <c r="AF5304">
        <v>0.35015870031853602</v>
      </c>
      <c r="AG5304">
        <v>1.0732549999999901</v>
      </c>
      <c r="AH5304">
        <v>143.57078039618801</v>
      </c>
      <c r="AI5304">
        <v>89.5716979919262</v>
      </c>
      <c r="AJ5304">
        <v>89.860260034438099</v>
      </c>
      <c r="AK5304">
        <v>143.575218860989</v>
      </c>
      <c r="AL5304">
        <v>86.378425447171594</v>
      </c>
      <c r="AM5304">
        <v>90.813246571078807</v>
      </c>
      <c r="AN5304">
        <v>1.0000000154984401</v>
      </c>
    </row>
    <row r="5305" spans="1:40" x14ac:dyDescent="0.25">
      <c r="A5305" t="str">
        <f>"20190312151133239"</f>
        <v>20190312151133239</v>
      </c>
      <c r="B5305" t="str">
        <f>"1552374693237247"</f>
        <v>1552374693237247</v>
      </c>
      <c r="C5305" t="s">
        <v>40</v>
      </c>
      <c r="D5305">
        <v>5.2924559999999996</v>
      </c>
      <c r="E5305">
        <v>0.50587529999999903</v>
      </c>
      <c r="F5305" t="s">
        <v>89</v>
      </c>
      <c r="G5305">
        <v>-241.07</v>
      </c>
      <c r="H5305">
        <v>1.0802670000000001</v>
      </c>
      <c r="I5305">
        <v>8.427149</v>
      </c>
      <c r="J5305">
        <v>-384.22809999999998</v>
      </c>
      <c r="K5305">
        <v>1.1098520000000001</v>
      </c>
      <c r="L5305">
        <v>15.960330000000001</v>
      </c>
      <c r="M5305">
        <v>0.99862720000000005</v>
      </c>
      <c r="N5305">
        <v>0</v>
      </c>
      <c r="O5305">
        <v>-5.092671E-2</v>
      </c>
      <c r="P5305">
        <v>0.99796960000000001</v>
      </c>
      <c r="Q5305">
        <v>5.1084810000000001E-2</v>
      </c>
      <c r="R5305">
        <v>-3.80466E-2</v>
      </c>
      <c r="S5305">
        <v>3.0001829999999998</v>
      </c>
      <c r="T5305">
        <v>-6.2012669999999897E-4</v>
      </c>
      <c r="U5305">
        <v>-0.15786739999999999</v>
      </c>
      <c r="V5305">
        <v>-1.2810159999999999E-2</v>
      </c>
      <c r="W5305">
        <v>6.3327649999999999E-2</v>
      </c>
      <c r="X5305">
        <v>0.99791059999999998</v>
      </c>
      <c r="Y5305">
        <v>1.618204E-3</v>
      </c>
      <c r="Z5305" s="1">
        <v>1.03458199999999E-5</v>
      </c>
      <c r="AA5305">
        <v>0.99999870000000002</v>
      </c>
      <c r="AB5305">
        <v>26</v>
      </c>
      <c r="AC5305">
        <v>143.15809999999999</v>
      </c>
      <c r="AD5305">
        <v>-2.95849999999999E-2</v>
      </c>
      <c r="AE5305">
        <v>-7.5331809999999901</v>
      </c>
      <c r="AF5305">
        <v>0.23228584003226399</v>
      </c>
      <c r="AG5305">
        <v>-2.95849999999999E-2</v>
      </c>
      <c r="AH5305">
        <v>143.355971986984</v>
      </c>
      <c r="AI5305">
        <v>90.011824365347906</v>
      </c>
      <c r="AJ5305">
        <v>89.907161268258207</v>
      </c>
      <c r="AK5305">
        <v>143.356163231012</v>
      </c>
      <c r="AL5305">
        <v>86.369163423005304</v>
      </c>
      <c r="AM5305">
        <v>90.7354644699343</v>
      </c>
      <c r="AN5305">
        <v>1.0000000285230499</v>
      </c>
    </row>
    <row r="5306" spans="1:40" x14ac:dyDescent="0.25">
      <c r="A5306" t="str">
        <f>"20190312151133251"</f>
        <v>20190312151133251</v>
      </c>
      <c r="B5306" t="str">
        <f>"1552374693246996"</f>
        <v>1552374693246996</v>
      </c>
      <c r="C5306" t="s">
        <v>40</v>
      </c>
      <c r="D5306">
        <v>5.2943939999999996</v>
      </c>
      <c r="E5306">
        <v>0.50570150000000003</v>
      </c>
      <c r="F5306" t="s">
        <v>43</v>
      </c>
      <c r="G5306">
        <v>-231.4931</v>
      </c>
      <c r="H5306">
        <v>-0.05</v>
      </c>
      <c r="I5306">
        <v>7.9528350000000003</v>
      </c>
      <c r="J5306">
        <v>-384.08159999999998</v>
      </c>
      <c r="K5306">
        <v>1.1098319999999999</v>
      </c>
      <c r="L5306">
        <v>15.95276</v>
      </c>
      <c r="M5306">
        <v>0.99862229999999996</v>
      </c>
      <c r="N5306">
        <v>0</v>
      </c>
      <c r="O5306">
        <v>-5.1031590000000002E-2</v>
      </c>
      <c r="P5306">
        <v>0.99792519999999996</v>
      </c>
      <c r="Q5306">
        <v>5.1127659999999998E-2</v>
      </c>
      <c r="R5306">
        <v>-3.9133559999999998E-2</v>
      </c>
      <c r="S5306">
        <v>3.0012819999999998</v>
      </c>
      <c r="T5306">
        <v>-2.2791390000000002E-2</v>
      </c>
      <c r="U5306">
        <v>-0.15734860000000001</v>
      </c>
      <c r="V5306">
        <v>-1.182421E-2</v>
      </c>
      <c r="W5306">
        <v>6.3337160000000003E-2</v>
      </c>
      <c r="X5306">
        <v>0.99792210000000003</v>
      </c>
      <c r="Y5306">
        <v>1.323035E-3</v>
      </c>
      <c r="Z5306">
        <v>3.8200989999999998E-4</v>
      </c>
      <c r="AA5306">
        <v>0.99999899999999997</v>
      </c>
      <c r="AB5306">
        <v>26</v>
      </c>
      <c r="AC5306">
        <v>152.58849999999899</v>
      </c>
      <c r="AD5306">
        <v>-1.159832</v>
      </c>
      <c r="AE5306">
        <v>-7.9999250000000002</v>
      </c>
      <c r="AF5306">
        <v>0.20207317370905301</v>
      </c>
      <c r="AG5306">
        <v>-1.159832</v>
      </c>
      <c r="AH5306">
        <v>152.789129556577</v>
      </c>
      <c r="AI5306">
        <v>90.434927171988505</v>
      </c>
      <c r="AJ5306">
        <v>89.924222794583898</v>
      </c>
      <c r="AK5306">
        <v>152.79366529569299</v>
      </c>
      <c r="AL5306">
        <v>86.368617204835502</v>
      </c>
      <c r="AM5306">
        <v>90.678856222329003</v>
      </c>
      <c r="AN5306">
        <v>0.99999996272369895</v>
      </c>
    </row>
    <row r="5307" spans="1:40" x14ac:dyDescent="0.25">
      <c r="A5307" t="str">
        <f>"20190312151133263"</f>
        <v>20190312151133263</v>
      </c>
      <c r="B5307" t="str">
        <f>"1552374693256756"</f>
        <v>1552374693256756</v>
      </c>
      <c r="C5307" t="s">
        <v>40</v>
      </c>
      <c r="D5307">
        <v>5.2943369999999996</v>
      </c>
      <c r="E5307">
        <v>0.50550249999999997</v>
      </c>
      <c r="F5307" t="s">
        <v>43</v>
      </c>
      <c r="G5307">
        <v>-270.53480000000002</v>
      </c>
      <c r="H5307">
        <v>-0.05</v>
      </c>
      <c r="I5307">
        <v>9.9334559999999996</v>
      </c>
      <c r="J5307">
        <v>-383.95269999999999</v>
      </c>
      <c r="K5307">
        <v>1.1098170000000001</v>
      </c>
      <c r="L5307">
        <v>15.946109999999999</v>
      </c>
      <c r="M5307">
        <v>0.99861770000000005</v>
      </c>
      <c r="N5307">
        <v>0</v>
      </c>
      <c r="O5307">
        <v>-5.1128550000000002E-2</v>
      </c>
      <c r="P5307">
        <v>0.99788239999999995</v>
      </c>
      <c r="Q5307">
        <v>5.1247880000000003E-2</v>
      </c>
      <c r="R5307">
        <v>-4.0060329999999998E-2</v>
      </c>
      <c r="S5307">
        <v>3.0015869999999998</v>
      </c>
      <c r="T5307">
        <v>-3.0659909999999999E-2</v>
      </c>
      <c r="U5307">
        <v>-0.1591187</v>
      </c>
      <c r="V5307">
        <v>-1.099141E-2</v>
      </c>
      <c r="W5307">
        <v>6.34271E-2</v>
      </c>
      <c r="X5307">
        <v>0.99792590000000003</v>
      </c>
      <c r="Y5307">
        <v>1.809843E-3</v>
      </c>
      <c r="Z5307">
        <v>5.1233089999999995E-4</v>
      </c>
      <c r="AA5307">
        <v>0.99999819999999995</v>
      </c>
      <c r="AB5307">
        <v>26</v>
      </c>
      <c r="AC5307">
        <v>113.41789999999899</v>
      </c>
      <c r="AD5307">
        <v>-1.1598170000000001</v>
      </c>
      <c r="AE5307">
        <v>-6.0126540000000004</v>
      </c>
      <c r="AF5307">
        <v>0.20544377644273101</v>
      </c>
      <c r="AG5307">
        <v>-1.1598170000000001</v>
      </c>
      <c r="AH5307">
        <v>113.565135104061</v>
      </c>
      <c r="AI5307">
        <v>90.585128526507503</v>
      </c>
      <c r="AJ5307">
        <v>89.896349804313701</v>
      </c>
      <c r="AK5307">
        <v>113.571243252076</v>
      </c>
      <c r="AL5307">
        <v>86.363453611886598</v>
      </c>
      <c r="AM5307">
        <v>90.631044789498304</v>
      </c>
      <c r="AN5307">
        <v>0.999999954999503</v>
      </c>
    </row>
    <row r="5308" spans="1:40" x14ac:dyDescent="0.25">
      <c r="A5308" t="str">
        <f>"20190312151133273"</f>
        <v>20190312151133273</v>
      </c>
      <c r="B5308" t="str">
        <f>"1552374693266515"</f>
        <v>1552374693266515</v>
      </c>
      <c r="C5308" t="s">
        <v>40</v>
      </c>
      <c r="D5308">
        <v>5.3082799999999999</v>
      </c>
      <c r="E5308">
        <v>0.50539959999999995</v>
      </c>
      <c r="F5308" t="s">
        <v>43</v>
      </c>
      <c r="G5308">
        <v>-292.34219999999999</v>
      </c>
      <c r="H5308">
        <v>-0.05</v>
      </c>
      <c r="I5308">
        <v>11.05475</v>
      </c>
      <c r="J5308">
        <v>-383.82310000000001</v>
      </c>
      <c r="K5308">
        <v>1.109804</v>
      </c>
      <c r="L5308">
        <v>15.939360000000001</v>
      </c>
      <c r="M5308">
        <v>0.99861279999999997</v>
      </c>
      <c r="N5308">
        <v>0</v>
      </c>
      <c r="O5308">
        <v>-5.1231069999999997E-2</v>
      </c>
      <c r="P5308">
        <v>0.99782599999999999</v>
      </c>
      <c r="Q5308">
        <v>5.1587899999999999E-2</v>
      </c>
      <c r="R5308">
        <v>-4.1011690000000003E-2</v>
      </c>
      <c r="S5308">
        <v>3.001862</v>
      </c>
      <c r="T5308">
        <v>-3.800452E-2</v>
      </c>
      <c r="U5308">
        <v>-0.16027829999999901</v>
      </c>
      <c r="V5308">
        <v>-1.013849E-2</v>
      </c>
      <c r="W5308">
        <v>6.3736429999999997E-2</v>
      </c>
      <c r="X5308">
        <v>0.99791529999999995</v>
      </c>
      <c r="Y5308">
        <v>2.0889509999999999E-3</v>
      </c>
      <c r="Z5308">
        <v>6.3451429999999997E-4</v>
      </c>
      <c r="AA5308">
        <v>0.99999760000000004</v>
      </c>
      <c r="AB5308">
        <v>26</v>
      </c>
      <c r="AC5308">
        <v>91.480900000000005</v>
      </c>
      <c r="AD5308">
        <v>-1.1598040000000001</v>
      </c>
      <c r="AE5308">
        <v>-4.8846099999999897</v>
      </c>
      <c r="AF5308">
        <v>0.191153174022693</v>
      </c>
      <c r="AG5308">
        <v>-1.1598040000000001</v>
      </c>
      <c r="AH5308">
        <v>91.596333420829595</v>
      </c>
      <c r="AI5308">
        <v>90.725445834408703</v>
      </c>
      <c r="AJ5308">
        <v>89.880429119776807</v>
      </c>
      <c r="AK5308">
        <v>91.603875360129507</v>
      </c>
      <c r="AL5308">
        <v>86.345694662174907</v>
      </c>
      <c r="AM5308">
        <v>90.582086177561095</v>
      </c>
      <c r="AN5308">
        <v>1.0000000337313499</v>
      </c>
    </row>
    <row r="5309" spans="1:40" x14ac:dyDescent="0.25">
      <c r="A5309" t="str">
        <f>"20190312151133286"</f>
        <v>20190312151133286</v>
      </c>
      <c r="B5309" t="str">
        <f>"1552374693276276"</f>
        <v>1552374693276276</v>
      </c>
      <c r="C5309" t="s">
        <v>40</v>
      </c>
      <c r="D5309">
        <v>5.3020940000000003</v>
      </c>
      <c r="E5309">
        <v>0.50525329999999902</v>
      </c>
      <c r="F5309" t="s">
        <v>43</v>
      </c>
      <c r="G5309">
        <v>-305.53919999999999</v>
      </c>
      <c r="H5309">
        <v>-0.05</v>
      </c>
      <c r="I5309">
        <v>11.70984</v>
      </c>
      <c r="J5309">
        <v>-383.6936</v>
      </c>
      <c r="K5309">
        <v>1.1097939999999999</v>
      </c>
      <c r="L5309">
        <v>15.93262</v>
      </c>
      <c r="M5309">
        <v>0.99860780000000005</v>
      </c>
      <c r="N5309">
        <v>0</v>
      </c>
      <c r="O5309">
        <v>-5.13365E-2</v>
      </c>
      <c r="P5309">
        <v>0.99776489999999995</v>
      </c>
      <c r="Q5309">
        <v>5.2023420000000001E-2</v>
      </c>
      <c r="R5309">
        <v>-4.1941060000000002E-2</v>
      </c>
      <c r="S5309">
        <v>3.002167</v>
      </c>
      <c r="T5309">
        <v>-4.4478179999999999E-2</v>
      </c>
      <c r="U5309">
        <v>-0.16220090000000001</v>
      </c>
      <c r="V5309">
        <v>-9.3117019999999998E-3</v>
      </c>
      <c r="W5309">
        <v>6.4140429999999998E-2</v>
      </c>
      <c r="X5309">
        <v>0.99789740000000005</v>
      </c>
      <c r="Y5309">
        <v>2.617936E-3</v>
      </c>
      <c r="Z5309">
        <v>7.4013729999999997E-4</v>
      </c>
      <c r="AA5309">
        <v>0.99999629999999995</v>
      </c>
      <c r="AB5309">
        <v>26</v>
      </c>
      <c r="AC5309">
        <v>78.154399999999995</v>
      </c>
      <c r="AD5309">
        <v>-1.159794</v>
      </c>
      <c r="AE5309">
        <v>-4.2227800000000002</v>
      </c>
      <c r="AF5309">
        <v>0.20469779471150701</v>
      </c>
      <c r="AG5309">
        <v>-1.159794</v>
      </c>
      <c r="AH5309">
        <v>78.250947921892305</v>
      </c>
      <c r="AI5309">
        <v>90.849142540514706</v>
      </c>
      <c r="AJ5309">
        <v>89.850119477503497</v>
      </c>
      <c r="AK5309">
        <v>78.259810081447895</v>
      </c>
      <c r="AL5309">
        <v>86.322499442298096</v>
      </c>
      <c r="AM5309">
        <v>90.534629853021997</v>
      </c>
      <c r="AN5309">
        <v>0.99999996174074002</v>
      </c>
    </row>
    <row r="5310" spans="1:40" x14ac:dyDescent="0.25">
      <c r="A5310" t="str">
        <f>"20190312151133296"</f>
        <v>20190312151133296</v>
      </c>
      <c r="B5310" t="str">
        <f>"1552374693287012"</f>
        <v>1552374693287012</v>
      </c>
      <c r="C5310" t="s">
        <v>40</v>
      </c>
      <c r="D5310">
        <v>5.4416339999999996</v>
      </c>
      <c r="E5310">
        <v>0.50517000000000001</v>
      </c>
      <c r="F5310" t="s">
        <v>43</v>
      </c>
      <c r="G5310">
        <v>-313.86509999999998</v>
      </c>
      <c r="H5310">
        <v>-0.05</v>
      </c>
      <c r="I5310">
        <v>12.12332</v>
      </c>
      <c r="J5310">
        <v>-383.55220000000003</v>
      </c>
      <c r="K5310">
        <v>1.1097840000000001</v>
      </c>
      <c r="L5310">
        <v>15.925230000000001</v>
      </c>
      <c r="M5310">
        <v>0.9986022</v>
      </c>
      <c r="N5310">
        <v>0</v>
      </c>
      <c r="O5310">
        <v>-5.1452860000000003E-2</v>
      </c>
      <c r="P5310">
        <v>0.99771690000000002</v>
      </c>
      <c r="Q5310">
        <v>5.2350479999999998E-2</v>
      </c>
      <c r="R5310">
        <v>-4.2667690000000001E-2</v>
      </c>
      <c r="S5310">
        <v>3.0024109999999999</v>
      </c>
      <c r="T5310">
        <v>-4.9867509999999997E-2</v>
      </c>
      <c r="U5310">
        <v>-0.16378779999999901</v>
      </c>
      <c r="V5310">
        <v>-8.6981860000000001E-3</v>
      </c>
      <c r="W5310">
        <v>6.4433089999999998E-2</v>
      </c>
      <c r="X5310">
        <v>0.99788410000000005</v>
      </c>
      <c r="Y5310">
        <v>3.0253749999999999E-3</v>
      </c>
      <c r="Z5310">
        <v>8.2827140000000003E-4</v>
      </c>
      <c r="AA5310">
        <v>0.99999510000000003</v>
      </c>
      <c r="AB5310">
        <v>26</v>
      </c>
      <c r="AC5310">
        <v>69.687100000000001</v>
      </c>
      <c r="AD5310">
        <v>-1.1597839999999999</v>
      </c>
      <c r="AE5310">
        <v>-3.8019099999999999</v>
      </c>
      <c r="AF5310">
        <v>0.21095226443637599</v>
      </c>
      <c r="AG5310">
        <v>-1.1597839999999999</v>
      </c>
      <c r="AH5310">
        <v>69.771146194676902</v>
      </c>
      <c r="AI5310">
        <v>90.952317812236103</v>
      </c>
      <c r="AJ5310">
        <v>89.826767392248797</v>
      </c>
      <c r="AK5310">
        <v>69.781103753835197</v>
      </c>
      <c r="AL5310">
        <v>86.305696566204304</v>
      </c>
      <c r="AM5310">
        <v>90.4994134347087</v>
      </c>
      <c r="AN5310">
        <v>0.99999997927972395</v>
      </c>
    </row>
    <row r="5311" spans="1:40" x14ac:dyDescent="0.25">
      <c r="A5311" t="str">
        <f>"20190312151133308"</f>
        <v>20190312151133308</v>
      </c>
      <c r="B5311" t="str">
        <f>"1552374693296772"</f>
        <v>1552374693296772</v>
      </c>
      <c r="C5311" t="s">
        <v>40</v>
      </c>
      <c r="D5311">
        <v>5.2847499999999998</v>
      </c>
      <c r="E5311">
        <v>0.50506709999999999</v>
      </c>
      <c r="F5311" t="s">
        <v>43</v>
      </c>
      <c r="G5311">
        <v>-316.44229999999999</v>
      </c>
      <c r="H5311">
        <v>-0.05</v>
      </c>
      <c r="I5311">
        <v>12.230270000000001</v>
      </c>
      <c r="J5311">
        <v>-383.42110000000002</v>
      </c>
      <c r="K5311">
        <v>1.1097809999999999</v>
      </c>
      <c r="L5311">
        <v>15.918369999999999</v>
      </c>
      <c r="M5311">
        <v>0.99859699999999996</v>
      </c>
      <c r="N5311">
        <v>0</v>
      </c>
      <c r="O5311">
        <v>-5.1561780000000002E-2</v>
      </c>
      <c r="P5311">
        <v>0.99766049999999995</v>
      </c>
      <c r="Q5311">
        <v>5.292898E-2</v>
      </c>
      <c r="R5311">
        <v>-4.3271200000000003E-2</v>
      </c>
      <c r="S5311">
        <v>3.0025330000000001</v>
      </c>
      <c r="T5311">
        <v>-5.1889299999999999E-2</v>
      </c>
      <c r="U5311">
        <v>-0.16531370000000001</v>
      </c>
      <c r="V5311">
        <v>-8.2016050000000007E-3</v>
      </c>
      <c r="W5311">
        <v>6.4981720000000007E-2</v>
      </c>
      <c r="X5311">
        <v>0.99785270000000004</v>
      </c>
      <c r="Y5311">
        <v>3.421295E-3</v>
      </c>
      <c r="Z5311">
        <v>8.6025649999999995E-4</v>
      </c>
      <c r="AA5311">
        <v>0.99999380000000004</v>
      </c>
      <c r="AB5311">
        <v>26</v>
      </c>
      <c r="AC5311">
        <v>66.978800000000007</v>
      </c>
      <c r="AD5311">
        <v>-1.159781</v>
      </c>
      <c r="AE5311">
        <v>-3.6880999999999999</v>
      </c>
      <c r="AF5311">
        <v>0.22932757301616999</v>
      </c>
      <c r="AG5311">
        <v>-1.159781</v>
      </c>
      <c r="AH5311">
        <v>67.059825243906005</v>
      </c>
      <c r="AI5311">
        <v>90.990809977262998</v>
      </c>
      <c r="AJ5311">
        <v>89.804063747680601</v>
      </c>
      <c r="AK5311">
        <v>67.070245600019405</v>
      </c>
      <c r="AL5311">
        <v>86.274196258942894</v>
      </c>
      <c r="AM5311">
        <v>90.470917972390296</v>
      </c>
      <c r="AN5311">
        <v>0.99999995057801105</v>
      </c>
    </row>
    <row r="5312" spans="1:40" x14ac:dyDescent="0.25">
      <c r="A5312" t="str">
        <f>"20190312151133321"</f>
        <v>20190312151133321</v>
      </c>
      <c r="B5312" t="str">
        <f>"1552374693317268"</f>
        <v>1552374693317268</v>
      </c>
      <c r="C5312" t="s">
        <v>40</v>
      </c>
      <c r="D5312">
        <v>5.3270749999999998</v>
      </c>
      <c r="E5312">
        <v>0.50480459999999905</v>
      </c>
      <c r="F5312" t="s">
        <v>42</v>
      </c>
      <c r="G5312">
        <v>-320.84039999999999</v>
      </c>
      <c r="H5312" s="1">
        <v>-5.581122E-6</v>
      </c>
      <c r="I5312">
        <v>12.45195</v>
      </c>
      <c r="J5312">
        <v>-383.28530000000001</v>
      </c>
      <c r="K5312">
        <v>1.1097809999999999</v>
      </c>
      <c r="L5312">
        <v>15.911250000000001</v>
      </c>
      <c r="M5312">
        <v>0.99859140000000002</v>
      </c>
      <c r="N5312">
        <v>0</v>
      </c>
      <c r="O5312">
        <v>-5.1674369999999997E-2</v>
      </c>
      <c r="P5312">
        <v>0.99760139999999997</v>
      </c>
      <c r="Q5312">
        <v>5.3355279999999998E-2</v>
      </c>
      <c r="R5312">
        <v>-4.410207E-2</v>
      </c>
      <c r="S5312">
        <v>3.0026549999999999</v>
      </c>
      <c r="T5312">
        <v>-5.3248169999999997E-2</v>
      </c>
      <c r="U5312">
        <v>-0.16632079999999999</v>
      </c>
      <c r="V5312">
        <v>-7.4815039999999999E-3</v>
      </c>
      <c r="W5312">
        <v>6.5376649999999994E-2</v>
      </c>
      <c r="X5312">
        <v>0.99783259999999996</v>
      </c>
      <c r="Y5312">
        <v>3.6410589999999999E-3</v>
      </c>
      <c r="Z5312">
        <v>8.8277970000000001E-4</v>
      </c>
      <c r="AA5312">
        <v>0.99999300000000002</v>
      </c>
      <c r="AB5312">
        <v>26</v>
      </c>
      <c r="AC5312">
        <v>62.444899999999997</v>
      </c>
      <c r="AD5312">
        <v>-1.109786581122</v>
      </c>
      <c r="AE5312">
        <v>-3.4592999999999998</v>
      </c>
      <c r="AF5312">
        <v>0.227571205574297</v>
      </c>
      <c r="AG5312">
        <v>-1.109786581122</v>
      </c>
      <c r="AH5312">
        <v>62.520543938091002</v>
      </c>
      <c r="AI5312">
        <v>91.016929556149407</v>
      </c>
      <c r="AJ5312">
        <v>89.791447559274403</v>
      </c>
      <c r="AK5312">
        <v>62.530807041201797</v>
      </c>
      <c r="AL5312">
        <v>86.251520358734894</v>
      </c>
      <c r="AM5312">
        <v>90.429581646604902</v>
      </c>
      <c r="AN5312">
        <v>0.99999998844504201</v>
      </c>
    </row>
    <row r="5313" spans="1:40" x14ac:dyDescent="0.25">
      <c r="A5313" t="str">
        <f>"20190312151133340"</f>
        <v>20190312151133340</v>
      </c>
      <c r="B5313" t="str">
        <f>"1552374693336788"</f>
        <v>1552374693336788</v>
      </c>
      <c r="C5313" t="s">
        <v>40</v>
      </c>
      <c r="D5313">
        <v>5.2599429999999998</v>
      </c>
      <c r="E5313">
        <v>0.50470700000000002</v>
      </c>
      <c r="F5313" t="s">
        <v>42</v>
      </c>
      <c r="G5313">
        <v>-325.41370000000001</v>
      </c>
      <c r="H5313" s="1">
        <v>-3.5858099999999902E-6</v>
      </c>
      <c r="I5313">
        <v>12.6995</v>
      </c>
      <c r="J5313">
        <v>-383.06169999999997</v>
      </c>
      <c r="K5313">
        <v>1.1097840000000001</v>
      </c>
      <c r="L5313">
        <v>15.899480000000001</v>
      </c>
      <c r="M5313">
        <v>0.99858259999999999</v>
      </c>
      <c r="N5313">
        <v>0</v>
      </c>
      <c r="O5313">
        <v>-5.1857590000000002E-2</v>
      </c>
      <c r="P5313">
        <v>0.99751529999999999</v>
      </c>
      <c r="Q5313">
        <v>5.4031160000000002E-2</v>
      </c>
      <c r="R5313">
        <v>-4.5216279999999998E-2</v>
      </c>
      <c r="S5313">
        <v>3.0029300000000001</v>
      </c>
      <c r="T5313">
        <v>-5.7586190000000002E-2</v>
      </c>
      <c r="U5313">
        <v>-0.16665650000000001</v>
      </c>
      <c r="V5313">
        <v>-6.5472280000000004E-3</v>
      </c>
      <c r="W5313">
        <v>6.6000920000000005E-2</v>
      </c>
      <c r="X5313">
        <v>0.99779810000000002</v>
      </c>
      <c r="Y5313">
        <v>3.5653410000000001E-3</v>
      </c>
      <c r="Z5313">
        <v>9.5882390000000001E-4</v>
      </c>
      <c r="AA5313">
        <v>0.99999320000000003</v>
      </c>
      <c r="AB5313">
        <v>26</v>
      </c>
      <c r="AC5313">
        <v>57.647999999999897</v>
      </c>
      <c r="AD5313">
        <v>-1.1097875858099999</v>
      </c>
      <c r="AE5313">
        <v>-3.1999799999999898</v>
      </c>
      <c r="AF5313">
        <v>0.205896715533679</v>
      </c>
      <c r="AG5313">
        <v>-1.1097875858099999</v>
      </c>
      <c r="AH5313">
        <v>57.715054275605503</v>
      </c>
      <c r="AI5313">
        <v>91.101582698225897</v>
      </c>
      <c r="AJ5313">
        <v>89.795599901656502</v>
      </c>
      <c r="AK5313">
        <v>57.726090392292903</v>
      </c>
      <c r="AL5313">
        <v>86.215675012980498</v>
      </c>
      <c r="AM5313">
        <v>90.375950954662102</v>
      </c>
      <c r="AN5313">
        <v>1.0000000179994699</v>
      </c>
    </row>
    <row r="5314" spans="1:40" x14ac:dyDescent="0.25">
      <c r="A5314" t="str">
        <f>"20190312151133351"</f>
        <v>20190312151133351</v>
      </c>
      <c r="B5314" t="str">
        <f>"1552374693346857"</f>
        <v>1552374693346857</v>
      </c>
      <c r="C5314" t="s">
        <v>40</v>
      </c>
      <c r="D5314">
        <v>5.3351819999999996</v>
      </c>
      <c r="E5314">
        <v>0.50459169999999998</v>
      </c>
      <c r="F5314" t="s">
        <v>42</v>
      </c>
      <c r="G5314">
        <v>-325.91719999999998</v>
      </c>
      <c r="H5314" s="1">
        <v>-3.397367E-6</v>
      </c>
      <c r="I5314">
        <v>12.68107</v>
      </c>
      <c r="J5314">
        <v>-382.9203</v>
      </c>
      <c r="K5314">
        <v>1.1097870000000001</v>
      </c>
      <c r="L5314">
        <v>15.891999999999999</v>
      </c>
      <c r="M5314">
        <v>0.9985771</v>
      </c>
      <c r="N5314">
        <v>0</v>
      </c>
      <c r="O5314">
        <v>-5.1970580000000002E-2</v>
      </c>
      <c r="P5314">
        <v>0.99749180000000004</v>
      </c>
      <c r="Q5314">
        <v>5.4166230000000003E-2</v>
      </c>
      <c r="R5314">
        <v>-4.556905E-2</v>
      </c>
      <c r="S5314">
        <v>3.0029599999999999</v>
      </c>
      <c r="T5314">
        <v>-5.831969E-2</v>
      </c>
      <c r="U5314">
        <v>-0.16912839999999901</v>
      </c>
      <c r="V5314">
        <v>-6.3073869999999898E-3</v>
      </c>
      <c r="W5314">
        <v>6.6104170000000004E-2</v>
      </c>
      <c r="X5314">
        <v>0.99779280000000004</v>
      </c>
      <c r="Y5314">
        <v>4.2723509999999998E-3</v>
      </c>
      <c r="Z5314">
        <v>9.6632610000000002E-4</v>
      </c>
      <c r="AA5314">
        <v>0.99999039999999995</v>
      </c>
      <c r="AB5314">
        <v>26</v>
      </c>
      <c r="AC5314">
        <v>57.003100000000003</v>
      </c>
      <c r="AD5314">
        <v>-1.109790397367</v>
      </c>
      <c r="AE5314">
        <v>-3.2109299999999998</v>
      </c>
      <c r="AF5314">
        <v>0.243802299234638</v>
      </c>
      <c r="AG5314">
        <v>-1.109790397367</v>
      </c>
      <c r="AH5314">
        <v>57.071377830267402</v>
      </c>
      <c r="AI5314">
        <v>91.1140034720964</v>
      </c>
      <c r="AJ5314">
        <v>89.755240571696504</v>
      </c>
      <c r="AK5314">
        <v>57.082687758481903</v>
      </c>
      <c r="AL5314">
        <v>86.209746238691395</v>
      </c>
      <c r="AM5314">
        <v>90.362181247831401</v>
      </c>
      <c r="AN5314">
        <v>1.00000000807699</v>
      </c>
    </row>
    <row r="5315" spans="1:40" x14ac:dyDescent="0.25">
      <c r="A5315" t="str">
        <f>"20190312151133363"</f>
        <v>20190312151133363</v>
      </c>
      <c r="B5315" t="str">
        <f>"1552374693356618"</f>
        <v>1552374693356618</v>
      </c>
      <c r="C5315" t="s">
        <v>40</v>
      </c>
      <c r="D5315">
        <v>5.2764889999999998</v>
      </c>
      <c r="E5315">
        <v>0.50444699999999998</v>
      </c>
      <c r="F5315" t="s">
        <v>42</v>
      </c>
      <c r="G5315">
        <v>-328.47</v>
      </c>
      <c r="H5315" s="1">
        <v>-2.3793650000000001E-6</v>
      </c>
      <c r="I5315">
        <v>12.822749999999999</v>
      </c>
      <c r="J5315">
        <v>-382.78570000000002</v>
      </c>
      <c r="K5315">
        <v>1.1097870000000001</v>
      </c>
      <c r="L5315">
        <v>15.88489</v>
      </c>
      <c r="M5315">
        <v>0.99857189999999996</v>
      </c>
      <c r="N5315">
        <v>0</v>
      </c>
      <c r="O5315">
        <v>-5.2076200000000003E-2</v>
      </c>
      <c r="P5315">
        <v>0.9974634</v>
      </c>
      <c r="Q5315">
        <v>5.4493449999999999E-2</v>
      </c>
      <c r="R5315">
        <v>-4.5796139999999999E-2</v>
      </c>
      <c r="S5315">
        <v>3.0031430000000001</v>
      </c>
      <c r="T5315">
        <v>-6.1209079999999999E-2</v>
      </c>
      <c r="U5315">
        <v>-0.16928099999999999</v>
      </c>
      <c r="V5315">
        <v>-6.1849879999999998E-3</v>
      </c>
      <c r="W5315">
        <v>6.6402009999999997E-2</v>
      </c>
      <c r="X5315">
        <v>0.99777380000000004</v>
      </c>
      <c r="Y5315">
        <v>4.2147670000000003E-3</v>
      </c>
      <c r="Z5315">
        <v>1.0168620000000001E-3</v>
      </c>
      <c r="AA5315">
        <v>0.99999059999999995</v>
      </c>
      <c r="AB5315">
        <v>26</v>
      </c>
      <c r="AC5315">
        <v>54.3156999999999</v>
      </c>
      <c r="AD5315">
        <v>-1.109789379365</v>
      </c>
      <c r="AE5315">
        <v>-3.0621399999999901</v>
      </c>
      <c r="AF5315">
        <v>0.22913264958395299</v>
      </c>
      <c r="AG5315">
        <v>-1.109789379365</v>
      </c>
      <c r="AH5315">
        <v>54.378835386135499</v>
      </c>
      <c r="AI5315">
        <v>91.1691470971207</v>
      </c>
      <c r="AJ5315">
        <v>89.758577836749694</v>
      </c>
      <c r="AK5315">
        <v>54.390641402635403</v>
      </c>
      <c r="AL5315">
        <v>86.192643726623999</v>
      </c>
      <c r="AM5315">
        <v>90.3551598267169</v>
      </c>
      <c r="AN5315">
        <v>1.00000001848752</v>
      </c>
    </row>
    <row r="5316" spans="1:40" x14ac:dyDescent="0.25">
      <c r="A5316" t="str">
        <f>"20190312151133377"</f>
        <v>20190312151133377</v>
      </c>
      <c r="B5316" t="str">
        <f>"1552374693366377"</f>
        <v>1552374693366377</v>
      </c>
      <c r="C5316" t="s">
        <v>40</v>
      </c>
      <c r="D5316">
        <v>5.2773640000000004</v>
      </c>
      <c r="E5316">
        <v>0.50428600000000001</v>
      </c>
      <c r="F5316" t="s">
        <v>42</v>
      </c>
      <c r="G5316">
        <v>-329.78230000000002</v>
      </c>
      <c r="H5316" s="1">
        <v>-1.8535370000000001E-6</v>
      </c>
      <c r="I5316">
        <v>12.904920000000001</v>
      </c>
      <c r="J5316">
        <v>-382.62990000000002</v>
      </c>
      <c r="K5316">
        <v>1.109791</v>
      </c>
      <c r="L5316">
        <v>15.876620000000001</v>
      </c>
      <c r="M5316">
        <v>0.99856599999999995</v>
      </c>
      <c r="N5316">
        <v>0</v>
      </c>
      <c r="O5316">
        <v>-5.219621E-2</v>
      </c>
      <c r="P5316">
        <v>0.99744189999999999</v>
      </c>
      <c r="Q5316">
        <v>5.4650530000000003E-2</v>
      </c>
      <c r="R5316">
        <v>-4.6076029999999997E-2</v>
      </c>
      <c r="S5316">
        <v>3.0033259999999999</v>
      </c>
      <c r="T5316">
        <v>-6.2883850000000005E-2</v>
      </c>
      <c r="U5316">
        <v>-0.168853799999999</v>
      </c>
      <c r="V5316">
        <v>-6.0250779999999997E-3</v>
      </c>
      <c r="W5316">
        <v>6.6526189999999999E-2</v>
      </c>
      <c r="X5316">
        <v>0.9977665</v>
      </c>
      <c r="Y5316">
        <v>3.949999E-3</v>
      </c>
      <c r="Z5316">
        <v>1.049896E-3</v>
      </c>
      <c r="AA5316">
        <v>0.99999170000000004</v>
      </c>
      <c r="AB5316">
        <v>26</v>
      </c>
      <c r="AC5316">
        <v>52.8476</v>
      </c>
      <c r="AD5316">
        <v>-1.1097928535370001</v>
      </c>
      <c r="AE5316">
        <v>-2.9716999999999998</v>
      </c>
      <c r="AF5316">
        <v>0.20891710151496501</v>
      </c>
      <c r="AG5316">
        <v>-1.1097928535370001</v>
      </c>
      <c r="AH5316">
        <v>52.907414634356698</v>
      </c>
      <c r="AI5316">
        <v>91.201658180802497</v>
      </c>
      <c r="AJ5316">
        <v>89.773755605827404</v>
      </c>
      <c r="AK5316">
        <v>52.919465320662603</v>
      </c>
      <c r="AL5316">
        <v>86.185512944741902</v>
      </c>
      <c r="AM5316">
        <v>90.345980091300703</v>
      </c>
      <c r="AN5316">
        <v>1.00000001202153</v>
      </c>
    </row>
    <row r="5317" spans="1:40" x14ac:dyDescent="0.25">
      <c r="A5317" t="str">
        <f>"20190312151133397"</f>
        <v>20190312151133397</v>
      </c>
      <c r="B5317" t="str">
        <f>"1552374693386873"</f>
        <v>1552374693386873</v>
      </c>
      <c r="C5317" t="s">
        <v>40</v>
      </c>
      <c r="D5317">
        <v>5.3132359999999998</v>
      </c>
      <c r="E5317">
        <v>0.50400670000000003</v>
      </c>
      <c r="F5317" t="s">
        <v>42</v>
      </c>
      <c r="G5317">
        <v>-331.71800000000002</v>
      </c>
      <c r="H5317" s="1">
        <v>-4.7051180000000001E-6</v>
      </c>
      <c r="I5317">
        <v>13.02108</v>
      </c>
      <c r="J5317">
        <v>-382.39569999999998</v>
      </c>
      <c r="K5317">
        <v>1.1097919999999999</v>
      </c>
      <c r="L5317">
        <v>15.8642</v>
      </c>
      <c r="M5317">
        <v>0.99855740000000004</v>
      </c>
      <c r="N5317">
        <v>0</v>
      </c>
      <c r="O5317">
        <v>-5.2369649999999997E-2</v>
      </c>
      <c r="P5317">
        <v>0.99745159999999999</v>
      </c>
      <c r="Q5317">
        <v>5.4368720000000002E-2</v>
      </c>
      <c r="R5317">
        <v>-4.6201430000000002E-2</v>
      </c>
      <c r="S5317">
        <v>3.0035400000000001</v>
      </c>
      <c r="T5317">
        <v>-6.5472249999999996E-2</v>
      </c>
      <c r="U5317">
        <v>-0.168457</v>
      </c>
      <c r="V5317">
        <v>-6.0751650000000004E-3</v>
      </c>
      <c r="W5317">
        <v>6.6199809999999998E-2</v>
      </c>
      <c r="X5317">
        <v>0.99778789999999995</v>
      </c>
      <c r="Y5317">
        <v>3.6416690000000002E-3</v>
      </c>
      <c r="Z5317">
        <v>1.1001559999999999E-3</v>
      </c>
      <c r="AA5317">
        <v>0.99999280000000002</v>
      </c>
      <c r="AB5317">
        <v>26</v>
      </c>
      <c r="AC5317">
        <v>50.677699999999902</v>
      </c>
      <c r="AD5317">
        <v>-1.109796705118</v>
      </c>
      <c r="AE5317">
        <v>-2.8431199999999999</v>
      </c>
      <c r="AF5317">
        <v>0.18496967984388701</v>
      </c>
      <c r="AG5317">
        <v>-1.109796705118</v>
      </c>
      <c r="AH5317">
        <v>50.732798687764202</v>
      </c>
      <c r="AI5317">
        <v>91.253155882250397</v>
      </c>
      <c r="AJ5317">
        <v>89.791102889891107</v>
      </c>
      <c r="AK5317">
        <v>50.745272934553803</v>
      </c>
      <c r="AL5317">
        <v>86.204254440358696</v>
      </c>
      <c r="AM5317">
        <v>90.348848701359302</v>
      </c>
      <c r="AN5317">
        <v>1.0000000079301099</v>
      </c>
    </row>
    <row r="5318" spans="1:40" x14ac:dyDescent="0.25">
      <c r="A5318" t="str">
        <f>"20190312151133420"</f>
        <v>20190312151133420</v>
      </c>
      <c r="B5318" t="str">
        <f>"1552374693417129"</f>
        <v>1552374693417129</v>
      </c>
      <c r="C5318" t="s">
        <v>40</v>
      </c>
      <c r="D5318">
        <v>5.3579980000000003</v>
      </c>
      <c r="E5318">
        <v>0.51498719999999998</v>
      </c>
      <c r="F5318" t="s">
        <v>42</v>
      </c>
      <c r="G5318">
        <v>-335.8621</v>
      </c>
      <c r="H5318" s="1">
        <v>-3.0796230000000001E-6</v>
      </c>
      <c r="I5318">
        <v>13.28191</v>
      </c>
      <c r="J5318">
        <v>-382.13979999999998</v>
      </c>
      <c r="K5318">
        <v>1.1097919999999999</v>
      </c>
      <c r="L5318">
        <v>15.85059</v>
      </c>
      <c r="M5318">
        <v>0.9985484</v>
      </c>
      <c r="N5318">
        <v>0</v>
      </c>
      <c r="O5318">
        <v>-5.2552660000000001E-2</v>
      </c>
      <c r="P5318">
        <v>0.99743649999999995</v>
      </c>
      <c r="Q5318">
        <v>5.4570840000000002E-2</v>
      </c>
      <c r="R5318">
        <v>-4.6288700000000002E-2</v>
      </c>
      <c r="S5318">
        <v>3.0038450000000001</v>
      </c>
      <c r="T5318">
        <v>-7.1639659999999994E-2</v>
      </c>
      <c r="U5318">
        <v>-0.166687</v>
      </c>
      <c r="V5318">
        <v>-6.1707330000000003E-3</v>
      </c>
      <c r="W5318">
        <v>6.6358239999999999E-2</v>
      </c>
      <c r="X5318">
        <v>0.99777680000000002</v>
      </c>
      <c r="Y5318">
        <v>2.8678810000000001E-3</v>
      </c>
      <c r="Z5318">
        <v>1.2172350000000001E-3</v>
      </c>
      <c r="AA5318">
        <v>0.99999519999999997</v>
      </c>
      <c r="AB5318">
        <v>26</v>
      </c>
      <c r="AC5318">
        <v>46.277699999999903</v>
      </c>
      <c r="AD5318">
        <v>-1.1097950796230001</v>
      </c>
      <c r="AE5318">
        <v>-2.5686799999999899</v>
      </c>
      <c r="AF5318">
        <v>0.13286815349234299</v>
      </c>
      <c r="AG5318">
        <v>-1.1097950796230001</v>
      </c>
      <c r="AH5318">
        <v>46.3221848238475</v>
      </c>
      <c r="AI5318">
        <v>91.372434203675695</v>
      </c>
      <c r="AJ5318">
        <v>89.835656207106794</v>
      </c>
      <c r="AK5318">
        <v>46.335667750877001</v>
      </c>
      <c r="AL5318">
        <v>86.195157105586304</v>
      </c>
      <c r="AM5318">
        <v>90.354340219086097</v>
      </c>
      <c r="AN5318">
        <v>1.00000001828994</v>
      </c>
    </row>
    <row r="5319" spans="1:40" x14ac:dyDescent="0.25">
      <c r="A5319" t="str">
        <f>"20190312151133431"</f>
        <v>20190312151133431</v>
      </c>
      <c r="B5319" t="str">
        <f>"1552374693426889"</f>
        <v>1552374693426889</v>
      </c>
      <c r="C5319" t="s">
        <v>40</v>
      </c>
      <c r="D5319">
        <v>5.3667499999999997</v>
      </c>
      <c r="E5319">
        <v>0.51781650000000001</v>
      </c>
      <c r="F5319" t="s">
        <v>90</v>
      </c>
      <c r="G5319">
        <v>-363.61759999999998</v>
      </c>
      <c r="H5319" s="1">
        <v>-3.9617149999999999E-6</v>
      </c>
      <c r="I5319">
        <v>14.29297</v>
      </c>
      <c r="J5319">
        <v>-381.99400000000003</v>
      </c>
      <c r="K5319">
        <v>1.1097919999999999</v>
      </c>
      <c r="L5319">
        <v>15.8428</v>
      </c>
      <c r="M5319">
        <v>0.99854339999999997</v>
      </c>
      <c r="N5319">
        <v>0</v>
      </c>
      <c r="O5319">
        <v>-5.2654510000000002E-2</v>
      </c>
      <c r="P5319">
        <v>0.99741840000000004</v>
      </c>
      <c r="Q5319">
        <v>5.4831079999999997E-2</v>
      </c>
      <c r="R5319">
        <v>-4.637492E-2</v>
      </c>
      <c r="S5319">
        <v>3.0058590000000001</v>
      </c>
      <c r="T5319">
        <v>-0.1801025</v>
      </c>
      <c r="U5319">
        <v>-0.25277709999999998</v>
      </c>
      <c r="V5319">
        <v>-6.185861E-3</v>
      </c>
      <c r="W5319">
        <v>6.6592799999999994E-2</v>
      </c>
      <c r="X5319">
        <v>0.99776109999999896</v>
      </c>
      <c r="Y5319">
        <v>3.1247810000000001E-2</v>
      </c>
      <c r="Z5319">
        <v>2.2102739999999999E-3</v>
      </c>
      <c r="AA5319">
        <v>0.99950919999999999</v>
      </c>
      <c r="AB5319">
        <v>26</v>
      </c>
      <c r="AC5319">
        <v>18.3764</v>
      </c>
      <c r="AD5319">
        <v>-1.1097959617149999</v>
      </c>
      <c r="AE5319">
        <v>-1.54982999999999</v>
      </c>
      <c r="AF5319">
        <v>0.57791944149992502</v>
      </c>
      <c r="AG5319">
        <v>-1.1097959617149999</v>
      </c>
      <c r="AH5319">
        <v>18.366003425465799</v>
      </c>
      <c r="AI5319">
        <v>93.456280427120902</v>
      </c>
      <c r="AJ5319">
        <v>88.197679605064707</v>
      </c>
      <c r="AK5319">
        <v>18.408577342688002</v>
      </c>
      <c r="AL5319">
        <v>86.181688095156602</v>
      </c>
      <c r="AM5319">
        <v>90.355214476780503</v>
      </c>
      <c r="AN5319">
        <v>1.00000003928067</v>
      </c>
    </row>
    <row r="5320" spans="1:40" x14ac:dyDescent="0.25">
      <c r="A5320" t="str">
        <f>"20190312151133453"</f>
        <v>20190312151133453</v>
      </c>
      <c r="B5320" t="str">
        <f>"1552374693446409"</f>
        <v>1552374693446409</v>
      </c>
      <c r="C5320" t="s">
        <v>40</v>
      </c>
      <c r="D5320">
        <v>5.3088879999999996</v>
      </c>
      <c r="E5320">
        <v>0.51974790000000004</v>
      </c>
      <c r="F5320" t="s">
        <v>90</v>
      </c>
      <c r="G5320">
        <v>-360.98149999999998</v>
      </c>
      <c r="H5320" s="1">
        <v>-5.2752940000000004E-6</v>
      </c>
      <c r="I5320">
        <v>13.91244</v>
      </c>
      <c r="J5320">
        <v>-381.75130000000001</v>
      </c>
      <c r="K5320">
        <v>1.1097969999999999</v>
      </c>
      <c r="L5320">
        <v>15.82977</v>
      </c>
      <c r="M5320">
        <v>0.99853510000000001</v>
      </c>
      <c r="N5320">
        <v>0</v>
      </c>
      <c r="O5320">
        <v>-5.2822880000000003E-2</v>
      </c>
      <c r="P5320">
        <v>0.9974132</v>
      </c>
      <c r="Q5320">
        <v>5.4937979999999997E-2</v>
      </c>
      <c r="R5320">
        <v>-4.6359089999999999E-2</v>
      </c>
      <c r="S5320">
        <v>3.0036619999999998</v>
      </c>
      <c r="T5320">
        <v>-0.15864220000000001</v>
      </c>
      <c r="U5320">
        <v>-0.27593990000000002</v>
      </c>
      <c r="V5320">
        <v>-6.3704310000000002E-3</v>
      </c>
      <c r="W5320">
        <v>6.6657040000000001E-2</v>
      </c>
      <c r="X5320">
        <v>0.99775559999999996</v>
      </c>
      <c r="Y5320">
        <v>3.8769230000000002E-2</v>
      </c>
      <c r="Z5320">
        <v>1.7586920000000001E-3</v>
      </c>
      <c r="AA5320">
        <v>0.99924669999999904</v>
      </c>
      <c r="AB5320">
        <v>26</v>
      </c>
      <c r="AC5320">
        <v>20.7698</v>
      </c>
      <c r="AD5320">
        <v>-1.109802275294</v>
      </c>
      <c r="AE5320">
        <v>-1.91733</v>
      </c>
      <c r="AF5320">
        <v>0.81514911555460601</v>
      </c>
      <c r="AG5320">
        <v>-1.109802275294</v>
      </c>
      <c r="AH5320">
        <v>20.7832475155959</v>
      </c>
      <c r="AI5320">
        <v>93.054283886430696</v>
      </c>
      <c r="AJ5320">
        <v>87.753927670303497</v>
      </c>
      <c r="AK5320">
        <v>20.828814331722299</v>
      </c>
      <c r="AL5320">
        <v>86.177999030794993</v>
      </c>
      <c r="AM5320">
        <v>90.365814885282603</v>
      </c>
      <c r="AN5320">
        <v>0.99999999035202303</v>
      </c>
    </row>
    <row r="5321" spans="1:40" x14ac:dyDescent="0.25">
      <c r="A5321" t="str">
        <f>"20190312151133464"</f>
        <v>20190312151133464</v>
      </c>
      <c r="B5321" t="str">
        <f>"1552374693457146"</f>
        <v>1552374693457146</v>
      </c>
      <c r="C5321" t="s">
        <v>40</v>
      </c>
      <c r="D5321">
        <v>5.2340119999999999</v>
      </c>
      <c r="E5321">
        <v>0.51981160000000004</v>
      </c>
      <c r="F5321" t="s">
        <v>42</v>
      </c>
      <c r="G5321">
        <v>-357.7373</v>
      </c>
      <c r="H5321" s="1">
        <v>-2.3845420000000001E-6</v>
      </c>
      <c r="I5321">
        <v>13.4957799999999</v>
      </c>
      <c r="J5321">
        <v>-381.6164</v>
      </c>
      <c r="K5321">
        <v>1.109796</v>
      </c>
      <c r="L5321">
        <v>15.82254</v>
      </c>
      <c r="M5321">
        <v>0.99853029999999998</v>
      </c>
      <c r="N5321">
        <v>0</v>
      </c>
      <c r="O5321">
        <v>-5.2916419999999999E-2</v>
      </c>
      <c r="P5321">
        <v>0.99738369999999998</v>
      </c>
      <c r="Q5321">
        <v>5.5554350000000002E-2</v>
      </c>
      <c r="R5321">
        <v>-4.62587E-2</v>
      </c>
      <c r="S5321">
        <v>3.001862</v>
      </c>
      <c r="T5321">
        <v>-0.13872999999999999</v>
      </c>
      <c r="U5321">
        <v>-0.29174800000000001</v>
      </c>
      <c r="V5321">
        <v>-6.5623809999999999E-3</v>
      </c>
      <c r="W5321">
        <v>6.7248399999999903E-2</v>
      </c>
      <c r="X5321">
        <v>0.99771469999999995</v>
      </c>
      <c r="Y5321">
        <v>4.3935299999999997E-2</v>
      </c>
      <c r="Z5321">
        <v>1.42392E-3</v>
      </c>
      <c r="AA5321">
        <v>0.99903339999999996</v>
      </c>
      <c r="AB5321">
        <v>26</v>
      </c>
      <c r="AC5321">
        <v>23.879099999999902</v>
      </c>
      <c r="AD5321">
        <v>-1.1097983845420001</v>
      </c>
      <c r="AE5321">
        <v>-2.3267600000000002</v>
      </c>
      <c r="AF5321">
        <v>1.05755370088273</v>
      </c>
      <c r="AG5321">
        <v>-1.1097983845420001</v>
      </c>
      <c r="AH5321">
        <v>23.917595775736899</v>
      </c>
      <c r="AI5321">
        <v>92.654081656062999</v>
      </c>
      <c r="AJ5321">
        <v>87.468227085884493</v>
      </c>
      <c r="AK5321">
        <v>23.9666739447953</v>
      </c>
      <c r="AL5321">
        <v>86.144040504033498</v>
      </c>
      <c r="AM5321">
        <v>90.376852533925501</v>
      </c>
      <c r="AN5321">
        <v>1.00000001737151</v>
      </c>
    </row>
    <row r="5322" spans="1:40" x14ac:dyDescent="0.25">
      <c r="A5322" t="str">
        <f>"20190312151133476"</f>
        <v>20190312151133476</v>
      </c>
      <c r="B5322" t="str">
        <f>"1552374693466905"</f>
        <v>1552374693466905</v>
      </c>
      <c r="C5322" t="s">
        <v>40</v>
      </c>
      <c r="D5322">
        <v>5.2670839999999997</v>
      </c>
      <c r="E5322">
        <v>0.51947330000000003</v>
      </c>
      <c r="F5322" t="s">
        <v>42</v>
      </c>
      <c r="G5322">
        <v>-358.32979999999998</v>
      </c>
      <c r="H5322" s="1">
        <v>-2.1665209999999999E-6</v>
      </c>
      <c r="I5322">
        <v>13.55742</v>
      </c>
      <c r="J5322">
        <v>-381.46539999999999</v>
      </c>
      <c r="K5322">
        <v>1.1097980000000001</v>
      </c>
      <c r="L5322">
        <v>15.81442</v>
      </c>
      <c r="M5322">
        <v>0.99852510000000005</v>
      </c>
      <c r="N5322">
        <v>0</v>
      </c>
      <c r="O5322">
        <v>-5.302113E-2</v>
      </c>
      <c r="P5322">
        <v>0.99738850000000001</v>
      </c>
      <c r="Q5322">
        <v>5.5594499999999998E-2</v>
      </c>
      <c r="R5322">
        <v>-4.6105819999999999E-2</v>
      </c>
      <c r="S5322">
        <v>3.0022579999999999</v>
      </c>
      <c r="T5322">
        <v>-0.143082399999999</v>
      </c>
      <c r="U5322">
        <v>-0.29202270000000002</v>
      </c>
      <c r="V5322">
        <v>-6.8207049999999998E-3</v>
      </c>
      <c r="W5322">
        <v>6.7260780000000006E-2</v>
      </c>
      <c r="X5322">
        <v>0.99771209999999999</v>
      </c>
      <c r="Y5322">
        <v>4.3909120000000003E-2</v>
      </c>
      <c r="Z5322">
        <v>1.47392799999999E-3</v>
      </c>
      <c r="AA5322">
        <v>0.99903450000000005</v>
      </c>
      <c r="AB5322">
        <v>26</v>
      </c>
      <c r="AC5322">
        <v>23.1356</v>
      </c>
      <c r="AD5322">
        <v>-1.109800166521</v>
      </c>
      <c r="AE5322">
        <v>-2.2570000000000001</v>
      </c>
      <c r="AF5322">
        <v>1.02472979975306</v>
      </c>
      <c r="AG5322">
        <v>-1.109800166521</v>
      </c>
      <c r="AH5322">
        <v>23.169916897737998</v>
      </c>
      <c r="AI5322">
        <v>92.739601946252506</v>
      </c>
      <c r="AJ5322">
        <v>87.467644919388206</v>
      </c>
      <c r="AK5322">
        <v>23.2191036997597</v>
      </c>
      <c r="AL5322">
        <v>86.143329445728199</v>
      </c>
      <c r="AM5322">
        <v>90.391687664124404</v>
      </c>
      <c r="AN5322">
        <v>0.99999998451465699</v>
      </c>
    </row>
    <row r="5323" spans="1:40" x14ac:dyDescent="0.25">
      <c r="A5323" t="str">
        <f>"20190312151133489"</f>
        <v>20190312151133489</v>
      </c>
      <c r="B5323" t="str">
        <f>"1552374693476667"</f>
        <v>1552374693476667</v>
      </c>
      <c r="C5323" t="s">
        <v>40</v>
      </c>
      <c r="D5323">
        <v>5.3064280000000004</v>
      </c>
      <c r="E5323">
        <v>0.51964270000000001</v>
      </c>
      <c r="F5323" t="s">
        <v>42</v>
      </c>
      <c r="G5323">
        <v>-357.53809999999999</v>
      </c>
      <c r="H5323" s="1">
        <v>-2.4482780000000002E-6</v>
      </c>
      <c r="I5323">
        <v>13.511060000000001</v>
      </c>
      <c r="J5323">
        <v>-381.33069999999998</v>
      </c>
      <c r="K5323">
        <v>1.109796</v>
      </c>
      <c r="L5323">
        <v>15.80719</v>
      </c>
      <c r="M5323">
        <v>0.99852030000000003</v>
      </c>
      <c r="N5323">
        <v>0</v>
      </c>
      <c r="O5323">
        <v>-5.3114649999999999E-2</v>
      </c>
      <c r="P5323">
        <v>0.99736670000000005</v>
      </c>
      <c r="Q5323">
        <v>5.6024150000000002E-2</v>
      </c>
      <c r="R5323">
        <v>-4.6053589999999998E-2</v>
      </c>
      <c r="S5323">
        <v>3.0022579999999999</v>
      </c>
      <c r="T5323">
        <v>-0.1392515</v>
      </c>
      <c r="U5323">
        <v>-0.28900150000000002</v>
      </c>
      <c r="V5323">
        <v>-6.9651419999999997E-3</v>
      </c>
      <c r="W5323">
        <v>6.7662780000000006E-2</v>
      </c>
      <c r="X5323">
        <v>0.99768389999999996</v>
      </c>
      <c r="Y5323">
        <v>4.2820230000000001E-2</v>
      </c>
      <c r="Z5323">
        <v>1.464089E-3</v>
      </c>
      <c r="AA5323">
        <v>0.99908169999999996</v>
      </c>
      <c r="AB5323">
        <v>26</v>
      </c>
      <c r="AC5323">
        <v>23.7926</v>
      </c>
      <c r="AD5323">
        <v>-1.1097984482779999</v>
      </c>
      <c r="AE5323">
        <v>-2.2961299999999998</v>
      </c>
      <c r="AF5323">
        <v>1.0268532597775699</v>
      </c>
      <c r="AG5323">
        <v>-1.1097984482779999</v>
      </c>
      <c r="AH5323">
        <v>23.8296084133714</v>
      </c>
      <c r="AI5323">
        <v>92.663997927670096</v>
      </c>
      <c r="AJ5323">
        <v>87.5325661495459</v>
      </c>
      <c r="AK5323">
        <v>23.8775274546494</v>
      </c>
      <c r="AL5323">
        <v>86.1202438726867</v>
      </c>
      <c r="AM5323">
        <v>90.399993181267803</v>
      </c>
      <c r="AN5323">
        <v>0.999999964659808</v>
      </c>
    </row>
    <row r="5324" spans="1:40" x14ac:dyDescent="0.25">
      <c r="A5324" t="str">
        <f>"20190312151133501"</f>
        <v>20190312151133501</v>
      </c>
      <c r="B5324" t="str">
        <f>"1552374693497163"</f>
        <v>1552374693497163</v>
      </c>
      <c r="C5324" t="s">
        <v>40</v>
      </c>
      <c r="D5324">
        <v>5.3170129999999904</v>
      </c>
      <c r="E5324">
        <v>0.5202369</v>
      </c>
      <c r="F5324" t="s">
        <v>42</v>
      </c>
      <c r="G5324">
        <v>-357.16609999999997</v>
      </c>
      <c r="H5324" s="1">
        <v>-2.5856299999999998E-6</v>
      </c>
      <c r="I5324">
        <v>13.470689999999999</v>
      </c>
      <c r="J5324">
        <v>-381.18990000000002</v>
      </c>
      <c r="K5324">
        <v>1.1097919999999999</v>
      </c>
      <c r="L5324">
        <v>15.79959</v>
      </c>
      <c r="M5324">
        <v>0.99851540000000005</v>
      </c>
      <c r="N5324">
        <v>0</v>
      </c>
      <c r="O5324">
        <v>-5.3212809999999999E-2</v>
      </c>
      <c r="P5324">
        <v>0.99733720000000003</v>
      </c>
      <c r="Q5324">
        <v>5.6628829999999998E-2</v>
      </c>
      <c r="R5324">
        <v>-4.5954660000000001E-2</v>
      </c>
      <c r="S5324">
        <v>3.0022890000000002</v>
      </c>
      <c r="T5324">
        <v>-0.13788499999999901</v>
      </c>
      <c r="U5324">
        <v>-0.29028320000000002</v>
      </c>
      <c r="V5324">
        <v>-7.1603860000000004E-3</v>
      </c>
      <c r="W5324">
        <v>6.8238899999999894E-2</v>
      </c>
      <c r="X5324">
        <v>0.99764330000000001</v>
      </c>
      <c r="Y5324">
        <v>4.3143210000000001E-2</v>
      </c>
      <c r="Z5324">
        <v>1.446775E-3</v>
      </c>
      <c r="AA5324">
        <v>0.99906779999999995</v>
      </c>
      <c r="AB5324">
        <v>26</v>
      </c>
      <c r="AC5324">
        <v>24.023800000000001</v>
      </c>
      <c r="AD5324">
        <v>-1.10979458563</v>
      </c>
      <c r="AE5324">
        <v>-2.3289</v>
      </c>
      <c r="AF5324">
        <v>1.04493034176672</v>
      </c>
      <c r="AG5324">
        <v>-1.10979458563</v>
      </c>
      <c r="AH5324">
        <v>24.062821196432399</v>
      </c>
      <c r="AI5324">
        <v>92.638168451014295</v>
      </c>
      <c r="AJ5324">
        <v>87.513487409679598</v>
      </c>
      <c r="AK5324">
        <v>24.1110532199014</v>
      </c>
      <c r="AL5324">
        <v>86.087158239438594</v>
      </c>
      <c r="AM5324">
        <v>90.411221979881205</v>
      </c>
      <c r="AN5324">
        <v>0.999999986317884</v>
      </c>
    </row>
    <row r="5325" spans="1:40" x14ac:dyDescent="0.25">
      <c r="A5325" t="str">
        <f>"20190312151133519"</f>
        <v>20190312151133519</v>
      </c>
      <c r="B5325" t="str">
        <f>"1552374693516684"</f>
        <v>1552374693516684</v>
      </c>
      <c r="C5325" t="s">
        <v>40</v>
      </c>
      <c r="D5325">
        <v>5.3128339999999996</v>
      </c>
      <c r="E5325">
        <v>0.52045350000000001</v>
      </c>
      <c r="F5325" t="s">
        <v>42</v>
      </c>
      <c r="G5325">
        <v>-356.6266</v>
      </c>
      <c r="H5325" s="1">
        <v>-2.791619E-6</v>
      </c>
      <c r="I5325">
        <v>13.38649</v>
      </c>
      <c r="J5325">
        <v>-380.97149999999999</v>
      </c>
      <c r="K5325">
        <v>1.1097939999999999</v>
      </c>
      <c r="L5325">
        <v>15.78778</v>
      </c>
      <c r="M5325">
        <v>0.9985079</v>
      </c>
      <c r="N5325">
        <v>0</v>
      </c>
      <c r="O5325">
        <v>-5.336548E-2</v>
      </c>
      <c r="P5325">
        <v>0.99728799999999995</v>
      </c>
      <c r="Q5325">
        <v>5.7739899999999997E-2</v>
      </c>
      <c r="R5325">
        <v>-4.5636870000000003E-2</v>
      </c>
      <c r="S5325">
        <v>3.002167</v>
      </c>
      <c r="T5325">
        <v>-0.1356406</v>
      </c>
      <c r="U5325">
        <v>-0.29492190000000001</v>
      </c>
      <c r="V5325">
        <v>-7.6274519999999998E-3</v>
      </c>
      <c r="W5325">
        <v>6.9304489999999996E-2</v>
      </c>
      <c r="X5325">
        <v>0.99756639999999996</v>
      </c>
      <c r="Y5325">
        <v>4.4521900000000003E-2</v>
      </c>
      <c r="Z5325">
        <v>1.398982E-3</v>
      </c>
      <c r="AA5325">
        <v>0.99900739999999999</v>
      </c>
      <c r="AB5325">
        <v>26</v>
      </c>
      <c r="AC5325">
        <v>24.344899999999999</v>
      </c>
      <c r="AD5325">
        <v>-1.1097967916189999</v>
      </c>
      <c r="AE5325">
        <v>-2.4012899999999902</v>
      </c>
      <c r="AF5325">
        <v>1.09634703482077</v>
      </c>
      <c r="AG5325">
        <v>-1.1097967916189999</v>
      </c>
      <c r="AH5325">
        <v>24.388166367407099</v>
      </c>
      <c r="AI5325">
        <v>92.602853142603806</v>
      </c>
      <c r="AJ5325">
        <v>87.426055163041397</v>
      </c>
      <c r="AK5325">
        <v>24.438009012678901</v>
      </c>
      <c r="AL5325">
        <v>86.025959613263396</v>
      </c>
      <c r="AM5325">
        <v>90.438078399527399</v>
      </c>
      <c r="AN5325">
        <v>1.0000000063835599</v>
      </c>
    </row>
    <row r="5326" spans="1:40" x14ac:dyDescent="0.25">
      <c r="A5326" t="str">
        <f>"20190312151133531"</f>
        <v>20190312151133531</v>
      </c>
      <c r="B5326" t="str">
        <f>"1552374693526443"</f>
        <v>1552374693526443</v>
      </c>
      <c r="C5326" t="s">
        <v>40</v>
      </c>
      <c r="D5326">
        <v>4.8404220000000002</v>
      </c>
      <c r="E5326">
        <v>0.52044820000000003</v>
      </c>
      <c r="F5326" t="s">
        <v>42</v>
      </c>
      <c r="G5326">
        <v>-354.69499999999999</v>
      </c>
      <c r="H5326" s="1">
        <v>-3.4994899999999998E-6</v>
      </c>
      <c r="I5326">
        <v>13.196580000000001</v>
      </c>
      <c r="J5326">
        <v>-380.8306</v>
      </c>
      <c r="K5326">
        <v>1.1097950000000001</v>
      </c>
      <c r="L5326">
        <v>15.780150000000001</v>
      </c>
      <c r="M5326">
        <v>0.99850289999999997</v>
      </c>
      <c r="N5326">
        <v>0</v>
      </c>
      <c r="O5326">
        <v>-5.3464379999999999E-2</v>
      </c>
      <c r="P5326">
        <v>0.9972396</v>
      </c>
      <c r="Q5326">
        <v>5.8596479999999999E-2</v>
      </c>
      <c r="R5326">
        <v>-4.5601940000000001E-2</v>
      </c>
      <c r="S5326">
        <v>3.0019529999999999</v>
      </c>
      <c r="T5326">
        <v>-0.12678829999999999</v>
      </c>
      <c r="U5326">
        <v>-0.29602050000000002</v>
      </c>
      <c r="V5326">
        <v>-7.7587639999999996E-3</v>
      </c>
      <c r="W5326">
        <v>7.0133119999999993E-2</v>
      </c>
      <c r="X5326">
        <v>0.99750749999999999</v>
      </c>
      <c r="Y5326">
        <v>4.4790709999999997E-2</v>
      </c>
      <c r="Z5326">
        <v>1.306321E-3</v>
      </c>
      <c r="AA5326">
        <v>0.99899550000000004</v>
      </c>
      <c r="AB5326">
        <v>26</v>
      </c>
      <c r="AC5326">
        <v>26.1356</v>
      </c>
      <c r="AD5326">
        <v>-1.1097984994900001</v>
      </c>
      <c r="AE5326">
        <v>-2.5835699999999999</v>
      </c>
      <c r="AF5326">
        <v>1.18034972059665</v>
      </c>
      <c r="AG5326">
        <v>-1.1097984994900001</v>
      </c>
      <c r="AH5326">
        <v>26.189587104567298</v>
      </c>
      <c r="AI5326">
        <v>92.424031483225505</v>
      </c>
      <c r="AJ5326">
        <v>87.419458267415493</v>
      </c>
      <c r="AK5326">
        <v>26.2396522629417</v>
      </c>
      <c r="AL5326">
        <v>85.978366908239593</v>
      </c>
      <c r="AM5326">
        <v>90.445646240091804</v>
      </c>
      <c r="AN5326">
        <v>1.0000000327479901</v>
      </c>
    </row>
    <row r="5327" spans="1:40" x14ac:dyDescent="0.25">
      <c r="A5327" t="str">
        <f>"20190312151133543"</f>
        <v>20190312151133543</v>
      </c>
      <c r="B5327" t="str">
        <f>"1552374693536202"</f>
        <v>1552374693536202</v>
      </c>
      <c r="C5327" t="s">
        <v>40</v>
      </c>
      <c r="D5327">
        <v>5.3026929999999997</v>
      </c>
      <c r="E5327">
        <v>0.52040609999999998</v>
      </c>
      <c r="F5327" t="s">
        <v>42</v>
      </c>
      <c r="G5327">
        <v>-352.9862</v>
      </c>
      <c r="H5327" s="1">
        <v>-4.1588319999999999E-6</v>
      </c>
      <c r="I5327">
        <v>13.03365</v>
      </c>
      <c r="J5327">
        <v>-380.69450000000001</v>
      </c>
      <c r="K5327">
        <v>1.109796</v>
      </c>
      <c r="L5327">
        <v>15.77277</v>
      </c>
      <c r="M5327">
        <v>0.9984982</v>
      </c>
      <c r="N5327">
        <v>0</v>
      </c>
      <c r="O5327">
        <v>-5.3560070000000001E-2</v>
      </c>
      <c r="P5327">
        <v>0.9972124</v>
      </c>
      <c r="Q5327">
        <v>5.925453E-2</v>
      </c>
      <c r="R5327">
        <v>-4.5352299999999998E-2</v>
      </c>
      <c r="S5327">
        <v>3.0018009999999999</v>
      </c>
      <c r="T5327">
        <v>-0.11964329999999999</v>
      </c>
      <c r="U5327">
        <v>-0.2960815</v>
      </c>
      <c r="V5327">
        <v>-8.1022939999999995E-3</v>
      </c>
      <c r="W5327">
        <v>7.0764320000000006E-2</v>
      </c>
      <c r="X5327">
        <v>0.99746020000000002</v>
      </c>
      <c r="Y5327">
        <v>4.4719389999999998E-2</v>
      </c>
      <c r="Z5327">
        <v>1.238037E-3</v>
      </c>
      <c r="AA5327">
        <v>0.99899879999999996</v>
      </c>
      <c r="AB5327">
        <v>26</v>
      </c>
      <c r="AC5327">
        <v>27.708300000000001</v>
      </c>
      <c r="AD5327">
        <v>-1.1098001588319999</v>
      </c>
      <c r="AE5327">
        <v>-2.7391200000000002</v>
      </c>
      <c r="AF5327">
        <v>1.24904650752872</v>
      </c>
      <c r="AG5327">
        <v>-1.1098001588319999</v>
      </c>
      <c r="AH5327">
        <v>27.771119803639699</v>
      </c>
      <c r="AI5327">
        <v>92.286149574141007</v>
      </c>
      <c r="AJ5327">
        <v>87.424774500002599</v>
      </c>
      <c r="AK5327">
        <v>27.82133837037</v>
      </c>
      <c r="AL5327">
        <v>85.942111776434203</v>
      </c>
      <c r="AM5327">
        <v>90.465399061314898</v>
      </c>
      <c r="AN5327">
        <v>1.0000000433685801</v>
      </c>
    </row>
    <row r="5328" spans="1:40" x14ac:dyDescent="0.25">
      <c r="A5328" t="str">
        <f>"20190312151133555"</f>
        <v>20190312151133555</v>
      </c>
      <c r="B5328" t="str">
        <f>"1552374693546938"</f>
        <v>1552374693546938</v>
      </c>
      <c r="C5328" t="s">
        <v>40</v>
      </c>
      <c r="D5328">
        <v>5.3663049999999997</v>
      </c>
      <c r="E5328">
        <v>0.52039239999999998</v>
      </c>
      <c r="F5328" t="s">
        <v>42</v>
      </c>
      <c r="G5328">
        <v>-351.26760000000002</v>
      </c>
      <c r="H5328" s="1">
        <v>-4.923534E-6</v>
      </c>
      <c r="I5328">
        <v>12.87903</v>
      </c>
      <c r="J5328">
        <v>-380.54880000000003</v>
      </c>
      <c r="K5328">
        <v>1.1097950000000001</v>
      </c>
      <c r="L5328">
        <v>15.764860000000001</v>
      </c>
      <c r="M5328">
        <v>0.99849299999999996</v>
      </c>
      <c r="N5328">
        <v>0</v>
      </c>
      <c r="O5328">
        <v>-5.3662540000000002E-2</v>
      </c>
      <c r="P5328">
        <v>0.99717129999999998</v>
      </c>
      <c r="Q5328">
        <v>5.9988720000000002E-2</v>
      </c>
      <c r="R5328">
        <v>-4.5290650000000002E-2</v>
      </c>
      <c r="S5328">
        <v>3.0016780000000001</v>
      </c>
      <c r="T5328">
        <v>-0.11320470000000001</v>
      </c>
      <c r="U5328">
        <v>-0.29516599999999998</v>
      </c>
      <c r="V5328">
        <v>-8.2640660000000005E-3</v>
      </c>
      <c r="W5328">
        <v>7.1470140000000001E-2</v>
      </c>
      <c r="X5328">
        <v>0.99740850000000003</v>
      </c>
      <c r="Y5328">
        <v>4.4318690000000001E-2</v>
      </c>
      <c r="Z5328">
        <v>1.182909E-3</v>
      </c>
      <c r="AA5328">
        <v>0.99901680000000004</v>
      </c>
      <c r="AB5328">
        <v>26</v>
      </c>
      <c r="AC5328">
        <v>29.281199999999998</v>
      </c>
      <c r="AD5328">
        <v>-1.1097999235339999</v>
      </c>
      <c r="AE5328">
        <v>-2.8858299999999999</v>
      </c>
      <c r="AF5328">
        <v>1.3084025426108601</v>
      </c>
      <c r="AG5328">
        <v>-1.1097999235339999</v>
      </c>
      <c r="AH5328">
        <v>29.352115871845399</v>
      </c>
      <c r="AI5328">
        <v>92.163168969502195</v>
      </c>
      <c r="AJ5328">
        <v>87.4476678308462</v>
      </c>
      <c r="AK5328">
        <v>29.4022155498191</v>
      </c>
      <c r="AL5328">
        <v>85.901568418154497</v>
      </c>
      <c r="AM5328">
        <v>90.474715493874996</v>
      </c>
      <c r="AN5328">
        <v>0.99999999578536003</v>
      </c>
    </row>
    <row r="5329" spans="1:40" x14ac:dyDescent="0.25">
      <c r="A5329" t="str">
        <f>"20190312151133568"</f>
        <v>20190312151133568</v>
      </c>
      <c r="B5329" t="str">
        <f>"1552374693556697"</f>
        <v>1552374693556697</v>
      </c>
      <c r="C5329" t="s">
        <v>40</v>
      </c>
      <c r="D5329">
        <v>5.4820589999999996</v>
      </c>
      <c r="E5329">
        <v>0.52036280000000001</v>
      </c>
      <c r="F5329" t="s">
        <v>42</v>
      </c>
      <c r="G5329">
        <v>-349.52760000000001</v>
      </c>
      <c r="H5329" s="1">
        <v>-1.9831149999999999E-6</v>
      </c>
      <c r="I5329">
        <v>12.71485</v>
      </c>
      <c r="J5329">
        <v>-380.40499999999997</v>
      </c>
      <c r="K5329">
        <v>1.109801</v>
      </c>
      <c r="L5329">
        <v>15.757020000000001</v>
      </c>
      <c r="M5329">
        <v>0.99848780000000004</v>
      </c>
      <c r="N5329">
        <v>0</v>
      </c>
      <c r="O5329">
        <v>-5.3763470000000001E-2</v>
      </c>
      <c r="P5329">
        <v>0.9971312</v>
      </c>
      <c r="Q5329">
        <v>6.0789290000000003E-2</v>
      </c>
      <c r="R5329">
        <v>-4.509788E-2</v>
      </c>
      <c r="S5329">
        <v>3.0015559999999999</v>
      </c>
      <c r="T5329">
        <v>-0.1073818</v>
      </c>
      <c r="U5329">
        <v>-0.29510500000000001</v>
      </c>
      <c r="V5329">
        <v>-8.5546559999999904E-3</v>
      </c>
      <c r="W5329">
        <v>7.2241570000000005E-2</v>
      </c>
      <c r="X5329">
        <v>0.99735050000000003</v>
      </c>
      <c r="Y5329">
        <v>4.4201039999999997E-2</v>
      </c>
      <c r="Z5329">
        <v>1.1278410000000001E-3</v>
      </c>
      <c r="AA5329">
        <v>0.99902199999999997</v>
      </c>
      <c r="AB5329">
        <v>26</v>
      </c>
      <c r="AC5329">
        <v>30.877399999999898</v>
      </c>
      <c r="AD5329">
        <v>-1.109802983115</v>
      </c>
      <c r="AE5329">
        <v>-3.04217</v>
      </c>
      <c r="AF5329">
        <v>1.3758238477903599</v>
      </c>
      <c r="AG5329">
        <v>-1.109802983115</v>
      </c>
      <c r="AH5329">
        <v>30.956697690414799</v>
      </c>
      <c r="AI5329">
        <v>92.051161309021893</v>
      </c>
      <c r="AJ5329">
        <v>87.455249895905794</v>
      </c>
      <c r="AK5329">
        <v>31.0071231464193</v>
      </c>
      <c r="AL5329">
        <v>85.857254296379807</v>
      </c>
      <c r="AM5329">
        <v>90.491435723218004</v>
      </c>
      <c r="AN5329">
        <v>1.0000000232127899</v>
      </c>
    </row>
    <row r="5330" spans="1:40" x14ac:dyDescent="0.25">
      <c r="A5330" t="str">
        <f>"20190312151133602"</f>
        <v>20190312151133602</v>
      </c>
      <c r="B5330" t="str">
        <f>"1552374693596715"</f>
        <v>1552374693596715</v>
      </c>
      <c r="C5330" t="s">
        <v>40</v>
      </c>
      <c r="D5330">
        <v>5.3492839999999999</v>
      </c>
      <c r="E5330">
        <v>0.52064149999999998</v>
      </c>
      <c r="F5330" t="s">
        <v>42</v>
      </c>
      <c r="G5330">
        <v>-347.59910000000002</v>
      </c>
      <c r="H5330" s="1">
        <v>-2.6859610000000002E-6</v>
      </c>
      <c r="I5330">
        <v>12.539820000000001</v>
      </c>
      <c r="J5330">
        <v>-380.01530000000002</v>
      </c>
      <c r="K5330">
        <v>1.109801</v>
      </c>
      <c r="L5330">
        <v>15.735720000000001</v>
      </c>
      <c r="M5330">
        <v>0.99847419999999998</v>
      </c>
      <c r="N5330">
        <v>0</v>
      </c>
      <c r="O5330">
        <v>-5.4032400000000001E-2</v>
      </c>
      <c r="P5330">
        <v>0.99707009999999996</v>
      </c>
      <c r="Q5330">
        <v>6.2360449999999998E-2</v>
      </c>
      <c r="R5330">
        <v>-4.430241E-2</v>
      </c>
      <c r="S5330">
        <v>3.0014949999999998</v>
      </c>
      <c r="T5330">
        <v>-0.1015385</v>
      </c>
      <c r="U5330">
        <v>-0.29434199999999999</v>
      </c>
      <c r="V5330">
        <v>-9.6141300000000002E-3</v>
      </c>
      <c r="W5330">
        <v>7.3732469999999994E-2</v>
      </c>
      <c r="X5330">
        <v>0.99723170000000005</v>
      </c>
      <c r="Y5330">
        <v>4.3682270000000002E-2</v>
      </c>
      <c r="Z5330">
        <v>1.0843440000000001E-3</v>
      </c>
      <c r="AA5330">
        <v>0.99904490000000001</v>
      </c>
      <c r="AB5330">
        <v>26</v>
      </c>
      <c r="AC5330">
        <v>32.416200000000003</v>
      </c>
      <c r="AD5330">
        <v>-1.1098036859610001</v>
      </c>
      <c r="AE5330">
        <v>-3.1959</v>
      </c>
      <c r="AF5330">
        <v>1.4379228445650001</v>
      </c>
      <c r="AG5330">
        <v>-1.1098036859610001</v>
      </c>
      <c r="AH5330">
        <v>32.503801797873997</v>
      </c>
      <c r="AI5330">
        <v>91.953627357677405</v>
      </c>
      <c r="AJ5330">
        <v>87.466966215917495</v>
      </c>
      <c r="AK5330">
        <v>32.554514550884797</v>
      </c>
      <c r="AL5330">
        <v>85.771603415378095</v>
      </c>
      <c r="AM5330">
        <v>90.552361108605695</v>
      </c>
      <c r="AN5330">
        <v>0.99999998605642304</v>
      </c>
    </row>
    <row r="5331" spans="1:40" x14ac:dyDescent="0.25">
      <c r="A5331" t="str">
        <f>"20190312151133621"</f>
        <v>20190312151133621</v>
      </c>
      <c r="B5331" t="str">
        <f>"1552374693616234"</f>
        <v>1552374693616234</v>
      </c>
      <c r="C5331" t="s">
        <v>40</v>
      </c>
      <c r="D5331">
        <v>5.2682900000000004</v>
      </c>
      <c r="E5331">
        <v>0.52083760000000001</v>
      </c>
      <c r="F5331" t="s">
        <v>42</v>
      </c>
      <c r="G5331">
        <v>-347.73719999999997</v>
      </c>
      <c r="H5331" s="1">
        <v>-2.630236E-6</v>
      </c>
      <c r="I5331">
        <v>12.572649999999999</v>
      </c>
      <c r="J5331">
        <v>-379.79329999999999</v>
      </c>
      <c r="K5331">
        <v>1.109799</v>
      </c>
      <c r="L5331">
        <v>15.72354</v>
      </c>
      <c r="M5331">
        <v>0.99846670000000004</v>
      </c>
      <c r="N5331">
        <v>0</v>
      </c>
      <c r="O5331">
        <v>-5.4179680000000001E-2</v>
      </c>
      <c r="P5331">
        <v>0.99705359999999998</v>
      </c>
      <c r="Q5331">
        <v>6.310868E-2</v>
      </c>
      <c r="R5331">
        <v>-4.3609050000000003E-2</v>
      </c>
      <c r="S5331">
        <v>3.0021969999999998</v>
      </c>
      <c r="T5331">
        <v>-0.103223</v>
      </c>
      <c r="U5331">
        <v>-0.29418949999999999</v>
      </c>
      <c r="V5331">
        <v>-1.045287E-2</v>
      </c>
      <c r="W5331">
        <v>7.4435299999999996E-2</v>
      </c>
      <c r="X5331">
        <v>0.99717100000000003</v>
      </c>
      <c r="Y5331">
        <v>4.3462349999999997E-2</v>
      </c>
      <c r="Z5331">
        <v>1.110876E-3</v>
      </c>
      <c r="AA5331">
        <v>0.99905440000000001</v>
      </c>
      <c r="AB5331">
        <v>26</v>
      </c>
      <c r="AC5331">
        <v>32.056100000000001</v>
      </c>
      <c r="AD5331">
        <v>-1.1098016302360001</v>
      </c>
      <c r="AE5331">
        <v>-3.15089</v>
      </c>
      <c r="AF5331">
        <v>1.4076891821333799</v>
      </c>
      <c r="AG5331">
        <v>-1.1098016302360001</v>
      </c>
      <c r="AH5331">
        <v>32.141579399458202</v>
      </c>
      <c r="AI5331">
        <v>91.975661269741707</v>
      </c>
      <c r="AJ5331">
        <v>87.492247084683996</v>
      </c>
      <c r="AK5331">
        <v>32.191526443827499</v>
      </c>
      <c r="AL5331">
        <v>85.731223059326993</v>
      </c>
      <c r="AM5331">
        <v>90.600582447417594</v>
      </c>
      <c r="AN5331">
        <v>0.99999993980916102</v>
      </c>
    </row>
    <row r="5332" spans="1:40" x14ac:dyDescent="0.25">
      <c r="A5332" t="str">
        <f>"20190312151133641"</f>
        <v>20190312151133641</v>
      </c>
      <c r="B5332" t="str">
        <f>"1552374693636729"</f>
        <v>1552374693636729</v>
      </c>
      <c r="C5332" t="s">
        <v>40</v>
      </c>
      <c r="D5332">
        <v>5.3193440000000001</v>
      </c>
      <c r="E5332">
        <v>0.52105590000000002</v>
      </c>
      <c r="F5332" t="s">
        <v>42</v>
      </c>
      <c r="G5332">
        <v>-348.61680000000001</v>
      </c>
      <c r="H5332" s="1">
        <v>-2.3040669999999998E-6</v>
      </c>
      <c r="I5332">
        <v>12.673450000000001</v>
      </c>
      <c r="J5332">
        <v>-379.5453</v>
      </c>
      <c r="K5332">
        <v>1.1098059999999901</v>
      </c>
      <c r="L5332">
        <v>15.7099299999999</v>
      </c>
      <c r="M5332">
        <v>0.99845890000000004</v>
      </c>
      <c r="N5332">
        <v>0</v>
      </c>
      <c r="O5332">
        <v>-5.4333819999999998E-2</v>
      </c>
      <c r="P5332">
        <v>0.99702440000000003</v>
      </c>
      <c r="Q5332">
        <v>6.3967969999999999E-2</v>
      </c>
      <c r="R5332">
        <v>-4.3018199999999902E-2</v>
      </c>
      <c r="S5332">
        <v>3.002777</v>
      </c>
      <c r="T5332">
        <v>-0.106890899999999</v>
      </c>
      <c r="U5332">
        <v>-0.29376219999999997</v>
      </c>
      <c r="V5332">
        <v>-1.1196319999999999E-2</v>
      </c>
      <c r="W5332">
        <v>7.5247939999999999E-2</v>
      </c>
      <c r="X5332">
        <v>0.99710200000000004</v>
      </c>
      <c r="Y5332">
        <v>4.3149380000000001E-2</v>
      </c>
      <c r="Z5332">
        <v>1.1611289999999999E-3</v>
      </c>
      <c r="AA5332">
        <v>0.99906799999999996</v>
      </c>
      <c r="AB5332">
        <v>26</v>
      </c>
      <c r="AC5332">
        <v>30.9284999999999</v>
      </c>
      <c r="AD5332">
        <v>-1.1098083040669999</v>
      </c>
      <c r="AE5332">
        <v>-3.0364799999999899</v>
      </c>
      <c r="AF5332">
        <v>1.3497019193934601</v>
      </c>
      <c r="AG5332">
        <v>-1.1098083040669999</v>
      </c>
      <c r="AH5332">
        <v>31.008256692164899</v>
      </c>
      <c r="AI5332">
        <v>92.047845760872406</v>
      </c>
      <c r="AJ5332">
        <v>87.507649606947197</v>
      </c>
      <c r="AK5332">
        <v>31.0574524523532</v>
      </c>
      <c r="AL5332">
        <v>85.684531541202901</v>
      </c>
      <c r="AM5332">
        <v>90.643339319713903</v>
      </c>
      <c r="AN5332">
        <v>1.00000000422989</v>
      </c>
    </row>
    <row r="5333" spans="1:40" x14ac:dyDescent="0.25">
      <c r="A5333" t="str">
        <f>"20190312151133654"</f>
        <v>20190312151133654</v>
      </c>
      <c r="B5333" t="str">
        <f>"1552374693646490"</f>
        <v>1552374693646490</v>
      </c>
      <c r="C5333" t="s">
        <v>40</v>
      </c>
      <c r="D5333">
        <v>5.3069920000000002</v>
      </c>
      <c r="E5333">
        <v>0.52122069999999998</v>
      </c>
      <c r="F5333" t="s">
        <v>42</v>
      </c>
      <c r="G5333">
        <v>-348.59199999999998</v>
      </c>
      <c r="H5333" s="1">
        <v>-2.3104380000000001E-6</v>
      </c>
      <c r="I5333">
        <v>12.68117</v>
      </c>
      <c r="J5333">
        <v>-379.4006</v>
      </c>
      <c r="K5333">
        <v>1.10981</v>
      </c>
      <c r="L5333">
        <v>15.701930000000001</v>
      </c>
      <c r="M5333">
        <v>0.99845470000000003</v>
      </c>
      <c r="N5333">
        <v>0</v>
      </c>
      <c r="O5333">
        <v>-5.4417769999999997E-2</v>
      </c>
      <c r="P5333">
        <v>0.9970175</v>
      </c>
      <c r="Q5333">
        <v>6.4280790000000004E-2</v>
      </c>
      <c r="R5333">
        <v>-4.2710610000000003E-2</v>
      </c>
      <c r="S5333">
        <v>3.0032040000000002</v>
      </c>
      <c r="T5333">
        <v>-0.1076778</v>
      </c>
      <c r="U5333">
        <v>-0.2938538</v>
      </c>
      <c r="V5333">
        <v>-1.1588319999999999E-2</v>
      </c>
      <c r="W5333">
        <v>7.5535610000000003E-2</v>
      </c>
      <c r="X5333">
        <v>0.99707570000000001</v>
      </c>
      <c r="Y5333">
        <v>4.3082000000000002E-2</v>
      </c>
      <c r="Z5333">
        <v>1.173702E-3</v>
      </c>
      <c r="AA5333">
        <v>0.99907080000000004</v>
      </c>
      <c r="AB5333">
        <v>26</v>
      </c>
      <c r="AC5333">
        <v>30.808599999999998</v>
      </c>
      <c r="AD5333">
        <v>-1.109812310438</v>
      </c>
      <c r="AE5333">
        <v>-3.0207599999999899</v>
      </c>
      <c r="AF5333">
        <v>1.33792211283256</v>
      </c>
      <c r="AG5333">
        <v>-1.109812310438</v>
      </c>
      <c r="AH5333">
        <v>30.887637716421999</v>
      </c>
      <c r="AI5333">
        <v>92.055862166775697</v>
      </c>
      <c r="AJ5333">
        <v>87.519739059833597</v>
      </c>
      <c r="AK5333">
        <v>30.936513744204301</v>
      </c>
      <c r="AL5333">
        <v>85.668001919220899</v>
      </c>
      <c r="AM5333">
        <v>90.665879164961595</v>
      </c>
      <c r="AN5333">
        <v>0.99999993453448999</v>
      </c>
    </row>
    <row r="5334" spans="1:40" x14ac:dyDescent="0.25">
      <c r="A5334" t="str">
        <f>"20190312151133665"</f>
        <v>20190312151133665</v>
      </c>
      <c r="B5334" t="str">
        <f>"1552374693656249"</f>
        <v>1552374693656249</v>
      </c>
      <c r="C5334" t="s">
        <v>40</v>
      </c>
      <c r="D5334">
        <v>5.2695169999999996</v>
      </c>
      <c r="E5334">
        <v>0.52133260000000003</v>
      </c>
      <c r="F5334" t="s">
        <v>42</v>
      </c>
      <c r="G5334">
        <v>-348.83789999999999</v>
      </c>
      <c r="H5334" s="1">
        <v>-2.2197609999999999E-6</v>
      </c>
      <c r="I5334">
        <v>12.70753</v>
      </c>
      <c r="J5334">
        <v>-379.27030000000002</v>
      </c>
      <c r="K5334">
        <v>1.109815</v>
      </c>
      <c r="L5334">
        <v>15.69476</v>
      </c>
      <c r="M5334">
        <v>0.99845119999999998</v>
      </c>
      <c r="N5334">
        <v>0</v>
      </c>
      <c r="O5334">
        <v>-5.448646E-2</v>
      </c>
      <c r="P5334">
        <v>0.9970002</v>
      </c>
      <c r="Q5334">
        <v>6.4628660000000004E-2</v>
      </c>
      <c r="R5334">
        <v>-4.2591669999999998E-2</v>
      </c>
      <c r="S5334">
        <v>3.003387</v>
      </c>
      <c r="T5334">
        <v>-0.1090608</v>
      </c>
      <c r="U5334">
        <v>-0.29425050000000003</v>
      </c>
      <c r="V5334">
        <v>-1.177535E-2</v>
      </c>
      <c r="W5334">
        <v>7.5861769999999995E-2</v>
      </c>
      <c r="X5334">
        <v>0.99704879999999996</v>
      </c>
      <c r="Y5334">
        <v>4.3138269999999999E-2</v>
      </c>
      <c r="Z5334">
        <v>1.190148E-3</v>
      </c>
      <c r="AA5334">
        <v>0.99906839999999997</v>
      </c>
      <c r="AB5334">
        <v>26</v>
      </c>
      <c r="AC5334">
        <v>30.432400000000001</v>
      </c>
      <c r="AD5334">
        <v>-1.1098172197609999</v>
      </c>
      <c r="AE5334">
        <v>-2.9872299999999998</v>
      </c>
      <c r="AF5334">
        <v>1.3227909263975399</v>
      </c>
      <c r="AG5334">
        <v>-1.1098172197609999</v>
      </c>
      <c r="AH5334">
        <v>30.509772324023601</v>
      </c>
      <c r="AI5334">
        <v>92.081307442759098</v>
      </c>
      <c r="AJ5334">
        <v>87.517421614813998</v>
      </c>
      <c r="AK5334">
        <v>30.558594165308001</v>
      </c>
      <c r="AL5334">
        <v>85.649260786928394</v>
      </c>
      <c r="AM5334">
        <v>90.676643401690797</v>
      </c>
      <c r="AN5334">
        <v>0.99999998829829695</v>
      </c>
    </row>
    <row r="5335" spans="1:40" x14ac:dyDescent="0.25">
      <c r="A5335" t="str">
        <f>"20190312151133678"</f>
        <v>20190312151133678</v>
      </c>
      <c r="B5335" t="str">
        <f>"1552374693666986"</f>
        <v>1552374693666986</v>
      </c>
      <c r="C5335" t="s">
        <v>40</v>
      </c>
      <c r="D5335">
        <v>5.2851749999999997</v>
      </c>
      <c r="E5335">
        <v>0.52146349999999997</v>
      </c>
      <c r="F5335" t="s">
        <v>42</v>
      </c>
      <c r="G5335">
        <v>-348.82100000000003</v>
      </c>
      <c r="H5335" s="1">
        <v>-2.2262680000000001E-6</v>
      </c>
      <c r="I5335">
        <v>12.704750000000001</v>
      </c>
      <c r="J5335">
        <v>-379.12169999999998</v>
      </c>
      <c r="K5335">
        <v>1.1098239999999999</v>
      </c>
      <c r="L5335">
        <v>15.68655</v>
      </c>
      <c r="M5335">
        <v>0.99844730000000004</v>
      </c>
      <c r="N5335">
        <v>0</v>
      </c>
      <c r="O5335">
        <v>-5.4560839999999999E-2</v>
      </c>
      <c r="P5335">
        <v>0.99698980000000004</v>
      </c>
      <c r="Q5335">
        <v>6.4996999999999999E-2</v>
      </c>
      <c r="R5335">
        <v>-4.2272879999999999E-2</v>
      </c>
      <c r="S5335">
        <v>3.003479</v>
      </c>
      <c r="T5335">
        <v>-0.1094707</v>
      </c>
      <c r="U5335">
        <v>-0.29492190000000001</v>
      </c>
      <c r="V5335">
        <v>-1.216916E-2</v>
      </c>
      <c r="W5335">
        <v>7.6206479999999993E-2</v>
      </c>
      <c r="X5335">
        <v>0.99701779999999995</v>
      </c>
      <c r="Y5335">
        <v>4.328212E-2</v>
      </c>
      <c r="Z5335">
        <v>1.1946490000000001E-3</v>
      </c>
      <c r="AA5335">
        <v>0.99906220000000001</v>
      </c>
      <c r="AB5335">
        <v>26</v>
      </c>
      <c r="AC5335">
        <v>30.300699999999999</v>
      </c>
      <c r="AD5335">
        <v>-1.1098262262680001</v>
      </c>
      <c r="AE5335">
        <v>-2.9817999999999998</v>
      </c>
      <c r="AF5335">
        <v>1.32226513693498</v>
      </c>
      <c r="AG5335">
        <v>-1.1098262262680001</v>
      </c>
      <c r="AH5335">
        <v>30.377897213236899</v>
      </c>
      <c r="AI5335">
        <v>92.090336191328504</v>
      </c>
      <c r="AJ5335">
        <v>87.507647748874504</v>
      </c>
      <c r="AK5335">
        <v>30.4269081315019</v>
      </c>
      <c r="AL5335">
        <v>85.629453091418597</v>
      </c>
      <c r="AM5335">
        <v>90.699292316851796</v>
      </c>
      <c r="AN5335">
        <v>1.00000000478296</v>
      </c>
    </row>
    <row r="5336" spans="1:40" x14ac:dyDescent="0.25">
      <c r="A5336" t="str">
        <f>"20190312151133691"</f>
        <v>20190312151133691</v>
      </c>
      <c r="B5336" t="str">
        <f>"1552374693686506"</f>
        <v>1552374693686506</v>
      </c>
      <c r="C5336" t="s">
        <v>40</v>
      </c>
      <c r="D5336">
        <v>5.4120889999999999</v>
      </c>
      <c r="E5336">
        <v>0.52151159999999996</v>
      </c>
      <c r="F5336" t="s">
        <v>42</v>
      </c>
      <c r="G5336">
        <v>-348.72320000000002</v>
      </c>
      <c r="H5336" s="1">
        <v>-2.260839E-6</v>
      </c>
      <c r="I5336">
        <v>12.69988</v>
      </c>
      <c r="J5336">
        <v>-378.95650000000001</v>
      </c>
      <c r="K5336">
        <v>1.1098410000000001</v>
      </c>
      <c r="L5336">
        <v>15.677490000000001</v>
      </c>
      <c r="M5336">
        <v>0.9984442</v>
      </c>
      <c r="N5336">
        <v>0</v>
      </c>
      <c r="O5336">
        <v>-5.4621540000000003E-2</v>
      </c>
      <c r="P5336">
        <v>0.99696560000000001</v>
      </c>
      <c r="Q5336">
        <v>6.5455470000000002E-2</v>
      </c>
      <c r="R5336">
        <v>-4.2133509999999999E-2</v>
      </c>
      <c r="S5336">
        <v>3.0036930000000002</v>
      </c>
      <c r="T5336">
        <v>-0.1096623</v>
      </c>
      <c r="U5336">
        <v>-0.29510500000000001</v>
      </c>
      <c r="V5336">
        <v>-1.2370320000000001E-2</v>
      </c>
      <c r="W5336">
        <v>7.6641029999999999E-2</v>
      </c>
      <c r="X5336">
        <v>0.99698200000000003</v>
      </c>
      <c r="Y5336">
        <v>4.327487E-2</v>
      </c>
      <c r="Z5336">
        <v>1.198986E-3</v>
      </c>
      <c r="AA5336">
        <v>0.99906249999999996</v>
      </c>
      <c r="AB5336">
        <v>26</v>
      </c>
      <c r="AC5336">
        <v>30.2332999999999</v>
      </c>
      <c r="AD5336">
        <v>-1.1098432608390001</v>
      </c>
      <c r="AE5336">
        <v>-2.9776099999999901</v>
      </c>
      <c r="AF5336">
        <v>1.3199094899777499</v>
      </c>
      <c r="AG5336">
        <v>-1.1098432608390001</v>
      </c>
      <c r="AH5336">
        <v>30.310358758026101</v>
      </c>
      <c r="AI5336">
        <v>92.095020169902696</v>
      </c>
      <c r="AJ5336">
        <v>87.506545685718905</v>
      </c>
      <c r="AK5336">
        <v>30.359376824395</v>
      </c>
      <c r="AL5336">
        <v>85.604482117391797</v>
      </c>
      <c r="AM5336">
        <v>90.710876182707096</v>
      </c>
      <c r="AN5336">
        <v>0.99999999031018105</v>
      </c>
    </row>
    <row r="5337" spans="1:40" x14ac:dyDescent="0.25">
      <c r="A5337" t="str">
        <f>"20190312151133709"</f>
        <v>20190312151133709</v>
      </c>
      <c r="B5337" t="str">
        <f>"1552374693707002"</f>
        <v>1552374693707002</v>
      </c>
      <c r="C5337" t="s">
        <v>40</v>
      </c>
      <c r="D5337">
        <v>5.3076559999999997</v>
      </c>
      <c r="E5337">
        <v>0.5216151</v>
      </c>
      <c r="F5337" t="s">
        <v>42</v>
      </c>
      <c r="G5337">
        <v>-347.78</v>
      </c>
      <c r="H5337" s="1">
        <v>-2.6047810000000001E-6</v>
      </c>
      <c r="I5337">
        <v>12.613479999999999</v>
      </c>
      <c r="J5337">
        <v>-378.74689999999998</v>
      </c>
      <c r="K5337">
        <v>1.1098629999999901</v>
      </c>
      <c r="L5337">
        <v>15.66595</v>
      </c>
      <c r="M5337">
        <v>0.99844129999999998</v>
      </c>
      <c r="N5337">
        <v>0</v>
      </c>
      <c r="O5337">
        <v>-5.4680220000000002E-2</v>
      </c>
      <c r="P5337">
        <v>0.99691929999999995</v>
      </c>
      <c r="Q5337">
        <v>6.6328739999999997E-2</v>
      </c>
      <c r="R5337">
        <v>-4.1862870000000003E-2</v>
      </c>
      <c r="S5337">
        <v>3.0037229999999999</v>
      </c>
      <c r="T5337">
        <v>-0.1069288</v>
      </c>
      <c r="U5337">
        <v>-0.29519649999999997</v>
      </c>
      <c r="V5337">
        <v>-1.2700360000000001E-2</v>
      </c>
      <c r="W5337">
        <v>7.7485360000000003E-2</v>
      </c>
      <c r="X5337">
        <v>0.99691260000000004</v>
      </c>
      <c r="Y5337">
        <v>4.3245029999999997E-2</v>
      </c>
      <c r="Z5337">
        <v>1.1717120000000001E-3</v>
      </c>
      <c r="AA5337">
        <v>0.99906379999999995</v>
      </c>
      <c r="AB5337">
        <v>26</v>
      </c>
      <c r="AC5337">
        <v>30.966899999999999</v>
      </c>
      <c r="AD5337">
        <v>-1.1098656047809901</v>
      </c>
      <c r="AE5337">
        <v>-3.05247</v>
      </c>
      <c r="AF5337">
        <v>1.35279890710077</v>
      </c>
      <c r="AG5337">
        <v>-1.1098656047809901</v>
      </c>
      <c r="AH5337">
        <v>31.047986951431401</v>
      </c>
      <c r="AI5337">
        <v>92.045329076537897</v>
      </c>
      <c r="AJ5337">
        <v>87.505130546307697</v>
      </c>
      <c r="AK5337">
        <v>31.097256475129502</v>
      </c>
      <c r="AL5337">
        <v>85.555961349467793</v>
      </c>
      <c r="AM5337">
        <v>90.729891128730401</v>
      </c>
      <c r="AN5337">
        <v>1.0000000060986001</v>
      </c>
    </row>
    <row r="5338" spans="1:40" x14ac:dyDescent="0.25">
      <c r="A5338" t="str">
        <f>"20190312151133732"</f>
        <v>20190312151133732</v>
      </c>
      <c r="B5338" t="str">
        <f>"1552374693726522"</f>
        <v>1552374693726522</v>
      </c>
      <c r="C5338" t="s">
        <v>40</v>
      </c>
      <c r="D5338">
        <v>5.2616759999999996</v>
      </c>
      <c r="E5338">
        <v>0.52166440000000003</v>
      </c>
      <c r="F5338" t="s">
        <v>42</v>
      </c>
      <c r="G5338">
        <v>-346.49740000000003</v>
      </c>
      <c r="H5338" s="1">
        <v>-3.0731869999999999E-6</v>
      </c>
      <c r="I5338">
        <v>12.49357</v>
      </c>
      <c r="J5338">
        <v>-378.48869999999999</v>
      </c>
      <c r="K5338">
        <v>1.10989</v>
      </c>
      <c r="L5338">
        <v>15.651730000000001</v>
      </c>
      <c r="M5338">
        <v>0.99843930000000003</v>
      </c>
      <c r="N5338">
        <v>0</v>
      </c>
      <c r="O5338">
        <v>-5.4724269999999998E-2</v>
      </c>
      <c r="P5338">
        <v>0.9968534</v>
      </c>
      <c r="Q5338">
        <v>6.7452399999999899E-2</v>
      </c>
      <c r="R5338">
        <v>-4.1639170000000003E-2</v>
      </c>
      <c r="S5338">
        <v>3.0037539999999998</v>
      </c>
      <c r="T5338">
        <v>-0.10337399999999999</v>
      </c>
      <c r="U5338">
        <v>-0.29547119999999999</v>
      </c>
      <c r="V5338">
        <v>-1.2968779999999999E-2</v>
      </c>
      <c r="W5338">
        <v>7.8576850000000004E-2</v>
      </c>
      <c r="X5338">
        <v>0.99682369999999998</v>
      </c>
      <c r="Y5338">
        <v>4.3290000000000002E-2</v>
      </c>
      <c r="Z5338">
        <v>1.1335E-3</v>
      </c>
      <c r="AA5338">
        <v>0.99906189999999995</v>
      </c>
      <c r="AB5338">
        <v>26</v>
      </c>
      <c r="AC5338">
        <v>31.991299999999899</v>
      </c>
      <c r="AD5338">
        <v>-1.109893073187</v>
      </c>
      <c r="AE5338">
        <v>-3.1581599999999899</v>
      </c>
      <c r="AF5338">
        <v>1.40094766975978</v>
      </c>
      <c r="AG5338">
        <v>-1.109893073187</v>
      </c>
      <c r="AH5338">
        <v>32.077956120811002</v>
      </c>
      <c r="AI5338">
        <v>91.979750298545696</v>
      </c>
      <c r="AJ5338">
        <v>87.499297850923597</v>
      </c>
      <c r="AK5338">
        <v>32.127710561071602</v>
      </c>
      <c r="AL5338">
        <v>85.493232282051494</v>
      </c>
      <c r="AM5338">
        <v>90.745381996591803</v>
      </c>
      <c r="AN5338">
        <v>0.99999999974614995</v>
      </c>
    </row>
    <row r="5339" spans="1:40" x14ac:dyDescent="0.25">
      <c r="A5339" t="str">
        <f>"20190312151133746"</f>
        <v>20190312151133746</v>
      </c>
      <c r="B5339" t="str">
        <f>"1552374693736282"</f>
        <v>1552374693736282</v>
      </c>
      <c r="C5339" t="s">
        <v>40</v>
      </c>
      <c r="D5339">
        <v>5.2426949999999897</v>
      </c>
      <c r="E5339">
        <v>0.52171250000000002</v>
      </c>
      <c r="F5339" t="s">
        <v>42</v>
      </c>
      <c r="G5339">
        <v>-343.95890000000003</v>
      </c>
      <c r="H5339" s="1">
        <v>-4.000443E-6</v>
      </c>
      <c r="I5339">
        <v>12.255330000000001</v>
      </c>
      <c r="J5339">
        <v>-378.32830000000001</v>
      </c>
      <c r="K5339">
        <v>1.1099079999999999</v>
      </c>
      <c r="L5339">
        <v>15.642910000000001</v>
      </c>
      <c r="M5339">
        <v>0.99843890000000002</v>
      </c>
      <c r="N5339">
        <v>0</v>
      </c>
      <c r="O5339">
        <v>-5.473372E-2</v>
      </c>
      <c r="P5339">
        <v>0.9968032</v>
      </c>
      <c r="Q5339">
        <v>6.8238709999999994E-2</v>
      </c>
      <c r="R5339">
        <v>-4.1557129999999998E-2</v>
      </c>
      <c r="S5339">
        <v>3.0036930000000002</v>
      </c>
      <c r="T5339">
        <v>-9.6547720000000004E-2</v>
      </c>
      <c r="U5339">
        <v>-0.2954407</v>
      </c>
      <c r="V5339">
        <v>-1.306068E-2</v>
      </c>
      <c r="W5339">
        <v>7.9343109999999994E-2</v>
      </c>
      <c r="X5339">
        <v>0.99676180000000003</v>
      </c>
      <c r="Y5339">
        <v>4.3271629999999998E-2</v>
      </c>
      <c r="Z5339">
        <v>1.0593079999999999E-3</v>
      </c>
      <c r="AA5339">
        <v>0.99906280000000003</v>
      </c>
      <c r="AB5339">
        <v>26</v>
      </c>
      <c r="AC5339">
        <v>34.369399999999899</v>
      </c>
      <c r="AD5339">
        <v>-1.1099120004430001</v>
      </c>
      <c r="AE5339">
        <v>-3.3875799999999998</v>
      </c>
      <c r="AF5339">
        <v>1.49967067344645</v>
      </c>
      <c r="AG5339">
        <v>-1.1099120004430001</v>
      </c>
      <c r="AH5339">
        <v>34.467700025297397</v>
      </c>
      <c r="AI5339">
        <v>91.842631226707994</v>
      </c>
      <c r="AJ5339">
        <v>87.508663442301597</v>
      </c>
      <c r="AK5339">
        <v>34.518158435979899</v>
      </c>
      <c r="AL5339">
        <v>85.449191304586705</v>
      </c>
      <c r="AM5339">
        <v>90.750709968166802</v>
      </c>
      <c r="AN5339">
        <v>0.99999999820288699</v>
      </c>
    </row>
    <row r="5340" spans="1:40" x14ac:dyDescent="0.25">
      <c r="A5340" t="str">
        <f>"20190312151133765"</f>
        <v>20190312151133765</v>
      </c>
      <c r="B5340" t="str">
        <f>"1552374693756777"</f>
        <v>1552374693756777</v>
      </c>
      <c r="C5340" t="s">
        <v>40</v>
      </c>
      <c r="D5340">
        <v>5.2080500000000001</v>
      </c>
      <c r="E5340">
        <v>0.52174089999999995</v>
      </c>
      <c r="F5340" t="s">
        <v>42</v>
      </c>
      <c r="G5340">
        <v>-343.35</v>
      </c>
      <c r="H5340" s="1">
        <v>-4.222444E-6</v>
      </c>
      <c r="I5340">
        <v>12.19969</v>
      </c>
      <c r="J5340">
        <v>-378.09899999999999</v>
      </c>
      <c r="K5340">
        <v>1.1099380000000001</v>
      </c>
      <c r="L5340">
        <v>15.630369999999999</v>
      </c>
      <c r="M5340">
        <v>0.99844010000000005</v>
      </c>
      <c r="N5340">
        <v>0</v>
      </c>
      <c r="O5340">
        <v>-5.471906E-2</v>
      </c>
      <c r="P5340">
        <v>0.99671270000000001</v>
      </c>
      <c r="Q5340">
        <v>6.9936639999999994E-2</v>
      </c>
      <c r="R5340">
        <v>-4.0899539999999998E-2</v>
      </c>
      <c r="S5340">
        <v>3.0038149999999999</v>
      </c>
      <c r="T5340">
        <v>-9.53151E-2</v>
      </c>
      <c r="U5340">
        <v>-0.29568480000000003</v>
      </c>
      <c r="V5340">
        <v>-1.370238E-2</v>
      </c>
      <c r="W5340">
        <v>8.1011410000000006E-2</v>
      </c>
      <c r="X5340">
        <v>0.99661900000000003</v>
      </c>
      <c r="Y5340">
        <v>4.3362589999999999E-2</v>
      </c>
      <c r="Z5340">
        <v>1.0438400000000001E-3</v>
      </c>
      <c r="AA5340">
        <v>0.99905880000000002</v>
      </c>
      <c r="AB5340">
        <v>26</v>
      </c>
      <c r="AC5340">
        <v>34.748999999999903</v>
      </c>
      <c r="AD5340">
        <v>-1.1099422224440001</v>
      </c>
      <c r="AE5340">
        <v>-3.4306800000000002</v>
      </c>
      <c r="AF5340">
        <v>1.5224514193441001</v>
      </c>
      <c r="AG5340">
        <v>-1.1099422224440001</v>
      </c>
      <c r="AH5340">
        <v>34.849454714229701</v>
      </c>
      <c r="AI5340">
        <v>91.822495561021398</v>
      </c>
      <c r="AJ5340">
        <v>87.498537299345401</v>
      </c>
      <c r="AK5340">
        <v>34.900348478784203</v>
      </c>
      <c r="AL5340">
        <v>85.353296110543397</v>
      </c>
      <c r="AM5340">
        <v>90.787702301610395</v>
      </c>
      <c r="AN5340">
        <v>1.0000000174644199</v>
      </c>
    </row>
    <row r="5341" spans="1:40" x14ac:dyDescent="0.25">
      <c r="A5341" t="str">
        <f>"20190312151133776"</f>
        <v>20190312151133776</v>
      </c>
      <c r="B5341" t="str">
        <f>"1552374693766537"</f>
        <v>1552374693766537</v>
      </c>
      <c r="C5341" t="s">
        <v>40</v>
      </c>
      <c r="D5341">
        <v>5.2233999999999998</v>
      </c>
      <c r="E5341">
        <v>0.52184140000000001</v>
      </c>
      <c r="F5341" t="s">
        <v>42</v>
      </c>
      <c r="G5341">
        <v>-343.02589999999998</v>
      </c>
      <c r="H5341" s="1">
        <v>-4.333227E-6</v>
      </c>
      <c r="I5341">
        <v>12.197850000000001</v>
      </c>
      <c r="J5341">
        <v>-377.96449999999999</v>
      </c>
      <c r="K5341">
        <v>1.1099540000000001</v>
      </c>
      <c r="L5341">
        <v>15.62299</v>
      </c>
      <c r="M5341">
        <v>0.99844160000000004</v>
      </c>
      <c r="N5341">
        <v>0</v>
      </c>
      <c r="O5341">
        <v>-5.4695399999999998E-2</v>
      </c>
      <c r="P5341">
        <v>0.99668290000000004</v>
      </c>
      <c r="Q5341">
        <v>7.0616559999999995E-2</v>
      </c>
      <c r="R5341">
        <v>-4.045667E-2</v>
      </c>
      <c r="S5341">
        <v>3.0045169999999999</v>
      </c>
      <c r="T5341">
        <v>-9.5082399999999997E-2</v>
      </c>
      <c r="U5341">
        <v>-0.29403689999999999</v>
      </c>
      <c r="V5341">
        <v>-1.412218E-2</v>
      </c>
      <c r="W5341">
        <v>8.1673449999999995E-2</v>
      </c>
      <c r="X5341">
        <v>0.99655910000000003</v>
      </c>
      <c r="Y5341">
        <v>4.2820999999999998E-2</v>
      </c>
      <c r="Z5341">
        <v>1.048888E-3</v>
      </c>
      <c r="AA5341">
        <v>0.99908220000000003</v>
      </c>
      <c r="AB5341">
        <v>26</v>
      </c>
      <c r="AC5341">
        <v>34.938600000000001</v>
      </c>
      <c r="AD5341">
        <v>-1.109958333227</v>
      </c>
      <c r="AE5341">
        <v>-3.4251399999999901</v>
      </c>
      <c r="AF5341">
        <v>1.5074073163878701</v>
      </c>
      <c r="AG5341">
        <v>-1.109958333227</v>
      </c>
      <c r="AH5341">
        <v>35.038618008906198</v>
      </c>
      <c r="AI5341">
        <v>91.812741457937506</v>
      </c>
      <c r="AJ5341">
        <v>87.536579439168193</v>
      </c>
      <c r="AK5341">
        <v>35.088588405534999</v>
      </c>
      <c r="AL5341">
        <v>85.315237880042403</v>
      </c>
      <c r="AM5341">
        <v>90.811880755819203</v>
      </c>
      <c r="AN5341">
        <v>1.00000001409783</v>
      </c>
    </row>
    <row r="5342" spans="1:40" x14ac:dyDescent="0.25">
      <c r="A5342" t="str">
        <f>"20190312151133789"</f>
        <v>20190312151133789</v>
      </c>
      <c r="B5342" t="str">
        <f>"1552374693787033"</f>
        <v>1552374693787033</v>
      </c>
      <c r="C5342" t="s">
        <v>40</v>
      </c>
      <c r="D5342">
        <v>5.2456649999999998</v>
      </c>
      <c r="E5342">
        <v>0.52178570000000002</v>
      </c>
      <c r="F5342" t="s">
        <v>42</v>
      </c>
      <c r="G5342">
        <v>-342.61360000000002</v>
      </c>
      <c r="H5342" s="1">
        <v>-4.4815189999999997E-6</v>
      </c>
      <c r="I5342">
        <v>12.167859999999999</v>
      </c>
      <c r="J5342">
        <v>-377.80779999999999</v>
      </c>
      <c r="K5342">
        <v>1.1099730000000001</v>
      </c>
      <c r="L5342">
        <v>15.61444</v>
      </c>
      <c r="M5342">
        <v>0.99844480000000002</v>
      </c>
      <c r="N5342">
        <v>0</v>
      </c>
      <c r="O5342">
        <v>-5.4640420000000002E-2</v>
      </c>
      <c r="P5342">
        <v>0.9966699</v>
      </c>
      <c r="Q5342">
        <v>7.1149980000000002E-2</v>
      </c>
      <c r="R5342">
        <v>-3.9839550000000001E-2</v>
      </c>
      <c r="S5342">
        <v>3.0047609999999998</v>
      </c>
      <c r="T5342">
        <v>-9.4344140000000007E-2</v>
      </c>
      <c r="U5342">
        <v>-0.29367070000000001</v>
      </c>
      <c r="V5342">
        <v>-1.468704E-2</v>
      </c>
      <c r="W5342">
        <v>8.2187200000000002E-2</v>
      </c>
      <c r="X5342">
        <v>0.99650870000000003</v>
      </c>
      <c r="Y5342">
        <v>4.2747460000000001E-2</v>
      </c>
      <c r="Z5342">
        <v>1.0401049999999999E-3</v>
      </c>
      <c r="AA5342">
        <v>0.99908540000000001</v>
      </c>
      <c r="AB5342">
        <v>26</v>
      </c>
      <c r="AC5342">
        <v>35.194199999999903</v>
      </c>
      <c r="AD5342">
        <v>-1.10997748151899</v>
      </c>
      <c r="AE5342">
        <v>-3.4465799999999902</v>
      </c>
      <c r="AF5342">
        <v>1.5167925347293001</v>
      </c>
      <c r="AG5342">
        <v>-1.10997748151899</v>
      </c>
      <c r="AH5342">
        <v>35.295176788505898</v>
      </c>
      <c r="AI5342">
        <v>91.799608069617193</v>
      </c>
      <c r="AJ5342">
        <v>87.539256682991905</v>
      </c>
      <c r="AK5342">
        <v>35.345186576601598</v>
      </c>
      <c r="AL5342">
        <v>85.285702892586798</v>
      </c>
      <c r="AM5342">
        <v>90.844392509527196</v>
      </c>
      <c r="AN5342">
        <v>1.00000001708174</v>
      </c>
    </row>
    <row r="5343" spans="1:40" x14ac:dyDescent="0.25">
      <c r="A5343" t="str">
        <f>"20190312151133804"</f>
        <v>20190312151133804</v>
      </c>
      <c r="B5343" t="str">
        <f>"1552374693796794"</f>
        <v>1552374693796794</v>
      </c>
      <c r="C5343" t="s">
        <v>40</v>
      </c>
      <c r="D5343">
        <v>5.339499</v>
      </c>
      <c r="E5343">
        <v>0.48862</v>
      </c>
      <c r="F5343" t="s">
        <v>42</v>
      </c>
      <c r="G5343">
        <v>-341.5849</v>
      </c>
      <c r="H5343" s="1">
        <v>-4.9255139999999996E-6</v>
      </c>
      <c r="I5343">
        <v>12.100429999999999</v>
      </c>
      <c r="J5343">
        <v>-377.64789999999999</v>
      </c>
      <c r="K5343">
        <v>1.1099950000000001</v>
      </c>
      <c r="L5343">
        <v>15.60577</v>
      </c>
      <c r="M5343">
        <v>0.99844909999999998</v>
      </c>
      <c r="N5343">
        <v>0</v>
      </c>
      <c r="O5343">
        <v>-5.4565740000000001E-2</v>
      </c>
      <c r="P5343">
        <v>0.99666739999999998</v>
      </c>
      <c r="Q5343">
        <v>7.1600150000000001E-2</v>
      </c>
      <c r="R5343">
        <v>-3.9083930000000003E-2</v>
      </c>
      <c r="S5343">
        <v>3.0049440000000001</v>
      </c>
      <c r="T5343">
        <v>-9.2080469999999998E-2</v>
      </c>
      <c r="U5343">
        <v>-0.29150389999999998</v>
      </c>
      <c r="V5343">
        <v>-1.537169E-2</v>
      </c>
      <c r="W5343">
        <v>8.2618209999999997E-2</v>
      </c>
      <c r="X5343">
        <v>0.99646270000000003</v>
      </c>
      <c r="Y5343">
        <v>4.2102639999999997E-2</v>
      </c>
      <c r="Z5343">
        <v>1.0227189999999901E-3</v>
      </c>
      <c r="AA5343">
        <v>0.99911280000000002</v>
      </c>
      <c r="AB5343">
        <v>26</v>
      </c>
      <c r="AC5343">
        <v>36.062999999999903</v>
      </c>
      <c r="AD5343">
        <v>-1.1099999255140001</v>
      </c>
      <c r="AE5343">
        <v>-3.5053399999999999</v>
      </c>
      <c r="AF5343">
        <v>1.5307561059902901</v>
      </c>
      <c r="AG5343">
        <v>-1.1099999255140001</v>
      </c>
      <c r="AH5343">
        <v>36.166606535082302</v>
      </c>
      <c r="AI5343">
        <v>91.756358249266199</v>
      </c>
      <c r="AJ5343">
        <v>87.576395565163693</v>
      </c>
      <c r="AK5343">
        <v>36.216001192209603</v>
      </c>
      <c r="AL5343">
        <v>85.260923414768001</v>
      </c>
      <c r="AM5343">
        <v>90.883789336474393</v>
      </c>
      <c r="AN5343">
        <v>0.99999998498417497</v>
      </c>
    </row>
    <row r="5344" spans="1:40" x14ac:dyDescent="0.25">
      <c r="A5344" t="str">
        <f>"20190312151133822"</f>
        <v>20190312151133822</v>
      </c>
      <c r="B5344" t="str">
        <f>"1552374693816313"</f>
        <v>1552374693816313</v>
      </c>
      <c r="C5344" t="s">
        <v>40</v>
      </c>
      <c r="D5344">
        <v>5.1830569999999998</v>
      </c>
      <c r="E5344">
        <v>0.47997400000000001</v>
      </c>
      <c r="F5344" t="s">
        <v>42</v>
      </c>
      <c r="G5344">
        <v>-350.7217</v>
      </c>
      <c r="H5344" s="1">
        <v>-4.7135090000000003E-6</v>
      </c>
      <c r="I5344">
        <v>15.383240000000001</v>
      </c>
      <c r="J5344">
        <v>-377.43150000000003</v>
      </c>
      <c r="K5344">
        <v>1.110039</v>
      </c>
      <c r="L5344">
        <v>15.59409</v>
      </c>
      <c r="M5344">
        <v>0.99845720000000004</v>
      </c>
      <c r="N5344">
        <v>0</v>
      </c>
      <c r="O5344">
        <v>-5.4423020000000003E-2</v>
      </c>
      <c r="P5344">
        <v>0.99665870000000001</v>
      </c>
      <c r="Q5344">
        <v>7.2487469999999998E-2</v>
      </c>
      <c r="R5344">
        <v>-3.76511E-2</v>
      </c>
      <c r="S5344">
        <v>3.018005</v>
      </c>
      <c r="T5344">
        <v>-0.1244136</v>
      </c>
      <c r="U5344">
        <v>-2.4932860000000001E-2</v>
      </c>
      <c r="V5344">
        <v>-1.6667629999999999E-2</v>
      </c>
      <c r="W5344">
        <v>8.3481159999999999E-2</v>
      </c>
      <c r="X5344">
        <v>0.99636999999999998</v>
      </c>
      <c r="Y5344">
        <v>-4.6090289999999999E-2</v>
      </c>
      <c r="Z5344">
        <v>3.1912989999999999E-3</v>
      </c>
      <c r="AA5344">
        <v>0.99893220000000005</v>
      </c>
      <c r="AB5344">
        <v>26</v>
      </c>
      <c r="AC5344">
        <v>26.709800000000001</v>
      </c>
      <c r="AD5344">
        <v>-1.110043713509</v>
      </c>
      <c r="AE5344">
        <v>-0.21085000000000001</v>
      </c>
      <c r="AF5344">
        <v>-1.24103534979323</v>
      </c>
      <c r="AG5344">
        <v>-1.110043713509</v>
      </c>
      <c r="AH5344">
        <v>26.6356843456437</v>
      </c>
      <c r="AI5344">
        <v>92.383840881948899</v>
      </c>
      <c r="AJ5344">
        <v>92.667650620116405</v>
      </c>
      <c r="AK5344">
        <v>26.687675926279201</v>
      </c>
      <c r="AL5344">
        <v>85.211308910775898</v>
      </c>
      <c r="AM5344">
        <v>90.958374688263007</v>
      </c>
      <c r="AN5344">
        <v>1.0000000454323801</v>
      </c>
    </row>
    <row r="5345" spans="1:40" x14ac:dyDescent="0.25">
      <c r="A5345" t="str">
        <f>"20190312151133836"</f>
        <v>20190312151133836</v>
      </c>
      <c r="B5345" t="str">
        <f>"1552374693827050"</f>
        <v>1552374693827050</v>
      </c>
      <c r="C5345" t="s">
        <v>40</v>
      </c>
      <c r="D5345">
        <v>5.1946019999999997</v>
      </c>
      <c r="E5345">
        <v>0.47856749999999998</v>
      </c>
      <c r="F5345" t="s">
        <v>90</v>
      </c>
      <c r="G5345">
        <v>-361.44170000000003</v>
      </c>
      <c r="H5345" s="1">
        <v>-4.714028E-6</v>
      </c>
      <c r="I5345">
        <v>15.8502299999999</v>
      </c>
      <c r="J5345">
        <v>-377.2518</v>
      </c>
      <c r="K5345">
        <v>1.1100760000000001</v>
      </c>
      <c r="L5345">
        <v>15.58441</v>
      </c>
      <c r="M5345">
        <v>0.99846570000000001</v>
      </c>
      <c r="N5345">
        <v>0</v>
      </c>
      <c r="O5345">
        <v>-5.427059E-2</v>
      </c>
      <c r="P5345">
        <v>0.99665490000000001</v>
      </c>
      <c r="Q5345">
        <v>7.2875620000000002E-2</v>
      </c>
      <c r="R5345">
        <v>-3.6994199999999998E-2</v>
      </c>
      <c r="S5345">
        <v>3.0271300000000001</v>
      </c>
      <c r="T5345">
        <v>-0.21014920000000001</v>
      </c>
      <c r="U5345">
        <v>4.8492430000000003E-2</v>
      </c>
      <c r="V5345">
        <v>-1.7178780000000001E-2</v>
      </c>
      <c r="W5345">
        <v>8.3851300000000004E-2</v>
      </c>
      <c r="X5345">
        <v>0.99633020000000005</v>
      </c>
      <c r="Y5345">
        <v>-6.9961609999999994E-2</v>
      </c>
      <c r="Z5345">
        <v>6.1874069999999998E-3</v>
      </c>
      <c r="AA5345">
        <v>0.99753049999999999</v>
      </c>
      <c r="AB5345">
        <v>26</v>
      </c>
      <c r="AC5345">
        <v>15.810099999999901</v>
      </c>
      <c r="AD5345">
        <v>-1.110080714028</v>
      </c>
      <c r="AE5345">
        <v>0.265819999999997</v>
      </c>
      <c r="AF5345">
        <v>-1.1179934917238199</v>
      </c>
      <c r="AG5345">
        <v>-1.110080714028</v>
      </c>
      <c r="AH5345">
        <v>15.695016897667299</v>
      </c>
      <c r="AI5345">
        <v>94.035500389192606</v>
      </c>
      <c r="AJ5345">
        <v>94.074433048927304</v>
      </c>
      <c r="AK5345">
        <v>15.7738943846235</v>
      </c>
      <c r="AL5345">
        <v>85.190026658679699</v>
      </c>
      <c r="AM5345">
        <v>90.987799096173703</v>
      </c>
      <c r="AN5345">
        <v>1.0000000092129999</v>
      </c>
    </row>
    <row r="5346" spans="1:40" x14ac:dyDescent="0.25">
      <c r="A5346" t="str">
        <f>"20190312151133855"</f>
        <v>20190312151133855</v>
      </c>
      <c r="B5346" t="str">
        <f>"1552374693846569"</f>
        <v>1552374693846569</v>
      </c>
      <c r="C5346" t="s">
        <v>40</v>
      </c>
      <c r="D5346">
        <v>5.1610180000000003</v>
      </c>
      <c r="E5346">
        <v>0.47910199999999997</v>
      </c>
      <c r="F5346" t="s">
        <v>90</v>
      </c>
      <c r="G5346">
        <v>-362.61840000000001</v>
      </c>
      <c r="H5346" s="1">
        <v>-4.1519710000000001E-6</v>
      </c>
      <c r="I5346">
        <v>15.883240000000001</v>
      </c>
      <c r="J5346">
        <v>-377.04680000000002</v>
      </c>
      <c r="K5346">
        <v>1.1101240000000001</v>
      </c>
      <c r="L5346">
        <v>15.57349</v>
      </c>
      <c r="M5346">
        <v>0.99847770000000002</v>
      </c>
      <c r="N5346">
        <v>0</v>
      </c>
      <c r="O5346">
        <v>-5.4050719999999997E-2</v>
      </c>
      <c r="P5346">
        <v>0.9966159</v>
      </c>
      <c r="Q5346">
        <v>7.3844580000000007E-2</v>
      </c>
      <c r="R5346">
        <v>-3.6109559999999999E-2</v>
      </c>
      <c r="S5346">
        <v>3.029175</v>
      </c>
      <c r="T5346">
        <v>-0.2297901</v>
      </c>
      <c r="U5346">
        <v>6.1859129999999998E-2</v>
      </c>
      <c r="V5346">
        <v>-1.7849589999999999E-2</v>
      </c>
      <c r="W5346">
        <v>8.4800150000000005E-2</v>
      </c>
      <c r="X5346">
        <v>0.99623810000000002</v>
      </c>
      <c r="Y5346">
        <v>-7.4061810000000006E-2</v>
      </c>
      <c r="Z5346">
        <v>6.8980450000000002E-3</v>
      </c>
      <c r="AA5346">
        <v>0.99722980000000006</v>
      </c>
      <c r="AB5346">
        <v>26</v>
      </c>
      <c r="AC5346">
        <v>14.4284</v>
      </c>
      <c r="AD5346">
        <v>-1.11012815197099</v>
      </c>
      <c r="AE5346">
        <v>0.30974999999999903</v>
      </c>
      <c r="AF5346">
        <v>-1.0828026034653899</v>
      </c>
      <c r="AG5346">
        <v>-1.11012815197099</v>
      </c>
      <c r="AH5346">
        <v>14.3059129824404</v>
      </c>
      <c r="AI5346">
        <v>94.424612065441195</v>
      </c>
      <c r="AJ5346">
        <v>94.328416663872204</v>
      </c>
      <c r="AK5346">
        <v>14.3897182826151</v>
      </c>
      <c r="AL5346">
        <v>85.135467245768297</v>
      </c>
      <c r="AM5346">
        <v>91.026458191281193</v>
      </c>
      <c r="AN5346">
        <v>1.0000000125974</v>
      </c>
    </row>
    <row r="5347" spans="1:40" x14ac:dyDescent="0.25">
      <c r="A5347" t="str">
        <f>"20190312151133869"</f>
        <v>20190312151133869</v>
      </c>
      <c r="B5347" t="str">
        <f>"1552374693856330"</f>
        <v>1552374693856330</v>
      </c>
      <c r="C5347" t="s">
        <v>40</v>
      </c>
      <c r="D5347">
        <v>5.1423230000000002</v>
      </c>
      <c r="E5347">
        <v>0.4786338</v>
      </c>
      <c r="F5347" t="s">
        <v>90</v>
      </c>
      <c r="G5347">
        <v>-363.57049999999998</v>
      </c>
      <c r="H5347" s="1">
        <v>-3.7091030000000001E-6</v>
      </c>
      <c r="I5347">
        <v>15.842560000000001</v>
      </c>
      <c r="J5347">
        <v>-376.88260000000002</v>
      </c>
      <c r="K5347">
        <v>1.110163</v>
      </c>
      <c r="L5347">
        <v>15.564819999999999</v>
      </c>
      <c r="M5347">
        <v>0.99848950000000003</v>
      </c>
      <c r="N5347">
        <v>0</v>
      </c>
      <c r="O5347">
        <v>-5.3835359999999999E-2</v>
      </c>
      <c r="P5347">
        <v>0.99658760000000002</v>
      </c>
      <c r="Q5347">
        <v>7.4581999999999996E-2</v>
      </c>
      <c r="R5347">
        <v>-3.5365149999999998E-2</v>
      </c>
      <c r="S5347">
        <v>3.0309140000000001</v>
      </c>
      <c r="T5347">
        <v>-0.24967590000000001</v>
      </c>
      <c r="U5347">
        <v>6.0516359999999998E-2</v>
      </c>
      <c r="V5347">
        <v>-1.838383E-2</v>
      </c>
      <c r="W5347">
        <v>8.5520399999999996E-2</v>
      </c>
      <c r="X5347">
        <v>0.99616680000000002</v>
      </c>
      <c r="Y5347">
        <v>-7.3330759999999995E-2</v>
      </c>
      <c r="Z5347">
        <v>7.4410359999999998E-3</v>
      </c>
      <c r="AA5347">
        <v>0.9972799</v>
      </c>
      <c r="AB5347">
        <v>26</v>
      </c>
      <c r="AC5347">
        <v>13.312099999999999</v>
      </c>
      <c r="AD5347">
        <v>-1.1101667091030001</v>
      </c>
      <c r="AE5347">
        <v>0.27773999999999899</v>
      </c>
      <c r="AF5347">
        <v>-0.98717942247580204</v>
      </c>
      <c r="AG5347">
        <v>-1.1101667091030001</v>
      </c>
      <c r="AH5347">
        <v>13.186172672454701</v>
      </c>
      <c r="AI5347">
        <v>94.799114521921595</v>
      </c>
      <c r="AJ5347">
        <v>94.281446918789499</v>
      </c>
      <c r="AK5347">
        <v>13.269594684162399</v>
      </c>
      <c r="AL5347">
        <v>85.094049432264001</v>
      </c>
      <c r="AM5347">
        <v>91.057248965113104</v>
      </c>
      <c r="AN5347">
        <v>0.99999999872193401</v>
      </c>
    </row>
    <row r="5348" spans="1:40" x14ac:dyDescent="0.25">
      <c r="A5348" t="str">
        <f>"20190312151133887"</f>
        <v>20190312151133887</v>
      </c>
      <c r="B5348" t="str">
        <f>"1552374693876826"</f>
        <v>1552374693876826</v>
      </c>
      <c r="C5348" t="s">
        <v>40</v>
      </c>
      <c r="D5348">
        <v>5.1272539999999998</v>
      </c>
      <c r="E5348">
        <v>0.47787170000000001</v>
      </c>
      <c r="F5348" t="s">
        <v>90</v>
      </c>
      <c r="G5348">
        <v>-363.6651</v>
      </c>
      <c r="H5348" s="1">
        <v>-3.6623160000000001E-6</v>
      </c>
      <c r="I5348">
        <v>15.854340000000001</v>
      </c>
      <c r="J5348">
        <v>-376.65660000000003</v>
      </c>
      <c r="K5348">
        <v>1.110215</v>
      </c>
      <c r="L5348">
        <v>15.552949999999999</v>
      </c>
      <c r="M5348">
        <v>0.99850859999999997</v>
      </c>
      <c r="N5348">
        <v>0</v>
      </c>
      <c r="O5348">
        <v>-5.3485539999999998E-2</v>
      </c>
      <c r="P5348">
        <v>0.99655970000000005</v>
      </c>
      <c r="Q5348">
        <v>7.5611429999999993E-2</v>
      </c>
      <c r="R5348">
        <v>-3.3944769999999999E-2</v>
      </c>
      <c r="S5348">
        <v>3.031647</v>
      </c>
      <c r="T5348">
        <v>-0.25463330000000001</v>
      </c>
      <c r="U5348">
        <v>6.640625E-2</v>
      </c>
      <c r="V5348">
        <v>-1.946372E-2</v>
      </c>
      <c r="W5348">
        <v>8.6523290000000003E-2</v>
      </c>
      <c r="X5348">
        <v>0.99605969999999999</v>
      </c>
      <c r="Y5348">
        <v>-7.4891860000000005E-2</v>
      </c>
      <c r="Z5348">
        <v>7.6224769999999999E-3</v>
      </c>
      <c r="AA5348">
        <v>0.99716249999999995</v>
      </c>
      <c r="AB5348">
        <v>26</v>
      </c>
      <c r="AC5348">
        <v>12.9915</v>
      </c>
      <c r="AD5348">
        <v>-1.110218662316</v>
      </c>
      <c r="AE5348">
        <v>0.30138999999999899</v>
      </c>
      <c r="AF5348">
        <v>-0.98864147211020803</v>
      </c>
      <c r="AG5348">
        <v>-1.110218662316</v>
      </c>
      <c r="AH5348">
        <v>12.8628945026254</v>
      </c>
      <c r="AI5348">
        <v>94.918636602088696</v>
      </c>
      <c r="AJ5348">
        <v>94.3951099011759</v>
      </c>
      <c r="AK5348">
        <v>12.9485154525221</v>
      </c>
      <c r="AL5348">
        <v>85.036374389117796</v>
      </c>
      <c r="AM5348">
        <v>91.119458101787401</v>
      </c>
      <c r="AN5348">
        <v>1.00000002103637</v>
      </c>
    </row>
    <row r="5349" spans="1:40" x14ac:dyDescent="0.25">
      <c r="A5349" t="str">
        <f>"20190312151133900"</f>
        <v>20190312151133900</v>
      </c>
      <c r="B5349" t="str">
        <f>"1552374693896346"</f>
        <v>1552374693896346</v>
      </c>
      <c r="C5349" t="s">
        <v>40</v>
      </c>
      <c r="D5349">
        <v>5.1388280000000002</v>
      </c>
      <c r="E5349">
        <v>0.47743940000000001</v>
      </c>
      <c r="F5349" t="s">
        <v>90</v>
      </c>
      <c r="G5349">
        <v>-363.98390000000001</v>
      </c>
      <c r="H5349" s="1">
        <v>-3.5083989999999999E-6</v>
      </c>
      <c r="I5349">
        <v>15.87222</v>
      </c>
      <c r="J5349">
        <v>-376.50850000000003</v>
      </c>
      <c r="K5349">
        <v>1.11025</v>
      </c>
      <c r="L5349">
        <v>15.54529</v>
      </c>
      <c r="M5349">
        <v>0.99852260000000004</v>
      </c>
      <c r="N5349">
        <v>0</v>
      </c>
      <c r="O5349">
        <v>-5.3224300000000002E-2</v>
      </c>
      <c r="P5349">
        <v>0.9965813</v>
      </c>
      <c r="Q5349">
        <v>7.5658859999999994E-2</v>
      </c>
      <c r="R5349">
        <v>-3.3191659999999998E-2</v>
      </c>
      <c r="S5349">
        <v>3.033112</v>
      </c>
      <c r="T5349">
        <v>-0.26572370000000001</v>
      </c>
      <c r="U5349">
        <v>7.6416020000000001E-2</v>
      </c>
      <c r="V5349">
        <v>-1.9963789999999999E-2</v>
      </c>
      <c r="W5349">
        <v>8.6554160000000005E-2</v>
      </c>
      <c r="X5349">
        <v>0.99604709999999996</v>
      </c>
      <c r="Y5349">
        <v>-7.7859049999999999E-2</v>
      </c>
      <c r="Z5349">
        <v>8.0560800000000002E-3</v>
      </c>
      <c r="AA5349">
        <v>0.99693189999999998</v>
      </c>
      <c r="AB5349">
        <v>26</v>
      </c>
      <c r="AC5349">
        <v>12.5246</v>
      </c>
      <c r="AD5349">
        <v>-1.1102535083989999</v>
      </c>
      <c r="AE5349">
        <v>0.32693</v>
      </c>
      <c r="AF5349">
        <v>-0.98538160915240802</v>
      </c>
      <c r="AG5349">
        <v>-1.1102535083989999</v>
      </c>
      <c r="AH5349">
        <v>12.392131535046699</v>
      </c>
      <c r="AI5349">
        <v>95.103631872352807</v>
      </c>
      <c r="AJ5349">
        <v>94.546406185445704</v>
      </c>
      <c r="AK5349">
        <v>12.4807276931462</v>
      </c>
      <c r="AL5349">
        <v>85.034598905708194</v>
      </c>
      <c r="AM5349">
        <v>91.148226603028505</v>
      </c>
      <c r="AN5349">
        <v>1.00000000047143</v>
      </c>
    </row>
    <row r="5350" spans="1:40" x14ac:dyDescent="0.25">
      <c r="A5350" t="str">
        <f>"20190312151133911"</f>
        <v>20190312151133911</v>
      </c>
      <c r="B5350" t="str">
        <f>"1552374693907082"</f>
        <v>1552374693907082</v>
      </c>
      <c r="C5350" t="s">
        <v>40</v>
      </c>
      <c r="D5350">
        <v>5.1459720000000004</v>
      </c>
      <c r="E5350">
        <v>0.47739819999999999</v>
      </c>
      <c r="F5350" t="s">
        <v>90</v>
      </c>
      <c r="G5350">
        <v>-364.11930000000001</v>
      </c>
      <c r="H5350" s="1">
        <v>-3.4430069999999999E-6</v>
      </c>
      <c r="I5350">
        <v>15.880179999999999</v>
      </c>
      <c r="J5350">
        <v>-376.37020000000001</v>
      </c>
      <c r="K5350">
        <v>1.1102829999999999</v>
      </c>
      <c r="L5350">
        <v>15.538209999999999</v>
      </c>
      <c r="M5350">
        <v>0.99853769999999997</v>
      </c>
      <c r="N5350">
        <v>0</v>
      </c>
      <c r="O5350">
        <v>-5.2946779999999999E-2</v>
      </c>
      <c r="P5350">
        <v>0.99657929999999995</v>
      </c>
      <c r="Q5350">
        <v>7.6003219999999996E-2</v>
      </c>
      <c r="R5350">
        <v>-3.2462419999999999E-2</v>
      </c>
      <c r="S5350">
        <v>3.03363</v>
      </c>
      <c r="T5350">
        <v>-0.27185809999999999</v>
      </c>
      <c r="U5350">
        <v>8.2000729999999994E-2</v>
      </c>
      <c r="V5350">
        <v>-2.042248E-2</v>
      </c>
      <c r="W5350">
        <v>8.6882879999999996E-2</v>
      </c>
      <c r="X5350">
        <v>0.99600920000000004</v>
      </c>
      <c r="Y5350">
        <v>-7.938344E-2</v>
      </c>
      <c r="Z5350">
        <v>8.2831380000000007E-3</v>
      </c>
      <c r="AA5350">
        <v>0.99680970000000002</v>
      </c>
      <c r="AB5350">
        <v>26</v>
      </c>
      <c r="AC5350">
        <v>12.2509</v>
      </c>
      <c r="AD5350">
        <v>-1.1102864430070001</v>
      </c>
      <c r="AE5350">
        <v>0.341969999999998</v>
      </c>
      <c r="AF5350">
        <v>-0.98211418861994404</v>
      </c>
      <c r="AG5350">
        <v>-1.1102864430070001</v>
      </c>
      <c r="AH5350">
        <v>12.1161667726501</v>
      </c>
      <c r="AI5350">
        <v>95.218755964695205</v>
      </c>
      <c r="AJ5350">
        <v>94.634158738333099</v>
      </c>
      <c r="AK5350">
        <v>12.2065057050609</v>
      </c>
      <c r="AL5350">
        <v>85.015693512354304</v>
      </c>
      <c r="AM5350">
        <v>91.174645745297497</v>
      </c>
      <c r="AN5350">
        <v>1.0000000195055401</v>
      </c>
    </row>
    <row r="5351" spans="1:40" x14ac:dyDescent="0.25">
      <c r="A5351" t="str">
        <f>"20190312151133932"</f>
        <v>20190312151133932</v>
      </c>
      <c r="B5351" t="str">
        <f>"1552374693926602"</f>
        <v>1552374693926602</v>
      </c>
      <c r="C5351" t="s">
        <v>40</v>
      </c>
      <c r="D5351">
        <v>5.1566850000000004</v>
      </c>
      <c r="E5351">
        <v>0.47746319999999998</v>
      </c>
      <c r="F5351" t="s">
        <v>90</v>
      </c>
      <c r="G5351">
        <v>-364.0111</v>
      </c>
      <c r="H5351" s="1">
        <v>-3.4937629999999999E-6</v>
      </c>
      <c r="I5351">
        <v>15.88233</v>
      </c>
      <c r="J5351">
        <v>-376.13299999999998</v>
      </c>
      <c r="K5351">
        <v>1.110344</v>
      </c>
      <c r="L5351">
        <v>15.526149999999999</v>
      </c>
      <c r="M5351">
        <v>0.99856560000000005</v>
      </c>
      <c r="N5351">
        <v>0</v>
      </c>
      <c r="O5351">
        <v>-5.2419210000000001E-2</v>
      </c>
      <c r="P5351">
        <v>0.99657779999999996</v>
      </c>
      <c r="Q5351">
        <v>7.6648709999999995E-2</v>
      </c>
      <c r="R5351">
        <v>-3.094798E-2</v>
      </c>
      <c r="S5351">
        <v>3.0338440000000002</v>
      </c>
      <c r="T5351">
        <v>-0.27254679999999998</v>
      </c>
      <c r="U5351">
        <v>8.4472660000000005E-2</v>
      </c>
      <c r="V5351">
        <v>-2.1421039999999999E-2</v>
      </c>
      <c r="W5351">
        <v>8.7503259999999999E-2</v>
      </c>
      <c r="X5351">
        <v>0.99593390000000004</v>
      </c>
      <c r="Y5351">
        <v>-7.9664840000000001E-2</v>
      </c>
      <c r="Z5351">
        <v>8.268737E-3</v>
      </c>
      <c r="AA5351">
        <v>0.99678739999999999</v>
      </c>
      <c r="AB5351">
        <v>26</v>
      </c>
      <c r="AC5351">
        <v>12.1219</v>
      </c>
      <c r="AD5351">
        <v>-1.110347493763</v>
      </c>
      <c r="AE5351">
        <v>0.35618</v>
      </c>
      <c r="AF5351">
        <v>-0.98290871174859495</v>
      </c>
      <c r="AG5351">
        <v>-1.110347493763</v>
      </c>
      <c r="AH5351">
        <v>11.986080836889199</v>
      </c>
      <c r="AI5351">
        <v>95.274964248968701</v>
      </c>
      <c r="AJ5351">
        <v>94.688003655522806</v>
      </c>
      <c r="AK5351">
        <v>12.077463099549499</v>
      </c>
      <c r="AL5351">
        <v>84.980012401714902</v>
      </c>
      <c r="AM5351">
        <v>91.232156045613195</v>
      </c>
      <c r="AN5351">
        <v>1.0000000073172499</v>
      </c>
    </row>
    <row r="5352" spans="1:40" x14ac:dyDescent="0.25">
      <c r="A5352" t="str">
        <f>"20190312151133944"</f>
        <v>20190312151133944</v>
      </c>
      <c r="B5352" t="str">
        <f>"1552374693936362"</f>
        <v>1552374693936362</v>
      </c>
      <c r="C5352" t="s">
        <v>40</v>
      </c>
      <c r="D5352">
        <v>5.1198940000000004</v>
      </c>
      <c r="E5352">
        <v>0.47753420000000002</v>
      </c>
      <c r="F5352" t="s">
        <v>90</v>
      </c>
      <c r="G5352">
        <v>-363.8073</v>
      </c>
      <c r="H5352" s="1">
        <v>-3.5895909999999999E-6</v>
      </c>
      <c r="I5352">
        <v>15.88531</v>
      </c>
      <c r="J5352">
        <v>-375.9991</v>
      </c>
      <c r="K5352">
        <v>1.110376</v>
      </c>
      <c r="L5352">
        <v>15.519439999999999</v>
      </c>
      <c r="M5352">
        <v>0.99858309999999995</v>
      </c>
      <c r="N5352">
        <v>0</v>
      </c>
      <c r="O5352">
        <v>-5.2088080000000002E-2</v>
      </c>
      <c r="P5352">
        <v>0.99658840000000004</v>
      </c>
      <c r="Q5352">
        <v>7.6814850000000004E-2</v>
      </c>
      <c r="R5352">
        <v>-3.019146E-2</v>
      </c>
      <c r="S5352">
        <v>3.0340579999999999</v>
      </c>
      <c r="T5352">
        <v>-0.27332040000000002</v>
      </c>
      <c r="U5352">
        <v>8.8409420000000002E-2</v>
      </c>
      <c r="V5352">
        <v>-2.185337E-2</v>
      </c>
      <c r="W5352">
        <v>8.7656220000000007E-2</v>
      </c>
      <c r="X5352">
        <v>0.99591110000000005</v>
      </c>
      <c r="Y5352">
        <v>-8.0619179999999999E-2</v>
      </c>
      <c r="Z5352">
        <v>8.3045659999999993E-3</v>
      </c>
      <c r="AA5352">
        <v>0.9967104</v>
      </c>
      <c r="AB5352">
        <v>26</v>
      </c>
      <c r="AC5352">
        <v>12.191800000000001</v>
      </c>
      <c r="AD5352">
        <v>-1.110379589591</v>
      </c>
      <c r="AE5352">
        <v>0.36587000000000103</v>
      </c>
      <c r="AF5352">
        <v>-0.99223537921915805</v>
      </c>
      <c r="AG5352">
        <v>-1.110379589591</v>
      </c>
      <c r="AH5352">
        <v>12.0562742866392</v>
      </c>
      <c r="AI5352">
        <v>95.244449074163001</v>
      </c>
      <c r="AJ5352">
        <v>94.7048582658595</v>
      </c>
      <c r="AK5352">
        <v>12.147889674977799</v>
      </c>
      <c r="AL5352">
        <v>84.971214853724604</v>
      </c>
      <c r="AM5352">
        <v>91.257044895333806</v>
      </c>
      <c r="AN5352">
        <v>1.00000005089412</v>
      </c>
    </row>
    <row r="5353" spans="1:40" x14ac:dyDescent="0.25">
      <c r="A5353" t="str">
        <f>"20190312151133955"</f>
        <v>20190312151133955</v>
      </c>
      <c r="B5353" t="str">
        <f>"1552374693947098"</f>
        <v>1552374693947098</v>
      </c>
      <c r="C5353" t="s">
        <v>40</v>
      </c>
      <c r="D5353">
        <v>5.194509</v>
      </c>
      <c r="E5353">
        <v>0.477466</v>
      </c>
      <c r="F5353" t="s">
        <v>90</v>
      </c>
      <c r="G5353">
        <v>-363.67700000000002</v>
      </c>
      <c r="H5353" s="1">
        <v>-3.6510569999999999E-6</v>
      </c>
      <c r="I5353">
        <v>15.886049999999999</v>
      </c>
      <c r="J5353">
        <v>-375.84710000000001</v>
      </c>
      <c r="K5353">
        <v>1.1104130000000001</v>
      </c>
      <c r="L5353">
        <v>15.51187</v>
      </c>
      <c r="M5353">
        <v>0.99860389999999999</v>
      </c>
      <c r="N5353">
        <v>0</v>
      </c>
      <c r="O5353">
        <v>-5.1687289999999997E-2</v>
      </c>
      <c r="P5353">
        <v>0.99661639999999996</v>
      </c>
      <c r="Q5353">
        <v>7.6777769999999995E-2</v>
      </c>
      <c r="R5353">
        <v>-2.9339799999999999E-2</v>
      </c>
      <c r="S5353">
        <v>3.0340880000000001</v>
      </c>
      <c r="T5353">
        <v>-0.27340969999999998</v>
      </c>
      <c r="U5353">
        <v>9.0271000000000004E-2</v>
      </c>
      <c r="V5353">
        <v>-2.2313639999999999E-2</v>
      </c>
      <c r="W5353">
        <v>8.7605390000000005E-2</v>
      </c>
      <c r="X5353">
        <v>0.99590529999999999</v>
      </c>
      <c r="Y5353">
        <v>-8.0830280000000004E-2</v>
      </c>
      <c r="Z5353">
        <v>8.2806019999999998E-3</v>
      </c>
      <c r="AA5353">
        <v>0.99669350000000001</v>
      </c>
      <c r="AB5353">
        <v>26</v>
      </c>
      <c r="AC5353">
        <v>12.1701</v>
      </c>
      <c r="AD5353">
        <v>-1.1104166510569999</v>
      </c>
      <c r="AE5353">
        <v>0.37417999999999701</v>
      </c>
      <c r="AF5353">
        <v>-0.99448533811100603</v>
      </c>
      <c r="AG5353">
        <v>-1.1104166510569999</v>
      </c>
      <c r="AH5353">
        <v>12.034397422790899</v>
      </c>
      <c r="AI5353">
        <v>95.253959791517104</v>
      </c>
      <c r="AJ5353">
        <v>94.724012110505996</v>
      </c>
      <c r="AK5353">
        <v>12.1263658016876</v>
      </c>
      <c r="AL5353">
        <v>84.974138111642105</v>
      </c>
      <c r="AM5353">
        <v>91.283519155476995</v>
      </c>
      <c r="AN5353">
        <v>0.99999998472759499</v>
      </c>
    </row>
    <row r="5354" spans="1:40" x14ac:dyDescent="0.25">
      <c r="A5354" t="str">
        <f>"20190312151133967"</f>
        <v>20190312151133967</v>
      </c>
      <c r="B5354" t="str">
        <f>"1552374693956859"</f>
        <v>1552374693956859</v>
      </c>
      <c r="C5354" t="s">
        <v>40</v>
      </c>
      <c r="D5354">
        <v>5.1196400000000004</v>
      </c>
      <c r="E5354">
        <v>0.4774697</v>
      </c>
      <c r="F5354" t="s">
        <v>90</v>
      </c>
      <c r="G5354">
        <v>-363.50170000000003</v>
      </c>
      <c r="H5354" s="1">
        <v>-3.7329709999999999E-6</v>
      </c>
      <c r="I5354">
        <v>15.89124</v>
      </c>
      <c r="J5354">
        <v>-375.7099</v>
      </c>
      <c r="K5354">
        <v>1.1104430000000001</v>
      </c>
      <c r="L5354">
        <v>15.50522</v>
      </c>
      <c r="M5354">
        <v>0.99862479999999998</v>
      </c>
      <c r="N5354">
        <v>0</v>
      </c>
      <c r="O5354">
        <v>-5.1286539999999999E-2</v>
      </c>
      <c r="P5354">
        <v>0.9966351</v>
      </c>
      <c r="Q5354">
        <v>7.6828179999999996E-2</v>
      </c>
      <c r="R5354">
        <v>-2.856788E-2</v>
      </c>
      <c r="S5354">
        <v>3.0339049999999999</v>
      </c>
      <c r="T5354">
        <v>-0.27288770000000001</v>
      </c>
      <c r="U5354">
        <v>9.32312E-2</v>
      </c>
      <c r="V5354">
        <v>-2.2692520000000001E-2</v>
      </c>
      <c r="W5354">
        <v>8.7643860000000004E-2</v>
      </c>
      <c r="X5354">
        <v>0.99589340000000004</v>
      </c>
      <c r="Y5354">
        <v>-8.1404969999999993E-2</v>
      </c>
      <c r="Z5354">
        <v>8.2551039999999992E-3</v>
      </c>
      <c r="AA5354">
        <v>0.9966469</v>
      </c>
      <c r="AB5354">
        <v>26</v>
      </c>
      <c r="AC5354">
        <v>12.2081999999999</v>
      </c>
      <c r="AD5354">
        <v>-1.1104467329709999</v>
      </c>
      <c r="AE5354">
        <v>0.38601999999999798</v>
      </c>
      <c r="AF5354">
        <v>-1.00337211053529</v>
      </c>
      <c r="AG5354">
        <v>-1.1104467329709999</v>
      </c>
      <c r="AH5354">
        <v>12.072549908014</v>
      </c>
      <c r="AI5354">
        <v>95.237385842611701</v>
      </c>
      <c r="AJ5354">
        <v>94.751039640680801</v>
      </c>
      <c r="AK5354">
        <v>12.164962343569099</v>
      </c>
      <c r="AL5354">
        <v>84.971925662336005</v>
      </c>
      <c r="AM5354">
        <v>91.305321102816194</v>
      </c>
      <c r="AN5354">
        <v>1.0000000304115999</v>
      </c>
    </row>
    <row r="5355" spans="1:40" x14ac:dyDescent="0.25">
      <c r="A5355" t="str">
        <f>"20190312151133982"</f>
        <v>20190312151133982</v>
      </c>
      <c r="B5355" t="str">
        <f>"1552374693976377"</f>
        <v>1552374693976377</v>
      </c>
      <c r="C5355" t="s">
        <v>40</v>
      </c>
      <c r="D5355">
        <v>5.0192819999999996</v>
      </c>
      <c r="E5355">
        <v>0.47727510000000001</v>
      </c>
      <c r="F5355" t="s">
        <v>90</v>
      </c>
      <c r="G5355">
        <v>-363.36900000000003</v>
      </c>
      <c r="H5355" s="1">
        <v>-3.7952710000000002E-6</v>
      </c>
      <c r="I5355">
        <v>15.893890000000001</v>
      </c>
      <c r="J5355">
        <v>-375.55590000000001</v>
      </c>
      <c r="K5355">
        <v>1.110482</v>
      </c>
      <c r="L5355">
        <v>15.49774</v>
      </c>
      <c r="M5355">
        <v>0.9986488</v>
      </c>
      <c r="N5355">
        <v>0</v>
      </c>
      <c r="O5355">
        <v>-5.0817790000000002E-2</v>
      </c>
      <c r="P5355">
        <v>0.9966296</v>
      </c>
      <c r="Q5355">
        <v>7.7221509999999993E-2</v>
      </c>
      <c r="R5355">
        <v>-2.7688319999999999E-2</v>
      </c>
      <c r="S5355">
        <v>3.0339049999999999</v>
      </c>
      <c r="T5355">
        <v>-0.27299299999999999</v>
      </c>
      <c r="U5355">
        <v>9.5550540000000003E-2</v>
      </c>
      <c r="V5355">
        <v>-2.3112480000000001E-2</v>
      </c>
      <c r="W5355">
        <v>8.8024340000000006E-2</v>
      </c>
      <c r="X5355">
        <v>0.99585009999999996</v>
      </c>
      <c r="Y5355">
        <v>-8.1698629999999994E-2</v>
      </c>
      <c r="Z5355">
        <v>8.2293209999999995E-3</v>
      </c>
      <c r="AA5355">
        <v>0.99662309999999998</v>
      </c>
      <c r="AB5355">
        <v>26</v>
      </c>
      <c r="AC5355">
        <v>12.1868999999999</v>
      </c>
      <c r="AD5355">
        <v>-1.1104857952710001</v>
      </c>
      <c r="AE5355">
        <v>0.396149999999998</v>
      </c>
      <c r="AF5355">
        <v>-1.0066366293973099</v>
      </c>
      <c r="AG5355">
        <v>-1.1104857952710001</v>
      </c>
      <c r="AH5355">
        <v>12.0510638949988</v>
      </c>
      <c r="AI5355">
        <v>95.246674191473204</v>
      </c>
      <c r="AJ5355">
        <v>94.774885141310804</v>
      </c>
      <c r="AK5355">
        <v>12.1439135786816</v>
      </c>
      <c r="AL5355">
        <v>84.950040758454605</v>
      </c>
      <c r="AM5355">
        <v>91.329527272299899</v>
      </c>
      <c r="AN5355">
        <v>0.999999946417096</v>
      </c>
    </row>
    <row r="5356" spans="1:40" x14ac:dyDescent="0.25">
      <c r="A5356" t="str">
        <f>"20190312151134000"</f>
        <v>20190312151134000</v>
      </c>
      <c r="B5356" t="str">
        <f>"1552374693996874"</f>
        <v>1552374693996874</v>
      </c>
      <c r="C5356" t="s">
        <v>40</v>
      </c>
      <c r="D5356">
        <v>5.1970960000000002</v>
      </c>
      <c r="E5356">
        <v>0.44538369999999999</v>
      </c>
      <c r="F5356" t="s">
        <v>90</v>
      </c>
      <c r="G5356">
        <v>-363.07389999999998</v>
      </c>
      <c r="H5356" s="1">
        <v>-3.932213E-6</v>
      </c>
      <c r="I5356">
        <v>15.908189999999999</v>
      </c>
      <c r="J5356">
        <v>-375.322</v>
      </c>
      <c r="K5356">
        <v>1.110544</v>
      </c>
      <c r="L5356">
        <v>15.4866299999999</v>
      </c>
      <c r="M5356">
        <v>0.99868849999999998</v>
      </c>
      <c r="N5356">
        <v>0</v>
      </c>
      <c r="O5356">
        <v>-5.0035129999999997E-2</v>
      </c>
      <c r="P5356">
        <v>0.99666030000000005</v>
      </c>
      <c r="Q5356">
        <v>7.7384549999999996E-2</v>
      </c>
      <c r="R5356">
        <v>-2.6076769999999999E-2</v>
      </c>
      <c r="S5356">
        <v>3.0338440000000002</v>
      </c>
      <c r="T5356">
        <v>-0.26991179999999998</v>
      </c>
      <c r="U5356">
        <v>9.9761959999999997E-2</v>
      </c>
      <c r="V5356">
        <v>-2.395599E-2</v>
      </c>
      <c r="W5356">
        <v>8.8168739999999995E-2</v>
      </c>
      <c r="X5356">
        <v>0.99581739999999996</v>
      </c>
      <c r="Y5356">
        <v>-8.2312860000000002E-2</v>
      </c>
      <c r="Z5356">
        <v>8.0946460000000005E-3</v>
      </c>
      <c r="AA5356">
        <v>0.99657370000000001</v>
      </c>
      <c r="AB5356">
        <v>27</v>
      </c>
      <c r="AC5356">
        <v>12.2480999999999</v>
      </c>
      <c r="AD5356">
        <v>-1.1105479322130001</v>
      </c>
      <c r="AE5356">
        <v>0.42156000000000099</v>
      </c>
      <c r="AF5356">
        <v>-1.0254825213903001</v>
      </c>
      <c r="AG5356">
        <v>-1.1105479322130001</v>
      </c>
      <c r="AH5356">
        <v>12.1122034136742</v>
      </c>
      <c r="AI5356">
        <v>95.220135657552802</v>
      </c>
      <c r="AJ5356">
        <v>94.839419219246807</v>
      </c>
      <c r="AK5356">
        <v>12.2061624864509</v>
      </c>
      <c r="AL5356">
        <v>84.941734998304497</v>
      </c>
      <c r="AM5356">
        <v>91.3780763757279</v>
      </c>
      <c r="AN5356">
        <v>0.99999995515641205</v>
      </c>
    </row>
    <row r="5357" spans="1:40" x14ac:dyDescent="0.25">
      <c r="A5357" t="str">
        <f>"20190312151134024"</f>
        <v>20190312151134024</v>
      </c>
      <c r="B5357" t="str">
        <f>"1552374694016393"</f>
        <v>1552374694016393</v>
      </c>
      <c r="C5357" t="s">
        <v>40</v>
      </c>
      <c r="D5357">
        <v>5.4403009999999998</v>
      </c>
      <c r="E5357">
        <v>0.43720360000000003</v>
      </c>
      <c r="F5357" t="s">
        <v>90</v>
      </c>
      <c r="G5357">
        <v>-362.61340000000001</v>
      </c>
      <c r="H5357" s="1">
        <v>-3.9586039999999998E-6</v>
      </c>
      <c r="I5357">
        <v>16.986639999999898</v>
      </c>
      <c r="J5357">
        <v>-375.0573</v>
      </c>
      <c r="K5357">
        <v>1.110611</v>
      </c>
      <c r="L5357">
        <v>15.4744299999999</v>
      </c>
      <c r="M5357">
        <v>0.99873690000000004</v>
      </c>
      <c r="N5357">
        <v>0</v>
      </c>
      <c r="O5357">
        <v>-4.9063610000000001E-2</v>
      </c>
      <c r="P5357">
        <v>0.99667499999999998</v>
      </c>
      <c r="Q5357">
        <v>7.7791739999999998E-2</v>
      </c>
      <c r="R5357">
        <v>-2.4241639999999998E-2</v>
      </c>
      <c r="S5357">
        <v>3.0400999999999998</v>
      </c>
      <c r="T5357">
        <v>-0.26566060000000002</v>
      </c>
      <c r="U5357">
        <v>0.35882570000000003</v>
      </c>
      <c r="V5357">
        <v>-2.4835010000000001E-2</v>
      </c>
      <c r="W5357">
        <v>8.8557269999999993E-2</v>
      </c>
      <c r="X5357">
        <v>0.99576149999999997</v>
      </c>
      <c r="Y5357">
        <v>-0.1649986</v>
      </c>
      <c r="Z5357">
        <v>1.14374E-2</v>
      </c>
      <c r="AA5357">
        <v>0.98622750000000003</v>
      </c>
      <c r="AB5357">
        <v>27</v>
      </c>
      <c r="AC5357">
        <v>12.4438999999999</v>
      </c>
      <c r="AD5357">
        <v>-1.1106149586039999</v>
      </c>
      <c r="AE5357">
        <v>1.5122099999999901</v>
      </c>
      <c r="AF5357">
        <v>-2.10444798305616</v>
      </c>
      <c r="AG5357">
        <v>-1.1106149586039999</v>
      </c>
      <c r="AH5357">
        <v>12.258488462428</v>
      </c>
      <c r="AI5357">
        <v>95.102602920161004</v>
      </c>
      <c r="AJ5357">
        <v>99.741166983973002</v>
      </c>
      <c r="AK5357">
        <v>12.4873018015561</v>
      </c>
      <c r="AL5357">
        <v>84.919387014340103</v>
      </c>
      <c r="AM5357">
        <v>91.428701878218206</v>
      </c>
      <c r="AN5357">
        <v>1.00000006633689</v>
      </c>
    </row>
    <row r="5358" spans="1:40" x14ac:dyDescent="0.25">
      <c r="A5358" t="str">
        <f>"20190312151134035"</f>
        <v>20190312151134035</v>
      </c>
      <c r="B5358" t="str">
        <f>"1552374694027130"</f>
        <v>1552374694027130</v>
      </c>
      <c r="C5358" t="s">
        <v>40</v>
      </c>
      <c r="D5358">
        <v>5.0973750000000004</v>
      </c>
      <c r="E5358">
        <v>0.4353765</v>
      </c>
      <c r="F5358" t="s">
        <v>90</v>
      </c>
      <c r="G5358">
        <v>-362.92680000000001</v>
      </c>
      <c r="H5358" s="1">
        <v>-3.7746010000000001E-6</v>
      </c>
      <c r="I5358">
        <v>17.188610000000001</v>
      </c>
      <c r="J5358">
        <v>-374.90230000000003</v>
      </c>
      <c r="K5358">
        <v>1.110657</v>
      </c>
      <c r="L5358">
        <v>15.46738</v>
      </c>
      <c r="M5358">
        <v>0.99876620000000005</v>
      </c>
      <c r="N5358">
        <v>0</v>
      </c>
      <c r="O5358">
        <v>-4.8462119999999997E-2</v>
      </c>
      <c r="P5358">
        <v>0.99669430000000003</v>
      </c>
      <c r="Q5358">
        <v>7.7827980000000005E-2</v>
      </c>
      <c r="R5358">
        <v>-2.330716E-2</v>
      </c>
      <c r="S5358">
        <v>3.0422060000000002</v>
      </c>
      <c r="T5358">
        <v>-0.27853169999999999</v>
      </c>
      <c r="U5358">
        <v>0.42990109999999898</v>
      </c>
      <c r="V5358">
        <v>-2.517776E-2</v>
      </c>
      <c r="W5358">
        <v>8.8582910000000001E-2</v>
      </c>
      <c r="X5358">
        <v>0.99575049999999998</v>
      </c>
      <c r="Y5358">
        <v>-0.18677969999999999</v>
      </c>
      <c r="Z5358">
        <v>1.2899320000000001E-2</v>
      </c>
      <c r="AA5358">
        <v>0.98231710000000005</v>
      </c>
      <c r="AB5358">
        <v>27</v>
      </c>
      <c r="AC5358">
        <v>11.9755</v>
      </c>
      <c r="AD5358">
        <v>-1.110660774601</v>
      </c>
      <c r="AE5358">
        <v>1.72123</v>
      </c>
      <c r="AF5358">
        <v>-2.2803818075454299</v>
      </c>
      <c r="AG5358">
        <v>-1.110660774601</v>
      </c>
      <c r="AH5358">
        <v>11.778743468342499</v>
      </c>
      <c r="AI5358">
        <v>95.289064413624502</v>
      </c>
      <c r="AJ5358">
        <v>100.95699308205</v>
      </c>
      <c r="AK5358">
        <v>12.048755381259999</v>
      </c>
      <c r="AL5358">
        <v>84.917911586533606</v>
      </c>
      <c r="AM5358">
        <v>91.448427160916594</v>
      </c>
      <c r="AN5358">
        <v>0.99999995489646598</v>
      </c>
    </row>
    <row r="5359" spans="1:40" x14ac:dyDescent="0.25">
      <c r="A5359" t="str">
        <f>"20190312151134055"</f>
        <v>20190312151134055</v>
      </c>
      <c r="B5359" t="str">
        <f>"1552374694046649"</f>
        <v>1552374694046649</v>
      </c>
      <c r="C5359" t="s">
        <v>40</v>
      </c>
      <c r="D5359">
        <v>5.1206069999999997</v>
      </c>
      <c r="E5359">
        <v>0.43380239999999998</v>
      </c>
      <c r="F5359" t="s">
        <v>90</v>
      </c>
      <c r="G5359">
        <v>-362.91640000000001</v>
      </c>
      <c r="H5359" s="1">
        <v>-3.7722329999999999E-6</v>
      </c>
      <c r="I5359">
        <v>17.229759999999999</v>
      </c>
      <c r="J5359">
        <v>-374.6746</v>
      </c>
      <c r="K5359">
        <v>1.1107149999999999</v>
      </c>
      <c r="L5359">
        <v>15.45734</v>
      </c>
      <c r="M5359">
        <v>0.99881149999999996</v>
      </c>
      <c r="N5359">
        <v>0</v>
      </c>
      <c r="O5359">
        <v>-4.7521460000000001E-2</v>
      </c>
      <c r="P5359">
        <v>0.99666710000000003</v>
      </c>
      <c r="Q5359">
        <v>7.8576560000000004E-2</v>
      </c>
      <c r="R5359">
        <v>-2.1919959999999999E-2</v>
      </c>
      <c r="S5359">
        <v>3.0424500000000001</v>
      </c>
      <c r="T5359">
        <v>-0.2819256</v>
      </c>
      <c r="U5359">
        <v>0.44735720000000001</v>
      </c>
      <c r="V5359">
        <v>-2.5635689999999999E-2</v>
      </c>
      <c r="W5359">
        <v>8.9317649999999998E-2</v>
      </c>
      <c r="X5359">
        <v>0.99567320000000004</v>
      </c>
      <c r="Y5359">
        <v>-0.1913253</v>
      </c>
      <c r="Z5359">
        <v>1.3172110000000001E-2</v>
      </c>
      <c r="AA5359">
        <v>0.98143829999999999</v>
      </c>
      <c r="AB5359">
        <v>27</v>
      </c>
      <c r="AC5359">
        <v>11.758199999999899</v>
      </c>
      <c r="AD5359">
        <v>-1.1107187722330001</v>
      </c>
      <c r="AE5359">
        <v>1.7724199999999899</v>
      </c>
      <c r="AF5359">
        <v>-2.3090701262077702</v>
      </c>
      <c r="AG5359">
        <v>-1.1107187722330001</v>
      </c>
      <c r="AH5359">
        <v>11.5598210756892</v>
      </c>
      <c r="AI5359">
        <v>95.382692340793696</v>
      </c>
      <c r="AJ5359">
        <v>101.29613908596301</v>
      </c>
      <c r="AK5359">
        <v>11.8403954469724</v>
      </c>
      <c r="AL5359">
        <v>84.875646656299693</v>
      </c>
      <c r="AM5359">
        <v>91.474873889469507</v>
      </c>
      <c r="AN5359">
        <v>0.99999997620076897</v>
      </c>
    </row>
    <row r="5360" spans="1:40" x14ac:dyDescent="0.25">
      <c r="A5360" t="str">
        <f>"20190312151134068"</f>
        <v>20190312151134068</v>
      </c>
      <c r="B5360" t="str">
        <f>"1552374694056410"</f>
        <v>1552374694056410</v>
      </c>
      <c r="C5360" t="s">
        <v>40</v>
      </c>
      <c r="D5360">
        <v>5.1162219999999996</v>
      </c>
      <c r="E5360">
        <v>0.4328804</v>
      </c>
      <c r="F5360" t="s">
        <v>90</v>
      </c>
      <c r="G5360">
        <v>-362.94850000000002</v>
      </c>
      <c r="H5360" s="1">
        <v>-3.7541970000000001E-6</v>
      </c>
      <c r="I5360">
        <v>17.246020000000001</v>
      </c>
      <c r="J5360">
        <v>-374.5274</v>
      </c>
      <c r="K5360">
        <v>1.110754</v>
      </c>
      <c r="L5360">
        <v>15.45102</v>
      </c>
      <c r="M5360">
        <v>0.99884240000000002</v>
      </c>
      <c r="N5360">
        <v>0</v>
      </c>
      <c r="O5360">
        <v>-4.6870559999999999E-2</v>
      </c>
      <c r="P5360">
        <v>0.99664319999999895</v>
      </c>
      <c r="Q5360">
        <v>7.9090320000000006E-2</v>
      </c>
      <c r="R5360">
        <v>-2.1149890000000001E-2</v>
      </c>
      <c r="S5360">
        <v>3.042999</v>
      </c>
      <c r="T5360">
        <v>-0.28823729999999997</v>
      </c>
      <c r="U5360">
        <v>0.46417239999999999</v>
      </c>
      <c r="V5360">
        <v>-2.576318E-2</v>
      </c>
      <c r="W5360">
        <v>8.9823929999999996E-2</v>
      </c>
      <c r="X5360">
        <v>0.99562439999999996</v>
      </c>
      <c r="Y5360">
        <v>-0.1959013</v>
      </c>
      <c r="Z5360">
        <v>1.361182E-2</v>
      </c>
      <c r="AA5360">
        <v>0.98052910000000004</v>
      </c>
      <c r="AB5360">
        <v>27</v>
      </c>
      <c r="AC5360">
        <v>11.5788999999999</v>
      </c>
      <c r="AD5360">
        <v>-1.110757754197</v>
      </c>
      <c r="AE5360">
        <v>1.7949999999999999</v>
      </c>
      <c r="AF5360">
        <v>-2.3149648673904499</v>
      </c>
      <c r="AG5360">
        <v>-1.110757754197</v>
      </c>
      <c r="AH5360">
        <v>11.379771102116299</v>
      </c>
      <c r="AI5360">
        <v>95.463664556832796</v>
      </c>
      <c r="AJ5360">
        <v>101.498666905335</v>
      </c>
      <c r="AK5360">
        <v>11.665849110215801</v>
      </c>
      <c r="AL5360">
        <v>84.846522069215098</v>
      </c>
      <c r="AM5360">
        <v>91.482278004201007</v>
      </c>
      <c r="AN5360">
        <v>1.0000000128598501</v>
      </c>
    </row>
    <row r="5361" spans="1:40" x14ac:dyDescent="0.25">
      <c r="A5361" t="str">
        <f>"20190312151134079"</f>
        <v>20190312151134079</v>
      </c>
      <c r="B5361" t="str">
        <f>"1552374694076906"</f>
        <v>1552374694076906</v>
      </c>
      <c r="C5361" t="s">
        <v>40</v>
      </c>
      <c r="D5361">
        <v>5.1322809999999999</v>
      </c>
      <c r="E5361">
        <v>0.4315985</v>
      </c>
      <c r="F5361" t="s">
        <v>90</v>
      </c>
      <c r="G5361">
        <v>-363.39839999999998</v>
      </c>
      <c r="H5361" s="1">
        <v>-3.5526320000000001E-6</v>
      </c>
      <c r="I5361">
        <v>17.18336</v>
      </c>
      <c r="J5361">
        <v>-374.38560000000001</v>
      </c>
      <c r="K5361">
        <v>1.110789</v>
      </c>
      <c r="L5361">
        <v>15.444979999999999</v>
      </c>
      <c r="M5361">
        <v>0.99887250000000005</v>
      </c>
      <c r="N5361">
        <v>0</v>
      </c>
      <c r="O5361">
        <v>-4.6226950000000003E-2</v>
      </c>
      <c r="P5361">
        <v>0.9966235</v>
      </c>
      <c r="Q5361">
        <v>7.9574179999999994E-2</v>
      </c>
      <c r="R5361">
        <v>-2.0245369999999999E-2</v>
      </c>
      <c r="S5361">
        <v>3.0443120000000001</v>
      </c>
      <c r="T5361">
        <v>-0.30384539999999999</v>
      </c>
      <c r="U5361">
        <v>0.47387699999999999</v>
      </c>
      <c r="V5361">
        <v>-2.603171E-2</v>
      </c>
      <c r="W5361">
        <v>9.0300240000000004E-2</v>
      </c>
      <c r="X5361">
        <v>0.99557430000000002</v>
      </c>
      <c r="Y5361">
        <v>-0.19813520000000001</v>
      </c>
      <c r="Z5361">
        <v>1.438274E-2</v>
      </c>
      <c r="AA5361">
        <v>0.98006919999999997</v>
      </c>
      <c r="AB5361">
        <v>27</v>
      </c>
      <c r="AC5361">
        <v>10.9872</v>
      </c>
      <c r="AD5361">
        <v>-1.1107925526319999</v>
      </c>
      <c r="AE5361">
        <v>1.73838</v>
      </c>
      <c r="AF5361">
        <v>-2.2222965034635398</v>
      </c>
      <c r="AG5361">
        <v>-1.1107925526319999</v>
      </c>
      <c r="AH5361">
        <v>10.787522051004199</v>
      </c>
      <c r="AI5361">
        <v>95.758941673649602</v>
      </c>
      <c r="AJ5361">
        <v>101.640441597687</v>
      </c>
      <c r="AK5361">
        <v>11.069918420891399</v>
      </c>
      <c r="AL5361">
        <v>84.819120014894096</v>
      </c>
      <c r="AM5361">
        <v>91.4977961436973</v>
      </c>
      <c r="AN5361">
        <v>0.99999998504503496</v>
      </c>
    </row>
    <row r="5362" spans="1:40" x14ac:dyDescent="0.25">
      <c r="A5362" t="str">
        <f>"20190312151134091"</f>
        <v>20190312151134091</v>
      </c>
      <c r="B5362" t="str">
        <f>"1552374694086667"</f>
        <v>1552374694086667</v>
      </c>
      <c r="C5362" t="s">
        <v>40</v>
      </c>
      <c r="D5362">
        <v>5.1615080000000004</v>
      </c>
      <c r="E5362">
        <v>0.43119249999999998</v>
      </c>
      <c r="F5362" t="s">
        <v>90</v>
      </c>
      <c r="G5362">
        <v>-364.2149</v>
      </c>
      <c r="H5362" s="1">
        <v>-3.1868250000000002E-6</v>
      </c>
      <c r="I5362">
        <v>17.069710000000001</v>
      </c>
      <c r="J5362">
        <v>-374.23849999999999</v>
      </c>
      <c r="K5362">
        <v>1.1108290000000001</v>
      </c>
      <c r="L5362">
        <v>15.4389</v>
      </c>
      <c r="M5362">
        <v>0.99890489999999998</v>
      </c>
      <c r="N5362">
        <v>0</v>
      </c>
      <c r="O5362">
        <v>-4.552001E-2</v>
      </c>
      <c r="P5362">
        <v>0.99660970000000004</v>
      </c>
      <c r="Q5362">
        <v>7.9950679999999996E-2</v>
      </c>
      <c r="R5362">
        <v>-1.9419769999999999E-2</v>
      </c>
      <c r="S5362">
        <v>3.0466609999999998</v>
      </c>
      <c r="T5362">
        <v>-0.33274169999999997</v>
      </c>
      <c r="U5362">
        <v>0.48669430000000002</v>
      </c>
      <c r="V5362">
        <v>-2.6159950000000001E-2</v>
      </c>
      <c r="W5362">
        <v>9.0670180000000003E-2</v>
      </c>
      <c r="X5362">
        <v>0.99553729999999996</v>
      </c>
      <c r="Y5362">
        <v>-0.20110330000000001</v>
      </c>
      <c r="Z5362">
        <v>1.5810080000000001E-2</v>
      </c>
      <c r="AA5362">
        <v>0.97944249999999999</v>
      </c>
      <c r="AB5362">
        <v>27</v>
      </c>
      <c r="AC5362">
        <v>10.023599999999901</v>
      </c>
      <c r="AD5362">
        <v>-1.110832186825</v>
      </c>
      <c r="AE5362">
        <v>1.6308100000000001</v>
      </c>
      <c r="AF5362">
        <v>-2.06076390680819</v>
      </c>
      <c r="AG5362">
        <v>-1.110832186825</v>
      </c>
      <c r="AH5362">
        <v>9.8214586219216198</v>
      </c>
      <c r="AI5362">
        <v>96.316479899048801</v>
      </c>
      <c r="AJ5362">
        <v>101.850043383657</v>
      </c>
      <c r="AK5362">
        <v>10.096620498414699</v>
      </c>
      <c r="AL5362">
        <v>84.797836627452895</v>
      </c>
      <c r="AM5362">
        <v>91.505227265369598</v>
      </c>
      <c r="AN5362">
        <v>0.99999997010826103</v>
      </c>
    </row>
    <row r="5363" spans="1:40" x14ac:dyDescent="0.25">
      <c r="A5363" t="str">
        <f>"20190312151134112"</f>
        <v>20190312151134112</v>
      </c>
      <c r="B5363" t="str">
        <f>"1552374694107162"</f>
        <v>1552374694107162</v>
      </c>
      <c r="C5363" t="s">
        <v>40</v>
      </c>
      <c r="D5363">
        <v>5.0863680000000002</v>
      </c>
      <c r="E5363">
        <v>0.43051050000000002</v>
      </c>
      <c r="F5363" t="s">
        <v>90</v>
      </c>
      <c r="G5363">
        <v>-364.27109999999999</v>
      </c>
      <c r="H5363" s="1">
        <v>-3.1639190000000002E-6</v>
      </c>
      <c r="I5363">
        <v>17.04889</v>
      </c>
      <c r="J5363">
        <v>-374.00810000000001</v>
      </c>
      <c r="K5363">
        <v>1.110889</v>
      </c>
      <c r="L5363">
        <v>15.42963</v>
      </c>
      <c r="M5363">
        <v>0.99895690000000004</v>
      </c>
      <c r="N5363">
        <v>0</v>
      </c>
      <c r="O5363">
        <v>-4.4368350000000001E-2</v>
      </c>
      <c r="P5363">
        <v>0.99656979999999995</v>
      </c>
      <c r="Q5363">
        <v>8.080582E-2</v>
      </c>
      <c r="R5363">
        <v>-1.7876090000000001E-2</v>
      </c>
      <c r="S5363">
        <v>3.0470890000000002</v>
      </c>
      <c r="T5363">
        <v>-0.33959080000000003</v>
      </c>
      <c r="U5363">
        <v>0.4921875</v>
      </c>
      <c r="V5363">
        <v>-2.6565660000000001E-2</v>
      </c>
      <c r="W5363">
        <v>9.1514479999999995E-2</v>
      </c>
      <c r="X5363">
        <v>0.99544929999999998</v>
      </c>
      <c r="Y5363">
        <v>-0.20161960000000001</v>
      </c>
      <c r="Z5363">
        <v>1.6030340000000001E-2</v>
      </c>
      <c r="AA5363">
        <v>0.97933269999999994</v>
      </c>
      <c r="AB5363">
        <v>27</v>
      </c>
      <c r="AC5363">
        <v>9.7370000000000196</v>
      </c>
      <c r="AD5363">
        <v>-1.1108921639189999</v>
      </c>
      <c r="AE5363">
        <v>1.6192599999999999</v>
      </c>
      <c r="AF5363">
        <v>-2.0240678150920899</v>
      </c>
      <c r="AG5363">
        <v>-1.1108921639189999</v>
      </c>
      <c r="AH5363">
        <v>9.5347927270797701</v>
      </c>
      <c r="AI5363">
        <v>96.501925954419406</v>
      </c>
      <c r="AJ5363">
        <v>101.984964888991</v>
      </c>
      <c r="AK5363">
        <v>9.8103620865043304</v>
      </c>
      <c r="AL5363">
        <v>84.749259845371796</v>
      </c>
      <c r="AM5363">
        <v>91.528695640176593</v>
      </c>
      <c r="AN5363">
        <v>0.99999997160569698</v>
      </c>
    </row>
    <row r="5364" spans="1:40" x14ac:dyDescent="0.25">
      <c r="A5364" t="str">
        <f>"20190312151134124"</f>
        <v>20190312151134124</v>
      </c>
      <c r="B5364" t="str">
        <f>"1552374694116922"</f>
        <v>1552374694116922</v>
      </c>
      <c r="C5364" t="s">
        <v>40</v>
      </c>
      <c r="D5364">
        <v>5.1099199999999998</v>
      </c>
      <c r="E5364">
        <v>0.43026189999999997</v>
      </c>
      <c r="F5364" t="s">
        <v>90</v>
      </c>
      <c r="G5364">
        <v>-364.43810000000002</v>
      </c>
      <c r="H5364" s="1">
        <v>-3.0924989999999998E-6</v>
      </c>
      <c r="I5364">
        <v>17.006679999999999</v>
      </c>
      <c r="J5364">
        <v>-373.85910000000001</v>
      </c>
      <c r="K5364">
        <v>1.1109249999999999</v>
      </c>
      <c r="L5364">
        <v>15.4238</v>
      </c>
      <c r="M5364">
        <v>0.99899099999999996</v>
      </c>
      <c r="N5364">
        <v>0</v>
      </c>
      <c r="O5364">
        <v>-4.3592529999999997E-2</v>
      </c>
      <c r="P5364">
        <v>0.99655530000000003</v>
      </c>
      <c r="Q5364">
        <v>8.1146839999999998E-2</v>
      </c>
      <c r="R5364">
        <v>-1.7113260000000002E-2</v>
      </c>
      <c r="S5364">
        <v>3.048035</v>
      </c>
      <c r="T5364">
        <v>-0.35381669999999998</v>
      </c>
      <c r="U5364">
        <v>0.50228879999999998</v>
      </c>
      <c r="V5364">
        <v>-2.6561990000000001E-2</v>
      </c>
      <c r="W5364">
        <v>9.1850169999999995E-2</v>
      </c>
      <c r="X5364">
        <v>0.99541849999999998</v>
      </c>
      <c r="Y5364">
        <v>-0.20383799999999999</v>
      </c>
      <c r="Z5364">
        <v>1.6726399999999999E-2</v>
      </c>
      <c r="AA5364">
        <v>0.97886169999999995</v>
      </c>
      <c r="AB5364">
        <v>27</v>
      </c>
      <c r="AC5364">
        <v>9.4209999999999905</v>
      </c>
      <c r="AD5364">
        <v>-1.1109280924989999</v>
      </c>
      <c r="AE5364">
        <v>1.5828799999999901</v>
      </c>
      <c r="AF5364">
        <v>-1.96550389807318</v>
      </c>
      <c r="AG5364">
        <v>-1.1109280924989999</v>
      </c>
      <c r="AH5364">
        <v>9.2183732104513503</v>
      </c>
      <c r="AI5364">
        <v>96.722043904237694</v>
      </c>
      <c r="AJ5364">
        <v>102.036140379337</v>
      </c>
      <c r="AK5364">
        <v>9.4908256462339207</v>
      </c>
      <c r="AL5364">
        <v>84.729944981397296</v>
      </c>
      <c r="AM5364">
        <v>91.528531825271301</v>
      </c>
      <c r="AN5364">
        <v>0.99999999159201902</v>
      </c>
    </row>
    <row r="5365" spans="1:40" x14ac:dyDescent="0.25">
      <c r="A5365" t="str">
        <f>"20190312151134136"</f>
        <v>20190312151134136</v>
      </c>
      <c r="B5365" t="str">
        <f>"1552374694126682"</f>
        <v>1552374694126682</v>
      </c>
      <c r="C5365" t="s">
        <v>40</v>
      </c>
      <c r="D5365">
        <v>5.1046490000000002</v>
      </c>
      <c r="E5365">
        <v>0.42999579999999998</v>
      </c>
      <c r="F5365" t="s">
        <v>90</v>
      </c>
      <c r="G5365">
        <v>-364.43869999999998</v>
      </c>
      <c r="H5365" s="1">
        <v>-3.095428E-6</v>
      </c>
      <c r="I5365">
        <v>16.988600000000002</v>
      </c>
      <c r="J5365">
        <v>-373.70510000000002</v>
      </c>
      <c r="K5365">
        <v>1.110959</v>
      </c>
      <c r="L5365">
        <v>15.41785</v>
      </c>
      <c r="M5365">
        <v>0.99902650000000004</v>
      </c>
      <c r="N5365">
        <v>0</v>
      </c>
      <c r="O5365">
        <v>-4.2771539999999997E-2</v>
      </c>
      <c r="P5365">
        <v>0.99655660000000001</v>
      </c>
      <c r="Q5365">
        <v>8.1320870000000003E-2</v>
      </c>
      <c r="R5365">
        <v>-1.617648E-2</v>
      </c>
      <c r="S5365">
        <v>3.0483090000000002</v>
      </c>
      <c r="T5365">
        <v>-0.35948069999999999</v>
      </c>
      <c r="U5365">
        <v>0.50634769999999996</v>
      </c>
      <c r="V5365">
        <v>-2.6687829999999999E-2</v>
      </c>
      <c r="W5365">
        <v>9.2018730000000007E-2</v>
      </c>
      <c r="X5365">
        <v>0.99539960000000005</v>
      </c>
      <c r="Y5365">
        <v>-0.2042397</v>
      </c>
      <c r="Z5365">
        <v>1.69166E-2</v>
      </c>
      <c r="AA5365">
        <v>0.9787747</v>
      </c>
      <c r="AB5365">
        <v>27</v>
      </c>
      <c r="AC5365">
        <v>9.2664000000000293</v>
      </c>
      <c r="AD5365">
        <v>-1.110962095428</v>
      </c>
      <c r="AE5365">
        <v>1.5707500000000001</v>
      </c>
      <c r="AF5365">
        <v>-1.93858686100209</v>
      </c>
      <c r="AG5365">
        <v>-1.110962095428</v>
      </c>
      <c r="AH5365">
        <v>9.0640841071697906</v>
      </c>
      <c r="AI5365">
        <v>96.834688051667897</v>
      </c>
      <c r="AJ5365">
        <v>102.07229160832</v>
      </c>
      <c r="AK5365">
        <v>9.3354151753939494</v>
      </c>
      <c r="AL5365">
        <v>84.720246309199695</v>
      </c>
      <c r="AM5365">
        <v>91.535799079173003</v>
      </c>
      <c r="AN5365">
        <v>1.0000000253105401</v>
      </c>
    </row>
    <row r="5366" spans="1:40" x14ac:dyDescent="0.25">
      <c r="A5366" t="str">
        <f>"20190312151134155"</f>
        <v>20190312151134155</v>
      </c>
      <c r="B5366" t="str">
        <f>"1552374694146202"</f>
        <v>1552374694146202</v>
      </c>
      <c r="C5366" t="s">
        <v>40</v>
      </c>
      <c r="D5366">
        <v>5.1776220000000004</v>
      </c>
      <c r="E5366">
        <v>0.42965700000000001</v>
      </c>
      <c r="F5366" t="s">
        <v>90</v>
      </c>
      <c r="G5366">
        <v>-364.47239999999999</v>
      </c>
      <c r="H5366" s="1">
        <v>-3.0835449999999898E-6</v>
      </c>
      <c r="I5366">
        <v>16.965729999999901</v>
      </c>
      <c r="J5366">
        <v>-373.48390000000001</v>
      </c>
      <c r="K5366">
        <v>1.1110070000000001</v>
      </c>
      <c r="L5366">
        <v>15.40973</v>
      </c>
      <c r="M5366">
        <v>0.99907840000000003</v>
      </c>
      <c r="N5366">
        <v>0</v>
      </c>
      <c r="O5366">
        <v>-4.1541809999999998E-2</v>
      </c>
      <c r="P5366">
        <v>0.99654520000000002</v>
      </c>
      <c r="Q5366">
        <v>8.1708299999999998E-2</v>
      </c>
      <c r="R5366">
        <v>-1.4884369999999999E-2</v>
      </c>
      <c r="S5366">
        <v>3.0486149999999999</v>
      </c>
      <c r="T5366">
        <v>-0.36683739999999998</v>
      </c>
      <c r="U5366">
        <v>0.51110840000000002</v>
      </c>
      <c r="V5366">
        <v>-2.67633E-2</v>
      </c>
      <c r="W5366">
        <v>9.2399519999999999E-2</v>
      </c>
      <c r="X5366">
        <v>0.99536230000000003</v>
      </c>
      <c r="Y5366">
        <v>-0.20444570000000001</v>
      </c>
      <c r="Z5366">
        <v>1.712222E-2</v>
      </c>
      <c r="AA5366">
        <v>0.97872809999999999</v>
      </c>
      <c r="AB5366">
        <v>27</v>
      </c>
      <c r="AC5366">
        <v>9.0115000000000105</v>
      </c>
      <c r="AD5366">
        <v>-1.1110100835449901</v>
      </c>
      <c r="AE5366">
        <v>1.5559999999999901</v>
      </c>
      <c r="AF5366">
        <v>-1.9009743469181</v>
      </c>
      <c r="AG5366">
        <v>-1.1110100835449901</v>
      </c>
      <c r="AH5366">
        <v>8.80905659726686</v>
      </c>
      <c r="AI5366">
        <v>97.028157343715606</v>
      </c>
      <c r="AJ5366">
        <v>102.177559690018</v>
      </c>
      <c r="AK5366">
        <v>9.0800619495260193</v>
      </c>
      <c r="AL5366">
        <v>84.698335309880704</v>
      </c>
      <c r="AM5366">
        <v>91.540197734036497</v>
      </c>
      <c r="AN5366">
        <v>1.0000000268922</v>
      </c>
    </row>
    <row r="5367" spans="1:40" x14ac:dyDescent="0.25">
      <c r="A5367" t="str">
        <f>"20190312151134167"</f>
        <v>20190312151134167</v>
      </c>
      <c r="B5367" t="str">
        <f>"1552374694156938"</f>
        <v>1552374694156938</v>
      </c>
      <c r="C5367" t="s">
        <v>40</v>
      </c>
      <c r="D5367">
        <v>5.0718930000000002</v>
      </c>
      <c r="E5367">
        <v>0.42954750000000003</v>
      </c>
      <c r="F5367" t="s">
        <v>90</v>
      </c>
      <c r="G5367">
        <v>-364.5428</v>
      </c>
      <c r="H5367" s="1">
        <v>-3.0571080000000001E-6</v>
      </c>
      <c r="I5367">
        <v>16.927039999999899</v>
      </c>
      <c r="J5367">
        <v>-373.34089999999998</v>
      </c>
      <c r="K5367">
        <v>1.1110310000000001</v>
      </c>
      <c r="L5367">
        <v>15.404629999999999</v>
      </c>
      <c r="M5367">
        <v>0.99911240000000001</v>
      </c>
      <c r="N5367">
        <v>0</v>
      </c>
      <c r="O5367">
        <v>-4.0717349999999999E-2</v>
      </c>
      <c r="P5367">
        <v>0.99653849999999999</v>
      </c>
      <c r="Q5367">
        <v>8.1937750000000004E-2</v>
      </c>
      <c r="R5367">
        <v>-1.405903E-2</v>
      </c>
      <c r="S5367">
        <v>3.0492249999999999</v>
      </c>
      <c r="T5367">
        <v>-0.37889240000000002</v>
      </c>
      <c r="U5367">
        <v>0.51745609999999997</v>
      </c>
      <c r="V5367">
        <v>-2.6772230000000001E-2</v>
      </c>
      <c r="W5367">
        <v>9.2625040000000006E-2</v>
      </c>
      <c r="X5367">
        <v>0.99534109999999998</v>
      </c>
      <c r="Y5367">
        <v>-0.20547219999999999</v>
      </c>
      <c r="Z5367">
        <v>1.7635959999999999E-2</v>
      </c>
      <c r="AA5367">
        <v>0.97850409999999999</v>
      </c>
      <c r="AB5367">
        <v>27</v>
      </c>
      <c r="AC5367">
        <v>8.7980999999999696</v>
      </c>
      <c r="AD5367">
        <v>-1.111034057108</v>
      </c>
      <c r="AE5367">
        <v>1.52240999999999</v>
      </c>
      <c r="AF5367">
        <v>-1.8507477955077201</v>
      </c>
      <c r="AG5367">
        <v>-1.111034057108</v>
      </c>
      <c r="AH5367">
        <v>8.5957205354088906</v>
      </c>
      <c r="AI5367">
        <v>97.201648195512703</v>
      </c>
      <c r="AJ5367">
        <v>102.150876451344</v>
      </c>
      <c r="AK5367">
        <v>8.8626223885191404</v>
      </c>
      <c r="AL5367">
        <v>84.685358319789799</v>
      </c>
      <c r="AM5367">
        <v>91.540744197954496</v>
      </c>
      <c r="AN5367">
        <v>1.0000000278416901</v>
      </c>
    </row>
    <row r="5368" spans="1:40" x14ac:dyDescent="0.25">
      <c r="A5368" t="str">
        <f>"20190312151134180"</f>
        <v>20190312151134180</v>
      </c>
      <c r="B5368" t="str">
        <f>"1552374694176458"</f>
        <v>1552374694176458</v>
      </c>
      <c r="C5368" t="s">
        <v>40</v>
      </c>
      <c r="D5368">
        <v>5.1262259999999999</v>
      </c>
      <c r="E5368">
        <v>0.42939260000000001</v>
      </c>
      <c r="F5368" t="s">
        <v>90</v>
      </c>
      <c r="G5368">
        <v>-364.48739999999998</v>
      </c>
      <c r="H5368" s="1">
        <v>-3.0851860000000002E-6</v>
      </c>
      <c r="I5368">
        <v>16.916550000000001</v>
      </c>
      <c r="J5368">
        <v>-373.19529999999997</v>
      </c>
      <c r="K5368">
        <v>1.1110580000000001</v>
      </c>
      <c r="L5368">
        <v>15.39954</v>
      </c>
      <c r="M5368">
        <v>0.9991466</v>
      </c>
      <c r="N5368">
        <v>0</v>
      </c>
      <c r="O5368">
        <v>-3.9867859999999998E-2</v>
      </c>
      <c r="P5368">
        <v>0.9965406</v>
      </c>
      <c r="Q5368">
        <v>8.2074610000000006E-2</v>
      </c>
      <c r="R5368">
        <v>-1.306527E-2</v>
      </c>
      <c r="S5368">
        <v>3.0492249999999999</v>
      </c>
      <c r="T5368">
        <v>-0.38265120000000002</v>
      </c>
      <c r="U5368">
        <v>0.5207214</v>
      </c>
      <c r="V5368">
        <v>-2.6924719999999999E-2</v>
      </c>
      <c r="W5368">
        <v>9.2757980000000004E-2</v>
      </c>
      <c r="X5368">
        <v>0.9953246</v>
      </c>
      <c r="Y5368">
        <v>-0.20562800000000001</v>
      </c>
      <c r="Z5368">
        <v>1.7712160000000001E-2</v>
      </c>
      <c r="AA5368">
        <v>0.9784699</v>
      </c>
      <c r="AB5368">
        <v>27</v>
      </c>
      <c r="AC5368">
        <v>8.7078999999999898</v>
      </c>
      <c r="AD5368">
        <v>-1.1110610851860001</v>
      </c>
      <c r="AE5368">
        <v>1.51701</v>
      </c>
      <c r="AF5368">
        <v>-1.83401148565009</v>
      </c>
      <c r="AG5368">
        <v>-1.1110610851860001</v>
      </c>
      <c r="AH5368">
        <v>8.5060940254133897</v>
      </c>
      <c r="AI5368">
        <v>97.276449747765895</v>
      </c>
      <c r="AJ5368">
        <v>102.16736300043701</v>
      </c>
      <c r="AK5368">
        <v>8.7722112624859108</v>
      </c>
      <c r="AL5368">
        <v>84.677708451102006</v>
      </c>
      <c r="AM5368">
        <v>91.549541419215601</v>
      </c>
      <c r="AN5368">
        <v>1.0000000213829501</v>
      </c>
    </row>
    <row r="5369" spans="1:40" x14ac:dyDescent="0.25">
      <c r="A5369" t="str">
        <f>"20190312151134192"</f>
        <v>20190312151134192</v>
      </c>
      <c r="B5369" t="str">
        <f>"1552374694186218"</f>
        <v>1552374694186218</v>
      </c>
      <c r="C5369" t="s">
        <v>40</v>
      </c>
      <c r="D5369">
        <v>5.2209310000000002</v>
      </c>
      <c r="E5369">
        <v>0.4291876</v>
      </c>
      <c r="F5369" t="s">
        <v>90</v>
      </c>
      <c r="G5369">
        <v>-364.47859999999997</v>
      </c>
      <c r="H5369" s="1">
        <v>-3.0922580000000001E-6</v>
      </c>
      <c r="I5369">
        <v>16.900099999999998</v>
      </c>
      <c r="J5369">
        <v>-373.05099999999999</v>
      </c>
      <c r="K5369">
        <v>1.111084</v>
      </c>
      <c r="L5369">
        <v>15.394679999999999</v>
      </c>
      <c r="M5369">
        <v>0.99918079999999998</v>
      </c>
      <c r="N5369">
        <v>0</v>
      </c>
      <c r="O5369">
        <v>-3.9002080000000001E-2</v>
      </c>
      <c r="P5369">
        <v>0.99654940000000003</v>
      </c>
      <c r="Q5369">
        <v>8.2090969999999999E-2</v>
      </c>
      <c r="R5369">
        <v>-1.2266559999999999E-2</v>
      </c>
      <c r="S5369">
        <v>3.0493160000000001</v>
      </c>
      <c r="T5369">
        <v>-0.38867560000000001</v>
      </c>
      <c r="U5369">
        <v>0.52493290000000004</v>
      </c>
      <c r="V5369">
        <v>-2.6864409999999998E-2</v>
      </c>
      <c r="W5369">
        <v>9.277175E-2</v>
      </c>
      <c r="X5369">
        <v>0.99532489999999996</v>
      </c>
      <c r="Y5369">
        <v>-0.2060333</v>
      </c>
      <c r="Z5369">
        <v>1.7902580000000001E-2</v>
      </c>
      <c r="AA5369">
        <v>0.97838119999999995</v>
      </c>
      <c r="AB5369">
        <v>27</v>
      </c>
      <c r="AC5369">
        <v>8.5724000000000107</v>
      </c>
      <c r="AD5369">
        <v>-1.1110870922579901</v>
      </c>
      <c r="AE5369">
        <v>1.50541999999999</v>
      </c>
      <c r="AF5369">
        <v>-1.8091521101508401</v>
      </c>
      <c r="AG5369">
        <v>-1.1110870922579901</v>
      </c>
      <c r="AH5369">
        <v>8.3707431615396999</v>
      </c>
      <c r="AI5369">
        <v>97.392207296993206</v>
      </c>
      <c r="AJ5369">
        <v>102.19564082467799</v>
      </c>
      <c r="AK5369">
        <v>8.6357910442940504</v>
      </c>
      <c r="AL5369">
        <v>84.676915825737893</v>
      </c>
      <c r="AM5369">
        <v>91.546071746174604</v>
      </c>
      <c r="AN5369">
        <v>0.99999997534135998</v>
      </c>
    </row>
    <row r="5370" spans="1:40" x14ac:dyDescent="0.25">
      <c r="A5370" t="str">
        <f>"20190312151134206"</f>
        <v>20190312151134206</v>
      </c>
      <c r="B5370" t="str">
        <f>"1552374694196956"</f>
        <v>1552374694196956</v>
      </c>
      <c r="C5370" t="s">
        <v>40</v>
      </c>
      <c r="D5370">
        <v>5.1663180000000004</v>
      </c>
      <c r="E5370">
        <v>0.42916609999999999</v>
      </c>
      <c r="F5370" t="s">
        <v>90</v>
      </c>
      <c r="G5370">
        <v>-364.45519999999999</v>
      </c>
      <c r="H5370" s="1">
        <v>-3.1058969999999999E-6</v>
      </c>
      <c r="I5370">
        <v>16.8855</v>
      </c>
      <c r="J5370">
        <v>-372.88529999999997</v>
      </c>
      <c r="K5370">
        <v>1.111108</v>
      </c>
      <c r="L5370">
        <v>15.389250000000001</v>
      </c>
      <c r="M5370">
        <v>0.99921979999999999</v>
      </c>
      <c r="N5370">
        <v>0</v>
      </c>
      <c r="O5370">
        <v>-3.7992520000000002E-2</v>
      </c>
      <c r="P5370">
        <v>0.99653389999999997</v>
      </c>
      <c r="Q5370">
        <v>8.2421510000000003E-2</v>
      </c>
      <c r="R5370">
        <v>-1.1273439999999999E-2</v>
      </c>
      <c r="S5370">
        <v>3.0493769999999998</v>
      </c>
      <c r="T5370">
        <v>-0.3941597</v>
      </c>
      <c r="U5370">
        <v>0.52886959999999905</v>
      </c>
      <c r="V5370">
        <v>-2.685647E-2</v>
      </c>
      <c r="W5370">
        <v>9.3099829999999995E-2</v>
      </c>
      <c r="X5370">
        <v>0.99529449999999997</v>
      </c>
      <c r="Y5370">
        <v>-0.20622099999999999</v>
      </c>
      <c r="Z5370">
        <v>1.803372E-2</v>
      </c>
      <c r="AA5370">
        <v>0.97833930000000002</v>
      </c>
      <c r="AB5370">
        <v>27</v>
      </c>
      <c r="AC5370">
        <v>8.4300999999999799</v>
      </c>
      <c r="AD5370">
        <v>-1.111111105897</v>
      </c>
      <c r="AE5370">
        <v>1.4962500000000001</v>
      </c>
      <c r="AF5370">
        <v>-1.7854002780243401</v>
      </c>
      <c r="AG5370">
        <v>-1.111111105897</v>
      </c>
      <c r="AH5370">
        <v>8.2285821436451592</v>
      </c>
      <c r="AI5370">
        <v>97.517327723798402</v>
      </c>
      <c r="AJ5370">
        <v>102.24202004218201</v>
      </c>
      <c r="AK5370">
        <v>8.4930433966354499</v>
      </c>
      <c r="AL5370">
        <v>84.658036623637301</v>
      </c>
      <c r="AM5370">
        <v>91.545662199424001</v>
      </c>
      <c r="AN5370">
        <v>0.99999999502856896</v>
      </c>
    </row>
    <row r="5371" spans="1:40" x14ac:dyDescent="0.25">
      <c r="A5371" t="str">
        <f>"20190312151134224"</f>
        <v>20190312151134224</v>
      </c>
      <c r="B5371" t="str">
        <f>"1552374694216473"</f>
        <v>1552374694216473</v>
      </c>
      <c r="C5371" t="s">
        <v>40</v>
      </c>
      <c r="D5371">
        <v>5.1521569999999999</v>
      </c>
      <c r="E5371">
        <v>0.42911709999999897</v>
      </c>
      <c r="F5371" t="s">
        <v>90</v>
      </c>
      <c r="G5371">
        <v>-364.32889999999998</v>
      </c>
      <c r="H5371" s="1">
        <v>-3.1662229999999999E-6</v>
      </c>
      <c r="I5371">
        <v>16.88214</v>
      </c>
      <c r="J5371">
        <v>-372.66890000000001</v>
      </c>
      <c r="K5371">
        <v>1.111138</v>
      </c>
      <c r="L5371">
        <v>15.38245</v>
      </c>
      <c r="M5371">
        <v>0.99926990000000004</v>
      </c>
      <c r="N5371">
        <v>0</v>
      </c>
      <c r="O5371">
        <v>-3.6650950000000002E-2</v>
      </c>
      <c r="P5371">
        <v>0.9965368</v>
      </c>
      <c r="Q5371">
        <v>8.2562430000000006E-2</v>
      </c>
      <c r="R5371">
        <v>-9.9020140000000006E-3</v>
      </c>
      <c r="S5371">
        <v>3.049194</v>
      </c>
      <c r="T5371">
        <v>-0.39596019999999998</v>
      </c>
      <c r="U5371">
        <v>0.53201290000000001</v>
      </c>
      <c r="V5371">
        <v>-2.6896460000000001E-2</v>
      </c>
      <c r="W5371">
        <v>9.3237500000000001E-2</v>
      </c>
      <c r="X5371">
        <v>0.99528059999999996</v>
      </c>
      <c r="Y5371">
        <v>-0.20589250000000001</v>
      </c>
      <c r="Z5371">
        <v>1.7921469999999998E-2</v>
      </c>
      <c r="AA5371">
        <v>0.97841049999999996</v>
      </c>
      <c r="AB5371">
        <v>27</v>
      </c>
      <c r="AC5371">
        <v>8.3400000000000301</v>
      </c>
      <c r="AD5371">
        <v>-1.111141166223</v>
      </c>
      <c r="AE5371">
        <v>1.49968999999999</v>
      </c>
      <c r="AF5371">
        <v>-1.7738684769637401</v>
      </c>
      <c r="AG5371">
        <v>-1.111141166223</v>
      </c>
      <c r="AH5371">
        <v>8.1394746915643399</v>
      </c>
      <c r="AI5371">
        <v>97.597376240600497</v>
      </c>
      <c r="AJ5371">
        <v>102.29446272558501</v>
      </c>
      <c r="AK5371">
        <v>8.4043020126276708</v>
      </c>
      <c r="AL5371">
        <v>84.650114612550695</v>
      </c>
      <c r="AM5371">
        <v>91.547984220883507</v>
      </c>
      <c r="AN5371">
        <v>1.0000000618515601</v>
      </c>
    </row>
    <row r="5372" spans="1:40" x14ac:dyDescent="0.25">
      <c r="A5372" t="str">
        <f>"20190312151134245"</f>
        <v>20190312151134245</v>
      </c>
      <c r="B5372" t="str">
        <f>"1552374694236970"</f>
        <v>1552374694236970</v>
      </c>
      <c r="C5372" t="s">
        <v>40</v>
      </c>
      <c r="D5372">
        <v>5.1142010000000004</v>
      </c>
      <c r="E5372">
        <v>0.42890689999999998</v>
      </c>
      <c r="F5372" t="s">
        <v>90</v>
      </c>
      <c r="G5372">
        <v>-364.1388</v>
      </c>
      <c r="H5372" s="1">
        <v>-3.2558269999999999E-6</v>
      </c>
      <c r="I5372">
        <v>16.883569999999999</v>
      </c>
      <c r="J5372">
        <v>-372.40730000000002</v>
      </c>
      <c r="K5372">
        <v>1.111165</v>
      </c>
      <c r="L5372">
        <v>15.37466</v>
      </c>
      <c r="M5372">
        <v>0.99932909999999997</v>
      </c>
      <c r="N5372">
        <v>0</v>
      </c>
      <c r="O5372">
        <v>-3.4997769999999997E-2</v>
      </c>
      <c r="P5372">
        <v>0.99650870000000003</v>
      </c>
      <c r="Q5372">
        <v>8.304694E-2</v>
      </c>
      <c r="R5372">
        <v>-8.5712300000000009E-3</v>
      </c>
      <c r="S5372">
        <v>3.048645</v>
      </c>
      <c r="T5372">
        <v>-0.39711930000000001</v>
      </c>
      <c r="U5372">
        <v>0.53649899999999995</v>
      </c>
      <c r="V5372">
        <v>-2.6584389999999999E-2</v>
      </c>
      <c r="W5372">
        <v>9.3719369999999996E-2</v>
      </c>
      <c r="X5372">
        <v>0.99524369999999995</v>
      </c>
      <c r="Y5372">
        <v>-0.20570459999999999</v>
      </c>
      <c r="Z5372">
        <v>1.7749299999999999E-2</v>
      </c>
      <c r="AA5372">
        <v>0.97845320000000002</v>
      </c>
      <c r="AB5372">
        <v>27</v>
      </c>
      <c r="AC5372">
        <v>8.2685000000000102</v>
      </c>
      <c r="AD5372">
        <v>-1.111168255827</v>
      </c>
      <c r="AE5372">
        <v>1.50891</v>
      </c>
      <c r="AF5372">
        <v>-1.7665073417586701</v>
      </c>
      <c r="AG5372">
        <v>-1.111168255827</v>
      </c>
      <c r="AH5372">
        <v>8.0695864455265305</v>
      </c>
      <c r="AI5372">
        <v>97.6610417029232</v>
      </c>
      <c r="AJ5372">
        <v>102.34779619128599</v>
      </c>
      <c r="AK5372">
        <v>8.3350745937316297</v>
      </c>
      <c r="AL5372">
        <v>84.622383935041896</v>
      </c>
      <c r="AM5372">
        <v>91.530088802455197</v>
      </c>
      <c r="AN5372">
        <v>1.0000000362472701</v>
      </c>
    </row>
    <row r="5373" spans="1:40" x14ac:dyDescent="0.25">
      <c r="A5373" t="str">
        <f>"20190312151134267"</f>
        <v>20190312151134267</v>
      </c>
      <c r="B5373" t="str">
        <f>"1552374694256490"</f>
        <v>1552374694256490</v>
      </c>
      <c r="C5373" t="s">
        <v>40</v>
      </c>
      <c r="D5373">
        <v>5.1382750000000001</v>
      </c>
      <c r="E5373">
        <v>0.42891570000000001</v>
      </c>
      <c r="F5373" t="s">
        <v>90</v>
      </c>
      <c r="G5373">
        <v>-363.98520000000002</v>
      </c>
      <c r="H5373" s="1">
        <v>-3.3303359999999998E-6</v>
      </c>
      <c r="I5373">
        <v>16.872699999999998</v>
      </c>
      <c r="J5373">
        <v>-372.14890000000003</v>
      </c>
      <c r="K5373">
        <v>1.111189</v>
      </c>
      <c r="L5373">
        <v>15.3674</v>
      </c>
      <c r="M5373">
        <v>0.99938590000000005</v>
      </c>
      <c r="N5373">
        <v>0</v>
      </c>
      <c r="O5373">
        <v>-3.3338680000000002E-2</v>
      </c>
      <c r="P5373">
        <v>0.99648400000000004</v>
      </c>
      <c r="Q5373">
        <v>8.3490159999999994E-2</v>
      </c>
      <c r="R5373">
        <v>-7.0159619999999997E-3</v>
      </c>
      <c r="S5373">
        <v>3.0486759999999999</v>
      </c>
      <c r="T5373">
        <v>-0.40222639999999998</v>
      </c>
      <c r="U5373">
        <v>0.54226680000000005</v>
      </c>
      <c r="V5373">
        <v>-2.6490739999999999E-2</v>
      </c>
      <c r="W5373">
        <v>9.4160859999999999E-2</v>
      </c>
      <c r="X5373">
        <v>0.99520450000000005</v>
      </c>
      <c r="Y5373">
        <v>-0.20583679999999999</v>
      </c>
      <c r="Z5373">
        <v>1.776471E-2</v>
      </c>
      <c r="AA5373">
        <v>0.97842510000000005</v>
      </c>
      <c r="AB5373">
        <v>27</v>
      </c>
      <c r="AC5373">
        <v>8.1637000000000004</v>
      </c>
      <c r="AD5373">
        <v>-1.1111923303360001</v>
      </c>
      <c r="AE5373">
        <v>1.5052999999999901</v>
      </c>
      <c r="AF5373">
        <v>-1.7453727447877301</v>
      </c>
      <c r="AG5373">
        <v>-1.1111923303360001</v>
      </c>
      <c r="AH5373">
        <v>7.9662364968021899</v>
      </c>
      <c r="AI5373">
        <v>97.759095603939898</v>
      </c>
      <c r="AJ5373">
        <v>102.358019997814</v>
      </c>
      <c r="AK5373">
        <v>8.23055273576621</v>
      </c>
      <c r="AL5373">
        <v>84.596975932374804</v>
      </c>
      <c r="AM5373">
        <v>91.524761268065404</v>
      </c>
      <c r="AN5373">
        <v>1.00000001184096</v>
      </c>
    </row>
    <row r="5374" spans="1:40" x14ac:dyDescent="0.25">
      <c r="A5374" t="str">
        <f>"20190312151134279"</f>
        <v>20190312151134279</v>
      </c>
      <c r="B5374" t="str">
        <f>"1552374694276986"</f>
        <v>1552374694276986</v>
      </c>
      <c r="C5374" t="s">
        <v>40</v>
      </c>
      <c r="D5374">
        <v>5.1715710000000001</v>
      </c>
      <c r="E5374">
        <v>0.42895100000000003</v>
      </c>
      <c r="F5374" t="s">
        <v>90</v>
      </c>
      <c r="G5374">
        <v>-363.77629999999999</v>
      </c>
      <c r="H5374" s="1">
        <v>-3.4295890000000001E-6</v>
      </c>
      <c r="I5374">
        <v>16.869800000000001</v>
      </c>
      <c r="J5374">
        <v>-372.00540000000001</v>
      </c>
      <c r="K5374">
        <v>1.1112</v>
      </c>
      <c r="L5374">
        <v>15.363530000000001</v>
      </c>
      <c r="M5374">
        <v>0.99941650000000004</v>
      </c>
      <c r="N5374">
        <v>0</v>
      </c>
      <c r="O5374">
        <v>-3.2409960000000002E-2</v>
      </c>
      <c r="P5374">
        <v>0.99647359999999896</v>
      </c>
      <c r="Q5374">
        <v>8.365359E-2</v>
      </c>
      <c r="R5374">
        <v>-6.5434300000000003E-3</v>
      </c>
      <c r="S5374">
        <v>3.0483090000000002</v>
      </c>
      <c r="T5374">
        <v>-0.40456550000000002</v>
      </c>
      <c r="U5374">
        <v>0.54699709999999901</v>
      </c>
      <c r="V5374">
        <v>-2.6039980000000001E-2</v>
      </c>
      <c r="W5374">
        <v>9.4324649999999996E-2</v>
      </c>
      <c r="X5374">
        <v>0.99520090000000005</v>
      </c>
      <c r="Y5374">
        <v>-0.20639940000000001</v>
      </c>
      <c r="Z5374">
        <v>1.778186E-2</v>
      </c>
      <c r="AA5374">
        <v>0.97830620000000001</v>
      </c>
      <c r="AB5374">
        <v>27</v>
      </c>
      <c r="AC5374">
        <v>8.2291000000000096</v>
      </c>
      <c r="AD5374">
        <v>-1.1112034295890001</v>
      </c>
      <c r="AE5374">
        <v>1.50627</v>
      </c>
      <c r="AF5374">
        <v>-1.74147423944894</v>
      </c>
      <c r="AG5374">
        <v>-1.1112034295890001</v>
      </c>
      <c r="AH5374">
        <v>8.0342086252561895</v>
      </c>
      <c r="AI5374">
        <v>97.698016629619303</v>
      </c>
      <c r="AJ5374">
        <v>102.230088570238</v>
      </c>
      <c r="AK5374">
        <v>8.2955418040496607</v>
      </c>
      <c r="AL5374">
        <v>84.587549577588504</v>
      </c>
      <c r="AM5374">
        <v>91.498833657017201</v>
      </c>
      <c r="AN5374">
        <v>1.0000000257584101</v>
      </c>
    </row>
    <row r="5375" spans="1:40" x14ac:dyDescent="0.25">
      <c r="A5375" t="str">
        <f>"20190312151134291"</f>
        <v>20190312151134291</v>
      </c>
      <c r="B5375" t="str">
        <f>"1552374694286746"</f>
        <v>1552374694286746</v>
      </c>
      <c r="C5375" t="s">
        <v>40</v>
      </c>
      <c r="D5375">
        <v>5.1524929999999998</v>
      </c>
      <c r="E5375">
        <v>0.4289521</v>
      </c>
      <c r="F5375" t="s">
        <v>90</v>
      </c>
      <c r="G5375">
        <v>-363.67660000000001</v>
      </c>
      <c r="H5375" s="1">
        <v>-3.4782239999999998E-6</v>
      </c>
      <c r="I5375">
        <v>16.86138</v>
      </c>
      <c r="J5375">
        <v>-371.86399999999998</v>
      </c>
      <c r="K5375">
        <v>1.11121</v>
      </c>
      <c r="L5375">
        <v>15.359920000000001</v>
      </c>
      <c r="M5375">
        <v>0.99944599999999995</v>
      </c>
      <c r="N5375">
        <v>0</v>
      </c>
      <c r="O5375">
        <v>-3.1485310000000002E-2</v>
      </c>
      <c r="P5375">
        <v>0.99644460000000001</v>
      </c>
      <c r="Q5375">
        <v>8.4057450000000006E-2</v>
      </c>
      <c r="R5375">
        <v>-5.7302769999999998E-3</v>
      </c>
      <c r="S5375">
        <v>3.0483699999999998</v>
      </c>
      <c r="T5375">
        <v>-0.4067035</v>
      </c>
      <c r="U5375">
        <v>0.54821779999999998</v>
      </c>
      <c r="V5375">
        <v>-2.5933640000000001E-2</v>
      </c>
      <c r="W5375">
        <v>9.472767E-2</v>
      </c>
      <c r="X5375">
        <v>0.99516530000000003</v>
      </c>
      <c r="Y5375">
        <v>-0.20586199999999999</v>
      </c>
      <c r="Z5375">
        <v>1.771667E-2</v>
      </c>
      <c r="AA5375">
        <v>0.97842059999999997</v>
      </c>
      <c r="AB5375">
        <v>27</v>
      </c>
      <c r="AC5375">
        <v>8.1874000000000198</v>
      </c>
      <c r="AD5375">
        <v>-1.111213478224</v>
      </c>
      <c r="AE5375">
        <v>1.50145999999999</v>
      </c>
      <c r="AF5375">
        <v>-1.7277231920671601</v>
      </c>
      <c r="AG5375">
        <v>-1.111213478224</v>
      </c>
      <c r="AH5375">
        <v>7.9936077542271802</v>
      </c>
      <c r="AI5375">
        <v>97.737691632282306</v>
      </c>
      <c r="AJ5375">
        <v>102.196192821381</v>
      </c>
      <c r="AK5375">
        <v>8.2533379762999104</v>
      </c>
      <c r="AL5375">
        <v>84.564353850094307</v>
      </c>
      <c r="AM5375">
        <v>91.492768988938195</v>
      </c>
      <c r="AN5375">
        <v>0.99999992973568097</v>
      </c>
    </row>
    <row r="5376" spans="1:40" x14ac:dyDescent="0.25">
      <c r="A5376" t="str">
        <f>"20190312151134303"</f>
        <v>20190312151134303</v>
      </c>
      <c r="B5376" t="str">
        <f>"1552374694296507"</f>
        <v>1552374694296507</v>
      </c>
      <c r="C5376" t="s">
        <v>40</v>
      </c>
      <c r="D5376">
        <v>5.1674439999999997</v>
      </c>
      <c r="E5376">
        <v>0.42861120000000003</v>
      </c>
      <c r="F5376" t="s">
        <v>90</v>
      </c>
      <c r="G5376">
        <v>-363.54480000000001</v>
      </c>
      <c r="H5376" s="1">
        <v>-3.5402739999999999E-6</v>
      </c>
      <c r="I5376">
        <v>16.862860000000001</v>
      </c>
      <c r="J5376">
        <v>-371.71879999999999</v>
      </c>
      <c r="K5376">
        <v>1.1112169999999999</v>
      </c>
      <c r="L5376">
        <v>15.35632</v>
      </c>
      <c r="M5376">
        <v>0.99947549999999996</v>
      </c>
      <c r="N5376">
        <v>0</v>
      </c>
      <c r="O5376">
        <v>-3.053264E-2</v>
      </c>
      <c r="P5376">
        <v>0.9964305</v>
      </c>
      <c r="Q5376">
        <v>8.4276100000000007E-2</v>
      </c>
      <c r="R5376">
        <v>-4.9018830000000001E-3</v>
      </c>
      <c r="S5376">
        <v>3.0482179999999999</v>
      </c>
      <c r="T5376">
        <v>-0.4071592</v>
      </c>
      <c r="U5376">
        <v>0.55068969999999995</v>
      </c>
      <c r="V5376">
        <v>-2.5814469999999999E-2</v>
      </c>
      <c r="W5376">
        <v>9.4946030000000001E-2</v>
      </c>
      <c r="X5376">
        <v>0.99514760000000002</v>
      </c>
      <c r="Y5376">
        <v>-0.2057118</v>
      </c>
      <c r="Z5376">
        <v>1.760026E-2</v>
      </c>
      <c r="AA5376">
        <v>0.97845439999999995</v>
      </c>
      <c r="AB5376">
        <v>27</v>
      </c>
      <c r="AC5376">
        <v>8.1739999999999693</v>
      </c>
      <c r="AD5376">
        <v>-1.1112205402740001</v>
      </c>
      <c r="AE5376">
        <v>1.50653999999999</v>
      </c>
      <c r="AF5376">
        <v>-1.72460023691196</v>
      </c>
      <c r="AG5376">
        <v>-1.1112205402740001</v>
      </c>
      <c r="AH5376">
        <v>7.9815249436787097</v>
      </c>
      <c r="AI5376">
        <v>97.749413013221002</v>
      </c>
      <c r="AJ5376">
        <v>102.192685512442</v>
      </c>
      <c r="AK5376">
        <v>8.2409827989657405</v>
      </c>
      <c r="AL5376">
        <v>84.551786157287495</v>
      </c>
      <c r="AM5376">
        <v>91.485938931431804</v>
      </c>
      <c r="AN5376">
        <v>0.99999994062994901</v>
      </c>
    </row>
    <row r="5377" spans="1:40" x14ac:dyDescent="0.25">
      <c r="A5377" t="str">
        <f>"20190312151134323"</f>
        <v>20190312151134323</v>
      </c>
      <c r="B5377" t="str">
        <f>"1552374694317002"</f>
        <v>1552374694317002</v>
      </c>
      <c r="C5377" t="s">
        <v>40</v>
      </c>
      <c r="D5377">
        <v>5.186026</v>
      </c>
      <c r="E5377">
        <v>0.41532210000000003</v>
      </c>
      <c r="F5377" t="s">
        <v>90</v>
      </c>
      <c r="G5377">
        <v>-363.41820000000001</v>
      </c>
      <c r="H5377" s="1">
        <v>-3.5987529999999999E-6</v>
      </c>
      <c r="I5377">
        <v>16.870639999999899</v>
      </c>
      <c r="J5377">
        <v>-371.4812</v>
      </c>
      <c r="K5377">
        <v>1.1112359999999999</v>
      </c>
      <c r="L5377">
        <v>15.350770000000001</v>
      </c>
      <c r="M5377">
        <v>0.99952220000000003</v>
      </c>
      <c r="N5377">
        <v>0</v>
      </c>
      <c r="O5377">
        <v>-2.8962209999999999E-2</v>
      </c>
      <c r="P5377">
        <v>0.99636230000000003</v>
      </c>
      <c r="Q5377">
        <v>8.5135849999999999E-2</v>
      </c>
      <c r="R5377">
        <v>-3.7488729999999998E-3</v>
      </c>
      <c r="S5377">
        <v>3.0480040000000002</v>
      </c>
      <c r="T5377">
        <v>-0.40804410000000002</v>
      </c>
      <c r="U5377">
        <v>0.55606080000000002</v>
      </c>
      <c r="V5377">
        <v>-2.54057E-2</v>
      </c>
      <c r="W5377">
        <v>9.5805650000000006E-2</v>
      </c>
      <c r="X5377">
        <v>0.99507579999999995</v>
      </c>
      <c r="Y5377">
        <v>-0.20586019999999999</v>
      </c>
      <c r="Z5377">
        <v>1.7438660000000002E-2</v>
      </c>
      <c r="AA5377">
        <v>0.97842600000000002</v>
      </c>
      <c r="AB5377">
        <v>27</v>
      </c>
      <c r="AC5377">
        <v>8.0629999999999793</v>
      </c>
      <c r="AD5377">
        <v>-1.1112395987529999</v>
      </c>
      <c r="AE5377">
        <v>1.5198699999999901</v>
      </c>
      <c r="AF5377">
        <v>-1.7211971982779699</v>
      </c>
      <c r="AG5377">
        <v>-1.1112395987529999</v>
      </c>
      <c r="AH5377">
        <v>7.8712180420087297</v>
      </c>
      <c r="AI5377">
        <v>97.852619850371994</v>
      </c>
      <c r="AJ5377">
        <v>102.33469861405899</v>
      </c>
      <c r="AK5377">
        <v>8.1334769137214895</v>
      </c>
      <c r="AL5377">
        <v>84.502308382682003</v>
      </c>
      <c r="AM5377">
        <v>91.462524986885995</v>
      </c>
      <c r="AN5377">
        <v>1.0000000099550199</v>
      </c>
    </row>
    <row r="5378" spans="1:40" x14ac:dyDescent="0.25">
      <c r="A5378" t="str">
        <f>"20190312151134334"</f>
        <v>20190312151134334</v>
      </c>
      <c r="B5378" t="str">
        <f>"1552374694326762"</f>
        <v>1552374694326762</v>
      </c>
      <c r="C5378" t="s">
        <v>40</v>
      </c>
      <c r="D5378">
        <v>5.1887840000000001</v>
      </c>
      <c r="E5378">
        <v>0.41540759999999999</v>
      </c>
      <c r="F5378" t="s">
        <v>90</v>
      </c>
      <c r="G5378">
        <v>-364.43</v>
      </c>
      <c r="H5378" s="1">
        <v>-3.1174259999999999E-6</v>
      </c>
      <c r="I5378">
        <v>16.887619999999998</v>
      </c>
      <c r="J5378">
        <v>-371.34280000000001</v>
      </c>
      <c r="K5378">
        <v>1.111248</v>
      </c>
      <c r="L5378">
        <v>15.34769</v>
      </c>
      <c r="M5378">
        <v>0.9995484</v>
      </c>
      <c r="N5378">
        <v>0</v>
      </c>
      <c r="O5378">
        <v>-2.80427E-2</v>
      </c>
      <c r="P5378">
        <v>0.99632860000000001</v>
      </c>
      <c r="Q5378">
        <v>8.5557099999999997E-2</v>
      </c>
      <c r="R5378">
        <v>-3.065543E-3</v>
      </c>
      <c r="S5378">
        <v>3.0545960000000001</v>
      </c>
      <c r="T5378">
        <v>-0.48139290000000001</v>
      </c>
      <c r="U5378">
        <v>0.66577149999999996</v>
      </c>
      <c r="V5378">
        <v>-2.5174539999999999E-2</v>
      </c>
      <c r="W5378">
        <v>9.6227119999999999E-2</v>
      </c>
      <c r="X5378">
        <v>0.99504099999999995</v>
      </c>
      <c r="Y5378">
        <v>-0.23714479999999999</v>
      </c>
      <c r="Z5378">
        <v>2.2705659999999999E-2</v>
      </c>
      <c r="AA5378">
        <v>0.97120890000000004</v>
      </c>
      <c r="AB5378">
        <v>27</v>
      </c>
      <c r="AC5378">
        <v>6.9127999999999998</v>
      </c>
      <c r="AD5378">
        <v>-1.111251117426</v>
      </c>
      <c r="AE5378">
        <v>1.53993</v>
      </c>
      <c r="AF5378">
        <v>-1.69154390802574</v>
      </c>
      <c r="AG5378">
        <v>-1.111251117426</v>
      </c>
      <c r="AH5378">
        <v>6.7018961410980999</v>
      </c>
      <c r="AI5378">
        <v>99.133267097482403</v>
      </c>
      <c r="AJ5378">
        <v>104.16547328988599</v>
      </c>
      <c r="AK5378">
        <v>7.0008293597848299</v>
      </c>
      <c r="AL5378">
        <v>84.478047807239903</v>
      </c>
      <c r="AM5378">
        <v>91.449274207871895</v>
      </c>
      <c r="AN5378">
        <v>1.00000000388435</v>
      </c>
    </row>
    <row r="5379" spans="1:40" x14ac:dyDescent="0.25">
      <c r="A5379" t="str">
        <f>"20190312151134346"</f>
        <v>20190312151134346</v>
      </c>
      <c r="B5379" t="str">
        <f>"1552374694336522"</f>
        <v>1552374694336522</v>
      </c>
      <c r="C5379" t="s">
        <v>40</v>
      </c>
      <c r="D5379">
        <v>5.2306889999999999</v>
      </c>
      <c r="E5379">
        <v>0.41541929999999999</v>
      </c>
      <c r="F5379" t="s">
        <v>90</v>
      </c>
      <c r="G5379">
        <v>-364.19889999999998</v>
      </c>
      <c r="H5379" s="1">
        <v>-3.223112E-6</v>
      </c>
      <c r="I5379">
        <v>16.907820000000001</v>
      </c>
      <c r="J5379">
        <v>-371.20179999999999</v>
      </c>
      <c r="K5379">
        <v>1.1112550000000001</v>
      </c>
      <c r="L5379">
        <v>15.344729999999901</v>
      </c>
      <c r="M5379">
        <v>0.99957439999999997</v>
      </c>
      <c r="N5379">
        <v>0</v>
      </c>
      <c r="O5379">
        <v>-2.7101739999999999E-2</v>
      </c>
      <c r="P5379">
        <v>0.99629000000000001</v>
      </c>
      <c r="Q5379">
        <v>8.6031999999999997E-2</v>
      </c>
      <c r="R5379">
        <v>-2.2465720000000001E-3</v>
      </c>
      <c r="S5379">
        <v>3.053925</v>
      </c>
      <c r="T5379">
        <v>-0.4750412</v>
      </c>
      <c r="U5379">
        <v>0.66693119999999995</v>
      </c>
      <c r="V5379">
        <v>-2.5058090000000002E-2</v>
      </c>
      <c r="W5379">
        <v>9.6702209999999997E-2</v>
      </c>
      <c r="X5379">
        <v>0.99499789999999999</v>
      </c>
      <c r="Y5379">
        <v>-0.23672380000000001</v>
      </c>
      <c r="Z5379">
        <v>2.2237239999999998E-2</v>
      </c>
      <c r="AA5379">
        <v>0.97132249999999998</v>
      </c>
      <c r="AB5379">
        <v>27</v>
      </c>
      <c r="AC5379">
        <v>7.0029000000000101</v>
      </c>
      <c r="AD5379">
        <v>-1.1112582231119901</v>
      </c>
      <c r="AE5379">
        <v>1.5630900000000001</v>
      </c>
      <c r="AF5379">
        <v>-1.7112709669622701</v>
      </c>
      <c r="AG5379">
        <v>-1.1112582231119901</v>
      </c>
      <c r="AH5379">
        <v>6.7949777384558896</v>
      </c>
      <c r="AI5379">
        <v>99.011441913563104</v>
      </c>
      <c r="AJ5379">
        <v>104.135611741315</v>
      </c>
      <c r="AK5379">
        <v>7.0947209689256301</v>
      </c>
      <c r="AL5379">
        <v>84.450699721664506</v>
      </c>
      <c r="AM5379">
        <v>91.442635593086706</v>
      </c>
      <c r="AN5379">
        <v>1.0000000231488699</v>
      </c>
    </row>
    <row r="5380" spans="1:40" x14ac:dyDescent="0.25">
      <c r="A5380" t="str">
        <f>"20190312151134357"</f>
        <v>20190312151134357</v>
      </c>
      <c r="B5380" t="str">
        <f>"1552374694346282"</f>
        <v>1552374694346282</v>
      </c>
      <c r="C5380" t="s">
        <v>40</v>
      </c>
      <c r="D5380">
        <v>5.1862890000000004</v>
      </c>
      <c r="E5380">
        <v>0.41532219999999997</v>
      </c>
      <c r="F5380" t="s">
        <v>90</v>
      </c>
      <c r="G5380">
        <v>-363.92899999999997</v>
      </c>
      <c r="H5380" s="1">
        <v>-3.3450600000000001E-6</v>
      </c>
      <c r="I5380">
        <v>16.93946</v>
      </c>
      <c r="J5380">
        <v>-371.06420000000003</v>
      </c>
      <c r="K5380">
        <v>1.1112629999999999</v>
      </c>
      <c r="L5380">
        <v>15.341889999999999</v>
      </c>
      <c r="M5380">
        <v>0.99959900000000002</v>
      </c>
      <c r="N5380">
        <v>0</v>
      </c>
      <c r="O5380">
        <v>-2.6181179999999998E-2</v>
      </c>
      <c r="P5380">
        <v>0.99626979999999998</v>
      </c>
      <c r="Q5380">
        <v>8.6284310000000003E-2</v>
      </c>
      <c r="R5380">
        <v>-1.4411910000000001E-3</v>
      </c>
      <c r="S5380">
        <v>3.0529790000000001</v>
      </c>
      <c r="T5380">
        <v>-0.46648309999999998</v>
      </c>
      <c r="U5380">
        <v>0.66943359999999996</v>
      </c>
      <c r="V5380">
        <v>-2.494787E-2</v>
      </c>
      <c r="W5380">
        <v>9.6954230000000002E-2</v>
      </c>
      <c r="X5380">
        <v>0.99497610000000003</v>
      </c>
      <c r="Y5380">
        <v>-0.2367686</v>
      </c>
      <c r="Z5380">
        <v>2.1710759999999999E-2</v>
      </c>
      <c r="AA5380">
        <v>0.97132339999999995</v>
      </c>
      <c r="AB5380">
        <v>27</v>
      </c>
      <c r="AC5380">
        <v>7.1351999999999904</v>
      </c>
      <c r="AD5380">
        <v>-1.11126634506</v>
      </c>
      <c r="AE5380">
        <v>1.5975699999999999</v>
      </c>
      <c r="AF5380">
        <v>-1.74356764687349</v>
      </c>
      <c r="AG5380">
        <v>-1.11126634506</v>
      </c>
      <c r="AH5380">
        <v>6.9308344994640398</v>
      </c>
      <c r="AI5380">
        <v>98.838250452374794</v>
      </c>
      <c r="AJ5380">
        <v>104.12070102007399</v>
      </c>
      <c r="AK5380">
        <v>7.2326625725142097</v>
      </c>
      <c r="AL5380">
        <v>84.436191623771805</v>
      </c>
      <c r="AM5380">
        <v>91.436324165816899</v>
      </c>
      <c r="AN5380">
        <v>0.99999997925181905</v>
      </c>
    </row>
    <row r="5381" spans="1:40" x14ac:dyDescent="0.25">
      <c r="A5381" t="str">
        <f>"20190312151134369"</f>
        <v>20190312151134369</v>
      </c>
      <c r="B5381" t="str">
        <f>"1552374694366778"</f>
        <v>1552374694366778</v>
      </c>
      <c r="C5381" t="s">
        <v>40</v>
      </c>
      <c r="D5381">
        <v>5.2092080000000003</v>
      </c>
      <c r="E5381">
        <v>0.41505769999999997</v>
      </c>
      <c r="F5381" t="s">
        <v>90</v>
      </c>
      <c r="G5381">
        <v>-363.73250000000002</v>
      </c>
      <c r="H5381" s="1">
        <v>-3.4347950000000002E-6</v>
      </c>
      <c r="I5381">
        <v>16.957319999999999</v>
      </c>
      <c r="J5381">
        <v>-370.92320000000001</v>
      </c>
      <c r="K5381">
        <v>1.1112690000000001</v>
      </c>
      <c r="L5381">
        <v>15.339230000000001</v>
      </c>
      <c r="M5381">
        <v>0.99962340000000005</v>
      </c>
      <c r="N5381">
        <v>0</v>
      </c>
      <c r="O5381">
        <v>-2.5235110000000002E-2</v>
      </c>
      <c r="P5381">
        <v>0.99626789999999998</v>
      </c>
      <c r="Q5381">
        <v>8.6317790000000005E-2</v>
      </c>
      <c r="R5381">
        <v>-2.845624E-4</v>
      </c>
      <c r="S5381">
        <v>3.0522459999999998</v>
      </c>
      <c r="T5381">
        <v>-0.46262979999999998</v>
      </c>
      <c r="U5381">
        <v>0.67251590000000006</v>
      </c>
      <c r="V5381">
        <v>-2.5162239999999999E-2</v>
      </c>
      <c r="W5381">
        <v>9.6987429999999999E-2</v>
      </c>
      <c r="X5381">
        <v>0.9949675</v>
      </c>
      <c r="Y5381">
        <v>-0.23689060000000001</v>
      </c>
      <c r="Z5381">
        <v>2.140411E-2</v>
      </c>
      <c r="AA5381">
        <v>0.97130050000000001</v>
      </c>
      <c r="AB5381">
        <v>27</v>
      </c>
      <c r="AC5381">
        <v>7.1906999999999899</v>
      </c>
      <c r="AD5381">
        <v>-1.111272434795</v>
      </c>
      <c r="AE5381">
        <v>1.61809</v>
      </c>
      <c r="AF5381">
        <v>-1.75905565387584</v>
      </c>
      <c r="AG5381">
        <v>-1.111272434795</v>
      </c>
      <c r="AH5381">
        <v>6.9887043690844504</v>
      </c>
      <c r="AI5381">
        <v>98.765982408889101</v>
      </c>
      <c r="AJ5381">
        <v>104.12787045431</v>
      </c>
      <c r="AK5381">
        <v>7.2918579234806797</v>
      </c>
      <c r="AL5381">
        <v>84.434280584969997</v>
      </c>
      <c r="AM5381">
        <v>91.448673372954801</v>
      </c>
      <c r="AN5381">
        <v>1.00000001297803</v>
      </c>
    </row>
    <row r="5382" spans="1:40" x14ac:dyDescent="0.25">
      <c r="A5382" t="str">
        <f>"20190312151134381"</f>
        <v>20190312151134381</v>
      </c>
      <c r="B5382" t="str">
        <f>"1552374694376538"</f>
        <v>1552374694376538</v>
      </c>
      <c r="C5382" t="s">
        <v>40</v>
      </c>
      <c r="D5382">
        <v>5.2037440000000004</v>
      </c>
      <c r="E5382">
        <v>0.41508840000000002</v>
      </c>
      <c r="F5382" t="s">
        <v>90</v>
      </c>
      <c r="G5382">
        <v>-363.64019999999999</v>
      </c>
      <c r="H5382" s="1">
        <v>-3.478414E-6</v>
      </c>
      <c r="I5382">
        <v>16.957270000000001</v>
      </c>
      <c r="J5382">
        <v>-370.78309999999999</v>
      </c>
      <c r="K5382">
        <v>1.1112740000000001</v>
      </c>
      <c r="L5382">
        <v>15.336639999999999</v>
      </c>
      <c r="M5382">
        <v>0.9996467</v>
      </c>
      <c r="N5382">
        <v>0</v>
      </c>
      <c r="O5382">
        <v>-2.4294179999999999E-2</v>
      </c>
      <c r="P5382">
        <v>0.99625560000000002</v>
      </c>
      <c r="Q5382">
        <v>8.6456569999999996E-2</v>
      </c>
      <c r="R5382">
        <v>5.5925409999999995E-4</v>
      </c>
      <c r="S5382">
        <v>3.0517880000000002</v>
      </c>
      <c r="T5382">
        <v>-0.46565810000000002</v>
      </c>
      <c r="U5382">
        <v>0.67800899999999997</v>
      </c>
      <c r="V5382">
        <v>-2.5069859999999999E-2</v>
      </c>
      <c r="W5382">
        <v>9.7126019999999993E-2</v>
      </c>
      <c r="X5382">
        <v>0.99495630000000002</v>
      </c>
      <c r="Y5382">
        <v>-0.2376394</v>
      </c>
      <c r="Z5382">
        <v>2.1456650000000001E-2</v>
      </c>
      <c r="AA5382">
        <v>0.97111639999999999</v>
      </c>
      <c r="AB5382">
        <v>27</v>
      </c>
      <c r="AC5382">
        <v>7.1428999999999903</v>
      </c>
      <c r="AD5382">
        <v>-1.11127747841399</v>
      </c>
      <c r="AE5382">
        <v>1.62063</v>
      </c>
      <c r="AF5382">
        <v>-1.7533317900024099</v>
      </c>
      <c r="AG5382">
        <v>-1.11127747841399</v>
      </c>
      <c r="AH5382">
        <v>6.9416246684515404</v>
      </c>
      <c r="AI5382">
        <v>98.822725069200303</v>
      </c>
      <c r="AJ5382">
        <v>104.17541235890501</v>
      </c>
      <c r="AK5382">
        <v>7.2453614842544702</v>
      </c>
      <c r="AL5382">
        <v>84.426302225274796</v>
      </c>
      <c r="AM5382">
        <v>91.443373245510202</v>
      </c>
      <c r="AN5382">
        <v>1.00000000027557</v>
      </c>
    </row>
    <row r="5383" spans="1:40" x14ac:dyDescent="0.25">
      <c r="A5383" t="str">
        <f>"20190312151134393"</f>
        <v>20190312151134393</v>
      </c>
      <c r="B5383" t="str">
        <f>"1552374694386299"</f>
        <v>1552374694386299</v>
      </c>
      <c r="C5383" t="s">
        <v>40</v>
      </c>
      <c r="D5383">
        <v>5.2227880000000004</v>
      </c>
      <c r="E5383">
        <v>0.41522880000000001</v>
      </c>
      <c r="F5383" t="s">
        <v>90</v>
      </c>
      <c r="G5383">
        <v>-363.56610000000001</v>
      </c>
      <c r="H5383" s="1">
        <v>-3.5156100000000001E-6</v>
      </c>
      <c r="I5383">
        <v>16.945229999999999</v>
      </c>
      <c r="J5383">
        <v>-370.63830000000002</v>
      </c>
      <c r="K5383">
        <v>1.1112789999999999</v>
      </c>
      <c r="L5383">
        <v>15.33417</v>
      </c>
      <c r="M5383">
        <v>0.99966980000000005</v>
      </c>
      <c r="N5383">
        <v>0</v>
      </c>
      <c r="O5383">
        <v>-2.3320480000000001E-2</v>
      </c>
      <c r="P5383">
        <v>0.99624429999999997</v>
      </c>
      <c r="Q5383">
        <v>8.6573269999999994E-2</v>
      </c>
      <c r="R5383">
        <v>1.5619690000000001E-3</v>
      </c>
      <c r="S5383">
        <v>3.0516359999999998</v>
      </c>
      <c r="T5383">
        <v>-0.46989120000000001</v>
      </c>
      <c r="U5383">
        <v>0.6801758</v>
      </c>
      <c r="V5383">
        <v>-2.5102780000000002E-2</v>
      </c>
      <c r="W5383">
        <v>9.7243239999999995E-2</v>
      </c>
      <c r="X5383">
        <v>0.99494400000000005</v>
      </c>
      <c r="Y5383">
        <v>-0.2373236</v>
      </c>
      <c r="Z5383">
        <v>2.1477619999999999E-2</v>
      </c>
      <c r="AA5383">
        <v>0.97119319999999998</v>
      </c>
      <c r="AB5383">
        <v>27</v>
      </c>
      <c r="AC5383">
        <v>7.0721999999999996</v>
      </c>
      <c r="AD5383">
        <v>-1.1112825156099999</v>
      </c>
      <c r="AE5383">
        <v>1.6110599999999899</v>
      </c>
      <c r="AF5383">
        <v>-1.7348367364733599</v>
      </c>
      <c r="AG5383">
        <v>-1.1112825156099999</v>
      </c>
      <c r="AH5383">
        <v>6.8714111137601996</v>
      </c>
      <c r="AI5383">
        <v>98.911707890067404</v>
      </c>
      <c r="AJ5383">
        <v>104.169452412027</v>
      </c>
      <c r="AK5383">
        <v>7.1736251662618402</v>
      </c>
      <c r="AL5383">
        <v>84.419553958417794</v>
      </c>
      <c r="AM5383">
        <v>91.4452856392667</v>
      </c>
      <c r="AN5383">
        <v>0.99999998021271197</v>
      </c>
    </row>
    <row r="5384" spans="1:40" x14ac:dyDescent="0.25">
      <c r="A5384" t="str">
        <f>"20190312151134406"</f>
        <v>20190312151134406</v>
      </c>
      <c r="B5384" t="str">
        <f>"1552374694397034"</f>
        <v>1552374694397034</v>
      </c>
      <c r="C5384" t="s">
        <v>40</v>
      </c>
      <c r="D5384">
        <v>5.2267270000000003</v>
      </c>
      <c r="E5384">
        <v>0.41536469999999998</v>
      </c>
      <c r="F5384" t="s">
        <v>90</v>
      </c>
      <c r="G5384">
        <v>-363.44929999999999</v>
      </c>
      <c r="H5384" s="1">
        <v>-3.5715060000000002E-6</v>
      </c>
      <c r="I5384">
        <v>16.941279999999999</v>
      </c>
      <c r="J5384">
        <v>-370.4812</v>
      </c>
      <c r="K5384">
        <v>1.1112850000000001</v>
      </c>
      <c r="L5384">
        <v>15.3316</v>
      </c>
      <c r="M5384">
        <v>0.99969390000000002</v>
      </c>
      <c r="N5384">
        <v>0</v>
      </c>
      <c r="O5384">
        <v>-2.2262259999999999E-2</v>
      </c>
      <c r="P5384">
        <v>0.99621680000000001</v>
      </c>
      <c r="Q5384">
        <v>8.6863289999999996E-2</v>
      </c>
      <c r="R5384">
        <v>2.6065709999999998E-3</v>
      </c>
      <c r="S5384">
        <v>3.0512079999999999</v>
      </c>
      <c r="T5384">
        <v>-0.47165610000000002</v>
      </c>
      <c r="U5384">
        <v>0.68209839999999999</v>
      </c>
      <c r="V5384">
        <v>-2.5093520000000001E-2</v>
      </c>
      <c r="W5384">
        <v>9.75332E-2</v>
      </c>
      <c r="X5384">
        <v>0.99491580000000002</v>
      </c>
      <c r="Y5384">
        <v>-0.23690249999999999</v>
      </c>
      <c r="Z5384">
        <v>2.1366050000000001E-2</v>
      </c>
      <c r="AA5384">
        <v>0.97129849999999995</v>
      </c>
      <c r="AB5384">
        <v>27</v>
      </c>
      <c r="AC5384">
        <v>7.0319000000000003</v>
      </c>
      <c r="AD5384">
        <v>-1.1112885715059999</v>
      </c>
      <c r="AE5384">
        <v>1.60967999999999</v>
      </c>
      <c r="AF5384">
        <v>-1.7249014213371701</v>
      </c>
      <c r="AG5384">
        <v>-1.1112885715059999</v>
      </c>
      <c r="AH5384">
        <v>6.8321811270744401</v>
      </c>
      <c r="AI5384">
        <v>98.962107641108005</v>
      </c>
      <c r="AJ5384">
        <v>104.169209167247</v>
      </c>
      <c r="AK5384">
        <v>7.1336488668593097</v>
      </c>
      <c r="AL5384">
        <v>84.402860838969104</v>
      </c>
      <c r="AM5384">
        <v>91.444793656193298</v>
      </c>
      <c r="AN5384">
        <v>0.99999992946893201</v>
      </c>
    </row>
    <row r="5385" spans="1:40" x14ac:dyDescent="0.25">
      <c r="A5385" t="str">
        <f>"20190312151134425"</f>
        <v>20190312151134425</v>
      </c>
      <c r="B5385" t="str">
        <f>"1552374694416555"</f>
        <v>1552374694416555</v>
      </c>
      <c r="C5385" t="s">
        <v>40</v>
      </c>
      <c r="D5385">
        <v>5.2664059999999999</v>
      </c>
      <c r="E5385">
        <v>0.4152981</v>
      </c>
      <c r="F5385" t="s">
        <v>90</v>
      </c>
      <c r="G5385">
        <v>-363.33839999999998</v>
      </c>
      <c r="H5385" s="1">
        <v>-3.6254620000000001E-6</v>
      </c>
      <c r="I5385">
        <v>16.932729999999999</v>
      </c>
      <c r="J5385">
        <v>-370.25850000000003</v>
      </c>
      <c r="K5385">
        <v>1.1112879999999901</v>
      </c>
      <c r="L5385">
        <v>15.328279999999999</v>
      </c>
      <c r="M5385">
        <v>0.99972609999999995</v>
      </c>
      <c r="N5385">
        <v>0</v>
      </c>
      <c r="O5385">
        <v>-2.0761680000000001E-2</v>
      </c>
      <c r="P5385">
        <v>0.99619559999999996</v>
      </c>
      <c r="Q5385">
        <v>8.7064950000000002E-2</v>
      </c>
      <c r="R5385">
        <v>3.7663250000000001E-3</v>
      </c>
      <c r="S5385">
        <v>3.050964</v>
      </c>
      <c r="T5385">
        <v>-0.47467150000000002</v>
      </c>
      <c r="U5385">
        <v>0.68389889999999998</v>
      </c>
      <c r="V5385">
        <v>-2.475904E-2</v>
      </c>
      <c r="W5385">
        <v>9.7736790000000004E-2</v>
      </c>
      <c r="X5385">
        <v>0.99490429999999996</v>
      </c>
      <c r="Y5385">
        <v>-0.23599790000000001</v>
      </c>
      <c r="Z5385">
        <v>2.1202789999999999E-2</v>
      </c>
      <c r="AA5385">
        <v>0.9715222</v>
      </c>
      <c r="AB5385">
        <v>27</v>
      </c>
      <c r="AC5385">
        <v>6.9201000000000397</v>
      </c>
      <c r="AD5385">
        <v>-1.11129162546199</v>
      </c>
      <c r="AE5385">
        <v>1.6044499999999999</v>
      </c>
      <c r="AF5385">
        <v>-1.70603326933856</v>
      </c>
      <c r="AG5385">
        <v>-1.11129162546199</v>
      </c>
      <c r="AH5385">
        <v>6.7208151605796802</v>
      </c>
      <c r="AI5385">
        <v>99.105236314721495</v>
      </c>
      <c r="AJ5385">
        <v>104.243301915307</v>
      </c>
      <c r="AK5385">
        <v>7.0224550561459402</v>
      </c>
      <c r="AL5385">
        <v>84.3911405469388</v>
      </c>
      <c r="AM5385">
        <v>91.425559984993299</v>
      </c>
      <c r="AN5385">
        <v>1.00000002816985</v>
      </c>
    </row>
    <row r="5386" spans="1:40" x14ac:dyDescent="0.25">
      <c r="A5386" t="str">
        <f>"20190312151134439"</f>
        <v>20190312151134439</v>
      </c>
      <c r="B5386" t="str">
        <f>"1552374694437050"</f>
        <v>1552374694437050</v>
      </c>
      <c r="C5386" t="s">
        <v>40</v>
      </c>
      <c r="D5386">
        <v>5.2699980000000002</v>
      </c>
      <c r="E5386">
        <v>0.41521999999999998</v>
      </c>
      <c r="F5386" t="s">
        <v>90</v>
      </c>
      <c r="G5386">
        <v>-363.12470000000002</v>
      </c>
      <c r="H5386" s="1">
        <v>-3.7256329999999998E-6</v>
      </c>
      <c r="I5386">
        <v>16.937529999999999</v>
      </c>
      <c r="J5386">
        <v>-370.08479999999997</v>
      </c>
      <c r="K5386">
        <v>1.1112919999999999</v>
      </c>
      <c r="L5386">
        <v>15.325839999999999</v>
      </c>
      <c r="M5386">
        <v>0.99974989999999997</v>
      </c>
      <c r="N5386">
        <v>0</v>
      </c>
      <c r="O5386">
        <v>-1.959166E-2</v>
      </c>
      <c r="P5386">
        <v>0.99616610000000005</v>
      </c>
      <c r="Q5386">
        <v>8.7374919999999995E-2</v>
      </c>
      <c r="R5386">
        <v>4.4058459999999997E-3</v>
      </c>
      <c r="S5386">
        <v>3.0503849999999999</v>
      </c>
      <c r="T5386">
        <v>-0.4751841</v>
      </c>
      <c r="U5386">
        <v>0.68811040000000001</v>
      </c>
      <c r="V5386">
        <v>-2.423312E-2</v>
      </c>
      <c r="W5386">
        <v>9.8048570000000002E-2</v>
      </c>
      <c r="X5386">
        <v>0.99488650000000001</v>
      </c>
      <c r="Y5386">
        <v>-0.2361828</v>
      </c>
      <c r="Z5386">
        <v>2.1061199999999999E-2</v>
      </c>
      <c r="AA5386">
        <v>0.97148040000000002</v>
      </c>
      <c r="AB5386">
        <v>27</v>
      </c>
      <c r="AC5386">
        <v>6.96009999999995</v>
      </c>
      <c r="AD5386">
        <v>-1.1112957256330001</v>
      </c>
      <c r="AE5386">
        <v>1.6116899999999901</v>
      </c>
      <c r="AF5386">
        <v>-1.7064589412244</v>
      </c>
      <c r="AG5386">
        <v>-1.1112957256330001</v>
      </c>
      <c r="AH5386">
        <v>6.7635357472396498</v>
      </c>
      <c r="AI5386">
        <v>99.051973047149602</v>
      </c>
      <c r="AJ5386">
        <v>104.160355004292</v>
      </c>
      <c r="AK5386">
        <v>7.06345496991971</v>
      </c>
      <c r="AL5386">
        <v>84.373190253930503</v>
      </c>
      <c r="AM5386">
        <v>91.395315957818099</v>
      </c>
      <c r="AN5386">
        <v>0.99999995703311295</v>
      </c>
    </row>
    <row r="5387" spans="1:40" x14ac:dyDescent="0.25">
      <c r="A5387" t="str">
        <f>"20190312151134457"</f>
        <v>20190312151134457</v>
      </c>
      <c r="B5387" t="str">
        <f>"1552374694446811"</f>
        <v>1552374694446811</v>
      </c>
      <c r="C5387" t="s">
        <v>40</v>
      </c>
      <c r="D5387">
        <v>5.2742250000000004</v>
      </c>
      <c r="E5387">
        <v>0.4153674</v>
      </c>
      <c r="F5387" t="s">
        <v>90</v>
      </c>
      <c r="G5387">
        <v>-363.02010000000001</v>
      </c>
      <c r="H5387" s="1">
        <v>-3.7770789999999999E-6</v>
      </c>
      <c r="I5387">
        <v>16.926289999999899</v>
      </c>
      <c r="J5387">
        <v>-369.86900000000003</v>
      </c>
      <c r="K5387">
        <v>1.111297</v>
      </c>
      <c r="L5387">
        <v>15.32315</v>
      </c>
      <c r="M5387">
        <v>0.99977729999999998</v>
      </c>
      <c r="N5387">
        <v>0</v>
      </c>
      <c r="O5387">
        <v>-1.813818E-2</v>
      </c>
      <c r="P5387">
        <v>0.9960966</v>
      </c>
      <c r="Q5387">
        <v>8.8140469999999999E-2</v>
      </c>
      <c r="R5387">
        <v>4.7984250000000003E-3</v>
      </c>
      <c r="S5387">
        <v>3.0505369999999998</v>
      </c>
      <c r="T5387">
        <v>-0.47985459999999902</v>
      </c>
      <c r="U5387">
        <v>0.69107059999999998</v>
      </c>
      <c r="V5387">
        <v>-2.3179109999999999E-2</v>
      </c>
      <c r="W5387">
        <v>9.8817769999999999E-2</v>
      </c>
      <c r="X5387">
        <v>0.99483560000000004</v>
      </c>
      <c r="Y5387">
        <v>-0.2356248</v>
      </c>
      <c r="Z5387">
        <v>2.0994820000000001E-2</v>
      </c>
      <c r="AA5387">
        <v>0.97161730000000002</v>
      </c>
      <c r="AB5387">
        <v>27</v>
      </c>
      <c r="AC5387">
        <v>6.8489000000000102</v>
      </c>
      <c r="AD5387">
        <v>-1.111300777079</v>
      </c>
      <c r="AE5387">
        <v>1.60313999999999</v>
      </c>
      <c r="AF5387">
        <v>-1.6850501283305901</v>
      </c>
      <c r="AG5387">
        <v>-1.111300777079</v>
      </c>
      <c r="AH5387">
        <v>6.6526393354100897</v>
      </c>
      <c r="AI5387">
        <v>99.1982244750955</v>
      </c>
      <c r="AJ5387">
        <v>104.213545543347</v>
      </c>
      <c r="AK5387">
        <v>6.9521215092350701</v>
      </c>
      <c r="AL5387">
        <v>84.328903776182202</v>
      </c>
      <c r="AM5387">
        <v>91.334717952007196</v>
      </c>
      <c r="AN5387">
        <v>1.0000000469177599</v>
      </c>
    </row>
    <row r="5388" spans="1:40" x14ac:dyDescent="0.25">
      <c r="A5388" t="str">
        <f>"20190312151134469"</f>
        <v>20190312151134469</v>
      </c>
      <c r="B5388" t="str">
        <f>"1552374694466330"</f>
        <v>1552374694466330</v>
      </c>
      <c r="C5388" t="s">
        <v>40</v>
      </c>
      <c r="D5388">
        <v>5.5321160000000003</v>
      </c>
      <c r="E5388">
        <v>0.45508890000000002</v>
      </c>
      <c r="F5388" t="s">
        <v>90</v>
      </c>
      <c r="G5388">
        <v>-362.76220000000001</v>
      </c>
      <c r="H5388" s="1">
        <v>-3.8977080000000002E-6</v>
      </c>
      <c r="I5388">
        <v>16.93327</v>
      </c>
      <c r="J5388">
        <v>-369.72559999999999</v>
      </c>
      <c r="K5388">
        <v>1.111294</v>
      </c>
      <c r="L5388">
        <v>15.32159</v>
      </c>
      <c r="M5388">
        <v>0.99979419999999997</v>
      </c>
      <c r="N5388">
        <v>0</v>
      </c>
      <c r="O5388">
        <v>-1.7173440000000002E-2</v>
      </c>
      <c r="P5388">
        <v>0.99606629999999996</v>
      </c>
      <c r="Q5388">
        <v>8.8458869999999995E-2</v>
      </c>
      <c r="R5388">
        <v>5.2016140000000002E-3</v>
      </c>
      <c r="S5388">
        <v>3.050659</v>
      </c>
      <c r="T5388">
        <v>-0.47703909999999999</v>
      </c>
      <c r="U5388">
        <v>0.6911621</v>
      </c>
      <c r="V5388">
        <v>-2.2621949999999998E-2</v>
      </c>
      <c r="W5388">
        <v>9.9138050000000005E-2</v>
      </c>
      <c r="X5388">
        <v>0.99481649999999999</v>
      </c>
      <c r="Y5388">
        <v>-0.2347631</v>
      </c>
      <c r="Z5388">
        <v>2.0657809999999999E-2</v>
      </c>
      <c r="AA5388">
        <v>0.97183310000000001</v>
      </c>
      <c r="AB5388">
        <v>27</v>
      </c>
      <c r="AC5388">
        <v>6.9633999999999698</v>
      </c>
      <c r="AD5388">
        <v>-1.1112978977079999</v>
      </c>
      <c r="AE5388">
        <v>1.61168</v>
      </c>
      <c r="AF5388">
        <v>-1.69017585322047</v>
      </c>
      <c r="AG5388">
        <v>-1.1112978977079999</v>
      </c>
      <c r="AH5388">
        <v>6.7710083617635402</v>
      </c>
      <c r="AI5388">
        <v>99.047800877745701</v>
      </c>
      <c r="AJ5388">
        <v>104.01572404903899</v>
      </c>
      <c r="AK5388">
        <v>7.0666987814206097</v>
      </c>
      <c r="AL5388">
        <v>84.310462190076805</v>
      </c>
      <c r="AM5388">
        <v>91.302671313897406</v>
      </c>
      <c r="AN5388">
        <v>0.99999998712592697</v>
      </c>
    </row>
    <row r="5389" spans="1:40" x14ac:dyDescent="0.25">
      <c r="A5389" t="str">
        <f>"20190312151134483"</f>
        <v>20190312151134483</v>
      </c>
      <c r="B5389" t="str">
        <f>"1552374694477067"</f>
        <v>1552374694477067</v>
      </c>
      <c r="C5389" t="s">
        <v>40</v>
      </c>
      <c r="D5389">
        <v>5.4600400000000002</v>
      </c>
      <c r="E5389">
        <v>0.46629999999999999</v>
      </c>
      <c r="F5389" t="s">
        <v>42</v>
      </c>
      <c r="G5389">
        <v>-354.31790000000001</v>
      </c>
      <c r="H5389" s="1">
        <v>-2.8434090000000002E-6</v>
      </c>
      <c r="I5389">
        <v>17.22869</v>
      </c>
      <c r="J5389">
        <v>-369.56259999999997</v>
      </c>
      <c r="K5389">
        <v>1.1112899999999999</v>
      </c>
      <c r="L5389">
        <v>15.31992</v>
      </c>
      <c r="M5389">
        <v>0.99981249999999999</v>
      </c>
      <c r="N5389">
        <v>0</v>
      </c>
      <c r="O5389">
        <v>-1.6076989999999999E-2</v>
      </c>
      <c r="P5389">
        <v>0.99603419999999998</v>
      </c>
      <c r="Q5389">
        <v>8.8820410000000002E-2</v>
      </c>
      <c r="R5389">
        <v>5.234229E-3</v>
      </c>
      <c r="S5389">
        <v>3.0292970000000001</v>
      </c>
      <c r="T5389">
        <v>-0.2184912</v>
      </c>
      <c r="U5389">
        <v>0.37496950000000001</v>
      </c>
      <c r="V5389">
        <v>-2.1563780000000001E-2</v>
      </c>
      <c r="W5389">
        <v>9.9503880000000003E-2</v>
      </c>
      <c r="X5389">
        <v>0.99480349999999995</v>
      </c>
      <c r="Y5389">
        <v>-0.13838839999999999</v>
      </c>
      <c r="Z5389">
        <v>6.1193519999999998E-3</v>
      </c>
      <c r="AA5389">
        <v>0.99035910000000005</v>
      </c>
      <c r="AB5389">
        <v>27</v>
      </c>
      <c r="AC5389">
        <v>15.2446999999999</v>
      </c>
      <c r="AD5389">
        <v>-1.1112928434089999</v>
      </c>
      <c r="AE5389">
        <v>1.9087699999999901</v>
      </c>
      <c r="AF5389">
        <v>-2.1424174223460701</v>
      </c>
      <c r="AG5389">
        <v>-1.1112928434089999</v>
      </c>
      <c r="AH5389">
        <v>15.1328660409041</v>
      </c>
      <c r="AI5389">
        <v>94.1586952031614</v>
      </c>
      <c r="AJ5389">
        <v>98.058030183670297</v>
      </c>
      <c r="AK5389">
        <v>15.324116901385599</v>
      </c>
      <c r="AL5389">
        <v>84.289397657123502</v>
      </c>
      <c r="AM5389">
        <v>91.241773003172</v>
      </c>
      <c r="AN5389">
        <v>1.00000001117759</v>
      </c>
    </row>
    <row r="5390" spans="1:40" x14ac:dyDescent="0.25">
      <c r="A5390" t="str">
        <f>"20190312151134495"</f>
        <v>20190312151134495</v>
      </c>
      <c r="B5390" t="str">
        <f>"1552374694486827"</f>
        <v>1552374694486827</v>
      </c>
      <c r="C5390" t="s">
        <v>40</v>
      </c>
      <c r="D5390">
        <v>5.440296</v>
      </c>
      <c r="E5390">
        <v>0.46629999999999999</v>
      </c>
      <c r="F5390" t="s">
        <v>42</v>
      </c>
      <c r="G5390">
        <v>-354.49939999999998</v>
      </c>
      <c r="H5390" s="1">
        <v>-2.852455E-6</v>
      </c>
      <c r="I5390">
        <v>16.73893</v>
      </c>
      <c r="J5390">
        <v>-369.39920000000001</v>
      </c>
      <c r="K5390">
        <v>1.1112919999999999</v>
      </c>
      <c r="L5390">
        <v>15.31842</v>
      </c>
      <c r="M5390">
        <v>0.99982959999999999</v>
      </c>
      <c r="N5390">
        <v>0</v>
      </c>
      <c r="O5390">
        <v>-1.4979569999999999E-2</v>
      </c>
      <c r="P5390">
        <v>0.99602659999999998</v>
      </c>
      <c r="Q5390">
        <v>8.8882859999999994E-2</v>
      </c>
      <c r="R5390">
        <v>5.5841679999999996E-3</v>
      </c>
      <c r="S5390">
        <v>3.0303960000000001</v>
      </c>
      <c r="T5390">
        <v>-0.22356809999999999</v>
      </c>
      <c r="U5390">
        <v>0.28549190000000002</v>
      </c>
      <c r="V5390">
        <v>-2.0820789999999999E-2</v>
      </c>
      <c r="W5390">
        <v>9.9569829999999998E-2</v>
      </c>
      <c r="X5390">
        <v>0.99481269999999999</v>
      </c>
      <c r="Y5390">
        <v>-0.1083657</v>
      </c>
      <c r="Z5390">
        <v>5.0845639999999998E-3</v>
      </c>
      <c r="AA5390">
        <v>0.99409809999999998</v>
      </c>
      <c r="AB5390">
        <v>27</v>
      </c>
      <c r="AC5390">
        <v>14.899800000000001</v>
      </c>
      <c r="AD5390">
        <v>-1.1112948524549999</v>
      </c>
      <c r="AE5390">
        <v>1.4205099999999899</v>
      </c>
      <c r="AF5390">
        <v>-1.6345453495048501</v>
      </c>
      <c r="AG5390">
        <v>-1.1112948524549999</v>
      </c>
      <c r="AH5390">
        <v>14.795285497192101</v>
      </c>
      <c r="AI5390">
        <v>94.269621295721095</v>
      </c>
      <c r="AJ5390">
        <v>96.304325660487905</v>
      </c>
      <c r="AK5390">
        <v>14.9267272934192</v>
      </c>
      <c r="AL5390">
        <v>84.285599975500901</v>
      </c>
      <c r="AM5390">
        <v>91.198988768494999</v>
      </c>
      <c r="AN5390">
        <v>0.99999998221187103</v>
      </c>
    </row>
    <row r="5391" spans="1:40" x14ac:dyDescent="0.25">
      <c r="A5391" t="str">
        <f>"20190312151134514"</f>
        <v>20190312151134514</v>
      </c>
      <c r="B5391" t="str">
        <f>"1552374694506346"</f>
        <v>1552374694506346</v>
      </c>
      <c r="C5391" t="s">
        <v>40</v>
      </c>
      <c r="D5391">
        <v>5.3597469999999996</v>
      </c>
      <c r="E5391">
        <v>0.51132219999999995</v>
      </c>
      <c r="F5391" t="s">
        <v>42</v>
      </c>
      <c r="G5391">
        <v>-354.32729999999998</v>
      </c>
      <c r="H5391" s="1">
        <v>-2.9254419999999999E-6</v>
      </c>
      <c r="I5391">
        <v>16.743449999999999</v>
      </c>
      <c r="J5391">
        <v>-369.19459999999998</v>
      </c>
      <c r="K5391">
        <v>1.1113010000000001</v>
      </c>
      <c r="L5391">
        <v>15.31683</v>
      </c>
      <c r="M5391">
        <v>0.99984910000000005</v>
      </c>
      <c r="N5391">
        <v>0</v>
      </c>
      <c r="O5391">
        <v>-1.360572E-2</v>
      </c>
      <c r="P5391">
        <v>0.99597340000000001</v>
      </c>
      <c r="Q5391">
        <v>8.954144E-2</v>
      </c>
      <c r="R5391">
        <v>4.4083880000000001E-3</v>
      </c>
      <c r="S5391">
        <v>3.0303040000000001</v>
      </c>
      <c r="T5391">
        <v>-0.22343299999999999</v>
      </c>
      <c r="U5391">
        <v>0.28652949999999999</v>
      </c>
      <c r="V5391">
        <v>-1.8277849999999998E-2</v>
      </c>
      <c r="W5391">
        <v>0.1002369</v>
      </c>
      <c r="X5391">
        <v>0.99479569999999995</v>
      </c>
      <c r="Y5391">
        <v>-0.1073467</v>
      </c>
      <c r="Z5391">
        <v>4.9431709999999997E-3</v>
      </c>
      <c r="AA5391">
        <v>0.99420929999999996</v>
      </c>
      <c r="AB5391">
        <v>27</v>
      </c>
      <c r="AC5391">
        <v>14.8673</v>
      </c>
      <c r="AD5391">
        <v>-1.1113039254420001</v>
      </c>
      <c r="AE5391">
        <v>1.42661999999999</v>
      </c>
      <c r="AF5391">
        <v>-1.6198122612619901</v>
      </c>
      <c r="AG5391">
        <v>-1.1113039254420001</v>
      </c>
      <c r="AH5391">
        <v>14.7647699251711</v>
      </c>
      <c r="AI5391">
        <v>94.278804552057196</v>
      </c>
      <c r="AJ5391">
        <v>96.260763329362604</v>
      </c>
      <c r="AK5391">
        <v>14.894872242475801</v>
      </c>
      <c r="AL5391">
        <v>84.247187610990593</v>
      </c>
      <c r="AM5391">
        <v>91.052603909575396</v>
      </c>
      <c r="AN5391">
        <v>1.00000000033036</v>
      </c>
    </row>
    <row r="5392" spans="1:40" x14ac:dyDescent="0.25">
      <c r="A5392" t="str">
        <f>"20190312151134526"</f>
        <v>20190312151134526</v>
      </c>
      <c r="B5392" t="str">
        <f>"1552374694517083"</f>
        <v>1552374694517083</v>
      </c>
      <c r="C5392" t="s">
        <v>40</v>
      </c>
      <c r="D5392">
        <v>5.3350530000000003</v>
      </c>
      <c r="E5392">
        <v>0.51187879999999997</v>
      </c>
      <c r="F5392" t="s">
        <v>42</v>
      </c>
      <c r="G5392">
        <v>-337.45639999999997</v>
      </c>
      <c r="H5392" s="1">
        <v>-2.208942E-6</v>
      </c>
      <c r="I5392">
        <v>14.515140000000001</v>
      </c>
      <c r="J5392">
        <v>-369.04270000000002</v>
      </c>
      <c r="K5392">
        <v>1.111305</v>
      </c>
      <c r="L5392">
        <v>15.315829999999901</v>
      </c>
      <c r="M5392">
        <v>0.99986240000000004</v>
      </c>
      <c r="N5392">
        <v>0</v>
      </c>
      <c r="O5392">
        <v>-1.258662E-2</v>
      </c>
      <c r="P5392">
        <v>0.99597380000000002</v>
      </c>
      <c r="Q5392">
        <v>8.9570780000000003E-2</v>
      </c>
      <c r="R5392">
        <v>3.6629739999999998E-3</v>
      </c>
      <c r="S5392">
        <v>3.0219420000000001</v>
      </c>
      <c r="T5392">
        <v>-0.1058122</v>
      </c>
      <c r="U5392">
        <v>-7.6324459999999997E-2</v>
      </c>
      <c r="V5392">
        <v>-1.651791E-2</v>
      </c>
      <c r="W5392">
        <v>0.100273</v>
      </c>
      <c r="X5392">
        <v>0.99482289999999995</v>
      </c>
      <c r="Y5392">
        <v>1.266332E-2</v>
      </c>
      <c r="Z5392">
        <v>2.1891280000000001E-4</v>
      </c>
      <c r="AA5392">
        <v>0.99991980000000003</v>
      </c>
      <c r="AB5392">
        <v>27</v>
      </c>
      <c r="AC5392">
        <v>31.586300000000001</v>
      </c>
      <c r="AD5392">
        <v>-1.111307208942</v>
      </c>
      <c r="AE5392">
        <v>-0.80068999999999901</v>
      </c>
      <c r="AF5392">
        <v>0.40254063137407098</v>
      </c>
      <c r="AG5392">
        <v>-1.111307208942</v>
      </c>
      <c r="AH5392">
        <v>31.554840857853101</v>
      </c>
      <c r="AI5392">
        <v>92.016861169116595</v>
      </c>
      <c r="AJ5392">
        <v>89.269125508587393</v>
      </c>
      <c r="AK5392">
        <v>31.576969839377998</v>
      </c>
      <c r="AL5392">
        <v>84.245109099124093</v>
      </c>
      <c r="AM5392">
        <v>90.951244259284195</v>
      </c>
      <c r="AN5392">
        <v>1.0000000591220799</v>
      </c>
    </row>
    <row r="5393" spans="1:40" x14ac:dyDescent="0.25">
      <c r="A5393" t="str">
        <f>"20190312151134538"</f>
        <v>20190312151134538</v>
      </c>
      <c r="B5393" t="str">
        <f>"1552374694526843"</f>
        <v>1552374694526843</v>
      </c>
      <c r="C5393" t="s">
        <v>40</v>
      </c>
      <c r="D5393">
        <v>5.2635959999999997</v>
      </c>
      <c r="E5393">
        <v>0.51224650000000005</v>
      </c>
      <c r="F5393" t="s">
        <v>42</v>
      </c>
      <c r="G5393">
        <v>-336.81799999999998</v>
      </c>
      <c r="H5393" s="1">
        <v>-2.448435E-6</v>
      </c>
      <c r="I5393">
        <v>14.431520000000001</v>
      </c>
      <c r="J5393">
        <v>-368.89690000000002</v>
      </c>
      <c r="K5393">
        <v>1.1113059999999999</v>
      </c>
      <c r="L5393">
        <v>15.314970000000001</v>
      </c>
      <c r="M5393">
        <v>0.99987429999999999</v>
      </c>
      <c r="N5393">
        <v>0</v>
      </c>
      <c r="O5393">
        <v>-1.1608530000000001E-2</v>
      </c>
      <c r="P5393">
        <v>0.99598220000000004</v>
      </c>
      <c r="Q5393">
        <v>8.9500839999999998E-2</v>
      </c>
      <c r="R5393">
        <v>3.0256720000000001E-3</v>
      </c>
      <c r="S5393">
        <v>3.0217900000000002</v>
      </c>
      <c r="T5393">
        <v>-0.10420989999999999</v>
      </c>
      <c r="U5393">
        <v>-8.2916260000000006E-2</v>
      </c>
      <c r="V5393">
        <v>-1.4906549999999999E-2</v>
      </c>
      <c r="W5393">
        <v>0.1002094</v>
      </c>
      <c r="X5393">
        <v>0.99485469999999998</v>
      </c>
      <c r="Y5393">
        <v>1.5819940000000001E-2</v>
      </c>
      <c r="Z5393">
        <v>1.274879E-4</v>
      </c>
      <c r="AA5393">
        <v>0.99987479999999995</v>
      </c>
      <c r="AB5393">
        <v>27</v>
      </c>
      <c r="AC5393">
        <v>32.078899999999898</v>
      </c>
      <c r="AD5393">
        <v>-1.111308448435</v>
      </c>
      <c r="AE5393">
        <v>-0.88344999999999896</v>
      </c>
      <c r="AF5393">
        <v>0.51036782865053798</v>
      </c>
      <c r="AG5393">
        <v>-1.111308448435</v>
      </c>
      <c r="AH5393">
        <v>32.0485609180597</v>
      </c>
      <c r="AI5393">
        <v>91.985727827287107</v>
      </c>
      <c r="AJ5393">
        <v>89.087651669819195</v>
      </c>
      <c r="AK5393">
        <v>32.071883928242599</v>
      </c>
      <c r="AL5393">
        <v>84.248771225722194</v>
      </c>
      <c r="AM5393">
        <v>90.858435401808094</v>
      </c>
      <c r="AN5393">
        <v>1.0000000015966699</v>
      </c>
    </row>
    <row r="5394" spans="1:40" x14ac:dyDescent="0.25">
      <c r="A5394" t="str">
        <f>"20190312151134558"</f>
        <v>20190312151134558</v>
      </c>
      <c r="B5394" t="str">
        <f>"1552374694546363"</f>
        <v>1552374694546363</v>
      </c>
      <c r="C5394" t="s">
        <v>40</v>
      </c>
      <c r="D5394">
        <v>5.2560019999999996</v>
      </c>
      <c r="E5394">
        <v>0.51240419999999998</v>
      </c>
      <c r="F5394" t="s">
        <v>42</v>
      </c>
      <c r="G5394">
        <v>-344.05430000000001</v>
      </c>
      <c r="H5394" s="1">
        <v>-3.4238589999999999E-6</v>
      </c>
      <c r="I5394">
        <v>14.593999999999999</v>
      </c>
      <c r="J5394">
        <v>-368.65910000000002</v>
      </c>
      <c r="K5394">
        <v>1.111308</v>
      </c>
      <c r="L5394">
        <v>15.313929999999999</v>
      </c>
      <c r="M5394">
        <v>0.99989150000000004</v>
      </c>
      <c r="N5394">
        <v>0</v>
      </c>
      <c r="O5394">
        <v>-1.0013899999999999E-2</v>
      </c>
      <c r="P5394">
        <v>0.99596320000000005</v>
      </c>
      <c r="Q5394">
        <v>8.9750479999999994E-2</v>
      </c>
      <c r="R5394">
        <v>1.470395E-3</v>
      </c>
      <c r="S5394">
        <v>3.024597</v>
      </c>
      <c r="T5394">
        <v>-0.13530220000000001</v>
      </c>
      <c r="U5394">
        <v>-8.7768550000000001E-2</v>
      </c>
      <c r="V5394">
        <v>-1.1763849999999999E-2</v>
      </c>
      <c r="W5394">
        <v>0.1004708</v>
      </c>
      <c r="X5394">
        <v>0.99487049999999999</v>
      </c>
      <c r="Y5394">
        <v>1.898536E-2</v>
      </c>
      <c r="Z5394" s="1">
        <v>2.3303989999999998E-5</v>
      </c>
      <c r="AA5394">
        <v>0.99981980000000004</v>
      </c>
      <c r="AB5394">
        <v>27</v>
      </c>
      <c r="AC5394">
        <v>24.604800000000001</v>
      </c>
      <c r="AD5394">
        <v>-1.1113114238590001</v>
      </c>
      <c r="AE5394">
        <v>-0.71992999999999796</v>
      </c>
      <c r="AF5394">
        <v>0.47252637912662598</v>
      </c>
      <c r="AG5394">
        <v>-1.1113114238590001</v>
      </c>
      <c r="AH5394">
        <v>24.560714693946299</v>
      </c>
      <c r="AI5394">
        <v>92.590246167054005</v>
      </c>
      <c r="AJ5394">
        <v>88.897815966732296</v>
      </c>
      <c r="AK5394">
        <v>24.590384310482001</v>
      </c>
      <c r="AL5394">
        <v>84.233718365768695</v>
      </c>
      <c r="AM5394">
        <v>90.677462589284303</v>
      </c>
      <c r="AN5394">
        <v>1.0000000407948499</v>
      </c>
    </row>
    <row r="5395" spans="1:40" x14ac:dyDescent="0.25">
      <c r="A5395" t="str">
        <f>"20190312151134569"</f>
        <v>20190312151134569</v>
      </c>
      <c r="B5395" t="str">
        <f>"1552374694566858"</f>
        <v>1552374694566858</v>
      </c>
      <c r="C5395" t="s">
        <v>40</v>
      </c>
      <c r="D5395">
        <v>5.3556330000000001</v>
      </c>
      <c r="E5395">
        <v>0.51230710000000002</v>
      </c>
      <c r="F5395" t="s">
        <v>42</v>
      </c>
      <c r="G5395">
        <v>-348.4393</v>
      </c>
      <c r="H5395" s="1">
        <v>-1.8289350000000001E-6</v>
      </c>
      <c r="I5395">
        <v>14.686249999999999</v>
      </c>
      <c r="J5395">
        <v>-368.51220000000001</v>
      </c>
      <c r="K5395">
        <v>1.11131</v>
      </c>
      <c r="L5395">
        <v>15.313510000000001</v>
      </c>
      <c r="M5395">
        <v>0.99990089999999998</v>
      </c>
      <c r="N5395">
        <v>0</v>
      </c>
      <c r="O5395">
        <v>-9.028899E-3</v>
      </c>
      <c r="P5395">
        <v>0.99594380000000005</v>
      </c>
      <c r="Q5395">
        <v>8.9974139999999994E-2</v>
      </c>
      <c r="R5395">
        <v>8.3451229999999905E-4</v>
      </c>
      <c r="S5395">
        <v>3.0272830000000002</v>
      </c>
      <c r="T5395">
        <v>-0.16638349999999999</v>
      </c>
      <c r="U5395">
        <v>-9.3963619999999998E-2</v>
      </c>
      <c r="V5395">
        <v>-1.014782E-2</v>
      </c>
      <c r="W5395">
        <v>0.10069989999999999</v>
      </c>
      <c r="X5395">
        <v>0.99486509999999995</v>
      </c>
      <c r="Y5395">
        <v>2.1978129999999999E-2</v>
      </c>
      <c r="Z5395">
        <v>-1.076196E-4</v>
      </c>
      <c r="AA5395">
        <v>0.99975840000000005</v>
      </c>
      <c r="AB5395">
        <v>27</v>
      </c>
      <c r="AC5395">
        <v>20.072900000000001</v>
      </c>
      <c r="AD5395">
        <v>-1.1113118289349999</v>
      </c>
      <c r="AE5395">
        <v>-0.62726000000000104</v>
      </c>
      <c r="AF5395">
        <v>0.444626153050517</v>
      </c>
      <c r="AG5395">
        <v>-1.1113118289349999</v>
      </c>
      <c r="AH5395">
        <v>20.016451943884</v>
      </c>
      <c r="AI5395">
        <v>93.177012587148397</v>
      </c>
      <c r="AJ5395">
        <v>88.727496093713597</v>
      </c>
      <c r="AK5395">
        <v>20.052208227996399</v>
      </c>
      <c r="AL5395">
        <v>84.220524799931894</v>
      </c>
      <c r="AM5395">
        <v>90.584407970327803</v>
      </c>
      <c r="AN5395">
        <v>1.00000000765438</v>
      </c>
    </row>
    <row r="5396" spans="1:40" x14ac:dyDescent="0.25">
      <c r="A5396" t="str">
        <f>"20190312151134582"</f>
        <v>20190312151134582</v>
      </c>
      <c r="B5396" t="str">
        <f>"1552374694576618"</f>
        <v>1552374694576618</v>
      </c>
      <c r="C5396" t="s">
        <v>40</v>
      </c>
      <c r="D5396">
        <v>5.3415160000000004</v>
      </c>
      <c r="E5396">
        <v>0.51258779999999904</v>
      </c>
      <c r="F5396" t="s">
        <v>42</v>
      </c>
      <c r="G5396">
        <v>-350.47030000000001</v>
      </c>
      <c r="H5396" s="1">
        <v>-4.9344660000000003E-6</v>
      </c>
      <c r="I5396">
        <v>14.745760000000001</v>
      </c>
      <c r="J5396">
        <v>-368.36959999999999</v>
      </c>
      <c r="K5396">
        <v>1.1113120000000001</v>
      </c>
      <c r="L5396">
        <v>15.3132</v>
      </c>
      <c r="M5396">
        <v>0.9999091</v>
      </c>
      <c r="N5396">
        <v>0</v>
      </c>
      <c r="O5396">
        <v>-8.0732200000000007E-3</v>
      </c>
      <c r="P5396">
        <v>0.99592349999999996</v>
      </c>
      <c r="Q5396">
        <v>9.0203340000000007E-2</v>
      </c>
      <c r="R5396">
        <v>2.7178249999999999E-4</v>
      </c>
      <c r="S5396">
        <v>3.0291139999999999</v>
      </c>
      <c r="T5396">
        <v>-0.1865821</v>
      </c>
      <c r="U5396">
        <v>-9.5306399999999999E-2</v>
      </c>
      <c r="V5396">
        <v>-8.6343089999999997E-3</v>
      </c>
      <c r="W5396">
        <v>0.10093480000000001</v>
      </c>
      <c r="X5396">
        <v>0.99485559999999995</v>
      </c>
      <c r="Y5396">
        <v>2.3348259999999999E-2</v>
      </c>
      <c r="Z5396">
        <v>-2.2152860000000001E-4</v>
      </c>
      <c r="AA5396">
        <v>0.99972740000000004</v>
      </c>
      <c r="AB5396">
        <v>27</v>
      </c>
      <c r="AC5396">
        <v>17.899299999999901</v>
      </c>
      <c r="AD5396">
        <v>-1.1113169344660001</v>
      </c>
      <c r="AE5396">
        <v>-0.56743999999999895</v>
      </c>
      <c r="AF5396">
        <v>0.42128574336397601</v>
      </c>
      <c r="AG5396">
        <v>-1.1113169344660001</v>
      </c>
      <c r="AH5396">
        <v>17.8346177825414</v>
      </c>
      <c r="AI5396">
        <v>93.564632687036294</v>
      </c>
      <c r="AJ5396">
        <v>88.646822303807795</v>
      </c>
      <c r="AK5396">
        <v>17.8741740635962</v>
      </c>
      <c r="AL5396">
        <v>84.206997197900606</v>
      </c>
      <c r="AM5396">
        <v>90.497255123315597</v>
      </c>
      <c r="AN5396">
        <v>1.0000000249971499</v>
      </c>
    </row>
    <row r="5397" spans="1:40" x14ac:dyDescent="0.25">
      <c r="A5397" t="str">
        <f>"20190312151134593"</f>
        <v>20190312151134593</v>
      </c>
      <c r="B5397" t="str">
        <f>"1552374694586379"</f>
        <v>1552374694586379</v>
      </c>
      <c r="C5397" t="s">
        <v>40</v>
      </c>
      <c r="D5397">
        <v>5.350975</v>
      </c>
      <c r="E5397">
        <v>0.51275209999999904</v>
      </c>
      <c r="F5397" t="s">
        <v>42</v>
      </c>
      <c r="G5397">
        <v>-350.75619999999998</v>
      </c>
      <c r="H5397" s="1">
        <v>-4.8137159999999998E-6</v>
      </c>
      <c r="I5397">
        <v>14.73509</v>
      </c>
      <c r="J5397">
        <v>-368.22280000000001</v>
      </c>
      <c r="K5397">
        <v>1.1113139999999999</v>
      </c>
      <c r="L5397">
        <v>15.31302</v>
      </c>
      <c r="M5397">
        <v>0.99991669999999999</v>
      </c>
      <c r="N5397">
        <v>0</v>
      </c>
      <c r="O5397">
        <v>-7.0895269999999896E-3</v>
      </c>
      <c r="P5397">
        <v>0.99592910000000001</v>
      </c>
      <c r="Q5397">
        <v>9.0141280000000004E-2</v>
      </c>
      <c r="R5397">
        <v>-4.4498429999999999E-4</v>
      </c>
      <c r="S5397">
        <v>3.0296630000000002</v>
      </c>
      <c r="T5397">
        <v>-0.1911561</v>
      </c>
      <c r="U5397">
        <v>-9.9426269999999997E-2</v>
      </c>
      <c r="V5397">
        <v>-6.9374629999999996E-3</v>
      </c>
      <c r="W5397">
        <v>0.10087930000000001</v>
      </c>
      <c r="X5397">
        <v>0.99487449999999999</v>
      </c>
      <c r="Y5397">
        <v>2.5676069999999999E-2</v>
      </c>
      <c r="Z5397">
        <v>-3.622338E-4</v>
      </c>
      <c r="AA5397">
        <v>0.99967030000000001</v>
      </c>
      <c r="AB5397">
        <v>27</v>
      </c>
      <c r="AC5397">
        <v>17.4666</v>
      </c>
      <c r="AD5397">
        <v>-1.1113188137159999</v>
      </c>
      <c r="AE5397">
        <v>-0.57793000000000205</v>
      </c>
      <c r="AF5397">
        <v>0.45224955007339301</v>
      </c>
      <c r="AG5397">
        <v>-1.1113188137159999</v>
      </c>
      <c r="AH5397">
        <v>17.399897473620001</v>
      </c>
      <c r="AI5397">
        <v>93.653245561925402</v>
      </c>
      <c r="AJ5397">
        <v>88.511131580626397</v>
      </c>
      <c r="AK5397">
        <v>17.441215303233601</v>
      </c>
      <c r="AL5397">
        <v>84.210193376230905</v>
      </c>
      <c r="AM5397">
        <v>90.399528692244402</v>
      </c>
      <c r="AN5397">
        <v>1.0000000161558</v>
      </c>
    </row>
    <row r="5398" spans="1:40" x14ac:dyDescent="0.25">
      <c r="A5398" t="str">
        <f>"20190312151134614"</f>
        <v>20190312151134614</v>
      </c>
      <c r="B5398" t="str">
        <f>"1552374694606874"</f>
        <v>1552374694606874</v>
      </c>
      <c r="C5398" t="s">
        <v>40</v>
      </c>
      <c r="D5398">
        <v>5.3412509999999997</v>
      </c>
      <c r="E5398">
        <v>0.51259460000000001</v>
      </c>
      <c r="F5398" t="s">
        <v>42</v>
      </c>
      <c r="G5398">
        <v>-351.024</v>
      </c>
      <c r="H5398" s="1">
        <v>-4.700064E-6</v>
      </c>
      <c r="I5398">
        <v>14.728109999999999</v>
      </c>
      <c r="J5398">
        <v>-367.97120000000001</v>
      </c>
      <c r="K5398">
        <v>1.1113170000000001</v>
      </c>
      <c r="L5398">
        <v>15.31305</v>
      </c>
      <c r="M5398">
        <v>0.99992700000000001</v>
      </c>
      <c r="N5398">
        <v>0</v>
      </c>
      <c r="O5398">
        <v>-5.4027519999999898E-3</v>
      </c>
      <c r="P5398">
        <v>0.99590800000000002</v>
      </c>
      <c r="Q5398">
        <v>9.0344270000000004E-2</v>
      </c>
      <c r="R5398">
        <v>-2.2685909999999999E-3</v>
      </c>
      <c r="S5398">
        <v>3.0299070000000001</v>
      </c>
      <c r="T5398">
        <v>-0.1957797</v>
      </c>
      <c r="U5398">
        <v>-0.1030273</v>
      </c>
      <c r="V5398">
        <v>-3.434908E-3</v>
      </c>
      <c r="W5398">
        <v>0.10109460000000001</v>
      </c>
      <c r="X5398">
        <v>0.9948709</v>
      </c>
      <c r="Y5398">
        <v>2.8535189999999998E-2</v>
      </c>
      <c r="Z5398">
        <v>-5.7203599999999897E-4</v>
      </c>
      <c r="AA5398">
        <v>0.99959260000000005</v>
      </c>
      <c r="AB5398">
        <v>27</v>
      </c>
      <c r="AC5398">
        <v>16.947199999999999</v>
      </c>
      <c r="AD5398">
        <v>-1.1113217000640001</v>
      </c>
      <c r="AE5398">
        <v>-0.58493999999999902</v>
      </c>
      <c r="AF5398">
        <v>0.49125463985815199</v>
      </c>
      <c r="AG5398">
        <v>-1.1113217000640001</v>
      </c>
      <c r="AH5398">
        <v>16.877623132376399</v>
      </c>
      <c r="AI5398">
        <v>93.7656617099058</v>
      </c>
      <c r="AJ5398">
        <v>88.332770402672494</v>
      </c>
      <c r="AK5398">
        <v>16.921304017147801</v>
      </c>
      <c r="AL5398">
        <v>84.197794184427593</v>
      </c>
      <c r="AM5398">
        <v>90.197819585847299</v>
      </c>
      <c r="AN5398">
        <v>1.0000000122044601</v>
      </c>
    </row>
    <row r="5399" spans="1:40" x14ac:dyDescent="0.25">
      <c r="A5399" t="str">
        <f>"20190312151134638"</f>
        <v>20190312151134638</v>
      </c>
      <c r="B5399" t="str">
        <f>"1552374694626394"</f>
        <v>1552374694626394</v>
      </c>
      <c r="C5399" t="s">
        <v>40</v>
      </c>
      <c r="D5399">
        <v>5.352665</v>
      </c>
      <c r="E5399">
        <v>0.51263519999999996</v>
      </c>
      <c r="F5399" t="s">
        <v>42</v>
      </c>
      <c r="G5399">
        <v>-351.85109999999997</v>
      </c>
      <c r="H5399" s="1">
        <v>-4.3430599999999997E-6</v>
      </c>
      <c r="I5399">
        <v>14.740360000000001</v>
      </c>
      <c r="J5399">
        <v>-367.6995</v>
      </c>
      <c r="K5399">
        <v>1.1113120000000001</v>
      </c>
      <c r="L5399">
        <v>15.31357</v>
      </c>
      <c r="M5399">
        <v>0.99993509999999997</v>
      </c>
      <c r="N5399">
        <v>0</v>
      </c>
      <c r="O5399">
        <v>-3.5824720000000002E-3</v>
      </c>
      <c r="P5399">
        <v>0.99590429999999996</v>
      </c>
      <c r="Q5399">
        <v>9.0325740000000002E-2</v>
      </c>
      <c r="R5399">
        <v>-4.0050210000000001E-3</v>
      </c>
      <c r="S5399">
        <v>3.0310359999999998</v>
      </c>
      <c r="T5399">
        <v>-0.2089596</v>
      </c>
      <c r="U5399">
        <v>-0.107666</v>
      </c>
      <c r="V5399">
        <v>1.141498E-4</v>
      </c>
      <c r="W5399">
        <v>0.1010894</v>
      </c>
      <c r="X5399">
        <v>0.99487729999999996</v>
      </c>
      <c r="Y5399">
        <v>3.185114E-2</v>
      </c>
      <c r="Z5399">
        <v>-8.4964699999999895E-4</v>
      </c>
      <c r="AA5399">
        <v>0.9994923</v>
      </c>
      <c r="AB5399">
        <v>27</v>
      </c>
      <c r="AC5399">
        <v>15.8484</v>
      </c>
      <c r="AD5399">
        <v>-1.1113163430599999</v>
      </c>
      <c r="AE5399">
        <v>-0.573209999999999</v>
      </c>
      <c r="AF5399">
        <v>0.51390296641578204</v>
      </c>
      <c r="AG5399">
        <v>-1.1113163430599999</v>
      </c>
      <c r="AH5399">
        <v>15.772897127592399</v>
      </c>
      <c r="AI5399">
        <v>94.028117460639294</v>
      </c>
      <c r="AJ5399">
        <v>88.133883804016605</v>
      </c>
      <c r="AK5399">
        <v>15.820347786027201</v>
      </c>
      <c r="AL5399">
        <v>84.198093358190306</v>
      </c>
      <c r="AM5399">
        <v>89.993426021738003</v>
      </c>
      <c r="AN5399">
        <v>0.99999996093891197</v>
      </c>
    </row>
    <row r="5400" spans="1:40" x14ac:dyDescent="0.25">
      <c r="A5400" t="str">
        <f>"20190312151134659"</f>
        <v>20190312151134659</v>
      </c>
      <c r="B5400" t="str">
        <f>"1552374694656650"</f>
        <v>1552374694656650</v>
      </c>
      <c r="C5400" t="s">
        <v>40</v>
      </c>
      <c r="D5400">
        <v>5.3236169999999996</v>
      </c>
      <c r="E5400">
        <v>0.51253359999999903</v>
      </c>
      <c r="F5400" t="s">
        <v>42</v>
      </c>
      <c r="G5400">
        <v>-351.661</v>
      </c>
      <c r="H5400" s="1">
        <v>-4.4294399999999997E-6</v>
      </c>
      <c r="I5400">
        <v>14.71308</v>
      </c>
      <c r="J5400">
        <v>-367.435</v>
      </c>
      <c r="K5400">
        <v>1.1113139999999999</v>
      </c>
      <c r="L5400">
        <v>15.314579999999999</v>
      </c>
      <c r="M5400">
        <v>0.99993989999999999</v>
      </c>
      <c r="N5400">
        <v>0</v>
      </c>
      <c r="O5400">
        <v>-1.8142939999999999E-3</v>
      </c>
      <c r="P5400">
        <v>0.99588920000000003</v>
      </c>
      <c r="Q5400">
        <v>9.0379929999999997E-2</v>
      </c>
      <c r="R5400">
        <v>-6.0169919999999997E-3</v>
      </c>
      <c r="S5400">
        <v>3.0309750000000002</v>
      </c>
      <c r="T5400">
        <v>-0.21001790000000001</v>
      </c>
      <c r="U5400">
        <v>-0.11346440000000001</v>
      </c>
      <c r="V5400">
        <v>3.8870240000000002E-3</v>
      </c>
      <c r="W5400">
        <v>0.10115730000000001</v>
      </c>
      <c r="X5400">
        <v>0.99486289999999999</v>
      </c>
      <c r="Y5400">
        <v>3.5514850000000001E-2</v>
      </c>
      <c r="Z5400">
        <v>-1.1029939999999999E-3</v>
      </c>
      <c r="AA5400">
        <v>0.99936849999999999</v>
      </c>
      <c r="AB5400">
        <v>27</v>
      </c>
      <c r="AC5400">
        <v>15.773999999999999</v>
      </c>
      <c r="AD5400">
        <v>-1.11131842943999</v>
      </c>
      <c r="AE5400">
        <v>-0.60149999999999904</v>
      </c>
      <c r="AF5400">
        <v>0.57005327752131796</v>
      </c>
      <c r="AG5400">
        <v>-1.11131842943999</v>
      </c>
      <c r="AH5400">
        <v>15.6972641984704</v>
      </c>
      <c r="AI5400">
        <v>94.046950798976994</v>
      </c>
      <c r="AJ5400">
        <v>87.920191719736493</v>
      </c>
      <c r="AK5400">
        <v>15.7468756490742</v>
      </c>
      <c r="AL5400">
        <v>84.194183442641503</v>
      </c>
      <c r="AM5400">
        <v>89.776141077505002</v>
      </c>
      <c r="AN5400">
        <v>1.00000004904763</v>
      </c>
    </row>
    <row r="5401" spans="1:40" x14ac:dyDescent="0.25">
      <c r="A5401" t="str">
        <f>"20190312151134671"</f>
        <v>20190312151134671</v>
      </c>
      <c r="B5401" t="str">
        <f>"1552374694666412"</f>
        <v>1552374694666412</v>
      </c>
      <c r="C5401" t="s">
        <v>40</v>
      </c>
      <c r="D5401">
        <v>5.2867699999999997</v>
      </c>
      <c r="E5401">
        <v>0.5125054</v>
      </c>
      <c r="F5401" t="s">
        <v>41</v>
      </c>
      <c r="G5401">
        <v>-366.47680000000003</v>
      </c>
      <c r="H5401">
        <v>1.0410629999999901</v>
      </c>
      <c r="I5401">
        <v>15.276719999999999</v>
      </c>
      <c r="J5401">
        <v>-367.28609999999998</v>
      </c>
      <c r="K5401">
        <v>1.1113109999999999</v>
      </c>
      <c r="L5401">
        <v>15.315340000000001</v>
      </c>
      <c r="M5401">
        <v>0.99994110000000003</v>
      </c>
      <c r="N5401">
        <v>0</v>
      </c>
      <c r="O5401">
        <v>-8.2131819999999999E-4</v>
      </c>
      <c r="P5401">
        <v>0.995865</v>
      </c>
      <c r="Q5401">
        <v>9.0572609999999998E-2</v>
      </c>
      <c r="R5401">
        <v>-7.0250290000000003E-3</v>
      </c>
      <c r="S5401">
        <v>3.0318909999999999</v>
      </c>
      <c r="T5401">
        <v>-0.2224035</v>
      </c>
      <c r="U5401">
        <v>-0.11907959999999999</v>
      </c>
      <c r="V5401">
        <v>5.8835989999999998E-3</v>
      </c>
      <c r="W5401">
        <v>0.101357</v>
      </c>
      <c r="X5401">
        <v>0.99483270000000001</v>
      </c>
      <c r="Y5401">
        <v>3.8324070000000002E-2</v>
      </c>
      <c r="Z5401">
        <v>-1.343054E-3</v>
      </c>
      <c r="AA5401">
        <v>0.9992645</v>
      </c>
      <c r="AB5401">
        <v>27</v>
      </c>
      <c r="AC5401">
        <v>0.80929999999994995</v>
      </c>
      <c r="AD5401">
        <v>-7.0248000000000296E-2</v>
      </c>
      <c r="AE5401">
        <v>-3.86199999999981E-2</v>
      </c>
      <c r="AF5401">
        <v>3.7672063605206398E-2</v>
      </c>
      <c r="AG5401">
        <v>-7.0248000000000296E-2</v>
      </c>
      <c r="AH5401">
        <v>0.80329286715580195</v>
      </c>
      <c r="AI5401">
        <v>94.992345182449</v>
      </c>
      <c r="AJ5401">
        <v>87.314964392816705</v>
      </c>
      <c r="AK5401">
        <v>0.80723812862355804</v>
      </c>
      <c r="AL5401">
        <v>84.182681958304698</v>
      </c>
      <c r="AM5401">
        <v>89.661147587140306</v>
      </c>
      <c r="AN5401">
        <v>0.99999997958774101</v>
      </c>
    </row>
    <row r="5402" spans="1:40" x14ac:dyDescent="0.25">
      <c r="A5402" t="str">
        <f>"20190312151134684"</f>
        <v>20190312151134684</v>
      </c>
      <c r="B5402" t="str">
        <f>"1552374694677147"</f>
        <v>1552374694677147</v>
      </c>
      <c r="C5402" t="s">
        <v>40</v>
      </c>
      <c r="D5402">
        <v>5.2806189999999997</v>
      </c>
      <c r="E5402">
        <v>0.51238819999999996</v>
      </c>
      <c r="F5402" t="s">
        <v>41</v>
      </c>
      <c r="G5402">
        <v>-366.46850000000001</v>
      </c>
      <c r="H5402">
        <v>1.051315</v>
      </c>
      <c r="I5402">
        <v>15.282209999999999</v>
      </c>
      <c r="J5402">
        <v>-367.12259999999998</v>
      </c>
      <c r="K5402">
        <v>1.1113109999999999</v>
      </c>
      <c r="L5402">
        <v>15.31635</v>
      </c>
      <c r="M5402">
        <v>0.99994150000000004</v>
      </c>
      <c r="N5402">
        <v>0</v>
      </c>
      <c r="O5402">
        <v>2.6785310000000001E-4</v>
      </c>
      <c r="P5402">
        <v>0.99583920000000004</v>
      </c>
      <c r="Q5402">
        <v>9.079421E-2</v>
      </c>
      <c r="R5402">
        <v>-7.7940459999999998E-3</v>
      </c>
      <c r="S5402">
        <v>3.0318299999999998</v>
      </c>
      <c r="T5402">
        <v>-0.22260679999999999</v>
      </c>
      <c r="U5402">
        <v>-0.1219788</v>
      </c>
      <c r="V5402">
        <v>7.7369769999999999E-3</v>
      </c>
      <c r="W5402">
        <v>0.1015856</v>
      </c>
      <c r="X5402">
        <v>0.99479669999999998</v>
      </c>
      <c r="Y5402">
        <v>4.0358669999999999E-2</v>
      </c>
      <c r="Z5402">
        <v>-1.4986779999999901E-3</v>
      </c>
      <c r="AA5402">
        <v>0.99918410000000002</v>
      </c>
      <c r="AB5402">
        <v>27</v>
      </c>
      <c r="AC5402">
        <v>0.65409999999997104</v>
      </c>
      <c r="AD5402">
        <v>-5.9996000000000098E-2</v>
      </c>
      <c r="AE5402">
        <v>-3.41399999999989E-2</v>
      </c>
      <c r="AF5402">
        <v>3.4029694157581399E-2</v>
      </c>
      <c r="AG5402">
        <v>-5.9996000000000098E-2</v>
      </c>
      <c r="AH5402">
        <v>0.64864850962110598</v>
      </c>
      <c r="AI5402">
        <v>95.277255621333495</v>
      </c>
      <c r="AJ5402">
        <v>86.996875821474504</v>
      </c>
      <c r="AK5402">
        <v>0.65230547225524704</v>
      </c>
      <c r="AL5402">
        <v>84.1695162167793</v>
      </c>
      <c r="AM5402">
        <v>89.554394188797502</v>
      </c>
      <c r="AN5402">
        <v>0.99999998463567397</v>
      </c>
    </row>
    <row r="5403" spans="1:40" x14ac:dyDescent="0.25">
      <c r="A5403" t="str">
        <f>"20190312151134704"</f>
        <v>20190312151134704</v>
      </c>
      <c r="B5403" t="str">
        <f>"1552374694696666"</f>
        <v>1552374694696666</v>
      </c>
      <c r="C5403" t="s">
        <v>40</v>
      </c>
      <c r="D5403">
        <v>5.2644669999999998</v>
      </c>
      <c r="E5403">
        <v>0.51208999999999905</v>
      </c>
      <c r="F5403" t="s">
        <v>41</v>
      </c>
      <c r="G5403">
        <v>-366.23099999999999</v>
      </c>
      <c r="H5403">
        <v>1.0457419999999999</v>
      </c>
      <c r="I5403">
        <v>15.28007</v>
      </c>
      <c r="J5403">
        <v>-366.8845</v>
      </c>
      <c r="K5403">
        <v>1.11131</v>
      </c>
      <c r="L5403">
        <v>15.318079999999901</v>
      </c>
      <c r="M5403">
        <v>0.99993980000000005</v>
      </c>
      <c r="N5403">
        <v>0</v>
      </c>
      <c r="O5403">
        <v>1.8484350000000001E-3</v>
      </c>
      <c r="P5403">
        <v>0.9958091</v>
      </c>
      <c r="Q5403">
        <v>9.0911539999999999E-2</v>
      </c>
      <c r="R5403">
        <v>-9.9858389999999998E-3</v>
      </c>
      <c r="S5403">
        <v>3.0318909999999999</v>
      </c>
      <c r="T5403">
        <v>-0.22301879999999999</v>
      </c>
      <c r="U5403">
        <v>-0.1234741</v>
      </c>
      <c r="V5403">
        <v>1.1502979999999999E-2</v>
      </c>
      <c r="W5403">
        <v>0.1017161</v>
      </c>
      <c r="X5403">
        <v>0.99474700000000005</v>
      </c>
      <c r="Y5403">
        <v>4.2418930000000001E-2</v>
      </c>
      <c r="Z5403">
        <v>-1.6931069999999999E-3</v>
      </c>
      <c r="AA5403">
        <v>0.9990985</v>
      </c>
      <c r="AB5403">
        <v>27</v>
      </c>
      <c r="AC5403">
        <v>0.65350000000000796</v>
      </c>
      <c r="AD5403">
        <v>-6.5568000000000001E-2</v>
      </c>
      <c r="AE5403">
        <v>-3.8009999999996297E-2</v>
      </c>
      <c r="AF5403">
        <v>3.8828397050066799E-2</v>
      </c>
      <c r="AG5403">
        <v>-6.5568000000000001E-2</v>
      </c>
      <c r="AH5403">
        <v>0.64693796451812902</v>
      </c>
      <c r="AI5403">
        <v>95.776914637289593</v>
      </c>
      <c r="AJ5403">
        <v>86.565300159057799</v>
      </c>
      <c r="AK5403">
        <v>0.65141042129853699</v>
      </c>
      <c r="AL5403">
        <v>84.162000502601899</v>
      </c>
      <c r="AM5403">
        <v>89.3374769351434</v>
      </c>
      <c r="AN5403">
        <v>1.0000000387785399</v>
      </c>
    </row>
    <row r="5404" spans="1:40" x14ac:dyDescent="0.25">
      <c r="A5404" t="str">
        <f>"20190312151134726"</f>
        <v>20190312151134726</v>
      </c>
      <c r="B5404" t="str">
        <f>"1552374694717162"</f>
        <v>1552374694717162</v>
      </c>
      <c r="C5404" t="s">
        <v>40</v>
      </c>
      <c r="D5404">
        <v>5.2622839999999904</v>
      </c>
      <c r="E5404">
        <v>0.51171610000000001</v>
      </c>
      <c r="F5404" t="s">
        <v>41</v>
      </c>
      <c r="G5404">
        <v>-365.98869999999999</v>
      </c>
      <c r="H5404">
        <v>1.0451109999999999</v>
      </c>
      <c r="I5404">
        <v>15.2799</v>
      </c>
      <c r="J5404">
        <v>-366.61369999999999</v>
      </c>
      <c r="K5404">
        <v>1.1113090000000001</v>
      </c>
      <c r="L5404">
        <v>15.32056</v>
      </c>
      <c r="M5404">
        <v>0.99993489999999996</v>
      </c>
      <c r="N5404">
        <v>0</v>
      </c>
      <c r="O5404">
        <v>3.6345589999999999E-3</v>
      </c>
      <c r="P5404">
        <v>0.99576659999999995</v>
      </c>
      <c r="Q5404">
        <v>9.11299E-2</v>
      </c>
      <c r="R5404">
        <v>-1.201057E-2</v>
      </c>
      <c r="S5404">
        <v>3.0317690000000002</v>
      </c>
      <c r="T5404">
        <v>-0.2242162</v>
      </c>
      <c r="U5404">
        <v>-0.12808230000000001</v>
      </c>
      <c r="V5404">
        <v>1.5307039999999999E-2</v>
      </c>
      <c r="W5404">
        <v>0.1019471</v>
      </c>
      <c r="X5404">
        <v>0.99467209999999995</v>
      </c>
      <c r="Y5404">
        <v>4.5705809999999999E-2</v>
      </c>
      <c r="Z5404">
        <v>-1.955376E-3</v>
      </c>
      <c r="AA5404">
        <v>0.99895299999999998</v>
      </c>
      <c r="AB5404">
        <v>27</v>
      </c>
      <c r="AC5404">
        <v>0.625</v>
      </c>
      <c r="AD5404">
        <v>-6.6197999999999896E-2</v>
      </c>
      <c r="AE5404">
        <v>-4.06600000000008E-2</v>
      </c>
      <c r="AF5404">
        <v>4.2457170819980801E-2</v>
      </c>
      <c r="AG5404">
        <v>-6.6197999999999896E-2</v>
      </c>
      <c r="AH5404">
        <v>0.61794496318653702</v>
      </c>
      <c r="AI5404">
        <v>96.100278348163897</v>
      </c>
      <c r="AJ5404">
        <v>86.069553442349502</v>
      </c>
      <c r="AK5404">
        <v>0.62292918063424196</v>
      </c>
      <c r="AL5404">
        <v>84.148696091919803</v>
      </c>
      <c r="AM5404">
        <v>89.118343054606399</v>
      </c>
      <c r="AN5404">
        <v>1.0000000515951799</v>
      </c>
    </row>
    <row r="5405" spans="1:40" x14ac:dyDescent="0.25">
      <c r="A5405" t="str">
        <f>"20190312151134741"</f>
        <v>20190312151134741</v>
      </c>
      <c r="B5405" t="str">
        <f>"1552374694736682"</f>
        <v>1552374694736682</v>
      </c>
      <c r="C5405" t="s">
        <v>40</v>
      </c>
      <c r="D5405">
        <v>5.2640029999999998</v>
      </c>
      <c r="E5405">
        <v>0.51147589999999998</v>
      </c>
      <c r="F5405" t="s">
        <v>41</v>
      </c>
      <c r="G5405">
        <v>-365.74439999999998</v>
      </c>
      <c r="H5405">
        <v>1.0462359999999999</v>
      </c>
      <c r="I5405">
        <v>15.282590000000001</v>
      </c>
      <c r="J5405">
        <v>-366.43340000000001</v>
      </c>
      <c r="K5405">
        <v>1.111305</v>
      </c>
      <c r="L5405">
        <v>15.32245</v>
      </c>
      <c r="M5405">
        <v>0.99992979999999998</v>
      </c>
      <c r="N5405">
        <v>0</v>
      </c>
      <c r="O5405">
        <v>4.8169739999999999E-3</v>
      </c>
      <c r="P5405">
        <v>0.99573089999999997</v>
      </c>
      <c r="Q5405">
        <v>9.1446029999999998E-2</v>
      </c>
      <c r="R5405">
        <v>-1.254982E-2</v>
      </c>
      <c r="S5405">
        <v>3.031952</v>
      </c>
      <c r="T5405">
        <v>-0.2271011</v>
      </c>
      <c r="U5405">
        <v>-0.13131709999999999</v>
      </c>
      <c r="V5405">
        <v>1.7023819999999999E-2</v>
      </c>
      <c r="W5405">
        <v>0.1022692</v>
      </c>
      <c r="X5405">
        <v>0.99461109999999997</v>
      </c>
      <c r="Y5405">
        <v>4.7935270000000002E-2</v>
      </c>
      <c r="Z5405">
        <v>-2.1520519999999998E-3</v>
      </c>
      <c r="AA5405">
        <v>0.99884810000000002</v>
      </c>
      <c r="AB5405">
        <v>27</v>
      </c>
      <c r="AC5405">
        <v>0.68900000000002104</v>
      </c>
      <c r="AD5405">
        <v>-6.5068999999999794E-2</v>
      </c>
      <c r="AE5405">
        <v>-3.9860000000000798E-2</v>
      </c>
      <c r="AF5405">
        <v>4.2798188877036E-2</v>
      </c>
      <c r="AG5405">
        <v>-6.5068999999999794E-2</v>
      </c>
      <c r="AH5405">
        <v>0.68273111143689202</v>
      </c>
      <c r="AI5405">
        <v>95.433638376736198</v>
      </c>
      <c r="AJ5405">
        <v>86.413007866437994</v>
      </c>
      <c r="AK5405">
        <v>0.68715895559616202</v>
      </c>
      <c r="AL5405">
        <v>84.130143970656107</v>
      </c>
      <c r="AM5405">
        <v>89.019417937579803</v>
      </c>
      <c r="AN5405">
        <v>1.00000001997962</v>
      </c>
    </row>
    <row r="5406" spans="1:40" x14ac:dyDescent="0.25">
      <c r="A5406" t="str">
        <f>"20190312151134759"</f>
        <v>20190312151134759</v>
      </c>
      <c r="B5406" t="str">
        <f>"1552374694757178"</f>
        <v>1552374694757178</v>
      </c>
      <c r="C5406" t="s">
        <v>40</v>
      </c>
      <c r="D5406">
        <v>5.217562</v>
      </c>
      <c r="E5406">
        <v>0.51136219999999999</v>
      </c>
      <c r="F5406" t="s">
        <v>41</v>
      </c>
      <c r="G5406">
        <v>-365.50360000000001</v>
      </c>
      <c r="H5406">
        <v>1.0415620000000001</v>
      </c>
      <c r="I5406">
        <v>15.282109999999999</v>
      </c>
      <c r="J5406">
        <v>-366.21539999999999</v>
      </c>
      <c r="K5406">
        <v>1.111299</v>
      </c>
      <c r="L5406">
        <v>15.324949999999999</v>
      </c>
      <c r="M5406">
        <v>0.99992199999999998</v>
      </c>
      <c r="N5406">
        <v>0</v>
      </c>
      <c r="O5406">
        <v>6.237121E-3</v>
      </c>
      <c r="P5406">
        <v>0.99569339999999995</v>
      </c>
      <c r="Q5406">
        <v>9.1531520000000005E-2</v>
      </c>
      <c r="R5406">
        <v>-1.473037E-2</v>
      </c>
      <c r="S5406">
        <v>3.0321039999999999</v>
      </c>
      <c r="T5406">
        <v>-0.2274853</v>
      </c>
      <c r="U5406">
        <v>-0.13119510000000001</v>
      </c>
      <c r="V5406">
        <v>2.061961E-2</v>
      </c>
      <c r="W5406">
        <v>0.1023659</v>
      </c>
      <c r="X5406">
        <v>0.99453309999999995</v>
      </c>
      <c r="Y5406">
        <v>4.9303199999999998E-2</v>
      </c>
      <c r="Z5406">
        <v>-2.313154E-3</v>
      </c>
      <c r="AA5406">
        <v>0.99878120000000004</v>
      </c>
      <c r="AB5406">
        <v>27</v>
      </c>
      <c r="AC5406">
        <v>0.711799999999982</v>
      </c>
      <c r="AD5406">
        <v>-6.9736999999999896E-2</v>
      </c>
      <c r="AE5406">
        <v>-4.2839999999998199E-2</v>
      </c>
      <c r="AF5406">
        <v>4.6831115789160903E-2</v>
      </c>
      <c r="AG5406">
        <v>-6.9736999999999896E-2</v>
      </c>
      <c r="AH5406">
        <v>0.70477842764969501</v>
      </c>
      <c r="AI5406">
        <v>95.638601535587796</v>
      </c>
      <c r="AJ5406">
        <v>86.198398681842605</v>
      </c>
      <c r="AK5406">
        <v>0.70976688754508299</v>
      </c>
      <c r="AL5406">
        <v>84.124574216625007</v>
      </c>
      <c r="AM5406">
        <v>88.812259348227002</v>
      </c>
      <c r="AN5406">
        <v>1.00000001639748</v>
      </c>
    </row>
    <row r="5407" spans="1:40" x14ac:dyDescent="0.25">
      <c r="A5407" t="str">
        <f>"20190312151134770"</f>
        <v>20190312151134770</v>
      </c>
      <c r="B5407" t="str">
        <f>"1552374694766938"</f>
        <v>1552374694766938</v>
      </c>
      <c r="C5407" t="s">
        <v>40</v>
      </c>
      <c r="D5407">
        <v>5.2641049999999998</v>
      </c>
      <c r="E5407">
        <v>0.5111793</v>
      </c>
      <c r="F5407" t="s">
        <v>41</v>
      </c>
      <c r="G5407">
        <v>-365.26119999999997</v>
      </c>
      <c r="H5407">
        <v>1.0387959999999901</v>
      </c>
      <c r="I5407">
        <v>15.28181</v>
      </c>
      <c r="J5407">
        <v>-366.07029999999997</v>
      </c>
      <c r="K5407">
        <v>1.1112959999999901</v>
      </c>
      <c r="L5407">
        <v>15.32687</v>
      </c>
      <c r="M5407">
        <v>0.99991580000000002</v>
      </c>
      <c r="N5407">
        <v>0</v>
      </c>
      <c r="O5407">
        <v>7.1727680000000004E-3</v>
      </c>
      <c r="P5407">
        <v>0.99569019999999997</v>
      </c>
      <c r="Q5407">
        <v>9.1486769999999995E-2</v>
      </c>
      <c r="R5407">
        <v>-1.5214109999999999E-2</v>
      </c>
      <c r="S5407">
        <v>3.0321349999999998</v>
      </c>
      <c r="T5407">
        <v>-0.2304273</v>
      </c>
      <c r="U5407">
        <v>-0.13699339999999999</v>
      </c>
      <c r="V5407">
        <v>2.2036509999999999E-2</v>
      </c>
      <c r="W5407">
        <v>0.1023256</v>
      </c>
      <c r="X5407">
        <v>0.99450680000000002</v>
      </c>
      <c r="Y5407">
        <v>5.2128519999999998E-2</v>
      </c>
      <c r="Z5407">
        <v>-2.5209830000000001E-3</v>
      </c>
      <c r="AA5407">
        <v>0.9986372</v>
      </c>
      <c r="AB5407">
        <v>27</v>
      </c>
      <c r="AC5407">
        <v>0.80910000000000004</v>
      </c>
      <c r="AD5407">
        <v>-7.2499999999999995E-2</v>
      </c>
      <c r="AE5407">
        <v>-4.5060000000001203E-2</v>
      </c>
      <c r="AF5407">
        <v>5.0458776370347E-2</v>
      </c>
      <c r="AG5407">
        <v>-7.2499999999999995E-2</v>
      </c>
      <c r="AH5407">
        <v>0.80233378998377003</v>
      </c>
      <c r="AI5407">
        <v>95.15317812024</v>
      </c>
      <c r="AJ5407">
        <v>86.401407452280694</v>
      </c>
      <c r="AK5407">
        <v>0.80718142239679502</v>
      </c>
      <c r="AL5407">
        <v>84.126895067797193</v>
      </c>
      <c r="AM5407">
        <v>88.730634683351099</v>
      </c>
      <c r="AN5407">
        <v>0.99999995571728895</v>
      </c>
    </row>
    <row r="5408" spans="1:40" x14ac:dyDescent="0.25">
      <c r="A5408" t="str">
        <f>"20190312151134782"</f>
        <v>20190312151134782</v>
      </c>
      <c r="B5408" t="str">
        <f>"1552374694776699"</f>
        <v>1552374694776699</v>
      </c>
      <c r="C5408" t="s">
        <v>40</v>
      </c>
      <c r="D5408">
        <v>5.4989679999999996</v>
      </c>
      <c r="E5408">
        <v>0.51096339999999996</v>
      </c>
      <c r="F5408" t="s">
        <v>41</v>
      </c>
      <c r="G5408">
        <v>-365.255</v>
      </c>
      <c r="H5408">
        <v>1.0487500000000001</v>
      </c>
      <c r="I5408">
        <v>15.290050000000001</v>
      </c>
      <c r="J5408">
        <v>-365.92939999999999</v>
      </c>
      <c r="K5408">
        <v>1.1112879999999901</v>
      </c>
      <c r="L5408">
        <v>15.328799999999999</v>
      </c>
      <c r="M5408">
        <v>0.99990869999999998</v>
      </c>
      <c r="N5408">
        <v>0</v>
      </c>
      <c r="O5408">
        <v>8.0777160000000004E-3</v>
      </c>
      <c r="P5408">
        <v>0.99567510000000004</v>
      </c>
      <c r="Q5408">
        <v>9.1552149999999999E-2</v>
      </c>
      <c r="R5408">
        <v>-1.5789750000000002E-2</v>
      </c>
      <c r="S5408">
        <v>3.0322879999999999</v>
      </c>
      <c r="T5408">
        <v>-0.23264009999999999</v>
      </c>
      <c r="U5408">
        <v>-0.1368103</v>
      </c>
      <c r="V5408">
        <v>2.351435E-2</v>
      </c>
      <c r="W5408">
        <v>0.1023958</v>
      </c>
      <c r="X5408">
        <v>0.99446579999999996</v>
      </c>
      <c r="Y5408">
        <v>5.296149E-2</v>
      </c>
      <c r="Z5408">
        <v>-2.6461890000000002E-3</v>
      </c>
      <c r="AA5408">
        <v>0.99859299999999995</v>
      </c>
      <c r="AB5408">
        <v>27</v>
      </c>
      <c r="AC5408">
        <v>0.67439999999999101</v>
      </c>
      <c r="AD5408">
        <v>-6.2537999999999705E-2</v>
      </c>
      <c r="AE5408">
        <v>-3.8749999999998501E-2</v>
      </c>
      <c r="AF5408">
        <v>4.3821085146253699E-2</v>
      </c>
      <c r="AG5408">
        <v>-6.2537999999999705E-2</v>
      </c>
      <c r="AH5408">
        <v>0.66833678362840998</v>
      </c>
      <c r="AI5408">
        <v>95.334360430336403</v>
      </c>
      <c r="AJ5408">
        <v>86.248636083278896</v>
      </c>
      <c r="AK5408">
        <v>0.67268517547078599</v>
      </c>
      <c r="AL5408">
        <v>84.1228520794822</v>
      </c>
      <c r="AM5408">
        <v>88.645481813169397</v>
      </c>
      <c r="AN5408">
        <v>1.0000000259416</v>
      </c>
    </row>
    <row r="5409" spans="1:40" x14ac:dyDescent="0.25">
      <c r="A5409" t="str">
        <f>"20190312151134794"</f>
        <v>20190312151134794</v>
      </c>
      <c r="B5409" t="str">
        <f>"1552374694786459"</f>
        <v>1552374694786459</v>
      </c>
      <c r="C5409" t="s">
        <v>40</v>
      </c>
      <c r="D5409">
        <v>5.3091140000000001</v>
      </c>
      <c r="E5409">
        <v>0.51076719999999998</v>
      </c>
      <c r="F5409" t="s">
        <v>41</v>
      </c>
      <c r="G5409">
        <v>-365.01569999999998</v>
      </c>
      <c r="H5409">
        <v>1.041982</v>
      </c>
      <c r="I5409">
        <v>15.28726</v>
      </c>
      <c r="J5409">
        <v>-365.7835</v>
      </c>
      <c r="K5409">
        <v>1.1112820000000001</v>
      </c>
      <c r="L5409">
        <v>15.33093</v>
      </c>
      <c r="M5409">
        <v>0.99990089999999998</v>
      </c>
      <c r="N5409">
        <v>0</v>
      </c>
      <c r="O5409">
        <v>9.0079280000000001E-3</v>
      </c>
      <c r="P5409">
        <v>0.99565610000000004</v>
      </c>
      <c r="Q5409">
        <v>9.1609899999999994E-2</v>
      </c>
      <c r="R5409">
        <v>-1.6638690000000001E-2</v>
      </c>
      <c r="S5409">
        <v>3.0320429999999998</v>
      </c>
      <c r="T5409">
        <v>-0.2302235</v>
      </c>
      <c r="U5409">
        <v>-0.136718799999999</v>
      </c>
      <c r="V5409">
        <v>2.5290779999999999E-2</v>
      </c>
      <c r="W5409">
        <v>0.10245890000000001</v>
      </c>
      <c r="X5409">
        <v>0.99441570000000001</v>
      </c>
      <c r="Y5409">
        <v>5.386237E-2</v>
      </c>
      <c r="Z5409">
        <v>-2.7236309999999998E-3</v>
      </c>
      <c r="AA5409">
        <v>0.9985446</v>
      </c>
      <c r="AB5409">
        <v>27</v>
      </c>
      <c r="AC5409">
        <v>0.76780000000002202</v>
      </c>
      <c r="AD5409">
        <v>-6.9299999999999903E-2</v>
      </c>
      <c r="AE5409">
        <v>-4.3669999999998703E-2</v>
      </c>
      <c r="AF5409">
        <v>5.0177468036713802E-2</v>
      </c>
      <c r="AG5409">
        <v>-6.9299999999999903E-2</v>
      </c>
      <c r="AH5409">
        <v>0.76119438282271501</v>
      </c>
      <c r="AI5409">
        <v>95.190728489987507</v>
      </c>
      <c r="AJ5409">
        <v>86.228553722025893</v>
      </c>
      <c r="AK5409">
        <v>0.76598770012280903</v>
      </c>
      <c r="AL5409">
        <v>84.119217547971104</v>
      </c>
      <c r="AM5409">
        <v>88.543121708315596</v>
      </c>
      <c r="AN5409">
        <v>1.0000000170743499</v>
      </c>
    </row>
    <row r="5410" spans="1:40" x14ac:dyDescent="0.25">
      <c r="A5410" t="str">
        <f>"20190312151134806"</f>
        <v>20190312151134806</v>
      </c>
      <c r="B5410" t="str">
        <f>"1552374694797195"</f>
        <v>1552374694797195</v>
      </c>
      <c r="C5410" t="s">
        <v>40</v>
      </c>
      <c r="D5410">
        <v>5.2298939999999998</v>
      </c>
      <c r="E5410">
        <v>0.51055859999999997</v>
      </c>
      <c r="F5410" t="s">
        <v>41</v>
      </c>
      <c r="G5410">
        <v>-365.00729999999999</v>
      </c>
      <c r="H5410">
        <v>1.0530029999999999</v>
      </c>
      <c r="I5410">
        <v>15.295360000000001</v>
      </c>
      <c r="J5410">
        <v>-365.6354</v>
      </c>
      <c r="K5410">
        <v>1.1112759999999999</v>
      </c>
      <c r="L5410">
        <v>15.33325</v>
      </c>
      <c r="M5410">
        <v>0.999892</v>
      </c>
      <c r="N5410">
        <v>0</v>
      </c>
      <c r="O5410">
        <v>9.9421800000000001E-3</v>
      </c>
      <c r="P5410">
        <v>0.99566829999999995</v>
      </c>
      <c r="Q5410">
        <v>9.1371729999999998E-2</v>
      </c>
      <c r="R5410">
        <v>-1.7203570000000001E-2</v>
      </c>
      <c r="S5410">
        <v>3.0317379999999998</v>
      </c>
      <c r="T5410">
        <v>-0.22782959999999999</v>
      </c>
      <c r="U5410">
        <v>-0.137603799999999</v>
      </c>
      <c r="V5410">
        <v>2.678902E-2</v>
      </c>
      <c r="W5410">
        <v>0.1022251</v>
      </c>
      <c r="X5410">
        <v>0.99440050000000002</v>
      </c>
      <c r="Y5410">
        <v>5.5088360000000003E-2</v>
      </c>
      <c r="Z5410">
        <v>-2.8117009999999998E-3</v>
      </c>
      <c r="AA5410">
        <v>0.99847750000000002</v>
      </c>
      <c r="AB5410">
        <v>27</v>
      </c>
      <c r="AC5410">
        <v>0.62810000000001698</v>
      </c>
      <c r="AD5410">
        <v>-5.8272999999999797E-2</v>
      </c>
      <c r="AE5410">
        <v>-3.7889999999999001E-2</v>
      </c>
      <c r="AF5410">
        <v>4.3757895596472501E-2</v>
      </c>
      <c r="AG5410">
        <v>-5.8272999999999797E-2</v>
      </c>
      <c r="AH5410">
        <v>0.62235472505482403</v>
      </c>
      <c r="AI5410">
        <v>95.336088282636794</v>
      </c>
      <c r="AJ5410">
        <v>85.978140001618797</v>
      </c>
      <c r="AK5410">
        <v>0.62660665473173605</v>
      </c>
      <c r="AL5410">
        <v>84.132683841685406</v>
      </c>
      <c r="AM5410">
        <v>88.456832408897199</v>
      </c>
      <c r="AN5410">
        <v>0.99999998853141003</v>
      </c>
    </row>
    <row r="5411" spans="1:40" x14ac:dyDescent="0.25">
      <c r="A5411" t="str">
        <f>"20190312151134827"</f>
        <v>20190312151134827</v>
      </c>
      <c r="B5411" t="str">
        <f>"1552374694816714"</f>
        <v>1552374694816714</v>
      </c>
      <c r="C5411" t="s">
        <v>40</v>
      </c>
      <c r="D5411">
        <v>5.2329239999999997</v>
      </c>
      <c r="E5411">
        <v>0.51013799999999998</v>
      </c>
      <c r="F5411" t="s">
        <v>41</v>
      </c>
      <c r="G5411">
        <v>-364.76920000000001</v>
      </c>
      <c r="H5411">
        <v>1.0466799999999901</v>
      </c>
      <c r="I5411">
        <v>15.29369</v>
      </c>
      <c r="J5411">
        <v>-365.38490000000002</v>
      </c>
      <c r="K5411">
        <v>1.1112580000000001</v>
      </c>
      <c r="L5411">
        <v>15.337429999999999</v>
      </c>
      <c r="M5411">
        <v>0.99987519999999996</v>
      </c>
      <c r="N5411">
        <v>0</v>
      </c>
      <c r="O5411">
        <v>1.1502419999999999E-2</v>
      </c>
      <c r="P5411">
        <v>0.99560859999999995</v>
      </c>
      <c r="Q5411">
        <v>9.1767650000000006E-2</v>
      </c>
      <c r="R5411">
        <v>-1.8498819999999999E-2</v>
      </c>
      <c r="S5411">
        <v>3.0314329999999998</v>
      </c>
      <c r="T5411">
        <v>-0.2261553</v>
      </c>
      <c r="U5411">
        <v>-0.13754269999999999</v>
      </c>
      <c r="V5411">
        <v>2.963992E-2</v>
      </c>
      <c r="W5411">
        <v>0.1026282</v>
      </c>
      <c r="X5411">
        <v>0.99427810000000005</v>
      </c>
      <c r="Y5411">
        <v>5.6624859999999999E-2</v>
      </c>
      <c r="Z5411">
        <v>-2.9647760000000001E-3</v>
      </c>
      <c r="AA5411">
        <v>0.99839120000000003</v>
      </c>
      <c r="AB5411">
        <v>27</v>
      </c>
      <c r="AC5411">
        <v>0.61570000000000302</v>
      </c>
      <c r="AD5411">
        <v>-6.4578000000000205E-2</v>
      </c>
      <c r="AE5411">
        <v>-4.3739999999999599E-2</v>
      </c>
      <c r="AF5411">
        <v>5.0269327075640302E-2</v>
      </c>
      <c r="AG5411">
        <v>-6.4578000000000205E-2</v>
      </c>
      <c r="AH5411">
        <v>0.60849569110198998</v>
      </c>
      <c r="AI5411">
        <v>96.0375553077033</v>
      </c>
      <c r="AJ5411">
        <v>85.277378794700596</v>
      </c>
      <c r="AK5411">
        <v>0.61397420908237299</v>
      </c>
      <c r="AL5411">
        <v>84.109465903166196</v>
      </c>
      <c r="AM5411">
        <v>88.292490267334301</v>
      </c>
      <c r="AN5411">
        <v>1.00000000621622</v>
      </c>
    </row>
    <row r="5412" spans="1:40" x14ac:dyDescent="0.25">
      <c r="A5412" t="str">
        <f>"20190312151134849"</f>
        <v>20190312151134849</v>
      </c>
      <c r="B5412" t="str">
        <f>"1552374694846971"</f>
        <v>1552374694846971</v>
      </c>
      <c r="C5412" t="s">
        <v>40</v>
      </c>
      <c r="D5412">
        <v>5.2493930000000004</v>
      </c>
      <c r="E5412">
        <v>0.51046179999999997</v>
      </c>
      <c r="F5412" t="s">
        <v>41</v>
      </c>
      <c r="G5412">
        <v>-364.52339999999998</v>
      </c>
      <c r="H5412">
        <v>1.04833</v>
      </c>
      <c r="I5412">
        <v>15.297779999999999</v>
      </c>
      <c r="J5412">
        <v>-365.11849999999998</v>
      </c>
      <c r="K5412">
        <v>1.111237</v>
      </c>
      <c r="L5412">
        <v>15.34229</v>
      </c>
      <c r="M5412">
        <v>0.99985520000000006</v>
      </c>
      <c r="N5412">
        <v>0</v>
      </c>
      <c r="O5412">
        <v>1.3129180000000001E-2</v>
      </c>
      <c r="P5412">
        <v>0.99559569999999997</v>
      </c>
      <c r="Q5412">
        <v>9.1672569999999995E-2</v>
      </c>
      <c r="R5412">
        <v>-1.9636589999999999E-2</v>
      </c>
      <c r="S5412">
        <v>3.0310969999999999</v>
      </c>
      <c r="T5412">
        <v>-0.22159119999999999</v>
      </c>
      <c r="U5412">
        <v>-0.1380615</v>
      </c>
      <c r="V5412">
        <v>3.240241E-2</v>
      </c>
      <c r="W5412">
        <v>0.10254050000000001</v>
      </c>
      <c r="X5412">
        <v>0.99420090000000005</v>
      </c>
      <c r="Y5412">
        <v>5.8423040000000002E-2</v>
      </c>
      <c r="Z5412">
        <v>-3.0897450000000001E-3</v>
      </c>
      <c r="AA5412">
        <v>0.99828709999999998</v>
      </c>
      <c r="AB5412">
        <v>27</v>
      </c>
      <c r="AC5412">
        <v>0.59510000000000196</v>
      </c>
      <c r="AD5412">
        <v>-6.2907000000000005E-2</v>
      </c>
      <c r="AE5412">
        <v>-4.4510000000000702E-2</v>
      </c>
      <c r="AF5412">
        <v>5.1744803770646199E-2</v>
      </c>
      <c r="AG5412">
        <v>-6.2907000000000005E-2</v>
      </c>
      <c r="AH5412">
        <v>0.58793115029932197</v>
      </c>
      <c r="AI5412">
        <v>96.083913564820094</v>
      </c>
      <c r="AJ5412">
        <v>84.970262781111202</v>
      </c>
      <c r="AK5412">
        <v>0.59354684133482405</v>
      </c>
      <c r="AL5412">
        <v>84.114517060701203</v>
      </c>
      <c r="AM5412">
        <v>88.133310455355598</v>
      </c>
      <c r="AN5412">
        <v>0.99999994993743202</v>
      </c>
    </row>
    <row r="5413" spans="1:40" x14ac:dyDescent="0.25">
      <c r="A5413" t="str">
        <f>"20190312151134870"</f>
        <v>20190312151134870</v>
      </c>
      <c r="B5413" t="str">
        <f>"1552374694866491"</f>
        <v>1552374694866491</v>
      </c>
      <c r="C5413" t="s">
        <v>40</v>
      </c>
      <c r="D5413">
        <v>5.2300319999999996</v>
      </c>
      <c r="E5413">
        <v>0.53077439999999998</v>
      </c>
      <c r="F5413" t="s">
        <v>41</v>
      </c>
      <c r="G5413">
        <v>-364.27769999999998</v>
      </c>
      <c r="H5413">
        <v>1.04972</v>
      </c>
      <c r="I5413">
        <v>15.3021799999999</v>
      </c>
      <c r="J5413">
        <v>-364.85919999999999</v>
      </c>
      <c r="K5413">
        <v>1.11121</v>
      </c>
      <c r="L5413">
        <v>15.34735</v>
      </c>
      <c r="M5413">
        <v>0.99983359999999999</v>
      </c>
      <c r="N5413">
        <v>0</v>
      </c>
      <c r="O5413">
        <v>1.4681980000000001E-2</v>
      </c>
      <c r="P5413">
        <v>0.99560890000000002</v>
      </c>
      <c r="Q5413">
        <v>9.1251180000000001E-2</v>
      </c>
      <c r="R5413">
        <v>-2.089154E-2</v>
      </c>
      <c r="S5413">
        <v>3.0308839999999999</v>
      </c>
      <c r="T5413">
        <v>-0.22181020000000001</v>
      </c>
      <c r="U5413">
        <v>-0.14392089999999999</v>
      </c>
      <c r="V5413">
        <v>3.5209820000000003E-2</v>
      </c>
      <c r="W5413">
        <v>0.10212590000000001</v>
      </c>
      <c r="X5413">
        <v>0.99414809999999998</v>
      </c>
      <c r="Y5413">
        <v>6.1888199999999997E-2</v>
      </c>
      <c r="Z5413">
        <v>-3.3328680000000001E-3</v>
      </c>
      <c r="AA5413">
        <v>0.99807749999999995</v>
      </c>
      <c r="AB5413">
        <v>27</v>
      </c>
      <c r="AC5413">
        <v>0.58150000000000501</v>
      </c>
      <c r="AD5413">
        <v>-6.1490000000000003E-2</v>
      </c>
      <c r="AE5413">
        <v>-4.5170000000002299E-2</v>
      </c>
      <c r="AF5413">
        <v>5.3112870007441602E-2</v>
      </c>
      <c r="AG5413">
        <v>-6.1490000000000003E-2</v>
      </c>
      <c r="AH5413">
        <v>0.57438993154297302</v>
      </c>
      <c r="AI5413">
        <v>96.084635534602498</v>
      </c>
      <c r="AJ5413">
        <v>84.716978840612398</v>
      </c>
      <c r="AK5413">
        <v>0.58010842996664702</v>
      </c>
      <c r="AL5413">
        <v>84.138397187694693</v>
      </c>
      <c r="AM5413">
        <v>87.971598792023499</v>
      </c>
      <c r="AN5413">
        <v>0.99999993780442398</v>
      </c>
    </row>
    <row r="5414" spans="1:40" x14ac:dyDescent="0.25">
      <c r="A5414" t="str">
        <f>"20190312151134883"</f>
        <v>20190312151134883</v>
      </c>
      <c r="B5414" t="str">
        <f>"1552374694876250"</f>
        <v>1552374694876250</v>
      </c>
      <c r="C5414" t="s">
        <v>40</v>
      </c>
      <c r="D5414">
        <v>5.2431049999999999</v>
      </c>
      <c r="E5414">
        <v>0.53077439999999998</v>
      </c>
      <c r="F5414" t="s">
        <v>41</v>
      </c>
      <c r="G5414">
        <v>-364.03980000000001</v>
      </c>
      <c r="H5414">
        <v>1.037331</v>
      </c>
      <c r="I5414">
        <v>15.2633299999999</v>
      </c>
      <c r="J5414">
        <v>-364.7097</v>
      </c>
      <c r="K5414">
        <v>1.1111960000000001</v>
      </c>
      <c r="L5414">
        <v>15.35046</v>
      </c>
      <c r="M5414">
        <v>0.99982040000000005</v>
      </c>
      <c r="N5414">
        <v>0</v>
      </c>
      <c r="O5414">
        <v>1.556301E-2</v>
      </c>
      <c r="P5414">
        <v>0.9955965</v>
      </c>
      <c r="Q5414">
        <v>9.1223540000000006E-2</v>
      </c>
      <c r="R5414">
        <v>-2.1588329999999999E-2</v>
      </c>
      <c r="S5414">
        <v>3.0317690000000002</v>
      </c>
      <c r="T5414">
        <v>-0.2734761</v>
      </c>
      <c r="U5414">
        <v>-0.30984499999999998</v>
      </c>
      <c r="V5414">
        <v>3.678679E-2</v>
      </c>
      <c r="W5414">
        <v>0.1021017</v>
      </c>
      <c r="X5414">
        <v>0.99409349999999996</v>
      </c>
      <c r="Y5414">
        <v>0.1166095</v>
      </c>
      <c r="Z5414">
        <v>-6.6327779999999998E-3</v>
      </c>
      <c r="AA5414">
        <v>0.99315569999999997</v>
      </c>
      <c r="AB5414">
        <v>27</v>
      </c>
      <c r="AC5414">
        <v>0.66989999999998395</v>
      </c>
      <c r="AD5414">
        <v>-7.3864999999999806E-2</v>
      </c>
      <c r="AE5414">
        <v>-8.71300000000019E-2</v>
      </c>
      <c r="AF5414">
        <v>9.6393275226175607E-2</v>
      </c>
      <c r="AG5414">
        <v>-7.3864999999999806E-2</v>
      </c>
      <c r="AH5414">
        <v>0.66056530666598001</v>
      </c>
      <c r="AI5414">
        <v>96.3140364260735</v>
      </c>
      <c r="AJ5414">
        <v>81.697688334643999</v>
      </c>
      <c r="AK5414">
        <v>0.67163548603729195</v>
      </c>
      <c r="AL5414">
        <v>84.139791138079403</v>
      </c>
      <c r="AM5414">
        <v>87.880715955486593</v>
      </c>
      <c r="AN5414">
        <v>0.999999955901821</v>
      </c>
    </row>
    <row r="5415" spans="1:40" x14ac:dyDescent="0.25">
      <c r="A5415" t="str">
        <f>"20190312151134894"</f>
        <v>20190312151134894</v>
      </c>
      <c r="B5415" t="str">
        <f>"1552374694886987"</f>
        <v>1552374694886987</v>
      </c>
      <c r="C5415" t="s">
        <v>40</v>
      </c>
      <c r="D5415">
        <v>5.2363819999999999</v>
      </c>
      <c r="E5415">
        <v>0.53060980000000002</v>
      </c>
      <c r="F5415" t="s">
        <v>41</v>
      </c>
      <c r="G5415">
        <v>-363.7987</v>
      </c>
      <c r="H5415">
        <v>1.028959</v>
      </c>
      <c r="I5415">
        <v>15.256830000000001</v>
      </c>
      <c r="J5415">
        <v>-364.55549999999999</v>
      </c>
      <c r="K5415">
        <v>1.111183</v>
      </c>
      <c r="L5415">
        <v>15.35379</v>
      </c>
      <c r="M5415">
        <v>0.99980590000000003</v>
      </c>
      <c r="N5415">
        <v>0</v>
      </c>
      <c r="O5415">
        <v>1.6459720000000001E-2</v>
      </c>
      <c r="P5415">
        <v>0.99558089999999999</v>
      </c>
      <c r="Q5415">
        <v>9.1278509999999993E-2</v>
      </c>
      <c r="R5415">
        <v>-2.207216E-2</v>
      </c>
      <c r="S5415">
        <v>3.0315859999999999</v>
      </c>
      <c r="T5415">
        <v>-0.27360950000000001</v>
      </c>
      <c r="U5415">
        <v>-0.31188959999999999</v>
      </c>
      <c r="V5415">
        <v>3.8166150000000003E-2</v>
      </c>
      <c r="W5415">
        <v>0.1021591</v>
      </c>
      <c r="X5415">
        <v>0.99403569999999997</v>
      </c>
      <c r="Y5415">
        <v>0.1181586</v>
      </c>
      <c r="Z5415">
        <v>-6.7863380000000003E-3</v>
      </c>
      <c r="AA5415">
        <v>0.99297150000000001</v>
      </c>
      <c r="AB5415">
        <v>27</v>
      </c>
      <c r="AC5415">
        <v>0.75679999999999803</v>
      </c>
      <c r="AD5415">
        <v>-8.2224000000000005E-2</v>
      </c>
      <c r="AE5415">
        <v>-9.6960000000001004E-2</v>
      </c>
      <c r="AF5415">
        <v>0.10814832599512</v>
      </c>
      <c r="AG5415">
        <v>-8.2224000000000005E-2</v>
      </c>
      <c r="AH5415">
        <v>0.74643271858731797</v>
      </c>
      <c r="AI5415">
        <v>96.2216795564687</v>
      </c>
      <c r="AJ5415">
        <v>81.755959334893603</v>
      </c>
      <c r="AK5415">
        <v>0.75869536045055797</v>
      </c>
      <c r="AL5415">
        <v>84.136485654741506</v>
      </c>
      <c r="AM5415">
        <v>87.801199996870594</v>
      </c>
      <c r="AN5415">
        <v>1.00000005479655</v>
      </c>
    </row>
    <row r="5416" spans="1:40" x14ac:dyDescent="0.25">
      <c r="A5416" t="str">
        <f>"20190312151134906"</f>
        <v>20190312151134906</v>
      </c>
      <c r="B5416" t="str">
        <f>"1552374694896747"</f>
        <v>1552374694896747</v>
      </c>
      <c r="C5416" t="s">
        <v>40</v>
      </c>
      <c r="D5416">
        <v>5.2341850000000001</v>
      </c>
      <c r="E5416">
        <v>0.530400599999999</v>
      </c>
      <c r="F5416" t="s">
        <v>41</v>
      </c>
      <c r="G5416">
        <v>-363.79259999999999</v>
      </c>
      <c r="H5416">
        <v>1.0422480000000001</v>
      </c>
      <c r="I5416">
        <v>15.275359999999999</v>
      </c>
      <c r="J5416">
        <v>-364.41559999999998</v>
      </c>
      <c r="K5416">
        <v>1.1111709999999999</v>
      </c>
      <c r="L5416">
        <v>15.356929999999901</v>
      </c>
      <c r="M5416">
        <v>0.99979249999999997</v>
      </c>
      <c r="N5416">
        <v>0</v>
      </c>
      <c r="O5416">
        <v>1.7258570000000001E-2</v>
      </c>
      <c r="P5416">
        <v>0.99553009999999997</v>
      </c>
      <c r="Q5416">
        <v>9.1665819999999995E-2</v>
      </c>
      <c r="R5416">
        <v>-2.2743490000000002E-2</v>
      </c>
      <c r="S5416">
        <v>3.0315249999999998</v>
      </c>
      <c r="T5416">
        <v>-0.27392820000000001</v>
      </c>
      <c r="U5416">
        <v>-0.3120117</v>
      </c>
      <c r="V5416">
        <v>3.9633809999999998E-2</v>
      </c>
      <c r="W5416">
        <v>0.1025485</v>
      </c>
      <c r="X5416">
        <v>0.99393810000000005</v>
      </c>
      <c r="Y5416">
        <v>0.1189856</v>
      </c>
      <c r="Z5416">
        <v>-6.9033990000000002E-3</v>
      </c>
      <c r="AA5416">
        <v>0.99287199999999998</v>
      </c>
      <c r="AB5416">
        <v>27</v>
      </c>
      <c r="AC5416">
        <v>0.62299999999999001</v>
      </c>
      <c r="AD5416">
        <v>-6.8922999999999804E-2</v>
      </c>
      <c r="AE5416">
        <v>-8.1569999999997395E-2</v>
      </c>
      <c r="AF5416">
        <v>9.1213011266271501E-2</v>
      </c>
      <c r="AG5416">
        <v>-6.8922999999999804E-2</v>
      </c>
      <c r="AH5416">
        <v>0.61410981403428799</v>
      </c>
      <c r="AI5416">
        <v>96.334724636786106</v>
      </c>
      <c r="AJ5416">
        <v>81.551689210445403</v>
      </c>
      <c r="AK5416">
        <v>0.62466075356667705</v>
      </c>
      <c r="AL5416">
        <v>84.114056503079595</v>
      </c>
      <c r="AM5416">
        <v>87.716510121143699</v>
      </c>
      <c r="AN5416">
        <v>0.99999999018948804</v>
      </c>
    </row>
    <row r="5417" spans="1:40" x14ac:dyDescent="0.25">
      <c r="A5417" t="str">
        <f>"20190312151134919"</f>
        <v>20190312151134919</v>
      </c>
      <c r="B5417" t="str">
        <f>"1552374694916267"</f>
        <v>1552374694916267</v>
      </c>
      <c r="C5417" t="s">
        <v>40</v>
      </c>
      <c r="D5417">
        <v>5.2517259999999997</v>
      </c>
      <c r="E5417">
        <v>0.53065909999999905</v>
      </c>
      <c r="F5417" t="s">
        <v>41</v>
      </c>
      <c r="G5417">
        <v>-363.55160000000001</v>
      </c>
      <c r="H5417">
        <v>1.0332440000000001</v>
      </c>
      <c r="I5417">
        <v>15.2676</v>
      </c>
      <c r="J5417">
        <v>-364.26229999999998</v>
      </c>
      <c r="K5417">
        <v>1.1111610000000001</v>
      </c>
      <c r="L5417">
        <v>15.360440000000001</v>
      </c>
      <c r="M5417">
        <v>0.99977709999999997</v>
      </c>
      <c r="N5417">
        <v>0</v>
      </c>
      <c r="O5417">
        <v>1.812743E-2</v>
      </c>
      <c r="P5417">
        <v>0.99552149999999995</v>
      </c>
      <c r="Q5417">
        <v>9.1626509999999994E-2</v>
      </c>
      <c r="R5417">
        <v>-2.3270889999999999E-2</v>
      </c>
      <c r="S5417">
        <v>3.031555</v>
      </c>
      <c r="T5417">
        <v>-0.27357789999999998</v>
      </c>
      <c r="U5417">
        <v>-0.31228640000000002</v>
      </c>
      <c r="V5417">
        <v>4.1029450000000002E-2</v>
      </c>
      <c r="W5417">
        <v>0.10251200000000001</v>
      </c>
      <c r="X5417">
        <v>0.99388520000000002</v>
      </c>
      <c r="Y5417">
        <v>0.1199305</v>
      </c>
      <c r="Z5417">
        <v>-7.0150219999999897E-3</v>
      </c>
      <c r="AA5417">
        <v>0.99275749999999996</v>
      </c>
      <c r="AB5417">
        <v>27</v>
      </c>
      <c r="AC5417">
        <v>0.71069999999997402</v>
      </c>
      <c r="AD5417">
        <v>-7.7917E-2</v>
      </c>
      <c r="AE5417">
        <v>-9.2839999999998896E-2</v>
      </c>
      <c r="AF5417">
        <v>0.104473990817468</v>
      </c>
      <c r="AG5417">
        <v>-7.7917E-2</v>
      </c>
      <c r="AH5417">
        <v>0.70062024219622498</v>
      </c>
      <c r="AI5417">
        <v>96.277030831960602</v>
      </c>
      <c r="AJ5417">
        <v>81.5187515129183</v>
      </c>
      <c r="AK5417">
        <v>0.71263917757966799</v>
      </c>
      <c r="AL5417">
        <v>84.1161586907822</v>
      </c>
      <c r="AM5417">
        <v>87.636064738377897</v>
      </c>
      <c r="AN5417">
        <v>0.99999995834516997</v>
      </c>
    </row>
    <row r="5418" spans="1:40" x14ac:dyDescent="0.25">
      <c r="A5418" t="str">
        <f>"20190312151134936"</f>
        <v>20190312151134936</v>
      </c>
      <c r="B5418" t="str">
        <f>"1552374694927002"</f>
        <v>1552374694927002</v>
      </c>
      <c r="C5418" t="s">
        <v>40</v>
      </c>
      <c r="D5418">
        <v>5.2157030000000004</v>
      </c>
      <c r="E5418">
        <v>0.53034219999999999</v>
      </c>
      <c r="F5418" t="s">
        <v>41</v>
      </c>
      <c r="G5418">
        <v>-363.31040000000002</v>
      </c>
      <c r="H5418">
        <v>1.0241420000000001</v>
      </c>
      <c r="I5418">
        <v>15.261290000000001</v>
      </c>
      <c r="J5418">
        <v>-364.03550000000001</v>
      </c>
      <c r="K5418">
        <v>1.111138</v>
      </c>
      <c r="L5418">
        <v>15.36591</v>
      </c>
      <c r="M5418">
        <v>0.99975349999999996</v>
      </c>
      <c r="N5418">
        <v>0</v>
      </c>
      <c r="O5418">
        <v>1.9382969999999999E-2</v>
      </c>
      <c r="P5418">
        <v>0.99544359999999998</v>
      </c>
      <c r="Q5418">
        <v>9.2003630000000003E-2</v>
      </c>
      <c r="R5418">
        <v>-2.5047010000000001E-2</v>
      </c>
      <c r="S5418">
        <v>3.0315859999999999</v>
      </c>
      <c r="T5418">
        <v>-0.27711760000000002</v>
      </c>
      <c r="U5418">
        <v>-0.31582640000000001</v>
      </c>
      <c r="V5418">
        <v>4.4058050000000001E-2</v>
      </c>
      <c r="W5418">
        <v>0.10289429999999999</v>
      </c>
      <c r="X5418">
        <v>0.99371609999999999</v>
      </c>
      <c r="Y5418">
        <v>0.1222935</v>
      </c>
      <c r="Z5418">
        <v>-7.326679E-3</v>
      </c>
      <c r="AA5418">
        <v>0.99246690000000004</v>
      </c>
      <c r="AB5418">
        <v>27</v>
      </c>
      <c r="AC5418">
        <v>0.72509999999999697</v>
      </c>
      <c r="AD5418">
        <v>-8.6995999999999796E-2</v>
      </c>
      <c r="AE5418">
        <v>-0.104620000000002</v>
      </c>
      <c r="AF5418">
        <v>0.11700584151763101</v>
      </c>
      <c r="AG5418">
        <v>-8.6995999999999796E-2</v>
      </c>
      <c r="AH5418">
        <v>0.71288332112569697</v>
      </c>
      <c r="AI5418">
        <v>96.866650314545495</v>
      </c>
      <c r="AJ5418">
        <v>80.679124239223498</v>
      </c>
      <c r="AK5418">
        <v>0.72764091453439705</v>
      </c>
      <c r="AL5418">
        <v>84.094138423259494</v>
      </c>
      <c r="AM5418">
        <v>87.461359233445904</v>
      </c>
      <c r="AN5418">
        <v>1.00000001807075</v>
      </c>
    </row>
    <row r="5419" spans="1:40" x14ac:dyDescent="0.25">
      <c r="A5419" t="str">
        <f>"20190312151134949"</f>
        <v>20190312151134949</v>
      </c>
      <c r="B5419" t="str">
        <f>"1552374694947148"</f>
        <v>1552374694947148</v>
      </c>
      <c r="C5419" t="s">
        <v>40</v>
      </c>
      <c r="D5419">
        <v>5.2154889999999998</v>
      </c>
      <c r="E5419">
        <v>0.52990909999999902</v>
      </c>
      <c r="F5419" t="s">
        <v>41</v>
      </c>
      <c r="G5419">
        <v>-363.30149999999998</v>
      </c>
      <c r="H5419">
        <v>1.044071</v>
      </c>
      <c r="I5419">
        <v>15.288790000000001</v>
      </c>
      <c r="J5419">
        <v>-363.89690000000002</v>
      </c>
      <c r="K5419">
        <v>1.111129</v>
      </c>
      <c r="L5419">
        <v>15.36938</v>
      </c>
      <c r="M5419">
        <v>0.99973860000000003</v>
      </c>
      <c r="N5419">
        <v>0</v>
      </c>
      <c r="O5419">
        <v>2.0133290000000002E-2</v>
      </c>
      <c r="P5419">
        <v>0.99543159999999997</v>
      </c>
      <c r="Q5419">
        <v>9.1978580000000004E-2</v>
      </c>
      <c r="R5419">
        <v>-2.5609590000000002E-2</v>
      </c>
      <c r="S5419">
        <v>3.0312809999999999</v>
      </c>
      <c r="T5419">
        <v>-0.27695789999999998</v>
      </c>
      <c r="U5419">
        <v>-0.31851200000000002</v>
      </c>
      <c r="V5419">
        <v>4.5370300000000002E-2</v>
      </c>
      <c r="W5419">
        <v>0.10287109999999999</v>
      </c>
      <c r="X5419">
        <v>0.99365939999999997</v>
      </c>
      <c r="Y5419">
        <v>0.12390900000000001</v>
      </c>
      <c r="Z5419">
        <v>-7.4645769999999896E-3</v>
      </c>
      <c r="AA5419">
        <v>0.99226550000000002</v>
      </c>
      <c r="AB5419">
        <v>27</v>
      </c>
      <c r="AC5419">
        <v>0.59540000000004001</v>
      </c>
      <c r="AD5419">
        <v>-6.7058000000000006E-2</v>
      </c>
      <c r="AE5419">
        <v>-8.05900000000008E-2</v>
      </c>
      <c r="AF5419">
        <v>9.1422910315776498E-2</v>
      </c>
      <c r="AG5419">
        <v>-6.7058000000000006E-2</v>
      </c>
      <c r="AH5419">
        <v>0.58635271298609004</v>
      </c>
      <c r="AI5419">
        <v>96.447037051604298</v>
      </c>
      <c r="AJ5419">
        <v>81.137913698231202</v>
      </c>
      <c r="AK5419">
        <v>0.59721388791684604</v>
      </c>
      <c r="AL5419">
        <v>84.095474463830399</v>
      </c>
      <c r="AM5419">
        <v>87.385701329836195</v>
      </c>
      <c r="AN5419">
        <v>0.99999996527282897</v>
      </c>
    </row>
    <row r="5420" spans="1:40" x14ac:dyDescent="0.25">
      <c r="A5420" t="str">
        <f>"20190312151134960"</f>
        <v>20190312151134960</v>
      </c>
      <c r="B5420" t="str">
        <f>"1552374694956852"</f>
        <v>1552374694956852</v>
      </c>
      <c r="C5420" t="s">
        <v>40</v>
      </c>
      <c r="D5420">
        <v>5.2232699999999896</v>
      </c>
      <c r="E5420">
        <v>0.52939639999999999</v>
      </c>
      <c r="F5420" t="s">
        <v>41</v>
      </c>
      <c r="G5420">
        <v>-363.06029999999998</v>
      </c>
      <c r="H5420">
        <v>1.034672</v>
      </c>
      <c r="I5420">
        <v>15.281639999999999</v>
      </c>
      <c r="J5420">
        <v>-363.75420000000003</v>
      </c>
      <c r="K5420">
        <v>1.1111150000000001</v>
      </c>
      <c r="L5420">
        <v>15.373049999999999</v>
      </c>
      <c r="M5420">
        <v>0.99972300000000003</v>
      </c>
      <c r="N5420">
        <v>0</v>
      </c>
      <c r="O5420">
        <v>2.089939E-2</v>
      </c>
      <c r="P5420">
        <v>0.99535940000000001</v>
      </c>
      <c r="Q5420">
        <v>9.2511079999999996E-2</v>
      </c>
      <c r="R5420">
        <v>-2.6490240000000002E-2</v>
      </c>
      <c r="S5420">
        <v>3.0312190000000001</v>
      </c>
      <c r="T5420">
        <v>-0.27718150000000003</v>
      </c>
      <c r="U5420">
        <v>-0.31661990000000001</v>
      </c>
      <c r="V5420">
        <v>4.7013920000000001E-2</v>
      </c>
      <c r="W5420">
        <v>0.1034056</v>
      </c>
      <c r="X5420">
        <v>0.99352750000000001</v>
      </c>
      <c r="Y5420">
        <v>0.124054</v>
      </c>
      <c r="Z5420">
        <v>-7.5473140000000003E-3</v>
      </c>
      <c r="AA5420">
        <v>0.99224670000000004</v>
      </c>
      <c r="AB5420">
        <v>27</v>
      </c>
      <c r="AC5420">
        <v>0.69390000000004104</v>
      </c>
      <c r="AD5420">
        <v>-7.6442999999999803E-2</v>
      </c>
      <c r="AE5420">
        <v>-9.14099999999997E-2</v>
      </c>
      <c r="AF5420">
        <v>0.10464464623353099</v>
      </c>
      <c r="AG5420">
        <v>-7.6442999999999803E-2</v>
      </c>
      <c r="AH5420">
        <v>0.68368214798174698</v>
      </c>
      <c r="AI5420">
        <v>96.306937107791498</v>
      </c>
      <c r="AJ5420">
        <v>81.297823744918404</v>
      </c>
      <c r="AK5420">
        <v>0.69585581387473905</v>
      </c>
      <c r="AL5420">
        <v>84.0646856409317</v>
      </c>
      <c r="AM5420">
        <v>87.290773216608599</v>
      </c>
      <c r="AN5420">
        <v>0.99999996002068703</v>
      </c>
    </row>
    <row r="5421" spans="1:40" x14ac:dyDescent="0.25">
      <c r="A5421" t="str">
        <f>"20190312151134972"</f>
        <v>20190312151134972</v>
      </c>
      <c r="B5421" t="str">
        <f>"1552374694966612"</f>
        <v>1552374694966612</v>
      </c>
      <c r="C5421" t="s">
        <v>40</v>
      </c>
      <c r="D5421">
        <v>5.4400449999999996</v>
      </c>
      <c r="E5421">
        <v>0.52939639999999999</v>
      </c>
      <c r="F5421" t="s">
        <v>41</v>
      </c>
      <c r="G5421">
        <v>-362.81810000000002</v>
      </c>
      <c r="H5421">
        <v>1.0267219999999999</v>
      </c>
      <c r="I5421">
        <v>15.2758</v>
      </c>
      <c r="J5421">
        <v>-363.60149999999999</v>
      </c>
      <c r="K5421">
        <v>1.1110949999999999</v>
      </c>
      <c r="L5421">
        <v>15.377079999999999</v>
      </c>
      <c r="M5421">
        <v>0.99970570000000003</v>
      </c>
      <c r="N5421">
        <v>0</v>
      </c>
      <c r="O5421">
        <v>2.1703090000000001E-2</v>
      </c>
      <c r="P5421">
        <v>0.99533360000000004</v>
      </c>
      <c r="Q5421">
        <v>9.2589989999999997E-2</v>
      </c>
      <c r="R5421">
        <v>-2.7172720000000001E-2</v>
      </c>
      <c r="S5421">
        <v>3.0310060000000001</v>
      </c>
      <c r="T5421">
        <v>-0.27327669999999998</v>
      </c>
      <c r="U5421">
        <v>-0.3150635</v>
      </c>
      <c r="V5421">
        <v>4.8499069999999998E-2</v>
      </c>
      <c r="W5421">
        <v>0.1034858</v>
      </c>
      <c r="X5421">
        <v>0.99344779999999999</v>
      </c>
      <c r="Y5421">
        <v>0.12436700000000001</v>
      </c>
      <c r="Z5421">
        <v>-7.5283279999999999E-3</v>
      </c>
      <c r="AA5421">
        <v>0.99220770000000003</v>
      </c>
      <c r="AB5421">
        <v>28</v>
      </c>
      <c r="AC5421">
        <v>0.78339999999997101</v>
      </c>
      <c r="AD5421">
        <v>-8.4373000000000198E-2</v>
      </c>
      <c r="AE5421">
        <v>-0.101279999999999</v>
      </c>
      <c r="AF5421">
        <v>0.116925359944133</v>
      </c>
      <c r="AG5421">
        <v>-8.4373000000000198E-2</v>
      </c>
      <c r="AH5421">
        <v>0.77220725826896497</v>
      </c>
      <c r="AI5421">
        <v>96.165792172060094</v>
      </c>
      <c r="AJ5421">
        <v>81.389845476966698</v>
      </c>
      <c r="AK5421">
        <v>0.78555355810430805</v>
      </c>
      <c r="AL5421">
        <v>84.060065977944006</v>
      </c>
      <c r="AM5421">
        <v>87.205099636006494</v>
      </c>
      <c r="AN5421">
        <v>1.00000000095867</v>
      </c>
    </row>
    <row r="5422" spans="1:40" x14ac:dyDescent="0.25">
      <c r="A5422" t="str">
        <f>"20190312151134986"</f>
        <v>20190312151134986</v>
      </c>
      <c r="B5422" t="str">
        <f>"1552374694976372"</f>
        <v>1552374694976372</v>
      </c>
      <c r="C5422" t="s">
        <v>40</v>
      </c>
      <c r="D5422">
        <v>5.2200930000000003</v>
      </c>
      <c r="E5422">
        <v>0.52455209999999997</v>
      </c>
      <c r="F5422" t="s">
        <v>41</v>
      </c>
      <c r="G5422">
        <v>-362.81220000000002</v>
      </c>
      <c r="H5422">
        <v>1.0399890000000001</v>
      </c>
      <c r="I5422">
        <v>15.29457</v>
      </c>
      <c r="J5422">
        <v>-363.44909999999999</v>
      </c>
      <c r="K5422">
        <v>1.111081</v>
      </c>
      <c r="L5422">
        <v>15.38123</v>
      </c>
      <c r="M5422">
        <v>0.99968829999999997</v>
      </c>
      <c r="N5422">
        <v>0</v>
      </c>
      <c r="O5422">
        <v>2.24923E-2</v>
      </c>
      <c r="P5422">
        <v>0.99525810000000003</v>
      </c>
      <c r="Q5422">
        <v>9.3103350000000001E-2</v>
      </c>
      <c r="R5422">
        <v>-2.8162449999999999E-2</v>
      </c>
      <c r="S5422">
        <v>3.0307919999999999</v>
      </c>
      <c r="T5422">
        <v>-0.27304400000000001</v>
      </c>
      <c r="U5422">
        <v>-0.31707760000000001</v>
      </c>
      <c r="V5422">
        <v>5.0275E-2</v>
      </c>
      <c r="W5422">
        <v>0.1040008</v>
      </c>
      <c r="X5422">
        <v>0.99330569999999896</v>
      </c>
      <c r="Y5422">
        <v>0.12580160000000001</v>
      </c>
      <c r="Z5422">
        <v>-7.6573300000000004E-3</v>
      </c>
      <c r="AA5422">
        <v>0.99202590000000002</v>
      </c>
      <c r="AB5422">
        <v>28</v>
      </c>
      <c r="AC5422">
        <v>0.63689999999996805</v>
      </c>
      <c r="AD5422">
        <v>-7.1091999999999905E-2</v>
      </c>
      <c r="AE5422">
        <v>-8.6659999999996601E-2</v>
      </c>
      <c r="AF5422">
        <v>9.9744093757214894E-2</v>
      </c>
      <c r="AG5422">
        <v>-7.1091999999999905E-2</v>
      </c>
      <c r="AH5422">
        <v>0.627118039732665</v>
      </c>
      <c r="AI5422">
        <v>96.387992946132599</v>
      </c>
      <c r="AJ5422">
        <v>80.962716874521107</v>
      </c>
      <c r="AK5422">
        <v>0.63896791191857805</v>
      </c>
      <c r="AL5422">
        <v>84.030398430472999</v>
      </c>
      <c r="AM5422">
        <v>87.102514025223897</v>
      </c>
      <c r="AN5422">
        <v>0.99999997783906402</v>
      </c>
    </row>
    <row r="5423" spans="1:40" x14ac:dyDescent="0.25">
      <c r="A5423" t="str">
        <f>"20190312151135004"</f>
        <v>20190312151135004</v>
      </c>
      <c r="B5423" t="str">
        <f>"1552374694996867"</f>
        <v>1552374694996867</v>
      </c>
      <c r="C5423" t="s">
        <v>40</v>
      </c>
      <c r="D5423">
        <v>5.2020989999999996</v>
      </c>
      <c r="E5423">
        <v>0.52431709999999998</v>
      </c>
      <c r="F5423" t="s">
        <v>42</v>
      </c>
      <c r="G5423">
        <v>-343.9787</v>
      </c>
      <c r="H5423" s="1">
        <v>-3.6439500000000001E-6</v>
      </c>
      <c r="I5423">
        <v>13.5697299999999</v>
      </c>
      <c r="J5423">
        <v>-363.21159999999998</v>
      </c>
      <c r="K5423">
        <v>1.1110629999999999</v>
      </c>
      <c r="L5423">
        <v>15.38785</v>
      </c>
      <c r="M5423">
        <v>0.99966049999999995</v>
      </c>
      <c r="N5423">
        <v>0</v>
      </c>
      <c r="O5423">
        <v>2.3698029999999998E-2</v>
      </c>
      <c r="P5423">
        <v>0.99513419999999997</v>
      </c>
      <c r="Q5423">
        <v>9.3673149999999997E-2</v>
      </c>
      <c r="R5423">
        <v>-3.0552429999999998E-2</v>
      </c>
      <c r="S5423">
        <v>3.0224299999999999</v>
      </c>
      <c r="T5423">
        <v>-0.17247589999999999</v>
      </c>
      <c r="U5423">
        <v>-0.28118900000000002</v>
      </c>
      <c r="V5423">
        <v>5.3865730000000001E-2</v>
      </c>
      <c r="W5423">
        <v>0.1045765</v>
      </c>
      <c r="X5423">
        <v>0.99305699999999997</v>
      </c>
      <c r="Y5423">
        <v>0.1159801</v>
      </c>
      <c r="Z5423">
        <v>-4.6481109999999999E-3</v>
      </c>
      <c r="AA5423">
        <v>0.99324069999999998</v>
      </c>
      <c r="AB5423">
        <v>28</v>
      </c>
      <c r="AC5423">
        <v>19.232899999999901</v>
      </c>
      <c r="AD5423">
        <v>-1.1110666439500001</v>
      </c>
      <c r="AE5423">
        <v>-1.81812</v>
      </c>
      <c r="AF5423">
        <v>2.2659229082665102</v>
      </c>
      <c r="AG5423">
        <v>-1.1110666439500001</v>
      </c>
      <c r="AH5423">
        <v>19.121162462695601</v>
      </c>
      <c r="AI5423">
        <v>93.302470401919194</v>
      </c>
      <c r="AJ5423">
        <v>83.241772675859295</v>
      </c>
      <c r="AK5423">
        <v>19.286983425053901</v>
      </c>
      <c r="AL5423">
        <v>83.997232429492897</v>
      </c>
      <c r="AM5423">
        <v>86.895185801846296</v>
      </c>
      <c r="AN5423">
        <v>0.99999998323484096</v>
      </c>
    </row>
    <row r="5424" spans="1:40" x14ac:dyDescent="0.25">
      <c r="A5424" t="str">
        <f>"20190312151135017"</f>
        <v>20190312151135017</v>
      </c>
      <c r="B5424" t="str">
        <f>"1552374695006628"</f>
        <v>1552374695006628</v>
      </c>
      <c r="C5424" t="s">
        <v>40</v>
      </c>
      <c r="D5424">
        <v>5.2192819999999998</v>
      </c>
      <c r="E5424">
        <v>0.52407950000000003</v>
      </c>
      <c r="F5424" t="s">
        <v>42</v>
      </c>
      <c r="G5424">
        <v>-343.03960000000001</v>
      </c>
      <c r="H5424" s="1">
        <v>-4.0575389999999997E-6</v>
      </c>
      <c r="I5424">
        <v>13.475680000000001</v>
      </c>
      <c r="J5424">
        <v>-363.05970000000002</v>
      </c>
      <c r="K5424">
        <v>1.111048</v>
      </c>
      <c r="L5424">
        <v>15.39221</v>
      </c>
      <c r="M5424">
        <v>0.99964209999999998</v>
      </c>
      <c r="N5424">
        <v>0</v>
      </c>
      <c r="O5424">
        <v>2.4455640000000001E-2</v>
      </c>
      <c r="P5424">
        <v>0.99505770000000004</v>
      </c>
      <c r="Q5424">
        <v>9.4109010000000007E-2</v>
      </c>
      <c r="R5424">
        <v>-3.1679279999999997E-2</v>
      </c>
      <c r="S5424">
        <v>3.0215450000000001</v>
      </c>
      <c r="T5424">
        <v>-0.1664253</v>
      </c>
      <c r="U5424">
        <v>-0.28640749999999998</v>
      </c>
      <c r="V5424">
        <v>5.5746780000000003E-2</v>
      </c>
      <c r="W5424">
        <v>0.1050171</v>
      </c>
      <c r="X5424">
        <v>0.99290670000000003</v>
      </c>
      <c r="Y5424">
        <v>0.1184703</v>
      </c>
      <c r="Z5424">
        <v>-4.5962499999999996E-3</v>
      </c>
      <c r="AA5424">
        <v>0.99294700000000002</v>
      </c>
      <c r="AB5424">
        <v>28</v>
      </c>
      <c r="AC5424">
        <v>20.020099999999999</v>
      </c>
      <c r="AD5424">
        <v>-1.1110520575389999</v>
      </c>
      <c r="AE5424">
        <v>-1.9165300000000001</v>
      </c>
      <c r="AF5424">
        <v>2.3982705255026402</v>
      </c>
      <c r="AG5424">
        <v>-1.1110520575389999</v>
      </c>
      <c r="AH5424">
        <v>19.906485697170499</v>
      </c>
      <c r="AI5424">
        <v>93.171679945160406</v>
      </c>
      <c r="AJ5424">
        <v>83.130294931218401</v>
      </c>
      <c r="AK5424">
        <v>20.081192967543199</v>
      </c>
      <c r="AL5424">
        <v>83.971848264434001</v>
      </c>
      <c r="AM5424">
        <v>86.786500302960604</v>
      </c>
      <c r="AN5424">
        <v>1.00000000483883</v>
      </c>
    </row>
    <row r="5425" spans="1:40" x14ac:dyDescent="0.25">
      <c r="A5425" t="str">
        <f>"20190312151135031"</f>
        <v>20190312151135031</v>
      </c>
      <c r="B5425" t="str">
        <f>"1552374695027124"</f>
        <v>1552374695027124</v>
      </c>
      <c r="C5425" t="s">
        <v>40</v>
      </c>
      <c r="D5425">
        <v>5.2638339999999904</v>
      </c>
      <c r="E5425">
        <v>0.52337909999999999</v>
      </c>
      <c r="F5425" t="s">
        <v>42</v>
      </c>
      <c r="G5425">
        <v>-342.56229999999999</v>
      </c>
      <c r="H5425" s="1">
        <v>-4.2688480000000002E-6</v>
      </c>
      <c r="I5425">
        <v>13.438840000000001</v>
      </c>
      <c r="J5425">
        <v>-362.89440000000002</v>
      </c>
      <c r="K5425">
        <v>1.1110329999999999</v>
      </c>
      <c r="L5425">
        <v>15.397130000000001</v>
      </c>
      <c r="M5425">
        <v>0.99962220000000002</v>
      </c>
      <c r="N5425">
        <v>0</v>
      </c>
      <c r="O5425">
        <v>2.5259839999999999E-2</v>
      </c>
      <c r="P5425">
        <v>0.99501189999999995</v>
      </c>
      <c r="Q5425">
        <v>9.4201149999999997E-2</v>
      </c>
      <c r="R5425">
        <v>-3.2827389999999998E-2</v>
      </c>
      <c r="S5425">
        <v>3.02121</v>
      </c>
      <c r="T5425">
        <v>-0.1637622</v>
      </c>
      <c r="U5425">
        <v>-0.28790280000000001</v>
      </c>
      <c r="V5425">
        <v>5.7697199999999997E-2</v>
      </c>
      <c r="W5425">
        <v>0.10511570000000001</v>
      </c>
      <c r="X5425">
        <v>0.99278489999999997</v>
      </c>
      <c r="Y5425">
        <v>0.11977019999999999</v>
      </c>
      <c r="Z5425">
        <v>-4.6018070000000003E-3</v>
      </c>
      <c r="AA5425">
        <v>0.99279099999999998</v>
      </c>
      <c r="AB5425">
        <v>28</v>
      </c>
      <c r="AC5425">
        <v>20.332100000000001</v>
      </c>
      <c r="AD5425">
        <v>-1.1110372688479999</v>
      </c>
      <c r="AE5425">
        <v>-1.9582900000000001</v>
      </c>
      <c r="AF5425">
        <v>2.46399091486987</v>
      </c>
      <c r="AG5425">
        <v>-1.1110372688479999</v>
      </c>
      <c r="AH5425">
        <v>20.216331132229399</v>
      </c>
      <c r="AI5425">
        <v>93.122601988719694</v>
      </c>
      <c r="AJ5425">
        <v>83.050994992056602</v>
      </c>
      <c r="AK5425">
        <v>20.3962177741187</v>
      </c>
      <c r="AL5425">
        <v>83.966167837841198</v>
      </c>
      <c r="AM5425">
        <v>86.673910174531699</v>
      </c>
      <c r="AN5425">
        <v>1.00000006747116</v>
      </c>
    </row>
    <row r="5426" spans="1:40" x14ac:dyDescent="0.25">
      <c r="A5426" t="str">
        <f>"20190312151135050"</f>
        <v>20190312151135050</v>
      </c>
      <c r="B5426" t="str">
        <f>"1552374695046644"</f>
        <v>1552374695046644</v>
      </c>
      <c r="C5426" t="s">
        <v>40</v>
      </c>
      <c r="D5426">
        <v>5.2378169999999997</v>
      </c>
      <c r="E5426">
        <v>0.52340549999999997</v>
      </c>
      <c r="F5426" t="s">
        <v>42</v>
      </c>
      <c r="G5426">
        <v>-342.90859999999998</v>
      </c>
      <c r="H5426" s="1">
        <v>-4.1083759999999997E-6</v>
      </c>
      <c r="I5426">
        <v>13.505800000000001</v>
      </c>
      <c r="J5426">
        <v>-362.65260000000001</v>
      </c>
      <c r="K5426">
        <v>1.1110120000000001</v>
      </c>
      <c r="L5426">
        <v>15.40448</v>
      </c>
      <c r="M5426">
        <v>0.99959219999999904</v>
      </c>
      <c r="N5426">
        <v>0</v>
      </c>
      <c r="O5426">
        <v>2.641255E-2</v>
      </c>
      <c r="P5426">
        <v>0.99491689999999999</v>
      </c>
      <c r="Q5426">
        <v>9.4179620000000006E-2</v>
      </c>
      <c r="R5426">
        <v>-3.5644670000000003E-2</v>
      </c>
      <c r="S5426">
        <v>3.0214840000000001</v>
      </c>
      <c r="T5426">
        <v>-0.16796800000000001</v>
      </c>
      <c r="U5426">
        <v>-0.28591919999999998</v>
      </c>
      <c r="V5426">
        <v>6.1663610000000001E-2</v>
      </c>
      <c r="W5426">
        <v>0.1051077</v>
      </c>
      <c r="X5426">
        <v>0.99254719999999996</v>
      </c>
      <c r="Y5426">
        <v>0.1202471</v>
      </c>
      <c r="Z5426">
        <v>-4.7966629999999996E-3</v>
      </c>
      <c r="AA5426">
        <v>0.99273239999999996</v>
      </c>
      <c r="AB5426">
        <v>28</v>
      </c>
      <c r="AC5426">
        <v>19.744</v>
      </c>
      <c r="AD5426">
        <v>-1.111016108376</v>
      </c>
      <c r="AE5426">
        <v>-1.8986799999999899</v>
      </c>
      <c r="AF5426">
        <v>2.4119702698510301</v>
      </c>
      <c r="AG5426">
        <v>-1.111016108376</v>
      </c>
      <c r="AH5426">
        <v>19.625386040777101</v>
      </c>
      <c r="AI5426">
        <v>93.215977313970598</v>
      </c>
      <c r="AJ5426">
        <v>82.993454456269603</v>
      </c>
      <c r="AK5426">
        <v>19.804235269892299</v>
      </c>
      <c r="AL5426">
        <v>83.966628268896301</v>
      </c>
      <c r="AM5426">
        <v>86.444975557658395</v>
      </c>
      <c r="AN5426">
        <v>0.99999998681268099</v>
      </c>
    </row>
    <row r="5427" spans="1:40" x14ac:dyDescent="0.25">
      <c r="A5427" t="str">
        <f>"20190312151135071"</f>
        <v>20190312151135071</v>
      </c>
      <c r="B5427" t="str">
        <f>"1552374695067141"</f>
        <v>1552374695067141</v>
      </c>
      <c r="C5427" t="s">
        <v>40</v>
      </c>
      <c r="D5427">
        <v>5.2736369999999999</v>
      </c>
      <c r="E5427">
        <v>0.52311189999999996</v>
      </c>
      <c r="F5427" t="s">
        <v>42</v>
      </c>
      <c r="G5427">
        <v>-343.14319999999998</v>
      </c>
      <c r="H5427" s="1">
        <v>-4.0085230000000002E-6</v>
      </c>
      <c r="I5427">
        <v>13.501379999999999</v>
      </c>
      <c r="J5427">
        <v>-362.3963</v>
      </c>
      <c r="K5427">
        <v>1.1109929999999999</v>
      </c>
      <c r="L5427">
        <v>15.41254</v>
      </c>
      <c r="M5427">
        <v>0.99956009999999995</v>
      </c>
      <c r="N5427">
        <v>0</v>
      </c>
      <c r="O5427">
        <v>2.7599209999999999E-2</v>
      </c>
      <c r="P5427">
        <v>0.9947994</v>
      </c>
      <c r="Q5427">
        <v>9.4435140000000001E-2</v>
      </c>
      <c r="R5427">
        <v>-3.8162420000000002E-2</v>
      </c>
      <c r="S5427">
        <v>3.0209959999999998</v>
      </c>
      <c r="T5427">
        <v>-0.17203889999999999</v>
      </c>
      <c r="U5427">
        <v>-0.29467769999999999</v>
      </c>
      <c r="V5427">
        <v>6.5362890000000007E-2</v>
      </c>
      <c r="W5427">
        <v>0.1053775</v>
      </c>
      <c r="X5427">
        <v>0.99228190000000005</v>
      </c>
      <c r="Y5427">
        <v>0.12427199999999999</v>
      </c>
      <c r="Z5427">
        <v>-5.0944930000000003E-3</v>
      </c>
      <c r="AA5427">
        <v>0.99223510000000004</v>
      </c>
      <c r="AB5427">
        <v>28</v>
      </c>
      <c r="AC5427">
        <v>19.2531</v>
      </c>
      <c r="AD5427">
        <v>-1.1109970085230001</v>
      </c>
      <c r="AE5427">
        <v>-1.91116</v>
      </c>
      <c r="AF5427">
        <v>2.4338084322742</v>
      </c>
      <c r="AG5427">
        <v>-1.1109970085230001</v>
      </c>
      <c r="AH5427">
        <v>19.129937177938</v>
      </c>
      <c r="AI5427">
        <v>93.297277663513498</v>
      </c>
      <c r="AJ5427">
        <v>82.749489975205805</v>
      </c>
      <c r="AK5427">
        <v>19.316113332392</v>
      </c>
      <c r="AL5427">
        <v>83.951083906197894</v>
      </c>
      <c r="AM5427">
        <v>86.231297563594694</v>
      </c>
      <c r="AN5427">
        <v>1.0000000469815</v>
      </c>
    </row>
    <row r="5428" spans="1:40" x14ac:dyDescent="0.25">
      <c r="A5428" t="str">
        <f>"20190312151135083"</f>
        <v>20190312151135083</v>
      </c>
      <c r="B5428" t="str">
        <f>"1552374695076900"</f>
        <v>1552374695076900</v>
      </c>
      <c r="C5428" t="s">
        <v>40</v>
      </c>
      <c r="D5428">
        <v>5.2553109999999998</v>
      </c>
      <c r="E5428">
        <v>0.52310519999999905</v>
      </c>
      <c r="F5428" t="s">
        <v>42</v>
      </c>
      <c r="G5428">
        <v>-343.02260000000001</v>
      </c>
      <c r="H5428" s="1">
        <v>-4.0626150000000001E-6</v>
      </c>
      <c r="I5428">
        <v>13.488160000000001</v>
      </c>
      <c r="J5428">
        <v>-362.23849999999999</v>
      </c>
      <c r="K5428">
        <v>1.1109789999999999</v>
      </c>
      <c r="L5428">
        <v>15.417630000000001</v>
      </c>
      <c r="M5428">
        <v>0.99953999999999998</v>
      </c>
      <c r="N5428">
        <v>0</v>
      </c>
      <c r="O5428">
        <v>2.8314539999999999E-2</v>
      </c>
      <c r="P5428">
        <v>0.99471350000000003</v>
      </c>
      <c r="Q5428">
        <v>9.4763429999999996E-2</v>
      </c>
      <c r="R5428">
        <v>-3.9560940000000003E-2</v>
      </c>
      <c r="S5428">
        <v>3.0205989999999998</v>
      </c>
      <c r="T5428">
        <v>-0.17321729999999999</v>
      </c>
      <c r="U5428">
        <v>-0.30001830000000002</v>
      </c>
      <c r="V5428">
        <v>6.7472450000000003E-2</v>
      </c>
      <c r="W5428">
        <v>0.105716</v>
      </c>
      <c r="X5428">
        <v>0.9921046</v>
      </c>
      <c r="Y5428">
        <v>0.12672329999999901</v>
      </c>
      <c r="Z5428">
        <v>-5.2405280000000004E-3</v>
      </c>
      <c r="AA5428">
        <v>0.99192429999999998</v>
      </c>
      <c r="AB5428">
        <v>28</v>
      </c>
      <c r="AC5428">
        <v>19.215899999999898</v>
      </c>
      <c r="AD5428">
        <v>-1.1109830626149999</v>
      </c>
      <c r="AE5428">
        <v>-1.92946999999999</v>
      </c>
      <c r="AF5428">
        <v>2.4646614916527398</v>
      </c>
      <c r="AG5428">
        <v>-1.1109830626149999</v>
      </c>
      <c r="AH5428">
        <v>19.0903835556859</v>
      </c>
      <c r="AI5428">
        <v>93.303271516854196</v>
      </c>
      <c r="AJ5428">
        <v>82.643528440030593</v>
      </c>
      <c r="AK5428">
        <v>19.280860560074998</v>
      </c>
      <c r="AL5428">
        <v>83.931579881113393</v>
      </c>
      <c r="AM5428">
        <v>86.109338838582403</v>
      </c>
      <c r="AN5428">
        <v>0.99999997075308</v>
      </c>
    </row>
    <row r="5429" spans="1:40" x14ac:dyDescent="0.25">
      <c r="A5429" t="str">
        <f>"20190312151135095"</f>
        <v>20190312151135095</v>
      </c>
      <c r="B5429" t="str">
        <f>"1552374695086660"</f>
        <v>1552374695086660</v>
      </c>
      <c r="C5429" t="s">
        <v>40</v>
      </c>
      <c r="D5429">
        <v>5.2902829999999996</v>
      </c>
      <c r="E5429">
        <v>0.52305599999999997</v>
      </c>
      <c r="F5429" t="s">
        <v>42</v>
      </c>
      <c r="G5429">
        <v>-342.74200000000002</v>
      </c>
      <c r="H5429" s="1">
        <v>-4.1888569999999997E-6</v>
      </c>
      <c r="I5429">
        <v>13.45499</v>
      </c>
      <c r="J5429">
        <v>-362.09859999999998</v>
      </c>
      <c r="K5429">
        <v>1.11097</v>
      </c>
      <c r="L5429">
        <v>15.42224</v>
      </c>
      <c r="M5429">
        <v>0.99952189999999996</v>
      </c>
      <c r="N5429">
        <v>0</v>
      </c>
      <c r="O5429">
        <v>2.8939880000000001E-2</v>
      </c>
      <c r="P5429">
        <v>0.99461259999999996</v>
      </c>
      <c r="Q5429">
        <v>9.5260120000000004E-2</v>
      </c>
      <c r="R5429">
        <v>-4.0885360000000003E-2</v>
      </c>
      <c r="S5429">
        <v>3.0201720000000001</v>
      </c>
      <c r="T5429">
        <v>-0.17210049999999999</v>
      </c>
      <c r="U5429">
        <v>-0.30401610000000001</v>
      </c>
      <c r="V5429">
        <v>6.9417069999999997E-2</v>
      </c>
      <c r="W5429">
        <v>0.10622239999999999</v>
      </c>
      <c r="X5429">
        <v>0.99191640000000003</v>
      </c>
      <c r="Y5429">
        <v>0.12865660000000001</v>
      </c>
      <c r="Z5429">
        <v>-5.2976259999999997E-3</v>
      </c>
      <c r="AA5429">
        <v>0.99167510000000003</v>
      </c>
      <c r="AB5429">
        <v>28</v>
      </c>
      <c r="AC5429">
        <v>19.3566</v>
      </c>
      <c r="AD5429">
        <v>-1.1109741888569999</v>
      </c>
      <c r="AE5429">
        <v>-1.9672499999999999</v>
      </c>
      <c r="AF5429">
        <v>2.51842541170863</v>
      </c>
      <c r="AG5429">
        <v>-1.1109741888569999</v>
      </c>
      <c r="AH5429">
        <v>19.228860159270202</v>
      </c>
      <c r="AI5429">
        <v>93.278728139517</v>
      </c>
      <c r="AJ5429">
        <v>82.538378132735104</v>
      </c>
      <c r="AK5429">
        <v>19.424875629651201</v>
      </c>
      <c r="AL5429">
        <v>83.902401403721299</v>
      </c>
      <c r="AM5429">
        <v>85.996808721890901</v>
      </c>
      <c r="AN5429">
        <v>1.00000003622905</v>
      </c>
    </row>
    <row r="5430" spans="1:40" x14ac:dyDescent="0.25">
      <c r="A5430" t="str">
        <f>"20190312151135107"</f>
        <v>20190312151135107</v>
      </c>
      <c r="B5430" t="str">
        <f>"1552374695096420"</f>
        <v>1552374695096420</v>
      </c>
      <c r="C5430" t="s">
        <v>40</v>
      </c>
      <c r="D5430">
        <v>5.4228199999999998</v>
      </c>
      <c r="E5430">
        <v>0.52293869999999998</v>
      </c>
      <c r="F5430" t="s">
        <v>42</v>
      </c>
      <c r="G5430">
        <v>-342.53820000000002</v>
      </c>
      <c r="H5430" s="1">
        <v>-4.2805080000000001E-6</v>
      </c>
      <c r="I5430">
        <v>13.431150000000001</v>
      </c>
      <c r="J5430">
        <v>-361.95620000000002</v>
      </c>
      <c r="K5430">
        <v>1.1109639999999901</v>
      </c>
      <c r="L5430">
        <v>15.427029999999901</v>
      </c>
      <c r="M5430">
        <v>0.99950340000000004</v>
      </c>
      <c r="N5430">
        <v>0</v>
      </c>
      <c r="O5430">
        <v>2.9565600000000001E-2</v>
      </c>
      <c r="P5430">
        <v>0.99451610000000001</v>
      </c>
      <c r="Q5430">
        <v>9.5694689999999999E-2</v>
      </c>
      <c r="R5430">
        <v>-4.2191380000000001E-2</v>
      </c>
      <c r="S5430">
        <v>3.0200499999999999</v>
      </c>
      <c r="T5430">
        <v>-0.17153009999999999</v>
      </c>
      <c r="U5430">
        <v>-0.307403599999999</v>
      </c>
      <c r="V5430">
        <v>7.134356E-2</v>
      </c>
      <c r="W5430">
        <v>0.1066672</v>
      </c>
      <c r="X5430">
        <v>0.9917319</v>
      </c>
      <c r="Y5430">
        <v>0.1303801</v>
      </c>
      <c r="Z5430">
        <v>-5.3642350000000002E-3</v>
      </c>
      <c r="AA5430">
        <v>0.99144960000000004</v>
      </c>
      <c r="AB5430">
        <v>28</v>
      </c>
      <c r="AC5430">
        <v>19.417999999999999</v>
      </c>
      <c r="AD5430">
        <v>-1.1109682805079999</v>
      </c>
      <c r="AE5430">
        <v>-1.9958799999999901</v>
      </c>
      <c r="AF5430">
        <v>2.56085135074495</v>
      </c>
      <c r="AG5430">
        <v>-1.1109682805079999</v>
      </c>
      <c r="AH5430">
        <v>19.288020697989701</v>
      </c>
      <c r="AI5430">
        <v>93.267916089207802</v>
      </c>
      <c r="AJ5430">
        <v>82.437127729157396</v>
      </c>
      <c r="AK5430">
        <v>19.488970024272401</v>
      </c>
      <c r="AL5430">
        <v>83.876770267220806</v>
      </c>
      <c r="AM5430">
        <v>85.885324179867993</v>
      </c>
      <c r="AN5430">
        <v>0.99999997829346099</v>
      </c>
    </row>
    <row r="5431" spans="1:40" x14ac:dyDescent="0.25">
      <c r="A5431" t="str">
        <f>"20190312151135118"</f>
        <v>20190312151135118</v>
      </c>
      <c r="B5431" t="str">
        <f>"1552374695116916"</f>
        <v>1552374695116916</v>
      </c>
      <c r="C5431" t="s">
        <v>40</v>
      </c>
      <c r="D5431">
        <v>5.2983079999999996</v>
      </c>
      <c r="E5431">
        <v>0.52270640000000002</v>
      </c>
      <c r="F5431" t="s">
        <v>42</v>
      </c>
      <c r="G5431">
        <v>-342.2593</v>
      </c>
      <c r="H5431" s="1">
        <v>-4.405268E-6</v>
      </c>
      <c r="I5431">
        <v>13.402329999999999</v>
      </c>
      <c r="J5431">
        <v>-361.80369999999999</v>
      </c>
      <c r="K5431">
        <v>1.1109549999999999</v>
      </c>
      <c r="L5431">
        <v>15.43219</v>
      </c>
      <c r="M5431">
        <v>0.99948349999999997</v>
      </c>
      <c r="N5431">
        <v>0</v>
      </c>
      <c r="O5431">
        <v>3.0231060000000001E-2</v>
      </c>
      <c r="P5431">
        <v>0.99440119999999999</v>
      </c>
      <c r="Q5431">
        <v>9.6320119999999995E-2</v>
      </c>
      <c r="R5431">
        <v>-4.346063E-2</v>
      </c>
      <c r="S5431">
        <v>3.0197449999999999</v>
      </c>
      <c r="T5431">
        <v>-0.1703229</v>
      </c>
      <c r="U5431">
        <v>-0.31039430000000001</v>
      </c>
      <c r="V5431">
        <v>7.3271589999999998E-2</v>
      </c>
      <c r="W5431">
        <v>0.10730339999999999</v>
      </c>
      <c r="X5431">
        <v>0.99152269999999998</v>
      </c>
      <c r="Y5431">
        <v>0.13202179999999999</v>
      </c>
      <c r="Z5431">
        <v>-5.4103800000000002E-3</v>
      </c>
      <c r="AA5431">
        <v>0.991232</v>
      </c>
      <c r="AB5431">
        <v>28</v>
      </c>
      <c r="AC5431">
        <v>19.5444</v>
      </c>
      <c r="AD5431">
        <v>-1.1109594052680001</v>
      </c>
      <c r="AE5431">
        <v>-2.0298600000000002</v>
      </c>
      <c r="AF5431">
        <v>2.6114672582190801</v>
      </c>
      <c r="AG5431">
        <v>-1.1109594052680001</v>
      </c>
      <c r="AH5431">
        <v>19.4120443545843</v>
      </c>
      <c r="AI5431">
        <v>93.246307953888206</v>
      </c>
      <c r="AJ5431">
        <v>82.338102563417394</v>
      </c>
      <c r="AK5431">
        <v>19.6183959095858</v>
      </c>
      <c r="AL5431">
        <v>83.840108438756999</v>
      </c>
      <c r="AM5431">
        <v>85.773635964337501</v>
      </c>
      <c r="AN5431">
        <v>1.0000000050839799</v>
      </c>
    </row>
    <row r="5432" spans="1:40" x14ac:dyDescent="0.25">
      <c r="A5432" t="str">
        <f>"20190312151135130"</f>
        <v>20190312151135130</v>
      </c>
      <c r="B5432" t="str">
        <f>"1552374695126676"</f>
        <v>1552374695126676</v>
      </c>
      <c r="C5432" t="s">
        <v>40</v>
      </c>
      <c r="D5432">
        <v>5.2877609999999997</v>
      </c>
      <c r="E5432">
        <v>0.52266349999999995</v>
      </c>
      <c r="F5432" t="s">
        <v>42</v>
      </c>
      <c r="G5432">
        <v>-342.02480000000003</v>
      </c>
      <c r="H5432" s="1">
        <v>-4.508786E-6</v>
      </c>
      <c r="I5432">
        <v>13.38602</v>
      </c>
      <c r="J5432">
        <v>-361.6574</v>
      </c>
      <c r="K5432">
        <v>1.110948</v>
      </c>
      <c r="L5432">
        <v>15.43732</v>
      </c>
      <c r="M5432">
        <v>0.99946420000000002</v>
      </c>
      <c r="N5432">
        <v>0</v>
      </c>
      <c r="O5432">
        <v>3.0859009999999999E-2</v>
      </c>
      <c r="P5432">
        <v>0.99430490000000005</v>
      </c>
      <c r="Q5432">
        <v>9.6735020000000005E-2</v>
      </c>
      <c r="R5432">
        <v>-4.4729430000000001E-2</v>
      </c>
      <c r="S5432">
        <v>3.0196839999999998</v>
      </c>
      <c r="T5432">
        <v>-0.1696117</v>
      </c>
      <c r="U5432">
        <v>-0.31237789999999999</v>
      </c>
      <c r="V5432">
        <v>7.5161899999999907E-2</v>
      </c>
      <c r="W5432">
        <v>0.1077282</v>
      </c>
      <c r="X5432">
        <v>0.99133519999999997</v>
      </c>
      <c r="Y5432">
        <v>0.13328989999999999</v>
      </c>
      <c r="Z5432">
        <v>-5.4584150000000003E-3</v>
      </c>
      <c r="AA5432">
        <v>0.991062</v>
      </c>
      <c r="AB5432">
        <v>28</v>
      </c>
      <c r="AC5432">
        <v>19.632599999999901</v>
      </c>
      <c r="AD5432">
        <v>-1.1109525087859999</v>
      </c>
      <c r="AE5432">
        <v>-2.0512999999999901</v>
      </c>
      <c r="AF5432">
        <v>2.6478145924148802</v>
      </c>
      <c r="AG5432">
        <v>-1.1109525087859999</v>
      </c>
      <c r="AH5432">
        <v>19.498182999022699</v>
      </c>
      <c r="AI5432">
        <v>93.231433373834804</v>
      </c>
      <c r="AJ5432">
        <v>82.266652353043199</v>
      </c>
      <c r="AK5432">
        <v>19.708482383379</v>
      </c>
      <c r="AL5432">
        <v>83.815627733237406</v>
      </c>
      <c r="AM5432">
        <v>85.664195014242594</v>
      </c>
      <c r="AN5432">
        <v>1.0000000775229401</v>
      </c>
    </row>
    <row r="5433" spans="1:40" x14ac:dyDescent="0.25">
      <c r="A5433" t="str">
        <f>"20190312151135149"</f>
        <v>20190312151135149</v>
      </c>
      <c r="B5433" t="str">
        <f>"1552374695147172"</f>
        <v>1552374695147172</v>
      </c>
      <c r="C5433" t="s">
        <v>40</v>
      </c>
      <c r="D5433">
        <v>5.3081769999999997</v>
      </c>
      <c r="E5433">
        <v>0.52253340000000004</v>
      </c>
      <c r="F5433" t="s">
        <v>42</v>
      </c>
      <c r="G5433">
        <v>-341.88510000000002</v>
      </c>
      <c r="H5433" s="1">
        <v>-4.5718209999999999E-6</v>
      </c>
      <c r="I5433">
        <v>13.36849</v>
      </c>
      <c r="J5433">
        <v>-361.42750000000001</v>
      </c>
      <c r="K5433">
        <v>1.1109439999999999</v>
      </c>
      <c r="L5433">
        <v>15.44547</v>
      </c>
      <c r="M5433">
        <v>0.99943340000000003</v>
      </c>
      <c r="N5433">
        <v>0</v>
      </c>
      <c r="O5433">
        <v>3.183772E-2</v>
      </c>
      <c r="P5433">
        <v>0.99410520000000002</v>
      </c>
      <c r="Q5433">
        <v>9.7255069999999999E-2</v>
      </c>
      <c r="R5433">
        <v>-4.7926259999999998E-2</v>
      </c>
      <c r="S5433">
        <v>3.0194399999999999</v>
      </c>
      <c r="T5433">
        <v>-0.1696539</v>
      </c>
      <c r="U5433">
        <v>-0.31591799999999998</v>
      </c>
      <c r="V5433">
        <v>7.9325000000000007E-2</v>
      </c>
      <c r="W5433">
        <v>0.10826479999999999</v>
      </c>
      <c r="X5433">
        <v>0.99095219999999995</v>
      </c>
      <c r="Y5433">
        <v>0.1354129</v>
      </c>
      <c r="Z5433">
        <v>-5.5741460000000003E-3</v>
      </c>
      <c r="AA5433">
        <v>0.99077360000000003</v>
      </c>
      <c r="AB5433">
        <v>28</v>
      </c>
      <c r="AC5433">
        <v>19.542399999999901</v>
      </c>
      <c r="AD5433">
        <v>-1.1109485718209999</v>
      </c>
      <c r="AE5433">
        <v>-2.0769799999999998</v>
      </c>
      <c r="AF5433">
        <v>2.6895547364214001</v>
      </c>
      <c r="AG5433">
        <v>-1.1109485718209999</v>
      </c>
      <c r="AH5433">
        <v>19.4043527968376</v>
      </c>
      <c r="AI5433">
        <v>93.245789347721995</v>
      </c>
      <c r="AJ5433">
        <v>82.108753953938404</v>
      </c>
      <c r="AK5433">
        <v>19.621335807573701</v>
      </c>
      <c r="AL5433">
        <v>83.784701413700006</v>
      </c>
      <c r="AM5433">
        <v>85.423273752446704</v>
      </c>
      <c r="AN5433">
        <v>0.99999999261443995</v>
      </c>
    </row>
    <row r="5434" spans="1:40" x14ac:dyDescent="0.25">
      <c r="A5434" t="str">
        <f>"20190312151135171"</f>
        <v>20190312151135171</v>
      </c>
      <c r="B5434" t="str">
        <f>"1552374695166372"</f>
        <v>1552374695166372</v>
      </c>
      <c r="C5434" t="s">
        <v>40</v>
      </c>
      <c r="D5434">
        <v>5.302778</v>
      </c>
      <c r="E5434">
        <v>0.52291699999999997</v>
      </c>
      <c r="F5434" t="s">
        <v>41</v>
      </c>
      <c r="G5434">
        <v>-360.60640000000001</v>
      </c>
      <c r="H5434">
        <v>1.0150999999999999</v>
      </c>
      <c r="I5434">
        <v>15.35741</v>
      </c>
      <c r="J5434">
        <v>-361.15929999999997</v>
      </c>
      <c r="K5434">
        <v>1.110938</v>
      </c>
      <c r="L5434">
        <v>15.455229999999901</v>
      </c>
      <c r="M5434">
        <v>0.99939639999999996</v>
      </c>
      <c r="N5434">
        <v>0</v>
      </c>
      <c r="O5434">
        <v>3.2968959999999999E-2</v>
      </c>
      <c r="P5434">
        <v>0.99389919999999998</v>
      </c>
      <c r="Q5434">
        <v>9.7576709999999997E-2</v>
      </c>
      <c r="R5434">
        <v>-5.1412590000000001E-2</v>
      </c>
      <c r="S5434">
        <v>3.0368040000000001</v>
      </c>
      <c r="T5434">
        <v>-0.35453959999999901</v>
      </c>
      <c r="U5434">
        <v>-0.324768099999999</v>
      </c>
      <c r="V5434">
        <v>8.3927600000000005E-2</v>
      </c>
      <c r="W5434">
        <v>0.10860939999999999</v>
      </c>
      <c r="X5434">
        <v>0.99053530000000001</v>
      </c>
      <c r="Y5434">
        <v>0.13791529999999999</v>
      </c>
      <c r="Z5434">
        <v>-1.182742E-2</v>
      </c>
      <c r="AA5434">
        <v>0.99037339999999996</v>
      </c>
      <c r="AB5434">
        <v>28</v>
      </c>
      <c r="AC5434">
        <v>0.55289999999996498</v>
      </c>
      <c r="AD5434">
        <v>-9.5838000000000007E-2</v>
      </c>
      <c r="AE5434">
        <v>-9.7819999999998603E-2</v>
      </c>
      <c r="AF5434">
        <v>0.11271270071709</v>
      </c>
      <c r="AG5434">
        <v>-9.5838000000000007E-2</v>
      </c>
      <c r="AH5434">
        <v>0.533821929851233</v>
      </c>
      <c r="AI5434">
        <v>99.962872806926995</v>
      </c>
      <c r="AJ5434">
        <v>78.077518803320402</v>
      </c>
      <c r="AK5434">
        <v>0.55394487806733494</v>
      </c>
      <c r="AL5434">
        <v>83.764840294756596</v>
      </c>
      <c r="AM5434">
        <v>85.156922509764399</v>
      </c>
      <c r="AN5434">
        <v>1.0000000121781001</v>
      </c>
    </row>
    <row r="5435" spans="1:40" x14ac:dyDescent="0.25">
      <c r="A5435" t="str">
        <f>"20190312151135182"</f>
        <v>20190312151135182</v>
      </c>
      <c r="B5435" t="str">
        <f>"1552374695177108"</f>
        <v>1552374695177108</v>
      </c>
      <c r="C5435" t="s">
        <v>40</v>
      </c>
      <c r="D5435">
        <v>5.5079140000000004</v>
      </c>
      <c r="E5435">
        <v>0.52429669999999995</v>
      </c>
      <c r="F5435" t="s">
        <v>41</v>
      </c>
      <c r="G5435">
        <v>-360.35599999999999</v>
      </c>
      <c r="H5435">
        <v>1.0217149999999999</v>
      </c>
      <c r="I5435">
        <v>15.36576</v>
      </c>
      <c r="J5435">
        <v>-361.01900000000001</v>
      </c>
      <c r="K5435">
        <v>1.110938</v>
      </c>
      <c r="L5435">
        <v>15.46045</v>
      </c>
      <c r="M5435">
        <v>0.99937659999999995</v>
      </c>
      <c r="N5435">
        <v>0</v>
      </c>
      <c r="O5435">
        <v>3.3557749999999997E-2</v>
      </c>
      <c r="P5435">
        <v>0.99377349999999998</v>
      </c>
      <c r="Q5435">
        <v>9.7969230000000004E-2</v>
      </c>
      <c r="R5435">
        <v>-5.3068820000000003E-2</v>
      </c>
      <c r="S5435">
        <v>3.0339969999999998</v>
      </c>
      <c r="T5435">
        <v>-0.3370688</v>
      </c>
      <c r="U5435">
        <v>-0.33764650000000002</v>
      </c>
      <c r="V5435">
        <v>8.6162950000000002E-2</v>
      </c>
      <c r="W5435">
        <v>0.10901520000000001</v>
      </c>
      <c r="X5435">
        <v>0.99029869999999998</v>
      </c>
      <c r="Y5435">
        <v>0.14282349999999999</v>
      </c>
      <c r="Z5435">
        <v>-1.159203E-2</v>
      </c>
      <c r="AA5435">
        <v>0.98968029999999996</v>
      </c>
      <c r="AB5435">
        <v>28</v>
      </c>
      <c r="AC5435">
        <v>0.66300000000001003</v>
      </c>
      <c r="AD5435">
        <v>-8.9222999999999997E-2</v>
      </c>
      <c r="AE5435">
        <v>-9.4689999999999899E-2</v>
      </c>
      <c r="AF5435">
        <v>0.114848422870431</v>
      </c>
      <c r="AG5435">
        <v>-8.9222999999999997E-2</v>
      </c>
      <c r="AH5435">
        <v>0.64794876728365103</v>
      </c>
      <c r="AI5435">
        <v>97.7214916118362</v>
      </c>
      <c r="AJ5435">
        <v>79.948760214469999</v>
      </c>
      <c r="AK5435">
        <v>0.66406965672979601</v>
      </c>
      <c r="AL5435">
        <v>83.741450343900695</v>
      </c>
      <c r="AM5435">
        <v>85.027387017476698</v>
      </c>
      <c r="AN5435">
        <v>0.99999994150271398</v>
      </c>
    </row>
    <row r="5436" spans="1:40" x14ac:dyDescent="0.25">
      <c r="A5436" t="str">
        <f>"20190312151135194"</f>
        <v>20190312151135194</v>
      </c>
      <c r="B5436" t="str">
        <f>"1552374695186868"</f>
        <v>1552374695186868</v>
      </c>
      <c r="C5436" t="s">
        <v>40</v>
      </c>
      <c r="D5436">
        <v>5.8754140000000001</v>
      </c>
      <c r="E5436">
        <v>0.52429669999999995</v>
      </c>
      <c r="F5436" t="s">
        <v>41</v>
      </c>
      <c r="G5436">
        <v>-360.11340000000001</v>
      </c>
      <c r="H5436">
        <v>1.0099610000000001</v>
      </c>
      <c r="I5436">
        <v>15.354660000000001</v>
      </c>
      <c r="J5436">
        <v>-360.86790000000002</v>
      </c>
      <c r="K5436">
        <v>1.110941</v>
      </c>
      <c r="L5436">
        <v>15.466189999999999</v>
      </c>
      <c r="M5436">
        <v>0.99935499999999999</v>
      </c>
      <c r="N5436">
        <v>0</v>
      </c>
      <c r="O5436">
        <v>3.4190169999999999E-2</v>
      </c>
      <c r="P5436">
        <v>0.99366909999999997</v>
      </c>
      <c r="Q5436">
        <v>9.8107529999999998E-2</v>
      </c>
      <c r="R5436">
        <v>-5.4741680000000001E-2</v>
      </c>
      <c r="S5436">
        <v>3.0332949999999999</v>
      </c>
      <c r="T5436">
        <v>-0.33830830000000001</v>
      </c>
      <c r="U5436">
        <v>-0.35327150000000002</v>
      </c>
      <c r="V5436">
        <v>8.8458750000000003E-2</v>
      </c>
      <c r="W5436">
        <v>0.10916869999999999</v>
      </c>
      <c r="X5436">
        <v>0.99007940000000005</v>
      </c>
      <c r="Y5436">
        <v>0.14845929999999999</v>
      </c>
      <c r="Z5436">
        <v>-1.201618E-2</v>
      </c>
      <c r="AA5436">
        <v>0.98884550000000004</v>
      </c>
      <c r="AB5436">
        <v>28</v>
      </c>
      <c r="AC5436">
        <v>0.75450000000000705</v>
      </c>
      <c r="AD5436">
        <v>-0.100979999999999</v>
      </c>
      <c r="AE5436">
        <v>-0.11152999999999801</v>
      </c>
      <c r="AF5436">
        <v>0.13489815325951501</v>
      </c>
      <c r="AG5436">
        <v>-0.100979999999999</v>
      </c>
      <c r="AH5436">
        <v>0.73732064339557601</v>
      </c>
      <c r="AI5436">
        <v>97.672643632782396</v>
      </c>
      <c r="AJ5436">
        <v>79.631991164207093</v>
      </c>
      <c r="AK5436">
        <v>0.75633074995671901</v>
      </c>
      <c r="AL5436">
        <v>83.732602920817499</v>
      </c>
      <c r="AM5436">
        <v>84.894458723182098</v>
      </c>
      <c r="AN5436">
        <v>0.999999986907806</v>
      </c>
    </row>
    <row r="5437" spans="1:40" x14ac:dyDescent="0.25">
      <c r="A5437" t="str">
        <f>"20190312151135205"</f>
        <v>20190312151135205</v>
      </c>
      <c r="B5437" t="str">
        <f>"1552374695196628"</f>
        <v>1552374695196628</v>
      </c>
      <c r="C5437" t="s">
        <v>40</v>
      </c>
      <c r="D5437">
        <v>5.2362339999999996</v>
      </c>
      <c r="E5437">
        <v>0.52292280000000002</v>
      </c>
      <c r="F5437" t="s">
        <v>41</v>
      </c>
      <c r="G5437">
        <v>-360.10669999999999</v>
      </c>
      <c r="H5437">
        <v>1.0261309999999999</v>
      </c>
      <c r="I5437">
        <v>15.375959999999999</v>
      </c>
      <c r="J5437">
        <v>-360.73439999999999</v>
      </c>
      <c r="K5437">
        <v>1.110943</v>
      </c>
      <c r="L5437">
        <v>15.47134</v>
      </c>
      <c r="M5437">
        <v>0.99933559999999999</v>
      </c>
      <c r="N5437">
        <v>0</v>
      </c>
      <c r="O5437">
        <v>3.4749000000000002E-2</v>
      </c>
      <c r="P5437">
        <v>0.99353979999999997</v>
      </c>
      <c r="Q5437">
        <v>9.8575930000000006E-2</v>
      </c>
      <c r="R5437">
        <v>-5.6228569999999999E-2</v>
      </c>
      <c r="S5437">
        <v>3.0327449999999998</v>
      </c>
      <c r="T5437">
        <v>-0.33795710000000001</v>
      </c>
      <c r="U5437">
        <v>-0.35818480000000003</v>
      </c>
      <c r="V5437">
        <v>9.0493840000000006E-2</v>
      </c>
      <c r="W5437">
        <v>0.10965030000000001</v>
      </c>
      <c r="X5437">
        <v>0.98984220000000001</v>
      </c>
      <c r="Y5437">
        <v>0.15059829999999999</v>
      </c>
      <c r="Z5437">
        <v>-1.218516E-2</v>
      </c>
      <c r="AA5437">
        <v>0.98851990000000001</v>
      </c>
      <c r="AB5437">
        <v>28</v>
      </c>
      <c r="AC5437">
        <v>0.62770000000000403</v>
      </c>
      <c r="AD5437">
        <v>-8.4812000000000096E-2</v>
      </c>
      <c r="AE5437">
        <v>-9.5379999999998605E-2</v>
      </c>
      <c r="AF5437">
        <v>0.115082108955774</v>
      </c>
      <c r="AG5437">
        <v>-8.4812000000000096E-2</v>
      </c>
      <c r="AH5437">
        <v>0.61306663115051196</v>
      </c>
      <c r="AI5437">
        <v>97.742787106318005</v>
      </c>
      <c r="AJ5437">
        <v>79.368417311373804</v>
      </c>
      <c r="AK5437">
        <v>0.629513829376247</v>
      </c>
      <c r="AL5437">
        <v>83.704842401261502</v>
      </c>
      <c r="AM5437">
        <v>84.776397877001301</v>
      </c>
      <c r="AN5437">
        <v>0.99999995213443604</v>
      </c>
    </row>
    <row r="5438" spans="1:40" x14ac:dyDescent="0.25">
      <c r="A5438" t="str">
        <f>"20190312151135218"</f>
        <v>20190312151135218</v>
      </c>
      <c r="B5438" t="str">
        <f>"1552374695206390"</f>
        <v>1552374695206390</v>
      </c>
      <c r="C5438" t="s">
        <v>40</v>
      </c>
      <c r="D5438">
        <v>5.3065429999999996</v>
      </c>
      <c r="E5438">
        <v>0.52221549999999906</v>
      </c>
      <c r="F5438" t="s">
        <v>41</v>
      </c>
      <c r="G5438">
        <v>-359.86369999999999</v>
      </c>
      <c r="H5438">
        <v>1.015479</v>
      </c>
      <c r="I5438">
        <v>15.37044</v>
      </c>
      <c r="J5438">
        <v>-360.5865</v>
      </c>
      <c r="K5438">
        <v>1.1109439999999999</v>
      </c>
      <c r="L5438">
        <v>15.477080000000001</v>
      </c>
      <c r="M5438">
        <v>0.99931380000000003</v>
      </c>
      <c r="N5438">
        <v>0</v>
      </c>
      <c r="O5438">
        <v>3.5367790000000003E-2</v>
      </c>
      <c r="P5438">
        <v>0.9934115</v>
      </c>
      <c r="Q5438">
        <v>9.910368E-2</v>
      </c>
      <c r="R5438">
        <v>-5.7546890000000003E-2</v>
      </c>
      <c r="S5438">
        <v>3.0325929999999999</v>
      </c>
      <c r="T5438">
        <v>-0.33247949999999998</v>
      </c>
      <c r="U5438">
        <v>-0.3514099</v>
      </c>
      <c r="V5438">
        <v>9.2419440000000005E-2</v>
      </c>
      <c r="W5438">
        <v>0.110192</v>
      </c>
      <c r="X5438">
        <v>0.98960420000000004</v>
      </c>
      <c r="Y5438">
        <v>0.14907860000000001</v>
      </c>
      <c r="Z5438">
        <v>-1.1975599999999999E-2</v>
      </c>
      <c r="AA5438">
        <v>0.98875279999999999</v>
      </c>
      <c r="AB5438">
        <v>28</v>
      </c>
      <c r="AC5438">
        <v>0.72280000000000599</v>
      </c>
      <c r="AD5438">
        <v>-9.5465000000000105E-2</v>
      </c>
      <c r="AE5438">
        <v>-0.10664</v>
      </c>
      <c r="AF5438">
        <v>0.129920575946878</v>
      </c>
      <c r="AG5438">
        <v>-9.5465000000000105E-2</v>
      </c>
      <c r="AH5438">
        <v>0.70651384634318004</v>
      </c>
      <c r="AI5438">
        <v>97.569851579688205</v>
      </c>
      <c r="AJ5438">
        <v>79.580307761468802</v>
      </c>
      <c r="AK5438">
        <v>0.72467560836142597</v>
      </c>
      <c r="AL5438">
        <v>83.673616682948406</v>
      </c>
      <c r="AM5438">
        <v>84.664604977978698</v>
      </c>
      <c r="AN5438">
        <v>1.0000000512057701</v>
      </c>
    </row>
    <row r="5439" spans="1:40" x14ac:dyDescent="0.25">
      <c r="A5439" t="str">
        <f>"20190312151135230"</f>
        <v>20190312151135230</v>
      </c>
      <c r="B5439" t="str">
        <f>"1552374695226884"</f>
        <v>1552374695226884</v>
      </c>
      <c r="C5439" t="s">
        <v>40</v>
      </c>
      <c r="D5439">
        <v>5.2518520000000004</v>
      </c>
      <c r="E5439">
        <v>0.5206672</v>
      </c>
      <c r="F5439" t="s">
        <v>41</v>
      </c>
      <c r="G5439">
        <v>-359.8571</v>
      </c>
      <c r="H5439">
        <v>1.031374</v>
      </c>
      <c r="I5439">
        <v>15.393000000000001</v>
      </c>
      <c r="J5439">
        <v>-360.43119999999999</v>
      </c>
      <c r="K5439">
        <v>1.110948</v>
      </c>
      <c r="L5439">
        <v>15.483280000000001</v>
      </c>
      <c r="M5439">
        <v>0.99929040000000002</v>
      </c>
      <c r="N5439">
        <v>0</v>
      </c>
      <c r="O5439">
        <v>3.6018170000000002E-2</v>
      </c>
      <c r="P5439">
        <v>0.99331519999999995</v>
      </c>
      <c r="Q5439">
        <v>9.9192810000000006E-2</v>
      </c>
      <c r="R5439">
        <v>-5.9043449999999997E-2</v>
      </c>
      <c r="S5439">
        <v>3.0326230000000001</v>
      </c>
      <c r="T5439">
        <v>-0.33081250000000001</v>
      </c>
      <c r="U5439">
        <v>-0.34954829999999998</v>
      </c>
      <c r="V5439">
        <v>9.4555730000000004E-2</v>
      </c>
      <c r="W5439">
        <v>0.1102991</v>
      </c>
      <c r="X5439">
        <v>0.9893904</v>
      </c>
      <c r="Y5439">
        <v>0.1491287</v>
      </c>
      <c r="Z5439">
        <v>-1.198946E-2</v>
      </c>
      <c r="AA5439">
        <v>0.98874510000000004</v>
      </c>
      <c r="AB5439">
        <v>28</v>
      </c>
      <c r="AC5439">
        <v>0.57409999999998695</v>
      </c>
      <c r="AD5439">
        <v>-7.9574000000000006E-2</v>
      </c>
      <c r="AE5439">
        <v>-9.0279999999999902E-2</v>
      </c>
      <c r="AF5439">
        <v>0.108859781327258</v>
      </c>
      <c r="AG5439">
        <v>-7.9574000000000006E-2</v>
      </c>
      <c r="AH5439">
        <v>0.559976995744767</v>
      </c>
      <c r="AI5439">
        <v>97.941001012975903</v>
      </c>
      <c r="AJ5439">
        <v>78.998887897650107</v>
      </c>
      <c r="AK5439">
        <v>0.57598325429647201</v>
      </c>
      <c r="AL5439">
        <v>83.667442476083906</v>
      </c>
      <c r="AM5439">
        <v>84.540840574939097</v>
      </c>
      <c r="AN5439">
        <v>1.0000000205744</v>
      </c>
    </row>
    <row r="5440" spans="1:40" x14ac:dyDescent="0.25">
      <c r="A5440" t="str">
        <f>"20190312151135251"</f>
        <v>20190312151135251</v>
      </c>
      <c r="B5440" t="str">
        <f>"1552374695246404"</f>
        <v>1552374695246404</v>
      </c>
      <c r="C5440" t="s">
        <v>40</v>
      </c>
      <c r="D5440">
        <v>5.3424449999999997</v>
      </c>
      <c r="E5440">
        <v>0.51961729999999995</v>
      </c>
      <c r="F5440" t="s">
        <v>41</v>
      </c>
      <c r="G5440">
        <v>-359.61040000000003</v>
      </c>
      <c r="H5440">
        <v>1.0285200000000001</v>
      </c>
      <c r="I5440">
        <v>15.390650000000001</v>
      </c>
      <c r="J5440">
        <v>-360.16969999999998</v>
      </c>
      <c r="K5440">
        <v>1.110948</v>
      </c>
      <c r="L5440">
        <v>15.4939</v>
      </c>
      <c r="M5440">
        <v>0.99924999999999997</v>
      </c>
      <c r="N5440">
        <v>0</v>
      </c>
      <c r="O5440">
        <v>3.7114279999999999E-2</v>
      </c>
      <c r="P5440">
        <v>0.99308030000000003</v>
      </c>
      <c r="Q5440">
        <v>9.9875690000000003E-2</v>
      </c>
      <c r="R5440">
        <v>-6.1775770000000001E-2</v>
      </c>
      <c r="S5440">
        <v>3.0303040000000001</v>
      </c>
      <c r="T5440">
        <v>-0.3044366</v>
      </c>
      <c r="U5440">
        <v>-0.34146120000000002</v>
      </c>
      <c r="V5440">
        <v>9.8362350000000001E-2</v>
      </c>
      <c r="W5440">
        <v>0.1110119</v>
      </c>
      <c r="X5440">
        <v>0.98893949999999997</v>
      </c>
      <c r="Y5440">
        <v>0.14785909999999999</v>
      </c>
      <c r="Z5440">
        <v>-1.109458E-2</v>
      </c>
      <c r="AA5440">
        <v>0.9889462</v>
      </c>
      <c r="AB5440">
        <v>28</v>
      </c>
      <c r="AC5440">
        <v>0.55929999999994995</v>
      </c>
      <c r="AD5440">
        <v>-8.2427999999999904E-2</v>
      </c>
      <c r="AE5440">
        <v>-0.103249999999999</v>
      </c>
      <c r="AF5440">
        <v>0.121388470617178</v>
      </c>
      <c r="AG5440">
        <v>-8.2427999999999904E-2</v>
      </c>
      <c r="AH5440">
        <v>0.54366312131074801</v>
      </c>
      <c r="AI5440">
        <v>98.417112206628602</v>
      </c>
      <c r="AJ5440">
        <v>77.4135144518565</v>
      </c>
      <c r="AK5440">
        <v>0.563115552490005</v>
      </c>
      <c r="AL5440">
        <v>83.626349965824701</v>
      </c>
      <c r="AM5440">
        <v>84.319902630915195</v>
      </c>
      <c r="AN5440">
        <v>1.00000006424968</v>
      </c>
    </row>
    <row r="5441" spans="1:40" x14ac:dyDescent="0.25">
      <c r="A5441" t="str">
        <f>"20190312151135273"</f>
        <v>20190312151135273</v>
      </c>
      <c r="B5441" t="str">
        <f>"1552374695266431"</f>
        <v>1552374695266431</v>
      </c>
      <c r="C5441" t="s">
        <v>40</v>
      </c>
      <c r="D5441">
        <v>5.5485139999999999</v>
      </c>
      <c r="E5441">
        <v>0.51882870000000003</v>
      </c>
      <c r="F5441" t="s">
        <v>41</v>
      </c>
      <c r="G5441">
        <v>-359.35980000000001</v>
      </c>
      <c r="H5441">
        <v>1.0350779999999999</v>
      </c>
      <c r="I5441">
        <v>15.40255</v>
      </c>
      <c r="J5441">
        <v>-359.90519999999998</v>
      </c>
      <c r="K5441">
        <v>1.1109560000000001</v>
      </c>
      <c r="L5441">
        <v>15.504910000000001</v>
      </c>
      <c r="M5441">
        <v>0.99920770000000003</v>
      </c>
      <c r="N5441">
        <v>0</v>
      </c>
      <c r="O5441">
        <v>3.822677E-2</v>
      </c>
      <c r="P5441">
        <v>0.9928631</v>
      </c>
      <c r="Q5441">
        <v>0.10026110000000001</v>
      </c>
      <c r="R5441">
        <v>-6.4580769999999996E-2</v>
      </c>
      <c r="S5441">
        <v>3.0282290000000001</v>
      </c>
      <c r="T5441">
        <v>-0.28378300000000001</v>
      </c>
      <c r="U5441">
        <v>-0.34106449999999999</v>
      </c>
      <c r="V5441">
        <v>0.1022579</v>
      </c>
      <c r="W5441">
        <v>0.111429399999999</v>
      </c>
      <c r="X5441">
        <v>0.98849730000000002</v>
      </c>
      <c r="Y5441">
        <v>0.14901689999999901</v>
      </c>
      <c r="Z5441">
        <v>-1.051008E-2</v>
      </c>
      <c r="AA5441">
        <v>0.98877879999999996</v>
      </c>
      <c r="AB5441">
        <v>28</v>
      </c>
      <c r="AC5441">
        <v>0.54539999999997202</v>
      </c>
      <c r="AD5441">
        <v>-7.5877999999999807E-2</v>
      </c>
      <c r="AE5441">
        <v>-0.10236000000000001</v>
      </c>
      <c r="AF5441">
        <v>0.12087535120309301</v>
      </c>
      <c r="AG5441">
        <v>-7.5877999999999807E-2</v>
      </c>
      <c r="AH5441">
        <v>0.53115723633595902</v>
      </c>
      <c r="AI5441">
        <v>97.929865785642093</v>
      </c>
      <c r="AJ5441">
        <v>77.179549433944501</v>
      </c>
      <c r="AK5441">
        <v>0.54999666464854502</v>
      </c>
      <c r="AL5441">
        <v>83.602279553589099</v>
      </c>
      <c r="AM5441">
        <v>84.093884198797397</v>
      </c>
      <c r="AN5441">
        <v>1.0000000507020199</v>
      </c>
    </row>
    <row r="5442" spans="1:40" x14ac:dyDescent="0.25">
      <c r="A5442" t="str">
        <f>"20190312151135284"</f>
        <v>20190312151135284</v>
      </c>
      <c r="B5442" t="str">
        <f>"1552374695277167"</f>
        <v>1552374695277167</v>
      </c>
      <c r="C5442" t="s">
        <v>40</v>
      </c>
      <c r="D5442">
        <v>5.3085740000000001</v>
      </c>
      <c r="E5442">
        <v>0.51863349999999997</v>
      </c>
      <c r="F5442" t="s">
        <v>41</v>
      </c>
      <c r="G5442">
        <v>-359.10950000000003</v>
      </c>
      <c r="H5442">
        <v>1.040054</v>
      </c>
      <c r="I5442">
        <v>15.41452</v>
      </c>
      <c r="J5442">
        <v>-359.76609999999999</v>
      </c>
      <c r="K5442">
        <v>1.110954</v>
      </c>
      <c r="L5442">
        <v>15.510859999999999</v>
      </c>
      <c r="M5442">
        <v>0.99918499999999999</v>
      </c>
      <c r="N5442">
        <v>0</v>
      </c>
      <c r="O5442">
        <v>3.881308E-2</v>
      </c>
      <c r="P5442">
        <v>0.99275990000000003</v>
      </c>
      <c r="Q5442">
        <v>0.1003865</v>
      </c>
      <c r="R5442">
        <v>-6.5959249999999997E-2</v>
      </c>
      <c r="S5442">
        <v>3.0264890000000002</v>
      </c>
      <c r="T5442">
        <v>-0.26971329999999999</v>
      </c>
      <c r="U5442">
        <v>-0.34335329999999997</v>
      </c>
      <c r="V5442">
        <v>0.1042114</v>
      </c>
      <c r="W5442">
        <v>0.1115715</v>
      </c>
      <c r="X5442">
        <v>0.98827719999999997</v>
      </c>
      <c r="Y5442">
        <v>0.15046789999999999</v>
      </c>
      <c r="Z5442">
        <v>-1.0112700000000001E-2</v>
      </c>
      <c r="AA5442">
        <v>0.98856319999999998</v>
      </c>
      <c r="AB5442">
        <v>28</v>
      </c>
      <c r="AC5442">
        <v>0.65659999999996899</v>
      </c>
      <c r="AD5442">
        <v>-7.0899999999999894E-2</v>
      </c>
      <c r="AE5442">
        <v>-9.6339999999999607E-2</v>
      </c>
      <c r="AF5442">
        <v>0.12037961154224</v>
      </c>
      <c r="AG5442">
        <v>-7.0899999999999894E-2</v>
      </c>
      <c r="AH5442">
        <v>0.64500358990318896</v>
      </c>
      <c r="AI5442">
        <v>96.167227344183203</v>
      </c>
      <c r="AJ5442">
        <v>79.4282842421742</v>
      </c>
      <c r="AK5442">
        <v>0.65996037143381703</v>
      </c>
      <c r="AL5442">
        <v>83.594086537493297</v>
      </c>
      <c r="AM5442">
        <v>83.980545675877195</v>
      </c>
      <c r="AN5442">
        <v>1.0000000197710199</v>
      </c>
    </row>
    <row r="5443" spans="1:40" x14ac:dyDescent="0.25">
      <c r="A5443" t="str">
        <f>"20190312151135306"</f>
        <v>20190312151135306</v>
      </c>
      <c r="B5443" t="str">
        <f>"1552374695296687"</f>
        <v>1552374695296687</v>
      </c>
      <c r="C5443" t="s">
        <v>40</v>
      </c>
      <c r="D5443">
        <v>5.6841369999999998</v>
      </c>
      <c r="E5443">
        <v>0.51922520000000005</v>
      </c>
      <c r="F5443" t="s">
        <v>41</v>
      </c>
      <c r="G5443">
        <v>-358.86610000000002</v>
      </c>
      <c r="H5443">
        <v>1.0298799999999999</v>
      </c>
      <c r="I5443">
        <v>15.407909999999999</v>
      </c>
      <c r="J5443">
        <v>-359.4837</v>
      </c>
      <c r="K5443">
        <v>1.110959</v>
      </c>
      <c r="L5443">
        <v>15.523129999999901</v>
      </c>
      <c r="M5443">
        <v>0.99913779999999996</v>
      </c>
      <c r="N5443">
        <v>0</v>
      </c>
      <c r="O5443">
        <v>4.000488E-2</v>
      </c>
      <c r="P5443">
        <v>0.9926391</v>
      </c>
      <c r="Q5443">
        <v>9.9932099999999996E-2</v>
      </c>
      <c r="R5443">
        <v>-6.8423139999999993E-2</v>
      </c>
      <c r="S5443">
        <v>3.026459</v>
      </c>
      <c r="T5443">
        <v>-0.27267219999999998</v>
      </c>
      <c r="U5443">
        <v>-0.34603879999999998</v>
      </c>
      <c r="V5443">
        <v>0.1078491</v>
      </c>
      <c r="W5443">
        <v>0.1111545</v>
      </c>
      <c r="X5443">
        <v>0.98793379999999997</v>
      </c>
      <c r="Y5443">
        <v>0.1524847</v>
      </c>
      <c r="Z5443">
        <v>-1.042007E-2</v>
      </c>
      <c r="AA5443">
        <v>0.98825090000000004</v>
      </c>
      <c r="AB5443">
        <v>28</v>
      </c>
      <c r="AC5443">
        <v>0.61759999999998105</v>
      </c>
      <c r="AD5443">
        <v>-8.1079000000000095E-2</v>
      </c>
      <c r="AE5443">
        <v>-0.11521999999999701</v>
      </c>
      <c r="AF5443">
        <v>0.137545475120359</v>
      </c>
      <c r="AG5443">
        <v>-8.1079000000000095E-2</v>
      </c>
      <c r="AH5443">
        <v>0.602461912908826</v>
      </c>
      <c r="AI5443">
        <v>97.474711323657402</v>
      </c>
      <c r="AJ5443">
        <v>77.139469691888806</v>
      </c>
      <c r="AK5443">
        <v>0.62325991245454504</v>
      </c>
      <c r="AL5443">
        <v>83.618128117914196</v>
      </c>
      <c r="AM5443">
        <v>83.769900907049205</v>
      </c>
      <c r="AN5443">
        <v>0.99999997221174897</v>
      </c>
    </row>
    <row r="5444" spans="1:40" x14ac:dyDescent="0.25">
      <c r="A5444" t="str">
        <f>"20190312151135319"</f>
        <v>20190312151135319</v>
      </c>
      <c r="B5444" t="str">
        <f>"1552374695306448"</f>
        <v>1552374695306448</v>
      </c>
      <c r="C5444" t="s">
        <v>40</v>
      </c>
      <c r="D5444">
        <v>5.3143520000000004</v>
      </c>
      <c r="E5444">
        <v>0.51922520000000005</v>
      </c>
      <c r="F5444" t="s">
        <v>41</v>
      </c>
      <c r="G5444">
        <v>-358.61750000000001</v>
      </c>
      <c r="H5444">
        <v>1.031612</v>
      </c>
      <c r="I5444">
        <v>15.42022</v>
      </c>
      <c r="J5444">
        <v>-359.33819999999997</v>
      </c>
      <c r="K5444">
        <v>1.1109599999999999</v>
      </c>
      <c r="L5444">
        <v>15.529540000000001</v>
      </c>
      <c r="M5444">
        <v>0.99911260000000002</v>
      </c>
      <c r="N5444">
        <v>0</v>
      </c>
      <c r="O5444">
        <v>4.0619599999999999E-2</v>
      </c>
      <c r="P5444">
        <v>0.99255579999999999</v>
      </c>
      <c r="Q5444">
        <v>9.9925920000000001E-2</v>
      </c>
      <c r="R5444">
        <v>-6.9627759999999997E-2</v>
      </c>
      <c r="S5444">
        <v>3.0254819999999998</v>
      </c>
      <c r="T5444">
        <v>-0.27721570000000001</v>
      </c>
      <c r="U5444">
        <v>-0.35830689999999998</v>
      </c>
      <c r="V5444">
        <v>0.1096577</v>
      </c>
      <c r="W5444">
        <v>0.1111678</v>
      </c>
      <c r="X5444">
        <v>0.98773319999999998</v>
      </c>
      <c r="Y5444">
        <v>0.15703349999999999</v>
      </c>
      <c r="Z5444">
        <v>-1.085727E-2</v>
      </c>
      <c r="AA5444">
        <v>0.98753360000000001</v>
      </c>
      <c r="AB5444">
        <v>28</v>
      </c>
      <c r="AC5444">
        <v>0.72069999999996504</v>
      </c>
      <c r="AD5444">
        <v>-7.9347999999999905E-2</v>
      </c>
      <c r="AE5444">
        <v>-0.109319999999998</v>
      </c>
      <c r="AF5444">
        <v>0.13688417910949</v>
      </c>
      <c r="AG5444">
        <v>-7.9347999999999905E-2</v>
      </c>
      <c r="AH5444">
        <v>0.707283668758522</v>
      </c>
      <c r="AI5444">
        <v>96.285403015410495</v>
      </c>
      <c r="AJ5444">
        <v>79.046674010220997</v>
      </c>
      <c r="AK5444">
        <v>0.72476449394751197</v>
      </c>
      <c r="AL5444">
        <v>83.617361398714394</v>
      </c>
      <c r="AM5444">
        <v>83.664990130483801</v>
      </c>
      <c r="AN5444">
        <v>0.99999998265418399</v>
      </c>
    </row>
    <row r="5445" spans="1:40" x14ac:dyDescent="0.25">
      <c r="A5445" t="str">
        <f>"20190312151135338"</f>
        <v>20190312151135338</v>
      </c>
      <c r="B5445" t="str">
        <f>"1552374695326943"</f>
        <v>1552374695326943</v>
      </c>
      <c r="C5445" t="s">
        <v>40</v>
      </c>
      <c r="D5445">
        <v>5.3515949999999997</v>
      </c>
      <c r="E5445">
        <v>0.51860829999999902</v>
      </c>
      <c r="F5445" t="s">
        <v>41</v>
      </c>
      <c r="G5445">
        <v>-358.37290000000002</v>
      </c>
      <c r="H5445">
        <v>1.022508</v>
      </c>
      <c r="I5445">
        <v>15.413819999999999</v>
      </c>
      <c r="J5445">
        <v>-359.08600000000001</v>
      </c>
      <c r="K5445">
        <v>1.1109610000000001</v>
      </c>
      <c r="L5445">
        <v>15.54095</v>
      </c>
      <c r="M5445">
        <v>0.99906839999999997</v>
      </c>
      <c r="N5445">
        <v>0</v>
      </c>
      <c r="O5445">
        <v>4.1686069999999999E-2</v>
      </c>
      <c r="P5445">
        <v>0.99241509999999999</v>
      </c>
      <c r="Q5445">
        <v>9.9613889999999997E-2</v>
      </c>
      <c r="R5445">
        <v>-7.2040569999999998E-2</v>
      </c>
      <c r="S5445">
        <v>3.0250240000000002</v>
      </c>
      <c r="T5445">
        <v>-0.27725569999999999</v>
      </c>
      <c r="U5445">
        <v>-0.36196899999999999</v>
      </c>
      <c r="V5445">
        <v>0.1131181</v>
      </c>
      <c r="W5445">
        <v>0.11088919999999999</v>
      </c>
      <c r="X5445">
        <v>0.98737419999999998</v>
      </c>
      <c r="Y5445">
        <v>0.15926940000000001</v>
      </c>
      <c r="Z5445">
        <v>-1.105885E-2</v>
      </c>
      <c r="AA5445">
        <v>0.98717319999999997</v>
      </c>
      <c r="AB5445">
        <v>28</v>
      </c>
      <c r="AC5445">
        <v>0.71309999999999696</v>
      </c>
      <c r="AD5445">
        <v>-8.8453000000000101E-2</v>
      </c>
      <c r="AE5445">
        <v>-0.12712999999999899</v>
      </c>
      <c r="AF5445">
        <v>0.15444459051127099</v>
      </c>
      <c r="AG5445">
        <v>-8.8453000000000101E-2</v>
      </c>
      <c r="AH5445">
        <v>0.69678965885436595</v>
      </c>
      <c r="AI5445">
        <v>97.064965226903794</v>
      </c>
      <c r="AJ5445">
        <v>77.502348001805998</v>
      </c>
      <c r="AK5445">
        <v>0.71916124300018902</v>
      </c>
      <c r="AL5445">
        <v>83.633423197742005</v>
      </c>
      <c r="AM5445">
        <v>83.464427518704696</v>
      </c>
      <c r="AN5445">
        <v>0.99999996502494404</v>
      </c>
    </row>
    <row r="5446" spans="1:40" x14ac:dyDescent="0.25">
      <c r="A5446" t="str">
        <f>"20190312151135350"</f>
        <v>20190312151135350</v>
      </c>
      <c r="B5446" t="str">
        <f>"1552374695346464"</f>
        <v>1552374695346464</v>
      </c>
      <c r="C5446" t="s">
        <v>40</v>
      </c>
      <c r="D5446">
        <v>5.2824350000000004</v>
      </c>
      <c r="E5446">
        <v>0.51812950000000002</v>
      </c>
      <c r="F5446" t="s">
        <v>41</v>
      </c>
      <c r="G5446">
        <v>-358.12569999999999</v>
      </c>
      <c r="H5446">
        <v>1.0210060000000001</v>
      </c>
      <c r="I5446">
        <v>15.42496</v>
      </c>
      <c r="J5446">
        <v>-358.9427</v>
      </c>
      <c r="K5446">
        <v>1.1109639999999901</v>
      </c>
      <c r="L5446">
        <v>15.5475799999999</v>
      </c>
      <c r="M5446">
        <v>0.9990426</v>
      </c>
      <c r="N5446">
        <v>0</v>
      </c>
      <c r="O5446">
        <v>4.2292209999999997E-2</v>
      </c>
      <c r="P5446">
        <v>0.99234739999999999</v>
      </c>
      <c r="Q5446">
        <v>9.9431900000000004E-2</v>
      </c>
      <c r="R5446">
        <v>-7.3213139999999996E-2</v>
      </c>
      <c r="S5446">
        <v>3.0249329999999999</v>
      </c>
      <c r="T5446">
        <v>-0.28345740000000003</v>
      </c>
      <c r="U5446">
        <v>-0.36444090000000001</v>
      </c>
      <c r="V5446">
        <v>0.11488669999999999</v>
      </c>
      <c r="W5446">
        <v>0.11072709999999999</v>
      </c>
      <c r="X5446">
        <v>0.98718819999999996</v>
      </c>
      <c r="Y5446">
        <v>0.16062089999999901</v>
      </c>
      <c r="Z5446">
        <v>-1.1424449999999999E-2</v>
      </c>
      <c r="AA5446">
        <v>0.98694999999999999</v>
      </c>
      <c r="AB5446">
        <v>28</v>
      </c>
      <c r="AC5446">
        <v>0.81700000000000705</v>
      </c>
      <c r="AD5446">
        <v>-8.9957999999999899E-2</v>
      </c>
      <c r="AE5446">
        <v>-0.122619999999997</v>
      </c>
      <c r="AF5446">
        <v>0.15522473379374399</v>
      </c>
      <c r="AG5446">
        <v>-8.9957999999999899E-2</v>
      </c>
      <c r="AH5446">
        <v>0.80157870860969005</v>
      </c>
      <c r="AI5446">
        <v>96.2874426997423</v>
      </c>
      <c r="AJ5446">
        <v>79.040393427560403</v>
      </c>
      <c r="AK5446">
        <v>0.82141072907633506</v>
      </c>
      <c r="AL5446">
        <v>83.642768574290201</v>
      </c>
      <c r="AM5446">
        <v>83.361909292444395</v>
      </c>
      <c r="AN5446">
        <v>0.99999999336526901</v>
      </c>
    </row>
    <row r="5447" spans="1:40" x14ac:dyDescent="0.25">
      <c r="A5447" t="str">
        <f>"20190312151135362"</f>
        <v>20190312151135362</v>
      </c>
      <c r="B5447" t="str">
        <f>"1552374695357200"</f>
        <v>1552374695357200</v>
      </c>
      <c r="C5447" t="s">
        <v>40</v>
      </c>
      <c r="D5447">
        <v>5.485773</v>
      </c>
      <c r="E5447">
        <v>0.5182194</v>
      </c>
      <c r="F5447" t="s">
        <v>41</v>
      </c>
      <c r="G5447">
        <v>-358.12189999999998</v>
      </c>
      <c r="H5447">
        <v>1.031849</v>
      </c>
      <c r="I5447">
        <v>15.44849</v>
      </c>
      <c r="J5447">
        <v>-358.79910000000001</v>
      </c>
      <c r="K5447">
        <v>1.110965</v>
      </c>
      <c r="L5447">
        <v>15.554259999999999</v>
      </c>
      <c r="M5447">
        <v>0.99901660000000003</v>
      </c>
      <c r="N5447">
        <v>0</v>
      </c>
      <c r="O5447">
        <v>4.2899600000000003E-2</v>
      </c>
      <c r="P5447">
        <v>0.99227810000000005</v>
      </c>
      <c r="Q5447">
        <v>9.9178870000000002E-2</v>
      </c>
      <c r="R5447">
        <v>-7.4485090000000004E-2</v>
      </c>
      <c r="S5447">
        <v>3.025452</v>
      </c>
      <c r="T5447">
        <v>-0.291751599999999</v>
      </c>
      <c r="U5447">
        <v>-0.36413570000000001</v>
      </c>
      <c r="V5447">
        <v>0.1167559</v>
      </c>
      <c r="W5447">
        <v>0.11049440000000001</v>
      </c>
      <c r="X5447">
        <v>0.98699499999999996</v>
      </c>
      <c r="Y5447">
        <v>0.1610462</v>
      </c>
      <c r="Z5447">
        <v>-1.1833959999999999E-2</v>
      </c>
      <c r="AA5447">
        <v>0.98687590000000003</v>
      </c>
      <c r="AB5447">
        <v>28</v>
      </c>
      <c r="AC5447">
        <v>0.677200000000027</v>
      </c>
      <c r="AD5447">
        <v>-7.9115999999999895E-2</v>
      </c>
      <c r="AE5447">
        <v>-0.105770000000001</v>
      </c>
      <c r="AF5447">
        <v>0.13295458836371299</v>
      </c>
      <c r="AG5447">
        <v>-7.9115999999999895E-2</v>
      </c>
      <c r="AH5447">
        <v>0.66320234459476102</v>
      </c>
      <c r="AI5447">
        <v>96.671380626250695</v>
      </c>
      <c r="AJ5447">
        <v>78.663976060335997</v>
      </c>
      <c r="AK5447">
        <v>0.68100926124315797</v>
      </c>
      <c r="AL5447">
        <v>83.656183925113297</v>
      </c>
      <c r="AM5447">
        <v>83.253587030768003</v>
      </c>
      <c r="AN5447">
        <v>1.0000000413205801</v>
      </c>
    </row>
    <row r="5448" spans="1:40" x14ac:dyDescent="0.25">
      <c r="A5448" t="str">
        <f>"20190312151135373"</f>
        <v>20190312151135373</v>
      </c>
      <c r="B5448" t="str">
        <f>"1552374695366959"</f>
        <v>1552374695366959</v>
      </c>
      <c r="C5448" t="s">
        <v>40</v>
      </c>
      <c r="D5448">
        <v>5.3554219999999999</v>
      </c>
      <c r="E5448">
        <v>0.51789470000000004</v>
      </c>
      <c r="F5448" t="s">
        <v>41</v>
      </c>
      <c r="G5448">
        <v>-357.87819999999999</v>
      </c>
      <c r="H5448">
        <v>1.0206980000000001</v>
      </c>
      <c r="I5448">
        <v>15.441979999999999</v>
      </c>
      <c r="J5448">
        <v>-358.64729999999997</v>
      </c>
      <c r="K5448">
        <v>1.110965</v>
      </c>
      <c r="L5448">
        <v>15.56143</v>
      </c>
      <c r="M5448">
        <v>0.99898849999999995</v>
      </c>
      <c r="N5448">
        <v>0</v>
      </c>
      <c r="O5448">
        <v>4.3541969999999999E-2</v>
      </c>
      <c r="P5448">
        <v>0.99221150000000002</v>
      </c>
      <c r="Q5448">
        <v>9.9072599999999997E-2</v>
      </c>
      <c r="R5448">
        <v>-7.550482E-2</v>
      </c>
      <c r="S5448">
        <v>3.0253299999999999</v>
      </c>
      <c r="T5448">
        <v>-0.29656329999999997</v>
      </c>
      <c r="U5448">
        <v>-0.3686218</v>
      </c>
      <c r="V5448">
        <v>0.118407</v>
      </c>
      <c r="W5448">
        <v>0.11040999999999999</v>
      </c>
      <c r="X5448">
        <v>0.98680769999999995</v>
      </c>
      <c r="Y5448">
        <v>0.1630838</v>
      </c>
      <c r="Z5448">
        <v>-1.218956E-2</v>
      </c>
      <c r="AA5448">
        <v>0.98653690000000005</v>
      </c>
      <c r="AB5448">
        <v>28</v>
      </c>
      <c r="AC5448">
        <v>0.76909999999998002</v>
      </c>
      <c r="AD5448">
        <v>-9.0267000000000097E-2</v>
      </c>
      <c r="AE5448">
        <v>-0.11945</v>
      </c>
      <c r="AF5448">
        <v>0.150798611427817</v>
      </c>
      <c r="AG5448">
        <v>-9.0267000000000097E-2</v>
      </c>
      <c r="AH5448">
        <v>0.75304025182048795</v>
      </c>
      <c r="AI5448">
        <v>96.703592433723401</v>
      </c>
      <c r="AJ5448">
        <v>78.676126840540206</v>
      </c>
      <c r="AK5448">
        <v>0.77327742328314597</v>
      </c>
      <c r="AL5448">
        <v>83.661049267468499</v>
      </c>
      <c r="AM5448">
        <v>83.157794613263803</v>
      </c>
      <c r="AN5448">
        <v>1.0000000112641401</v>
      </c>
    </row>
    <row r="5449" spans="1:40" x14ac:dyDescent="0.25">
      <c r="A5449" t="str">
        <f>"20190312151135385"</f>
        <v>20190312151135385</v>
      </c>
      <c r="B5449" t="str">
        <f>"1552374695376719"</f>
        <v>1552374695376719</v>
      </c>
      <c r="C5449" t="s">
        <v>40</v>
      </c>
      <c r="D5449">
        <v>5.3022260000000001</v>
      </c>
      <c r="E5449">
        <v>0.5176153</v>
      </c>
      <c r="F5449" t="s">
        <v>41</v>
      </c>
      <c r="G5449">
        <v>-357.87299999999999</v>
      </c>
      <c r="H5449">
        <v>1.0347139999999999</v>
      </c>
      <c r="I5449">
        <v>15.46691</v>
      </c>
      <c r="J5449">
        <v>-358.50959999999998</v>
      </c>
      <c r="K5449">
        <v>1.1109659999999999</v>
      </c>
      <c r="L5449">
        <v>15.568049999999999</v>
      </c>
      <c r="M5449">
        <v>0.99896269999999998</v>
      </c>
      <c r="N5449">
        <v>0</v>
      </c>
      <c r="O5449">
        <v>4.4124259999999998E-2</v>
      </c>
      <c r="P5449">
        <v>0.99215379999999997</v>
      </c>
      <c r="Q5449">
        <v>9.8770510000000006E-2</v>
      </c>
      <c r="R5449">
        <v>-7.6649679999999998E-2</v>
      </c>
      <c r="S5449">
        <v>3.0251769999999998</v>
      </c>
      <c r="T5449">
        <v>-0.29793890000000001</v>
      </c>
      <c r="U5449">
        <v>-0.36901859999999997</v>
      </c>
      <c r="V5449">
        <v>0.1201245</v>
      </c>
      <c r="W5449">
        <v>0.11012950000000001</v>
      </c>
      <c r="X5449">
        <v>0.98663149999999999</v>
      </c>
      <c r="Y5449">
        <v>0.16377700000000001</v>
      </c>
      <c r="Z5449">
        <v>-1.2337330000000001E-2</v>
      </c>
      <c r="AA5449">
        <v>0.98642019999999997</v>
      </c>
      <c r="AB5449">
        <v>28</v>
      </c>
      <c r="AC5449">
        <v>0.63659999999993</v>
      </c>
      <c r="AD5449">
        <v>-7.6251999999999903E-2</v>
      </c>
      <c r="AE5449">
        <v>-0.10113999999999899</v>
      </c>
      <c r="AF5449">
        <v>0.127350614530406</v>
      </c>
      <c r="AG5449">
        <v>-7.6251999999999903E-2</v>
      </c>
      <c r="AH5449">
        <v>0.622801387929794</v>
      </c>
      <c r="AI5449">
        <v>96.840053753499106</v>
      </c>
      <c r="AJ5449">
        <v>78.443452426663995</v>
      </c>
      <c r="AK5449">
        <v>0.64024535557280704</v>
      </c>
      <c r="AL5449">
        <v>83.677219649953898</v>
      </c>
      <c r="AM5449">
        <v>83.058281865585201</v>
      </c>
      <c r="AN5449">
        <v>1.0000000595313701</v>
      </c>
    </row>
    <row r="5450" spans="1:40" x14ac:dyDescent="0.25">
      <c r="A5450" t="str">
        <f>"20190312151135396"</f>
        <v>20190312151135396</v>
      </c>
      <c r="B5450" t="str">
        <f>"1552374695386479"</f>
        <v>1552374695386479</v>
      </c>
      <c r="C5450" t="s">
        <v>40</v>
      </c>
      <c r="D5450">
        <v>5.3052419999999998</v>
      </c>
      <c r="E5450">
        <v>0.51736409999999999</v>
      </c>
      <c r="F5450" t="s">
        <v>41</v>
      </c>
      <c r="G5450">
        <v>-357.62920000000003</v>
      </c>
      <c r="H5450">
        <v>1.023498</v>
      </c>
      <c r="I5450">
        <v>15.460179999999999</v>
      </c>
      <c r="J5450">
        <v>-358.36660000000001</v>
      </c>
      <c r="K5450">
        <v>1.1109739999999999</v>
      </c>
      <c r="L5450">
        <v>15.574949999999999</v>
      </c>
      <c r="M5450">
        <v>0.99893560000000003</v>
      </c>
      <c r="N5450">
        <v>0</v>
      </c>
      <c r="O5450">
        <v>4.4729140000000001E-2</v>
      </c>
      <c r="P5450">
        <v>0.99209619999999998</v>
      </c>
      <c r="Q5450">
        <v>9.8549869999999998E-2</v>
      </c>
      <c r="R5450">
        <v>-7.7673110000000004E-2</v>
      </c>
      <c r="S5450">
        <v>3.025055</v>
      </c>
      <c r="T5450">
        <v>-0.30062440000000001</v>
      </c>
      <c r="U5450">
        <v>-0.3702087</v>
      </c>
      <c r="V5450">
        <v>0.1217427</v>
      </c>
      <c r="W5450">
        <v>0.1099309</v>
      </c>
      <c r="X5450">
        <v>0.98645519999999998</v>
      </c>
      <c r="Y5450">
        <v>0.16473579999999999</v>
      </c>
      <c r="Z5450">
        <v>-1.255533E-2</v>
      </c>
      <c r="AA5450">
        <v>0.98625779999999996</v>
      </c>
      <c r="AB5450">
        <v>28</v>
      </c>
      <c r="AC5450">
        <v>0.73739999999997896</v>
      </c>
      <c r="AD5450">
        <v>-8.7475999999999804E-2</v>
      </c>
      <c r="AE5450">
        <v>-0.11477</v>
      </c>
      <c r="AF5450">
        <v>0.14563944117434399</v>
      </c>
      <c r="AG5450">
        <v>-8.7475999999999804E-2</v>
      </c>
      <c r="AH5450">
        <v>0.72161325824248901</v>
      </c>
      <c r="AI5450">
        <v>96.776503638110697</v>
      </c>
      <c r="AJ5450">
        <v>78.589571628928397</v>
      </c>
      <c r="AK5450">
        <v>0.741342425518004</v>
      </c>
      <c r="AL5450">
        <v>83.688667565687396</v>
      </c>
      <c r="AM5450">
        <v>82.964455946058493</v>
      </c>
      <c r="AN5450">
        <v>0.99999997469256896</v>
      </c>
    </row>
    <row r="5451" spans="1:40" x14ac:dyDescent="0.25">
      <c r="A5451" t="str">
        <f>"20190312151135407"</f>
        <v>20190312151135407</v>
      </c>
      <c r="B5451" t="str">
        <f>"1552374695397216"</f>
        <v>1552374695397216</v>
      </c>
      <c r="C5451" t="s">
        <v>40</v>
      </c>
      <c r="D5451">
        <v>5.2830519999999996</v>
      </c>
      <c r="E5451">
        <v>0.51708729999999903</v>
      </c>
      <c r="F5451" t="s">
        <v>41</v>
      </c>
      <c r="G5451">
        <v>-357.62430000000001</v>
      </c>
      <c r="H5451">
        <v>1.036705</v>
      </c>
      <c r="I5451">
        <v>15.483689999999999</v>
      </c>
      <c r="J5451">
        <v>-358.23180000000002</v>
      </c>
      <c r="K5451">
        <v>1.110978</v>
      </c>
      <c r="L5451">
        <v>15.5816</v>
      </c>
      <c r="M5451">
        <v>0.99890950000000001</v>
      </c>
      <c r="N5451">
        <v>0</v>
      </c>
      <c r="O5451">
        <v>4.5299369999999999E-2</v>
      </c>
      <c r="P5451">
        <v>0.99206139999999998</v>
      </c>
      <c r="Q5451">
        <v>9.8331210000000002E-2</v>
      </c>
      <c r="R5451">
        <v>-7.8391440000000007E-2</v>
      </c>
      <c r="S5451">
        <v>3.0248719999999998</v>
      </c>
      <c r="T5451">
        <v>-0.30274519999999999</v>
      </c>
      <c r="U5451">
        <v>-0.3713379</v>
      </c>
      <c r="V5451">
        <v>0.1230226</v>
      </c>
      <c r="W5451">
        <v>0.109737</v>
      </c>
      <c r="X5451">
        <v>0.98631800000000003</v>
      </c>
      <c r="Y5451">
        <v>0.16564679999999901</v>
      </c>
      <c r="Z5451">
        <v>-1.274602E-2</v>
      </c>
      <c r="AA5451">
        <v>0.98610279999999995</v>
      </c>
      <c r="AB5451">
        <v>28</v>
      </c>
      <c r="AC5451">
        <v>0.60750000000001503</v>
      </c>
      <c r="AD5451">
        <v>-7.4273000000000006E-2</v>
      </c>
      <c r="AE5451">
        <v>-9.7910000000000594E-2</v>
      </c>
      <c r="AF5451">
        <v>0.123530871482979</v>
      </c>
      <c r="AG5451">
        <v>-7.4273000000000006E-2</v>
      </c>
      <c r="AH5451">
        <v>0.59378977358150398</v>
      </c>
      <c r="AI5451">
        <v>96.981736658467398</v>
      </c>
      <c r="AJ5451">
        <v>78.247926297185103</v>
      </c>
      <c r="AK5451">
        <v>0.61103408247684399</v>
      </c>
      <c r="AL5451">
        <v>83.6998448945359</v>
      </c>
      <c r="AM5451">
        <v>82.890264304917395</v>
      </c>
      <c r="AN5451">
        <v>0.99999998320187899</v>
      </c>
    </row>
    <row r="5452" spans="1:40" x14ac:dyDescent="0.25">
      <c r="A5452" t="str">
        <f>"20190312151135430"</f>
        <v>20190312151135430</v>
      </c>
      <c r="B5452" t="str">
        <f>"1552374695426496"</f>
        <v>1552374695426496</v>
      </c>
      <c r="C5452" t="s">
        <v>40</v>
      </c>
      <c r="D5452">
        <v>5.2769879999999896</v>
      </c>
      <c r="E5452">
        <v>0.51643220000000001</v>
      </c>
      <c r="F5452" t="s">
        <v>41</v>
      </c>
      <c r="G5452">
        <v>-357.38060000000002</v>
      </c>
      <c r="H5452">
        <v>1.0252699999999999</v>
      </c>
      <c r="I5452">
        <v>15.477029999999999</v>
      </c>
      <c r="J5452">
        <v>-357.96039999999999</v>
      </c>
      <c r="K5452">
        <v>1.110989</v>
      </c>
      <c r="L5452">
        <v>15.59515</v>
      </c>
      <c r="M5452">
        <v>0.99885639999999998</v>
      </c>
      <c r="N5452">
        <v>0</v>
      </c>
      <c r="O5452">
        <v>4.6447229999999999E-2</v>
      </c>
      <c r="P5452">
        <v>0.99196510000000004</v>
      </c>
      <c r="Q5452">
        <v>9.8197220000000002E-2</v>
      </c>
      <c r="R5452">
        <v>-7.976656E-2</v>
      </c>
      <c r="S5452">
        <v>3.0248409999999999</v>
      </c>
      <c r="T5452">
        <v>-0.30461759999999999</v>
      </c>
      <c r="U5452">
        <v>-0.3714905</v>
      </c>
      <c r="V5452">
        <v>0.1255262</v>
      </c>
      <c r="W5452">
        <v>0.10965220000000001</v>
      </c>
      <c r="X5452">
        <v>0.98601190000000005</v>
      </c>
      <c r="Y5452">
        <v>0.1668055</v>
      </c>
      <c r="Z5452">
        <v>-1.299749E-2</v>
      </c>
      <c r="AA5452">
        <v>0.98590420000000001</v>
      </c>
      <c r="AB5452">
        <v>28</v>
      </c>
      <c r="AC5452">
        <v>0.579799999999977</v>
      </c>
      <c r="AD5452">
        <v>-8.5718999999999795E-2</v>
      </c>
      <c r="AE5452">
        <v>-0.118120000000001</v>
      </c>
      <c r="AF5452">
        <v>0.14194542143379399</v>
      </c>
      <c r="AG5452">
        <v>-8.5718999999999795E-2</v>
      </c>
      <c r="AH5452">
        <v>0.56189533858309604</v>
      </c>
      <c r="AI5452">
        <v>98.413441050994507</v>
      </c>
      <c r="AJ5452">
        <v>75.822614708604206</v>
      </c>
      <c r="AK5452">
        <v>0.58585204714879102</v>
      </c>
      <c r="AL5452">
        <v>83.704732861562405</v>
      </c>
      <c r="AM5452">
        <v>82.744873983748207</v>
      </c>
      <c r="AN5452">
        <v>0.99999994939644299</v>
      </c>
    </row>
    <row r="5453" spans="1:40" x14ac:dyDescent="0.25">
      <c r="A5453" t="str">
        <f>"20190312151135452"</f>
        <v>20190312151135452</v>
      </c>
      <c r="B5453" t="str">
        <f>"1552374695446992"</f>
        <v>1552374695446992</v>
      </c>
      <c r="C5453" t="s">
        <v>40</v>
      </c>
      <c r="D5453">
        <v>5.3572920000000002</v>
      </c>
      <c r="E5453">
        <v>0.5166056</v>
      </c>
      <c r="F5453" t="s">
        <v>41</v>
      </c>
      <c r="G5453">
        <v>-357.13220000000001</v>
      </c>
      <c r="H5453">
        <v>1.0261670000000001</v>
      </c>
      <c r="I5453">
        <v>15.4934799999999</v>
      </c>
      <c r="J5453">
        <v>-357.67809999999997</v>
      </c>
      <c r="K5453">
        <v>1.1109960000000001</v>
      </c>
      <c r="L5453">
        <v>15.609590000000001</v>
      </c>
      <c r="M5453">
        <v>0.99879969999999996</v>
      </c>
      <c r="N5453">
        <v>0</v>
      </c>
      <c r="O5453">
        <v>4.764024E-2</v>
      </c>
      <c r="P5453">
        <v>0.99184510000000004</v>
      </c>
      <c r="Q5453">
        <v>9.8418770000000003E-2</v>
      </c>
      <c r="R5453">
        <v>-8.097617E-2</v>
      </c>
      <c r="S5453">
        <v>3.0251459999999999</v>
      </c>
      <c r="T5453">
        <v>-0.30990030000000002</v>
      </c>
      <c r="U5453">
        <v>-0.37072749999999999</v>
      </c>
      <c r="V5453">
        <v>0.12790689999999999</v>
      </c>
      <c r="W5453">
        <v>0.1099271</v>
      </c>
      <c r="X5453">
        <v>0.98567530000000003</v>
      </c>
      <c r="Y5453">
        <v>0.1676783</v>
      </c>
      <c r="Z5453">
        <v>-1.338656E-2</v>
      </c>
      <c r="AA5453">
        <v>0.98575089999999999</v>
      </c>
      <c r="AB5453">
        <v>28</v>
      </c>
      <c r="AC5453">
        <v>0.54589999999995997</v>
      </c>
      <c r="AD5453">
        <v>-8.4828999999999793E-2</v>
      </c>
      <c r="AE5453">
        <v>-0.11611</v>
      </c>
      <c r="AF5453">
        <v>0.138780550383133</v>
      </c>
      <c r="AG5453">
        <v>-8.4828999999999793E-2</v>
      </c>
      <c r="AH5453">
        <v>0.52756058642069203</v>
      </c>
      <c r="AI5453">
        <v>98.8389455758373</v>
      </c>
      <c r="AJ5453">
        <v>75.261635990005104</v>
      </c>
      <c r="AK5453">
        <v>0.55206536999724098</v>
      </c>
      <c r="AL5453">
        <v>83.688886585631295</v>
      </c>
      <c r="AM5453">
        <v>82.606286437608901</v>
      </c>
      <c r="AN5453">
        <v>0.99999996970605398</v>
      </c>
    </row>
    <row r="5454" spans="1:40" x14ac:dyDescent="0.25">
      <c r="A5454" t="str">
        <f>"20190312151135474"</f>
        <v>20190312151135474</v>
      </c>
      <c r="B5454" t="str">
        <f>"1552374695466512"</f>
        <v>1552374695466512</v>
      </c>
      <c r="C5454" t="s">
        <v>40</v>
      </c>
      <c r="D5454">
        <v>5.550535</v>
      </c>
      <c r="E5454">
        <v>0.51667640000000004</v>
      </c>
      <c r="F5454" t="s">
        <v>41</v>
      </c>
      <c r="G5454">
        <v>-356.88240000000002</v>
      </c>
      <c r="H5454">
        <v>1.0302469999999999</v>
      </c>
      <c r="I5454">
        <v>15.5106</v>
      </c>
      <c r="J5454">
        <v>-357.41019999999997</v>
      </c>
      <c r="K5454">
        <v>1.1110139999999999</v>
      </c>
      <c r="L5454">
        <v>15.62363</v>
      </c>
      <c r="M5454">
        <v>0.99874430000000003</v>
      </c>
      <c r="N5454">
        <v>0</v>
      </c>
      <c r="O5454">
        <v>4.877269E-2</v>
      </c>
      <c r="P5454">
        <v>0.99169269999999998</v>
      </c>
      <c r="Q5454">
        <v>9.8835279999999998E-2</v>
      </c>
      <c r="R5454">
        <v>-8.2322800000000002E-2</v>
      </c>
      <c r="S5454">
        <v>3.0244749999999998</v>
      </c>
      <c r="T5454">
        <v>-0.30697659999999999</v>
      </c>
      <c r="U5454">
        <v>-0.37557980000000002</v>
      </c>
      <c r="V5454">
        <v>0.13036210000000001</v>
      </c>
      <c r="W5454">
        <v>0.1103949</v>
      </c>
      <c r="X5454">
        <v>0.98530130000000005</v>
      </c>
      <c r="Y5454">
        <v>0.17038059999999999</v>
      </c>
      <c r="Z5454">
        <v>-1.351314E-2</v>
      </c>
      <c r="AA5454">
        <v>0.98528559999999998</v>
      </c>
      <c r="AB5454">
        <v>28</v>
      </c>
      <c r="AC5454">
        <v>0.52779999999995597</v>
      </c>
      <c r="AD5454">
        <v>-8.0767000000000005E-2</v>
      </c>
      <c r="AE5454">
        <v>-0.11302999999999799</v>
      </c>
      <c r="AF5454">
        <v>0.13560321659503199</v>
      </c>
      <c r="AG5454">
        <v>-8.0767000000000005E-2</v>
      </c>
      <c r="AH5454">
        <v>0.51023447458196503</v>
      </c>
      <c r="AI5454">
        <v>98.697862285251603</v>
      </c>
      <c r="AJ5454">
        <v>75.116746695982499</v>
      </c>
      <c r="AK5454">
        <v>0.53408871893333698</v>
      </c>
      <c r="AL5454">
        <v>83.661919565133601</v>
      </c>
      <c r="AM5454">
        <v>82.4631508881439</v>
      </c>
      <c r="AN5454">
        <v>0.99999998142205404</v>
      </c>
    </row>
    <row r="5455" spans="1:40" x14ac:dyDescent="0.25">
      <c r="A5455" t="str">
        <f>"20190312151135495"</f>
        <v>20190312151135495</v>
      </c>
      <c r="B5455" t="str">
        <f>"1552374695487008"</f>
        <v>1552374695487008</v>
      </c>
      <c r="C5455" t="s">
        <v>40</v>
      </c>
      <c r="D5455">
        <v>5.3237449999999997</v>
      </c>
      <c r="E5455">
        <v>0.5166326</v>
      </c>
      <c r="F5455" t="s">
        <v>41</v>
      </c>
      <c r="G5455">
        <v>-356.63310000000001</v>
      </c>
      <c r="H5455">
        <v>1.032878</v>
      </c>
      <c r="I5455">
        <v>15.525589999999999</v>
      </c>
      <c r="J5455">
        <v>-357.14490000000001</v>
      </c>
      <c r="K5455">
        <v>1.1110249999999999</v>
      </c>
      <c r="L5455">
        <v>15.63782</v>
      </c>
      <c r="M5455">
        <v>0.99868849999999998</v>
      </c>
      <c r="N5455">
        <v>0</v>
      </c>
      <c r="O5455">
        <v>4.98913E-2</v>
      </c>
      <c r="P5455">
        <v>0.99151579999999995</v>
      </c>
      <c r="Q5455">
        <v>9.9938180000000001E-2</v>
      </c>
      <c r="R5455">
        <v>-8.3121039999999993E-2</v>
      </c>
      <c r="S5455">
        <v>3.0239560000000001</v>
      </c>
      <c r="T5455">
        <v>-0.30431320000000001</v>
      </c>
      <c r="U5455">
        <v>-0.38027949999999999</v>
      </c>
      <c r="V5455">
        <v>0.13225319999999999</v>
      </c>
      <c r="W5455">
        <v>0.1115445</v>
      </c>
      <c r="X5455">
        <v>0.98491969999999995</v>
      </c>
      <c r="Y5455">
        <v>0.1730122</v>
      </c>
      <c r="Z5455">
        <v>-1.364101E-2</v>
      </c>
      <c r="AA5455">
        <v>0.98482519999999996</v>
      </c>
      <c r="AB5455">
        <v>28</v>
      </c>
      <c r="AC5455">
        <v>0.51179999999999304</v>
      </c>
      <c r="AD5455">
        <v>-7.8146999999999897E-2</v>
      </c>
      <c r="AE5455">
        <v>-0.11223000000000199</v>
      </c>
      <c r="AF5455">
        <v>0.13463143061017099</v>
      </c>
      <c r="AG5455">
        <v>-7.8146999999999897E-2</v>
      </c>
      <c r="AH5455">
        <v>0.49456148861599503</v>
      </c>
      <c r="AI5455">
        <v>98.668808683564805</v>
      </c>
      <c r="AJ5455">
        <v>74.771732034756994</v>
      </c>
      <c r="AK5455">
        <v>0.51848205536856395</v>
      </c>
      <c r="AL5455">
        <v>83.595642791339301</v>
      </c>
      <c r="AM5455">
        <v>82.352174520586004</v>
      </c>
      <c r="AN5455">
        <v>0.99999994991928798</v>
      </c>
    </row>
    <row r="5456" spans="1:40" x14ac:dyDescent="0.25">
      <c r="A5456" t="str">
        <f>"20190312151135507"</f>
        <v>20190312151135507</v>
      </c>
      <c r="B5456" t="str">
        <f>"1552374695496768"</f>
        <v>1552374695496768</v>
      </c>
      <c r="C5456" t="s">
        <v>40</v>
      </c>
      <c r="D5456">
        <v>5.2813410000000003</v>
      </c>
      <c r="E5456">
        <v>0.51667790000000002</v>
      </c>
      <c r="F5456" t="s">
        <v>41</v>
      </c>
      <c r="G5456">
        <v>-356.38220000000001</v>
      </c>
      <c r="H5456">
        <v>1.0367580000000001</v>
      </c>
      <c r="I5456">
        <v>15.541379999999901</v>
      </c>
      <c r="J5456">
        <v>-356.99959999999999</v>
      </c>
      <c r="K5456">
        <v>1.1110279999999999</v>
      </c>
      <c r="L5456">
        <v>15.645720000000001</v>
      </c>
      <c r="M5456">
        <v>0.99865780000000004</v>
      </c>
      <c r="N5456">
        <v>0</v>
      </c>
      <c r="O5456">
        <v>5.0499870000000002E-2</v>
      </c>
      <c r="P5456">
        <v>0.99145090000000002</v>
      </c>
      <c r="Q5456">
        <v>0.1002017</v>
      </c>
      <c r="R5456">
        <v>-8.3576079999999997E-2</v>
      </c>
      <c r="S5456">
        <v>3.023285</v>
      </c>
      <c r="T5456">
        <v>-0.29438940000000002</v>
      </c>
      <c r="U5456">
        <v>-0.38235469999999999</v>
      </c>
      <c r="V5456">
        <v>0.13330529999999999</v>
      </c>
      <c r="W5456">
        <v>0.11183170000000001</v>
      </c>
      <c r="X5456">
        <v>0.98474530000000005</v>
      </c>
      <c r="Y5456">
        <v>0.1743661</v>
      </c>
      <c r="Z5456">
        <v>-1.332506E-2</v>
      </c>
      <c r="AA5456">
        <v>0.98459070000000004</v>
      </c>
      <c r="AB5456">
        <v>28</v>
      </c>
      <c r="AC5456">
        <v>0.61739999999997497</v>
      </c>
      <c r="AD5456">
        <v>-7.4270000000000003E-2</v>
      </c>
      <c r="AE5456">
        <v>-0.104340000000002</v>
      </c>
      <c r="AF5456">
        <v>0.133509192158134</v>
      </c>
      <c r="AG5456">
        <v>-7.4270000000000003E-2</v>
      </c>
      <c r="AH5456">
        <v>0.60286096993425897</v>
      </c>
      <c r="AI5456">
        <v>96.858680805503099</v>
      </c>
      <c r="AJ5456">
        <v>77.512852039526294</v>
      </c>
      <c r="AK5456">
        <v>0.62191807045686698</v>
      </c>
      <c r="AL5456">
        <v>83.579083961398993</v>
      </c>
      <c r="AM5456">
        <v>82.290714475342099</v>
      </c>
      <c r="AN5456">
        <v>0.99999996900253396</v>
      </c>
    </row>
    <row r="5457" spans="1:40" x14ac:dyDescent="0.25">
      <c r="A5457" t="str">
        <f>"20190312151135518"</f>
        <v>20190312151135518</v>
      </c>
      <c r="B5457" t="str">
        <f>"1552374695506528"</f>
        <v>1552374695506528</v>
      </c>
      <c r="C5457" t="s">
        <v>40</v>
      </c>
      <c r="D5457">
        <v>5.7558480000000003</v>
      </c>
      <c r="E5457">
        <v>0.51666440000000002</v>
      </c>
      <c r="F5457" t="s">
        <v>41</v>
      </c>
      <c r="G5457">
        <v>-356.13709999999998</v>
      </c>
      <c r="H5457">
        <v>1.0281020000000001</v>
      </c>
      <c r="I5457">
        <v>15.53595</v>
      </c>
      <c r="J5457">
        <v>-356.86130000000003</v>
      </c>
      <c r="K5457">
        <v>1.1110310000000001</v>
      </c>
      <c r="L5457">
        <v>15.65329</v>
      </c>
      <c r="M5457">
        <v>0.99862799999999996</v>
      </c>
      <c r="N5457">
        <v>0</v>
      </c>
      <c r="O5457">
        <v>5.1079010000000001E-2</v>
      </c>
      <c r="P5457">
        <v>0.99137370000000002</v>
      </c>
      <c r="Q5457">
        <v>0.1005933</v>
      </c>
      <c r="R5457">
        <v>-8.4019819999999995E-2</v>
      </c>
      <c r="S5457">
        <v>3.022888</v>
      </c>
      <c r="T5457">
        <v>-0.29067809999999999</v>
      </c>
      <c r="U5457">
        <v>-0.3840942</v>
      </c>
      <c r="V5457">
        <v>0.1343162</v>
      </c>
      <c r="W5457">
        <v>0.112244899999999</v>
      </c>
      <c r="X5457">
        <v>0.98456100000000002</v>
      </c>
      <c r="Y5457">
        <v>0.17552870000000001</v>
      </c>
      <c r="Z5457">
        <v>-1.327003E-2</v>
      </c>
      <c r="AA5457">
        <v>0.98438490000000001</v>
      </c>
      <c r="AB5457">
        <v>28</v>
      </c>
      <c r="AC5457">
        <v>0.72420000000005302</v>
      </c>
      <c r="AD5457">
        <v>-8.2928999999999795E-2</v>
      </c>
      <c r="AE5457">
        <v>-0.11734</v>
      </c>
      <c r="AF5457">
        <v>0.15223551642189101</v>
      </c>
      <c r="AG5457">
        <v>-8.2928999999999795E-2</v>
      </c>
      <c r="AH5457">
        <v>0.70821142527632397</v>
      </c>
      <c r="AI5457">
        <v>96.530865845224696</v>
      </c>
      <c r="AJ5457">
        <v>77.868435039211704</v>
      </c>
      <c r="AK5457">
        <v>0.72912021943789396</v>
      </c>
      <c r="AL5457">
        <v>83.555259936962003</v>
      </c>
      <c r="AM5457">
        <v>82.231527111041402</v>
      </c>
      <c r="AN5457">
        <v>1.0000000609397199</v>
      </c>
    </row>
    <row r="5458" spans="1:40" x14ac:dyDescent="0.25">
      <c r="A5458" t="str">
        <f>"20190312151135529"</f>
        <v>20190312151135529</v>
      </c>
      <c r="B5458" t="str">
        <f>"1552374695527024"</f>
        <v>1552374695527024</v>
      </c>
      <c r="C5458" t="s">
        <v>40</v>
      </c>
      <c r="D5458">
        <v>5.4255639999999996</v>
      </c>
      <c r="E5458">
        <v>0.51666489999999998</v>
      </c>
      <c r="F5458" t="s">
        <v>41</v>
      </c>
      <c r="G5458">
        <v>-355.89010000000002</v>
      </c>
      <c r="H5458">
        <v>1.018893</v>
      </c>
      <c r="I5458">
        <v>15.529179999999901</v>
      </c>
      <c r="J5458">
        <v>-356.71769999999998</v>
      </c>
      <c r="K5458">
        <v>1.1110310000000001</v>
      </c>
      <c r="L5458">
        <v>15.661289999999999</v>
      </c>
      <c r="M5458">
        <v>0.99859699999999996</v>
      </c>
      <c r="N5458">
        <v>0</v>
      </c>
      <c r="O5458">
        <v>5.1675159999999998E-2</v>
      </c>
      <c r="P5458">
        <v>0.99130759999999996</v>
      </c>
      <c r="Q5458">
        <v>0.10082480000000001</v>
      </c>
      <c r="R5458">
        <v>-8.4519189999999994E-2</v>
      </c>
      <c r="S5458">
        <v>3.022583</v>
      </c>
      <c r="T5458">
        <v>-0.28687629999999997</v>
      </c>
      <c r="U5458">
        <v>-0.38531490000000002</v>
      </c>
      <c r="V5458">
        <v>0.13540089999999999</v>
      </c>
      <c r="W5458">
        <v>0.1124993</v>
      </c>
      <c r="X5458">
        <v>0.98438329999999996</v>
      </c>
      <c r="Y5458">
        <v>0.17653940000000001</v>
      </c>
      <c r="Z5458">
        <v>-1.3202159999999999E-2</v>
      </c>
      <c r="AA5458">
        <v>0.98420510000000005</v>
      </c>
      <c r="AB5458">
        <v>28</v>
      </c>
      <c r="AC5458">
        <v>0.82759999999996103</v>
      </c>
      <c r="AD5458">
        <v>-9.2137999999999803E-2</v>
      </c>
      <c r="AE5458">
        <v>-0.13211000000000001</v>
      </c>
      <c r="AF5458">
        <v>0.172616326148996</v>
      </c>
      <c r="AG5458">
        <v>-9.2137999999999803E-2</v>
      </c>
      <c r="AH5458">
        <v>0.809878098559348</v>
      </c>
      <c r="AI5458">
        <v>96.349096605631701</v>
      </c>
      <c r="AJ5458">
        <v>77.968094151802703</v>
      </c>
      <c r="AK5458">
        <v>0.83317965747087397</v>
      </c>
      <c r="AL5458">
        <v>83.540590513078698</v>
      </c>
      <c r="AM5458">
        <v>82.168170310311297</v>
      </c>
      <c r="AN5458">
        <v>0.99999998877009399</v>
      </c>
    </row>
    <row r="5459" spans="1:40" x14ac:dyDescent="0.25">
      <c r="A5459" t="str">
        <f>"20190312151135542"</f>
        <v>20190312151135542</v>
      </c>
      <c r="B5459" t="str">
        <f>"1552374695536784"</f>
        <v>1552374695536784</v>
      </c>
      <c r="C5459" t="s">
        <v>40</v>
      </c>
      <c r="D5459">
        <v>5.2751469999999996</v>
      </c>
      <c r="E5459">
        <v>0.51671250000000002</v>
      </c>
      <c r="F5459" t="s">
        <v>41</v>
      </c>
      <c r="G5459">
        <v>-355.88529999999997</v>
      </c>
      <c r="H5459">
        <v>1.033431</v>
      </c>
      <c r="I5459">
        <v>15.55442</v>
      </c>
      <c r="J5459">
        <v>-356.57150000000001</v>
      </c>
      <c r="K5459">
        <v>1.111035</v>
      </c>
      <c r="L5459">
        <v>15.669460000000001</v>
      </c>
      <c r="M5459">
        <v>0.99856529999999999</v>
      </c>
      <c r="N5459">
        <v>0</v>
      </c>
      <c r="O5459">
        <v>5.2279520000000003E-2</v>
      </c>
      <c r="P5459">
        <v>0.99123559999999999</v>
      </c>
      <c r="Q5459">
        <v>0.101073</v>
      </c>
      <c r="R5459">
        <v>-8.5069320000000004E-2</v>
      </c>
      <c r="S5459">
        <v>3.021973</v>
      </c>
      <c r="T5459">
        <v>-0.28178799999999998</v>
      </c>
      <c r="U5459">
        <v>-0.38684079999999998</v>
      </c>
      <c r="V5459">
        <v>0.13654349999999901</v>
      </c>
      <c r="W5459">
        <v>0.1127708</v>
      </c>
      <c r="X5459">
        <v>0.98419440000000002</v>
      </c>
      <c r="Y5459">
        <v>0.17767649999999999</v>
      </c>
      <c r="Z5459">
        <v>-1.307993E-2</v>
      </c>
      <c r="AA5459">
        <v>0.98400209999999999</v>
      </c>
      <c r="AB5459">
        <v>28</v>
      </c>
      <c r="AC5459">
        <v>0.686200000000042</v>
      </c>
      <c r="AD5459">
        <v>-7.7603999999999895E-2</v>
      </c>
      <c r="AE5459">
        <v>-0.11504</v>
      </c>
      <c r="AF5459">
        <v>0.14890683685023301</v>
      </c>
      <c r="AG5459">
        <v>-7.7603999999999895E-2</v>
      </c>
      <c r="AH5459">
        <v>0.670900680157136</v>
      </c>
      <c r="AI5459">
        <v>96.442740539560802</v>
      </c>
      <c r="AJ5459">
        <v>77.486021275811495</v>
      </c>
      <c r="AK5459">
        <v>0.69159478707697697</v>
      </c>
      <c r="AL5459">
        <v>83.524935149821502</v>
      </c>
      <c r="AM5459">
        <v>82.101414120943801</v>
      </c>
      <c r="AN5459">
        <v>0.99999999885812396</v>
      </c>
    </row>
    <row r="5460" spans="1:40" x14ac:dyDescent="0.25">
      <c r="A5460" t="str">
        <f>"20190312151135553"</f>
        <v>20190312151135553</v>
      </c>
      <c r="B5460" t="str">
        <f>"1552374695546544"</f>
        <v>1552374695546544</v>
      </c>
      <c r="C5460" t="s">
        <v>40</v>
      </c>
      <c r="D5460">
        <v>5.3002440000000002</v>
      </c>
      <c r="E5460">
        <v>0.51681199999999905</v>
      </c>
      <c r="F5460" t="s">
        <v>41</v>
      </c>
      <c r="G5460">
        <v>-355.63869999999997</v>
      </c>
      <c r="H5460">
        <v>1.0250539999999999</v>
      </c>
      <c r="I5460">
        <v>15.549340000000001</v>
      </c>
      <c r="J5460">
        <v>-356.4221</v>
      </c>
      <c r="K5460">
        <v>1.111035</v>
      </c>
      <c r="L5460">
        <v>15.67792</v>
      </c>
      <c r="M5460">
        <v>0.9985328</v>
      </c>
      <c r="N5460">
        <v>0</v>
      </c>
      <c r="O5460">
        <v>5.2892210000000002E-2</v>
      </c>
      <c r="P5460">
        <v>0.99120620000000004</v>
      </c>
      <c r="Q5460">
        <v>0.1011606</v>
      </c>
      <c r="R5460">
        <v>-8.5306179999999995E-2</v>
      </c>
      <c r="S5460">
        <v>3.0215450000000001</v>
      </c>
      <c r="T5460">
        <v>-0.27853800000000001</v>
      </c>
      <c r="U5460">
        <v>-0.38879390000000003</v>
      </c>
      <c r="V5460">
        <v>0.1373847</v>
      </c>
      <c r="W5460">
        <v>0.1128821</v>
      </c>
      <c r="X5460">
        <v>0.98406459999999996</v>
      </c>
      <c r="Y5460">
        <v>0.17893770000000001</v>
      </c>
      <c r="Z5460">
        <v>-1.304495E-2</v>
      </c>
      <c r="AA5460">
        <v>0.98377389999999998</v>
      </c>
      <c r="AB5460">
        <v>28</v>
      </c>
      <c r="AC5460">
        <v>0.78340000000002796</v>
      </c>
      <c r="AD5460">
        <v>-8.5980999999999794E-2</v>
      </c>
      <c r="AE5460">
        <v>-0.128580000000001</v>
      </c>
      <c r="AF5460">
        <v>0.167869453386255</v>
      </c>
      <c r="AG5460">
        <v>-8.5980999999999794E-2</v>
      </c>
      <c r="AH5460">
        <v>0.76651085828120702</v>
      </c>
      <c r="AI5460">
        <v>96.253233758789193</v>
      </c>
      <c r="AJ5460">
        <v>77.646988585811002</v>
      </c>
      <c r="AK5460">
        <v>0.78937429753203403</v>
      </c>
      <c r="AL5460">
        <v>83.518517355590404</v>
      </c>
      <c r="AM5460">
        <v>82.052338496189094</v>
      </c>
      <c r="AN5460">
        <v>1.0000000306338199</v>
      </c>
    </row>
    <row r="5461" spans="1:40" x14ac:dyDescent="0.25">
      <c r="A5461" t="str">
        <f>"20190312151135565"</f>
        <v>20190312151135565</v>
      </c>
      <c r="B5461" t="str">
        <f>"1552374695556304"</f>
        <v>1552374695556304</v>
      </c>
      <c r="C5461" t="s">
        <v>40</v>
      </c>
      <c r="D5461">
        <v>5.2117709999999997</v>
      </c>
      <c r="E5461">
        <v>0.51680559999999998</v>
      </c>
      <c r="F5461" t="s">
        <v>41</v>
      </c>
      <c r="G5461">
        <v>-355.63470000000001</v>
      </c>
      <c r="H5461">
        <v>1.038154</v>
      </c>
      <c r="I5461">
        <v>15.57615</v>
      </c>
      <c r="J5461">
        <v>-356.28140000000002</v>
      </c>
      <c r="K5461">
        <v>1.111029</v>
      </c>
      <c r="L5461">
        <v>15.685969999999999</v>
      </c>
      <c r="M5461">
        <v>0.99850209999999995</v>
      </c>
      <c r="N5461">
        <v>0</v>
      </c>
      <c r="O5461">
        <v>5.3462519999999999E-2</v>
      </c>
      <c r="P5461">
        <v>0.99114530000000001</v>
      </c>
      <c r="Q5461">
        <v>0.1013985</v>
      </c>
      <c r="R5461">
        <v>-8.5731459999999995E-2</v>
      </c>
      <c r="S5461">
        <v>3.021576</v>
      </c>
      <c r="T5461">
        <v>-0.27971109999999999</v>
      </c>
      <c r="U5461">
        <v>-0.39016719999999999</v>
      </c>
      <c r="V5461">
        <v>0.1383702</v>
      </c>
      <c r="W5461">
        <v>0.1131408</v>
      </c>
      <c r="X5461">
        <v>0.98389680000000002</v>
      </c>
      <c r="Y5461">
        <v>0.17992349999999999</v>
      </c>
      <c r="Z5461">
        <v>-1.319702E-2</v>
      </c>
      <c r="AA5461">
        <v>0.98359209999999997</v>
      </c>
      <c r="AB5461">
        <v>28</v>
      </c>
      <c r="AC5461">
        <v>0.64670000000000905</v>
      </c>
      <c r="AD5461">
        <v>-7.2874999999999995E-2</v>
      </c>
      <c r="AE5461">
        <v>-0.10982</v>
      </c>
      <c r="AF5461">
        <v>0.14248089499584901</v>
      </c>
      <c r="AG5461">
        <v>-7.2874999999999995E-2</v>
      </c>
      <c r="AH5461">
        <v>0.63210160878779598</v>
      </c>
      <c r="AI5461">
        <v>96.416988426864506</v>
      </c>
      <c r="AJ5461">
        <v>77.297356500919093</v>
      </c>
      <c r="AK5461">
        <v>0.65204602206894702</v>
      </c>
      <c r="AL5461">
        <v>83.503599383718594</v>
      </c>
      <c r="AM5461">
        <v>81.994716518274203</v>
      </c>
      <c r="AN5461">
        <v>1.00000003296145</v>
      </c>
    </row>
    <row r="5462" spans="1:40" x14ac:dyDescent="0.25">
      <c r="A5462" t="str">
        <f>"20190312151135576"</f>
        <v>20190312151135576</v>
      </c>
      <c r="B5462" t="str">
        <f>"1552374695567040"</f>
        <v>1552374695567040</v>
      </c>
      <c r="C5462" t="s">
        <v>40</v>
      </c>
      <c r="D5462">
        <v>5.3104570000000004</v>
      </c>
      <c r="E5462">
        <v>0.51697249999999995</v>
      </c>
      <c r="F5462" t="s">
        <v>41</v>
      </c>
      <c r="G5462">
        <v>-355.38940000000002</v>
      </c>
      <c r="H5462">
        <v>1.0285310000000001</v>
      </c>
      <c r="I5462">
        <v>15.57015</v>
      </c>
      <c r="J5462">
        <v>-356.1336</v>
      </c>
      <c r="K5462">
        <v>1.1110249999999999</v>
      </c>
      <c r="L5462">
        <v>15.69449</v>
      </c>
      <c r="M5462">
        <v>0.99846970000000002</v>
      </c>
      <c r="N5462">
        <v>0</v>
      </c>
      <c r="O5462">
        <v>5.4058509999999997E-2</v>
      </c>
      <c r="P5462">
        <v>0.99110699999999996</v>
      </c>
      <c r="Q5462">
        <v>0.10159079999999999</v>
      </c>
      <c r="R5462">
        <v>-8.5944209999999993E-2</v>
      </c>
      <c r="S5462">
        <v>3.0215450000000001</v>
      </c>
      <c r="T5462">
        <v>-0.27959349999999999</v>
      </c>
      <c r="U5462">
        <v>-0.39129639999999999</v>
      </c>
      <c r="V5462">
        <v>0.13917070000000001</v>
      </c>
      <c r="W5462">
        <v>0.113354</v>
      </c>
      <c r="X5462">
        <v>0.9837593</v>
      </c>
      <c r="Y5462">
        <v>0.18086759999999999</v>
      </c>
      <c r="Z5462">
        <v>-1.3289570000000001E-2</v>
      </c>
      <c r="AA5462">
        <v>0.98341769999999995</v>
      </c>
      <c r="AB5462">
        <v>28</v>
      </c>
      <c r="AC5462">
        <v>0.74419999999997799</v>
      </c>
      <c r="AD5462">
        <v>-8.2493999999999998E-2</v>
      </c>
      <c r="AE5462">
        <v>-0.12434000000000001</v>
      </c>
      <c r="AF5462">
        <v>0.16244934310124701</v>
      </c>
      <c r="AG5462">
        <v>-8.2493999999999998E-2</v>
      </c>
      <c r="AH5462">
        <v>0.72769085560379998</v>
      </c>
      <c r="AI5462">
        <v>96.313563974948707</v>
      </c>
      <c r="AJ5462">
        <v>77.415661379579205</v>
      </c>
      <c r="AK5462">
        <v>0.75015267142056996</v>
      </c>
      <c r="AL5462">
        <v>83.491304528408804</v>
      </c>
      <c r="AM5462">
        <v>81.947899285961995</v>
      </c>
      <c r="AN5462">
        <v>0.99999998669548895</v>
      </c>
    </row>
    <row r="5463" spans="1:40" x14ac:dyDescent="0.25">
      <c r="A5463" t="str">
        <f>"20190312151135589"</f>
        <v>20190312151135589</v>
      </c>
      <c r="B5463" t="str">
        <f>"1552374695586560"</f>
        <v>1552374695586560</v>
      </c>
      <c r="C5463" t="s">
        <v>40</v>
      </c>
      <c r="D5463">
        <v>5.9192179999999999</v>
      </c>
      <c r="E5463">
        <v>0.51705970000000001</v>
      </c>
      <c r="F5463" t="s">
        <v>41</v>
      </c>
      <c r="G5463">
        <v>-355.38490000000002</v>
      </c>
      <c r="H5463">
        <v>1.041533</v>
      </c>
      <c r="I5463">
        <v>15.596719999999999</v>
      </c>
      <c r="J5463">
        <v>-355.98289999999997</v>
      </c>
      <c r="K5463">
        <v>1.111016</v>
      </c>
      <c r="L5463">
        <v>15.70331</v>
      </c>
      <c r="M5463">
        <v>0.99843709999999997</v>
      </c>
      <c r="N5463">
        <v>0</v>
      </c>
      <c r="O5463">
        <v>5.4651249999999998E-2</v>
      </c>
      <c r="P5463">
        <v>0.99104840000000005</v>
      </c>
      <c r="Q5463">
        <v>0.10188700000000001</v>
      </c>
      <c r="R5463">
        <v>-8.6267720000000006E-2</v>
      </c>
      <c r="S5463">
        <v>3.021576</v>
      </c>
      <c r="T5463">
        <v>-0.28060819999999997</v>
      </c>
      <c r="U5463">
        <v>-0.3933411</v>
      </c>
      <c r="V5463">
        <v>0.1400777</v>
      </c>
      <c r="W5463">
        <v>0.11366809999999999</v>
      </c>
      <c r="X5463">
        <v>0.98359439999999998</v>
      </c>
      <c r="Y5463">
        <v>0.18208959999999999</v>
      </c>
      <c r="Z5463">
        <v>-1.344804E-2</v>
      </c>
      <c r="AA5463">
        <v>0.98318989999999995</v>
      </c>
      <c r="AB5463">
        <v>28</v>
      </c>
      <c r="AC5463">
        <v>0.59799999999995601</v>
      </c>
      <c r="AD5463">
        <v>-6.9482999999999906E-2</v>
      </c>
      <c r="AE5463">
        <v>-0.10658999999999801</v>
      </c>
      <c r="AF5463">
        <v>0.137317568743138</v>
      </c>
      <c r="AG5463">
        <v>-6.9482999999999906E-2</v>
      </c>
      <c r="AH5463">
        <v>0.58364355848957294</v>
      </c>
      <c r="AI5463">
        <v>96.610301973469106</v>
      </c>
      <c r="AJ5463">
        <v>76.760440733238994</v>
      </c>
      <c r="AK5463">
        <v>0.60359241657007201</v>
      </c>
      <c r="AL5463">
        <v>83.4731914051671</v>
      </c>
      <c r="AM5463">
        <v>81.894776625314904</v>
      </c>
      <c r="AN5463">
        <v>1.0000000713531201</v>
      </c>
    </row>
    <row r="5464" spans="1:40" x14ac:dyDescent="0.25">
      <c r="A5464" t="str">
        <f>"20190312151135602"</f>
        <v>20190312151135602</v>
      </c>
      <c r="B5464" t="str">
        <f>"1552374695596320"</f>
        <v>1552374695596320</v>
      </c>
      <c r="C5464" t="s">
        <v>40</v>
      </c>
      <c r="D5464">
        <v>5.3176620000000003</v>
      </c>
      <c r="E5464">
        <v>0.51704499999999998</v>
      </c>
      <c r="F5464" t="s">
        <v>41</v>
      </c>
      <c r="G5464">
        <v>-355.13920000000002</v>
      </c>
      <c r="H5464">
        <v>1.0335080000000001</v>
      </c>
      <c r="I5464">
        <v>15.59276</v>
      </c>
      <c r="J5464">
        <v>-355.83260000000001</v>
      </c>
      <c r="K5464">
        <v>1.111008</v>
      </c>
      <c r="L5464">
        <v>15.712160000000001</v>
      </c>
      <c r="M5464">
        <v>0.99840490000000004</v>
      </c>
      <c r="N5464">
        <v>0</v>
      </c>
      <c r="O5464">
        <v>5.5234560000000002E-2</v>
      </c>
      <c r="P5464">
        <v>0.99101289999999997</v>
      </c>
      <c r="Q5464">
        <v>0.1019456</v>
      </c>
      <c r="R5464">
        <v>-8.6606150000000007E-2</v>
      </c>
      <c r="S5464">
        <v>3.021271</v>
      </c>
      <c r="T5464">
        <v>-0.27762520000000002</v>
      </c>
      <c r="U5464">
        <v>-0.39489750000000001</v>
      </c>
      <c r="V5464">
        <v>0.14099220000000001</v>
      </c>
      <c r="W5464">
        <v>0.11374339999999999</v>
      </c>
      <c r="X5464">
        <v>0.98345490000000002</v>
      </c>
      <c r="Y5464">
        <v>0.18318870000000001</v>
      </c>
      <c r="Z5464">
        <v>-1.341006E-2</v>
      </c>
      <c r="AA5464">
        <v>0.98298629999999998</v>
      </c>
      <c r="AB5464">
        <v>28</v>
      </c>
      <c r="AC5464">
        <v>0.69339999999999602</v>
      </c>
      <c r="AD5464">
        <v>-7.7499999999999902E-2</v>
      </c>
      <c r="AE5464">
        <v>-0.11940000000000001</v>
      </c>
      <c r="AF5464">
        <v>0.15563178130588501</v>
      </c>
      <c r="AG5464">
        <v>-7.7499999999999902E-2</v>
      </c>
      <c r="AH5464">
        <v>0.67752586319646901</v>
      </c>
      <c r="AI5464">
        <v>96.361260293222699</v>
      </c>
      <c r="AJ5464">
        <v>77.063233107041995</v>
      </c>
      <c r="AK5464">
        <v>0.69947751690283999</v>
      </c>
      <c r="AL5464">
        <v>83.468848079639898</v>
      </c>
      <c r="AM5464">
        <v>81.841429905292102</v>
      </c>
      <c r="AN5464">
        <v>0.99999995091920302</v>
      </c>
    </row>
    <row r="5465" spans="1:40" x14ac:dyDescent="0.25">
      <c r="A5465" t="str">
        <f>"20190312151135618"</f>
        <v>20190312151135618</v>
      </c>
      <c r="B5465" t="str">
        <f>"1552374695607056"</f>
        <v>1552374695607056</v>
      </c>
      <c r="C5465" t="s">
        <v>40</v>
      </c>
      <c r="D5465">
        <v>5.2952700000000004</v>
      </c>
      <c r="E5465">
        <v>0.5170825</v>
      </c>
      <c r="F5465" t="s">
        <v>42</v>
      </c>
      <c r="G5465">
        <v>-343.66160000000002</v>
      </c>
      <c r="H5465" s="1">
        <v>-3.676851E-6</v>
      </c>
      <c r="I5465">
        <v>14.117430000000001</v>
      </c>
      <c r="J5465">
        <v>-355.61750000000001</v>
      </c>
      <c r="K5465">
        <v>1.1109869999999999</v>
      </c>
      <c r="L5465">
        <v>15.724909999999999</v>
      </c>
      <c r="M5465">
        <v>0.99835929999999995</v>
      </c>
      <c r="N5465">
        <v>0</v>
      </c>
      <c r="O5465">
        <v>5.6045570000000003E-2</v>
      </c>
      <c r="P5465">
        <v>0.99091309999999999</v>
      </c>
      <c r="Q5465">
        <v>0.10209500000000001</v>
      </c>
      <c r="R5465">
        <v>-8.7566660000000004E-2</v>
      </c>
      <c r="S5465">
        <v>3.0210270000000001</v>
      </c>
      <c r="T5465">
        <v>-0.27576840000000002</v>
      </c>
      <c r="U5465">
        <v>-0.39581300000000003</v>
      </c>
      <c r="V5465">
        <v>0.1427515</v>
      </c>
      <c r="W5465">
        <v>0.113913</v>
      </c>
      <c r="X5465">
        <v>0.98318150000000004</v>
      </c>
      <c r="Y5465">
        <v>0.1842953</v>
      </c>
      <c r="Z5465">
        <v>-1.344536E-2</v>
      </c>
      <c r="AA5465">
        <v>0.98277899999999996</v>
      </c>
      <c r="AB5465">
        <v>28</v>
      </c>
      <c r="AC5465">
        <v>11.9558999999999</v>
      </c>
      <c r="AD5465">
        <v>-1.1109906768510001</v>
      </c>
      <c r="AE5465">
        <v>-1.60748</v>
      </c>
      <c r="AF5465">
        <v>2.2559404802619198</v>
      </c>
      <c r="AG5465">
        <v>-1.1109906768510001</v>
      </c>
      <c r="AH5465">
        <v>11.747370925960199</v>
      </c>
      <c r="AI5465">
        <v>95.306208539996902</v>
      </c>
      <c r="AJ5465">
        <v>79.129380194362199</v>
      </c>
      <c r="AK5465">
        <v>12.013504543081</v>
      </c>
      <c r="AL5465">
        <v>83.459067545373401</v>
      </c>
      <c r="AM5465">
        <v>81.738758237303202</v>
      </c>
      <c r="AN5465">
        <v>1.00000001213175</v>
      </c>
    </row>
    <row r="5466" spans="1:40" x14ac:dyDescent="0.25">
      <c r="A5466" t="str">
        <f>"20190312151135631"</f>
        <v>20190312151135631</v>
      </c>
      <c r="B5466" t="str">
        <f>"1552374695626577"</f>
        <v>1552374695626577</v>
      </c>
      <c r="C5466" t="s">
        <v>40</v>
      </c>
      <c r="D5466">
        <v>5.2857149999999997</v>
      </c>
      <c r="E5466">
        <v>0.51711119999999999</v>
      </c>
      <c r="F5466" t="s">
        <v>42</v>
      </c>
      <c r="G5466">
        <v>-343.37299999999999</v>
      </c>
      <c r="H5466" s="1">
        <v>-3.802307E-6</v>
      </c>
      <c r="I5466">
        <v>14.10815</v>
      </c>
      <c r="J5466">
        <v>-355.46230000000003</v>
      </c>
      <c r="K5466">
        <v>1.110968</v>
      </c>
      <c r="L5466">
        <v>15.734279999999901</v>
      </c>
      <c r="M5466">
        <v>0.99832759999999998</v>
      </c>
      <c r="N5466">
        <v>0</v>
      </c>
      <c r="O5466">
        <v>5.6606440000000001E-2</v>
      </c>
      <c r="P5466">
        <v>0.99086450000000004</v>
      </c>
      <c r="Q5466">
        <v>0.1022277</v>
      </c>
      <c r="R5466">
        <v>-8.7962399999999996E-2</v>
      </c>
      <c r="S5466">
        <v>3.020508</v>
      </c>
      <c r="T5466">
        <v>-0.2740611</v>
      </c>
      <c r="U5466">
        <v>-0.39880369999999998</v>
      </c>
      <c r="V5466">
        <v>0.14370239999999901</v>
      </c>
      <c r="W5466">
        <v>0.11405709999999999</v>
      </c>
      <c r="X5466">
        <v>0.98302630000000002</v>
      </c>
      <c r="Y5466">
        <v>0.18582879999999999</v>
      </c>
      <c r="Z5466">
        <v>-1.348364E-2</v>
      </c>
      <c r="AA5466">
        <v>0.98248959999999996</v>
      </c>
      <c r="AB5466">
        <v>28</v>
      </c>
      <c r="AC5466">
        <v>12.0892999999999</v>
      </c>
      <c r="AD5466">
        <v>-1.1109718023070001</v>
      </c>
      <c r="AE5466">
        <v>-1.6261299999999901</v>
      </c>
      <c r="AF5466">
        <v>2.2889150671034399</v>
      </c>
      <c r="AG5466">
        <v>-1.1109718023070001</v>
      </c>
      <c r="AH5466">
        <v>11.8793182755913</v>
      </c>
      <c r="AI5466">
        <v>95.246890881598802</v>
      </c>
      <c r="AJ5466">
        <v>79.093866159950196</v>
      </c>
      <c r="AK5466">
        <v>12.1487280495832</v>
      </c>
      <c r="AL5466">
        <v>83.450757336210401</v>
      </c>
      <c r="AM5466">
        <v>81.683200764812398</v>
      </c>
      <c r="AN5466">
        <v>1.00000005415892</v>
      </c>
    </row>
    <row r="5467" spans="1:40" x14ac:dyDescent="0.25">
      <c r="A5467" t="str">
        <f>"20190312151135645"</f>
        <v>20190312151135645</v>
      </c>
      <c r="B5467" t="str">
        <f>"1552374695636336"</f>
        <v>1552374695636336</v>
      </c>
      <c r="C5467" t="s">
        <v>40</v>
      </c>
      <c r="D5467">
        <v>5.2658420000000001</v>
      </c>
      <c r="E5467">
        <v>0.51721530000000004</v>
      </c>
      <c r="F5467" t="s">
        <v>42</v>
      </c>
      <c r="G5467">
        <v>-343.09050000000002</v>
      </c>
      <c r="H5467" s="1">
        <v>-3.9259010000000002E-6</v>
      </c>
      <c r="I5467">
        <v>14.09474</v>
      </c>
      <c r="J5467">
        <v>-355.30009999999999</v>
      </c>
      <c r="K5467">
        <v>1.110946</v>
      </c>
      <c r="L5467">
        <v>15.74408</v>
      </c>
      <c r="M5467">
        <v>0.99829469999999998</v>
      </c>
      <c r="N5467">
        <v>0</v>
      </c>
      <c r="O5467">
        <v>5.717771E-2</v>
      </c>
      <c r="P5467">
        <v>0.99081549999999996</v>
      </c>
      <c r="Q5467">
        <v>0.10232520000000001</v>
      </c>
      <c r="R5467">
        <v>-8.839988E-2</v>
      </c>
      <c r="S5467">
        <v>3.020111</v>
      </c>
      <c r="T5467">
        <v>-0.27119979999999999</v>
      </c>
      <c r="U5467">
        <v>-0.40020749999999999</v>
      </c>
      <c r="V5467">
        <v>0.14470569999999999</v>
      </c>
      <c r="W5467">
        <v>0.1141641</v>
      </c>
      <c r="X5467">
        <v>0.98286660000000003</v>
      </c>
      <c r="Y5467">
        <v>0.18687029999999999</v>
      </c>
      <c r="Z5467">
        <v>-1.3442249999999999E-2</v>
      </c>
      <c r="AA5467">
        <v>0.98229270000000002</v>
      </c>
      <c r="AB5467">
        <v>28</v>
      </c>
      <c r="AC5467">
        <v>12.209599999999901</v>
      </c>
      <c r="AD5467">
        <v>-1.1109499259010001</v>
      </c>
      <c r="AE5467">
        <v>-1.64933999999999</v>
      </c>
      <c r="AF5467">
        <v>2.3258952615502699</v>
      </c>
      <c r="AG5467">
        <v>-1.1109499259010001</v>
      </c>
      <c r="AH5467">
        <v>11.9977593136131</v>
      </c>
      <c r="AI5467">
        <v>95.194141139287694</v>
      </c>
      <c r="AJ5467">
        <v>79.028684561711003</v>
      </c>
      <c r="AK5467">
        <v>12.2715209755332</v>
      </c>
      <c r="AL5467">
        <v>83.444585808327901</v>
      </c>
      <c r="AM5467">
        <v>81.624613860937203</v>
      </c>
      <c r="AN5467">
        <v>0.999999967368429</v>
      </c>
    </row>
    <row r="5468" spans="1:40" x14ac:dyDescent="0.25">
      <c r="A5468" t="str">
        <f>"20190312151135657"</f>
        <v>20190312151135657</v>
      </c>
      <c r="B5468" t="str">
        <f>"1552374695647073"</f>
        <v>1552374695647073</v>
      </c>
      <c r="C5468" t="s">
        <v>40</v>
      </c>
      <c r="D5468">
        <v>5.3217730000000003</v>
      </c>
      <c r="E5468">
        <v>0.51738009999999901</v>
      </c>
      <c r="F5468" t="s">
        <v>42</v>
      </c>
      <c r="G5468">
        <v>-342.96530000000001</v>
      </c>
      <c r="H5468" s="1">
        <v>-3.9784129999999996E-6</v>
      </c>
      <c r="I5468">
        <v>14.1013</v>
      </c>
      <c r="J5468">
        <v>-355.12990000000002</v>
      </c>
      <c r="K5468">
        <v>1.1109209999999901</v>
      </c>
      <c r="L5468">
        <v>15.75446</v>
      </c>
      <c r="M5468">
        <v>0.99826090000000001</v>
      </c>
      <c r="N5468">
        <v>0</v>
      </c>
      <c r="O5468">
        <v>5.7760789999999999E-2</v>
      </c>
      <c r="P5468">
        <v>0.99078290000000002</v>
      </c>
      <c r="Q5468">
        <v>0.1023351</v>
      </c>
      <c r="R5468">
        <v>-8.8755570000000006E-2</v>
      </c>
      <c r="S5468">
        <v>3.0200200000000001</v>
      </c>
      <c r="T5468">
        <v>-0.27200079999999999</v>
      </c>
      <c r="U5468">
        <v>-0.40219120000000003</v>
      </c>
      <c r="V5468">
        <v>0.14564070000000001</v>
      </c>
      <c r="W5468">
        <v>0.11418209999999999</v>
      </c>
      <c r="X5468">
        <v>0.98272649999999995</v>
      </c>
      <c r="Y5468">
        <v>0.18806890000000001</v>
      </c>
      <c r="Z5468">
        <v>-1.3587500000000001E-2</v>
      </c>
      <c r="AA5468">
        <v>0.98206190000000004</v>
      </c>
      <c r="AB5468">
        <v>28</v>
      </c>
      <c r="AC5468">
        <v>12.1646</v>
      </c>
      <c r="AD5468">
        <v>-1.11092497841299</v>
      </c>
      <c r="AE5468">
        <v>-1.65315999999999</v>
      </c>
      <c r="AF5468">
        <v>2.3339725898902501</v>
      </c>
      <c r="AG5468">
        <v>-1.11092497841299</v>
      </c>
      <c r="AH5468">
        <v>11.950928245701199</v>
      </c>
      <c r="AI5468">
        <v>95.212871113982203</v>
      </c>
      <c r="AJ5468">
        <v>78.949434650675798</v>
      </c>
      <c r="AK5468">
        <v>12.227275587469199</v>
      </c>
      <c r="AL5468">
        <v>83.443548369324304</v>
      </c>
      <c r="AM5468">
        <v>81.570087817048304</v>
      </c>
      <c r="AN5468">
        <v>1.0000000696295701</v>
      </c>
    </row>
    <row r="5469" spans="1:40" x14ac:dyDescent="0.25">
      <c r="A5469" t="str">
        <f>"20190312151135690"</f>
        <v>20190312151135690</v>
      </c>
      <c r="B5469" t="str">
        <f>"1552374695687088"</f>
        <v>1552374695687088</v>
      </c>
      <c r="C5469" t="s">
        <v>40</v>
      </c>
      <c r="D5469">
        <v>5.2700209999999998</v>
      </c>
      <c r="E5469">
        <v>0.49534620000000001</v>
      </c>
      <c r="F5469" t="s">
        <v>42</v>
      </c>
      <c r="G5469">
        <v>-342.87790000000001</v>
      </c>
      <c r="H5469" s="1">
        <v>-4.0138259999999999E-6</v>
      </c>
      <c r="I5469">
        <v>14.11314</v>
      </c>
      <c r="J5469">
        <v>-354.73239999999998</v>
      </c>
      <c r="K5469">
        <v>1.110835</v>
      </c>
      <c r="L5469">
        <v>15.77896</v>
      </c>
      <c r="M5469">
        <v>0.9981913</v>
      </c>
      <c r="N5469">
        <v>0</v>
      </c>
      <c r="O5469">
        <v>5.8942219999999997E-2</v>
      </c>
      <c r="P5469">
        <v>0.99070440000000004</v>
      </c>
      <c r="Q5469">
        <v>0.1016706</v>
      </c>
      <c r="R5469">
        <v>-9.0378979999999998E-2</v>
      </c>
      <c r="S5469">
        <v>3.0199579999999999</v>
      </c>
      <c r="T5469">
        <v>-0.27382770000000001</v>
      </c>
      <c r="U5469">
        <v>-0.40454099999999998</v>
      </c>
      <c r="V5469">
        <v>0.1484491</v>
      </c>
      <c r="W5469">
        <v>0.1135293</v>
      </c>
      <c r="X5469">
        <v>0.98238179999999997</v>
      </c>
      <c r="Y5469">
        <v>0.18995860000000001</v>
      </c>
      <c r="Z5469">
        <v>-1.3869630000000001E-2</v>
      </c>
      <c r="AA5469">
        <v>0.98169410000000001</v>
      </c>
      <c r="AB5469">
        <v>28</v>
      </c>
      <c r="AC5469">
        <v>11.8544999999999</v>
      </c>
      <c r="AD5469">
        <v>-1.110839013826</v>
      </c>
      <c r="AE5469">
        <v>-1.6658200000000001</v>
      </c>
      <c r="AF5469">
        <v>2.3415402988636398</v>
      </c>
      <c r="AG5469">
        <v>-1.110839013826</v>
      </c>
      <c r="AH5469">
        <v>11.6355018407081</v>
      </c>
      <c r="AI5469">
        <v>95.346932603434695</v>
      </c>
      <c r="AJ5469">
        <v>78.621713288667294</v>
      </c>
      <c r="AK5469">
        <v>11.920640812094</v>
      </c>
      <c r="AL5469">
        <v>83.481195531957496</v>
      </c>
      <c r="AM5469">
        <v>81.406966656701002</v>
      </c>
      <c r="AN5469">
        <v>1.00000001911026</v>
      </c>
    </row>
    <row r="5470" spans="1:40" x14ac:dyDescent="0.25">
      <c r="A5470" t="str">
        <f>"20190312151135708"</f>
        <v>20190312151135708</v>
      </c>
      <c r="B5470" t="str">
        <f>"1552374695696848"</f>
        <v>1552374695696848</v>
      </c>
      <c r="C5470" t="s">
        <v>40</v>
      </c>
      <c r="D5470">
        <v>5.2294999999999998</v>
      </c>
      <c r="E5470">
        <v>0.49213230000000002</v>
      </c>
      <c r="F5470" t="s">
        <v>41</v>
      </c>
      <c r="G5470">
        <v>-353.92200000000003</v>
      </c>
      <c r="H5470">
        <v>1.0009269999999999</v>
      </c>
      <c r="I5470">
        <v>15.716419999999999</v>
      </c>
      <c r="J5470">
        <v>-354.50279999999998</v>
      </c>
      <c r="K5470">
        <v>1.11076</v>
      </c>
      <c r="L5470">
        <v>15.79318</v>
      </c>
      <c r="M5470">
        <v>0.99815750000000003</v>
      </c>
      <c r="N5470">
        <v>0</v>
      </c>
      <c r="O5470">
        <v>5.9504189999999998E-2</v>
      </c>
      <c r="P5470">
        <v>0.99064730000000001</v>
      </c>
      <c r="Q5470">
        <v>0.101588</v>
      </c>
      <c r="R5470">
        <v>-9.1092179999999995E-2</v>
      </c>
      <c r="S5470">
        <v>3.0492249999999999</v>
      </c>
      <c r="T5470">
        <v>-0.41359319999999999</v>
      </c>
      <c r="U5470">
        <v>-0.2341309</v>
      </c>
      <c r="V5470">
        <v>0.1497329</v>
      </c>
      <c r="W5470">
        <v>0.1134464</v>
      </c>
      <c r="X5470">
        <v>0.98219650000000003</v>
      </c>
      <c r="Y5470">
        <v>0.13399330000000001</v>
      </c>
      <c r="Z5470">
        <v>-1.7057010000000001E-2</v>
      </c>
      <c r="AA5470">
        <v>0.99083540000000003</v>
      </c>
      <c r="AB5470">
        <v>28</v>
      </c>
      <c r="AC5470">
        <v>0.58080000000000997</v>
      </c>
      <c r="AD5470">
        <v>-0.109832999999999</v>
      </c>
      <c r="AE5470">
        <v>-7.6759999999998302E-2</v>
      </c>
      <c r="AF5470">
        <v>0.107411218120017</v>
      </c>
      <c r="AG5470">
        <v>-0.109832999999999</v>
      </c>
      <c r="AH5470">
        <v>0.555672450858267</v>
      </c>
      <c r="AI5470">
        <v>100.982616247707</v>
      </c>
      <c r="AJ5470">
        <v>79.059682149816098</v>
      </c>
      <c r="AK5470">
        <v>0.57651741544367796</v>
      </c>
      <c r="AL5470">
        <v>83.485976085884701</v>
      </c>
      <c r="AM5470">
        <v>81.332166790242496</v>
      </c>
      <c r="AN5470">
        <v>0.99999999581381005</v>
      </c>
    </row>
    <row r="5471" spans="1:40" x14ac:dyDescent="0.25">
      <c r="A5471" t="str">
        <f>"20190312151135722"</f>
        <v>20190312151135722</v>
      </c>
      <c r="B5471" t="str">
        <f>"1552374695716368"</f>
        <v>1552374695716368</v>
      </c>
      <c r="C5471" t="s">
        <v>40</v>
      </c>
      <c r="D5471">
        <v>5.2454140000000002</v>
      </c>
      <c r="E5471">
        <v>0.49199300000000001</v>
      </c>
      <c r="F5471" t="s">
        <v>41</v>
      </c>
      <c r="G5471">
        <v>-353.67899999999997</v>
      </c>
      <c r="H5471">
        <v>0.9912685</v>
      </c>
      <c r="I5471">
        <v>15.73607</v>
      </c>
      <c r="J5471">
        <v>-354.33870000000002</v>
      </c>
      <c r="K5471">
        <v>1.110698</v>
      </c>
      <c r="L5471">
        <v>15.803380000000001</v>
      </c>
      <c r="M5471">
        <v>0.99813700000000005</v>
      </c>
      <c r="N5471">
        <v>0</v>
      </c>
      <c r="O5471">
        <v>5.9845519999999999E-2</v>
      </c>
      <c r="P5471">
        <v>0.99062209999999995</v>
      </c>
      <c r="Q5471">
        <v>0.1017781</v>
      </c>
      <c r="R5471">
        <v>-9.1156329999999994E-2</v>
      </c>
      <c r="S5471">
        <v>3.0543520000000002</v>
      </c>
      <c r="T5471">
        <v>-0.4430518</v>
      </c>
      <c r="U5471">
        <v>-0.2108459</v>
      </c>
      <c r="V5471">
        <v>0.15014949999999999</v>
      </c>
      <c r="W5471">
        <v>0.1136331</v>
      </c>
      <c r="X5471">
        <v>0.98211130000000002</v>
      </c>
      <c r="Y5471">
        <v>0.12650899999999901</v>
      </c>
      <c r="Z5471">
        <v>-1.7743789999999999E-2</v>
      </c>
      <c r="AA5471">
        <v>0.99180670000000004</v>
      </c>
      <c r="AB5471">
        <v>28</v>
      </c>
      <c r="AC5471">
        <v>0.65969999999998596</v>
      </c>
      <c r="AD5471">
        <v>-0.11942949999999899</v>
      </c>
      <c r="AE5471">
        <v>-6.7309999999997303E-2</v>
      </c>
      <c r="AF5471">
        <v>0.103320858671466</v>
      </c>
      <c r="AG5471">
        <v>-0.11942949999999899</v>
      </c>
      <c r="AH5471">
        <v>0.63392664454271097</v>
      </c>
      <c r="AI5471">
        <v>100.533444165704</v>
      </c>
      <c r="AJ5471">
        <v>80.743013723560196</v>
      </c>
      <c r="AK5471">
        <v>0.65330054030900597</v>
      </c>
      <c r="AL5471">
        <v>83.475209234388004</v>
      </c>
      <c r="AM5471">
        <v>81.307675668220398</v>
      </c>
      <c r="AN5471">
        <v>0.99999997967677401</v>
      </c>
    </row>
    <row r="5472" spans="1:40" x14ac:dyDescent="0.25">
      <c r="A5472" t="str">
        <f>"20190312151135736"</f>
        <v>20190312151135736</v>
      </c>
      <c r="B5472" t="str">
        <f>"1552374695727104"</f>
        <v>1552374695727104</v>
      </c>
      <c r="C5472" t="s">
        <v>40</v>
      </c>
      <c r="D5472">
        <v>5.2387379999999997</v>
      </c>
      <c r="E5472">
        <v>0.49160229999999999</v>
      </c>
      <c r="F5472" t="s">
        <v>41</v>
      </c>
      <c r="G5472">
        <v>-353.43630000000002</v>
      </c>
      <c r="H5472">
        <v>0.97831140000000005</v>
      </c>
      <c r="I5472">
        <v>15.74132</v>
      </c>
      <c r="J5472">
        <v>-354.15690000000001</v>
      </c>
      <c r="K5472">
        <v>1.1106199999999999</v>
      </c>
      <c r="L5472">
        <v>15.81467</v>
      </c>
      <c r="M5472">
        <v>0.9981177</v>
      </c>
      <c r="N5472">
        <v>0</v>
      </c>
      <c r="O5472">
        <v>6.0158780000000002E-2</v>
      </c>
      <c r="P5472">
        <v>0.99062859999999997</v>
      </c>
      <c r="Q5472">
        <v>0.1016483</v>
      </c>
      <c r="R5472">
        <v>-9.1229000000000005E-2</v>
      </c>
      <c r="S5472">
        <v>3.055145</v>
      </c>
      <c r="T5472">
        <v>-0.44827270000000002</v>
      </c>
      <c r="U5472">
        <v>-0.20993039999999999</v>
      </c>
      <c r="V5472">
        <v>0.15055360000000001</v>
      </c>
      <c r="W5472">
        <v>0.1134976</v>
      </c>
      <c r="X5472">
        <v>0.98206510000000002</v>
      </c>
      <c r="Y5472">
        <v>0.12645909999999999</v>
      </c>
      <c r="Z5472">
        <v>-1.7988279999999999E-2</v>
      </c>
      <c r="AA5472">
        <v>0.99180869999999999</v>
      </c>
      <c r="AB5472">
        <v>28</v>
      </c>
      <c r="AC5472">
        <v>0.72059999999999003</v>
      </c>
      <c r="AD5472">
        <v>-0.1323086</v>
      </c>
      <c r="AE5472">
        <v>-7.3349999999999499E-2</v>
      </c>
      <c r="AF5472">
        <v>0.112806659669764</v>
      </c>
      <c r="AG5472">
        <v>-0.1323086</v>
      </c>
      <c r="AH5472">
        <v>0.69179879805006805</v>
      </c>
      <c r="AI5472">
        <v>100.689377710408</v>
      </c>
      <c r="AJ5472">
        <v>80.738699227956602</v>
      </c>
      <c r="AK5472">
        <v>0.71331373538109399</v>
      </c>
      <c r="AL5472">
        <v>83.483023342950105</v>
      </c>
      <c r="AM5472">
        <v>81.284236875335793</v>
      </c>
      <c r="AN5472">
        <v>0.999999976158364</v>
      </c>
    </row>
    <row r="5473" spans="1:40" x14ac:dyDescent="0.25">
      <c r="A5473" t="str">
        <f>"20190312151135753"</f>
        <v>20190312151135753</v>
      </c>
      <c r="B5473" t="str">
        <f>"1552374695746625"</f>
        <v>1552374695746625</v>
      </c>
      <c r="C5473" t="s">
        <v>40</v>
      </c>
      <c r="D5473">
        <v>5.1704720000000002</v>
      </c>
      <c r="E5473">
        <v>0.49111349999999998</v>
      </c>
      <c r="F5473" t="s">
        <v>41</v>
      </c>
      <c r="G5473">
        <v>-353.42509999999999</v>
      </c>
      <c r="H5473">
        <v>1.0050699999999999</v>
      </c>
      <c r="I5473">
        <v>15.76498</v>
      </c>
      <c r="J5473">
        <v>-353.94819999999999</v>
      </c>
      <c r="K5473">
        <v>1.110527</v>
      </c>
      <c r="L5473">
        <v>15.827579999999999</v>
      </c>
      <c r="M5473">
        <v>0.99810220000000005</v>
      </c>
      <c r="N5473">
        <v>0</v>
      </c>
      <c r="O5473">
        <v>6.0411550000000001E-2</v>
      </c>
      <c r="P5473">
        <v>0.9905621</v>
      </c>
      <c r="Q5473">
        <v>0.1020451</v>
      </c>
      <c r="R5473">
        <v>-9.1507779999999997E-2</v>
      </c>
      <c r="S5473">
        <v>3.0544739999999999</v>
      </c>
      <c r="T5473">
        <v>-0.44058849999999999</v>
      </c>
      <c r="U5473">
        <v>-0.20715330000000001</v>
      </c>
      <c r="V5473">
        <v>0.15110390000000001</v>
      </c>
      <c r="W5473">
        <v>0.1138827</v>
      </c>
      <c r="X5473">
        <v>0.98193600000000003</v>
      </c>
      <c r="Y5473">
        <v>0.12589710000000001</v>
      </c>
      <c r="Z5473">
        <v>-1.7683359999999999E-2</v>
      </c>
      <c r="AA5473">
        <v>0.99188569999999998</v>
      </c>
      <c r="AB5473">
        <v>28</v>
      </c>
      <c r="AC5473">
        <v>0.52309999999999901</v>
      </c>
      <c r="AD5473">
        <v>-0.105456999999999</v>
      </c>
      <c r="AE5473">
        <v>-6.2599999999999698E-2</v>
      </c>
      <c r="AF5473">
        <v>9.04643853380451E-2</v>
      </c>
      <c r="AG5473">
        <v>-0.105456999999999</v>
      </c>
      <c r="AH5473">
        <v>0.49839245095734203</v>
      </c>
      <c r="AI5473">
        <v>101.760552935124</v>
      </c>
      <c r="AJ5473">
        <v>79.712116546183196</v>
      </c>
      <c r="AK5473">
        <v>0.51739735120587604</v>
      </c>
      <c r="AL5473">
        <v>83.460814787791506</v>
      </c>
      <c r="AM5473">
        <v>81.251738808779905</v>
      </c>
      <c r="AN5473">
        <v>0.99999998302524895</v>
      </c>
    </row>
    <row r="5474" spans="1:40" x14ac:dyDescent="0.25">
      <c r="A5474" t="str">
        <f>"20190312151135766"</f>
        <v>20190312151135766</v>
      </c>
      <c r="B5474" t="str">
        <f>"1552374695756813"</f>
        <v>1552374695756813</v>
      </c>
      <c r="C5474" t="s">
        <v>40</v>
      </c>
      <c r="D5474">
        <v>5.2203799999999996</v>
      </c>
      <c r="E5474">
        <v>0.4915254</v>
      </c>
      <c r="F5474" t="s">
        <v>41</v>
      </c>
      <c r="G5474">
        <v>-353.17930000000001</v>
      </c>
      <c r="H5474">
        <v>0.99953099999999995</v>
      </c>
      <c r="I5474">
        <v>15.77582</v>
      </c>
      <c r="J5474">
        <v>-353.77870000000001</v>
      </c>
      <c r="K5474">
        <v>1.110449</v>
      </c>
      <c r="L5474">
        <v>15.838039999999999</v>
      </c>
      <c r="M5474">
        <v>0.99809409999999998</v>
      </c>
      <c r="N5474">
        <v>0</v>
      </c>
      <c r="O5474">
        <v>6.0541989999999997E-2</v>
      </c>
      <c r="P5474">
        <v>0.99050680000000002</v>
      </c>
      <c r="Q5474">
        <v>0.1025639</v>
      </c>
      <c r="R5474">
        <v>-9.1528079999999998E-2</v>
      </c>
      <c r="S5474">
        <v>3.055145</v>
      </c>
      <c r="T5474">
        <v>-0.440969</v>
      </c>
      <c r="U5474">
        <v>-0.20446780000000001</v>
      </c>
      <c r="V5474">
        <v>0.15127179999999901</v>
      </c>
      <c r="W5474">
        <v>0.11439240000000001</v>
      </c>
      <c r="X5474">
        <v>0.98185089999999997</v>
      </c>
      <c r="Y5474">
        <v>0.1251478</v>
      </c>
      <c r="Z5474">
        <v>-1.7660060000000002E-2</v>
      </c>
      <c r="AA5474">
        <v>0.99198090000000005</v>
      </c>
      <c r="AB5474">
        <v>28</v>
      </c>
      <c r="AC5474">
        <v>0.59940000000000204</v>
      </c>
      <c r="AD5474">
        <v>-0.110918</v>
      </c>
      <c r="AE5474">
        <v>-6.2219999999998103E-2</v>
      </c>
      <c r="AF5474">
        <v>9.5173051751096693E-2</v>
      </c>
      <c r="AG5474">
        <v>-0.110918</v>
      </c>
      <c r="AH5474">
        <v>0.57505162307357005</v>
      </c>
      <c r="AI5474">
        <v>100.774276032495</v>
      </c>
      <c r="AJ5474">
        <v>80.602533775588398</v>
      </c>
      <c r="AK5474">
        <v>0.59333387034886598</v>
      </c>
      <c r="AL5474">
        <v>83.431419033578706</v>
      </c>
      <c r="AM5474">
        <v>81.241421450046104</v>
      </c>
      <c r="AN5474">
        <v>0.99999998424190395</v>
      </c>
    </row>
    <row r="5475" spans="1:40" x14ac:dyDescent="0.25">
      <c r="A5475" t="str">
        <f>"20190312151135779"</f>
        <v>20190312151135779</v>
      </c>
      <c r="B5475" t="str">
        <f>"1552374695766573"</f>
        <v>1552374695766573</v>
      </c>
      <c r="C5475" t="s">
        <v>40</v>
      </c>
      <c r="D5475">
        <v>5.2377370000000001</v>
      </c>
      <c r="E5475">
        <v>0.49189119999999997</v>
      </c>
      <c r="F5475" t="s">
        <v>41</v>
      </c>
      <c r="G5475">
        <v>-352.93459999999999</v>
      </c>
      <c r="H5475">
        <v>0.99071620000000005</v>
      </c>
      <c r="I5475">
        <v>15.780290000000001</v>
      </c>
      <c r="J5475">
        <v>-353.63350000000003</v>
      </c>
      <c r="K5475">
        <v>1.1103829999999999</v>
      </c>
      <c r="L5475">
        <v>15.84695</v>
      </c>
      <c r="M5475">
        <v>0.99808920000000001</v>
      </c>
      <c r="N5475">
        <v>0</v>
      </c>
      <c r="O5475">
        <v>6.061884E-2</v>
      </c>
      <c r="P5475">
        <v>0.99045019999999995</v>
      </c>
      <c r="Q5475">
        <v>0.1030823</v>
      </c>
      <c r="R5475">
        <v>-9.1556509999999994E-2</v>
      </c>
      <c r="S5475">
        <v>3.0544129999999998</v>
      </c>
      <c r="T5475">
        <v>-0.43322860000000002</v>
      </c>
      <c r="U5475">
        <v>-0.20794679999999999</v>
      </c>
      <c r="V5475">
        <v>0.1513922</v>
      </c>
      <c r="W5475">
        <v>0.11490359999999999</v>
      </c>
      <c r="X5475">
        <v>0.98177270000000005</v>
      </c>
      <c r="Y5475">
        <v>0.126417</v>
      </c>
      <c r="Z5475">
        <v>-1.7456969999999999E-2</v>
      </c>
      <c r="AA5475">
        <v>0.99182360000000003</v>
      </c>
      <c r="AB5475">
        <v>28</v>
      </c>
      <c r="AC5475">
        <v>0.69890000000003705</v>
      </c>
      <c r="AD5475">
        <v>-0.119666799999999</v>
      </c>
      <c r="AE5475">
        <v>-6.6660000000000594E-2</v>
      </c>
      <c r="AF5475">
        <v>0.10583224006592699</v>
      </c>
      <c r="AG5475">
        <v>-0.119666799999999</v>
      </c>
      <c r="AH5475">
        <v>0.67399219255063503</v>
      </c>
      <c r="AI5475">
        <v>99.948484334969905</v>
      </c>
      <c r="AJ5475">
        <v>81.076114822832295</v>
      </c>
      <c r="AK5475">
        <v>0.69266592357270196</v>
      </c>
      <c r="AL5475">
        <v>83.401935354285101</v>
      </c>
      <c r="AM5475">
        <v>81.233871218463406</v>
      </c>
      <c r="AN5475">
        <v>1.0000000349895399</v>
      </c>
    </row>
    <row r="5476" spans="1:40" x14ac:dyDescent="0.25">
      <c r="A5476" t="str">
        <f>"20190312151135790"</f>
        <v>20190312151135790</v>
      </c>
      <c r="B5476" t="str">
        <f>"1552374695787068"</f>
        <v>1552374695787068</v>
      </c>
      <c r="C5476" t="s">
        <v>40</v>
      </c>
      <c r="D5476">
        <v>5.210763</v>
      </c>
      <c r="E5476">
        <v>0.49224820000000002</v>
      </c>
      <c r="F5476" t="s">
        <v>41</v>
      </c>
      <c r="G5476">
        <v>-352.69130000000001</v>
      </c>
      <c r="H5476">
        <v>0.97823369999999998</v>
      </c>
      <c r="I5476">
        <v>15.78171</v>
      </c>
      <c r="J5476">
        <v>-353.47550000000001</v>
      </c>
      <c r="K5476">
        <v>1.110311</v>
      </c>
      <c r="L5476">
        <v>15.8566</v>
      </c>
      <c r="M5476">
        <v>0.99808929999999996</v>
      </c>
      <c r="N5476">
        <v>0</v>
      </c>
      <c r="O5476">
        <v>6.061271E-2</v>
      </c>
      <c r="P5476">
        <v>0.990394</v>
      </c>
      <c r="Q5476">
        <v>0.1035045</v>
      </c>
      <c r="R5476">
        <v>-9.1690300000000002E-2</v>
      </c>
      <c r="S5476">
        <v>3.0539860000000001</v>
      </c>
      <c r="T5476">
        <v>-0.42829070000000002</v>
      </c>
      <c r="U5476">
        <v>-0.21099850000000001</v>
      </c>
      <c r="V5476">
        <v>0.1515377</v>
      </c>
      <c r="W5476">
        <v>0.1153175</v>
      </c>
      <c r="X5476">
        <v>0.98170170000000001</v>
      </c>
      <c r="Y5476">
        <v>0.12743850000000001</v>
      </c>
      <c r="Z5476">
        <v>-1.7332150000000001E-2</v>
      </c>
      <c r="AA5476">
        <v>0.99169499999999999</v>
      </c>
      <c r="AB5476">
        <v>28</v>
      </c>
      <c r="AC5476">
        <v>0.78419999999999801</v>
      </c>
      <c r="AD5476">
        <v>-0.13207730000000001</v>
      </c>
      <c r="AE5476">
        <v>-7.4889999999999901E-2</v>
      </c>
      <c r="AF5476">
        <v>0.118944663588834</v>
      </c>
      <c r="AG5476">
        <v>-0.13207730000000001</v>
      </c>
      <c r="AH5476">
        <v>0.75694076043731595</v>
      </c>
      <c r="AI5476">
        <v>99.780142918105099</v>
      </c>
      <c r="AJ5476">
        <v>81.069644081166004</v>
      </c>
      <c r="AK5476">
        <v>0.77752913834979398</v>
      </c>
      <c r="AL5476">
        <v>83.378061798494699</v>
      </c>
      <c r="AM5476">
        <v>81.224952595911603</v>
      </c>
      <c r="AN5476">
        <v>1.0000000140552101</v>
      </c>
    </row>
    <row r="5477" spans="1:40" x14ac:dyDescent="0.25">
      <c r="A5477" t="str">
        <f>"20190312151135808"</f>
        <v>20190312151135808</v>
      </c>
      <c r="B5477" t="str">
        <f>"1552374695796828"</f>
        <v>1552374695796828</v>
      </c>
      <c r="C5477" t="s">
        <v>40</v>
      </c>
      <c r="D5477">
        <v>5.2052040000000002</v>
      </c>
      <c r="E5477">
        <v>0.49258570000000002</v>
      </c>
      <c r="F5477" t="s">
        <v>41</v>
      </c>
      <c r="G5477">
        <v>-352.68220000000002</v>
      </c>
      <c r="H5477">
        <v>1.00013</v>
      </c>
      <c r="I5477">
        <v>15.80082</v>
      </c>
      <c r="J5477">
        <v>-353.26130000000001</v>
      </c>
      <c r="K5477">
        <v>1.110217</v>
      </c>
      <c r="L5477">
        <v>15.8696</v>
      </c>
      <c r="M5477">
        <v>0.99809440000000005</v>
      </c>
      <c r="N5477">
        <v>0</v>
      </c>
      <c r="O5477">
        <v>6.0523229999999997E-2</v>
      </c>
      <c r="P5477">
        <v>0.99029560000000005</v>
      </c>
      <c r="Q5477">
        <v>0.1042614</v>
      </c>
      <c r="R5477">
        <v>-9.1893920000000004E-2</v>
      </c>
      <c r="S5477">
        <v>3.053528</v>
      </c>
      <c r="T5477">
        <v>-0.42405999999999999</v>
      </c>
      <c r="U5477">
        <v>-0.21414179999999999</v>
      </c>
      <c r="V5477">
        <v>0.1516759</v>
      </c>
      <c r="W5477">
        <v>0.116064</v>
      </c>
      <c r="X5477">
        <v>0.98159240000000003</v>
      </c>
      <c r="Y5477">
        <v>0.12840280000000001</v>
      </c>
      <c r="Z5477">
        <v>-1.7218790000000001E-2</v>
      </c>
      <c r="AA5477">
        <v>0.99157260000000003</v>
      </c>
      <c r="AB5477">
        <v>28</v>
      </c>
      <c r="AC5477">
        <v>0.57909999999998196</v>
      </c>
      <c r="AD5477">
        <v>-0.110087</v>
      </c>
      <c r="AE5477">
        <v>-6.8779999999998495E-2</v>
      </c>
      <c r="AF5477">
        <v>0.10013700825401101</v>
      </c>
      <c r="AG5477">
        <v>-0.110087</v>
      </c>
      <c r="AH5477">
        <v>0.554128562911685</v>
      </c>
      <c r="AI5477">
        <v>101.06182524779101</v>
      </c>
      <c r="AJ5477">
        <v>79.756584205329503</v>
      </c>
      <c r="AK5477">
        <v>0.57376391680344696</v>
      </c>
      <c r="AL5477">
        <v>83.335001501743406</v>
      </c>
      <c r="AM5477">
        <v>81.216111888156703</v>
      </c>
      <c r="AN5477">
        <v>1.00000003523728</v>
      </c>
    </row>
    <row r="5478" spans="1:40" x14ac:dyDescent="0.25">
      <c r="A5478" t="str">
        <f>"20190312151135820"</f>
        <v>20190312151135820</v>
      </c>
      <c r="B5478" t="str">
        <f>"1552374695816349"</f>
        <v>1552374695816349</v>
      </c>
      <c r="C5478" t="s">
        <v>40</v>
      </c>
      <c r="D5478">
        <v>5.2175880000000001</v>
      </c>
      <c r="E5478">
        <v>0.49351010000000001</v>
      </c>
      <c r="F5478" t="s">
        <v>41</v>
      </c>
      <c r="G5478">
        <v>-352.43540000000002</v>
      </c>
      <c r="H5478">
        <v>0.99647240000000004</v>
      </c>
      <c r="I5478">
        <v>15.810600000000001</v>
      </c>
      <c r="J5478">
        <v>-353.12009999999998</v>
      </c>
      <c r="K5478">
        <v>1.1101510000000001</v>
      </c>
      <c r="L5478">
        <v>15.87811</v>
      </c>
      <c r="M5478">
        <v>0.9981006</v>
      </c>
      <c r="N5478">
        <v>0</v>
      </c>
      <c r="O5478">
        <v>6.041523E-2</v>
      </c>
      <c r="P5478">
        <v>0.99027160000000003</v>
      </c>
      <c r="Q5478">
        <v>0.1044004</v>
      </c>
      <c r="R5478">
        <v>-9.199425E-2</v>
      </c>
      <c r="S5478">
        <v>3.053436</v>
      </c>
      <c r="T5478">
        <v>-0.42054079999999999</v>
      </c>
      <c r="U5478">
        <v>-0.21801760000000001</v>
      </c>
      <c r="V5478">
        <v>0.15168760000000001</v>
      </c>
      <c r="W5478">
        <v>0.1161966</v>
      </c>
      <c r="X5478">
        <v>0.98157490000000003</v>
      </c>
      <c r="Y5478">
        <v>0.12956969999999901</v>
      </c>
      <c r="Z5478">
        <v>-1.714216E-2</v>
      </c>
      <c r="AA5478">
        <v>0.99142209999999997</v>
      </c>
      <c r="AB5478">
        <v>28</v>
      </c>
      <c r="AC5478">
        <v>0.684699999999963</v>
      </c>
      <c r="AD5478">
        <v>-0.1136786</v>
      </c>
      <c r="AE5478">
        <v>-6.7510000000000403E-2</v>
      </c>
      <c r="AF5478">
        <v>0.105865886224331</v>
      </c>
      <c r="AG5478">
        <v>-0.1136786</v>
      </c>
      <c r="AH5478">
        <v>0.66131654013089103</v>
      </c>
      <c r="AI5478">
        <v>99.633358717842597</v>
      </c>
      <c r="AJ5478">
        <v>80.905056682017204</v>
      </c>
      <c r="AK5478">
        <v>0.67931581478331304</v>
      </c>
      <c r="AL5478">
        <v>83.327352299351404</v>
      </c>
      <c r="AM5478">
        <v>81.215290710912299</v>
      </c>
      <c r="AN5478">
        <v>1.00000003107766</v>
      </c>
    </row>
    <row r="5479" spans="1:40" x14ac:dyDescent="0.25">
      <c r="A5479" t="str">
        <f>"20190312151135831"</f>
        <v>20190312151135831</v>
      </c>
      <c r="B5479" t="str">
        <f>"1552374695827085"</f>
        <v>1552374695827085</v>
      </c>
      <c r="C5479" t="s">
        <v>40</v>
      </c>
      <c r="D5479">
        <v>5.2337939999999996</v>
      </c>
      <c r="E5479">
        <v>0.49364789999999997</v>
      </c>
      <c r="F5479" t="s">
        <v>41</v>
      </c>
      <c r="G5479">
        <v>-352.19290000000001</v>
      </c>
      <c r="H5479">
        <v>0.98210759999999997</v>
      </c>
      <c r="I5479">
        <v>15.8093</v>
      </c>
      <c r="J5479">
        <v>-352.9735</v>
      </c>
      <c r="K5479">
        <v>1.1100840000000001</v>
      </c>
      <c r="L5479">
        <v>15.886839999999999</v>
      </c>
      <c r="M5479">
        <v>0.99811179999999999</v>
      </c>
      <c r="N5479">
        <v>0</v>
      </c>
      <c r="O5479">
        <v>6.0228599999999903E-2</v>
      </c>
      <c r="P5479">
        <v>0.99027169999999998</v>
      </c>
      <c r="Q5479">
        <v>0.1042222</v>
      </c>
      <c r="R5479">
        <v>-9.2195520000000003E-2</v>
      </c>
      <c r="S5479">
        <v>3.0529480000000002</v>
      </c>
      <c r="T5479">
        <v>-0.42155550000000003</v>
      </c>
      <c r="U5479">
        <v>-0.2256165</v>
      </c>
      <c r="V5479">
        <v>0.151725</v>
      </c>
      <c r="W5479">
        <v>0.1160095</v>
      </c>
      <c r="X5479">
        <v>0.9815912</v>
      </c>
      <c r="Y5479">
        <v>0.13182160000000001</v>
      </c>
      <c r="Z5479">
        <v>-1.7313410000000001E-2</v>
      </c>
      <c r="AA5479">
        <v>0.99112219999999995</v>
      </c>
      <c r="AB5479">
        <v>28</v>
      </c>
      <c r="AC5479">
        <v>0.78059999999999197</v>
      </c>
      <c r="AD5479">
        <v>-0.12797639999999999</v>
      </c>
      <c r="AE5479">
        <v>-7.7539999999998999E-2</v>
      </c>
      <c r="AF5479">
        <v>0.12119147665534399</v>
      </c>
      <c r="AG5479">
        <v>-0.12797639999999999</v>
      </c>
      <c r="AH5479">
        <v>0.75443246319859603</v>
      </c>
      <c r="AI5479">
        <v>99.507961843860997</v>
      </c>
      <c r="AJ5479">
        <v>80.874013689369207</v>
      </c>
      <c r="AK5479">
        <v>0.77474749079862404</v>
      </c>
      <c r="AL5479">
        <v>83.338145001122996</v>
      </c>
      <c r="AM5479">
        <v>81.213302190387594</v>
      </c>
      <c r="AN5479">
        <v>0.99999998181634397</v>
      </c>
    </row>
    <row r="5480" spans="1:40" x14ac:dyDescent="0.25">
      <c r="A5480" t="str">
        <f>"20190312151135844"</f>
        <v>20190312151135844</v>
      </c>
      <c r="B5480" t="str">
        <f>"1552374695836846"</f>
        <v>1552374695836846</v>
      </c>
      <c r="C5480" t="s">
        <v>40</v>
      </c>
      <c r="D5480">
        <v>5.2580489999999998</v>
      </c>
      <c r="E5480">
        <v>0.4935042</v>
      </c>
      <c r="F5480" t="s">
        <v>41</v>
      </c>
      <c r="G5480">
        <v>-352.18470000000002</v>
      </c>
      <c r="H5480">
        <v>1.002059</v>
      </c>
      <c r="I5480">
        <v>15.827719999999999</v>
      </c>
      <c r="J5480">
        <v>-352.8211</v>
      </c>
      <c r="K5480">
        <v>1.1100099999999999</v>
      </c>
      <c r="L5480">
        <v>15.89587</v>
      </c>
      <c r="M5480">
        <v>0.99812630000000002</v>
      </c>
      <c r="N5480">
        <v>0</v>
      </c>
      <c r="O5480">
        <v>5.998407E-2</v>
      </c>
      <c r="P5480">
        <v>0.99023570000000005</v>
      </c>
      <c r="Q5480">
        <v>0.104424</v>
      </c>
      <c r="R5480">
        <v>-9.2354450000000005E-2</v>
      </c>
      <c r="S5480">
        <v>3.0522770000000001</v>
      </c>
      <c r="T5480">
        <v>-0.41793609999999998</v>
      </c>
      <c r="U5480">
        <v>-0.2276001</v>
      </c>
      <c r="V5480">
        <v>0.15166260000000001</v>
      </c>
      <c r="W5480">
        <v>0.1162009</v>
      </c>
      <c r="X5480">
        <v>0.98157819999999996</v>
      </c>
      <c r="Y5480">
        <v>0.13226379999999999</v>
      </c>
      <c r="Z5480">
        <v>-1.7166310000000001E-2</v>
      </c>
      <c r="AA5480">
        <v>0.99106590000000006</v>
      </c>
      <c r="AB5480">
        <v>28</v>
      </c>
      <c r="AC5480">
        <v>0.63639999999997998</v>
      </c>
      <c r="AD5480">
        <v>-0.10795099999999901</v>
      </c>
      <c r="AE5480">
        <v>-6.8149999999999197E-2</v>
      </c>
      <c r="AF5480">
        <v>0.10326626575073999</v>
      </c>
      <c r="AG5480">
        <v>-0.10795099999999901</v>
      </c>
      <c r="AH5480">
        <v>0.61370736012240201</v>
      </c>
      <c r="AI5480">
        <v>99.840681068103905</v>
      </c>
      <c r="AJ5480">
        <v>80.448525931314094</v>
      </c>
      <c r="AK5480">
        <v>0.63162810570106098</v>
      </c>
      <c r="AL5480">
        <v>83.327103891790301</v>
      </c>
      <c r="AM5480">
        <v>81.2167450303089</v>
      </c>
      <c r="AN5480">
        <v>0.99999997805740404</v>
      </c>
    </row>
    <row r="5481" spans="1:40" x14ac:dyDescent="0.25">
      <c r="A5481" t="str">
        <f>"20190312151135866"</f>
        <v>20190312151135866</v>
      </c>
      <c r="B5481" t="str">
        <f>"1552374695856364"</f>
        <v>1552374695856364</v>
      </c>
      <c r="C5481" t="s">
        <v>40</v>
      </c>
      <c r="D5481">
        <v>5.1711499999999999</v>
      </c>
      <c r="E5481">
        <v>0.49331170000000002</v>
      </c>
      <c r="F5481" t="s">
        <v>41</v>
      </c>
      <c r="G5481">
        <v>-351.94150000000002</v>
      </c>
      <c r="H5481">
        <v>0.98985480000000003</v>
      </c>
      <c r="I5481">
        <v>15.83032</v>
      </c>
      <c r="J5481">
        <v>-352.55500000000001</v>
      </c>
      <c r="K5481">
        <v>1.1098749999999999</v>
      </c>
      <c r="L5481">
        <v>15.911379999999999</v>
      </c>
      <c r="M5481">
        <v>0.99815989999999999</v>
      </c>
      <c r="N5481">
        <v>0</v>
      </c>
      <c r="O5481">
        <v>5.9414139999999997E-2</v>
      </c>
      <c r="P5481">
        <v>0.99009570000000002</v>
      </c>
      <c r="Q5481">
        <v>0.104794</v>
      </c>
      <c r="R5481">
        <v>-9.3428860000000002E-2</v>
      </c>
      <c r="S5481">
        <v>3.0523989999999999</v>
      </c>
      <c r="T5481">
        <v>-0.41689520000000002</v>
      </c>
      <c r="U5481">
        <v>-0.22686770000000001</v>
      </c>
      <c r="V5481">
        <v>0.15220549999999999</v>
      </c>
      <c r="W5481">
        <v>0.1165456</v>
      </c>
      <c r="X5481">
        <v>0.98145329999999997</v>
      </c>
      <c r="Y5481">
        <v>0.13148000000000001</v>
      </c>
      <c r="Z5481">
        <v>-1.6992839999999999E-2</v>
      </c>
      <c r="AA5481">
        <v>0.99117310000000003</v>
      </c>
      <c r="AB5481">
        <v>28</v>
      </c>
      <c r="AC5481">
        <v>0.61349999999998694</v>
      </c>
      <c r="AD5481">
        <v>-0.12002019999999899</v>
      </c>
      <c r="AE5481">
        <v>-8.1059999999998994E-2</v>
      </c>
      <c r="AF5481">
        <v>0.113115181234842</v>
      </c>
      <c r="AG5481">
        <v>-0.12002019999999899</v>
      </c>
      <c r="AH5481">
        <v>0.58557313593682403</v>
      </c>
      <c r="AI5481">
        <v>101.378323100118</v>
      </c>
      <c r="AJ5481">
        <v>79.066834235470196</v>
      </c>
      <c r="AK5481">
        <v>0.60835498696461499</v>
      </c>
      <c r="AL5481">
        <v>83.307218979363299</v>
      </c>
      <c r="AM5481">
        <v>81.184692764407203</v>
      </c>
      <c r="AN5481">
        <v>0.99999998559524905</v>
      </c>
    </row>
    <row r="5482" spans="1:40" x14ac:dyDescent="0.25">
      <c r="A5482" t="str">
        <f>"20190312151135879"</f>
        <v>20190312151135879</v>
      </c>
      <c r="B5482" t="str">
        <f>"1552374695867101"</f>
        <v>1552374695867101</v>
      </c>
      <c r="C5482" t="s">
        <v>40</v>
      </c>
      <c r="D5482">
        <v>5.2067220000000001</v>
      </c>
      <c r="E5482">
        <v>0.49329020000000001</v>
      </c>
      <c r="F5482" t="s">
        <v>41</v>
      </c>
      <c r="G5482">
        <v>-351.6927</v>
      </c>
      <c r="H5482">
        <v>0.99137580000000003</v>
      </c>
      <c r="I5482">
        <v>15.846500000000001</v>
      </c>
      <c r="J5482">
        <v>-352.38959999999997</v>
      </c>
      <c r="K5482">
        <v>1.1097870000000001</v>
      </c>
      <c r="L5482">
        <v>15.920870000000001</v>
      </c>
      <c r="M5482">
        <v>0.99818530000000005</v>
      </c>
      <c r="N5482">
        <v>0</v>
      </c>
      <c r="O5482">
        <v>5.8983500000000001E-2</v>
      </c>
      <c r="P5482">
        <v>0.99005370000000004</v>
      </c>
      <c r="Q5482">
        <v>0.1047284</v>
      </c>
      <c r="R5482">
        <v>-9.3944719999999995E-2</v>
      </c>
      <c r="S5482">
        <v>3.0528870000000001</v>
      </c>
      <c r="T5482">
        <v>-0.41947839999999997</v>
      </c>
      <c r="U5482">
        <v>-0.228241</v>
      </c>
      <c r="V5482">
        <v>0.15232000000000001</v>
      </c>
      <c r="W5482">
        <v>0.1164632</v>
      </c>
      <c r="X5482">
        <v>0.98144529999999996</v>
      </c>
      <c r="Y5482">
        <v>0.1314671</v>
      </c>
      <c r="Z5482">
        <v>-1.7034520000000001E-2</v>
      </c>
      <c r="AA5482">
        <v>0.99117420000000001</v>
      </c>
      <c r="AB5482">
        <v>28</v>
      </c>
      <c r="AC5482">
        <v>0.69689999999997099</v>
      </c>
      <c r="AD5482">
        <v>-0.11841119999999999</v>
      </c>
      <c r="AE5482">
        <v>-7.4370000000000006E-2</v>
      </c>
      <c r="AF5482">
        <v>0.112147886303035</v>
      </c>
      <c r="AG5482">
        <v>-0.11841119999999999</v>
      </c>
      <c r="AH5482">
        <v>0.67211420878834005</v>
      </c>
      <c r="AI5482">
        <v>99.858113812027298</v>
      </c>
      <c r="AJ5482">
        <v>80.526990779369598</v>
      </c>
      <c r="AK5482">
        <v>0.69161829815502696</v>
      </c>
      <c r="AL5482">
        <v>83.311972405072197</v>
      </c>
      <c r="AM5482">
        <v>81.1780947479199</v>
      </c>
      <c r="AN5482">
        <v>0.99999996812316405</v>
      </c>
    </row>
    <row r="5483" spans="1:40" x14ac:dyDescent="0.25">
      <c r="A5483" t="str">
        <f>"20190312151135898"</f>
        <v>20190312151135898</v>
      </c>
      <c r="B5483" t="str">
        <f>"1552374695886625"</f>
        <v>1552374695886625</v>
      </c>
      <c r="C5483" t="s">
        <v>40</v>
      </c>
      <c r="D5483">
        <v>5.1496110000000002</v>
      </c>
      <c r="E5483">
        <v>0.49319960000000002</v>
      </c>
      <c r="F5483" t="s">
        <v>41</v>
      </c>
      <c r="G5483">
        <v>-351.44929999999999</v>
      </c>
      <c r="H5483">
        <v>0.97981289999999999</v>
      </c>
      <c r="I5483">
        <v>15.84986</v>
      </c>
      <c r="J5483">
        <v>-352.15339999999998</v>
      </c>
      <c r="K5483">
        <v>1.1096549999999901</v>
      </c>
      <c r="L5483">
        <v>15.934139999999999</v>
      </c>
      <c r="M5483">
        <v>0.99822869999999997</v>
      </c>
      <c r="N5483">
        <v>0</v>
      </c>
      <c r="O5483">
        <v>5.8240680000000003E-2</v>
      </c>
      <c r="P5483">
        <v>0.98995129999999998</v>
      </c>
      <c r="Q5483">
        <v>0.1048987</v>
      </c>
      <c r="R5483">
        <v>-9.4833070000000005E-2</v>
      </c>
      <c r="S5483">
        <v>3.0529480000000002</v>
      </c>
      <c r="T5483">
        <v>-0.42193960000000003</v>
      </c>
      <c r="U5483">
        <v>-0.2295837</v>
      </c>
      <c r="V5483">
        <v>0.1525059</v>
      </c>
      <c r="W5483">
        <v>0.11660769999999999</v>
      </c>
      <c r="X5483">
        <v>0.98139929999999997</v>
      </c>
      <c r="Y5483">
        <v>0.13115089999999999</v>
      </c>
      <c r="Z5483">
        <v>-1.7009199999999999E-2</v>
      </c>
      <c r="AA5483">
        <v>0.99121649999999994</v>
      </c>
      <c r="AB5483">
        <v>28</v>
      </c>
      <c r="AC5483">
        <v>0.70409999999998196</v>
      </c>
      <c r="AD5483">
        <v>-0.12984209999999899</v>
      </c>
      <c r="AE5483">
        <v>-8.4279999999997898E-2</v>
      </c>
      <c r="AF5483">
        <v>0.121087602296264</v>
      </c>
      <c r="AG5483">
        <v>-0.12984209999999899</v>
      </c>
      <c r="AH5483">
        <v>0.67535374800338999</v>
      </c>
      <c r="AI5483">
        <v>100.715947085663</v>
      </c>
      <c r="AJ5483">
        <v>79.835152651006993</v>
      </c>
      <c r="AK5483">
        <v>0.69830069690964403</v>
      </c>
      <c r="AL5483">
        <v>83.303636552425601</v>
      </c>
      <c r="AM5483">
        <v>81.167090190389303</v>
      </c>
      <c r="AN5483">
        <v>0.99999999563729403</v>
      </c>
    </row>
    <row r="5484" spans="1:40" x14ac:dyDescent="0.25">
      <c r="A5484" t="str">
        <f>"20190312151135909"</f>
        <v>20190312151135909</v>
      </c>
      <c r="B5484" t="str">
        <f>"1552374695896382"</f>
        <v>1552374695896382</v>
      </c>
      <c r="C5484" t="s">
        <v>40</v>
      </c>
      <c r="D5484">
        <v>5.2033250000000004</v>
      </c>
      <c r="E5484">
        <v>0.4932356</v>
      </c>
      <c r="F5484" t="s">
        <v>41</v>
      </c>
      <c r="G5484">
        <v>-351.2022</v>
      </c>
      <c r="H5484">
        <v>0.97714710000000005</v>
      </c>
      <c r="I5484">
        <v>15.86164</v>
      </c>
      <c r="J5484">
        <v>-352.01459999999997</v>
      </c>
      <c r="K5484">
        <v>1.109583</v>
      </c>
      <c r="L5484">
        <v>15.94171</v>
      </c>
      <c r="M5484">
        <v>0.99825839999999999</v>
      </c>
      <c r="N5484">
        <v>0</v>
      </c>
      <c r="O5484">
        <v>5.7725619999999998E-2</v>
      </c>
      <c r="P5484">
        <v>0.98992559999999996</v>
      </c>
      <c r="Q5484">
        <v>0.10466399999999999</v>
      </c>
      <c r="R5484">
        <v>-9.5355700000000002E-2</v>
      </c>
      <c r="S5484">
        <v>3.0533139999999999</v>
      </c>
      <c r="T5484">
        <v>-0.4252899</v>
      </c>
      <c r="U5484">
        <v>-0.23168949999999999</v>
      </c>
      <c r="V5484">
        <v>0.15253949999999999</v>
      </c>
      <c r="W5484">
        <v>0.11635860000000001</v>
      </c>
      <c r="X5484">
        <v>0.98142370000000001</v>
      </c>
      <c r="Y5484">
        <v>0.13128609999999999</v>
      </c>
      <c r="Z5484">
        <v>-1.7078619999999999E-2</v>
      </c>
      <c r="AA5484">
        <v>0.99119740000000001</v>
      </c>
      <c r="AB5484">
        <v>28</v>
      </c>
      <c r="AC5484">
        <v>0.81239999999996804</v>
      </c>
      <c r="AD5484">
        <v>-0.1324359</v>
      </c>
      <c r="AE5484">
        <v>-8.0070000000000904E-2</v>
      </c>
      <c r="AF5484">
        <v>0.123583599348021</v>
      </c>
      <c r="AG5484">
        <v>-0.1324359</v>
      </c>
      <c r="AH5484">
        <v>0.78574253783425596</v>
      </c>
      <c r="AI5484">
        <v>99.4531343047165</v>
      </c>
      <c r="AJ5484">
        <v>81.0615984723201</v>
      </c>
      <c r="AK5484">
        <v>0.80635197612385101</v>
      </c>
      <c r="AL5484">
        <v>83.318007124804396</v>
      </c>
      <c r="AM5484">
        <v>81.165391012008001</v>
      </c>
      <c r="AN5484">
        <v>1.0000000508879401</v>
      </c>
    </row>
    <row r="5485" spans="1:40" x14ac:dyDescent="0.25">
      <c r="A5485" t="str">
        <f>"20190312151135920"</f>
        <v>20190312151135920</v>
      </c>
      <c r="B5485" t="str">
        <f>"1552374695916878"</f>
        <v>1552374695916878</v>
      </c>
      <c r="C5485" t="s">
        <v>40</v>
      </c>
      <c r="D5485">
        <v>5.2093610000000004</v>
      </c>
      <c r="E5485">
        <v>0.4935949</v>
      </c>
      <c r="F5485" t="s">
        <v>41</v>
      </c>
      <c r="G5485">
        <v>-351.19490000000002</v>
      </c>
      <c r="H5485">
        <v>0.99499800000000005</v>
      </c>
      <c r="I5485">
        <v>15.878640000000001</v>
      </c>
      <c r="J5485">
        <v>-351.87849999999997</v>
      </c>
      <c r="K5485">
        <v>1.1095159999999999</v>
      </c>
      <c r="L5485">
        <v>15.949129999999901</v>
      </c>
      <c r="M5485">
        <v>0.99828830000000002</v>
      </c>
      <c r="N5485">
        <v>0</v>
      </c>
      <c r="O5485">
        <v>5.7204390000000001E-2</v>
      </c>
      <c r="P5485">
        <v>0.98988160000000003</v>
      </c>
      <c r="Q5485">
        <v>0.10456989999999899</v>
      </c>
      <c r="R5485">
        <v>-9.5916979999999999E-2</v>
      </c>
      <c r="S5485">
        <v>3.0531619999999999</v>
      </c>
      <c r="T5485">
        <v>-0.42670770000000002</v>
      </c>
      <c r="U5485">
        <v>-0.23370360000000001</v>
      </c>
      <c r="V5485">
        <v>0.15260379999999901</v>
      </c>
      <c r="W5485">
        <v>0.1162501</v>
      </c>
      <c r="X5485">
        <v>0.98142649999999998</v>
      </c>
      <c r="Y5485">
        <v>0.13141410000000001</v>
      </c>
      <c r="Z5485">
        <v>-1.707198E-2</v>
      </c>
      <c r="AA5485">
        <v>0.99118050000000002</v>
      </c>
      <c r="AB5485">
        <v>28</v>
      </c>
      <c r="AC5485">
        <v>0.68359999999995502</v>
      </c>
      <c r="AD5485">
        <v>-0.11451799999999999</v>
      </c>
      <c r="AE5485">
        <v>-7.0489999999999498E-2</v>
      </c>
      <c r="AF5485">
        <v>0.106524367018554</v>
      </c>
      <c r="AG5485">
        <v>-0.11451799999999999</v>
      </c>
      <c r="AH5485">
        <v>0.66011742712837795</v>
      </c>
      <c r="AI5485">
        <v>99.718509181107905</v>
      </c>
      <c r="AJ5485">
        <v>80.833100561979293</v>
      </c>
      <c r="AK5485">
        <v>0.67839282918622701</v>
      </c>
      <c r="AL5485">
        <v>83.324265786078598</v>
      </c>
      <c r="AM5485">
        <v>81.161750559128507</v>
      </c>
      <c r="AN5485">
        <v>0.99999999021334995</v>
      </c>
    </row>
    <row r="5486" spans="1:40" x14ac:dyDescent="0.25">
      <c r="A5486" t="str">
        <f>"20190312151135930"</f>
        <v>20190312151135930</v>
      </c>
      <c r="B5486" t="str">
        <f>"1552374695926638"</f>
        <v>1552374695926638</v>
      </c>
      <c r="C5486" t="s">
        <v>40</v>
      </c>
      <c r="D5486">
        <v>5.1917269999999904</v>
      </c>
      <c r="E5486">
        <v>0.49366290000000002</v>
      </c>
      <c r="F5486" t="s">
        <v>41</v>
      </c>
      <c r="G5486">
        <v>-350.95269999999999</v>
      </c>
      <c r="H5486">
        <v>0.97998689999999999</v>
      </c>
      <c r="I5486">
        <v>15.87659</v>
      </c>
      <c r="J5486">
        <v>-351.74029999999999</v>
      </c>
      <c r="K5486">
        <v>1.1094459999999999</v>
      </c>
      <c r="L5486">
        <v>15.95645</v>
      </c>
      <c r="M5486">
        <v>0.99832149999999997</v>
      </c>
      <c r="N5486">
        <v>0</v>
      </c>
      <c r="O5486">
        <v>5.6617300000000002E-2</v>
      </c>
      <c r="P5486">
        <v>0.9898074</v>
      </c>
      <c r="Q5486">
        <v>0.104564</v>
      </c>
      <c r="R5486">
        <v>-9.6683060000000001E-2</v>
      </c>
      <c r="S5486">
        <v>3.052673</v>
      </c>
      <c r="T5486">
        <v>-0.42697360000000001</v>
      </c>
      <c r="U5486">
        <v>-0.23834230000000001</v>
      </c>
      <c r="V5486">
        <v>0.152805</v>
      </c>
      <c r="W5486">
        <v>0.11622929999999999</v>
      </c>
      <c r="X5486">
        <v>0.98139770000000004</v>
      </c>
      <c r="Y5486">
        <v>0.1323346</v>
      </c>
      <c r="Z5486">
        <v>-1.7066689999999999E-2</v>
      </c>
      <c r="AA5486">
        <v>0.9910582</v>
      </c>
      <c r="AB5486">
        <v>28</v>
      </c>
      <c r="AC5486">
        <v>0.78759999999999697</v>
      </c>
      <c r="AD5486">
        <v>-0.12945909999999899</v>
      </c>
      <c r="AE5486">
        <v>-7.986E-2</v>
      </c>
      <c r="AF5486">
        <v>0.121088697395213</v>
      </c>
      <c r="AG5486">
        <v>-0.12945909999999899</v>
      </c>
      <c r="AH5486">
        <v>0.76145112247674596</v>
      </c>
      <c r="AI5486">
        <v>99.531425557568696</v>
      </c>
      <c r="AJ5486">
        <v>80.964278661102796</v>
      </c>
      <c r="AK5486">
        <v>0.781811961491237</v>
      </c>
      <c r="AL5486">
        <v>83.325465951503602</v>
      </c>
      <c r="AM5486">
        <v>81.150026536676194</v>
      </c>
      <c r="AN5486">
        <v>1.00000003188438</v>
      </c>
    </row>
    <row r="5487" spans="1:40" x14ac:dyDescent="0.25">
      <c r="A5487" t="str">
        <f>"20190312151135943"</f>
        <v>20190312151135943</v>
      </c>
      <c r="B5487" t="str">
        <f>"1552374695936397"</f>
        <v>1552374695936397</v>
      </c>
      <c r="C5487" t="s">
        <v>40</v>
      </c>
      <c r="D5487">
        <v>5.1876150000000001</v>
      </c>
      <c r="E5487">
        <v>0.49374400000000002</v>
      </c>
      <c r="F5487" t="s">
        <v>41</v>
      </c>
      <c r="G5487">
        <v>-350.94529999999997</v>
      </c>
      <c r="H5487">
        <v>0.99795409999999996</v>
      </c>
      <c r="I5487">
        <v>15.8934</v>
      </c>
      <c r="J5487">
        <v>-351.60160000000002</v>
      </c>
      <c r="K5487">
        <v>1.109383</v>
      </c>
      <c r="L5487">
        <v>15.963710000000001</v>
      </c>
      <c r="M5487">
        <v>0.99835660000000004</v>
      </c>
      <c r="N5487">
        <v>0</v>
      </c>
      <c r="O5487">
        <v>5.599548E-2</v>
      </c>
      <c r="P5487">
        <v>0.98976120000000001</v>
      </c>
      <c r="Q5487">
        <v>0.1044113</v>
      </c>
      <c r="R5487">
        <v>-9.7320870000000004E-2</v>
      </c>
      <c r="S5487">
        <v>3.0525820000000001</v>
      </c>
      <c r="T5487">
        <v>-0.42791010000000002</v>
      </c>
      <c r="U5487">
        <v>-0.24111940000000001</v>
      </c>
      <c r="V5487">
        <v>0.1528447</v>
      </c>
      <c r="W5487">
        <v>0.1160631</v>
      </c>
      <c r="X5487">
        <v>0.98141120000000004</v>
      </c>
      <c r="Y5487">
        <v>0.13261129999999999</v>
      </c>
      <c r="Z5487">
        <v>-1.703638E-2</v>
      </c>
      <c r="AA5487">
        <v>0.99102170000000001</v>
      </c>
      <c r="AB5487">
        <v>28</v>
      </c>
      <c r="AC5487">
        <v>0.65630000000004396</v>
      </c>
      <c r="AD5487">
        <v>-0.1114289</v>
      </c>
      <c r="AE5487">
        <v>-7.03100000000009E-2</v>
      </c>
      <c r="AF5487">
        <v>0.103988625652363</v>
      </c>
      <c r="AG5487">
        <v>-0.1114289</v>
      </c>
      <c r="AH5487">
        <v>0.63328459676850302</v>
      </c>
      <c r="AI5487">
        <v>99.849991292979894</v>
      </c>
      <c r="AJ5487">
        <v>80.674952151535507</v>
      </c>
      <c r="AK5487">
        <v>0.65136734223057502</v>
      </c>
      <c r="AL5487">
        <v>83.335053480775301</v>
      </c>
      <c r="AM5487">
        <v>81.147883492016803</v>
      </c>
      <c r="AN5487">
        <v>1.0000000444925601</v>
      </c>
    </row>
    <row r="5488" spans="1:40" x14ac:dyDescent="0.25">
      <c r="A5488" t="str">
        <f>"20190312151135953"</f>
        <v>20190312151135953</v>
      </c>
      <c r="B5488" t="str">
        <f>"1552374695947135"</f>
        <v>1552374695947135</v>
      </c>
      <c r="C5488" t="s">
        <v>40</v>
      </c>
      <c r="D5488">
        <v>5.1492129999999996</v>
      </c>
      <c r="E5488">
        <v>0.49373860000000003</v>
      </c>
      <c r="F5488" t="s">
        <v>41</v>
      </c>
      <c r="G5488">
        <v>-350.7029</v>
      </c>
      <c r="H5488">
        <v>0.98342450000000003</v>
      </c>
      <c r="I5488">
        <v>15.89161</v>
      </c>
      <c r="J5488">
        <v>-351.4547</v>
      </c>
      <c r="K5488">
        <v>1.109316</v>
      </c>
      <c r="L5488">
        <v>15.971279999999901</v>
      </c>
      <c r="M5488">
        <v>0.99839580000000006</v>
      </c>
      <c r="N5488">
        <v>0</v>
      </c>
      <c r="O5488">
        <v>5.5289989999999997E-2</v>
      </c>
      <c r="P5488">
        <v>0.98967950000000005</v>
      </c>
      <c r="Q5488">
        <v>0.1043943</v>
      </c>
      <c r="R5488">
        <v>-9.8167229999999994E-2</v>
      </c>
      <c r="S5488">
        <v>3.0521850000000001</v>
      </c>
      <c r="T5488">
        <v>-0.4276721</v>
      </c>
      <c r="U5488">
        <v>-0.24374390000000001</v>
      </c>
      <c r="V5488">
        <v>0.15300929999999999</v>
      </c>
      <c r="W5488">
        <v>0.1160313</v>
      </c>
      <c r="X5488">
        <v>0.98138930000000002</v>
      </c>
      <c r="Y5488">
        <v>0.1327749</v>
      </c>
      <c r="Z5488">
        <v>-1.694184E-2</v>
      </c>
      <c r="AA5488">
        <v>0.99100140000000003</v>
      </c>
      <c r="AB5488">
        <v>28</v>
      </c>
      <c r="AC5488">
        <v>0.75180000000000202</v>
      </c>
      <c r="AD5488">
        <v>-0.12589149999999899</v>
      </c>
      <c r="AE5488">
        <v>-7.9669999999998298E-2</v>
      </c>
      <c r="AF5488">
        <v>0.117850320678274</v>
      </c>
      <c r="AG5488">
        <v>-0.12589149999999899</v>
      </c>
      <c r="AH5488">
        <v>0.72611005833381503</v>
      </c>
      <c r="AI5488">
        <v>99.711434185516197</v>
      </c>
      <c r="AJ5488">
        <v>80.781074086823395</v>
      </c>
      <c r="AK5488">
        <v>0.74630636113446003</v>
      </c>
      <c r="AL5488">
        <v>83.336887805388898</v>
      </c>
      <c r="AM5488">
        <v>81.138307166220997</v>
      </c>
      <c r="AN5488">
        <v>1.00000003331033</v>
      </c>
    </row>
    <row r="5489" spans="1:40" x14ac:dyDescent="0.25">
      <c r="A5489" t="str">
        <f>"20190312151135965"</f>
        <v>20190312151135965</v>
      </c>
      <c r="B5489" t="str">
        <f>"1552374695956893"</f>
        <v>1552374695956893</v>
      </c>
      <c r="C5489" t="s">
        <v>40</v>
      </c>
      <c r="D5489">
        <v>5.2020049999999998</v>
      </c>
      <c r="E5489">
        <v>0.49389290000000002</v>
      </c>
      <c r="F5489" t="s">
        <v>41</v>
      </c>
      <c r="G5489">
        <v>-350.69499999999999</v>
      </c>
      <c r="H5489">
        <v>1.0023329999999999</v>
      </c>
      <c r="I5489">
        <v>15.90962</v>
      </c>
      <c r="J5489">
        <v>-351.31889999999999</v>
      </c>
      <c r="K5489">
        <v>1.1092569999999999</v>
      </c>
      <c r="L5489">
        <v>15.978120000000001</v>
      </c>
      <c r="M5489">
        <v>0.99843419999999905</v>
      </c>
      <c r="N5489">
        <v>0</v>
      </c>
      <c r="O5489">
        <v>5.4589940000000003E-2</v>
      </c>
      <c r="P5489">
        <v>0.98960380000000003</v>
      </c>
      <c r="Q5489">
        <v>0.1044954</v>
      </c>
      <c r="R5489">
        <v>-9.8820389999999994E-2</v>
      </c>
      <c r="S5489">
        <v>3.0521850000000001</v>
      </c>
      <c r="T5489">
        <v>-0.4296856</v>
      </c>
      <c r="U5489">
        <v>-0.2463379</v>
      </c>
      <c r="V5489">
        <v>0.15298499999999901</v>
      </c>
      <c r="W5489">
        <v>0.116119899999999</v>
      </c>
      <c r="X5489">
        <v>0.98138250000000005</v>
      </c>
      <c r="Y5489">
        <v>0.13290560000000001</v>
      </c>
      <c r="Z5489">
        <v>-1.6931519999999999E-2</v>
      </c>
      <c r="AA5489">
        <v>0.99098410000000003</v>
      </c>
      <c r="AB5489">
        <v>28</v>
      </c>
      <c r="AC5489">
        <v>0.62389999999999102</v>
      </c>
      <c r="AD5489">
        <v>-0.10692400000000001</v>
      </c>
      <c r="AE5489">
        <v>-6.85000000000002E-2</v>
      </c>
      <c r="AF5489">
        <v>9.9569412808445196E-2</v>
      </c>
      <c r="AG5489">
        <v>-0.10692400000000001</v>
      </c>
      <c r="AH5489">
        <v>0.60176583544697604</v>
      </c>
      <c r="AI5489">
        <v>99.942938061148794</v>
      </c>
      <c r="AJ5489">
        <v>80.604844566387698</v>
      </c>
      <c r="AK5489">
        <v>0.61924868223857799</v>
      </c>
      <c r="AL5489">
        <v>83.331776134944604</v>
      </c>
      <c r="AM5489">
        <v>81.139631775303101</v>
      </c>
      <c r="AN5489">
        <v>0.999999926353627</v>
      </c>
    </row>
    <row r="5490" spans="1:40" x14ac:dyDescent="0.25">
      <c r="A5490" t="str">
        <f>"20190312151135976"</f>
        <v>20190312151135976</v>
      </c>
      <c r="B5490" t="str">
        <f>"1552374695966652"</f>
        <v>1552374695966652</v>
      </c>
      <c r="C5490" t="s">
        <v>40</v>
      </c>
      <c r="D5490">
        <v>5.1765780000000001</v>
      </c>
      <c r="E5490">
        <v>0.49401830000000002</v>
      </c>
      <c r="F5490" t="s">
        <v>41</v>
      </c>
      <c r="G5490">
        <v>-350.45310000000001</v>
      </c>
      <c r="H5490">
        <v>0.98717359999999998</v>
      </c>
      <c r="I5490">
        <v>15.907109999999999</v>
      </c>
      <c r="J5490">
        <v>-351.17450000000002</v>
      </c>
      <c r="K5490">
        <v>1.1091949999999999</v>
      </c>
      <c r="L5490">
        <v>15.985290000000001</v>
      </c>
      <c r="M5490">
        <v>0.99847580000000002</v>
      </c>
      <c r="N5490">
        <v>0</v>
      </c>
      <c r="O5490">
        <v>5.3821340000000002E-2</v>
      </c>
      <c r="P5490">
        <v>0.98950329999999997</v>
      </c>
      <c r="Q5490">
        <v>0.1045355</v>
      </c>
      <c r="R5490">
        <v>-9.9780339999999995E-2</v>
      </c>
      <c r="S5490">
        <v>3.052063</v>
      </c>
      <c r="T5490">
        <v>-0.4302416</v>
      </c>
      <c r="U5490">
        <v>-0.24948119999999999</v>
      </c>
      <c r="V5490">
        <v>0.1531991</v>
      </c>
      <c r="W5490">
        <v>0.116145899999999</v>
      </c>
      <c r="X5490">
        <v>0.9813461</v>
      </c>
      <c r="Y5490">
        <v>0.13316029999999901</v>
      </c>
      <c r="Z5490">
        <v>-1.6863429999999999E-2</v>
      </c>
      <c r="AA5490">
        <v>0.99095109999999997</v>
      </c>
      <c r="AB5490">
        <v>28</v>
      </c>
      <c r="AC5490">
        <v>0.72140000000001603</v>
      </c>
      <c r="AD5490">
        <v>-0.1220214</v>
      </c>
      <c r="AE5490">
        <v>-7.8179999999997904E-2</v>
      </c>
      <c r="AF5490">
        <v>0.113681592617041</v>
      </c>
      <c r="AG5490">
        <v>-0.1220214</v>
      </c>
      <c r="AH5490">
        <v>0.696451893626437</v>
      </c>
      <c r="AI5490">
        <v>99.8103434858957</v>
      </c>
      <c r="AJ5490">
        <v>80.729388635966899</v>
      </c>
      <c r="AK5490">
        <v>0.71614102430579796</v>
      </c>
      <c r="AL5490">
        <v>83.330276797361705</v>
      </c>
      <c r="AM5490">
        <v>81.127105123817401</v>
      </c>
      <c r="AN5490">
        <v>1.0000000011564101</v>
      </c>
    </row>
    <row r="5491" spans="1:40" x14ac:dyDescent="0.25">
      <c r="A5491" t="str">
        <f>"20190312151135990"</f>
        <v>20190312151135990</v>
      </c>
      <c r="B5491" t="str">
        <f>"1552374695987149"</f>
        <v>1552374695987149</v>
      </c>
      <c r="C5491" t="s">
        <v>40</v>
      </c>
      <c r="D5491">
        <v>5.16587</v>
      </c>
      <c r="E5491">
        <v>0.49439060000000001</v>
      </c>
      <c r="F5491" t="s">
        <v>41</v>
      </c>
      <c r="G5491">
        <v>-350.44499999999999</v>
      </c>
      <c r="H5491">
        <v>1.0061819999999999</v>
      </c>
      <c r="I5491">
        <v>15.924519999999999</v>
      </c>
      <c r="J5491">
        <v>-351.01530000000002</v>
      </c>
      <c r="K5491">
        <v>1.1091329999999999</v>
      </c>
      <c r="L5491">
        <v>15.99292</v>
      </c>
      <c r="M5491">
        <v>0.99852459999999998</v>
      </c>
      <c r="N5491">
        <v>0</v>
      </c>
      <c r="O5491">
        <v>5.2907740000000002E-2</v>
      </c>
      <c r="P5491">
        <v>0.9894404</v>
      </c>
      <c r="Q5491">
        <v>0.1041802</v>
      </c>
      <c r="R5491">
        <v>-0.1007704</v>
      </c>
      <c r="S5491">
        <v>3.0518190000000001</v>
      </c>
      <c r="T5491">
        <v>-0.4307898</v>
      </c>
      <c r="U5491">
        <v>-0.25329590000000002</v>
      </c>
      <c r="V5491">
        <v>0.1533021</v>
      </c>
      <c r="W5491">
        <v>0.1157765</v>
      </c>
      <c r="X5491">
        <v>0.98137370000000002</v>
      </c>
      <c r="Y5491">
        <v>0.13349140000000001</v>
      </c>
      <c r="Z5491">
        <v>-1.6780349999999999E-2</v>
      </c>
      <c r="AA5491">
        <v>0.99090789999999995</v>
      </c>
      <c r="AB5491">
        <v>28</v>
      </c>
      <c r="AC5491">
        <v>0.570300000000031</v>
      </c>
      <c r="AD5491">
        <v>-0.102951</v>
      </c>
      <c r="AE5491">
        <v>-6.8400000000000405E-2</v>
      </c>
      <c r="AF5491">
        <v>9.5414473220786195E-2</v>
      </c>
      <c r="AG5491">
        <v>-0.102951</v>
      </c>
      <c r="AH5491">
        <v>0.54826849115770504</v>
      </c>
      <c r="AI5491">
        <v>100.480903187876</v>
      </c>
      <c r="AJ5491">
        <v>80.127759020593899</v>
      </c>
      <c r="AK5491">
        <v>0.56595156020400395</v>
      </c>
      <c r="AL5491">
        <v>83.351585842062093</v>
      </c>
      <c r="AM5491">
        <v>81.121480371291199</v>
      </c>
      <c r="AN5491">
        <v>1.00000003543417</v>
      </c>
    </row>
    <row r="5492" spans="1:40" x14ac:dyDescent="0.25">
      <c r="A5492" t="str">
        <f>"20190312151136002"</f>
        <v>20190312151136002</v>
      </c>
      <c r="B5492" t="str">
        <f>"1552374695996909"</f>
        <v>1552374695996909</v>
      </c>
      <c r="C5492" t="s">
        <v>40</v>
      </c>
      <c r="D5492">
        <v>5.2468170000000001</v>
      </c>
      <c r="E5492">
        <v>0.49451669999999998</v>
      </c>
      <c r="F5492" t="s">
        <v>41</v>
      </c>
      <c r="G5492">
        <v>-350.20170000000002</v>
      </c>
      <c r="H5492">
        <v>0.99421499999999996</v>
      </c>
      <c r="I5492">
        <v>15.923539999999999</v>
      </c>
      <c r="J5492">
        <v>-350.85649999999998</v>
      </c>
      <c r="K5492">
        <v>1.1090709999999999</v>
      </c>
      <c r="L5492">
        <v>16.000429999999898</v>
      </c>
      <c r="M5492">
        <v>0.99857370000000001</v>
      </c>
      <c r="N5492">
        <v>0</v>
      </c>
      <c r="O5492">
        <v>5.1970410000000002E-2</v>
      </c>
      <c r="P5492">
        <v>0.98933329999999997</v>
      </c>
      <c r="Q5492">
        <v>0.10403610000000001</v>
      </c>
      <c r="R5492">
        <v>-0.1019621</v>
      </c>
      <c r="S5492">
        <v>3.0510250000000001</v>
      </c>
      <c r="T5492">
        <v>-0.43085669999999998</v>
      </c>
      <c r="U5492">
        <v>-0.25915529999999998</v>
      </c>
      <c r="V5492">
        <v>0.15358050000000001</v>
      </c>
      <c r="W5492">
        <v>0.11561780000000001</v>
      </c>
      <c r="X5492">
        <v>0.98134880000000002</v>
      </c>
      <c r="Y5492">
        <v>0.1344706</v>
      </c>
      <c r="Z5492">
        <v>-1.6723180000000001E-2</v>
      </c>
      <c r="AA5492">
        <v>0.99077649999999995</v>
      </c>
      <c r="AB5492">
        <v>28</v>
      </c>
      <c r="AC5492">
        <v>0.65479999999996596</v>
      </c>
      <c r="AD5492">
        <v>-0.114855999999999</v>
      </c>
      <c r="AE5492">
        <v>-7.6889999999998696E-2</v>
      </c>
      <c r="AF5492">
        <v>0.107554684459316</v>
      </c>
      <c r="AG5492">
        <v>-0.114855999999999</v>
      </c>
      <c r="AH5492">
        <v>0.63077536066071405</v>
      </c>
      <c r="AI5492">
        <v>100.176019405758</v>
      </c>
      <c r="AJ5492">
        <v>80.323453040154604</v>
      </c>
      <c r="AK5492">
        <v>0.65010573486302803</v>
      </c>
      <c r="AL5492">
        <v>83.360739630734997</v>
      </c>
      <c r="AM5492">
        <v>81.105392273365297</v>
      </c>
      <c r="AN5492">
        <v>0.99999995645926398</v>
      </c>
    </row>
    <row r="5493" spans="1:40" x14ac:dyDescent="0.25">
      <c r="A5493" t="str">
        <f>"20190312151136020"</f>
        <v>20190312151136020</v>
      </c>
      <c r="B5493" t="str">
        <f>"1552374696016429"</f>
        <v>1552374696016429</v>
      </c>
      <c r="C5493" t="s">
        <v>40</v>
      </c>
      <c r="D5493">
        <v>5.1513669999999996</v>
      </c>
      <c r="E5493">
        <v>0.49485849999999998</v>
      </c>
      <c r="F5493" t="s">
        <v>41</v>
      </c>
      <c r="G5493">
        <v>-349.95830000000001</v>
      </c>
      <c r="H5493">
        <v>0.98255309999999996</v>
      </c>
      <c r="I5493">
        <v>15.922779999999999</v>
      </c>
      <c r="J5493">
        <v>-350.6377</v>
      </c>
      <c r="K5493">
        <v>1.108992</v>
      </c>
      <c r="L5493">
        <v>16.010439999999999</v>
      </c>
      <c r="M5493">
        <v>0.9986429</v>
      </c>
      <c r="N5493">
        <v>0</v>
      </c>
      <c r="O5493">
        <v>5.0618249999999997E-2</v>
      </c>
      <c r="P5493">
        <v>0.98921289999999995</v>
      </c>
      <c r="Q5493">
        <v>0.1033353</v>
      </c>
      <c r="R5493">
        <v>-0.1038265</v>
      </c>
      <c r="S5493">
        <v>3.0503230000000001</v>
      </c>
      <c r="T5493">
        <v>-0.42955680000000002</v>
      </c>
      <c r="U5493">
        <v>-0.26379390000000003</v>
      </c>
      <c r="V5493">
        <v>0.15412419999999999</v>
      </c>
      <c r="W5493">
        <v>0.1148988</v>
      </c>
      <c r="X5493">
        <v>0.981348</v>
      </c>
      <c r="Y5493">
        <v>0.13466600000000001</v>
      </c>
      <c r="Z5493">
        <v>-1.6500509999999999E-2</v>
      </c>
      <c r="AA5493">
        <v>0.99075369999999996</v>
      </c>
      <c r="AB5493">
        <v>28</v>
      </c>
      <c r="AC5493">
        <v>0.67939999999998602</v>
      </c>
      <c r="AD5493">
        <v>-0.12643889999999999</v>
      </c>
      <c r="AE5493">
        <v>-8.7659999999999599E-2</v>
      </c>
      <c r="AF5493">
        <v>0.117922895946977</v>
      </c>
      <c r="AG5493">
        <v>-0.12643889999999999</v>
      </c>
      <c r="AH5493">
        <v>0.65188338219089204</v>
      </c>
      <c r="AI5493">
        <v>100.805611911792</v>
      </c>
      <c r="AJ5493">
        <v>79.746325210323505</v>
      </c>
      <c r="AK5493">
        <v>0.67442164022098805</v>
      </c>
      <c r="AL5493">
        <v>83.402211645632505</v>
      </c>
      <c r="AM5493">
        <v>81.074402848546896</v>
      </c>
      <c r="AN5493">
        <v>0.999999950185538</v>
      </c>
    </row>
    <row r="5494" spans="1:40" x14ac:dyDescent="0.25">
      <c r="A5494" t="str">
        <f>"20190312151136032"</f>
        <v>20190312151136032</v>
      </c>
      <c r="B5494" t="str">
        <f>"1552374696027165"</f>
        <v>1552374696027165</v>
      </c>
      <c r="C5494" t="s">
        <v>40</v>
      </c>
      <c r="D5494">
        <v>5.2087659999999998</v>
      </c>
      <c r="E5494">
        <v>0.49500319999999998</v>
      </c>
      <c r="F5494" t="s">
        <v>41</v>
      </c>
      <c r="G5494">
        <v>-349.71179999999998</v>
      </c>
      <c r="H5494">
        <v>0.97785679999999997</v>
      </c>
      <c r="I5494">
        <v>15.927580000000001</v>
      </c>
      <c r="J5494">
        <v>-350.48950000000002</v>
      </c>
      <c r="K5494">
        <v>1.108951</v>
      </c>
      <c r="L5494">
        <v>16.016970000000001</v>
      </c>
      <c r="M5494">
        <v>0.99869059999999998</v>
      </c>
      <c r="N5494">
        <v>0</v>
      </c>
      <c r="O5494">
        <v>4.9666000000000002E-2</v>
      </c>
      <c r="P5494">
        <v>0.98909840000000004</v>
      </c>
      <c r="Q5494">
        <v>0.10305739999999899</v>
      </c>
      <c r="R5494">
        <v>-0.1051858</v>
      </c>
      <c r="S5494">
        <v>3.0492859999999999</v>
      </c>
      <c r="T5494">
        <v>-0.43172569999999999</v>
      </c>
      <c r="U5494">
        <v>-0.27172849999999998</v>
      </c>
      <c r="V5494">
        <v>0.15454960000000001</v>
      </c>
      <c r="W5494">
        <v>0.1146104</v>
      </c>
      <c r="X5494">
        <v>0.98131489999999999</v>
      </c>
      <c r="Y5494">
        <v>0.13628289999999901</v>
      </c>
      <c r="Z5494">
        <v>-1.6566580000000001E-2</v>
      </c>
      <c r="AA5494">
        <v>0.99053139999999995</v>
      </c>
      <c r="AB5494">
        <v>28</v>
      </c>
      <c r="AC5494">
        <v>0.77770000000003803</v>
      </c>
      <c r="AD5494">
        <v>-0.13109419999999899</v>
      </c>
      <c r="AE5494">
        <v>-8.9390000000001593E-2</v>
      </c>
      <c r="AF5494">
        <v>0.124418601594438</v>
      </c>
      <c r="AG5494">
        <v>-0.13109419999999899</v>
      </c>
      <c r="AH5494">
        <v>0.75123241370857796</v>
      </c>
      <c r="AI5494">
        <v>99.768303358547698</v>
      </c>
      <c r="AJ5494">
        <v>80.596074375490801</v>
      </c>
      <c r="AK5494">
        <v>0.77266798633227396</v>
      </c>
      <c r="AL5494">
        <v>83.418846148717194</v>
      </c>
      <c r="AM5494">
        <v>81.049868459937002</v>
      </c>
      <c r="AN5494">
        <v>1.00000002780516</v>
      </c>
    </row>
    <row r="5495" spans="1:40" x14ac:dyDescent="0.25">
      <c r="A5495" t="str">
        <f>"20190312151136042"</f>
        <v>20190312151136042</v>
      </c>
      <c r="B5495" t="str">
        <f>"1552374696036925"</f>
        <v>1552374696036925</v>
      </c>
      <c r="C5495" t="s">
        <v>40</v>
      </c>
      <c r="D5495">
        <v>5.221571</v>
      </c>
      <c r="E5495">
        <v>0.49522450000000001</v>
      </c>
      <c r="F5495" t="s">
        <v>41</v>
      </c>
      <c r="G5495">
        <v>-349.70350000000002</v>
      </c>
      <c r="H5495">
        <v>0.99757929999999995</v>
      </c>
      <c r="I5495">
        <v>15.9452</v>
      </c>
      <c r="J5495">
        <v>-350.35910000000001</v>
      </c>
      <c r="K5495">
        <v>1.1089180000000001</v>
      </c>
      <c r="L5495">
        <v>16.022579999999898</v>
      </c>
      <c r="M5495">
        <v>0.99873250000000002</v>
      </c>
      <c r="N5495">
        <v>0</v>
      </c>
      <c r="O5495">
        <v>4.8816739999999997E-2</v>
      </c>
      <c r="P5495">
        <v>0.98899970000000004</v>
      </c>
      <c r="Q5495">
        <v>0.10283349999999999</v>
      </c>
      <c r="R5495">
        <v>-0.10632610000000001</v>
      </c>
      <c r="S5495">
        <v>3.0486149999999999</v>
      </c>
      <c r="T5495">
        <v>-0.43182310000000002</v>
      </c>
      <c r="U5495">
        <v>-0.27703860000000002</v>
      </c>
      <c r="V5495">
        <v>0.15485639999999901</v>
      </c>
      <c r="W5495">
        <v>0.1143787</v>
      </c>
      <c r="X5495">
        <v>0.98129359999999999</v>
      </c>
      <c r="Y5495">
        <v>0.13716970000000001</v>
      </c>
      <c r="Z5495">
        <v>-1.651557E-2</v>
      </c>
      <c r="AA5495">
        <v>0.99040989999999995</v>
      </c>
      <c r="AB5495">
        <v>28</v>
      </c>
      <c r="AC5495">
        <v>0.65559999999999197</v>
      </c>
      <c r="AD5495">
        <v>-0.1113387</v>
      </c>
      <c r="AE5495">
        <v>-7.7379999999997895E-2</v>
      </c>
      <c r="AF5495">
        <v>0.10627149700128299</v>
      </c>
      <c r="AG5495">
        <v>-0.1113387</v>
      </c>
      <c r="AH5495">
        <v>0.633033868920029</v>
      </c>
      <c r="AI5495">
        <v>99.840270831758701</v>
      </c>
      <c r="AJ5495">
        <v>80.470247347605806</v>
      </c>
      <c r="AK5495">
        <v>0.65147664301373398</v>
      </c>
      <c r="AL5495">
        <v>83.432209675066503</v>
      </c>
      <c r="AM5495">
        <v>81.032198318695805</v>
      </c>
      <c r="AN5495">
        <v>1.0000000605178001</v>
      </c>
    </row>
    <row r="5496" spans="1:40" x14ac:dyDescent="0.25">
      <c r="A5496" t="str">
        <f>"20190312151136056"</f>
        <v>20190312151136056</v>
      </c>
      <c r="B5496" t="str">
        <f>"1552374696046685"</f>
        <v>1552374696046685</v>
      </c>
      <c r="C5496" t="s">
        <v>40</v>
      </c>
      <c r="D5496">
        <v>5.2427460000000004</v>
      </c>
      <c r="E5496">
        <v>0.49535479999999998</v>
      </c>
      <c r="F5496" t="s">
        <v>41</v>
      </c>
      <c r="G5496">
        <v>-349.46199999999999</v>
      </c>
      <c r="H5496">
        <v>0.98148069999999998</v>
      </c>
      <c r="I5496">
        <v>15.939679999999999</v>
      </c>
      <c r="J5496">
        <v>-350.19049999999999</v>
      </c>
      <c r="K5496">
        <v>1.1088830000000001</v>
      </c>
      <c r="L5496">
        <v>16.029689999999999</v>
      </c>
      <c r="M5496">
        <v>0.99878639999999996</v>
      </c>
      <c r="N5496">
        <v>0</v>
      </c>
      <c r="O5496">
        <v>4.769905E-2</v>
      </c>
      <c r="P5496">
        <v>0.98885140000000005</v>
      </c>
      <c r="Q5496">
        <v>0.1024934</v>
      </c>
      <c r="R5496">
        <v>-0.1080204</v>
      </c>
      <c r="S5496">
        <v>3.048035</v>
      </c>
      <c r="T5496">
        <v>-0.43299979999999899</v>
      </c>
      <c r="U5496">
        <v>-0.28201290000000001</v>
      </c>
      <c r="V5496">
        <v>0.15545030000000001</v>
      </c>
      <c r="W5496">
        <v>0.11402909999999999</v>
      </c>
      <c r="X5496">
        <v>0.98124029999999995</v>
      </c>
      <c r="Y5496">
        <v>0.13767699999999999</v>
      </c>
      <c r="Z5496">
        <v>-1.644017E-2</v>
      </c>
      <c r="AA5496">
        <v>0.99034069999999996</v>
      </c>
      <c r="AB5496">
        <v>28</v>
      </c>
      <c r="AC5496">
        <v>0.72849999999999604</v>
      </c>
      <c r="AD5496">
        <v>-0.1274023</v>
      </c>
      <c r="AE5496">
        <v>-9.0009999999999396E-2</v>
      </c>
      <c r="AF5496">
        <v>0.12101346963391101</v>
      </c>
      <c r="AG5496">
        <v>-0.1274023</v>
      </c>
      <c r="AH5496">
        <v>0.70222303497887195</v>
      </c>
      <c r="AI5496">
        <v>100.136902984084</v>
      </c>
      <c r="AJ5496">
        <v>80.222305030257004</v>
      </c>
      <c r="AK5496">
        <v>0.72387346734983005</v>
      </c>
      <c r="AL5496">
        <v>83.452371658281606</v>
      </c>
      <c r="AM5496">
        <v>80.997886470304195</v>
      </c>
      <c r="AN5496">
        <v>0.99999997888049397</v>
      </c>
    </row>
    <row r="5497" spans="1:40" x14ac:dyDescent="0.25">
      <c r="A5497" t="str">
        <f>"20190312151136071"</f>
        <v>20190312151136071</v>
      </c>
      <c r="B5497" t="str">
        <f>"1552374696067182"</f>
        <v>1552374696067182</v>
      </c>
      <c r="C5497" t="s">
        <v>40</v>
      </c>
      <c r="D5497">
        <v>5.1856720000000003</v>
      </c>
      <c r="E5497">
        <v>0.49565710000000002</v>
      </c>
      <c r="F5497" t="s">
        <v>41</v>
      </c>
      <c r="G5497">
        <v>-349.45229999999998</v>
      </c>
      <c r="H5497">
        <v>1.0040910000000001</v>
      </c>
      <c r="I5497">
        <v>15.96001</v>
      </c>
      <c r="J5497">
        <v>-350.00909999999999</v>
      </c>
      <c r="K5497">
        <v>1.108859</v>
      </c>
      <c r="L5497">
        <v>16.037050000000001</v>
      </c>
      <c r="M5497">
        <v>0.99884410000000001</v>
      </c>
      <c r="N5497">
        <v>0</v>
      </c>
      <c r="O5497">
        <v>4.6474229999999998E-2</v>
      </c>
      <c r="P5497">
        <v>0.98871120000000001</v>
      </c>
      <c r="Q5497">
        <v>0.10218670000000001</v>
      </c>
      <c r="R5497">
        <v>-0.1095838</v>
      </c>
      <c r="S5497">
        <v>3.04718</v>
      </c>
      <c r="T5497">
        <v>-0.43256800000000001</v>
      </c>
      <c r="U5497">
        <v>-0.28802489999999997</v>
      </c>
      <c r="V5497">
        <v>0.1558061</v>
      </c>
      <c r="W5497">
        <v>0.113717899999999</v>
      </c>
      <c r="X5497">
        <v>0.98121999999999998</v>
      </c>
      <c r="Y5497">
        <v>0.1384329</v>
      </c>
      <c r="Z5497">
        <v>-1.6307660000000002E-2</v>
      </c>
      <c r="AA5497">
        <v>0.99023749999999999</v>
      </c>
      <c r="AB5497">
        <v>28</v>
      </c>
      <c r="AC5497">
        <v>0.55680000000000895</v>
      </c>
      <c r="AD5497">
        <v>-0.104767999999999</v>
      </c>
      <c r="AE5497">
        <v>-7.7040000000000206E-2</v>
      </c>
      <c r="AF5497">
        <v>9.9383030544578296E-2</v>
      </c>
      <c r="AG5497">
        <v>-0.104767999999999</v>
      </c>
      <c r="AH5497">
        <v>0.53406451470340899</v>
      </c>
      <c r="AI5497">
        <v>100.916052370868</v>
      </c>
      <c r="AJ5497">
        <v>79.458515271227</v>
      </c>
      <c r="AK5497">
        <v>0.55324337000059298</v>
      </c>
      <c r="AL5497">
        <v>83.470318952811695</v>
      </c>
      <c r="AM5497">
        <v>80.977437087067401</v>
      </c>
      <c r="AN5497">
        <v>0.99999999498880998</v>
      </c>
    </row>
    <row r="5498" spans="1:40" x14ac:dyDescent="0.25">
      <c r="A5498" t="str">
        <f>"20190312151136088"</f>
        <v>20190312151136088</v>
      </c>
      <c r="B5498" t="str">
        <f>"1552374696076941"</f>
        <v>1552374696076941</v>
      </c>
      <c r="C5498" t="s">
        <v>40</v>
      </c>
      <c r="D5498">
        <v>5.2466239999999997</v>
      </c>
      <c r="E5498">
        <v>0.49565710000000002</v>
      </c>
      <c r="F5498" t="s">
        <v>41</v>
      </c>
      <c r="G5498">
        <v>-349.20780000000002</v>
      </c>
      <c r="H5498">
        <v>0.99503269999999999</v>
      </c>
      <c r="I5498">
        <v>15.95928</v>
      </c>
      <c r="J5498">
        <v>-349.78730000000002</v>
      </c>
      <c r="K5498">
        <v>1.1088359999999999</v>
      </c>
      <c r="L5498">
        <v>16.045750000000002</v>
      </c>
      <c r="M5498">
        <v>0.9989131</v>
      </c>
      <c r="N5498">
        <v>0</v>
      </c>
      <c r="O5498">
        <v>4.4963349999999999E-2</v>
      </c>
      <c r="P5498">
        <v>0.98849949999999998</v>
      </c>
      <c r="Q5498">
        <v>0.1016869</v>
      </c>
      <c r="R5498">
        <v>-0.1119324</v>
      </c>
      <c r="S5498">
        <v>3.046265</v>
      </c>
      <c r="T5498">
        <v>-0.43271589999999999</v>
      </c>
      <c r="U5498">
        <v>-0.29501339999999998</v>
      </c>
      <c r="V5498">
        <v>0.156660299999999</v>
      </c>
      <c r="W5498">
        <v>0.1132133</v>
      </c>
      <c r="X5498">
        <v>0.98114230000000002</v>
      </c>
      <c r="Y5498">
        <v>0.1392196</v>
      </c>
      <c r="Z5498">
        <v>-1.615867E-2</v>
      </c>
      <c r="AA5498">
        <v>0.9901297</v>
      </c>
      <c r="AB5498">
        <v>28</v>
      </c>
      <c r="AC5498">
        <v>0.57949999999999502</v>
      </c>
      <c r="AD5498">
        <v>-0.1138033</v>
      </c>
      <c r="AE5498">
        <v>-8.6470000000002004E-2</v>
      </c>
      <c r="AF5498">
        <v>0.108353048492719</v>
      </c>
      <c r="AG5498">
        <v>-0.1138033</v>
      </c>
      <c r="AH5498">
        <v>0.55412085874456096</v>
      </c>
      <c r="AI5498">
        <v>101.39579793164501</v>
      </c>
      <c r="AJ5498">
        <v>78.935962214832998</v>
      </c>
      <c r="AK5498">
        <v>0.57597005156897296</v>
      </c>
      <c r="AL5498">
        <v>83.499418080712502</v>
      </c>
      <c r="AM5498">
        <v>80.928085143234298</v>
      </c>
      <c r="AN5498">
        <v>0.99999995687113397</v>
      </c>
    </row>
    <row r="5499" spans="1:40" x14ac:dyDescent="0.25">
      <c r="A5499" t="str">
        <f>"20190312151136103"</f>
        <v>20190312151136103</v>
      </c>
      <c r="B5499" t="str">
        <f>"1552374696096463"</f>
        <v>1552374696096463</v>
      </c>
      <c r="C5499" t="s">
        <v>40</v>
      </c>
      <c r="D5499">
        <v>5.1861920000000001</v>
      </c>
      <c r="E5499">
        <v>0.52147290000000002</v>
      </c>
      <c r="F5499" t="s">
        <v>41</v>
      </c>
      <c r="G5499">
        <v>-348.96120000000002</v>
      </c>
      <c r="H5499">
        <v>0.99103779999999997</v>
      </c>
      <c r="I5499">
        <v>15.963760000000001</v>
      </c>
      <c r="J5499">
        <v>-349.60860000000002</v>
      </c>
      <c r="K5499">
        <v>1.1088249999999999</v>
      </c>
      <c r="L5499">
        <v>16.052520000000001</v>
      </c>
      <c r="M5499">
        <v>0.99896750000000001</v>
      </c>
      <c r="N5499">
        <v>0</v>
      </c>
      <c r="O5499">
        <v>4.3739010000000002E-2</v>
      </c>
      <c r="P5499">
        <v>0.98835620000000002</v>
      </c>
      <c r="Q5499">
        <v>0.1014268</v>
      </c>
      <c r="R5499">
        <v>-0.1134247</v>
      </c>
      <c r="S5499">
        <v>3.04541</v>
      </c>
      <c r="T5499">
        <v>-0.43422060000000001</v>
      </c>
      <c r="U5499">
        <v>-0.30191040000000002</v>
      </c>
      <c r="V5499">
        <v>0.15694249999999901</v>
      </c>
      <c r="W5499">
        <v>0.1129527</v>
      </c>
      <c r="X5499">
        <v>0.98112730000000004</v>
      </c>
      <c r="Y5499">
        <v>0.1402426</v>
      </c>
      <c r="Z5499">
        <v>-1.6116149999999999E-2</v>
      </c>
      <c r="AA5499">
        <v>0.98998600000000003</v>
      </c>
      <c r="AB5499">
        <v>28</v>
      </c>
      <c r="AC5499">
        <v>0.64740000000000397</v>
      </c>
      <c r="AD5499">
        <v>-0.117787199999999</v>
      </c>
      <c r="AE5499">
        <v>-8.8760000000000602E-2</v>
      </c>
      <c r="AF5499">
        <v>0.113312187200362</v>
      </c>
      <c r="AG5499">
        <v>-0.117787199999999</v>
      </c>
      <c r="AH5499">
        <v>0.62266670525453305</v>
      </c>
      <c r="AI5499">
        <v>100.542655361291</v>
      </c>
      <c r="AJ5499">
        <v>79.686241307156493</v>
      </c>
      <c r="AK5499">
        <v>0.64376028309030198</v>
      </c>
      <c r="AL5499">
        <v>83.514446165611602</v>
      </c>
      <c r="AM5499">
        <v>80.911879305002898</v>
      </c>
      <c r="AN5499">
        <v>1.0000000197744101</v>
      </c>
    </row>
    <row r="5500" spans="1:40" x14ac:dyDescent="0.25">
      <c r="A5500" t="str">
        <f>"20190312151136115"</f>
        <v>20190312151136115</v>
      </c>
      <c r="B5500" t="str">
        <f>"1552374696107197"</f>
        <v>1552374696107197</v>
      </c>
      <c r="C5500" t="s">
        <v>40</v>
      </c>
      <c r="D5500">
        <v>5.1707039999999997</v>
      </c>
      <c r="E5500">
        <v>0.52181409999999995</v>
      </c>
      <c r="F5500" t="s">
        <v>41</v>
      </c>
      <c r="G5500">
        <v>-348.69</v>
      </c>
      <c r="H5500">
        <v>1.0072760000000001</v>
      </c>
      <c r="I5500">
        <v>15.89631</v>
      </c>
      <c r="J5500">
        <v>-349.45370000000003</v>
      </c>
      <c r="K5500">
        <v>1.1088199999999999</v>
      </c>
      <c r="L5500">
        <v>16.058199999999999</v>
      </c>
      <c r="M5500">
        <v>0.99901340000000005</v>
      </c>
      <c r="N5500">
        <v>0</v>
      </c>
      <c r="O5500">
        <v>4.2675530000000003E-2</v>
      </c>
      <c r="P5500">
        <v>0.98820969999999997</v>
      </c>
      <c r="Q5500">
        <v>0.1014327</v>
      </c>
      <c r="R5500">
        <v>-0.11468929999999999</v>
      </c>
      <c r="S5500">
        <v>3.010834</v>
      </c>
      <c r="T5500">
        <v>-0.33269140000000003</v>
      </c>
      <c r="U5500">
        <v>-0.5109863</v>
      </c>
      <c r="V5500">
        <v>0.15715470000000001</v>
      </c>
      <c r="W5500">
        <v>0.1129603</v>
      </c>
      <c r="X5500">
        <v>0.98109250000000003</v>
      </c>
      <c r="Y5500">
        <v>0.20776349999999999</v>
      </c>
      <c r="Z5500">
        <v>-1.603506E-2</v>
      </c>
      <c r="AA5500">
        <v>0.97804769999999996</v>
      </c>
      <c r="AB5500">
        <v>28</v>
      </c>
      <c r="AC5500">
        <v>0.76370000000002802</v>
      </c>
      <c r="AD5500">
        <v>-0.101544</v>
      </c>
      <c r="AE5500">
        <v>-0.16188999999999901</v>
      </c>
      <c r="AF5500">
        <v>0.19110299609832099</v>
      </c>
      <c r="AG5500">
        <v>-0.101544</v>
      </c>
      <c r="AH5500">
        <v>0.74351539360792496</v>
      </c>
      <c r="AI5500">
        <v>97.534973902450503</v>
      </c>
      <c r="AJ5500">
        <v>75.585492136475196</v>
      </c>
      <c r="AK5500">
        <v>0.77436856830949896</v>
      </c>
      <c r="AL5500">
        <v>83.514008183550303</v>
      </c>
      <c r="AM5500">
        <v>80.899479460583606</v>
      </c>
      <c r="AN5500">
        <v>1.00000006133221</v>
      </c>
    </row>
    <row r="5501" spans="1:40" x14ac:dyDescent="0.25">
      <c r="A5501" t="str">
        <f>"20190312151136132"</f>
        <v>20190312151136132</v>
      </c>
      <c r="B5501" t="str">
        <f>"1552374696126717"</f>
        <v>1552374696126717</v>
      </c>
      <c r="C5501" t="s">
        <v>40</v>
      </c>
      <c r="D5501">
        <v>5.3276339999999998</v>
      </c>
      <c r="E5501">
        <v>0.52043149999999905</v>
      </c>
      <c r="F5501" t="s">
        <v>41</v>
      </c>
      <c r="G5501">
        <v>-348.6927</v>
      </c>
      <c r="H5501">
        <v>1.0228520000000001</v>
      </c>
      <c r="I5501">
        <v>15.927060000000001</v>
      </c>
      <c r="J5501">
        <v>-349.23849999999999</v>
      </c>
      <c r="K5501">
        <v>1.1088169999999999</v>
      </c>
      <c r="L5501">
        <v>16.065799999999999</v>
      </c>
      <c r="M5501">
        <v>0.99907520000000005</v>
      </c>
      <c r="N5501">
        <v>0</v>
      </c>
      <c r="O5501">
        <v>4.1199350000000003E-2</v>
      </c>
      <c r="P5501">
        <v>0.98798419999999998</v>
      </c>
      <c r="Q5501">
        <v>0.10143919999999999</v>
      </c>
      <c r="R5501">
        <v>-0.11660810000000001</v>
      </c>
      <c r="S5501">
        <v>3.0106199999999999</v>
      </c>
      <c r="T5501">
        <v>-0.33985349999999998</v>
      </c>
      <c r="U5501">
        <v>-0.51751709999999995</v>
      </c>
      <c r="V5501">
        <v>0.15761149999999999</v>
      </c>
      <c r="W5501">
        <v>0.1129684</v>
      </c>
      <c r="X5501">
        <v>0.98101819999999895</v>
      </c>
      <c r="Y5501">
        <v>0.2083333</v>
      </c>
      <c r="Z5501">
        <v>-1.6243110000000002E-2</v>
      </c>
      <c r="AA5501">
        <v>0.97792299999999999</v>
      </c>
      <c r="AB5501">
        <v>28</v>
      </c>
      <c r="AC5501">
        <v>0.54579999999998496</v>
      </c>
      <c r="AD5501">
        <v>-8.5964999999999805E-2</v>
      </c>
      <c r="AE5501">
        <v>-0.138739999999998</v>
      </c>
      <c r="AF5501">
        <v>0.15744186317655701</v>
      </c>
      <c r="AG5501">
        <v>-8.5964999999999805E-2</v>
      </c>
      <c r="AH5501">
        <v>0.52733245898888303</v>
      </c>
      <c r="AI5501">
        <v>98.878150855828295</v>
      </c>
      <c r="AJ5501">
        <v>73.376331174990995</v>
      </c>
      <c r="AK5501">
        <v>0.55700757966904502</v>
      </c>
      <c r="AL5501">
        <v>83.513540545548196</v>
      </c>
      <c r="AM5501">
        <v>80.872792032763897</v>
      </c>
      <c r="AN5501">
        <v>0.99999997653102402</v>
      </c>
    </row>
    <row r="5502" spans="1:40" x14ac:dyDescent="0.25">
      <c r="A5502" t="str">
        <f>"20190312151136144"</f>
        <v>20190312151136144</v>
      </c>
      <c r="B5502" t="str">
        <f>"1552374696136478"</f>
        <v>1552374696136478</v>
      </c>
      <c r="C5502" t="s">
        <v>40</v>
      </c>
      <c r="D5502">
        <v>5.1598220000000001</v>
      </c>
      <c r="E5502">
        <v>0.52041570000000004</v>
      </c>
      <c r="F5502" t="s">
        <v>41</v>
      </c>
      <c r="G5502">
        <v>-348.44749999999999</v>
      </c>
      <c r="H5502">
        <v>1.017968</v>
      </c>
      <c r="I5502">
        <v>15.931369999999999</v>
      </c>
      <c r="J5502">
        <v>-349.10120000000001</v>
      </c>
      <c r="K5502">
        <v>1.1088169999999999</v>
      </c>
      <c r="L5502">
        <v>16.070499999999999</v>
      </c>
      <c r="M5502">
        <v>0.99911349999999999</v>
      </c>
      <c r="N5502">
        <v>0</v>
      </c>
      <c r="O5502">
        <v>4.0260520000000001E-2</v>
      </c>
      <c r="P5502">
        <v>0.98784329999999998</v>
      </c>
      <c r="Q5502">
        <v>0.1013747</v>
      </c>
      <c r="R5502">
        <v>-0.1178519</v>
      </c>
      <c r="S5502">
        <v>3.0115660000000002</v>
      </c>
      <c r="T5502">
        <v>-0.34593950000000001</v>
      </c>
      <c r="U5502">
        <v>-0.51211549999999995</v>
      </c>
      <c r="V5502">
        <v>0.15792500000000001</v>
      </c>
      <c r="W5502">
        <v>0.1129063</v>
      </c>
      <c r="X5502">
        <v>0.98097500000000004</v>
      </c>
      <c r="Y5502">
        <v>0.20562649999999999</v>
      </c>
      <c r="Z5502">
        <v>-1.6268749999999998E-2</v>
      </c>
      <c r="AA5502">
        <v>0.97849529999999996</v>
      </c>
      <c r="AB5502">
        <v>28</v>
      </c>
      <c r="AC5502">
        <v>0.65370000000001405</v>
      </c>
      <c r="AD5502">
        <v>-9.0848999999999902E-2</v>
      </c>
      <c r="AE5502">
        <v>-0.13912999999999701</v>
      </c>
      <c r="AF5502">
        <v>0.16233787537655001</v>
      </c>
      <c r="AG5502">
        <v>-9.0848999999999902E-2</v>
      </c>
      <c r="AH5502">
        <v>0.63581968885496098</v>
      </c>
      <c r="AI5502">
        <v>97.882131507641105</v>
      </c>
      <c r="AJ5502">
        <v>75.677201045674394</v>
      </c>
      <c r="AK5502">
        <v>0.66247551148581396</v>
      </c>
      <c r="AL5502">
        <v>83.517121966215598</v>
      </c>
      <c r="AM5502">
        <v>80.854547944358103</v>
      </c>
      <c r="AN5502">
        <v>1.00000004441484</v>
      </c>
    </row>
    <row r="5503" spans="1:40" x14ac:dyDescent="0.25">
      <c r="A5503" t="str">
        <f>"20190312151136155"</f>
        <v>20190312151136155</v>
      </c>
      <c r="B5503" t="str">
        <f>"1552374696147212"</f>
        <v>1552374696147212</v>
      </c>
      <c r="C5503" t="s">
        <v>40</v>
      </c>
      <c r="D5503">
        <v>5.1411660000000001</v>
      </c>
      <c r="E5503">
        <v>0.52052810000000005</v>
      </c>
      <c r="F5503" t="s">
        <v>41</v>
      </c>
      <c r="G5503">
        <v>-348.20490000000001</v>
      </c>
      <c r="H5503">
        <v>1.003098</v>
      </c>
      <c r="I5503">
        <v>15.91691</v>
      </c>
      <c r="J5503">
        <v>-348.9572</v>
      </c>
      <c r="K5503">
        <v>1.1088209999999901</v>
      </c>
      <c r="L5503">
        <v>16.075320000000001</v>
      </c>
      <c r="M5503">
        <v>0.9991525</v>
      </c>
      <c r="N5503">
        <v>0</v>
      </c>
      <c r="O5503">
        <v>3.9278599999999997E-2</v>
      </c>
      <c r="P5503">
        <v>0.98770049999999998</v>
      </c>
      <c r="Q5503">
        <v>0.1011792</v>
      </c>
      <c r="R5503">
        <v>-0.1192081</v>
      </c>
      <c r="S5503">
        <v>3.0119020000000001</v>
      </c>
      <c r="T5503">
        <v>-0.35520699999999999</v>
      </c>
      <c r="U5503">
        <v>-0.51553340000000003</v>
      </c>
      <c r="V5503">
        <v>0.15830849999999999</v>
      </c>
      <c r="W5503">
        <v>0.11271490000000001</v>
      </c>
      <c r="X5503">
        <v>0.98093520000000001</v>
      </c>
      <c r="Y5503">
        <v>0.2056482</v>
      </c>
      <c r="Z5503">
        <v>-1.6584870000000002E-2</v>
      </c>
      <c r="AA5503">
        <v>0.97848550000000001</v>
      </c>
      <c r="AB5503">
        <v>28</v>
      </c>
      <c r="AC5503">
        <v>0.75229999999999098</v>
      </c>
      <c r="AD5503">
        <v>-0.105722999999999</v>
      </c>
      <c r="AE5503">
        <v>-0.158409999999999</v>
      </c>
      <c r="AF5503">
        <v>0.184352958642963</v>
      </c>
      <c r="AG5503">
        <v>-0.105722999999999</v>
      </c>
      <c r="AH5503">
        <v>0.73166030758752199</v>
      </c>
      <c r="AI5503">
        <v>97.976242438609901</v>
      </c>
      <c r="AJ5503">
        <v>75.857829671883806</v>
      </c>
      <c r="AK5503">
        <v>0.76189905616720699</v>
      </c>
      <c r="AL5503">
        <v>83.528158856436093</v>
      </c>
      <c r="AM5503">
        <v>80.8323504307874</v>
      </c>
      <c r="AN5503">
        <v>1.00000004822664</v>
      </c>
    </row>
    <row r="5504" spans="1:40" x14ac:dyDescent="0.25">
      <c r="A5504" t="str">
        <f>"20190312151136166"</f>
        <v>20190312151136166</v>
      </c>
      <c r="B5504" t="str">
        <f>"1552374696156973"</f>
        <v>1552374696156973</v>
      </c>
      <c r="C5504" t="s">
        <v>40</v>
      </c>
      <c r="D5504">
        <v>5.1722219999999997</v>
      </c>
      <c r="E5504">
        <v>0.52053669999999996</v>
      </c>
      <c r="F5504" t="s">
        <v>41</v>
      </c>
      <c r="G5504">
        <v>-348.19959999999998</v>
      </c>
      <c r="H5504">
        <v>1.01986</v>
      </c>
      <c r="I5504">
        <v>15.94417</v>
      </c>
      <c r="J5504">
        <v>-348.8193</v>
      </c>
      <c r="K5504">
        <v>1.108822</v>
      </c>
      <c r="L5504">
        <v>16.079709999999999</v>
      </c>
      <c r="M5504">
        <v>0.99918890000000005</v>
      </c>
      <c r="N5504">
        <v>0</v>
      </c>
      <c r="O5504">
        <v>3.8341310000000003E-2</v>
      </c>
      <c r="P5504">
        <v>0.98757329999999999</v>
      </c>
      <c r="Q5504">
        <v>0.10117719999999999</v>
      </c>
      <c r="R5504">
        <v>-0.1202594</v>
      </c>
      <c r="S5504">
        <v>3.0107729999999999</v>
      </c>
      <c r="T5504">
        <v>-0.35345900000000002</v>
      </c>
      <c r="U5504">
        <v>-0.52053830000000001</v>
      </c>
      <c r="V5504">
        <v>0.15843209999999999</v>
      </c>
      <c r="W5504">
        <v>0.1127191</v>
      </c>
      <c r="X5504">
        <v>0.98091470000000003</v>
      </c>
      <c r="Y5504">
        <v>0.20638809999999999</v>
      </c>
      <c r="Z5504">
        <v>-1.6441589999999999E-2</v>
      </c>
      <c r="AA5504">
        <v>0.97833199999999998</v>
      </c>
      <c r="AB5504">
        <v>28</v>
      </c>
      <c r="AC5504">
        <v>0.61970000000002201</v>
      </c>
      <c r="AD5504">
        <v>-8.8961999999999902E-2</v>
      </c>
      <c r="AE5504">
        <v>-0.13553999999999999</v>
      </c>
      <c r="AF5504">
        <v>0.15613149603370399</v>
      </c>
      <c r="AG5504">
        <v>-8.8961999999999902E-2</v>
      </c>
      <c r="AH5504">
        <v>0.602203183480577</v>
      </c>
      <c r="AI5504">
        <v>98.138097495189498</v>
      </c>
      <c r="AJ5504">
        <v>75.465121918820898</v>
      </c>
      <c r="AK5504">
        <v>0.62844248399663705</v>
      </c>
      <c r="AL5504">
        <v>83.527916274395196</v>
      </c>
      <c r="AM5504">
        <v>80.825125953737796</v>
      </c>
      <c r="AN5504">
        <v>0.99999998724565498</v>
      </c>
    </row>
    <row r="5505" spans="1:40" x14ac:dyDescent="0.25">
      <c r="A5505" t="str">
        <f>"20190312151136178"</f>
        <v>20190312151136178</v>
      </c>
      <c r="B5505" t="str">
        <f>"1552374696166734"</f>
        <v>1552374696166734</v>
      </c>
      <c r="C5505" t="s">
        <v>40</v>
      </c>
      <c r="D5505">
        <v>5.1574849999999897</v>
      </c>
      <c r="E5505">
        <v>0.52080389999999999</v>
      </c>
      <c r="F5505" t="s">
        <v>41</v>
      </c>
      <c r="G5505">
        <v>-347.95400000000001</v>
      </c>
      <c r="H5505">
        <v>1.0086409999999999</v>
      </c>
      <c r="I5505">
        <v>15.928900000000001</v>
      </c>
      <c r="J5505">
        <v>-348.67779999999999</v>
      </c>
      <c r="K5505">
        <v>1.108824</v>
      </c>
      <c r="L5505">
        <v>16.084199999999999</v>
      </c>
      <c r="M5505">
        <v>0.99922509999999998</v>
      </c>
      <c r="N5505">
        <v>0</v>
      </c>
      <c r="O5505">
        <v>3.7380549999999999E-2</v>
      </c>
      <c r="P5505">
        <v>0.98743190000000003</v>
      </c>
      <c r="Q5505">
        <v>0.10112019999999999</v>
      </c>
      <c r="R5505">
        <v>-0.1214631</v>
      </c>
      <c r="S5505">
        <v>3.0096440000000002</v>
      </c>
      <c r="T5505">
        <v>-0.34844819999999999</v>
      </c>
      <c r="U5505">
        <v>-0.52398679999999997</v>
      </c>
      <c r="V5505">
        <v>0.15868450000000001</v>
      </c>
      <c r="W5505">
        <v>0.1126684</v>
      </c>
      <c r="X5505">
        <v>0.98087970000000002</v>
      </c>
      <c r="Y5505">
        <v>0.2066471</v>
      </c>
      <c r="Z5505">
        <v>-1.6119109999999999E-2</v>
      </c>
      <c r="AA5505">
        <v>0.97828269999999995</v>
      </c>
      <c r="AB5505">
        <v>28</v>
      </c>
      <c r="AC5505">
        <v>0.72379999999998201</v>
      </c>
      <c r="AD5505">
        <v>-0.10018299999999999</v>
      </c>
      <c r="AE5505">
        <v>-0.155299999999998</v>
      </c>
      <c r="AF5505">
        <v>0.178971697994562</v>
      </c>
      <c r="AG5505">
        <v>-0.10018299999999999</v>
      </c>
      <c r="AH5505">
        <v>0.704584053521086</v>
      </c>
      <c r="AI5505">
        <v>97.846567000201603</v>
      </c>
      <c r="AJ5505">
        <v>75.747697268260097</v>
      </c>
      <c r="AK5505">
        <v>0.73382981041128403</v>
      </c>
      <c r="AL5505">
        <v>83.530839632436397</v>
      </c>
      <c r="AM5505">
        <v>80.8104362293533</v>
      </c>
      <c r="AN5505">
        <v>0.99999996238544897</v>
      </c>
    </row>
    <row r="5506" spans="1:40" x14ac:dyDescent="0.25">
      <c r="A5506" t="str">
        <f>"20190312151136189"</f>
        <v>20190312151136189</v>
      </c>
      <c r="B5506" t="str">
        <f>"1552374696187229"</f>
        <v>1552374696187229</v>
      </c>
      <c r="C5506" t="s">
        <v>40</v>
      </c>
      <c r="D5506">
        <v>5.1667449999999997</v>
      </c>
      <c r="E5506">
        <v>0.52105000000000001</v>
      </c>
      <c r="F5506" t="s">
        <v>41</v>
      </c>
      <c r="G5506">
        <v>-347.70060000000001</v>
      </c>
      <c r="H5506">
        <v>0.99518700000000004</v>
      </c>
      <c r="I5506">
        <v>15.91184</v>
      </c>
      <c r="J5506">
        <v>-348.52800000000002</v>
      </c>
      <c r="K5506">
        <v>1.1088279999999999</v>
      </c>
      <c r="L5506">
        <v>16.088709999999999</v>
      </c>
      <c r="M5506">
        <v>0.99926250000000005</v>
      </c>
      <c r="N5506">
        <v>0</v>
      </c>
      <c r="O5506">
        <v>3.6368520000000001E-2</v>
      </c>
      <c r="P5506">
        <v>0.98728199999999999</v>
      </c>
      <c r="Q5506">
        <v>0.10124859999999999</v>
      </c>
      <c r="R5506">
        <v>-0.12256839999999999</v>
      </c>
      <c r="S5506">
        <v>3.0088810000000001</v>
      </c>
      <c r="T5506">
        <v>-0.34977819999999998</v>
      </c>
      <c r="U5506">
        <v>-0.529815699999999</v>
      </c>
      <c r="V5506">
        <v>0.15878889999999901</v>
      </c>
      <c r="W5506">
        <v>0.1128044</v>
      </c>
      <c r="X5506">
        <v>0.98084720000000003</v>
      </c>
      <c r="Y5506">
        <v>0.20752580000000001</v>
      </c>
      <c r="Z5506">
        <v>-1.6115649999999999E-2</v>
      </c>
      <c r="AA5506">
        <v>0.97809679999999999</v>
      </c>
      <c r="AB5506">
        <v>28</v>
      </c>
      <c r="AC5506">
        <v>0.82740000000001102</v>
      </c>
      <c r="AD5506">
        <v>-0.11364100000000001</v>
      </c>
      <c r="AE5506">
        <v>-0.176869999999999</v>
      </c>
      <c r="AF5506">
        <v>0.203181206077228</v>
      </c>
      <c r="AG5506">
        <v>-0.11364100000000001</v>
      </c>
      <c r="AH5506">
        <v>0.80588155244127002</v>
      </c>
      <c r="AI5506">
        <v>97.786088148116605</v>
      </c>
      <c r="AJ5506">
        <v>75.8493347191624</v>
      </c>
      <c r="AK5506">
        <v>0.83883368789596702</v>
      </c>
      <c r="AL5506">
        <v>83.522997581844194</v>
      </c>
      <c r="AM5506">
        <v>80.804194098346201</v>
      </c>
      <c r="AN5506">
        <v>0.999999988585204</v>
      </c>
    </row>
    <row r="5507" spans="1:40" x14ac:dyDescent="0.25">
      <c r="A5507" t="str">
        <f>"20190312151136200"</f>
        <v>20190312151136200</v>
      </c>
      <c r="B5507" t="str">
        <f>"1552374696196989"</f>
        <v>1552374696196989</v>
      </c>
      <c r="C5507" t="s">
        <v>40</v>
      </c>
      <c r="D5507">
        <v>5.1581229999999998</v>
      </c>
      <c r="E5507">
        <v>0.52117820000000004</v>
      </c>
      <c r="F5507" t="s">
        <v>41</v>
      </c>
      <c r="G5507">
        <v>-347.7054</v>
      </c>
      <c r="H5507">
        <v>1.0121</v>
      </c>
      <c r="I5507">
        <v>15.9421</v>
      </c>
      <c r="J5507">
        <v>-348.3965</v>
      </c>
      <c r="K5507">
        <v>1.10883</v>
      </c>
      <c r="L5507">
        <v>16.092559999999999</v>
      </c>
      <c r="M5507">
        <v>0.99929429999999997</v>
      </c>
      <c r="N5507">
        <v>0</v>
      </c>
      <c r="O5507">
        <v>3.5481310000000002E-2</v>
      </c>
      <c r="P5507">
        <v>0.98715450000000005</v>
      </c>
      <c r="Q5507">
        <v>0.10108109999999999</v>
      </c>
      <c r="R5507">
        <v>-0.12373000000000001</v>
      </c>
      <c r="S5507">
        <v>3.0084529999999998</v>
      </c>
      <c r="T5507">
        <v>-0.35363840000000002</v>
      </c>
      <c r="U5507">
        <v>-0.53512569999999904</v>
      </c>
      <c r="V5507">
        <v>0.1590724</v>
      </c>
      <c r="W5507">
        <v>0.1126424</v>
      </c>
      <c r="X5507">
        <v>0.98081989999999997</v>
      </c>
      <c r="Y5507">
        <v>0.2083208</v>
      </c>
      <c r="Z5507">
        <v>-1.6235110000000001E-2</v>
      </c>
      <c r="AA5507">
        <v>0.97792579999999996</v>
      </c>
      <c r="AB5507">
        <v>28</v>
      </c>
      <c r="AC5507">
        <v>0.69110000000000504</v>
      </c>
      <c r="AD5507">
        <v>-9.6729999999999899E-2</v>
      </c>
      <c r="AE5507">
        <v>-0.15045999999999801</v>
      </c>
      <c r="AF5507">
        <v>0.17167723470184501</v>
      </c>
      <c r="AG5507">
        <v>-9.6729999999999899E-2</v>
      </c>
      <c r="AH5507">
        <v>0.672743030552855</v>
      </c>
      <c r="AI5507">
        <v>97.931374094168504</v>
      </c>
      <c r="AJ5507">
        <v>75.684231814983093</v>
      </c>
      <c r="AK5507">
        <v>0.701008524179494</v>
      </c>
      <c r="AL5507">
        <v>83.532339159595594</v>
      </c>
      <c r="AM5507">
        <v>80.787805230351694</v>
      </c>
      <c r="AN5507">
        <v>1.00000000747776</v>
      </c>
    </row>
    <row r="5508" spans="1:40" x14ac:dyDescent="0.25">
      <c r="A5508" t="str">
        <f>"20190312151136211"</f>
        <v>20190312151136211</v>
      </c>
      <c r="B5508" t="str">
        <f>"1552374696206749"</f>
        <v>1552374696206749</v>
      </c>
      <c r="C5508" t="s">
        <v>40</v>
      </c>
      <c r="D5508">
        <v>5.1898090000000003</v>
      </c>
      <c r="E5508">
        <v>0.52138530000000005</v>
      </c>
      <c r="F5508" t="s">
        <v>41</v>
      </c>
      <c r="G5508">
        <v>-347.4599</v>
      </c>
      <c r="H5508">
        <v>0.99924250000000003</v>
      </c>
      <c r="I5508">
        <v>15.924200000000001</v>
      </c>
      <c r="J5508">
        <v>-348.25740000000002</v>
      </c>
      <c r="K5508">
        <v>1.1088309999999999</v>
      </c>
      <c r="L5508">
        <v>16.096529999999898</v>
      </c>
      <c r="M5508">
        <v>0.99932690000000002</v>
      </c>
      <c r="N5508">
        <v>0</v>
      </c>
      <c r="O5508">
        <v>3.4544329999999998E-2</v>
      </c>
      <c r="P5508">
        <v>0.98700140000000003</v>
      </c>
      <c r="Q5508">
        <v>0.1010225</v>
      </c>
      <c r="R5508">
        <v>-0.124991</v>
      </c>
      <c r="S5508">
        <v>3.0073850000000002</v>
      </c>
      <c r="T5508">
        <v>-0.3518097</v>
      </c>
      <c r="U5508">
        <v>-0.53982540000000001</v>
      </c>
      <c r="V5508">
        <v>0.15940570000000001</v>
      </c>
      <c r="W5508">
        <v>0.1125888</v>
      </c>
      <c r="X5508">
        <v>0.98077190000000003</v>
      </c>
      <c r="Y5508">
        <v>0.20896300000000001</v>
      </c>
      <c r="Z5508">
        <v>-1.6083799999999999E-2</v>
      </c>
      <c r="AA5508">
        <v>0.97779119999999997</v>
      </c>
      <c r="AB5508">
        <v>28</v>
      </c>
      <c r="AC5508">
        <v>0.79750000000001298</v>
      </c>
      <c r="AD5508">
        <v>-0.10958849999999901</v>
      </c>
      <c r="AE5508">
        <v>-0.17232999999999701</v>
      </c>
      <c r="AF5508">
        <v>0.196238099221449</v>
      </c>
      <c r="AG5508">
        <v>-0.10958849999999901</v>
      </c>
      <c r="AH5508">
        <v>0.77705205698646895</v>
      </c>
      <c r="AI5508">
        <v>97.786227741395095</v>
      </c>
      <c r="AJ5508">
        <v>75.826772836267295</v>
      </c>
      <c r="AK5508">
        <v>0.80890600825139103</v>
      </c>
      <c r="AL5508">
        <v>83.535429614695104</v>
      </c>
      <c r="AM5508">
        <v>80.768391126998495</v>
      </c>
      <c r="AN5508">
        <v>0.99999996745376896</v>
      </c>
    </row>
    <row r="5509" spans="1:40" x14ac:dyDescent="0.25">
      <c r="A5509" t="str">
        <f>"20190312151136223"</f>
        <v>20190312151136223</v>
      </c>
      <c r="B5509" t="str">
        <f>"1552374696216509"</f>
        <v>1552374696216509</v>
      </c>
      <c r="C5509" t="s">
        <v>40</v>
      </c>
      <c r="D5509">
        <v>5.1833210000000003</v>
      </c>
      <c r="E5509">
        <v>0.52158309999999997</v>
      </c>
      <c r="F5509" t="s">
        <v>41</v>
      </c>
      <c r="G5509">
        <v>-347.45639999999997</v>
      </c>
      <c r="H5509">
        <v>1.0146090000000001</v>
      </c>
      <c r="I5509">
        <v>15.95106</v>
      </c>
      <c r="J5509">
        <v>-348.11270000000002</v>
      </c>
      <c r="K5509">
        <v>1.108833</v>
      </c>
      <c r="L5509">
        <v>16.100519999999999</v>
      </c>
      <c r="M5509">
        <v>0.99936000000000003</v>
      </c>
      <c r="N5509">
        <v>0</v>
      </c>
      <c r="O5509">
        <v>3.3570929999999999E-2</v>
      </c>
      <c r="P5509">
        <v>0.98686669999999999</v>
      </c>
      <c r="Q5509">
        <v>0.1008544</v>
      </c>
      <c r="R5509">
        <v>-0.12618489999999999</v>
      </c>
      <c r="S5509">
        <v>3.006653</v>
      </c>
      <c r="T5509">
        <v>-0.3536127</v>
      </c>
      <c r="U5509">
        <v>-0.54516600000000004</v>
      </c>
      <c r="V5509">
        <v>0.1596369</v>
      </c>
      <c r="W5509">
        <v>0.11242630000000001</v>
      </c>
      <c r="X5509">
        <v>0.98075290000000004</v>
      </c>
      <c r="Y5509">
        <v>0.20971899999999999</v>
      </c>
      <c r="Z5509">
        <v>-1.60977E-2</v>
      </c>
      <c r="AA5509">
        <v>0.97762919999999998</v>
      </c>
      <c r="AB5509">
        <v>28</v>
      </c>
      <c r="AC5509">
        <v>0.65630000000004396</v>
      </c>
      <c r="AD5509">
        <v>-9.4223999999999794E-2</v>
      </c>
      <c r="AE5509">
        <v>-0.14945999999999901</v>
      </c>
      <c r="AF5509">
        <v>0.16811568818945799</v>
      </c>
      <c r="AG5509">
        <v>-9.4223999999999794E-2</v>
      </c>
      <c r="AH5509">
        <v>0.63840221067744296</v>
      </c>
      <c r="AI5509">
        <v>98.122825872391203</v>
      </c>
      <c r="AJ5509">
        <v>75.246776021543894</v>
      </c>
      <c r="AK5509">
        <v>0.66685712816859199</v>
      </c>
      <c r="AL5509">
        <v>83.544799439861507</v>
      </c>
      <c r="AM5509">
        <v>80.755056733440497</v>
      </c>
      <c r="AN5509">
        <v>0.99999993181585201</v>
      </c>
    </row>
    <row r="5510" spans="1:40" x14ac:dyDescent="0.25">
      <c r="A5510" t="str">
        <f>"20190312151136235"</f>
        <v>20190312151136235</v>
      </c>
      <c r="B5510" t="str">
        <f>"1552374696227245"</f>
        <v>1552374696227245</v>
      </c>
      <c r="C5510" t="s">
        <v>40</v>
      </c>
      <c r="D5510">
        <v>5.1603199999999996</v>
      </c>
      <c r="E5510">
        <v>0.5215687</v>
      </c>
      <c r="F5510" t="s">
        <v>41</v>
      </c>
      <c r="G5510">
        <v>-347.21179999999998</v>
      </c>
      <c r="H5510">
        <v>1.002486</v>
      </c>
      <c r="I5510">
        <v>15.93535</v>
      </c>
      <c r="J5510">
        <v>-347.96069999999997</v>
      </c>
      <c r="K5510">
        <v>1.108833</v>
      </c>
      <c r="L5510">
        <v>16.10455</v>
      </c>
      <c r="M5510">
        <v>0.9993938</v>
      </c>
      <c r="N5510">
        <v>0</v>
      </c>
      <c r="O5510">
        <v>3.2549620000000001E-2</v>
      </c>
      <c r="P5510">
        <v>0.98670190000000002</v>
      </c>
      <c r="Q5510">
        <v>0.1008136</v>
      </c>
      <c r="R5510">
        <v>-0.12750049999999999</v>
      </c>
      <c r="S5510">
        <v>3.0058590000000001</v>
      </c>
      <c r="T5510">
        <v>-0.354714799999999</v>
      </c>
      <c r="U5510">
        <v>-0.55026249999999999</v>
      </c>
      <c r="V5510">
        <v>0.15994220000000001</v>
      </c>
      <c r="W5510">
        <v>0.1123908</v>
      </c>
      <c r="X5510">
        <v>0.98070729999999995</v>
      </c>
      <c r="Y5510">
        <v>0.21036199999999999</v>
      </c>
      <c r="Z5510">
        <v>-1.606755E-2</v>
      </c>
      <c r="AA5510">
        <v>0.97749149999999996</v>
      </c>
      <c r="AB5510">
        <v>28</v>
      </c>
      <c r="AC5510">
        <v>0.74889999999999102</v>
      </c>
      <c r="AD5510">
        <v>-0.106346999999999</v>
      </c>
      <c r="AE5510">
        <v>-0.16919999999999999</v>
      </c>
      <c r="AF5510">
        <v>0.18984623534714701</v>
      </c>
      <c r="AG5510">
        <v>-0.106346999999999</v>
      </c>
      <c r="AH5510">
        <v>0.72900863139067296</v>
      </c>
      <c r="AI5510">
        <v>98.035379003774295</v>
      </c>
      <c r="AJ5510">
        <v>75.403406987325695</v>
      </c>
      <c r="AK5510">
        <v>0.76079225950753904</v>
      </c>
      <c r="AL5510">
        <v>83.546846880043702</v>
      </c>
      <c r="AM5510">
        <v>80.737259041198996</v>
      </c>
      <c r="AN5510">
        <v>1.0000000037693799</v>
      </c>
    </row>
    <row r="5511" spans="1:40" x14ac:dyDescent="0.25">
      <c r="A5511" t="str">
        <f>"20190312151136246"</f>
        <v>20190312151136246</v>
      </c>
      <c r="B5511" t="str">
        <f>"1552374696237006"</f>
        <v>1552374696237006</v>
      </c>
      <c r="C5511" t="s">
        <v>40</v>
      </c>
      <c r="D5511">
        <v>4.9593550000000004</v>
      </c>
      <c r="E5511">
        <v>0.5215687</v>
      </c>
      <c r="F5511" t="s">
        <v>41</v>
      </c>
      <c r="G5511">
        <v>-347.20729999999998</v>
      </c>
      <c r="H5511">
        <v>1.0194049999999999</v>
      </c>
      <c r="I5511">
        <v>15.965400000000001</v>
      </c>
      <c r="J5511">
        <v>-347.82409999999999</v>
      </c>
      <c r="K5511">
        <v>1.1088340000000001</v>
      </c>
      <c r="L5511">
        <v>16.108000000000001</v>
      </c>
      <c r="M5511">
        <v>0.99942310000000001</v>
      </c>
      <c r="N5511">
        <v>0</v>
      </c>
      <c r="O5511">
        <v>3.163262E-2</v>
      </c>
      <c r="P5511">
        <v>0.98655150000000003</v>
      </c>
      <c r="Q5511">
        <v>0.10092950000000001</v>
      </c>
      <c r="R5511">
        <v>-0.12856719999999999</v>
      </c>
      <c r="S5511">
        <v>3.00528</v>
      </c>
      <c r="T5511">
        <v>-0.356660799999999</v>
      </c>
      <c r="U5511">
        <v>-0.55413819999999903</v>
      </c>
      <c r="V5511">
        <v>0.16010239999999901</v>
      </c>
      <c r="W5511">
        <v>0.1125116</v>
      </c>
      <c r="X5511">
        <v>0.98066730000000002</v>
      </c>
      <c r="Y5511">
        <v>0.210704</v>
      </c>
      <c r="Z5511">
        <v>-1.606871E-2</v>
      </c>
      <c r="AA5511">
        <v>0.9774178</v>
      </c>
      <c r="AB5511">
        <v>28</v>
      </c>
      <c r="AC5511">
        <v>0.61680000000001201</v>
      </c>
      <c r="AD5511">
        <v>-8.9429000000000203E-2</v>
      </c>
      <c r="AE5511">
        <v>-0.14259999999999901</v>
      </c>
      <c r="AF5511">
        <v>0.15887083434475099</v>
      </c>
      <c r="AG5511">
        <v>-8.9429000000000203E-2</v>
      </c>
      <c r="AH5511">
        <v>0.60000692753580598</v>
      </c>
      <c r="AI5511">
        <v>98.198834546190298</v>
      </c>
      <c r="AJ5511">
        <v>75.169462305469906</v>
      </c>
      <c r="AK5511">
        <v>0.62709313593544902</v>
      </c>
      <c r="AL5511">
        <v>83.539881318699798</v>
      </c>
      <c r="AM5511">
        <v>80.727770798833603</v>
      </c>
      <c r="AN5511">
        <v>0.99999999595480404</v>
      </c>
    </row>
    <row r="5512" spans="1:40" x14ac:dyDescent="0.25">
      <c r="A5512" t="str">
        <f>"20190312151136259"</f>
        <v>20190312151136259</v>
      </c>
      <c r="B5512" t="str">
        <f>"1552374696256525"</f>
        <v>1552374696256525</v>
      </c>
      <c r="C5512" t="s">
        <v>40</v>
      </c>
      <c r="D5512">
        <v>5.0784229999999999</v>
      </c>
      <c r="E5512">
        <v>0.52140679999999995</v>
      </c>
      <c r="F5512" t="s">
        <v>41</v>
      </c>
      <c r="G5512">
        <v>-346.96319999999997</v>
      </c>
      <c r="H5512">
        <v>1.0067140000000001</v>
      </c>
      <c r="I5512">
        <v>15.948119999999999</v>
      </c>
      <c r="J5512">
        <v>-347.66210000000001</v>
      </c>
      <c r="K5512">
        <v>1.1088370000000001</v>
      </c>
      <c r="L5512">
        <v>16.111999999999998</v>
      </c>
      <c r="M5512">
        <v>0.99945680000000003</v>
      </c>
      <c r="N5512">
        <v>0</v>
      </c>
      <c r="O5512">
        <v>3.054509E-2</v>
      </c>
      <c r="P5512">
        <v>0.98639790000000005</v>
      </c>
      <c r="Q5512">
        <v>0.1010191</v>
      </c>
      <c r="R5512">
        <v>-0.12967039999999999</v>
      </c>
      <c r="S5512">
        <v>3.0047299999999999</v>
      </c>
      <c r="T5512">
        <v>-0.35632809999999998</v>
      </c>
      <c r="U5512">
        <v>-0.55734249999999996</v>
      </c>
      <c r="V5512">
        <v>0.16013160000000001</v>
      </c>
      <c r="W5512">
        <v>0.11260779999999999</v>
      </c>
      <c r="X5512">
        <v>0.98065150000000001</v>
      </c>
      <c r="Y5512">
        <v>0.21069080000000001</v>
      </c>
      <c r="Z5512">
        <v>-1.592681E-2</v>
      </c>
      <c r="AA5512">
        <v>0.97742300000000004</v>
      </c>
      <c r="AB5512">
        <v>28</v>
      </c>
      <c r="AC5512">
        <v>0.69890000000003705</v>
      </c>
      <c r="AD5512">
        <v>-0.10212300000000001</v>
      </c>
      <c r="AE5512">
        <v>-0.16388</v>
      </c>
      <c r="AF5512">
        <v>0.18148028335487201</v>
      </c>
      <c r="AG5512">
        <v>-0.10212300000000001</v>
      </c>
      <c r="AH5512">
        <v>0.67980959952623798</v>
      </c>
      <c r="AI5512">
        <v>98.2582513269017</v>
      </c>
      <c r="AJ5512">
        <v>75.053025759021693</v>
      </c>
      <c r="AK5512">
        <v>0.71098895348914404</v>
      </c>
      <c r="AL5512">
        <v>83.534334272629707</v>
      </c>
      <c r="AM5512">
        <v>80.725962256290302</v>
      </c>
      <c r="AN5512">
        <v>1.00000000519582</v>
      </c>
    </row>
    <row r="5513" spans="1:40" x14ac:dyDescent="0.25">
      <c r="A5513" t="str">
        <f>"20190312151136272"</f>
        <v>20190312151136272</v>
      </c>
      <c r="B5513" t="str">
        <f>"1552374696267261"</f>
        <v>1552374696267261</v>
      </c>
      <c r="C5513" t="s">
        <v>40</v>
      </c>
      <c r="D5513">
        <v>5.1291520000000004</v>
      </c>
      <c r="E5513">
        <v>0.5215052</v>
      </c>
      <c r="F5513" t="s">
        <v>41</v>
      </c>
      <c r="G5513">
        <v>-346.7174</v>
      </c>
      <c r="H5513">
        <v>0.99668279999999998</v>
      </c>
      <c r="I5513">
        <v>15.93609</v>
      </c>
      <c r="J5513">
        <v>-347.50299999999999</v>
      </c>
      <c r="K5513">
        <v>1.108835</v>
      </c>
      <c r="L5513">
        <v>16.11572</v>
      </c>
      <c r="M5513">
        <v>0.99948899999999996</v>
      </c>
      <c r="N5513">
        <v>0</v>
      </c>
      <c r="O5513">
        <v>2.9476519999999999E-2</v>
      </c>
      <c r="P5513">
        <v>0.98624690000000004</v>
      </c>
      <c r="Q5513">
        <v>0.10098070000000001</v>
      </c>
      <c r="R5513">
        <v>-0.1308454</v>
      </c>
      <c r="S5513">
        <v>3.0043639999999998</v>
      </c>
      <c r="T5513">
        <v>-0.35667399999999999</v>
      </c>
      <c r="U5513">
        <v>-0.55935669999999904</v>
      </c>
      <c r="V5513">
        <v>0.160251</v>
      </c>
      <c r="W5513">
        <v>0.1125751</v>
      </c>
      <c r="X5513">
        <v>0.98063579999999995</v>
      </c>
      <c r="Y5513">
        <v>0.21030750000000001</v>
      </c>
      <c r="Z5513">
        <v>-1.5795139999999999E-2</v>
      </c>
      <c r="AA5513">
        <v>0.97750769999999998</v>
      </c>
      <c r="AB5513">
        <v>28</v>
      </c>
      <c r="AC5513">
        <v>0.78560000000004404</v>
      </c>
      <c r="AD5513">
        <v>-0.11215219999999899</v>
      </c>
      <c r="AE5513">
        <v>-0.17962999999999901</v>
      </c>
      <c r="AF5513">
        <v>0.19885899631731799</v>
      </c>
      <c r="AG5513">
        <v>-0.11215219999999899</v>
      </c>
      <c r="AH5513">
        <v>0.765144149633042</v>
      </c>
      <c r="AI5513">
        <v>98.074309572364299</v>
      </c>
      <c r="AJ5513">
        <v>75.431288772062103</v>
      </c>
      <c r="AK5513">
        <v>0.79847892025954104</v>
      </c>
      <c r="AL5513">
        <v>83.536220152251403</v>
      </c>
      <c r="AM5513">
        <v>80.719021473409498</v>
      </c>
      <c r="AN5513">
        <v>1.0000000541913201</v>
      </c>
    </row>
    <row r="5514" spans="1:40" x14ac:dyDescent="0.25">
      <c r="A5514" t="str">
        <f>"20190312151136289"</f>
        <v>20190312151136289</v>
      </c>
      <c r="B5514" t="str">
        <f>"1552374696286781"</f>
        <v>1552374696286781</v>
      </c>
      <c r="C5514" t="s">
        <v>40</v>
      </c>
      <c r="D5514">
        <v>5.0621559999999999</v>
      </c>
      <c r="E5514">
        <v>0.52125509999999997</v>
      </c>
      <c r="F5514" t="s">
        <v>41</v>
      </c>
      <c r="G5514">
        <v>-346.71350000000001</v>
      </c>
      <c r="H5514">
        <v>1.0145690000000001</v>
      </c>
      <c r="I5514">
        <v>15.967549999999999</v>
      </c>
      <c r="J5514">
        <v>-347.29500000000002</v>
      </c>
      <c r="K5514">
        <v>1.108835</v>
      </c>
      <c r="L5514">
        <v>16.120329999999999</v>
      </c>
      <c r="M5514">
        <v>0.999529</v>
      </c>
      <c r="N5514">
        <v>0</v>
      </c>
      <c r="O5514">
        <v>2.8079960000000001E-2</v>
      </c>
      <c r="P5514">
        <v>0.98604669999999905</v>
      </c>
      <c r="Q5514">
        <v>0.10098799999999999</v>
      </c>
      <c r="R5514">
        <v>-0.13233929999999999</v>
      </c>
      <c r="S5514">
        <v>3.003784</v>
      </c>
      <c r="T5514">
        <v>-0.358633799999999</v>
      </c>
      <c r="U5514">
        <v>-0.56365969999999999</v>
      </c>
      <c r="V5514">
        <v>0.16036619999999999</v>
      </c>
      <c r="W5514">
        <v>0.1125898</v>
      </c>
      <c r="X5514">
        <v>0.98061529999999997</v>
      </c>
      <c r="Y5514">
        <v>0.21032049999999999</v>
      </c>
      <c r="Z5514">
        <v>-1.571815E-2</v>
      </c>
      <c r="AA5514">
        <v>0.97750610000000004</v>
      </c>
      <c r="AB5514">
        <v>28</v>
      </c>
      <c r="AC5514">
        <v>0.58150000000000501</v>
      </c>
      <c r="AD5514">
        <v>-9.4265999999999905E-2</v>
      </c>
      <c r="AE5514">
        <v>-0.152779999999999</v>
      </c>
      <c r="AF5514">
        <v>0.16499358632302799</v>
      </c>
      <c r="AG5514">
        <v>-9.4265999999999905E-2</v>
      </c>
      <c r="AH5514">
        <v>0.56313712197982002</v>
      </c>
      <c r="AI5514">
        <v>99.126103207675797</v>
      </c>
      <c r="AJ5514">
        <v>73.669939320167998</v>
      </c>
      <c r="AK5514">
        <v>0.59433355991013204</v>
      </c>
      <c r="AL5514">
        <v>83.535372643215794</v>
      </c>
      <c r="AM5514">
        <v>80.712275079127906</v>
      </c>
      <c r="AN5514">
        <v>1.0000000738802799</v>
      </c>
    </row>
    <row r="5515" spans="1:40" x14ac:dyDescent="0.25">
      <c r="A5515" t="str">
        <f>"20190312151136303"</f>
        <v>20190312151136303</v>
      </c>
      <c r="B5515" t="str">
        <f>"1552374696296541"</f>
        <v>1552374696296541</v>
      </c>
      <c r="C5515" t="s">
        <v>40</v>
      </c>
      <c r="D5515">
        <v>5.1641729999999999</v>
      </c>
      <c r="E5515">
        <v>0.5212793</v>
      </c>
      <c r="F5515" t="s">
        <v>41</v>
      </c>
      <c r="G5515">
        <v>-346.46730000000002</v>
      </c>
      <c r="H5515">
        <v>1.0098879999999999</v>
      </c>
      <c r="I5515">
        <v>15.964270000000001</v>
      </c>
      <c r="J5515">
        <v>-347.12569999999999</v>
      </c>
      <c r="K5515">
        <v>1.1088389999999999</v>
      </c>
      <c r="L5515">
        <v>16.12387</v>
      </c>
      <c r="M5515">
        <v>0.99956029999999996</v>
      </c>
      <c r="N5515">
        <v>0</v>
      </c>
      <c r="O5515">
        <v>2.6943559999999998E-2</v>
      </c>
      <c r="P5515">
        <v>0.9859291</v>
      </c>
      <c r="Q5515">
        <v>0.1008923</v>
      </c>
      <c r="R5515">
        <v>-0.13328509999999999</v>
      </c>
      <c r="S5515">
        <v>3.0032960000000002</v>
      </c>
      <c r="T5515">
        <v>-0.3590699</v>
      </c>
      <c r="U5515">
        <v>-0.56610109999999902</v>
      </c>
      <c r="V5515">
        <v>0.1601911</v>
      </c>
      <c r="W5515">
        <v>0.1125012</v>
      </c>
      <c r="X5515">
        <v>0.98065400000000003</v>
      </c>
      <c r="Y5515">
        <v>0.21001159999999999</v>
      </c>
      <c r="Z5515">
        <v>-1.558588E-2</v>
      </c>
      <c r="AA5515">
        <v>0.97757459999999996</v>
      </c>
      <c r="AB5515">
        <v>28</v>
      </c>
      <c r="AC5515">
        <v>0.65839999999997101</v>
      </c>
      <c r="AD5515">
        <v>-9.8950999999999997E-2</v>
      </c>
      <c r="AE5515">
        <v>-0.15959999999999899</v>
      </c>
      <c r="AF5515">
        <v>0.173579973104945</v>
      </c>
      <c r="AG5515">
        <v>-9.8950999999999997E-2</v>
      </c>
      <c r="AH5515">
        <v>0.64020262423734597</v>
      </c>
      <c r="AI5515">
        <v>98.484589501175407</v>
      </c>
      <c r="AJ5515">
        <v>74.829943950983207</v>
      </c>
      <c r="AK5515">
        <v>0.67065692238617702</v>
      </c>
      <c r="AL5515">
        <v>83.540480951364202</v>
      </c>
      <c r="AM5515">
        <v>80.722599453771096</v>
      </c>
      <c r="AN5515">
        <v>0.99999998811832402</v>
      </c>
    </row>
    <row r="5516" spans="1:40" x14ac:dyDescent="0.25">
      <c r="A5516" t="str">
        <f>"20190312151136316"</f>
        <v>20190312151136316</v>
      </c>
      <c r="B5516" t="str">
        <f>"1552374696306301"</f>
        <v>1552374696306301</v>
      </c>
      <c r="C5516" t="s">
        <v>40</v>
      </c>
      <c r="D5516">
        <v>5.1381209999999999</v>
      </c>
      <c r="E5516">
        <v>0.52125290000000002</v>
      </c>
      <c r="F5516" t="s">
        <v>41</v>
      </c>
      <c r="G5516">
        <v>-346.22219999999999</v>
      </c>
      <c r="H5516">
        <v>1.0006120000000001</v>
      </c>
      <c r="I5516">
        <v>15.95248</v>
      </c>
      <c r="J5516">
        <v>-346.95940000000002</v>
      </c>
      <c r="K5516">
        <v>1.108838</v>
      </c>
      <c r="L5516">
        <v>16.127199999999998</v>
      </c>
      <c r="M5516">
        <v>0.99958970000000003</v>
      </c>
      <c r="N5516">
        <v>0</v>
      </c>
      <c r="O5516">
        <v>2.582624E-2</v>
      </c>
      <c r="P5516">
        <v>0.98573630000000001</v>
      </c>
      <c r="Q5516">
        <v>0.10097349999999999</v>
      </c>
      <c r="R5516">
        <v>-0.13464179999999901</v>
      </c>
      <c r="S5516">
        <v>3.0026860000000002</v>
      </c>
      <c r="T5516">
        <v>-0.3595853</v>
      </c>
      <c r="U5516">
        <v>-0.56900019999999996</v>
      </c>
      <c r="V5516">
        <v>0.16044459999999999</v>
      </c>
      <c r="W5516">
        <v>0.11258600000000001</v>
      </c>
      <c r="X5516">
        <v>0.98060290000000006</v>
      </c>
      <c r="Y5516">
        <v>0.20987040000000001</v>
      </c>
      <c r="Z5516">
        <v>-1.5469180000000001E-2</v>
      </c>
      <c r="AA5516">
        <v>0.9776068</v>
      </c>
      <c r="AB5516">
        <v>28</v>
      </c>
      <c r="AC5516">
        <v>0.73720000000002905</v>
      </c>
      <c r="AD5516">
        <v>-0.108225999999999</v>
      </c>
      <c r="AE5516">
        <v>-0.17471999999999799</v>
      </c>
      <c r="AF5516">
        <v>0.18982863179171</v>
      </c>
      <c r="AG5516">
        <v>-0.108225999999999</v>
      </c>
      <c r="AH5516">
        <v>0.71779404437072902</v>
      </c>
      <c r="AI5516">
        <v>98.293289591748206</v>
      </c>
      <c r="AJ5516">
        <v>75.1866252663214</v>
      </c>
      <c r="AK5516">
        <v>0.75031731064796903</v>
      </c>
      <c r="AL5516">
        <v>83.535591685029402</v>
      </c>
      <c r="AM5516">
        <v>80.707698215003106</v>
      </c>
      <c r="AN5516">
        <v>1.00000006227678</v>
      </c>
    </row>
    <row r="5517" spans="1:40" x14ac:dyDescent="0.25">
      <c r="A5517" t="str">
        <f>"20190312151136333"</f>
        <v>20190312151136333</v>
      </c>
      <c r="B5517" t="str">
        <f>"1552374696326797"</f>
        <v>1552374696326797</v>
      </c>
      <c r="C5517" t="s">
        <v>40</v>
      </c>
      <c r="D5517">
        <v>5.2167629999999896</v>
      </c>
      <c r="E5517">
        <v>0.52121220000000001</v>
      </c>
      <c r="F5517" t="s">
        <v>41</v>
      </c>
      <c r="G5517">
        <v>-346.21690000000001</v>
      </c>
      <c r="H5517">
        <v>1.019657</v>
      </c>
      <c r="I5517">
        <v>15.98536</v>
      </c>
      <c r="J5517">
        <v>-346.74680000000001</v>
      </c>
      <c r="K5517">
        <v>1.1088439999999999</v>
      </c>
      <c r="L5517">
        <v>16.1311</v>
      </c>
      <c r="M5517">
        <v>0.9996254</v>
      </c>
      <c r="N5517">
        <v>0</v>
      </c>
      <c r="O5517">
        <v>2.4398260000000001E-2</v>
      </c>
      <c r="P5517">
        <v>0.98550499999999996</v>
      </c>
      <c r="Q5517">
        <v>0.1006321</v>
      </c>
      <c r="R5517">
        <v>-0.13657710000000001</v>
      </c>
      <c r="S5517">
        <v>3.0021059999999999</v>
      </c>
      <c r="T5517">
        <v>-0.3604618</v>
      </c>
      <c r="U5517">
        <v>-0.57275390000000004</v>
      </c>
      <c r="V5517">
        <v>0.16096920000000001</v>
      </c>
      <c r="W5517">
        <v>0.1122491</v>
      </c>
      <c r="X5517">
        <v>0.98055550000000002</v>
      </c>
      <c r="Y5517">
        <v>0.20969160000000001</v>
      </c>
      <c r="Z5517">
        <v>-1.532768E-2</v>
      </c>
      <c r="AA5517">
        <v>0.97764740000000006</v>
      </c>
      <c r="AB5517">
        <v>28</v>
      </c>
      <c r="AC5517">
        <v>0.52989999999999704</v>
      </c>
      <c r="AD5517">
        <v>-8.9186999999999905E-2</v>
      </c>
      <c r="AE5517">
        <v>-0.14573999999999901</v>
      </c>
      <c r="AF5517">
        <v>0.15455588352150201</v>
      </c>
      <c r="AG5517">
        <v>-8.9186999999999905E-2</v>
      </c>
      <c r="AH5517">
        <v>0.51268419324927905</v>
      </c>
      <c r="AI5517">
        <v>99.456211203832893</v>
      </c>
      <c r="AJ5517">
        <v>73.223826016869495</v>
      </c>
      <c r="AK5517">
        <v>0.54285073833216402</v>
      </c>
      <c r="AL5517">
        <v>83.555017474618097</v>
      </c>
      <c r="AM5517">
        <v>80.677405303362306</v>
      </c>
      <c r="AN5517">
        <v>1.0000000161898499</v>
      </c>
    </row>
    <row r="5518" spans="1:40" x14ac:dyDescent="0.25">
      <c r="A5518" t="str">
        <f>"20190312151136345"</f>
        <v>20190312151136345</v>
      </c>
      <c r="B5518" t="str">
        <f>"1552374696336557"</f>
        <v>1552374696336557</v>
      </c>
      <c r="C5518" t="s">
        <v>40</v>
      </c>
      <c r="D5518">
        <v>5.1364619999999999</v>
      </c>
      <c r="E5518">
        <v>0.52117469999999999</v>
      </c>
      <c r="F5518" t="s">
        <v>41</v>
      </c>
      <c r="G5518">
        <v>-345.96980000000002</v>
      </c>
      <c r="H5518">
        <v>1.016259</v>
      </c>
      <c r="I5518">
        <v>15.98127</v>
      </c>
      <c r="J5518">
        <v>-346.60489999999999</v>
      </c>
      <c r="K5518">
        <v>1.108841</v>
      </c>
      <c r="L5518">
        <v>16.133579999999998</v>
      </c>
      <c r="M5518">
        <v>0.99964830000000005</v>
      </c>
      <c r="N5518">
        <v>0</v>
      </c>
      <c r="O5518">
        <v>2.3444130000000001E-2</v>
      </c>
      <c r="P5518">
        <v>0.98539120000000002</v>
      </c>
      <c r="Q5518">
        <v>0.10033</v>
      </c>
      <c r="R5518">
        <v>-0.1376172</v>
      </c>
      <c r="S5518">
        <v>3.0005489999999999</v>
      </c>
      <c r="T5518">
        <v>-0.35748410000000003</v>
      </c>
      <c r="U5518">
        <v>-0.578125</v>
      </c>
      <c r="V5518">
        <v>0.16106770000000001</v>
      </c>
      <c r="W5518">
        <v>0.1119506</v>
      </c>
      <c r="X5518">
        <v>0.98057340000000004</v>
      </c>
      <c r="Y5518">
        <v>0.21056610000000001</v>
      </c>
      <c r="Z5518">
        <v>-1.51462E-2</v>
      </c>
      <c r="AA5518">
        <v>0.97746230000000001</v>
      </c>
      <c r="AB5518">
        <v>28</v>
      </c>
      <c r="AC5518">
        <v>0.63509999999996503</v>
      </c>
      <c r="AD5518">
        <v>-9.25819999999999E-2</v>
      </c>
      <c r="AE5518">
        <v>-0.152309999999998</v>
      </c>
      <c r="AF5518">
        <v>0.16386579807205801</v>
      </c>
      <c r="AG5518">
        <v>-9.25819999999999E-2</v>
      </c>
      <c r="AH5518">
        <v>0.61891736941979203</v>
      </c>
      <c r="AI5518">
        <v>98.228194324006097</v>
      </c>
      <c r="AJ5518">
        <v>75.1705155238093</v>
      </c>
      <c r="AK5518">
        <v>0.64690195290423202</v>
      </c>
      <c r="AL5518">
        <v>83.572228429379294</v>
      </c>
      <c r="AM5518">
        <v>80.6719681705639</v>
      </c>
      <c r="AN5518">
        <v>0.99999996680560399</v>
      </c>
    </row>
    <row r="5519" spans="1:40" x14ac:dyDescent="0.25">
      <c r="A5519" t="str">
        <f>"20190312151136357"</f>
        <v>20190312151136357</v>
      </c>
      <c r="B5519" t="str">
        <f>"1552374696347293"</f>
        <v>1552374696347293</v>
      </c>
      <c r="C5519" t="s">
        <v>40</v>
      </c>
      <c r="D5519">
        <v>5.1635140000000002</v>
      </c>
      <c r="E5519">
        <v>0.52123459999999999</v>
      </c>
      <c r="F5519" t="s">
        <v>41</v>
      </c>
      <c r="G5519">
        <v>-345.72649999999999</v>
      </c>
      <c r="H5519">
        <v>1.003477</v>
      </c>
      <c r="I5519">
        <v>15.96312</v>
      </c>
      <c r="J5519">
        <v>-346.44929999999999</v>
      </c>
      <c r="K5519">
        <v>1.1088389999999999</v>
      </c>
      <c r="L5519">
        <v>16.13617</v>
      </c>
      <c r="M5519">
        <v>0.99967209999999995</v>
      </c>
      <c r="N5519">
        <v>0</v>
      </c>
      <c r="O5519">
        <v>2.2398990000000001E-2</v>
      </c>
      <c r="P5519">
        <v>0.98523950000000005</v>
      </c>
      <c r="Q5519">
        <v>9.9952360000000004E-2</v>
      </c>
      <c r="R5519">
        <v>-0.13896989999999901</v>
      </c>
      <c r="S5519">
        <v>2.9999690000000001</v>
      </c>
      <c r="T5519">
        <v>-0.35970999999999997</v>
      </c>
      <c r="U5519">
        <v>-0.58099369999999995</v>
      </c>
      <c r="V5519">
        <v>0.16138859999999999</v>
      </c>
      <c r="W5519">
        <v>0.1115753</v>
      </c>
      <c r="X5519">
        <v>0.98056350000000003</v>
      </c>
      <c r="Y5519">
        <v>0.2104684</v>
      </c>
      <c r="Z5519">
        <v>-1.511174E-2</v>
      </c>
      <c r="AA5519">
        <v>0.97748389999999996</v>
      </c>
      <c r="AB5519">
        <v>28</v>
      </c>
      <c r="AC5519">
        <v>0.72280000000000599</v>
      </c>
      <c r="AD5519">
        <v>-0.105361999999999</v>
      </c>
      <c r="AE5519">
        <v>-0.17304999999999801</v>
      </c>
      <c r="AF5519">
        <v>0.18547046508527701</v>
      </c>
      <c r="AG5519">
        <v>-0.105361999999999</v>
      </c>
      <c r="AH5519">
        <v>0.70458238914992899</v>
      </c>
      <c r="AI5519">
        <v>98.228606281391393</v>
      </c>
      <c r="AJ5519">
        <v>75.252326866207994</v>
      </c>
      <c r="AK5519">
        <v>0.73616356033368802</v>
      </c>
      <c r="AL5519">
        <v>83.593867657117102</v>
      </c>
      <c r="AM5519">
        <v>80.6536185697408</v>
      </c>
      <c r="AN5519">
        <v>1.0000000526561399</v>
      </c>
    </row>
    <row r="5520" spans="1:40" x14ac:dyDescent="0.25">
      <c r="A5520" t="str">
        <f>"20190312151136368"</f>
        <v>20190312151136368</v>
      </c>
      <c r="B5520" t="str">
        <f>"1552374696357057"</f>
        <v>1552374696357057</v>
      </c>
      <c r="C5520" t="s">
        <v>40</v>
      </c>
      <c r="D5520">
        <v>5.1404310000000004</v>
      </c>
      <c r="E5520">
        <v>0.52125940000000004</v>
      </c>
      <c r="F5520" t="s">
        <v>41</v>
      </c>
      <c r="G5520">
        <v>-345.72129999999999</v>
      </c>
      <c r="H5520">
        <v>1.0209060000000001</v>
      </c>
      <c r="I5520">
        <v>15.99366</v>
      </c>
      <c r="J5520">
        <v>-346.31699999999898</v>
      </c>
      <c r="K5520">
        <v>1.108838</v>
      </c>
      <c r="L5520">
        <v>16.13815</v>
      </c>
      <c r="M5520">
        <v>0.99969169999999996</v>
      </c>
      <c r="N5520">
        <v>0</v>
      </c>
      <c r="O5520">
        <v>2.1509529999999999E-2</v>
      </c>
      <c r="P5520">
        <v>0.98509880000000005</v>
      </c>
      <c r="Q5520">
        <v>9.9502380000000001E-2</v>
      </c>
      <c r="R5520">
        <v>-0.14028679999999999</v>
      </c>
      <c r="S5520">
        <v>2.9990230000000002</v>
      </c>
      <c r="T5520">
        <v>-0.362008</v>
      </c>
      <c r="U5520">
        <v>-0.58563229999999999</v>
      </c>
      <c r="V5520">
        <v>0.16182669999999999</v>
      </c>
      <c r="W5520">
        <v>0.111127</v>
      </c>
      <c r="X5520">
        <v>0.98054209999999997</v>
      </c>
      <c r="Y5520">
        <v>0.21109420000000001</v>
      </c>
      <c r="Z5520">
        <v>-1.514129E-2</v>
      </c>
      <c r="AA5520">
        <v>0.97734840000000001</v>
      </c>
      <c r="AB5520">
        <v>28</v>
      </c>
      <c r="AC5520">
        <v>0.59569999999996504</v>
      </c>
      <c r="AD5520">
        <v>-8.7932000000000093E-2</v>
      </c>
      <c r="AE5520">
        <v>-0.14448999999999901</v>
      </c>
      <c r="AF5520">
        <v>0.15409965696366101</v>
      </c>
      <c r="AG5520">
        <v>-8.7932000000000093E-2</v>
      </c>
      <c r="AH5520">
        <v>0.58050809009644999</v>
      </c>
      <c r="AI5520">
        <v>98.329140427673593</v>
      </c>
      <c r="AJ5520">
        <v>75.133335402908898</v>
      </c>
      <c r="AK5520">
        <v>0.60701596648502298</v>
      </c>
      <c r="AL5520">
        <v>83.619713434678104</v>
      </c>
      <c r="AM5520">
        <v>80.6284957850377</v>
      </c>
      <c r="AN5520">
        <v>0.99999995041714795</v>
      </c>
    </row>
    <row r="5521" spans="1:40" x14ac:dyDescent="0.25">
      <c r="A5521" t="str">
        <f>"20190312151136380"</f>
        <v>20190312151136380</v>
      </c>
      <c r="B5521" t="str">
        <f>"1552374696376577"</f>
        <v>1552374696376577</v>
      </c>
      <c r="C5521" t="s">
        <v>40</v>
      </c>
      <c r="D5521">
        <v>5.0886449999999996</v>
      </c>
      <c r="E5521">
        <v>0.52122829999999998</v>
      </c>
      <c r="F5521" t="s">
        <v>41</v>
      </c>
      <c r="G5521">
        <v>-345.47820000000002</v>
      </c>
      <c r="H5521">
        <v>1.007101</v>
      </c>
      <c r="I5521">
        <v>15.97284</v>
      </c>
      <c r="J5521">
        <v>-346.17230000000001</v>
      </c>
      <c r="K5521">
        <v>1.1088370000000001</v>
      </c>
      <c r="L5521">
        <v>16.14029</v>
      </c>
      <c r="M5521">
        <v>0.99971209999999999</v>
      </c>
      <c r="N5521">
        <v>0</v>
      </c>
      <c r="O5521">
        <v>2.053698E-2</v>
      </c>
      <c r="P5521">
        <v>0.98499630000000005</v>
      </c>
      <c r="Q5521">
        <v>9.9029049999999993E-2</v>
      </c>
      <c r="R5521">
        <v>-0.1413362</v>
      </c>
      <c r="S5521">
        <v>2.9981689999999999</v>
      </c>
      <c r="T5521">
        <v>-0.3635331</v>
      </c>
      <c r="U5521">
        <v>-0.58990480000000001</v>
      </c>
      <c r="V5521">
        <v>0.1619167</v>
      </c>
      <c r="W5521">
        <v>0.1106569</v>
      </c>
      <c r="X5521">
        <v>0.98058040000000002</v>
      </c>
      <c r="Y5521">
        <v>0.21152689999999999</v>
      </c>
      <c r="Z5521">
        <v>-1.511622E-2</v>
      </c>
      <c r="AA5521">
        <v>0.97725530000000005</v>
      </c>
      <c r="AB5521">
        <v>28</v>
      </c>
      <c r="AC5521">
        <v>0.69409999999999095</v>
      </c>
      <c r="AD5521">
        <v>-0.10173599999999999</v>
      </c>
      <c r="AE5521">
        <v>-0.16744999999999999</v>
      </c>
      <c r="AF5521">
        <v>0.178055621068725</v>
      </c>
      <c r="AG5521">
        <v>-0.10173599999999999</v>
      </c>
      <c r="AH5521">
        <v>0.67677457652096595</v>
      </c>
      <c r="AI5521">
        <v>98.271572823471899</v>
      </c>
      <c r="AJ5521">
        <v>75.259837999096803</v>
      </c>
      <c r="AK5521">
        <v>0.70716182399455196</v>
      </c>
      <c r="AL5521">
        <v>83.646815293505796</v>
      </c>
      <c r="AM5521">
        <v>80.6237360880925</v>
      </c>
      <c r="AN5521">
        <v>0.99999994406032799</v>
      </c>
    </row>
    <row r="5522" spans="1:40" x14ac:dyDescent="0.25">
      <c r="A5522" t="str">
        <f>"20190312151136392"</f>
        <v>20190312151136392</v>
      </c>
      <c r="B5522" t="str">
        <f>"1552374696387314"</f>
        <v>1552374696387314</v>
      </c>
      <c r="C5522" t="s">
        <v>40</v>
      </c>
      <c r="D5522">
        <v>5.1584909999999997</v>
      </c>
      <c r="E5522">
        <v>0.52115140000000004</v>
      </c>
      <c r="F5522" t="s">
        <v>41</v>
      </c>
      <c r="G5522">
        <v>-345.23410000000001</v>
      </c>
      <c r="H5522">
        <v>0.99408629999999998</v>
      </c>
      <c r="I5522">
        <v>15.954599999999999</v>
      </c>
      <c r="J5522">
        <v>-346.01949999999999</v>
      </c>
      <c r="K5522">
        <v>1.1088370000000001</v>
      </c>
      <c r="L5522">
        <v>16.142329999999902</v>
      </c>
      <c r="M5522">
        <v>0.99973270000000003</v>
      </c>
      <c r="N5522">
        <v>0</v>
      </c>
      <c r="O5522">
        <v>1.9509660000000002E-2</v>
      </c>
      <c r="P5522">
        <v>0.98482950000000002</v>
      </c>
      <c r="Q5522">
        <v>9.873788E-2</v>
      </c>
      <c r="R5522">
        <v>-0.1426955</v>
      </c>
      <c r="S5522">
        <v>2.9974980000000002</v>
      </c>
      <c r="T5522">
        <v>-0.36655310000000002</v>
      </c>
      <c r="U5522">
        <v>-0.5929565</v>
      </c>
      <c r="V5522">
        <v>0.162262299999999</v>
      </c>
      <c r="W5522">
        <v>0.1103674</v>
      </c>
      <c r="X5522">
        <v>0.98055599999999998</v>
      </c>
      <c r="Y5522">
        <v>0.2115022</v>
      </c>
      <c r="Z5522">
        <v>-1.5117169999999999E-2</v>
      </c>
      <c r="AA5522">
        <v>0.97726060000000003</v>
      </c>
      <c r="AB5522">
        <v>28</v>
      </c>
      <c r="AC5522">
        <v>0.785399999999981</v>
      </c>
      <c r="AD5522">
        <v>-0.114750699999999</v>
      </c>
      <c r="AE5522">
        <v>-0.18772999999999801</v>
      </c>
      <c r="AF5522">
        <v>0.198999937933903</v>
      </c>
      <c r="AG5522">
        <v>-0.114750699999999</v>
      </c>
      <c r="AH5522">
        <v>0.76611750307442095</v>
      </c>
      <c r="AI5522">
        <v>98.248775705280593</v>
      </c>
      <c r="AJ5522">
        <v>75.439137366228394</v>
      </c>
      <c r="AK5522">
        <v>0.79981543306263703</v>
      </c>
      <c r="AL5522">
        <v>83.6635052786431</v>
      </c>
      <c r="AM5522">
        <v>80.6038499711361</v>
      </c>
      <c r="AN5522">
        <v>1.00000004306002</v>
      </c>
    </row>
    <row r="5523" spans="1:40" x14ac:dyDescent="0.25">
      <c r="A5523" t="str">
        <f>"20190312151136403"</f>
        <v>20190312151136403</v>
      </c>
      <c r="B5523" t="str">
        <f>"1552374696397072"</f>
        <v>1552374696397072</v>
      </c>
      <c r="C5523" t="s">
        <v>40</v>
      </c>
      <c r="D5523">
        <v>5.1620480000000004</v>
      </c>
      <c r="E5523">
        <v>0.52110140000000005</v>
      </c>
      <c r="F5523" t="s">
        <v>41</v>
      </c>
      <c r="G5523">
        <v>-345.22919999999999</v>
      </c>
      <c r="H5523">
        <v>1.012548</v>
      </c>
      <c r="I5523">
        <v>15.984920000000001</v>
      </c>
      <c r="J5523">
        <v>-345.87959999999998</v>
      </c>
      <c r="K5523">
        <v>1.1088370000000001</v>
      </c>
      <c r="L5523">
        <v>16.144069999999999</v>
      </c>
      <c r="M5523">
        <v>0.99975040000000004</v>
      </c>
      <c r="N5523">
        <v>0</v>
      </c>
      <c r="O5523">
        <v>1.8569599999999999E-2</v>
      </c>
      <c r="P5523">
        <v>0.9846895</v>
      </c>
      <c r="Q5523">
        <v>9.8539489999999993E-2</v>
      </c>
      <c r="R5523">
        <v>-0.14379339999999999</v>
      </c>
      <c r="S5523">
        <v>2.9963679999999999</v>
      </c>
      <c r="T5523">
        <v>-0.36500949999999999</v>
      </c>
      <c r="U5523">
        <v>-0.59652709999999998</v>
      </c>
      <c r="V5523">
        <v>0.16243339999999901</v>
      </c>
      <c r="W5523">
        <v>0.1101702</v>
      </c>
      <c r="X5523">
        <v>0.98054980000000003</v>
      </c>
      <c r="Y5523">
        <v>0.2117918</v>
      </c>
      <c r="Z5523">
        <v>-1.4962110000000001E-2</v>
      </c>
      <c r="AA5523">
        <v>0.97720030000000002</v>
      </c>
      <c r="AB5523">
        <v>28</v>
      </c>
      <c r="AC5523">
        <v>0.65039999999998999</v>
      </c>
      <c r="AD5523">
        <v>-9.6289E-2</v>
      </c>
      <c r="AE5523">
        <v>-0.15915000000000201</v>
      </c>
      <c r="AF5523">
        <v>0.16773255020730701</v>
      </c>
      <c r="AG5523">
        <v>-9.6289E-2</v>
      </c>
      <c r="AH5523">
        <v>0.634217046724877</v>
      </c>
      <c r="AI5523">
        <v>98.350079236169293</v>
      </c>
      <c r="AJ5523">
        <v>75.186052241409996</v>
      </c>
      <c r="AK5523">
        <v>0.66305131194838296</v>
      </c>
      <c r="AL5523">
        <v>83.674873033817704</v>
      </c>
      <c r="AM5523">
        <v>80.594060607045506</v>
      </c>
      <c r="AN5523">
        <v>0.99999999634182002</v>
      </c>
    </row>
    <row r="5524" spans="1:40" x14ac:dyDescent="0.25">
      <c r="A5524" t="str">
        <f>"20190312151136422"</f>
        <v>20190312151136422</v>
      </c>
      <c r="B5524" t="str">
        <f>"1552374696416593"</f>
        <v>1552374696416593</v>
      </c>
      <c r="C5524" t="s">
        <v>40</v>
      </c>
      <c r="D5524">
        <v>5.1130209999999998</v>
      </c>
      <c r="E5524">
        <v>0.52097570000000004</v>
      </c>
      <c r="F5524" t="s">
        <v>41</v>
      </c>
      <c r="G5524">
        <v>-344.98540000000003</v>
      </c>
      <c r="H5524">
        <v>1.0000359999999999</v>
      </c>
      <c r="I5524">
        <v>15.965120000000001</v>
      </c>
      <c r="J5524">
        <v>-345.64389999999997</v>
      </c>
      <c r="K5524">
        <v>1.1088359999999999</v>
      </c>
      <c r="L5524">
        <v>16.146729999999899</v>
      </c>
      <c r="M5524">
        <v>0.99977859999999996</v>
      </c>
      <c r="N5524">
        <v>0</v>
      </c>
      <c r="O5524">
        <v>1.698475E-2</v>
      </c>
      <c r="P5524">
        <v>0.98447689999999999</v>
      </c>
      <c r="Q5524">
        <v>9.8022880000000007E-2</v>
      </c>
      <c r="R5524">
        <v>-0.14559179999999999</v>
      </c>
      <c r="S5524">
        <v>2.9956049999999999</v>
      </c>
      <c r="T5524">
        <v>-0.36448199999999997</v>
      </c>
      <c r="U5524">
        <v>-0.59945680000000001</v>
      </c>
      <c r="V5524">
        <v>0.16266929999999999</v>
      </c>
      <c r="W5524">
        <v>0.1096574</v>
      </c>
      <c r="X5524">
        <v>0.9805682</v>
      </c>
      <c r="Y5524">
        <v>0.21122949999999999</v>
      </c>
      <c r="Z5524">
        <v>-1.4718770000000001E-2</v>
      </c>
      <c r="AA5524">
        <v>0.97732569999999996</v>
      </c>
      <c r="AB5524">
        <v>28</v>
      </c>
      <c r="AC5524">
        <v>0.65849999999994602</v>
      </c>
      <c r="AD5524">
        <v>-0.10879999999999999</v>
      </c>
      <c r="AE5524">
        <v>-0.181609999999997</v>
      </c>
      <c r="AF5524">
        <v>0.18799969373244199</v>
      </c>
      <c r="AG5524">
        <v>-0.10879999999999999</v>
      </c>
      <c r="AH5524">
        <v>0.63910645768320395</v>
      </c>
      <c r="AI5524">
        <v>99.275557804102604</v>
      </c>
      <c r="AJ5524">
        <v>73.608214853007198</v>
      </c>
      <c r="AK5524">
        <v>0.675009917775928</v>
      </c>
      <c r="AL5524">
        <v>83.704433566622001</v>
      </c>
      <c r="AM5524">
        <v>80.580818690221605</v>
      </c>
      <c r="AN5524">
        <v>1.0000000206942401</v>
      </c>
    </row>
    <row r="5525" spans="1:40" x14ac:dyDescent="0.25">
      <c r="A5525" t="str">
        <f>"20190312151136434"</f>
        <v>20190312151136434</v>
      </c>
      <c r="B5525" t="str">
        <f>"1552374696426352"</f>
        <v>1552374696426352</v>
      </c>
      <c r="C5525" t="s">
        <v>40</v>
      </c>
      <c r="D5525">
        <v>5.147354</v>
      </c>
      <c r="E5525">
        <v>0.52103440000000001</v>
      </c>
      <c r="F5525" t="s">
        <v>41</v>
      </c>
      <c r="G5525">
        <v>-344.73809999999997</v>
      </c>
      <c r="H5525">
        <v>0.99873100000000004</v>
      </c>
      <c r="I5525">
        <v>15.963629999999901</v>
      </c>
      <c r="J5525">
        <v>-345.50229999999999</v>
      </c>
      <c r="K5525">
        <v>1.1088309999999999</v>
      </c>
      <c r="L5525">
        <v>16.148160000000001</v>
      </c>
      <c r="M5525">
        <v>0.99979439999999997</v>
      </c>
      <c r="N5525">
        <v>0</v>
      </c>
      <c r="O5525">
        <v>1.6032709999999999E-2</v>
      </c>
      <c r="P5525">
        <v>0.98436140000000005</v>
      </c>
      <c r="Q5525">
        <v>9.7963739999999994E-2</v>
      </c>
      <c r="R5525">
        <v>-0.1464126</v>
      </c>
      <c r="S5525">
        <v>2.994202</v>
      </c>
      <c r="T5525">
        <v>-0.3638034</v>
      </c>
      <c r="U5525">
        <v>-0.60406490000000002</v>
      </c>
      <c r="V5525">
        <v>0.16255259999999999</v>
      </c>
      <c r="W5525">
        <v>0.1096005</v>
      </c>
      <c r="X5525">
        <v>0.98059390000000002</v>
      </c>
      <c r="Y5525">
        <v>0.21184049999999999</v>
      </c>
      <c r="Z5525">
        <v>-1.4618509999999999E-2</v>
      </c>
      <c r="AA5525">
        <v>0.97719489999999998</v>
      </c>
      <c r="AB5525">
        <v>28</v>
      </c>
      <c r="AC5525">
        <v>0.76420000000001598</v>
      </c>
      <c r="AD5525">
        <v>-0.110099999999999</v>
      </c>
      <c r="AE5525">
        <v>-0.184530000000002</v>
      </c>
      <c r="AF5525">
        <v>0.19297456645508301</v>
      </c>
      <c r="AG5525">
        <v>-0.110099999999999</v>
      </c>
      <c r="AH5525">
        <v>0.74650171271578003</v>
      </c>
      <c r="AI5525">
        <v>98.126556353754296</v>
      </c>
      <c r="AJ5525">
        <v>75.506036224562195</v>
      </c>
      <c r="AK5525">
        <v>0.77886199059019501</v>
      </c>
      <c r="AL5525">
        <v>83.707713379482001</v>
      </c>
      <c r="AM5525">
        <v>80.587697380777101</v>
      </c>
      <c r="AN5525">
        <v>1.00000000704211</v>
      </c>
    </row>
    <row r="5526" spans="1:40" x14ac:dyDescent="0.25">
      <c r="A5526" t="str">
        <f>"20190312151136444"</f>
        <v>20190312151136444</v>
      </c>
      <c r="B5526" t="str">
        <f>"1552374696437089"</f>
        <v>1552374696437089</v>
      </c>
      <c r="C5526" t="s">
        <v>40</v>
      </c>
      <c r="D5526">
        <v>5.1395790000000003</v>
      </c>
      <c r="E5526">
        <v>0.52103549999999998</v>
      </c>
      <c r="F5526" t="s">
        <v>41</v>
      </c>
      <c r="G5526">
        <v>-344.7337</v>
      </c>
      <c r="H5526">
        <v>1.014913</v>
      </c>
      <c r="I5526">
        <v>15.99194</v>
      </c>
      <c r="J5526">
        <v>-345.37189999999998</v>
      </c>
      <c r="K5526">
        <v>1.1088309999999999</v>
      </c>
      <c r="L5526">
        <v>16.149290000000001</v>
      </c>
      <c r="M5526">
        <v>0.99980809999999998</v>
      </c>
      <c r="N5526">
        <v>0</v>
      </c>
      <c r="O5526">
        <v>1.5155770000000001E-2</v>
      </c>
      <c r="P5526">
        <v>0.98426639999999999</v>
      </c>
      <c r="Q5526">
        <v>9.7758990000000004E-2</v>
      </c>
      <c r="R5526">
        <v>-0.14718439999999999</v>
      </c>
      <c r="S5526">
        <v>2.993744</v>
      </c>
      <c r="T5526">
        <v>-0.36561850000000001</v>
      </c>
      <c r="U5526">
        <v>-0.60711669999999995</v>
      </c>
      <c r="V5526">
        <v>0.1624611</v>
      </c>
      <c r="W5526">
        <v>0.1093986</v>
      </c>
      <c r="X5526">
        <v>0.98063160000000005</v>
      </c>
      <c r="Y5526">
        <v>0.21195890000000001</v>
      </c>
      <c r="Z5526">
        <v>-1.459307E-2</v>
      </c>
      <c r="AA5526">
        <v>0.97716959999999997</v>
      </c>
      <c r="AB5526">
        <v>28</v>
      </c>
      <c r="AC5526">
        <v>0.638199999999983</v>
      </c>
      <c r="AD5526">
        <v>-9.3917999999999904E-2</v>
      </c>
      <c r="AE5526">
        <v>-0.15735000000000099</v>
      </c>
      <c r="AF5526">
        <v>0.16366383910916699</v>
      </c>
      <c r="AG5526">
        <v>-9.3917999999999904E-2</v>
      </c>
      <c r="AH5526">
        <v>0.62302256339267903</v>
      </c>
      <c r="AI5526">
        <v>98.295220399501005</v>
      </c>
      <c r="AJ5526">
        <v>75.281336485509897</v>
      </c>
      <c r="AK5526">
        <v>0.65097124164769105</v>
      </c>
      <c r="AL5526">
        <v>83.719351326461293</v>
      </c>
      <c r="AM5526">
        <v>80.593255977219997</v>
      </c>
      <c r="AN5526">
        <v>0.99999999880686496</v>
      </c>
    </row>
    <row r="5527" spans="1:40" x14ac:dyDescent="0.25">
      <c r="A5527" t="str">
        <f>"20190312151136455"</f>
        <v>20190312151136455</v>
      </c>
      <c r="B5527" t="str">
        <f>"1552374696446849"</f>
        <v>1552374696446849</v>
      </c>
      <c r="C5527" t="s">
        <v>40</v>
      </c>
      <c r="D5527">
        <v>5.1694110000000002</v>
      </c>
      <c r="E5527">
        <v>0.52102950000000003</v>
      </c>
      <c r="F5527" t="s">
        <v>41</v>
      </c>
      <c r="G5527">
        <v>-344.49130000000002</v>
      </c>
      <c r="H5527">
        <v>1.0005930000000001</v>
      </c>
      <c r="I5527">
        <v>15.96982</v>
      </c>
      <c r="J5527">
        <v>-345.23309999999998</v>
      </c>
      <c r="K5527">
        <v>1.1088309999999999</v>
      </c>
      <c r="L5527">
        <v>16.150479999999899</v>
      </c>
      <c r="M5527">
        <v>0.99982159999999998</v>
      </c>
      <c r="N5527">
        <v>0</v>
      </c>
      <c r="O5527">
        <v>1.4222210000000001E-2</v>
      </c>
      <c r="P5527">
        <v>0.9841934</v>
      </c>
      <c r="Q5527">
        <v>9.7485600000000006E-2</v>
      </c>
      <c r="R5527">
        <v>-0.14785139999999999</v>
      </c>
      <c r="S5527">
        <v>2.9932859999999999</v>
      </c>
      <c r="T5527">
        <v>-0.3678594</v>
      </c>
      <c r="U5527">
        <v>-0.60968020000000001</v>
      </c>
      <c r="V5527">
        <v>0.16220909999999999</v>
      </c>
      <c r="W5527">
        <v>0.1091285</v>
      </c>
      <c r="X5527">
        <v>0.9807034</v>
      </c>
      <c r="Y5527">
        <v>0.2118669</v>
      </c>
      <c r="Z5527">
        <v>-1.456402E-2</v>
      </c>
      <c r="AA5527">
        <v>0.97719</v>
      </c>
      <c r="AB5527">
        <v>28</v>
      </c>
      <c r="AC5527">
        <v>0.74179999999995505</v>
      </c>
      <c r="AD5527">
        <v>-0.108237999999999</v>
      </c>
      <c r="AE5527">
        <v>-0.18065999999999699</v>
      </c>
      <c r="AF5527">
        <v>0.18742562005126501</v>
      </c>
      <c r="AG5527">
        <v>-0.108237999999999</v>
      </c>
      <c r="AH5527">
        <v>0.72459223314419496</v>
      </c>
      <c r="AI5527">
        <v>98.228958785787398</v>
      </c>
      <c r="AJ5527">
        <v>75.497529957282595</v>
      </c>
      <c r="AK5527">
        <v>0.75622597947207104</v>
      </c>
      <c r="AL5527">
        <v>83.734920075762204</v>
      </c>
      <c r="AM5527">
        <v>80.608262355398494</v>
      </c>
      <c r="AN5527">
        <v>0.99999999020330999</v>
      </c>
    </row>
    <row r="5528" spans="1:40" x14ac:dyDescent="0.25">
      <c r="A5528" t="str">
        <f>"20190312151136468"</f>
        <v>20190312151136468</v>
      </c>
      <c r="B5528" t="str">
        <f>"1552374696456610"</f>
        <v>1552374696456610</v>
      </c>
      <c r="C5528" t="s">
        <v>40</v>
      </c>
      <c r="D5528">
        <v>5.1628999999999996</v>
      </c>
      <c r="E5528">
        <v>0.521350599999999</v>
      </c>
      <c r="F5528" t="s">
        <v>41</v>
      </c>
      <c r="G5528">
        <v>-344.48590000000002</v>
      </c>
      <c r="H5528">
        <v>1.017247</v>
      </c>
      <c r="I5528">
        <v>15.997590000000001</v>
      </c>
      <c r="J5528">
        <v>-345.07819999999998</v>
      </c>
      <c r="K5528">
        <v>1.108833</v>
      </c>
      <c r="L5528">
        <v>16.15155</v>
      </c>
      <c r="M5528">
        <v>0.99983580000000005</v>
      </c>
      <c r="N5528">
        <v>0</v>
      </c>
      <c r="O5528">
        <v>1.318137E-2</v>
      </c>
      <c r="P5528">
        <v>0.98408589999999996</v>
      </c>
      <c r="Q5528">
        <v>9.7237589999999999E-2</v>
      </c>
      <c r="R5528">
        <v>-0.1487271</v>
      </c>
      <c r="S5528">
        <v>2.9925839999999999</v>
      </c>
      <c r="T5528">
        <v>-0.36676779999999998</v>
      </c>
      <c r="U5528">
        <v>-0.61196899999999999</v>
      </c>
      <c r="V5528">
        <v>0.1620598</v>
      </c>
      <c r="W5528">
        <v>0.10888339999999901</v>
      </c>
      <c r="X5528">
        <v>0.9807553</v>
      </c>
      <c r="Y5528">
        <v>0.2116307</v>
      </c>
      <c r="Z5528">
        <v>-1.4383180000000001E-2</v>
      </c>
      <c r="AA5528">
        <v>0.9772438</v>
      </c>
      <c r="AB5528">
        <v>28</v>
      </c>
      <c r="AC5528">
        <v>0.59229999999996596</v>
      </c>
      <c r="AD5528">
        <v>-9.1585999999999904E-2</v>
      </c>
      <c r="AE5528">
        <v>-0.15396000000000101</v>
      </c>
      <c r="AF5528">
        <v>0.15821117818250099</v>
      </c>
      <c r="AG5528">
        <v>-9.1585999999999904E-2</v>
      </c>
      <c r="AH5528">
        <v>0.57728971724166001</v>
      </c>
      <c r="AI5528">
        <v>98.699146748528506</v>
      </c>
      <c r="AJ5528">
        <v>74.673909863619798</v>
      </c>
      <c r="AK5528">
        <v>0.60554288859737304</v>
      </c>
      <c r="AL5528">
        <v>83.749047303437195</v>
      </c>
      <c r="AM5528">
        <v>80.617240582928602</v>
      </c>
      <c r="AN5528">
        <v>0.99999996602484398</v>
      </c>
    </row>
    <row r="5529" spans="1:40" x14ac:dyDescent="0.25">
      <c r="A5529" t="str">
        <f>"20190312151136481"</f>
        <v>20190312151136481</v>
      </c>
      <c r="B5529" t="str">
        <f>"1552374696477105"</f>
        <v>1552374696477105</v>
      </c>
      <c r="C5529" t="s">
        <v>40</v>
      </c>
      <c r="D5529">
        <v>5.1904250000000003</v>
      </c>
      <c r="E5529">
        <v>0.52946819999999895</v>
      </c>
      <c r="F5529" t="s">
        <v>41</v>
      </c>
      <c r="G5529">
        <v>-344.2423</v>
      </c>
      <c r="H5529">
        <v>1.006141</v>
      </c>
      <c r="I5529">
        <v>15.978809999999999</v>
      </c>
      <c r="J5529">
        <v>-344.91849999999999</v>
      </c>
      <c r="K5529">
        <v>1.108833</v>
      </c>
      <c r="L5529">
        <v>16.152560000000001</v>
      </c>
      <c r="M5529">
        <v>0.9998494</v>
      </c>
      <c r="N5529">
        <v>0</v>
      </c>
      <c r="O5529">
        <v>1.2109490000000001E-2</v>
      </c>
      <c r="P5529">
        <v>0.98401190000000005</v>
      </c>
      <c r="Q5529">
        <v>9.6896720000000006E-2</v>
      </c>
      <c r="R5529">
        <v>-0.14943779999999901</v>
      </c>
      <c r="S5529">
        <v>2.9915159999999998</v>
      </c>
      <c r="T5529">
        <v>-0.36744270000000001</v>
      </c>
      <c r="U5529">
        <v>-0.61740109999999904</v>
      </c>
      <c r="V5529">
        <v>0.16171540000000001</v>
      </c>
      <c r="W5529">
        <v>0.1085464</v>
      </c>
      <c r="X5529">
        <v>0.98084959999999999</v>
      </c>
      <c r="Y5529">
        <v>0.2123507</v>
      </c>
      <c r="Z5529">
        <v>-1.4325579999999999E-2</v>
      </c>
      <c r="AA5529">
        <v>0.97708850000000003</v>
      </c>
      <c r="AB5529">
        <v>28</v>
      </c>
      <c r="AC5529">
        <v>0.67619999999999403</v>
      </c>
      <c r="AD5529">
        <v>-0.10269200000000001</v>
      </c>
      <c r="AE5529">
        <v>-0.17374999999999999</v>
      </c>
      <c r="AF5529">
        <v>0.17807371081564299</v>
      </c>
      <c r="AG5529">
        <v>-0.10269200000000001</v>
      </c>
      <c r="AH5529">
        <v>0.65977208349771799</v>
      </c>
      <c r="AI5529">
        <v>98.545923384308196</v>
      </c>
      <c r="AJ5529">
        <v>74.895666087459105</v>
      </c>
      <c r="AK5529">
        <v>0.69105361261668696</v>
      </c>
      <c r="AL5529">
        <v>83.768471724593198</v>
      </c>
      <c r="AM5529">
        <v>80.637711047322895</v>
      </c>
      <c r="AN5529">
        <v>1.0000000646851299</v>
      </c>
    </row>
    <row r="5530" spans="1:40" x14ac:dyDescent="0.25">
      <c r="A5530" t="str">
        <f>"20190312151136501"</f>
        <v>20190312151136501</v>
      </c>
      <c r="B5530" t="str">
        <f>"1552374696496627"</f>
        <v>1552374696496627</v>
      </c>
      <c r="C5530" t="s">
        <v>40</v>
      </c>
      <c r="D5530">
        <v>5.1785449999999997</v>
      </c>
      <c r="E5530">
        <v>0.52996339999999997</v>
      </c>
      <c r="F5530" t="s">
        <v>42</v>
      </c>
      <c r="G5530">
        <v>-328.03460000000001</v>
      </c>
      <c r="H5530" s="1">
        <v>-2.6955619999999999E-6</v>
      </c>
      <c r="I5530">
        <v>12.26268</v>
      </c>
      <c r="J5530">
        <v>-344.6696</v>
      </c>
      <c r="K5530">
        <v>1.108827</v>
      </c>
      <c r="L5530">
        <v>16.153749999999999</v>
      </c>
      <c r="M5530">
        <v>0.99986819999999998</v>
      </c>
      <c r="N5530">
        <v>0</v>
      </c>
      <c r="O5530">
        <v>1.043879E-2</v>
      </c>
      <c r="P5530">
        <v>0.98392710000000005</v>
      </c>
      <c r="Q5530">
        <v>9.6276490000000006E-2</v>
      </c>
      <c r="R5530">
        <v>-0.1503941</v>
      </c>
      <c r="S5530">
        <v>2.9642029999999999</v>
      </c>
      <c r="T5530">
        <v>-0.1946716</v>
      </c>
      <c r="U5530">
        <v>-0.68292240000000004</v>
      </c>
      <c r="V5530">
        <v>0.16102669999999999</v>
      </c>
      <c r="W5530">
        <v>0.1079339</v>
      </c>
      <c r="X5530">
        <v>0.98103039999999997</v>
      </c>
      <c r="Y5530">
        <v>0.23416870000000001</v>
      </c>
      <c r="Z5530">
        <v>-8.2583889999999997E-3</v>
      </c>
      <c r="AA5530">
        <v>0.97216089999999999</v>
      </c>
      <c r="AB5530">
        <v>28</v>
      </c>
      <c r="AC5530">
        <v>16.634999999999899</v>
      </c>
      <c r="AD5530">
        <v>-1.1088296955620001</v>
      </c>
      <c r="AE5530">
        <v>-3.8910699999999898</v>
      </c>
      <c r="AF5530">
        <v>4.0474703049537704</v>
      </c>
      <c r="AG5530">
        <v>-1.1088296955620001</v>
      </c>
      <c r="AH5530">
        <v>16.523863944846799</v>
      </c>
      <c r="AI5530">
        <v>93.729145119215303</v>
      </c>
      <c r="AJ5530">
        <v>76.2365660230994</v>
      </c>
      <c r="AK5530">
        <v>17.0484485754878</v>
      </c>
      <c r="AL5530">
        <v>83.803772295696902</v>
      </c>
      <c r="AM5530">
        <v>80.678568898788996</v>
      </c>
      <c r="AN5530">
        <v>0.99999998530312895</v>
      </c>
    </row>
    <row r="5531" spans="1:40" x14ac:dyDescent="0.25">
      <c r="A5531" t="str">
        <f>"20190312151136515"</f>
        <v>20190312151136515</v>
      </c>
      <c r="B5531" t="str">
        <f>"1552374696506385"</f>
        <v>1552374696506385</v>
      </c>
      <c r="C5531" t="s">
        <v>40</v>
      </c>
      <c r="D5531">
        <v>5.1646109999999998</v>
      </c>
      <c r="E5531">
        <v>0.52907649999999995</v>
      </c>
      <c r="F5531" t="s">
        <v>42</v>
      </c>
      <c r="G5531">
        <v>-327.86989999999997</v>
      </c>
      <c r="H5531" s="1">
        <v>-2.764431E-6</v>
      </c>
      <c r="I5531">
        <v>12.24156</v>
      </c>
      <c r="J5531">
        <v>-344.49610000000001</v>
      </c>
      <c r="K5531">
        <v>1.108827</v>
      </c>
      <c r="L5531">
        <v>16.15436</v>
      </c>
      <c r="M5531">
        <v>0.99987979999999999</v>
      </c>
      <c r="N5531">
        <v>0</v>
      </c>
      <c r="O5531">
        <v>9.2750130000000004E-3</v>
      </c>
      <c r="P5531">
        <v>0.98383640000000006</v>
      </c>
      <c r="Q5531">
        <v>9.6058790000000005E-2</v>
      </c>
      <c r="R5531">
        <v>-0.15112679999999901</v>
      </c>
      <c r="S5531">
        <v>2.9627379999999999</v>
      </c>
      <c r="T5531">
        <v>-0.1955498</v>
      </c>
      <c r="U5531">
        <v>-0.68994140000000004</v>
      </c>
      <c r="V5531">
        <v>0.160613899999999</v>
      </c>
      <c r="W5531">
        <v>0.1077201</v>
      </c>
      <c r="X5531">
        <v>0.98112160000000004</v>
      </c>
      <c r="Y5531">
        <v>0.23532349999999999</v>
      </c>
      <c r="Z5531">
        <v>-8.2591729999999999E-3</v>
      </c>
      <c r="AA5531">
        <v>0.97188200000000002</v>
      </c>
      <c r="AB5531">
        <v>28</v>
      </c>
      <c r="AC5531">
        <v>16.626200000000001</v>
      </c>
      <c r="AD5531">
        <v>-1.1088297644309999</v>
      </c>
      <c r="AE5531">
        <v>-3.9127999999999998</v>
      </c>
      <c r="AF5531">
        <v>4.04978449080925</v>
      </c>
      <c r="AG5531">
        <v>-1.1088297644309999</v>
      </c>
      <c r="AH5531">
        <v>16.519571024487998</v>
      </c>
      <c r="AI5531">
        <v>93.729936520652998</v>
      </c>
      <c r="AJ5531">
        <v>76.225553764294503</v>
      </c>
      <c r="AK5531">
        <v>17.044837479471401</v>
      </c>
      <c r="AL5531">
        <v>83.816094184661296</v>
      </c>
      <c r="AM5531">
        <v>80.702896204484503</v>
      </c>
      <c r="AN5531">
        <v>1.0000000194018801</v>
      </c>
    </row>
    <row r="5532" spans="1:40" x14ac:dyDescent="0.25">
      <c r="A5532" t="str">
        <f>"20190312151136526"</f>
        <v>20190312151136526</v>
      </c>
      <c r="B5532" t="str">
        <f>"1552374696517121"</f>
        <v>1552374696517121</v>
      </c>
      <c r="C5532" t="s">
        <v>40</v>
      </c>
      <c r="D5532">
        <v>5.2013800000000003</v>
      </c>
      <c r="E5532">
        <v>0.52819459999999996</v>
      </c>
      <c r="F5532" t="s">
        <v>42</v>
      </c>
      <c r="G5532">
        <v>-328.33519999999999</v>
      </c>
      <c r="H5532" s="1">
        <v>-2.5390510000000001E-6</v>
      </c>
      <c r="I5532">
        <v>12.41714</v>
      </c>
      <c r="J5532">
        <v>-344.35270000000003</v>
      </c>
      <c r="K5532">
        <v>1.1088279999999999</v>
      </c>
      <c r="L5532">
        <v>16.154629999999901</v>
      </c>
      <c r="M5532">
        <v>0.99988809999999995</v>
      </c>
      <c r="N5532">
        <v>0</v>
      </c>
      <c r="O5532">
        <v>8.3142359999999992E-3</v>
      </c>
      <c r="P5532">
        <v>0.9837785</v>
      </c>
      <c r="Q5532">
        <v>9.5800769999999993E-2</v>
      </c>
      <c r="R5532">
        <v>-0.15166459999999901</v>
      </c>
      <c r="S5532">
        <v>2.963867</v>
      </c>
      <c r="T5532">
        <v>-0.20335610000000001</v>
      </c>
      <c r="U5532">
        <v>-0.68539430000000001</v>
      </c>
      <c r="V5532">
        <v>0.16020609999999999</v>
      </c>
      <c r="W5532">
        <v>0.10746600000000001</v>
      </c>
      <c r="X5532">
        <v>0.98121610000000004</v>
      </c>
      <c r="Y5532">
        <v>0.23285900000000001</v>
      </c>
      <c r="Z5532">
        <v>-8.4380559999999993E-3</v>
      </c>
      <c r="AA5532">
        <v>0.9724739</v>
      </c>
      <c r="AB5532">
        <v>28</v>
      </c>
      <c r="AC5532">
        <v>16.017499999999998</v>
      </c>
      <c r="AD5532">
        <v>-1.108830539051</v>
      </c>
      <c r="AE5532">
        <v>-3.73748999999999</v>
      </c>
      <c r="AF5532">
        <v>3.8530330462350899</v>
      </c>
      <c r="AG5532">
        <v>-1.108830539051</v>
      </c>
      <c r="AH5532">
        <v>15.913545374332699</v>
      </c>
      <c r="AI5532">
        <v>93.874248700394602</v>
      </c>
      <c r="AJ5532">
        <v>76.389315954822493</v>
      </c>
      <c r="AK5532">
        <v>16.410859063457199</v>
      </c>
      <c r="AL5532">
        <v>83.830737837938997</v>
      </c>
      <c r="AM5532">
        <v>80.726968631302697</v>
      </c>
      <c r="AN5532">
        <v>0.99999998526620903</v>
      </c>
    </row>
    <row r="5533" spans="1:40" x14ac:dyDescent="0.25">
      <c r="A5533" t="str">
        <f>"20190312151136538"</f>
        <v>20190312151136538</v>
      </c>
      <c r="B5533" t="str">
        <f>"1552374696526881"</f>
        <v>1552374696526881</v>
      </c>
      <c r="C5533" t="s">
        <v>40</v>
      </c>
      <c r="D5533">
        <v>5.1720259999999998</v>
      </c>
      <c r="E5533">
        <v>0.52780680000000002</v>
      </c>
      <c r="F5533" t="s">
        <v>42</v>
      </c>
      <c r="G5533">
        <v>-328.41250000000002</v>
      </c>
      <c r="H5533" s="1">
        <v>-2.4879610000000001E-6</v>
      </c>
      <c r="I5533">
        <v>12.49751</v>
      </c>
      <c r="J5533">
        <v>-344.20960000000002</v>
      </c>
      <c r="K5533">
        <v>1.10883</v>
      </c>
      <c r="L5533">
        <v>16.154879999999999</v>
      </c>
      <c r="M5533">
        <v>0.99989570000000005</v>
      </c>
      <c r="N5533">
        <v>0</v>
      </c>
      <c r="O5533">
        <v>7.3547700000000001E-3</v>
      </c>
      <c r="P5533">
        <v>0.98372020000000004</v>
      </c>
      <c r="Q5533">
        <v>9.5486020000000005E-2</v>
      </c>
      <c r="R5533">
        <v>-0.15224089999999901</v>
      </c>
      <c r="S5533">
        <v>2.964661</v>
      </c>
      <c r="T5533">
        <v>-0.20622750000000001</v>
      </c>
      <c r="U5533">
        <v>-0.6801758</v>
      </c>
      <c r="V5533">
        <v>0.1598377</v>
      </c>
      <c r="W5533">
        <v>0.107155</v>
      </c>
      <c r="X5533">
        <v>0.98131020000000002</v>
      </c>
      <c r="Y5533">
        <v>0.23023540000000001</v>
      </c>
      <c r="Z5533">
        <v>-8.40054199999999E-3</v>
      </c>
      <c r="AA5533">
        <v>0.97309869999999998</v>
      </c>
      <c r="AB5533">
        <v>28</v>
      </c>
      <c r="AC5533">
        <v>15.7971</v>
      </c>
      <c r="AD5533">
        <v>-1.1088324879610001</v>
      </c>
      <c r="AE5533">
        <v>-3.65736999999999</v>
      </c>
      <c r="AF5533">
        <v>3.7559004381032199</v>
      </c>
      <c r="AG5533">
        <v>-1.1088324879610001</v>
      </c>
      <c r="AH5533">
        <v>15.696370864713501</v>
      </c>
      <c r="AI5533">
        <v>93.930222128624294</v>
      </c>
      <c r="AJ5533">
        <v>76.543027883039898</v>
      </c>
      <c r="AK5533">
        <v>16.1775262605235</v>
      </c>
      <c r="AL5533">
        <v>83.848660387402404</v>
      </c>
      <c r="AM5533">
        <v>80.748795010857506</v>
      </c>
      <c r="AN5533">
        <v>0.99999999649516502</v>
      </c>
    </row>
    <row r="5534" spans="1:40" x14ac:dyDescent="0.25">
      <c r="A5534" t="str">
        <f>"20190312151136556"</f>
        <v>20190312151136556</v>
      </c>
      <c r="B5534" t="str">
        <f>"1552374696546401"</f>
        <v>1552374696546401</v>
      </c>
      <c r="C5534" t="s">
        <v>40</v>
      </c>
      <c r="D5534">
        <v>5.1936059999999999</v>
      </c>
      <c r="E5534">
        <v>0.52723160000000002</v>
      </c>
      <c r="F5534" t="s">
        <v>42</v>
      </c>
      <c r="G5534">
        <v>-328.63740000000001</v>
      </c>
      <c r="H5534" s="1">
        <v>-2.3775499999999998E-6</v>
      </c>
      <c r="I5534">
        <v>12.587949999999999</v>
      </c>
      <c r="J5534">
        <v>-343.983</v>
      </c>
      <c r="K5534">
        <v>1.10883</v>
      </c>
      <c r="L5534">
        <v>16.154879999999999</v>
      </c>
      <c r="M5534">
        <v>0.99990559999999995</v>
      </c>
      <c r="N5534">
        <v>0</v>
      </c>
      <c r="O5534">
        <v>5.8372469999999899E-3</v>
      </c>
      <c r="P5534">
        <v>0.98358009999999996</v>
      </c>
      <c r="Q5534">
        <v>9.5439049999999997E-2</v>
      </c>
      <c r="R5534">
        <v>-0.15317169999999999</v>
      </c>
      <c r="S5534">
        <v>2.9650569999999998</v>
      </c>
      <c r="T5534">
        <v>-0.21112980000000001</v>
      </c>
      <c r="U5534">
        <v>-0.67916869999999996</v>
      </c>
      <c r="V5534">
        <v>0.159275799999999</v>
      </c>
      <c r="W5534">
        <v>0.10711279999999999</v>
      </c>
      <c r="X5534">
        <v>0.98140620000000001</v>
      </c>
      <c r="Y5534">
        <v>0.22839789999999999</v>
      </c>
      <c r="Z5534">
        <v>-8.4278559999999992E-3</v>
      </c>
      <c r="AA5534">
        <v>0.97353140000000005</v>
      </c>
      <c r="AB5534">
        <v>28</v>
      </c>
      <c r="AC5534">
        <v>15.3455999999999</v>
      </c>
      <c r="AD5534">
        <v>-1.10883237755</v>
      </c>
      <c r="AE5534">
        <v>-3.5669300000000002</v>
      </c>
      <c r="AF5534">
        <v>3.6384292661594002</v>
      </c>
      <c r="AG5534">
        <v>-1.10883237755</v>
      </c>
      <c r="AH5534">
        <v>15.248980101988501</v>
      </c>
      <c r="AI5534">
        <v>94.0457760122368</v>
      </c>
      <c r="AJ5534">
        <v>76.580055783731694</v>
      </c>
      <c r="AK5534">
        <v>15.7162040874122</v>
      </c>
      <c r="AL5534">
        <v>83.851092478066505</v>
      </c>
      <c r="AM5534">
        <v>80.781644001943803</v>
      </c>
      <c r="AN5534">
        <v>1.0000000308939501</v>
      </c>
    </row>
    <row r="5535" spans="1:40" x14ac:dyDescent="0.25">
      <c r="A5535" t="str">
        <f>"20190312151136567"</f>
        <v>20190312151136567</v>
      </c>
      <c r="B5535" t="str">
        <f>"1552374696557137"</f>
        <v>1552374696557137</v>
      </c>
      <c r="C5535" t="s">
        <v>40</v>
      </c>
      <c r="D5535">
        <v>5.1903610000000002</v>
      </c>
      <c r="E5535">
        <v>0.52723160000000002</v>
      </c>
      <c r="F5535" t="s">
        <v>42</v>
      </c>
      <c r="G5535">
        <v>-328.62529999999998</v>
      </c>
      <c r="H5535" s="1">
        <v>-2.3673019999999998E-6</v>
      </c>
      <c r="I5535">
        <v>12.643829999999999</v>
      </c>
      <c r="J5535">
        <v>-343.85050000000001</v>
      </c>
      <c r="K5535">
        <v>1.108832</v>
      </c>
      <c r="L5535">
        <v>16.154689999999999</v>
      </c>
      <c r="M5535">
        <v>0.99991050000000004</v>
      </c>
      <c r="N5535">
        <v>0</v>
      </c>
      <c r="O5535">
        <v>4.9502510000000001E-3</v>
      </c>
      <c r="P5535">
        <v>0.98351449999999996</v>
      </c>
      <c r="Q5535">
        <v>9.5314549999999998E-2</v>
      </c>
      <c r="R5535">
        <v>-0.153670899999999</v>
      </c>
      <c r="S5535">
        <v>2.965271</v>
      </c>
      <c r="T5535">
        <v>-0.21409500000000001</v>
      </c>
      <c r="U5535">
        <v>-0.67791749999999995</v>
      </c>
      <c r="V5535">
        <v>0.1589023</v>
      </c>
      <c r="W5535">
        <v>0.106991</v>
      </c>
      <c r="X5535">
        <v>0.98148000000000002</v>
      </c>
      <c r="Y5535">
        <v>0.22711799999999999</v>
      </c>
      <c r="Z5535">
        <v>-8.4369979999999994E-3</v>
      </c>
      <c r="AA5535">
        <v>0.97383070000000005</v>
      </c>
      <c r="AB5535">
        <v>28</v>
      </c>
      <c r="AC5535">
        <v>15.225199999999999</v>
      </c>
      <c r="AD5535">
        <v>-1.108834367302</v>
      </c>
      <c r="AE5535">
        <v>-3.5108599999999899</v>
      </c>
      <c r="AF5535">
        <v>3.5682209138946699</v>
      </c>
      <c r="AG5535">
        <v>-1.108834367302</v>
      </c>
      <c r="AH5535">
        <v>15.131426820661201</v>
      </c>
      <c r="AI5535">
        <v>94.079651894384796</v>
      </c>
      <c r="AJ5535">
        <v>76.731192067903095</v>
      </c>
      <c r="AK5535">
        <v>15.5859485362133</v>
      </c>
      <c r="AL5535">
        <v>83.858111264969907</v>
      </c>
      <c r="AM5535">
        <v>80.803570838921999</v>
      </c>
      <c r="AN5535">
        <v>1.0000000027131399</v>
      </c>
    </row>
    <row r="5536" spans="1:40" x14ac:dyDescent="0.25">
      <c r="A5536" t="str">
        <f>"20190312151136579"</f>
        <v>20190312151136579</v>
      </c>
      <c r="B5536" t="str">
        <f>"1552374696576657"</f>
        <v>1552374696576657</v>
      </c>
      <c r="C5536" t="s">
        <v>40</v>
      </c>
      <c r="D5536">
        <v>5.2379150000000001</v>
      </c>
      <c r="E5536">
        <v>0.53461029999999998</v>
      </c>
      <c r="F5536" t="s">
        <v>42</v>
      </c>
      <c r="G5536">
        <v>-328.51960000000003</v>
      </c>
      <c r="H5536" s="1">
        <v>-2.4085290000000001E-6</v>
      </c>
      <c r="I5536">
        <v>12.641550000000001</v>
      </c>
      <c r="J5536">
        <v>-343.70679999999999</v>
      </c>
      <c r="K5536">
        <v>1.108833</v>
      </c>
      <c r="L5536">
        <v>16.154450000000001</v>
      </c>
      <c r="M5536">
        <v>0.99991479999999999</v>
      </c>
      <c r="N5536">
        <v>0</v>
      </c>
      <c r="O5536">
        <v>3.9883360000000003E-3</v>
      </c>
      <c r="P5536">
        <v>0.98336619999999997</v>
      </c>
      <c r="Q5536">
        <v>9.5183149999999994E-2</v>
      </c>
      <c r="R5536">
        <v>-0.15469820000000001</v>
      </c>
      <c r="S5536">
        <v>2.964874</v>
      </c>
      <c r="T5536">
        <v>-0.2144394</v>
      </c>
      <c r="U5536">
        <v>-0.67941280000000004</v>
      </c>
      <c r="V5536">
        <v>0.15898280000000001</v>
      </c>
      <c r="W5536">
        <v>0.1068601</v>
      </c>
      <c r="X5536">
        <v>0.98148120000000005</v>
      </c>
      <c r="Y5536">
        <v>0.22667789999999999</v>
      </c>
      <c r="Z5536">
        <v>-8.366854E-3</v>
      </c>
      <c r="AA5536">
        <v>0.97393390000000002</v>
      </c>
      <c r="AB5536">
        <v>28</v>
      </c>
      <c r="AC5536">
        <v>15.187199999999899</v>
      </c>
      <c r="AD5536">
        <v>-1.108835408529</v>
      </c>
      <c r="AE5536">
        <v>-3.5129000000000001</v>
      </c>
      <c r="AF5536">
        <v>3.55545808233299</v>
      </c>
      <c r="AG5536">
        <v>-1.108835408529</v>
      </c>
      <c r="AH5536">
        <v>15.0966795937545</v>
      </c>
      <c r="AI5536">
        <v>94.089289189477796</v>
      </c>
      <c r="AJ5536">
        <v>76.747619881920699</v>
      </c>
      <c r="AK5536">
        <v>15.549293646173</v>
      </c>
      <c r="AL5536">
        <v>83.865654380604397</v>
      </c>
      <c r="AM5536">
        <v>80.799002645373804</v>
      </c>
      <c r="AN5536">
        <v>0.99999997881064395</v>
      </c>
    </row>
    <row r="5537" spans="1:40" x14ac:dyDescent="0.25">
      <c r="A5537" t="str">
        <f>"20190312151136590"</f>
        <v>20190312151136590</v>
      </c>
      <c r="B5537" t="str">
        <f>"1552374696587393"</f>
        <v>1552374696587393</v>
      </c>
      <c r="C5537" t="s">
        <v>40</v>
      </c>
      <c r="D5537">
        <v>5.2138869999999997</v>
      </c>
      <c r="E5537">
        <v>0.53527000000000002</v>
      </c>
      <c r="F5537" t="s">
        <v>42</v>
      </c>
      <c r="G5537">
        <v>-334.0686</v>
      </c>
      <c r="H5537" s="1">
        <v>-3.5683650000000001E-6</v>
      </c>
      <c r="I5537">
        <v>13.744770000000001</v>
      </c>
      <c r="J5537">
        <v>-343.56209999999999</v>
      </c>
      <c r="K5537">
        <v>1.108833</v>
      </c>
      <c r="L5537">
        <v>16.15399</v>
      </c>
      <c r="M5537">
        <v>0.99991819999999998</v>
      </c>
      <c r="N5537">
        <v>0</v>
      </c>
      <c r="O5537">
        <v>3.0217199999999999E-3</v>
      </c>
      <c r="P5537">
        <v>0.98324730000000005</v>
      </c>
      <c r="Q5537">
        <v>9.5232020000000001E-2</v>
      </c>
      <c r="R5537">
        <v>-0.15542139999999999</v>
      </c>
      <c r="S5537">
        <v>2.9671020000000001</v>
      </c>
      <c r="T5537">
        <v>-0.34135310000000002</v>
      </c>
      <c r="U5537">
        <v>-0.74179079999999997</v>
      </c>
      <c r="V5537">
        <v>0.15875549999999999</v>
      </c>
      <c r="W5537">
        <v>0.1069109</v>
      </c>
      <c r="X5537">
        <v>0.98151250000000001</v>
      </c>
      <c r="Y5537">
        <v>0.24393719999999999</v>
      </c>
      <c r="Z5537">
        <v>-1.411726E-2</v>
      </c>
      <c r="AA5537">
        <v>0.96968829999999995</v>
      </c>
      <c r="AB5537">
        <v>28</v>
      </c>
      <c r="AC5537">
        <v>9.4934999999999796</v>
      </c>
      <c r="AD5537">
        <v>-1.1088365683650001</v>
      </c>
      <c r="AE5537">
        <v>-2.4092199999999901</v>
      </c>
      <c r="AF5537">
        <v>2.4070474786935501</v>
      </c>
      <c r="AG5537">
        <v>-1.1088365683650001</v>
      </c>
      <c r="AH5537">
        <v>9.3661330677758894</v>
      </c>
      <c r="AI5537">
        <v>96.541077461716299</v>
      </c>
      <c r="AJ5537">
        <v>75.587184165924995</v>
      </c>
      <c r="AK5537">
        <v>9.7338504582366401</v>
      </c>
      <c r="AL5537">
        <v>83.862727229320598</v>
      </c>
      <c r="AM5537">
        <v>80.812220925192804</v>
      </c>
      <c r="AN5537">
        <v>1.0000000184876501</v>
      </c>
    </row>
    <row r="5538" spans="1:40" x14ac:dyDescent="0.25">
      <c r="A5538" t="str">
        <f>"20190312151136602"</f>
        <v>20190312151136602</v>
      </c>
      <c r="B5538" t="str">
        <f>"1552374696597153"</f>
        <v>1552374696597153</v>
      </c>
      <c r="C5538" t="s">
        <v>40</v>
      </c>
      <c r="D5538">
        <v>5.1837989999999996</v>
      </c>
      <c r="E5538">
        <v>0.53409280000000003</v>
      </c>
      <c r="F5538" t="s">
        <v>42</v>
      </c>
      <c r="G5538">
        <v>-333.41969999999998</v>
      </c>
      <c r="H5538" s="1">
        <v>-3.8741620000000003E-6</v>
      </c>
      <c r="I5538">
        <v>13.590070000000001</v>
      </c>
      <c r="J5538">
        <v>-343.42559999999997</v>
      </c>
      <c r="K5538">
        <v>1.108835</v>
      </c>
      <c r="L5538">
        <v>16.15344</v>
      </c>
      <c r="M5538">
        <v>0.99992040000000004</v>
      </c>
      <c r="N5538">
        <v>0</v>
      </c>
      <c r="O5538">
        <v>2.1105989999999999E-3</v>
      </c>
      <c r="P5538">
        <v>0.98311899999999997</v>
      </c>
      <c r="Q5538">
        <v>9.5285889999999998E-2</v>
      </c>
      <c r="R5538">
        <v>-0.1561987</v>
      </c>
      <c r="S5538">
        <v>2.9640499999999999</v>
      </c>
      <c r="T5538">
        <v>-0.32405109999999998</v>
      </c>
      <c r="U5538">
        <v>-0.74926759999999903</v>
      </c>
      <c r="V5538">
        <v>0.15863669999999999</v>
      </c>
      <c r="W5538">
        <v>0.1069663</v>
      </c>
      <c r="X5538">
        <v>0.98152569999999995</v>
      </c>
      <c r="Y5538">
        <v>0.24573349999999999</v>
      </c>
      <c r="Z5538">
        <v>-1.341373E-2</v>
      </c>
      <c r="AA5538">
        <v>0.96924460000000001</v>
      </c>
      <c r="AB5538">
        <v>28</v>
      </c>
      <c r="AC5538">
        <v>10.005899999999899</v>
      </c>
      <c r="AD5538">
        <v>-1.1088388741619899</v>
      </c>
      <c r="AE5538">
        <v>-2.5633699999999902</v>
      </c>
      <c r="AF5538">
        <v>2.5550391194051998</v>
      </c>
      <c r="AG5538">
        <v>-1.1088388741619899</v>
      </c>
      <c r="AH5538">
        <v>9.8865308865278401</v>
      </c>
      <c r="AI5538">
        <v>96.197399195583898</v>
      </c>
      <c r="AJ5538">
        <v>75.509732533895701</v>
      </c>
      <c r="AK5538">
        <v>10.2713797281968</v>
      </c>
      <c r="AL5538">
        <v>83.859534904857995</v>
      </c>
      <c r="AM5538">
        <v>80.819100565900499</v>
      </c>
      <c r="AN5538">
        <v>1.0000000458415299</v>
      </c>
    </row>
    <row r="5539" spans="1:40" x14ac:dyDescent="0.25">
      <c r="A5539" t="str">
        <f>"20190312151136613"</f>
        <v>20190312151136613</v>
      </c>
      <c r="B5539" t="str">
        <f>"1552374696606913"</f>
        <v>1552374696606913</v>
      </c>
      <c r="C5539" t="s">
        <v>40</v>
      </c>
      <c r="D5539">
        <v>5.1356359999999999</v>
      </c>
      <c r="E5539">
        <v>0.5340357</v>
      </c>
      <c r="F5539" t="s">
        <v>42</v>
      </c>
      <c r="G5539">
        <v>-333.41399999999999</v>
      </c>
      <c r="H5539" s="1">
        <v>-3.8666740000000003E-6</v>
      </c>
      <c r="I5539">
        <v>13.646240000000001</v>
      </c>
      <c r="J5539">
        <v>-343.27820000000003</v>
      </c>
      <c r="K5539">
        <v>1.108838</v>
      </c>
      <c r="L5539">
        <v>16.152739999999898</v>
      </c>
      <c r="M5539">
        <v>0.99992199999999998</v>
      </c>
      <c r="N5539">
        <v>0</v>
      </c>
      <c r="O5539">
        <v>1.127428E-3</v>
      </c>
      <c r="P5539">
        <v>0.98300299999999996</v>
      </c>
      <c r="Q5539">
        <v>9.5206840000000001E-2</v>
      </c>
      <c r="R5539">
        <v>-0.15697369999999999</v>
      </c>
      <c r="S5539">
        <v>2.965363</v>
      </c>
      <c r="T5539">
        <v>-0.32842769999999999</v>
      </c>
      <c r="U5539">
        <v>-0.74258419999999903</v>
      </c>
      <c r="V5539">
        <v>0.15844469999999999</v>
      </c>
      <c r="W5539">
        <v>0.1068895</v>
      </c>
      <c r="X5539">
        <v>0.98156509999999997</v>
      </c>
      <c r="Y5539">
        <v>0.2426093</v>
      </c>
      <c r="Z5539">
        <v>-1.3314869999999999E-2</v>
      </c>
      <c r="AA5539">
        <v>0.97003269999999997</v>
      </c>
      <c r="AB5539">
        <v>28</v>
      </c>
      <c r="AC5539">
        <v>9.8642000000000394</v>
      </c>
      <c r="AD5539">
        <v>-1.1088418666740001</v>
      </c>
      <c r="AE5539">
        <v>-2.5064999999999902</v>
      </c>
      <c r="AF5539">
        <v>2.4880874087674401</v>
      </c>
      <c r="AG5539">
        <v>-1.1088418666740001</v>
      </c>
      <c r="AH5539">
        <v>9.74568849893957</v>
      </c>
      <c r="AI5539">
        <v>96.290980023378296</v>
      </c>
      <c r="AJ5539">
        <v>75.678237539085202</v>
      </c>
      <c r="AK5539">
        <v>10.119217042702401</v>
      </c>
      <c r="AL5539">
        <v>83.863960723407004</v>
      </c>
      <c r="AM5539">
        <v>80.830385261930701</v>
      </c>
      <c r="AN5539">
        <v>1.0000000668531701</v>
      </c>
    </row>
    <row r="5540" spans="1:40" x14ac:dyDescent="0.25">
      <c r="A5540" t="str">
        <f>"20190312151136625"</f>
        <v>20190312151136625</v>
      </c>
      <c r="B5540" t="str">
        <f>"1552374696616673"</f>
        <v>1552374696616673</v>
      </c>
      <c r="C5540" t="s">
        <v>40</v>
      </c>
      <c r="D5540">
        <v>5.1709459999999998</v>
      </c>
      <c r="E5540">
        <v>0.53340359999999998</v>
      </c>
      <c r="F5540" t="s">
        <v>42</v>
      </c>
      <c r="G5540">
        <v>-333.06270000000001</v>
      </c>
      <c r="H5540" s="1">
        <v>-4.0281119999999999E-6</v>
      </c>
      <c r="I5540">
        <v>13.585610000000001</v>
      </c>
      <c r="J5540">
        <v>-343.13229999999999</v>
      </c>
      <c r="K5540">
        <v>1.1088420000000001</v>
      </c>
      <c r="L5540">
        <v>16.151889999999899</v>
      </c>
      <c r="M5540">
        <v>0.9999228</v>
      </c>
      <c r="N5540">
        <v>0</v>
      </c>
      <c r="O5540">
        <v>1.5936499999999999E-4</v>
      </c>
      <c r="P5540">
        <v>0.98287369999999996</v>
      </c>
      <c r="Q5540">
        <v>9.5152319999999999E-2</v>
      </c>
      <c r="R5540">
        <v>-0.15781589999999901</v>
      </c>
      <c r="S5540">
        <v>2.9640810000000002</v>
      </c>
      <c r="T5540">
        <v>-0.32173679999999999</v>
      </c>
      <c r="U5540">
        <v>-0.74484249999999996</v>
      </c>
      <c r="V5540">
        <v>0.1583339</v>
      </c>
      <c r="W5540">
        <v>0.1068374</v>
      </c>
      <c r="X5540">
        <v>0.98158860000000003</v>
      </c>
      <c r="Y5540">
        <v>0.24252599999999999</v>
      </c>
      <c r="Z5540">
        <v>-1.294177E-2</v>
      </c>
      <c r="AA5540">
        <v>0.97005859999999999</v>
      </c>
      <c r="AB5540">
        <v>28</v>
      </c>
      <c r="AC5540">
        <v>10.0695999999999</v>
      </c>
      <c r="AD5540">
        <v>-1.1088460281119901</v>
      </c>
      <c r="AE5540">
        <v>-2.5662799999999901</v>
      </c>
      <c r="AF5540">
        <v>2.5389749077931199</v>
      </c>
      <c r="AG5540">
        <v>-1.1088460281119901</v>
      </c>
      <c r="AH5540">
        <v>9.9558292566117892</v>
      </c>
      <c r="AI5540">
        <v>96.159654967379197</v>
      </c>
      <c r="AJ5540">
        <v>75.693159680109204</v>
      </c>
      <c r="AK5540">
        <v>10.3341409552642</v>
      </c>
      <c r="AL5540">
        <v>83.866962717157193</v>
      </c>
      <c r="AM5540">
        <v>80.8369043872475</v>
      </c>
      <c r="AN5540">
        <v>1.00000001678896</v>
      </c>
    </row>
    <row r="5541" spans="1:40" x14ac:dyDescent="0.25">
      <c r="A5541" t="str">
        <f>"20190312151136637"</f>
        <v>20190312151136637</v>
      </c>
      <c r="B5541" t="str">
        <f>"1552374696626433"</f>
        <v>1552374696626433</v>
      </c>
      <c r="C5541" t="s">
        <v>40</v>
      </c>
      <c r="D5541">
        <v>5.6091379999999997</v>
      </c>
      <c r="E5541">
        <v>0.53386389999999995</v>
      </c>
      <c r="F5541" t="s">
        <v>42</v>
      </c>
      <c r="G5541">
        <v>-332.91050000000001</v>
      </c>
      <c r="H5541" s="1">
        <v>-4.0923830000000002E-6</v>
      </c>
      <c r="I5541">
        <v>13.59137</v>
      </c>
      <c r="J5541">
        <v>-342.99</v>
      </c>
      <c r="K5541">
        <v>1.10884</v>
      </c>
      <c r="L5541">
        <v>16.150970000000001</v>
      </c>
      <c r="M5541">
        <v>0.99992230000000004</v>
      </c>
      <c r="N5541">
        <v>0</v>
      </c>
      <c r="O5541">
        <v>-7.8389219999999997E-4</v>
      </c>
      <c r="P5541">
        <v>0.98269700000000004</v>
      </c>
      <c r="Q5541">
        <v>9.5253749999999998E-2</v>
      </c>
      <c r="R5541">
        <v>-0.1588494</v>
      </c>
      <c r="S5541">
        <v>2.9642029999999999</v>
      </c>
      <c r="T5541">
        <v>-0.32155119999999998</v>
      </c>
      <c r="U5541">
        <v>-0.74249270000000001</v>
      </c>
      <c r="V5541">
        <v>0.1584401</v>
      </c>
      <c r="W5541">
        <v>0.1069393</v>
      </c>
      <c r="X5541">
        <v>0.98156030000000005</v>
      </c>
      <c r="Y5541">
        <v>0.24089360000000001</v>
      </c>
      <c r="Z5541">
        <v>-1.2747609999999999E-2</v>
      </c>
      <c r="AA5541">
        <v>0.97046779999999999</v>
      </c>
      <c r="AB5541">
        <v>28</v>
      </c>
      <c r="AC5541">
        <v>10.0794999999999</v>
      </c>
      <c r="AD5541">
        <v>-1.1088440923829901</v>
      </c>
      <c r="AE5541">
        <v>-2.5596000000000001</v>
      </c>
      <c r="AF5541">
        <v>2.5230131756347198</v>
      </c>
      <c r="AG5541">
        <v>-1.1088440923829901</v>
      </c>
      <c r="AH5541">
        <v>9.9681751354623298</v>
      </c>
      <c r="AI5541">
        <v>96.154867795839607</v>
      </c>
      <c r="AJ5541">
        <v>75.796342401060699</v>
      </c>
      <c r="AK5541">
        <v>10.342129676081599</v>
      </c>
      <c r="AL5541">
        <v>83.861090230022199</v>
      </c>
      <c r="AM5541">
        <v>80.8306028758563</v>
      </c>
      <c r="AN5541">
        <v>0.99999995085429305</v>
      </c>
    </row>
    <row r="5542" spans="1:40" x14ac:dyDescent="0.25">
      <c r="A5542" t="str">
        <f>"20190312151136649"</f>
        <v>20190312151136649</v>
      </c>
      <c r="B5542" t="str">
        <f>"1552374696646928"</f>
        <v>1552374696646928</v>
      </c>
      <c r="C5542" t="s">
        <v>40</v>
      </c>
      <c r="D5542">
        <v>4.9820779999999996</v>
      </c>
      <c r="E5542">
        <v>0.53362209999999999</v>
      </c>
      <c r="F5542" t="s">
        <v>42</v>
      </c>
      <c r="G5542">
        <v>-332.88549999999998</v>
      </c>
      <c r="H5542" s="1">
        <v>-4.1024029999999998E-6</v>
      </c>
      <c r="I5542">
        <v>13.595479999999901</v>
      </c>
      <c r="J5542">
        <v>-342.83960000000002</v>
      </c>
      <c r="K5542">
        <v>1.1088469999999999</v>
      </c>
      <c r="L5542">
        <v>16.149750000000001</v>
      </c>
      <c r="M5542">
        <v>0.99992110000000001</v>
      </c>
      <c r="N5542">
        <v>0</v>
      </c>
      <c r="O5542">
        <v>-1.770892E-3</v>
      </c>
      <c r="P5542">
        <v>0.98255289999999995</v>
      </c>
      <c r="Q5542">
        <v>9.4988630000000004E-2</v>
      </c>
      <c r="R5542">
        <v>-0.15989639999999999</v>
      </c>
      <c r="S5542">
        <v>2.9632260000000001</v>
      </c>
      <c r="T5542">
        <v>-0.32517639999999998</v>
      </c>
      <c r="U5542">
        <v>-0.74938959999999999</v>
      </c>
      <c r="V5542">
        <v>0.15851419999999999</v>
      </c>
      <c r="W5542">
        <v>0.1066771</v>
      </c>
      <c r="X5542">
        <v>0.98157689999999997</v>
      </c>
      <c r="Y5542">
        <v>0.24210419999999999</v>
      </c>
      <c r="Z5542">
        <v>-1.2849910000000001E-2</v>
      </c>
      <c r="AA5542">
        <v>0.97016519999999995</v>
      </c>
      <c r="AB5542">
        <v>28</v>
      </c>
      <c r="AC5542">
        <v>9.9541000000000395</v>
      </c>
      <c r="AD5542">
        <v>-1.1088511024030001</v>
      </c>
      <c r="AE5542">
        <v>-2.5542699999999998</v>
      </c>
      <c r="AF5542">
        <v>2.5074439611054502</v>
      </c>
      <c r="AG5542">
        <v>-1.1088511024030001</v>
      </c>
      <c r="AH5542">
        <v>9.8439988576117692</v>
      </c>
      <c r="AI5542">
        <v>96.229564001171696</v>
      </c>
      <c r="AJ5542">
        <v>75.709618676530198</v>
      </c>
      <c r="AK5542">
        <v>10.2186662287231</v>
      </c>
      <c r="AL5542">
        <v>83.876199812517697</v>
      </c>
      <c r="AM5542">
        <v>80.826539889600198</v>
      </c>
      <c r="AN5542">
        <v>0.99999998293982895</v>
      </c>
    </row>
    <row r="5543" spans="1:40" x14ac:dyDescent="0.25">
      <c r="A5543" t="str">
        <f>"20190312151136661"</f>
        <v>20190312151136661</v>
      </c>
      <c r="B5543" t="str">
        <f>"1552374696656690"</f>
        <v>1552374696656690</v>
      </c>
      <c r="C5543" t="s">
        <v>40</v>
      </c>
      <c r="D5543">
        <v>5.2280790000000001</v>
      </c>
      <c r="E5543">
        <v>0.53379370000000004</v>
      </c>
      <c r="F5543" t="s">
        <v>42</v>
      </c>
      <c r="G5543">
        <v>-333.33420000000001</v>
      </c>
      <c r="H5543" s="1">
        <v>-3.8838120000000003E-6</v>
      </c>
      <c r="I5543">
        <v>13.742610000000001</v>
      </c>
      <c r="J5543">
        <v>-342.69220000000001</v>
      </c>
      <c r="K5543">
        <v>1.108854</v>
      </c>
      <c r="L5543">
        <v>16.148499999999999</v>
      </c>
      <c r="M5543">
        <v>0.99991890000000005</v>
      </c>
      <c r="N5543">
        <v>0</v>
      </c>
      <c r="O5543">
        <v>-2.733788E-3</v>
      </c>
      <c r="P5543">
        <v>0.98234980000000005</v>
      </c>
      <c r="Q5543">
        <v>9.48156E-2</v>
      </c>
      <c r="R5543">
        <v>-0.1612422</v>
      </c>
      <c r="S5543">
        <v>2.9645389999999998</v>
      </c>
      <c r="T5543">
        <v>-0.34582390000000002</v>
      </c>
      <c r="U5543">
        <v>-0.75070190000000003</v>
      </c>
      <c r="V5543">
        <v>0.1589112</v>
      </c>
      <c r="W5543">
        <v>0.106506</v>
      </c>
      <c r="X5543">
        <v>0.9815313</v>
      </c>
      <c r="Y5543">
        <v>0.24130740000000001</v>
      </c>
      <c r="Z5543">
        <v>-1.3498370000000001E-2</v>
      </c>
      <c r="AA5543">
        <v>0.97035490000000002</v>
      </c>
      <c r="AB5543">
        <v>28</v>
      </c>
      <c r="AC5543">
        <v>9.3580000000000005</v>
      </c>
      <c r="AD5543">
        <v>-1.108857883812</v>
      </c>
      <c r="AE5543">
        <v>-2.4058899999999901</v>
      </c>
      <c r="AF5543">
        <v>2.34935502362038</v>
      </c>
      <c r="AG5543">
        <v>-1.108857883812</v>
      </c>
      <c r="AH5543">
        <v>9.24281403445978</v>
      </c>
      <c r="AI5543">
        <v>96.632139013482899</v>
      </c>
      <c r="AJ5543">
        <v>75.738474451881899</v>
      </c>
      <c r="AK5543">
        <v>9.6009711023994306</v>
      </c>
      <c r="AL5543">
        <v>83.886059366333399</v>
      </c>
      <c r="AM5543">
        <v>80.803537022401301</v>
      </c>
      <c r="AN5543">
        <v>0.99999999520056404</v>
      </c>
    </row>
    <row r="5544" spans="1:40" x14ac:dyDescent="0.25">
      <c r="A5544" t="str">
        <f>"20190312151136675"</f>
        <v>20190312151136675</v>
      </c>
      <c r="B5544" t="str">
        <f>"1552374696666450"</f>
        <v>1552374696666450</v>
      </c>
      <c r="C5544" t="s">
        <v>40</v>
      </c>
      <c r="D5544">
        <v>5.2357529999999999</v>
      </c>
      <c r="E5544">
        <v>0.53420690000000004</v>
      </c>
      <c r="F5544" t="s">
        <v>42</v>
      </c>
      <c r="G5544">
        <v>-333.11160000000001</v>
      </c>
      <c r="H5544" s="1">
        <v>-3.9860590000000002E-6</v>
      </c>
      <c r="I5544">
        <v>13.704470000000001</v>
      </c>
      <c r="J5544">
        <v>-342.52440000000001</v>
      </c>
      <c r="K5544">
        <v>1.1088629999999999</v>
      </c>
      <c r="L5544">
        <v>16.146909999999998</v>
      </c>
      <c r="M5544">
        <v>0.99991549999999996</v>
      </c>
      <c r="N5544">
        <v>0</v>
      </c>
      <c r="O5544">
        <v>-3.818307E-3</v>
      </c>
      <c r="P5544">
        <v>0.98212869999999997</v>
      </c>
      <c r="Q5544">
        <v>9.4748650000000004E-2</v>
      </c>
      <c r="R5544">
        <v>-0.16262380000000001</v>
      </c>
      <c r="S5544">
        <v>2.962952</v>
      </c>
      <c r="T5544">
        <v>-0.3429315</v>
      </c>
      <c r="U5544">
        <v>-0.75582890000000003</v>
      </c>
      <c r="V5544">
        <v>0.1592239</v>
      </c>
      <c r="W5544">
        <v>0.10644199999999999</v>
      </c>
      <c r="X5544">
        <v>0.98148760000000002</v>
      </c>
      <c r="Y5544">
        <v>0.24198310000000001</v>
      </c>
      <c r="Z5544">
        <v>-1.3305539999999999E-2</v>
      </c>
      <c r="AA5544">
        <v>0.97018919999999997</v>
      </c>
      <c r="AB5544">
        <v>28</v>
      </c>
      <c r="AC5544">
        <v>9.4128000000000007</v>
      </c>
      <c r="AD5544">
        <v>-1.1088669860589999</v>
      </c>
      <c r="AE5544">
        <v>-2.4424399999999999</v>
      </c>
      <c r="AF5544">
        <v>2.3755901611576999</v>
      </c>
      <c r="AG5544">
        <v>-1.1088669860589999</v>
      </c>
      <c r="AH5544">
        <v>9.3011214799270796</v>
      </c>
      <c r="AI5544">
        <v>96.589065641031297</v>
      </c>
      <c r="AJ5544">
        <v>75.672446949085796</v>
      </c>
      <c r="AK5544">
        <v>9.6635332767534798</v>
      </c>
      <c r="AL5544">
        <v>83.889747469421394</v>
      </c>
      <c r="AM5544">
        <v>80.785347428585297</v>
      </c>
      <c r="AN5544">
        <v>1.00000002932448</v>
      </c>
    </row>
    <row r="5545" spans="1:40" x14ac:dyDescent="0.25">
      <c r="A5545" t="str">
        <f>"20190312151136692"</f>
        <v>20190312151136692</v>
      </c>
      <c r="B5545" t="str">
        <f>"1552374696686945"</f>
        <v>1552374696686945</v>
      </c>
      <c r="C5545" t="s">
        <v>40</v>
      </c>
      <c r="D5545">
        <v>5.1503759999999996</v>
      </c>
      <c r="E5545">
        <v>0.53425610000000001</v>
      </c>
      <c r="F5545" t="s">
        <v>42</v>
      </c>
      <c r="G5545">
        <v>-333.04349999999999</v>
      </c>
      <c r="H5545" s="1">
        <v>-4.0154739999999996E-6</v>
      </c>
      <c r="I5545">
        <v>13.70322</v>
      </c>
      <c r="J5545">
        <v>-342.31810000000002</v>
      </c>
      <c r="K5545">
        <v>1.1088789999999999</v>
      </c>
      <c r="L5545">
        <v>16.144649999999999</v>
      </c>
      <c r="M5545">
        <v>0.99990950000000001</v>
      </c>
      <c r="N5545">
        <v>0</v>
      </c>
      <c r="O5545">
        <v>-5.1326480000000001E-3</v>
      </c>
      <c r="P5545">
        <v>0.98197190000000001</v>
      </c>
      <c r="Q5545">
        <v>9.3851729999999994E-2</v>
      </c>
      <c r="R5545">
        <v>-0.1640828</v>
      </c>
      <c r="S5545">
        <v>2.9616389999999999</v>
      </c>
      <c r="T5545">
        <v>-0.34638829999999998</v>
      </c>
      <c r="U5545">
        <v>-0.76333619999999902</v>
      </c>
      <c r="V5545">
        <v>0.15938429999999901</v>
      </c>
      <c r="W5545">
        <v>0.10555249999999999</v>
      </c>
      <c r="X5545">
        <v>0.98155760000000003</v>
      </c>
      <c r="Y5545">
        <v>0.24308969999999999</v>
      </c>
      <c r="Z5545">
        <v>-1.3353149999999999E-2</v>
      </c>
      <c r="AA5545">
        <v>0.96991190000000005</v>
      </c>
      <c r="AB5545">
        <v>28</v>
      </c>
      <c r="AC5545">
        <v>9.2746000000000102</v>
      </c>
      <c r="AD5545">
        <v>-1.1088830154739999</v>
      </c>
      <c r="AE5545">
        <v>-2.4414299999999902</v>
      </c>
      <c r="AF5545">
        <v>2.36221159129936</v>
      </c>
      <c r="AG5545">
        <v>-1.1088830154739999</v>
      </c>
      <c r="AH5545">
        <v>9.1644939341021594</v>
      </c>
      <c r="AI5545">
        <v>96.682766458103004</v>
      </c>
      <c r="AJ5545">
        <v>75.546231478450196</v>
      </c>
      <c r="AK5545">
        <v>9.5287782119362507</v>
      </c>
      <c r="AL5545">
        <v>83.941000649506293</v>
      </c>
      <c r="AM5545">
        <v>80.776870677733399</v>
      </c>
      <c r="AN5545">
        <v>1.0000000037302399</v>
      </c>
    </row>
    <row r="5546" spans="1:40" x14ac:dyDescent="0.25">
      <c r="A5546" t="str">
        <f>"20190312151136708"</f>
        <v>20190312151136708</v>
      </c>
      <c r="B5546" t="str">
        <f>"1552374696696705"</f>
        <v>1552374696696705</v>
      </c>
      <c r="C5546" t="s">
        <v>40</v>
      </c>
      <c r="D5546">
        <v>5.1989739999999998</v>
      </c>
      <c r="E5546">
        <v>0.53377069999999904</v>
      </c>
      <c r="F5546" t="s">
        <v>42</v>
      </c>
      <c r="G5546">
        <v>-332.75240000000002</v>
      </c>
      <c r="H5546" s="1">
        <v>-4.1478579999999998E-6</v>
      </c>
      <c r="I5546">
        <v>13.660959999999999</v>
      </c>
      <c r="J5546">
        <v>-342.12580000000003</v>
      </c>
      <c r="K5546">
        <v>1.108895</v>
      </c>
      <c r="L5546">
        <v>16.14236</v>
      </c>
      <c r="M5546">
        <v>0.99990259999999997</v>
      </c>
      <c r="N5546">
        <v>0</v>
      </c>
      <c r="O5546">
        <v>-6.3362080000000003E-3</v>
      </c>
      <c r="P5546">
        <v>0.98177680000000001</v>
      </c>
      <c r="Q5546">
        <v>9.3417470000000002E-2</v>
      </c>
      <c r="R5546">
        <v>-0.16549179999999999</v>
      </c>
      <c r="S5546">
        <v>2.9595030000000002</v>
      </c>
      <c r="T5546">
        <v>-0.34307559999999998</v>
      </c>
      <c r="U5546">
        <v>-0.76840209999999998</v>
      </c>
      <c r="V5546">
        <v>0.15960439999999901</v>
      </c>
      <c r="W5546">
        <v>0.1051257</v>
      </c>
      <c r="X5546">
        <v>0.98156759999999998</v>
      </c>
      <c r="Y5546">
        <v>0.24367929999999999</v>
      </c>
      <c r="Z5546">
        <v>-1.3129419999999999E-2</v>
      </c>
      <c r="AA5546">
        <v>0.96976700000000005</v>
      </c>
      <c r="AB5546">
        <v>28</v>
      </c>
      <c r="AC5546">
        <v>9.3734000000000002</v>
      </c>
      <c r="AD5546">
        <v>-1.1088991478579999</v>
      </c>
      <c r="AE5546">
        <v>-2.4813999999999901</v>
      </c>
      <c r="AF5546">
        <v>2.3906860880401801</v>
      </c>
      <c r="AG5546">
        <v>-1.1088991478579999</v>
      </c>
      <c r="AH5546">
        <v>9.2677235064026302</v>
      </c>
      <c r="AI5546">
        <v>96.608768241635701</v>
      </c>
      <c r="AJ5546">
        <v>75.535412447403601</v>
      </c>
      <c r="AK5546">
        <v>9.6351303199695693</v>
      </c>
      <c r="AL5546">
        <v>83.965591069287896</v>
      </c>
      <c r="AM5546">
        <v>80.764445900135698</v>
      </c>
      <c r="AN5546">
        <v>0.99999996533480395</v>
      </c>
    </row>
    <row r="5547" spans="1:40" x14ac:dyDescent="0.25">
      <c r="A5547" t="str">
        <f>"20190312151136725"</f>
        <v>20190312151136725</v>
      </c>
      <c r="B5547" t="str">
        <f>"1552374696717202"</f>
        <v>1552374696717202</v>
      </c>
      <c r="C5547" t="s">
        <v>40</v>
      </c>
      <c r="D5547">
        <v>5.0801410000000002</v>
      </c>
      <c r="E5547">
        <v>0.53214039999999996</v>
      </c>
      <c r="F5547" t="s">
        <v>42</v>
      </c>
      <c r="G5547">
        <v>-332.55020000000002</v>
      </c>
      <c r="H5547" s="1">
        <v>-4.235863E-6</v>
      </c>
      <c r="I5547">
        <v>13.653840000000001</v>
      </c>
      <c r="J5547">
        <v>-341.89909999999998</v>
      </c>
      <c r="K5547">
        <v>1.108919</v>
      </c>
      <c r="L5547">
        <v>16.139399999999998</v>
      </c>
      <c r="M5547">
        <v>0.99989300000000003</v>
      </c>
      <c r="N5547">
        <v>0</v>
      </c>
      <c r="O5547">
        <v>-7.7264229999999996E-3</v>
      </c>
      <c r="P5547">
        <v>0.98154430000000004</v>
      </c>
      <c r="Q5547">
        <v>9.2825580000000005E-2</v>
      </c>
      <c r="R5547">
        <v>-0.16719690000000001</v>
      </c>
      <c r="S5547">
        <v>2.95871</v>
      </c>
      <c r="T5547">
        <v>-0.34263250000000001</v>
      </c>
      <c r="U5547">
        <v>-0.76889039999999997</v>
      </c>
      <c r="V5547">
        <v>0.159935299999999</v>
      </c>
      <c r="W5547">
        <v>0.10454330000000001</v>
      </c>
      <c r="X5547">
        <v>0.981576</v>
      </c>
      <c r="Y5547">
        <v>0.24256340000000001</v>
      </c>
      <c r="Z5547">
        <v>-1.289453E-2</v>
      </c>
      <c r="AA5547">
        <v>0.97004990000000002</v>
      </c>
      <c r="AB5547">
        <v>28</v>
      </c>
      <c r="AC5547">
        <v>9.3488999999999507</v>
      </c>
      <c r="AD5547">
        <v>-1.1089232358629999</v>
      </c>
      <c r="AE5547">
        <v>-2.4855599999999902</v>
      </c>
      <c r="AF5547">
        <v>2.3819461052205799</v>
      </c>
      <c r="AG5547">
        <v>-1.1089232358629999</v>
      </c>
      <c r="AH5547">
        <v>9.2463232320858797</v>
      </c>
      <c r="AI5547">
        <v>96.624623433571998</v>
      </c>
      <c r="AJ5547">
        <v>75.5541198941511</v>
      </c>
      <c r="AK5547">
        <v>9.6123811463873796</v>
      </c>
      <c r="AL5547">
        <v>83.9991453718266</v>
      </c>
      <c r="AM5547">
        <v>80.745707057734805</v>
      </c>
      <c r="AN5547">
        <v>1.00000002276848</v>
      </c>
    </row>
    <row r="5548" spans="1:40" x14ac:dyDescent="0.25">
      <c r="A5548" t="str">
        <f>"20190312151136740"</f>
        <v>20190312151136740</v>
      </c>
      <c r="B5548" t="str">
        <f>"1552374696736721"</f>
        <v>1552374696736721</v>
      </c>
      <c r="C5548" t="s">
        <v>40</v>
      </c>
      <c r="D5548">
        <v>5.1812899999999997</v>
      </c>
      <c r="E5548">
        <v>0.53078009999999998</v>
      </c>
      <c r="F5548" t="s">
        <v>42</v>
      </c>
      <c r="G5548">
        <v>-332.45359999999999</v>
      </c>
      <c r="H5548" s="1">
        <v>-4.2673450000000004E-6</v>
      </c>
      <c r="I5548">
        <v>13.71016</v>
      </c>
      <c r="J5548">
        <v>-341.71789999999999</v>
      </c>
      <c r="K5548">
        <v>1.1089469999999999</v>
      </c>
      <c r="L5548">
        <v>16.136810000000001</v>
      </c>
      <c r="M5548">
        <v>0.99988379999999999</v>
      </c>
      <c r="N5548">
        <v>0</v>
      </c>
      <c r="O5548">
        <v>-8.815247E-3</v>
      </c>
      <c r="P5548">
        <v>0.98134650000000001</v>
      </c>
      <c r="Q5548">
        <v>9.2646590000000001E-2</v>
      </c>
      <c r="R5548">
        <v>-0.1684514</v>
      </c>
      <c r="S5548">
        <v>2.959625</v>
      </c>
      <c r="T5548">
        <v>-0.34746369999999999</v>
      </c>
      <c r="U5548">
        <v>-0.76113889999999995</v>
      </c>
      <c r="V5548">
        <v>0.16011449999999999</v>
      </c>
      <c r="W5548">
        <v>0.1043722</v>
      </c>
      <c r="X5548">
        <v>0.98156500000000002</v>
      </c>
      <c r="Y5548">
        <v>0.2390391</v>
      </c>
      <c r="Z5548">
        <v>-1.274724E-2</v>
      </c>
      <c r="AA5548">
        <v>0.97092630000000002</v>
      </c>
      <c r="AB5548">
        <v>28</v>
      </c>
      <c r="AC5548">
        <v>9.2642999999999898</v>
      </c>
      <c r="AD5548">
        <v>-1.1089512673449999</v>
      </c>
      <c r="AE5548">
        <v>-2.42665</v>
      </c>
      <c r="AF5548">
        <v>2.3138569257299499</v>
      </c>
      <c r="AG5548">
        <v>-1.1089512673449999</v>
      </c>
      <c r="AH5548">
        <v>9.1624780194488302</v>
      </c>
      <c r="AI5548">
        <v>96.692920589452697</v>
      </c>
      <c r="AJ5548">
        <v>75.827075338137902</v>
      </c>
      <c r="AK5548">
        <v>9.5149729501968299</v>
      </c>
      <c r="AL5548">
        <v>84.009002644084404</v>
      </c>
      <c r="AM5548">
        <v>80.735415728266602</v>
      </c>
      <c r="AN5548">
        <v>1.0000000292340401</v>
      </c>
    </row>
    <row r="5549" spans="1:40" x14ac:dyDescent="0.25">
      <c r="A5549" t="str">
        <f>"20190312151136757"</f>
        <v>20190312151136757</v>
      </c>
      <c r="B5549" t="str">
        <f>"1552374696746482"</f>
        <v>1552374696746482</v>
      </c>
      <c r="C5549" t="s">
        <v>40</v>
      </c>
      <c r="D5549">
        <v>5.1647350000000003</v>
      </c>
      <c r="E5549">
        <v>0.53020889999999998</v>
      </c>
      <c r="F5549" t="s">
        <v>42</v>
      </c>
      <c r="G5549">
        <v>-332.17230000000001</v>
      </c>
      <c r="H5549" s="1">
        <v>-4.3889959999999997E-6</v>
      </c>
      <c r="I5549">
        <v>13.70449</v>
      </c>
      <c r="J5549">
        <v>-341.50310000000002</v>
      </c>
      <c r="K5549">
        <v>1.108975</v>
      </c>
      <c r="L5549">
        <v>16.133579999999998</v>
      </c>
      <c r="M5549">
        <v>0.99987199999999998</v>
      </c>
      <c r="N5549">
        <v>0</v>
      </c>
      <c r="O5549">
        <v>-1.007478E-2</v>
      </c>
      <c r="P5549">
        <v>0.98115059999999998</v>
      </c>
      <c r="Q5549">
        <v>9.2141000000000001E-2</v>
      </c>
      <c r="R5549">
        <v>-0.16986409999999999</v>
      </c>
      <c r="S5549">
        <v>2.959991</v>
      </c>
      <c r="T5549">
        <v>-0.34387430000000002</v>
      </c>
      <c r="U5549">
        <v>-0.75421139999999998</v>
      </c>
      <c r="V5549">
        <v>0.1602817</v>
      </c>
      <c r="W5549">
        <v>0.103878</v>
      </c>
      <c r="X5549">
        <v>0.98159010000000002</v>
      </c>
      <c r="Y5549">
        <v>0.23571210000000001</v>
      </c>
      <c r="Z5549">
        <v>-1.228538E-2</v>
      </c>
      <c r="AA5549">
        <v>0.97174530000000003</v>
      </c>
      <c r="AB5549">
        <v>28</v>
      </c>
      <c r="AC5549">
        <v>9.3308</v>
      </c>
      <c r="AD5549">
        <v>-1.108979388996</v>
      </c>
      <c r="AE5549">
        <v>-2.4290899999999902</v>
      </c>
      <c r="AF5549">
        <v>2.30446761921</v>
      </c>
      <c r="AG5549">
        <v>-1.108979388996</v>
      </c>
      <c r="AH5549">
        <v>9.2326608982044096</v>
      </c>
      <c r="AI5549">
        <v>96.647234635713303</v>
      </c>
      <c r="AJ5549">
        <v>75.985355264817699</v>
      </c>
      <c r="AK5549">
        <v>9.5803148985008804</v>
      </c>
      <c r="AL5549">
        <v>84.037472761729305</v>
      </c>
      <c r="AM5549">
        <v>80.726142198707393</v>
      </c>
      <c r="AN5549">
        <v>0.99999999332845002</v>
      </c>
    </row>
    <row r="5550" spans="1:40" x14ac:dyDescent="0.25">
      <c r="A5550" t="str">
        <f>"20190312151136770"</f>
        <v>20190312151136770</v>
      </c>
      <c r="B5550" t="str">
        <f>"1552374696766977"</f>
        <v>1552374696766977</v>
      </c>
      <c r="C5550" t="s">
        <v>40</v>
      </c>
      <c r="D5550">
        <v>5.1737900000000003</v>
      </c>
      <c r="E5550">
        <v>0.5293833</v>
      </c>
      <c r="F5550" t="s">
        <v>42</v>
      </c>
      <c r="G5550">
        <v>-331.95859999999999</v>
      </c>
      <c r="H5550" s="1">
        <v>-4.4812859999999998E-6</v>
      </c>
      <c r="I5550">
        <v>13.7011</v>
      </c>
      <c r="J5550">
        <v>-341.34750000000003</v>
      </c>
      <c r="K5550">
        <v>1.108994</v>
      </c>
      <c r="L5550">
        <v>16.131039999999999</v>
      </c>
      <c r="M5550">
        <v>0.99986269999999999</v>
      </c>
      <c r="N5550">
        <v>0</v>
      </c>
      <c r="O5550">
        <v>-1.0959450000000001E-2</v>
      </c>
      <c r="P5550">
        <v>0.9810217</v>
      </c>
      <c r="Q5550">
        <v>9.1920059999999998E-2</v>
      </c>
      <c r="R5550">
        <v>-0.17072660000000001</v>
      </c>
      <c r="S5550">
        <v>2.9593509999999998</v>
      </c>
      <c r="T5550">
        <v>-0.34384670000000001</v>
      </c>
      <c r="U5550">
        <v>-0.75418090000000004</v>
      </c>
      <c r="V5550">
        <v>0.16026960000000001</v>
      </c>
      <c r="W5550">
        <v>0.1036651</v>
      </c>
      <c r="X5550">
        <v>0.9816146</v>
      </c>
      <c r="Y5550">
        <v>0.2349039</v>
      </c>
      <c r="Z5550">
        <v>-1.2140110000000001E-2</v>
      </c>
      <c r="AA5550">
        <v>0.9719428</v>
      </c>
      <c r="AB5550">
        <v>28</v>
      </c>
      <c r="AC5550">
        <v>9.3889000000000298</v>
      </c>
      <c r="AD5550">
        <v>-1.1089984812860001</v>
      </c>
      <c r="AE5550">
        <v>-2.42993999999999</v>
      </c>
      <c r="AF5550">
        <v>2.2968552192504101</v>
      </c>
      <c r="AG5550">
        <v>-1.1089984812860001</v>
      </c>
      <c r="AH5550">
        <v>9.2934477191242593</v>
      </c>
      <c r="AI5550">
        <v>96.608009736441602</v>
      </c>
      <c r="AJ5550">
        <v>76.117665235325106</v>
      </c>
      <c r="AK5550">
        <v>9.6370945848729992</v>
      </c>
      <c r="AL5550">
        <v>84.049737348578105</v>
      </c>
      <c r="AM5550">
        <v>80.727057566512102</v>
      </c>
      <c r="AN5550">
        <v>1.0000000102876601</v>
      </c>
    </row>
    <row r="5551" spans="1:40" x14ac:dyDescent="0.25">
      <c r="A5551" t="str">
        <f>"20190312151136783"</f>
        <v>20190312151136783</v>
      </c>
      <c r="B5551" t="str">
        <f>"1552374696776737"</f>
        <v>1552374696776737</v>
      </c>
      <c r="C5551" t="s">
        <v>40</v>
      </c>
      <c r="D5551">
        <v>5.1950979999999998</v>
      </c>
      <c r="E5551">
        <v>0.52900719999999901</v>
      </c>
      <c r="F5551" t="s">
        <v>42</v>
      </c>
      <c r="G5551">
        <v>-331.74759999999998</v>
      </c>
      <c r="H5551" s="1">
        <v>-4.5725160000000003E-6</v>
      </c>
      <c r="I5551">
        <v>13.697139999999999</v>
      </c>
      <c r="J5551">
        <v>-341.19459999999998</v>
      </c>
      <c r="K5551">
        <v>1.1090199999999999</v>
      </c>
      <c r="L5551">
        <v>16.128419999999998</v>
      </c>
      <c r="M5551">
        <v>0.99985299999999999</v>
      </c>
      <c r="N5551">
        <v>0</v>
      </c>
      <c r="O5551">
        <v>-1.1815620000000001E-2</v>
      </c>
      <c r="P5551">
        <v>0.98085900000000004</v>
      </c>
      <c r="Q5551">
        <v>9.1924000000000006E-2</v>
      </c>
      <c r="R5551">
        <v>-0.171656</v>
      </c>
      <c r="S5551">
        <v>2.9595030000000002</v>
      </c>
      <c r="T5551">
        <v>-0.34188560000000001</v>
      </c>
      <c r="U5551">
        <v>-0.75030520000000001</v>
      </c>
      <c r="V5551">
        <v>0.16035350000000001</v>
      </c>
      <c r="W5551">
        <v>0.1036774</v>
      </c>
      <c r="X5551">
        <v>0.98159960000000002</v>
      </c>
      <c r="Y5551">
        <v>0.2328973</v>
      </c>
      <c r="Z5551">
        <v>-1.186188E-2</v>
      </c>
      <c r="AA5551">
        <v>0.97242899999999999</v>
      </c>
      <c r="AB5551">
        <v>28</v>
      </c>
      <c r="AC5551">
        <v>9.4469999999999992</v>
      </c>
      <c r="AD5551">
        <v>-1.109024572516</v>
      </c>
      <c r="AE5551">
        <v>-2.4312800000000001</v>
      </c>
      <c r="AF5551">
        <v>2.2898819765302498</v>
      </c>
      <c r="AG5551">
        <v>-1.109024572516</v>
      </c>
      <c r="AH5551">
        <v>9.3541639993253405</v>
      </c>
      <c r="AI5551">
        <v>96.569194924662597</v>
      </c>
      <c r="AJ5551">
        <v>76.244610465257395</v>
      </c>
      <c r="AK5551">
        <v>9.6940125384258007</v>
      </c>
      <c r="AL5551">
        <v>84.049028799628005</v>
      </c>
      <c r="AM5551">
        <v>80.722148326710894</v>
      </c>
      <c r="AN5551">
        <v>1.0000000114765799</v>
      </c>
    </row>
    <row r="5552" spans="1:40" x14ac:dyDescent="0.25">
      <c r="A5552" t="str">
        <f>"20190312151136793"</f>
        <v>20190312151136793</v>
      </c>
      <c r="B5552" t="str">
        <f>"1552374696786497"</f>
        <v>1552374696786497</v>
      </c>
      <c r="C5552" t="s">
        <v>40</v>
      </c>
      <c r="D5552">
        <v>5.1743560000000004</v>
      </c>
      <c r="E5552">
        <v>0.52875240000000001</v>
      </c>
      <c r="F5552" t="s">
        <v>42</v>
      </c>
      <c r="G5552">
        <v>-331.5444</v>
      </c>
      <c r="H5552" s="1">
        <v>-4.6625160000000003E-6</v>
      </c>
      <c r="I5552">
        <v>13.681139999999999</v>
      </c>
      <c r="J5552">
        <v>-341.05270000000002</v>
      </c>
      <c r="K5552">
        <v>1.1090439999999999</v>
      </c>
      <c r="L5552">
        <v>16.125920000000001</v>
      </c>
      <c r="M5552">
        <v>0.9998435</v>
      </c>
      <c r="N5552">
        <v>0</v>
      </c>
      <c r="O5552">
        <v>-1.259218E-2</v>
      </c>
      <c r="P5552">
        <v>0.98071430000000004</v>
      </c>
      <c r="Q5552">
        <v>9.1996789999999995E-2</v>
      </c>
      <c r="R5552">
        <v>-0.17244179999999901</v>
      </c>
      <c r="S5552">
        <v>2.9591059999999998</v>
      </c>
      <c r="T5552">
        <v>-0.3400666</v>
      </c>
      <c r="U5552">
        <v>-0.75039669999999903</v>
      </c>
      <c r="V5552">
        <v>0.1603723</v>
      </c>
      <c r="W5552">
        <v>0.1037575</v>
      </c>
      <c r="X5552">
        <v>0.98158809999999996</v>
      </c>
      <c r="Y5552">
        <v>0.23222470000000001</v>
      </c>
      <c r="Z5552">
        <v>-1.167521E-2</v>
      </c>
      <c r="AA5552">
        <v>0.97259209999999996</v>
      </c>
      <c r="AB5552">
        <v>28</v>
      </c>
      <c r="AC5552">
        <v>9.5083000000000197</v>
      </c>
      <c r="AD5552">
        <v>-1.1090486625159901</v>
      </c>
      <c r="AE5552">
        <v>-2.4447800000000002</v>
      </c>
      <c r="AF5552">
        <v>2.29555255943542</v>
      </c>
      <c r="AG5552">
        <v>-1.1090486625159901</v>
      </c>
      <c r="AH5552">
        <v>9.4181462431647294</v>
      </c>
      <c r="AI5552">
        <v>96.526675937674497</v>
      </c>
      <c r="AJ5552">
        <v>76.301975452529604</v>
      </c>
      <c r="AK5552">
        <v>9.7571014725991798</v>
      </c>
      <c r="AL5552">
        <v>84.044414726810501</v>
      </c>
      <c r="AM5552">
        <v>80.720972682382396</v>
      </c>
      <c r="AN5552">
        <v>1.00000004573757</v>
      </c>
    </row>
    <row r="5553" spans="1:40" x14ac:dyDescent="0.25">
      <c r="A5553" t="str">
        <f>"20190312151136806"</f>
        <v>20190312151136806</v>
      </c>
      <c r="B5553" t="str">
        <f>"1552374696797234"</f>
        <v>1552374696797234</v>
      </c>
      <c r="C5553" t="s">
        <v>40</v>
      </c>
      <c r="D5553">
        <v>5.17171</v>
      </c>
      <c r="E5553">
        <v>0.5284143</v>
      </c>
      <c r="F5553" t="s">
        <v>42</v>
      </c>
      <c r="G5553">
        <v>-331.44420000000002</v>
      </c>
      <c r="H5553" s="1">
        <v>-4.7043640000000001E-6</v>
      </c>
      <c r="I5553">
        <v>13.687670000000001</v>
      </c>
      <c r="J5553">
        <v>-340.91219999999998</v>
      </c>
      <c r="K5553">
        <v>1.1090690000000001</v>
      </c>
      <c r="L5553">
        <v>16.123349999999999</v>
      </c>
      <c r="M5553">
        <v>0.99983379999999999</v>
      </c>
      <c r="N5553">
        <v>0</v>
      </c>
      <c r="O5553">
        <v>-1.334144E-2</v>
      </c>
      <c r="P5553">
        <v>0.98060139999999996</v>
      </c>
      <c r="Q5553">
        <v>9.1950680000000007E-2</v>
      </c>
      <c r="R5553">
        <v>-0.17310809999999999</v>
      </c>
      <c r="S5553">
        <v>2.9590450000000001</v>
      </c>
      <c r="T5553">
        <v>-0.34154109999999999</v>
      </c>
      <c r="U5553">
        <v>-0.75085449999999998</v>
      </c>
      <c r="V5553">
        <v>0.16029740000000001</v>
      </c>
      <c r="W5553">
        <v>0.1037201</v>
      </c>
      <c r="X5553">
        <v>0.98160420000000004</v>
      </c>
      <c r="Y5553">
        <v>0.23163890000000001</v>
      </c>
      <c r="Z5553">
        <v>-1.1607549999999999E-2</v>
      </c>
      <c r="AA5553">
        <v>0.97273259999999995</v>
      </c>
      <c r="AB5553">
        <v>28</v>
      </c>
      <c r="AC5553">
        <v>9.4679999999999591</v>
      </c>
      <c r="AD5553">
        <v>-1.109073704364</v>
      </c>
      <c r="AE5553">
        <v>-2.4356799999999899</v>
      </c>
      <c r="AF5553">
        <v>2.2797960183846699</v>
      </c>
      <c r="AG5553">
        <v>-1.109073704364</v>
      </c>
      <c r="AH5553">
        <v>9.3789493918286606</v>
      </c>
      <c r="AI5553">
        <v>96.554849770266202</v>
      </c>
      <c r="AJ5553">
        <v>76.337748818176195</v>
      </c>
      <c r="AK5553">
        <v>9.7155651437081794</v>
      </c>
      <c r="AL5553">
        <v>84.046568704088799</v>
      </c>
      <c r="AM5553">
        <v>80.72538049552</v>
      </c>
      <c r="AN5553">
        <v>0.99999996052420403</v>
      </c>
    </row>
    <row r="5554" spans="1:40" x14ac:dyDescent="0.25">
      <c r="A5554" t="str">
        <f>"20190312151136817"</f>
        <v>20190312151136817</v>
      </c>
      <c r="B5554" t="str">
        <f>"1552374696806993"</f>
        <v>1552374696806993</v>
      </c>
      <c r="C5554" t="s">
        <v>40</v>
      </c>
      <c r="D5554">
        <v>5.1403359999999996</v>
      </c>
      <c r="E5554">
        <v>0.52807669999999995</v>
      </c>
      <c r="F5554" t="s">
        <v>42</v>
      </c>
      <c r="G5554">
        <v>-331.2792</v>
      </c>
      <c r="H5554" s="1">
        <v>-4.7764370000000001E-6</v>
      </c>
      <c r="I5554">
        <v>13.68036</v>
      </c>
      <c r="J5554">
        <v>-340.75979999999998</v>
      </c>
      <c r="K5554">
        <v>1.1090949999999999</v>
      </c>
      <c r="L5554">
        <v>16.120480000000001</v>
      </c>
      <c r="M5554">
        <v>0.99982269999999895</v>
      </c>
      <c r="N5554">
        <v>0</v>
      </c>
      <c r="O5554">
        <v>-1.4144179999999999E-2</v>
      </c>
      <c r="P5554">
        <v>0.98043899999999995</v>
      </c>
      <c r="Q5554">
        <v>9.2168260000000002E-2</v>
      </c>
      <c r="R5554">
        <v>-0.17390949999999999</v>
      </c>
      <c r="S5554">
        <v>2.958771</v>
      </c>
      <c r="T5554">
        <v>-0.34065060000000003</v>
      </c>
      <c r="U5554">
        <v>-0.75033570000000005</v>
      </c>
      <c r="V5554">
        <v>0.16030629999999901</v>
      </c>
      <c r="W5554">
        <v>0.10394630000000001</v>
      </c>
      <c r="X5554">
        <v>0.98157879999999997</v>
      </c>
      <c r="Y5554">
        <v>0.23073659999999999</v>
      </c>
      <c r="Z5554">
        <v>-1.143717E-2</v>
      </c>
      <c r="AA5554">
        <v>0.97294899999999995</v>
      </c>
      <c r="AB5554">
        <v>27</v>
      </c>
      <c r="AC5554">
        <v>9.4805999999999795</v>
      </c>
      <c r="AD5554">
        <v>-1.1090997764370001</v>
      </c>
      <c r="AE5554">
        <v>-2.4401199999999998</v>
      </c>
      <c r="AF5554">
        <v>2.2765495462984702</v>
      </c>
      <c r="AG5554">
        <v>-1.1090997764370001</v>
      </c>
      <c r="AH5554">
        <v>9.39359614890685</v>
      </c>
      <c r="AI5554">
        <v>96.545948214686405</v>
      </c>
      <c r="AJ5554">
        <v>76.376956504546996</v>
      </c>
      <c r="AK5554">
        <v>9.7289479780499395</v>
      </c>
      <c r="AL5554">
        <v>84.0335378516926</v>
      </c>
      <c r="AM5554">
        <v>80.7246386628116</v>
      </c>
      <c r="AN5554">
        <v>0.99999994185640795</v>
      </c>
    </row>
    <row r="5555" spans="1:40" x14ac:dyDescent="0.25">
      <c r="A5555" t="str">
        <f>"20190312151136829"</f>
        <v>20190312151136829</v>
      </c>
      <c r="B5555" t="str">
        <f>"1552374696816752"</f>
        <v>1552374696816752</v>
      </c>
      <c r="C5555" t="s">
        <v>40</v>
      </c>
      <c r="D5555">
        <v>5.1364769999999904</v>
      </c>
      <c r="E5555">
        <v>0.52776979999999996</v>
      </c>
      <c r="F5555" t="s">
        <v>42</v>
      </c>
      <c r="G5555">
        <v>-331.07580000000002</v>
      </c>
      <c r="H5555" s="1">
        <v>-4.866426E-6</v>
      </c>
      <c r="I5555">
        <v>13.665010000000001</v>
      </c>
      <c r="J5555">
        <v>-340.6234</v>
      </c>
      <c r="K5555">
        <v>1.109118</v>
      </c>
      <c r="L5555">
        <v>16.11777</v>
      </c>
      <c r="M5555">
        <v>0.9998127</v>
      </c>
      <c r="N5555">
        <v>0</v>
      </c>
      <c r="O5555">
        <v>-1.483838E-2</v>
      </c>
      <c r="P5555">
        <v>0.98031250000000003</v>
      </c>
      <c r="Q5555">
        <v>9.2395140000000001E-2</v>
      </c>
      <c r="R5555">
        <v>-0.17450089999999999</v>
      </c>
      <c r="S5555">
        <v>2.958618</v>
      </c>
      <c r="T5555">
        <v>-0.33884419999999998</v>
      </c>
      <c r="U5555">
        <v>-0.75015259999999995</v>
      </c>
      <c r="V5555">
        <v>0.160212299999999</v>
      </c>
      <c r="W5555">
        <v>0.104181</v>
      </c>
      <c r="X5555">
        <v>0.98156929999999998</v>
      </c>
      <c r="Y5555">
        <v>0.2300392</v>
      </c>
      <c r="Z5555">
        <v>-1.12604E-2</v>
      </c>
      <c r="AA5555">
        <v>0.97311619999999999</v>
      </c>
      <c r="AB5555">
        <v>27</v>
      </c>
      <c r="AC5555">
        <v>9.5475999999999797</v>
      </c>
      <c r="AD5555">
        <v>-1.109122866426</v>
      </c>
      <c r="AE5555">
        <v>-2.4527600000000001</v>
      </c>
      <c r="AF5555">
        <v>2.28192019844413</v>
      </c>
      <c r="AG5555">
        <v>-1.109122866426</v>
      </c>
      <c r="AH5555">
        <v>9.4631481786220899</v>
      </c>
      <c r="AI5555">
        <v>96.500170308942799</v>
      </c>
      <c r="AJ5555">
        <v>76.442656518959595</v>
      </c>
      <c r="AK5555">
        <v>9.7973714217362797</v>
      </c>
      <c r="AL5555">
        <v>84.020017329031404</v>
      </c>
      <c r="AM5555">
        <v>80.729894918603705</v>
      </c>
      <c r="AN5555">
        <v>0.99999997626738901</v>
      </c>
    </row>
    <row r="5556" spans="1:40" x14ac:dyDescent="0.25">
      <c r="A5556" t="str">
        <f>"20190312151136847"</f>
        <v>20190312151136847</v>
      </c>
      <c r="B5556" t="str">
        <f>"1552374696837253"</f>
        <v>1552374696837253</v>
      </c>
      <c r="C5556" t="s">
        <v>40</v>
      </c>
      <c r="D5556">
        <v>5.1742029999999897</v>
      </c>
      <c r="E5556">
        <v>0.52727009999999996</v>
      </c>
      <c r="F5556" t="s">
        <v>42</v>
      </c>
      <c r="G5556">
        <v>-330.91759999999999</v>
      </c>
      <c r="H5556" s="1">
        <v>-4.935509E-6</v>
      </c>
      <c r="I5556">
        <v>13.658079999999901</v>
      </c>
      <c r="J5556">
        <v>-340.40530000000001</v>
      </c>
      <c r="K5556">
        <v>1.1091530000000001</v>
      </c>
      <c r="L5556">
        <v>16.113309999999998</v>
      </c>
      <c r="M5556">
        <v>0.99979580000000001</v>
      </c>
      <c r="N5556">
        <v>0</v>
      </c>
      <c r="O5556">
        <v>-1.5929909999999999E-2</v>
      </c>
      <c r="P5556">
        <v>0.98020499999999999</v>
      </c>
      <c r="Q5556">
        <v>9.2319590000000007E-2</v>
      </c>
      <c r="R5556">
        <v>-0.17514379999999999</v>
      </c>
      <c r="S5556">
        <v>2.958618</v>
      </c>
      <c r="T5556">
        <v>-0.33809159999999999</v>
      </c>
      <c r="U5556">
        <v>-0.74975590000000003</v>
      </c>
      <c r="V5556">
        <v>0.159775</v>
      </c>
      <c r="W5556">
        <v>0.1041189</v>
      </c>
      <c r="X5556">
        <v>0.98164720000000005</v>
      </c>
      <c r="Y5556">
        <v>0.22887399999999999</v>
      </c>
      <c r="Z5556">
        <v>-1.10481E-2</v>
      </c>
      <c r="AA5556">
        <v>0.97339339999999996</v>
      </c>
      <c r="AB5556">
        <v>27</v>
      </c>
      <c r="AC5556">
        <v>9.4877000000000091</v>
      </c>
      <c r="AD5556">
        <v>-1.109157935509</v>
      </c>
      <c r="AE5556">
        <v>-2.4552299999999998</v>
      </c>
      <c r="AF5556">
        <v>2.2746328421350301</v>
      </c>
      <c r="AG5556">
        <v>-1.109157935509</v>
      </c>
      <c r="AH5556">
        <v>9.4051404947990207</v>
      </c>
      <c r="AI5556">
        <v>96.539065955957099</v>
      </c>
      <c r="AJ5556">
        <v>76.404086830339693</v>
      </c>
      <c r="AK5556">
        <v>9.7396536703997008</v>
      </c>
      <c r="AL5556">
        <v>84.023595059033596</v>
      </c>
      <c r="AM5556">
        <v>80.755481196756804</v>
      </c>
      <c r="AN5556">
        <v>1.00000001061502</v>
      </c>
    </row>
    <row r="5557" spans="1:40" x14ac:dyDescent="0.25">
      <c r="A5557" t="str">
        <f>"20190312151136859"</f>
        <v>20190312151136859</v>
      </c>
      <c r="B5557" t="str">
        <f>"1552374696847010"</f>
        <v>1552374696847010</v>
      </c>
      <c r="C5557" t="s">
        <v>40</v>
      </c>
      <c r="D5557">
        <v>5.4487069999999997</v>
      </c>
      <c r="E5557">
        <v>0.52705679999999999</v>
      </c>
      <c r="F5557" t="s">
        <v>42</v>
      </c>
      <c r="G5557">
        <v>-330.73779999999999</v>
      </c>
      <c r="H5557" s="1">
        <v>-5.0104899999999999E-6</v>
      </c>
      <c r="I5557">
        <v>13.670260000000001</v>
      </c>
      <c r="J5557">
        <v>-340.26080000000002</v>
      </c>
      <c r="K5557">
        <v>1.109175</v>
      </c>
      <c r="L5557">
        <v>16.110289999999999</v>
      </c>
      <c r="M5557">
        <v>0.99978429999999996</v>
      </c>
      <c r="N5557">
        <v>0</v>
      </c>
      <c r="O5557">
        <v>-1.6640809999999999E-2</v>
      </c>
      <c r="P5557">
        <v>0.9801318</v>
      </c>
      <c r="Q5557">
        <v>9.2242080000000004E-2</v>
      </c>
      <c r="R5557">
        <v>-0.17559459999999999</v>
      </c>
      <c r="S5557">
        <v>2.958923</v>
      </c>
      <c r="T5557">
        <v>-0.33947579999999999</v>
      </c>
      <c r="U5557">
        <v>-0.74771119999999902</v>
      </c>
      <c r="V5557">
        <v>0.15952259999999999</v>
      </c>
      <c r="W5557">
        <v>0.10405010000000001</v>
      </c>
      <c r="X5557">
        <v>0.98169550000000005</v>
      </c>
      <c r="Y5557">
        <v>0.2275278</v>
      </c>
      <c r="Z5557">
        <v>-1.09371E-2</v>
      </c>
      <c r="AA5557">
        <v>0.97371019999999997</v>
      </c>
      <c r="AB5557">
        <v>27</v>
      </c>
      <c r="AC5557">
        <v>9.5230000000000192</v>
      </c>
      <c r="AD5557">
        <v>-1.10918001049</v>
      </c>
      <c r="AE5557">
        <v>-2.4400299999999899</v>
      </c>
      <c r="AF5557">
        <v>2.2525337958170901</v>
      </c>
      <c r="AG5557">
        <v>-1.10918001049</v>
      </c>
      <c r="AH5557">
        <v>9.4420870092771398</v>
      </c>
      <c r="AI5557">
        <v>96.518649890361601</v>
      </c>
      <c r="AJ5557">
        <v>76.5821351007977</v>
      </c>
      <c r="AK5557">
        <v>9.7702198484849294</v>
      </c>
      <c r="AL5557">
        <v>84.027558286793806</v>
      </c>
      <c r="AM5557">
        <v>80.770279723999394</v>
      </c>
      <c r="AN5557">
        <v>0.99999996897050902</v>
      </c>
    </row>
    <row r="5558" spans="1:40" x14ac:dyDescent="0.25">
      <c r="A5558" t="str">
        <f>"20190312151136870"</f>
        <v>20190312151136870</v>
      </c>
      <c r="B5558" t="str">
        <f>"1552374696867090"</f>
        <v>1552374696867090</v>
      </c>
      <c r="C5558" t="s">
        <v>40</v>
      </c>
      <c r="D5558">
        <v>5.2122400000000004</v>
      </c>
      <c r="E5558">
        <v>0.52665589999999995</v>
      </c>
      <c r="F5558" t="s">
        <v>42</v>
      </c>
      <c r="G5558">
        <v>-330.50029999999998</v>
      </c>
      <c r="H5558" s="1">
        <v>-5.1170369999999998E-6</v>
      </c>
      <c r="I5558">
        <v>13.64401</v>
      </c>
      <c r="J5558">
        <v>-340.10649999999998</v>
      </c>
      <c r="K5558">
        <v>1.1091949999999999</v>
      </c>
      <c r="L5558">
        <v>16.106870000000001</v>
      </c>
      <c r="M5558">
        <v>0.99977169999999904</v>
      </c>
      <c r="N5558">
        <v>0</v>
      </c>
      <c r="O5558">
        <v>-1.7378680000000001E-2</v>
      </c>
      <c r="P5558">
        <v>0.98000929999999997</v>
      </c>
      <c r="Q5558">
        <v>9.2332460000000005E-2</v>
      </c>
      <c r="R5558">
        <v>-0.17623039999999901</v>
      </c>
      <c r="S5558">
        <v>2.9585270000000001</v>
      </c>
      <c r="T5558">
        <v>-0.33620329999999998</v>
      </c>
      <c r="U5558">
        <v>-0.74752810000000003</v>
      </c>
      <c r="V5558">
        <v>0.15942990000000001</v>
      </c>
      <c r="W5558">
        <v>0.1041478</v>
      </c>
      <c r="X5558">
        <v>0.98170020000000002</v>
      </c>
      <c r="Y5558">
        <v>0.22681699999999999</v>
      </c>
      <c r="Z5558">
        <v>-1.071195E-2</v>
      </c>
      <c r="AA5558">
        <v>0.97387849999999998</v>
      </c>
      <c r="AB5558">
        <v>27</v>
      </c>
      <c r="AC5558">
        <v>9.6061999999999994</v>
      </c>
      <c r="AD5558">
        <v>-1.1092001170370001</v>
      </c>
      <c r="AE5558">
        <v>-2.46286</v>
      </c>
      <c r="AF5558">
        <v>2.2671690022008999</v>
      </c>
      <c r="AG5558">
        <v>-1.1092001170370001</v>
      </c>
      <c r="AH5558">
        <v>9.5283508369518195</v>
      </c>
      <c r="AI5558">
        <v>96.461152299011701</v>
      </c>
      <c r="AJ5558">
        <v>76.615958531877695</v>
      </c>
      <c r="AK5558">
        <v>9.8569696081613305</v>
      </c>
      <c r="AL5558">
        <v>84.02192991567</v>
      </c>
      <c r="AM5558">
        <v>80.775594372613497</v>
      </c>
      <c r="AN5558">
        <v>0.99999996996944396</v>
      </c>
    </row>
    <row r="5559" spans="1:40" x14ac:dyDescent="0.25">
      <c r="A5559" t="str">
        <f>"20190312151136884"</f>
        <v>20190312151136884</v>
      </c>
      <c r="B5559" t="str">
        <f>"1552374696876851"</f>
        <v>1552374696876851</v>
      </c>
      <c r="C5559" t="s">
        <v>40</v>
      </c>
      <c r="D5559">
        <v>5.1945300000000003</v>
      </c>
      <c r="E5559">
        <v>0.52662119999999901</v>
      </c>
      <c r="F5559" t="s">
        <v>42</v>
      </c>
      <c r="G5559">
        <v>-330.21390000000002</v>
      </c>
      <c r="H5559" s="1">
        <v>-5.2458590000000004E-6</v>
      </c>
      <c r="I5559">
        <v>13.610440000000001</v>
      </c>
      <c r="J5559">
        <v>-339.94240000000002</v>
      </c>
      <c r="K5559">
        <v>1.109216</v>
      </c>
      <c r="L5559">
        <v>16.103179999999998</v>
      </c>
      <c r="M5559">
        <v>0.99975789999999998</v>
      </c>
      <c r="N5559">
        <v>0</v>
      </c>
      <c r="O5559">
        <v>-1.8152310000000001E-2</v>
      </c>
      <c r="P5559">
        <v>0.97995880000000002</v>
      </c>
      <c r="Q5559">
        <v>9.2183370000000001E-2</v>
      </c>
      <c r="R5559">
        <v>-0.17658799999999999</v>
      </c>
      <c r="S5559">
        <v>2.958221</v>
      </c>
      <c r="T5559">
        <v>-0.3316866</v>
      </c>
      <c r="U5559">
        <v>-0.74649049999999995</v>
      </c>
      <c r="V5559">
        <v>0.15902239999999901</v>
      </c>
      <c r="W5559">
        <v>0.1040075</v>
      </c>
      <c r="X5559">
        <v>0.98178120000000002</v>
      </c>
      <c r="Y5559">
        <v>0.22581000000000001</v>
      </c>
      <c r="Z5559">
        <v>-1.0429920000000001E-2</v>
      </c>
      <c r="AA5559">
        <v>0.97411559999999997</v>
      </c>
      <c r="AB5559">
        <v>27</v>
      </c>
      <c r="AC5559">
        <v>9.7284999999999897</v>
      </c>
      <c r="AD5559">
        <v>-1.1092212458589901</v>
      </c>
      <c r="AE5559">
        <v>-2.4927399999999902</v>
      </c>
      <c r="AF5559">
        <v>2.2878115374060899</v>
      </c>
      <c r="AG5559">
        <v>-1.1092212458589901</v>
      </c>
      <c r="AH5559">
        <v>9.6543744862361294</v>
      </c>
      <c r="AI5559">
        <v>96.379007505395606</v>
      </c>
      <c r="AJ5559">
        <v>76.668449321985506</v>
      </c>
      <c r="AK5559">
        <v>9.9835564867155693</v>
      </c>
      <c r="AL5559">
        <v>84.030012613587502</v>
      </c>
      <c r="AM5559">
        <v>80.799514150191897</v>
      </c>
      <c r="AN5559">
        <v>1.00000000421572</v>
      </c>
    </row>
    <row r="5560" spans="1:40" x14ac:dyDescent="0.25">
      <c r="A5560" t="str">
        <f>"20190312151136898"</f>
        <v>20190312151136898</v>
      </c>
      <c r="B5560" t="str">
        <f>"1552374696886610"</f>
        <v>1552374696886610</v>
      </c>
      <c r="C5560" t="s">
        <v>40</v>
      </c>
      <c r="D5560">
        <v>5.1589660000000004</v>
      </c>
      <c r="E5560">
        <v>0.52642730000000004</v>
      </c>
      <c r="F5560" t="s">
        <v>42</v>
      </c>
      <c r="G5560">
        <v>-330.13909999999998</v>
      </c>
      <c r="H5560" s="1">
        <v>-5.2750460000000003E-6</v>
      </c>
      <c r="I5560">
        <v>13.626620000000001</v>
      </c>
      <c r="J5560">
        <v>-339.77280000000002</v>
      </c>
      <c r="K5560">
        <v>1.109235</v>
      </c>
      <c r="L5560">
        <v>16.099270000000001</v>
      </c>
      <c r="M5560">
        <v>0.99974350000000001</v>
      </c>
      <c r="N5560">
        <v>0</v>
      </c>
      <c r="O5560">
        <v>-1.8940269999999999E-2</v>
      </c>
      <c r="P5560">
        <v>0.97986589999999996</v>
      </c>
      <c r="Q5560">
        <v>9.2120359999999998E-2</v>
      </c>
      <c r="R5560">
        <v>-0.17713519999999999</v>
      </c>
      <c r="S5560">
        <v>2.9581599999999999</v>
      </c>
      <c r="T5560">
        <v>-0.33471060000000002</v>
      </c>
      <c r="U5560">
        <v>-0.7472839</v>
      </c>
      <c r="V5560">
        <v>0.15879179999999901</v>
      </c>
      <c r="W5560">
        <v>0.1039515</v>
      </c>
      <c r="X5560">
        <v>0.98182449999999999</v>
      </c>
      <c r="Y5560">
        <v>0.22527849999999999</v>
      </c>
      <c r="Z5560">
        <v>-1.0407390000000001E-2</v>
      </c>
      <c r="AA5560">
        <v>0.97423879999999996</v>
      </c>
      <c r="AB5560">
        <v>27</v>
      </c>
      <c r="AC5560">
        <v>9.6337000000000295</v>
      </c>
      <c r="AD5560">
        <v>-1.109240275046</v>
      </c>
      <c r="AE5560">
        <v>-2.4726499999999998</v>
      </c>
      <c r="AF5560">
        <v>2.26159722803449</v>
      </c>
      <c r="AG5560">
        <v>-1.109240275046</v>
      </c>
      <c r="AH5560">
        <v>9.5598999141729095</v>
      </c>
      <c r="AI5560">
        <v>96.442202814345606</v>
      </c>
      <c r="AJ5560">
        <v>76.690165601165504</v>
      </c>
      <c r="AK5560">
        <v>9.8861985807812296</v>
      </c>
      <c r="AL5560">
        <v>84.033238935107605</v>
      </c>
      <c r="AM5560">
        <v>80.813026453447804</v>
      </c>
      <c r="AN5560">
        <v>1.00000004944986</v>
      </c>
    </row>
    <row r="5561" spans="1:40" x14ac:dyDescent="0.25">
      <c r="A5561" t="str">
        <f>"20190312151136914"</f>
        <v>20190312151136914</v>
      </c>
      <c r="B5561" t="str">
        <f>"1552374696907106"</f>
        <v>1552374696907106</v>
      </c>
      <c r="C5561" t="s">
        <v>40</v>
      </c>
      <c r="D5561">
        <v>5.1049800000000003</v>
      </c>
      <c r="E5561">
        <v>0.52620719999999899</v>
      </c>
      <c r="F5561" t="s">
        <v>42</v>
      </c>
      <c r="G5561">
        <v>-329.9683</v>
      </c>
      <c r="H5561" s="1">
        <v>-5.3493550000000002E-6</v>
      </c>
      <c r="I5561">
        <v>13.620810000000001</v>
      </c>
      <c r="J5561">
        <v>-339.56889999999999</v>
      </c>
      <c r="K5561">
        <v>1.1092550000000001</v>
      </c>
      <c r="L5561">
        <v>16.094360000000002</v>
      </c>
      <c r="M5561">
        <v>0.99972559999999999</v>
      </c>
      <c r="N5561">
        <v>0</v>
      </c>
      <c r="O5561">
        <v>-1.9863619999999998E-2</v>
      </c>
      <c r="P5561">
        <v>0.97971649999999999</v>
      </c>
      <c r="Q5561">
        <v>9.240574E-2</v>
      </c>
      <c r="R5561">
        <v>-0.1778121</v>
      </c>
      <c r="S5561">
        <v>2.9579469999999999</v>
      </c>
      <c r="T5561">
        <v>-0.33465040000000001</v>
      </c>
      <c r="U5561">
        <v>-0.74771119999999902</v>
      </c>
      <c r="V5561">
        <v>0.15855920000000001</v>
      </c>
      <c r="W5561">
        <v>0.10424410000000001</v>
      </c>
      <c r="X5561">
        <v>0.98183100000000001</v>
      </c>
      <c r="Y5561">
        <v>0.22453819999999999</v>
      </c>
      <c r="Z5561">
        <v>-1.026257E-2</v>
      </c>
      <c r="AA5561">
        <v>0.97441120000000003</v>
      </c>
      <c r="AB5561">
        <v>27</v>
      </c>
      <c r="AC5561">
        <v>9.6005999999999805</v>
      </c>
      <c r="AD5561">
        <v>-1.109260349355</v>
      </c>
      <c r="AE5561">
        <v>-2.4735499999999999</v>
      </c>
      <c r="AF5561">
        <v>2.25412588792521</v>
      </c>
      <c r="AG5561">
        <v>-1.109260349355</v>
      </c>
      <c r="AH5561">
        <v>9.5285581818185801</v>
      </c>
      <c r="AI5561">
        <v>96.463338299231594</v>
      </c>
      <c r="AJ5561">
        <v>76.690488973998001</v>
      </c>
      <c r="AK5561">
        <v>9.8541850533449793</v>
      </c>
      <c r="AL5561">
        <v>84.0163822089836</v>
      </c>
      <c r="AM5561">
        <v>80.826314356938397</v>
      </c>
      <c r="AN5561">
        <v>0.99999998242522403</v>
      </c>
    </row>
    <row r="5562" spans="1:40" x14ac:dyDescent="0.25">
      <c r="A5562" t="str">
        <f>"20190312151136927"</f>
        <v>20190312151136927</v>
      </c>
      <c r="B5562" t="str">
        <f>"1552374696916866"</f>
        <v>1552374696916866</v>
      </c>
      <c r="C5562" t="s">
        <v>40</v>
      </c>
      <c r="D5562">
        <v>5.1709149999999999</v>
      </c>
      <c r="E5562">
        <v>0.52608759999999999</v>
      </c>
      <c r="F5562" t="s">
        <v>42</v>
      </c>
      <c r="G5562">
        <v>-329.7996</v>
      </c>
      <c r="H5562" s="1">
        <v>-1.65569E-6</v>
      </c>
      <c r="I5562">
        <v>13.623530000000001</v>
      </c>
      <c r="J5562">
        <v>-339.4085</v>
      </c>
      <c r="K5562">
        <v>1.10927</v>
      </c>
      <c r="L5562">
        <v>16.090389999999999</v>
      </c>
      <c r="M5562">
        <v>0.99971100000000002</v>
      </c>
      <c r="N5562">
        <v>0</v>
      </c>
      <c r="O5562">
        <v>-2.0578229999999999E-2</v>
      </c>
      <c r="P5562">
        <v>0.97958089999999998</v>
      </c>
      <c r="Q5562">
        <v>9.2381340000000006E-2</v>
      </c>
      <c r="R5562">
        <v>-0.17857010000000001</v>
      </c>
      <c r="S5562">
        <v>2.9580380000000002</v>
      </c>
      <c r="T5562">
        <v>-0.33587030000000001</v>
      </c>
      <c r="U5562">
        <v>-0.74813839999999998</v>
      </c>
      <c r="V5562">
        <v>0.15861329999999901</v>
      </c>
      <c r="W5562">
        <v>0.1042237</v>
      </c>
      <c r="X5562">
        <v>0.98182449999999999</v>
      </c>
      <c r="Y5562">
        <v>0.223966</v>
      </c>
      <c r="Z5562">
        <v>-1.018785E-2</v>
      </c>
      <c r="AA5562">
        <v>0.97454370000000001</v>
      </c>
      <c r="AB5562">
        <v>27</v>
      </c>
      <c r="AC5562">
        <v>9.6089000000000002</v>
      </c>
      <c r="AD5562">
        <v>-1.10927165569</v>
      </c>
      <c r="AE5562">
        <v>-2.4668600000000001</v>
      </c>
      <c r="AF5562">
        <v>2.2405745877431702</v>
      </c>
      <c r="AG5562">
        <v>-1.10927165569</v>
      </c>
      <c r="AH5562">
        <v>9.5383757435376602</v>
      </c>
      <c r="AI5562">
        <v>96.459187112343002</v>
      </c>
      <c r="AJ5562">
        <v>76.780821007805599</v>
      </c>
      <c r="AK5562">
        <v>9.8605917628844892</v>
      </c>
      <c r="AL5562">
        <v>84.017557872526993</v>
      </c>
      <c r="AM5562">
        <v>80.823177845559897</v>
      </c>
      <c r="AN5562">
        <v>1.00000005368941</v>
      </c>
    </row>
    <row r="5563" spans="1:40" x14ac:dyDescent="0.25">
      <c r="A5563" t="str">
        <f>"20190312151136940"</f>
        <v>20190312151136940</v>
      </c>
      <c r="B5563" t="str">
        <f>"1552374696936387"</f>
        <v>1552374696936387</v>
      </c>
      <c r="C5563" t="s">
        <v>40</v>
      </c>
      <c r="D5563">
        <v>5.19712</v>
      </c>
      <c r="E5563">
        <v>0.52590579999999998</v>
      </c>
      <c r="F5563" t="s">
        <v>42</v>
      </c>
      <c r="G5563">
        <v>-329.61590000000001</v>
      </c>
      <c r="H5563" s="1">
        <v>-1.7299599999999999E-6</v>
      </c>
      <c r="I5563">
        <v>13.609529999999999</v>
      </c>
      <c r="J5563">
        <v>-339.25970000000001</v>
      </c>
      <c r="K5563">
        <v>1.109281</v>
      </c>
      <c r="L5563">
        <v>16.086639999999999</v>
      </c>
      <c r="M5563">
        <v>0.99969730000000001</v>
      </c>
      <c r="N5563">
        <v>0</v>
      </c>
      <c r="O5563">
        <v>-2.1235770000000001E-2</v>
      </c>
      <c r="P5563">
        <v>0.97944589999999998</v>
      </c>
      <c r="Q5563">
        <v>9.2323269999999999E-2</v>
      </c>
      <c r="R5563">
        <v>-0.1793381</v>
      </c>
      <c r="S5563">
        <v>2.9575499999999999</v>
      </c>
      <c r="T5563">
        <v>-0.33502130000000002</v>
      </c>
      <c r="U5563">
        <v>-0.74926759999999903</v>
      </c>
      <c r="V5563">
        <v>0.15873429999999999</v>
      </c>
      <c r="W5563">
        <v>0.1041696</v>
      </c>
      <c r="X5563">
        <v>0.98181059999999998</v>
      </c>
      <c r="Y5563">
        <v>0.22372439999999999</v>
      </c>
      <c r="Z5563">
        <v>-1.0076969999999999E-2</v>
      </c>
      <c r="AA5563">
        <v>0.97460040000000003</v>
      </c>
      <c r="AB5563">
        <v>27</v>
      </c>
      <c r="AC5563">
        <v>9.6438000000000006</v>
      </c>
      <c r="AD5563">
        <v>-1.1092827299600001</v>
      </c>
      <c r="AE5563">
        <v>-2.4771100000000001</v>
      </c>
      <c r="AF5563">
        <v>2.24389091687592</v>
      </c>
      <c r="AG5563">
        <v>-1.1092827299600001</v>
      </c>
      <c r="AH5563">
        <v>9.5753831228919992</v>
      </c>
      <c r="AI5563">
        <v>96.435293595270196</v>
      </c>
      <c r="AJ5563">
        <v>76.811314987739607</v>
      </c>
      <c r="AK5563">
        <v>9.8971468904927704</v>
      </c>
      <c r="AL5563">
        <v>84.020674030203296</v>
      </c>
      <c r="AM5563">
        <v>80.816168643356093</v>
      </c>
      <c r="AN5563">
        <v>0.999999968916504</v>
      </c>
    </row>
    <row r="5564" spans="1:40" x14ac:dyDescent="0.25">
      <c r="A5564" t="str">
        <f>"20190312151136951"</f>
        <v>20190312151136951</v>
      </c>
      <c r="B5564" t="str">
        <f>"1552374696947123"</f>
        <v>1552374696947123</v>
      </c>
      <c r="C5564" t="s">
        <v>40</v>
      </c>
      <c r="D5564">
        <v>5.2088519999999896</v>
      </c>
      <c r="E5564">
        <v>0.52582589999999996</v>
      </c>
      <c r="F5564" t="s">
        <v>42</v>
      </c>
      <c r="G5564">
        <v>-329.4556</v>
      </c>
      <c r="H5564" s="1">
        <v>-1.794011E-6</v>
      </c>
      <c r="I5564">
        <v>13.600199999999999</v>
      </c>
      <c r="J5564">
        <v>-339.11799999999999</v>
      </c>
      <c r="K5564">
        <v>1.1092949999999999</v>
      </c>
      <c r="L5564">
        <v>16.082920000000001</v>
      </c>
      <c r="M5564">
        <v>0.99968400000000002</v>
      </c>
      <c r="N5564">
        <v>0</v>
      </c>
      <c r="O5564">
        <v>-2.185113E-2</v>
      </c>
      <c r="P5564">
        <v>0.97929440000000001</v>
      </c>
      <c r="Q5564">
        <v>9.219484E-2</v>
      </c>
      <c r="R5564">
        <v>-0.18022920000000001</v>
      </c>
      <c r="S5564">
        <v>2.9571529999999999</v>
      </c>
      <c r="T5564">
        <v>-0.3345861</v>
      </c>
      <c r="U5564">
        <v>-0.74996949999999996</v>
      </c>
      <c r="V5564">
        <v>0.15901989999999999</v>
      </c>
      <c r="W5564">
        <v>0.1040444</v>
      </c>
      <c r="X5564">
        <v>0.98177769999999998</v>
      </c>
      <c r="Y5564">
        <v>0.22338179999999999</v>
      </c>
      <c r="Z5564">
        <v>-9.9777249999999998E-3</v>
      </c>
      <c r="AA5564">
        <v>0.97467990000000004</v>
      </c>
      <c r="AB5564">
        <v>27</v>
      </c>
      <c r="AC5564">
        <v>9.6624000000000407</v>
      </c>
      <c r="AD5564">
        <v>-1.1092967940109999</v>
      </c>
      <c r="AE5564">
        <v>-2.48272</v>
      </c>
      <c r="AF5564">
        <v>2.2432409949362602</v>
      </c>
      <c r="AG5564">
        <v>-1.1092967940109999</v>
      </c>
      <c r="AH5564">
        <v>9.5957055852527997</v>
      </c>
      <c r="AI5564">
        <v>96.422656277381606</v>
      </c>
      <c r="AJ5564">
        <v>76.841953153000006</v>
      </c>
      <c r="AK5564">
        <v>9.9166645207659094</v>
      </c>
      <c r="AL5564">
        <v>84.027886894897506</v>
      </c>
      <c r="AM5564">
        <v>80.799624079989201</v>
      </c>
      <c r="AN5564">
        <v>1.00000000899233</v>
      </c>
    </row>
    <row r="5565" spans="1:40" x14ac:dyDescent="0.25">
      <c r="A5565" t="str">
        <f>"20190312151136969"</f>
        <v>20190312151136969</v>
      </c>
      <c r="B5565" t="str">
        <f>"1552374696966676"</f>
        <v>1552374696966676</v>
      </c>
      <c r="C5565" t="s">
        <v>40</v>
      </c>
      <c r="D5565">
        <v>5.1827290000000001</v>
      </c>
      <c r="E5565">
        <v>0.52575669999999897</v>
      </c>
      <c r="F5565" t="s">
        <v>42</v>
      </c>
      <c r="G5565">
        <v>-329.3134</v>
      </c>
      <c r="H5565" s="1">
        <v>-1.851509E-6</v>
      </c>
      <c r="I5565">
        <v>13.589320000000001</v>
      </c>
      <c r="J5565">
        <v>-338.89670000000001</v>
      </c>
      <c r="K5565">
        <v>1.10931</v>
      </c>
      <c r="L5565">
        <v>16.077030000000001</v>
      </c>
      <c r="M5565">
        <v>0.99966290000000002</v>
      </c>
      <c r="N5565">
        <v>0</v>
      </c>
      <c r="O5565">
        <v>-2.280039E-2</v>
      </c>
      <c r="P5565">
        <v>0.9791377</v>
      </c>
      <c r="Q5565">
        <v>9.1692309999999999E-2</v>
      </c>
      <c r="R5565">
        <v>-0.1813343</v>
      </c>
      <c r="S5565">
        <v>2.956604</v>
      </c>
      <c r="T5565">
        <v>-0.33451310000000001</v>
      </c>
      <c r="U5565">
        <v>-0.75195310000000004</v>
      </c>
      <c r="V5565">
        <v>0.1591891</v>
      </c>
      <c r="W5565">
        <v>0.1035474</v>
      </c>
      <c r="X5565">
        <v>0.98180279999999998</v>
      </c>
      <c r="Y5565">
        <v>0.2231215</v>
      </c>
      <c r="Z5565">
        <v>-9.8568600000000003E-3</v>
      </c>
      <c r="AA5565">
        <v>0.97474079999999996</v>
      </c>
      <c r="AB5565">
        <v>27</v>
      </c>
      <c r="AC5565">
        <v>9.5832999999999995</v>
      </c>
      <c r="AD5565">
        <v>-1.1093118515089999</v>
      </c>
      <c r="AE5565">
        <v>-2.4877099999999999</v>
      </c>
      <c r="AF5565">
        <v>2.24041885503217</v>
      </c>
      <c r="AG5565">
        <v>-1.1093118515089999</v>
      </c>
      <c r="AH5565">
        <v>9.5180511159641803</v>
      </c>
      <c r="AI5565">
        <v>96.472401626101004</v>
      </c>
      <c r="AJ5565">
        <v>76.754475486596903</v>
      </c>
      <c r="AK5565">
        <v>9.8409017105135703</v>
      </c>
      <c r="AL5565">
        <v>84.056517404362594</v>
      </c>
      <c r="AM5565">
        <v>80.790233811972698</v>
      </c>
      <c r="AN5565">
        <v>0.99999998584670402</v>
      </c>
    </row>
    <row r="5566" spans="1:40" x14ac:dyDescent="0.25">
      <c r="A5566" t="str">
        <f>"20190312151137003"</f>
        <v>20190312151137003</v>
      </c>
      <c r="B5566" t="str">
        <f>"1552374696996931"</f>
        <v>1552374696996931</v>
      </c>
      <c r="C5566" t="s">
        <v>40</v>
      </c>
      <c r="D5566">
        <v>5.2156690000000001</v>
      </c>
      <c r="E5566">
        <v>0.52558859999999996</v>
      </c>
      <c r="F5566" t="s">
        <v>42</v>
      </c>
      <c r="G5566">
        <v>-329.14890000000003</v>
      </c>
      <c r="H5566" s="1">
        <v>-1.9155070000000001E-6</v>
      </c>
      <c r="I5566">
        <v>13.58623</v>
      </c>
      <c r="J5566">
        <v>-338.4785</v>
      </c>
      <c r="K5566">
        <v>1.10934</v>
      </c>
      <c r="L5566">
        <v>16.065339999999999</v>
      </c>
      <c r="M5566">
        <v>0.99962150000000005</v>
      </c>
      <c r="N5566">
        <v>0</v>
      </c>
      <c r="O5566">
        <v>-2.4550550000000001E-2</v>
      </c>
      <c r="P5566">
        <v>0.97881200000000002</v>
      </c>
      <c r="Q5566">
        <v>9.0966909999999998E-2</v>
      </c>
      <c r="R5566">
        <v>-0.18344569999999999</v>
      </c>
      <c r="S5566">
        <v>2.9555660000000001</v>
      </c>
      <c r="T5566">
        <v>-0.33634779999999997</v>
      </c>
      <c r="U5566">
        <v>-0.75521850000000001</v>
      </c>
      <c r="V5566">
        <v>0.15957669999999999</v>
      </c>
      <c r="W5566">
        <v>0.102832199999999</v>
      </c>
      <c r="X5566">
        <v>0.98181499999999999</v>
      </c>
      <c r="Y5566">
        <v>0.22250909999999999</v>
      </c>
      <c r="Z5566">
        <v>-9.6833400000000003E-3</v>
      </c>
      <c r="AA5566">
        <v>0.97488249999999999</v>
      </c>
      <c r="AB5566">
        <v>27</v>
      </c>
      <c r="AC5566">
        <v>9.3295999999999708</v>
      </c>
      <c r="AD5566">
        <v>-1.1093419155069999</v>
      </c>
      <c r="AE5566">
        <v>-2.4791099999999999</v>
      </c>
      <c r="AF5566">
        <v>2.2199809705528</v>
      </c>
      <c r="AG5566">
        <v>-1.1093419155069999</v>
      </c>
      <c r="AH5566">
        <v>9.2652975804725592</v>
      </c>
      <c r="AI5566">
        <v>96.641344686667495</v>
      </c>
      <c r="AJ5566">
        <v>76.525847156152906</v>
      </c>
      <c r="AK5566">
        <v>9.5919077481921207</v>
      </c>
      <c r="AL5566">
        <v>84.097714999406904</v>
      </c>
      <c r="AM5566">
        <v>80.768307887719899</v>
      </c>
      <c r="AN5566">
        <v>0.99999993938236298</v>
      </c>
    </row>
    <row r="5567" spans="1:40" x14ac:dyDescent="0.25">
      <c r="A5567" t="str">
        <f>"20190312151137013"</f>
        <v>20190312151137013</v>
      </c>
      <c r="B5567" t="str">
        <f>"1552374697006691"</f>
        <v>1552374697006691</v>
      </c>
      <c r="C5567" t="s">
        <v>40</v>
      </c>
      <c r="D5567">
        <v>5.2677430000000003</v>
      </c>
      <c r="E5567">
        <v>0.52552779999999999</v>
      </c>
      <c r="F5567" t="s">
        <v>42</v>
      </c>
      <c r="G5567">
        <v>-328.85520000000002</v>
      </c>
      <c r="H5567" s="1">
        <v>-2.027795E-6</v>
      </c>
      <c r="I5567">
        <v>13.5880299999999</v>
      </c>
      <c r="J5567">
        <v>-338.34789999999998</v>
      </c>
      <c r="K5567">
        <v>1.1093500000000001</v>
      </c>
      <c r="L5567">
        <v>16.06155</v>
      </c>
      <c r="M5567">
        <v>0.99960819999999995</v>
      </c>
      <c r="N5567">
        <v>0</v>
      </c>
      <c r="O5567">
        <v>-2.508643E-2</v>
      </c>
      <c r="P5567">
        <v>0.97871059999999999</v>
      </c>
      <c r="Q5567">
        <v>9.0770240000000002E-2</v>
      </c>
      <c r="R5567">
        <v>-0.1840842</v>
      </c>
      <c r="S5567">
        <v>2.9541019999999998</v>
      </c>
      <c r="T5567">
        <v>-0.34053860000000002</v>
      </c>
      <c r="U5567">
        <v>-0.76046749999999996</v>
      </c>
      <c r="V5567">
        <v>0.15968750000000001</v>
      </c>
      <c r="W5567">
        <v>0.1026387</v>
      </c>
      <c r="X5567">
        <v>0.9818173</v>
      </c>
      <c r="Y5567">
        <v>0.22369330000000001</v>
      </c>
      <c r="Z5567">
        <v>-9.8122839999999992E-3</v>
      </c>
      <c r="AA5567">
        <v>0.97461019999999998</v>
      </c>
      <c r="AB5567">
        <v>27</v>
      </c>
      <c r="AC5567">
        <v>9.4926999999999495</v>
      </c>
      <c r="AD5567">
        <v>-1.109352027795</v>
      </c>
      <c r="AE5567">
        <v>-2.4735200000000002</v>
      </c>
      <c r="AF5567">
        <v>2.20636831601198</v>
      </c>
      <c r="AG5567">
        <v>-1.109352027795</v>
      </c>
      <c r="AH5567">
        <v>9.4311554500701895</v>
      </c>
      <c r="AI5567">
        <v>96.533834432846206</v>
      </c>
      <c r="AJ5567">
        <v>76.832765084531005</v>
      </c>
      <c r="AK5567">
        <v>9.7491238678592609</v>
      </c>
      <c r="AL5567">
        <v>84.1088610993733</v>
      </c>
      <c r="AM5567">
        <v>80.762029725831098</v>
      </c>
      <c r="AN5567">
        <v>1.0000000054866101</v>
      </c>
    </row>
    <row r="5568" spans="1:40" x14ac:dyDescent="0.25">
      <c r="A5568" t="str">
        <f>"20190312151137025"</f>
        <v>20190312151137025</v>
      </c>
      <c r="B5568" t="str">
        <f>"1552374697016451"</f>
        <v>1552374697016451</v>
      </c>
      <c r="C5568" t="s">
        <v>40</v>
      </c>
      <c r="D5568">
        <v>5.1277299999999997</v>
      </c>
      <c r="E5568">
        <v>0.52544429999999998</v>
      </c>
      <c r="F5568" t="s">
        <v>42</v>
      </c>
      <c r="G5568">
        <v>-328.7099</v>
      </c>
      <c r="H5568" s="1">
        <v>-2.0869759999999999E-6</v>
      </c>
      <c r="I5568">
        <v>13.575430000000001</v>
      </c>
      <c r="J5568">
        <v>-338.2115</v>
      </c>
      <c r="K5568">
        <v>1.109359</v>
      </c>
      <c r="L5568">
        <v>16.057559999999999</v>
      </c>
      <c r="M5568">
        <v>0.99959419999999999</v>
      </c>
      <c r="N5568">
        <v>0</v>
      </c>
      <c r="O5568">
        <v>-2.563901E-2</v>
      </c>
      <c r="P5568">
        <v>0.97858579999999995</v>
      </c>
      <c r="Q5568">
        <v>9.0790529999999994E-2</v>
      </c>
      <c r="R5568">
        <v>-0.18473580000000001</v>
      </c>
      <c r="S5568">
        <v>2.9534609999999999</v>
      </c>
      <c r="T5568">
        <v>-0.33994649999999998</v>
      </c>
      <c r="U5568">
        <v>-0.76184079999999998</v>
      </c>
      <c r="V5568">
        <v>0.15979640000000001</v>
      </c>
      <c r="W5568">
        <v>0.1026615</v>
      </c>
      <c r="X5568">
        <v>0.98179720000000004</v>
      </c>
      <c r="Y5568">
        <v>0.22363839999999999</v>
      </c>
      <c r="Z5568">
        <v>-9.7314540000000005E-3</v>
      </c>
      <c r="AA5568">
        <v>0.97462360000000003</v>
      </c>
      <c r="AB5568">
        <v>27</v>
      </c>
      <c r="AC5568">
        <v>9.5015999999999892</v>
      </c>
      <c r="AD5568">
        <v>-1.109361086976</v>
      </c>
      <c r="AE5568">
        <v>-2.4821300000000002</v>
      </c>
      <c r="AF5568">
        <v>2.2094883916376098</v>
      </c>
      <c r="AG5568">
        <v>-1.109361086976</v>
      </c>
      <c r="AH5568">
        <v>9.4416361838895906</v>
      </c>
      <c r="AI5568">
        <v>96.526595393189794</v>
      </c>
      <c r="AJ5568">
        <v>76.828920845953903</v>
      </c>
      <c r="AK5568">
        <v>9.7599700206000204</v>
      </c>
      <c r="AL5568">
        <v>84.107547830030995</v>
      </c>
      <c r="AM5568">
        <v>80.755652566920801</v>
      </c>
      <c r="AN5568">
        <v>1.0000000074815201</v>
      </c>
    </row>
    <row r="5569" spans="1:40" x14ac:dyDescent="0.25">
      <c r="A5569" t="str">
        <f>"20190312151137036"</f>
        <v>20190312151137036</v>
      </c>
      <c r="B5569" t="str">
        <f>"1552374697027187"</f>
        <v>1552374697027187</v>
      </c>
      <c r="C5569" t="s">
        <v>40</v>
      </c>
      <c r="D5569">
        <v>5.7120389999999999</v>
      </c>
      <c r="E5569">
        <v>0.52536939999999999</v>
      </c>
      <c r="F5569" t="s">
        <v>42</v>
      </c>
      <c r="G5569">
        <v>-328.5249</v>
      </c>
      <c r="H5569" s="1">
        <v>-2.163724E-6</v>
      </c>
      <c r="I5569">
        <v>13.55387</v>
      </c>
      <c r="J5569">
        <v>-338.06659999999999</v>
      </c>
      <c r="K5569">
        <v>1.1093630000000001</v>
      </c>
      <c r="L5569">
        <v>16.053249999999998</v>
      </c>
      <c r="M5569">
        <v>0.99957910000000005</v>
      </c>
      <c r="N5569">
        <v>0</v>
      </c>
      <c r="O5569">
        <v>-2.6222929999999998E-2</v>
      </c>
      <c r="P5569">
        <v>0.97848190000000002</v>
      </c>
      <c r="Q5569">
        <v>9.0708319999999995E-2</v>
      </c>
      <c r="R5569">
        <v>-0.1853253</v>
      </c>
      <c r="S5569">
        <v>2.9529420000000002</v>
      </c>
      <c r="T5569">
        <v>-0.3381866</v>
      </c>
      <c r="U5569">
        <v>-0.76324459999999905</v>
      </c>
      <c r="V5569">
        <v>0.1598115</v>
      </c>
      <c r="W5569">
        <v>0.1025832</v>
      </c>
      <c r="X5569">
        <v>0.98180290000000003</v>
      </c>
      <c r="Y5569">
        <v>0.22356139999999999</v>
      </c>
      <c r="Z5569">
        <v>-9.612677E-3</v>
      </c>
      <c r="AA5569">
        <v>0.97464249999999997</v>
      </c>
      <c r="AB5569">
        <v>27</v>
      </c>
      <c r="AC5569">
        <v>9.5416999999999899</v>
      </c>
      <c r="AD5569">
        <v>-1.1093651637239901</v>
      </c>
      <c r="AE5569">
        <v>-2.4993799999999902</v>
      </c>
      <c r="AF5569">
        <v>2.2202050860027098</v>
      </c>
      <c r="AG5569">
        <v>-1.1093651637239901</v>
      </c>
      <c r="AH5569">
        <v>9.4839956936749292</v>
      </c>
      <c r="AI5569">
        <v>96.497597221803503</v>
      </c>
      <c r="AJ5569">
        <v>76.824316383737795</v>
      </c>
      <c r="AK5569">
        <v>9.8033757455297597</v>
      </c>
      <c r="AL5569">
        <v>84.112057747146594</v>
      </c>
      <c r="AM5569">
        <v>80.754846851073594</v>
      </c>
      <c r="AN5569">
        <v>0.99999998145144897</v>
      </c>
    </row>
    <row r="5570" spans="1:40" x14ac:dyDescent="0.25">
      <c r="A5570" t="str">
        <f>"20190312151137047"</f>
        <v>20190312151137047</v>
      </c>
      <c r="B5570" t="str">
        <f>"1552374697036948"</f>
        <v>1552374697036948</v>
      </c>
      <c r="C5570" t="s">
        <v>40</v>
      </c>
      <c r="D5570">
        <v>5.2451720000000002</v>
      </c>
      <c r="E5570">
        <v>0.52528730000000001</v>
      </c>
      <c r="F5570" t="s">
        <v>42</v>
      </c>
      <c r="G5570">
        <v>-328.32990000000001</v>
      </c>
      <c r="H5570" s="1">
        <v>-2.2442940000000001E-6</v>
      </c>
      <c r="I5570">
        <v>13.53261</v>
      </c>
      <c r="J5570">
        <v>-337.9375</v>
      </c>
      <c r="K5570">
        <v>1.1093710000000001</v>
      </c>
      <c r="L5570">
        <v>16.04926</v>
      </c>
      <c r="M5570">
        <v>0.99956540000000005</v>
      </c>
      <c r="N5570">
        <v>0</v>
      </c>
      <c r="O5570">
        <v>-2.673213E-2</v>
      </c>
      <c r="P5570">
        <v>0.97841089999999997</v>
      </c>
      <c r="Q5570">
        <v>9.0572120000000006E-2</v>
      </c>
      <c r="R5570">
        <v>-0.1857654</v>
      </c>
      <c r="S5570">
        <v>2.9523929999999998</v>
      </c>
      <c r="T5570">
        <v>-0.33638309999999999</v>
      </c>
      <c r="U5570">
        <v>-0.76431269999999996</v>
      </c>
      <c r="V5570">
        <v>0.15975020000000001</v>
      </c>
      <c r="W5570">
        <v>0.1024504</v>
      </c>
      <c r="X5570">
        <v>0.9818268</v>
      </c>
      <c r="Y5570">
        <v>0.22345570000000001</v>
      </c>
      <c r="Z5570">
        <v>-9.5003229999999998E-3</v>
      </c>
      <c r="AA5570">
        <v>0.97466779999999997</v>
      </c>
      <c r="AB5570">
        <v>27</v>
      </c>
      <c r="AC5570">
        <v>9.6075999999999908</v>
      </c>
      <c r="AD5570">
        <v>-1.1093732442940001</v>
      </c>
      <c r="AE5570">
        <v>-2.5166499999999998</v>
      </c>
      <c r="AF5570">
        <v>2.2310624485496602</v>
      </c>
      <c r="AG5570">
        <v>-1.1093732442940001</v>
      </c>
      <c r="AH5570">
        <v>9.5522645921712002</v>
      </c>
      <c r="AI5570">
        <v>96.452360094589906</v>
      </c>
      <c r="AJ5570">
        <v>76.853459740225105</v>
      </c>
      <c r="AK5570">
        <v>9.8718846976315202</v>
      </c>
      <c r="AL5570">
        <v>84.119707262127406</v>
      </c>
      <c r="AM5570">
        <v>80.758552960896907</v>
      </c>
      <c r="AN5570">
        <v>1.00000003802921</v>
      </c>
    </row>
    <row r="5571" spans="1:40" x14ac:dyDescent="0.25">
      <c r="A5571" t="str">
        <f>"20190312151137058"</f>
        <v>20190312151137058</v>
      </c>
      <c r="B5571" t="str">
        <f>"1552374697046708"</f>
        <v>1552374697046708</v>
      </c>
      <c r="C5571" t="s">
        <v>40</v>
      </c>
      <c r="D5571">
        <v>5.2548579999999996</v>
      </c>
      <c r="E5571">
        <v>0.5252057</v>
      </c>
      <c r="F5571" t="s">
        <v>42</v>
      </c>
      <c r="G5571">
        <v>-328.1447</v>
      </c>
      <c r="H5571" s="1">
        <v>-2.3211340000000002E-6</v>
      </c>
      <c r="I5571">
        <v>13.51102</v>
      </c>
      <c r="J5571">
        <v>-337.80040000000002</v>
      </c>
      <c r="K5571">
        <v>1.109381</v>
      </c>
      <c r="L5571">
        <v>16.04504</v>
      </c>
      <c r="M5571">
        <v>0.99955099999999997</v>
      </c>
      <c r="N5571">
        <v>0</v>
      </c>
      <c r="O5571">
        <v>-2.7272310000000001E-2</v>
      </c>
      <c r="P5571">
        <v>0.97829790000000005</v>
      </c>
      <c r="Q5571">
        <v>9.0407089999999996E-2</v>
      </c>
      <c r="R5571">
        <v>-0.18644089999999999</v>
      </c>
      <c r="S5571">
        <v>2.9518740000000001</v>
      </c>
      <c r="T5571">
        <v>-0.33440160000000002</v>
      </c>
      <c r="U5571">
        <v>-0.76510619999999996</v>
      </c>
      <c r="V5571">
        <v>0.15989439999999999</v>
      </c>
      <c r="W5571">
        <v>0.10228810000000001</v>
      </c>
      <c r="X5571">
        <v>0.98182020000000003</v>
      </c>
      <c r="Y5571">
        <v>0.2232345</v>
      </c>
      <c r="Z5571">
        <v>-9.3737950000000007E-3</v>
      </c>
      <c r="AA5571">
        <v>0.97471969999999997</v>
      </c>
      <c r="AB5571">
        <v>27</v>
      </c>
      <c r="AC5571">
        <v>9.6557000000000208</v>
      </c>
      <c r="AD5571">
        <v>-1.1093833211339901</v>
      </c>
      <c r="AE5571">
        <v>-2.5340199999999902</v>
      </c>
      <c r="AF5571">
        <v>2.2420344971108199</v>
      </c>
      <c r="AG5571">
        <v>-1.1093833211339901</v>
      </c>
      <c r="AH5571">
        <v>9.6026286957174793</v>
      </c>
      <c r="AI5571">
        <v>96.418975730871296</v>
      </c>
      <c r="AJ5571">
        <v>76.857936327499004</v>
      </c>
      <c r="AK5571">
        <v>9.9231007204029797</v>
      </c>
      <c r="AL5571">
        <v>84.129055194033995</v>
      </c>
      <c r="AM5571">
        <v>80.750294099231198</v>
      </c>
      <c r="AN5571">
        <v>0.99999998984050498</v>
      </c>
    </row>
    <row r="5572" spans="1:40" x14ac:dyDescent="0.25">
      <c r="A5572" t="str">
        <f>"20190312151137069"</f>
        <v>20190312151137069</v>
      </c>
      <c r="B5572" t="str">
        <f>"1552374697067204"</f>
        <v>1552374697067204</v>
      </c>
      <c r="C5572" t="s">
        <v>40</v>
      </c>
      <c r="D5572">
        <v>5.2479040000000001</v>
      </c>
      <c r="E5572">
        <v>0.52511770000000002</v>
      </c>
      <c r="F5572" t="s">
        <v>42</v>
      </c>
      <c r="G5572">
        <v>-327.98140000000001</v>
      </c>
      <c r="H5572" s="1">
        <v>-2.3880420000000001E-6</v>
      </c>
      <c r="I5572">
        <v>13.49521</v>
      </c>
      <c r="J5572">
        <v>-337.66609999999997</v>
      </c>
      <c r="K5572">
        <v>1.109383</v>
      </c>
      <c r="L5572">
        <v>16.040800000000001</v>
      </c>
      <c r="M5572">
        <v>0.9995368</v>
      </c>
      <c r="N5572">
        <v>0</v>
      </c>
      <c r="O5572">
        <v>-2.7791050000000001E-2</v>
      </c>
      <c r="P5572">
        <v>0.9782052</v>
      </c>
      <c r="Q5572">
        <v>9.0341309999999994E-2</v>
      </c>
      <c r="R5572">
        <v>-0.18695819999999999</v>
      </c>
      <c r="S5572">
        <v>2.9513240000000001</v>
      </c>
      <c r="T5572">
        <v>-0.33345350000000001</v>
      </c>
      <c r="U5572">
        <v>-0.7664185</v>
      </c>
      <c r="V5572">
        <v>0.1599016</v>
      </c>
      <c r="W5572">
        <v>0.1022255</v>
      </c>
      <c r="X5572">
        <v>0.98182550000000002</v>
      </c>
      <c r="Y5572">
        <v>0.22318859999999999</v>
      </c>
      <c r="Z5572">
        <v>-9.2886429999999992E-3</v>
      </c>
      <c r="AA5572">
        <v>0.97473100000000001</v>
      </c>
      <c r="AB5572">
        <v>27</v>
      </c>
      <c r="AC5572">
        <v>9.6846999999999603</v>
      </c>
      <c r="AD5572">
        <v>-1.1093853880419999</v>
      </c>
      <c r="AE5572">
        <v>-2.5455899999999998</v>
      </c>
      <c r="AF5572">
        <v>2.2478483024735598</v>
      </c>
      <c r="AG5572">
        <v>-1.1093853880419999</v>
      </c>
      <c r="AH5572">
        <v>9.6334695551947807</v>
      </c>
      <c r="AI5572">
        <v>96.398810595314004</v>
      </c>
      <c r="AJ5572">
        <v>76.865759183819804</v>
      </c>
      <c r="AK5572">
        <v>9.9542600730038693</v>
      </c>
      <c r="AL5572">
        <v>84.132660537486302</v>
      </c>
      <c r="AM5572">
        <v>80.749933857200006</v>
      </c>
      <c r="AN5572">
        <v>0.99999994349152799</v>
      </c>
    </row>
    <row r="5573" spans="1:40" x14ac:dyDescent="0.25">
      <c r="A5573" t="str">
        <f>"20190312151137081"</f>
        <v>20190312151137081</v>
      </c>
      <c r="B5573" t="str">
        <f>"1552374697076965"</f>
        <v>1552374697076965</v>
      </c>
      <c r="C5573" t="s">
        <v>40</v>
      </c>
      <c r="D5573">
        <v>5.2585350000000002</v>
      </c>
      <c r="E5573">
        <v>0.52514280000000002</v>
      </c>
      <c r="F5573" t="s">
        <v>42</v>
      </c>
      <c r="G5573">
        <v>-327.79199999999997</v>
      </c>
      <c r="H5573" s="1">
        <v>-2.4665710000000001E-6</v>
      </c>
      <c r="I5573">
        <v>13.473470000000001</v>
      </c>
      <c r="J5573">
        <v>-337.51900000000001</v>
      </c>
      <c r="K5573">
        <v>1.1093919999999999</v>
      </c>
      <c r="L5573">
        <v>16.036100000000001</v>
      </c>
      <c r="M5573">
        <v>0.99952079999999999</v>
      </c>
      <c r="N5573">
        <v>0</v>
      </c>
      <c r="O5573">
        <v>-2.8356619999999999E-2</v>
      </c>
      <c r="P5573">
        <v>0.97814440000000002</v>
      </c>
      <c r="Q5573">
        <v>9.0207060000000006E-2</v>
      </c>
      <c r="R5573">
        <v>-0.18734100000000001</v>
      </c>
      <c r="S5573">
        <v>2.9508670000000001</v>
      </c>
      <c r="T5573">
        <v>-0.33153820000000001</v>
      </c>
      <c r="U5573">
        <v>-0.76724239999999999</v>
      </c>
      <c r="V5573">
        <v>0.15972700000000001</v>
      </c>
      <c r="W5573">
        <v>0.10209509999999999</v>
      </c>
      <c r="X5573">
        <v>0.98186759999999995</v>
      </c>
      <c r="Y5573">
        <v>0.2229467</v>
      </c>
      <c r="Z5573">
        <v>-9.161153E-3</v>
      </c>
      <c r="AA5573">
        <v>0.97478759999999998</v>
      </c>
      <c r="AB5573">
        <v>27</v>
      </c>
      <c r="AC5573">
        <v>9.7270000000000305</v>
      </c>
      <c r="AD5573">
        <v>-1.1093944665709901</v>
      </c>
      <c r="AE5573">
        <v>-2.56263</v>
      </c>
      <c r="AF5573">
        <v>2.2582838504171399</v>
      </c>
      <c r="AG5573">
        <v>-1.1093944665709901</v>
      </c>
      <c r="AH5573">
        <v>9.67803895670232</v>
      </c>
      <c r="AI5573">
        <v>96.369631993652206</v>
      </c>
      <c r="AJ5573">
        <v>76.865557950920604</v>
      </c>
      <c r="AK5573">
        <v>9.9997520008728706</v>
      </c>
      <c r="AL5573">
        <v>84.1401718532952</v>
      </c>
      <c r="AM5573">
        <v>80.7602492515515</v>
      </c>
      <c r="AN5573">
        <v>1.00000005395138</v>
      </c>
    </row>
    <row r="5574" spans="1:40" x14ac:dyDescent="0.25">
      <c r="A5574" t="str">
        <f>"20190312151137104"</f>
        <v>20190312151137104</v>
      </c>
      <c r="B5574" t="str">
        <f>"1552374697096484"</f>
        <v>1552374697096484</v>
      </c>
      <c r="C5574" t="s">
        <v>40</v>
      </c>
      <c r="D5574">
        <v>5.2970629999999996</v>
      </c>
      <c r="E5574">
        <v>0.52522199999999997</v>
      </c>
      <c r="F5574" t="s">
        <v>42</v>
      </c>
      <c r="G5574">
        <v>-327.67160000000001</v>
      </c>
      <c r="H5574" s="1">
        <v>-2.5134759999999999E-6</v>
      </c>
      <c r="I5574">
        <v>13.470940000000001</v>
      </c>
      <c r="J5574">
        <v>-337.24290000000002</v>
      </c>
      <c r="K5574">
        <v>1.1094109999999999</v>
      </c>
      <c r="L5574">
        <v>16.027069999999998</v>
      </c>
      <c r="M5574">
        <v>0.99949069999999995</v>
      </c>
      <c r="N5574">
        <v>0</v>
      </c>
      <c r="O5574">
        <v>-2.940224E-2</v>
      </c>
      <c r="P5574">
        <v>0.97794000000000003</v>
      </c>
      <c r="Q5574">
        <v>9.0026449999999994E-2</v>
      </c>
      <c r="R5574">
        <v>-0.18849179999999999</v>
      </c>
      <c r="S5574">
        <v>2.9504999999999999</v>
      </c>
      <c r="T5574">
        <v>-0.33240160000000002</v>
      </c>
      <c r="U5574">
        <v>-0.76858519999999997</v>
      </c>
      <c r="V5574">
        <v>0.15985060000000001</v>
      </c>
      <c r="W5574">
        <v>0.1019191</v>
      </c>
      <c r="X5574">
        <v>0.98186569999999995</v>
      </c>
      <c r="Y5574">
        <v>0.22237570000000001</v>
      </c>
      <c r="Z5574">
        <v>-9.0386379999999999E-3</v>
      </c>
      <c r="AA5574">
        <v>0.97491910000000004</v>
      </c>
      <c r="AB5574">
        <v>27</v>
      </c>
      <c r="AC5574">
        <v>9.5713000000000008</v>
      </c>
      <c r="AD5574">
        <v>-1.1094135134759999</v>
      </c>
      <c r="AE5574">
        <v>-2.55613</v>
      </c>
      <c r="AF5574">
        <v>2.2454259825669798</v>
      </c>
      <c r="AG5574">
        <v>-1.1094135134759999</v>
      </c>
      <c r="AH5574">
        <v>9.5228983495674395</v>
      </c>
      <c r="AI5574">
        <v>96.469141621324496</v>
      </c>
      <c r="AJ5574">
        <v>76.732437416180503</v>
      </c>
      <c r="AK5574">
        <v>9.8467420583289602</v>
      </c>
      <c r="AL5574">
        <v>84.150308383086895</v>
      </c>
      <c r="AM5574">
        <v>80.753205218156197</v>
      </c>
      <c r="AN5574">
        <v>0.99999998505082899</v>
      </c>
    </row>
    <row r="5575" spans="1:40" x14ac:dyDescent="0.25">
      <c r="A5575" t="str">
        <f>"20190312151137116"</f>
        <v>20190312151137116</v>
      </c>
      <c r="B5575" t="str">
        <f>"1552374697107220"</f>
        <v>1552374697107220</v>
      </c>
      <c r="C5575" t="s">
        <v>40</v>
      </c>
      <c r="D5575">
        <v>5.3017120000000002</v>
      </c>
      <c r="E5575">
        <v>0.52525239999999995</v>
      </c>
      <c r="F5575" t="s">
        <v>42</v>
      </c>
      <c r="G5575">
        <v>-327.42290000000003</v>
      </c>
      <c r="H5575" s="1">
        <v>-2.613714E-6</v>
      </c>
      <c r="I5575">
        <v>13.453110000000001</v>
      </c>
      <c r="J5575">
        <v>-337.08940000000001</v>
      </c>
      <c r="K5575">
        <v>1.109418</v>
      </c>
      <c r="L5575">
        <v>16.02197</v>
      </c>
      <c r="M5575">
        <v>0.99947350000000001</v>
      </c>
      <c r="N5575">
        <v>0</v>
      </c>
      <c r="O5575">
        <v>-2.997787E-2</v>
      </c>
      <c r="P5575">
        <v>0.97781099999999999</v>
      </c>
      <c r="Q5575">
        <v>9.0014709999999998E-2</v>
      </c>
      <c r="R5575">
        <v>-0.18916530000000001</v>
      </c>
      <c r="S5575">
        <v>2.949341</v>
      </c>
      <c r="T5575">
        <v>-0.33320490000000003</v>
      </c>
      <c r="U5575">
        <v>-0.77307130000000002</v>
      </c>
      <c r="V5575">
        <v>0.1599595</v>
      </c>
      <c r="W5575">
        <v>0.10190920000000001</v>
      </c>
      <c r="X5575">
        <v>0.98184899999999997</v>
      </c>
      <c r="Y5575">
        <v>0.22328799999999999</v>
      </c>
      <c r="Z5575">
        <v>-9.0490020000000004E-3</v>
      </c>
      <c r="AA5575">
        <v>0.97471050000000004</v>
      </c>
      <c r="AB5575">
        <v>27</v>
      </c>
      <c r="AC5575">
        <v>9.6664999999999797</v>
      </c>
      <c r="AD5575">
        <v>-1.1094206137139999</v>
      </c>
      <c r="AE5575">
        <v>-2.5688599999999902</v>
      </c>
      <c r="AF5575">
        <v>2.2502170356254099</v>
      </c>
      <c r="AG5575">
        <v>-1.1094206137139999</v>
      </c>
      <c r="AH5575">
        <v>9.6208031849365305</v>
      </c>
      <c r="AI5575">
        <v>96.406587830012796</v>
      </c>
      <c r="AJ5575">
        <v>76.835691933423206</v>
      </c>
      <c r="AK5575">
        <v>9.9425421663092397</v>
      </c>
      <c r="AL5575">
        <v>84.150878625365493</v>
      </c>
      <c r="AM5575">
        <v>80.746860000834104</v>
      </c>
      <c r="AN5575">
        <v>0.99999999274294404</v>
      </c>
    </row>
    <row r="5576" spans="1:40" x14ac:dyDescent="0.25">
      <c r="A5576" t="str">
        <f>"20190312151137137"</f>
        <v>20190312151137137</v>
      </c>
      <c r="B5576" t="str">
        <f>"1552374697126739"</f>
        <v>1552374697126739</v>
      </c>
      <c r="C5576" t="s">
        <v>40</v>
      </c>
      <c r="D5576">
        <v>5.1958310000000001</v>
      </c>
      <c r="E5576">
        <v>0.52530310000000002</v>
      </c>
      <c r="F5576" t="s">
        <v>42</v>
      </c>
      <c r="G5576">
        <v>-327.2758</v>
      </c>
      <c r="H5576" s="1">
        <v>-2.6732079999999999E-6</v>
      </c>
      <c r="I5576">
        <v>13.441890000000001</v>
      </c>
      <c r="J5576">
        <v>-336.84309999999999</v>
      </c>
      <c r="K5576">
        <v>1.109429</v>
      </c>
      <c r="L5576">
        <v>16.01352</v>
      </c>
      <c r="M5576">
        <v>0.99944569999999999</v>
      </c>
      <c r="N5576">
        <v>0</v>
      </c>
      <c r="O5576">
        <v>-3.089453E-2</v>
      </c>
      <c r="P5576">
        <v>0.97768040000000001</v>
      </c>
      <c r="Q5576">
        <v>8.9762700000000001E-2</v>
      </c>
      <c r="R5576">
        <v>-0.18995790000000001</v>
      </c>
      <c r="S5576">
        <v>2.9488219999999998</v>
      </c>
      <c r="T5576">
        <v>-0.33336070000000001</v>
      </c>
      <c r="U5576">
        <v>-0.77526859999999997</v>
      </c>
      <c r="V5576">
        <v>0.15985170000000001</v>
      </c>
      <c r="W5576">
        <v>0.1016601</v>
      </c>
      <c r="X5576">
        <v>0.9818924</v>
      </c>
      <c r="Y5576">
        <v>0.22312109999999999</v>
      </c>
      <c r="Z5576">
        <v>-8.9433009999999903E-3</v>
      </c>
      <c r="AA5576">
        <v>0.97474970000000005</v>
      </c>
      <c r="AB5576">
        <v>27</v>
      </c>
      <c r="AC5576">
        <v>9.5672999999999799</v>
      </c>
      <c r="AD5576">
        <v>-1.1094316732080001</v>
      </c>
      <c r="AE5576">
        <v>-2.5716299999999999</v>
      </c>
      <c r="AF5576">
        <v>2.2466276966530399</v>
      </c>
      <c r="AG5576">
        <v>-1.1094316732080001</v>
      </c>
      <c r="AH5576">
        <v>9.5227643952150007</v>
      </c>
      <c r="AI5576">
        <v>96.469151236175605</v>
      </c>
      <c r="AJ5576">
        <v>76.725408036220401</v>
      </c>
      <c r="AK5576">
        <v>9.8468886645305496</v>
      </c>
      <c r="AL5576">
        <v>84.165225637222704</v>
      </c>
      <c r="AM5576">
        <v>80.753389787082597</v>
      </c>
      <c r="AN5576">
        <v>1.0000000135513201</v>
      </c>
    </row>
    <row r="5577" spans="1:40" x14ac:dyDescent="0.25">
      <c r="A5577" t="str">
        <f>"20190312151137148"</f>
        <v>20190312151137148</v>
      </c>
      <c r="B5577" t="str">
        <f>"1552374697136500"</f>
        <v>1552374697136500</v>
      </c>
      <c r="C5577" t="s">
        <v>40</v>
      </c>
      <c r="D5577">
        <v>5.2865320000000002</v>
      </c>
      <c r="E5577">
        <v>0.52535959999999904</v>
      </c>
      <c r="F5577" t="s">
        <v>42</v>
      </c>
      <c r="G5577">
        <v>-327.13690000000003</v>
      </c>
      <c r="H5577" s="1">
        <v>-2.7240600000000001E-6</v>
      </c>
      <c r="I5577">
        <v>13.4512</v>
      </c>
      <c r="J5577">
        <v>-336.7081</v>
      </c>
      <c r="K5577">
        <v>1.1094329999999999</v>
      </c>
      <c r="L5577">
        <v>16.008790000000001</v>
      </c>
      <c r="M5577">
        <v>0.99943000000000004</v>
      </c>
      <c r="N5577">
        <v>0</v>
      </c>
      <c r="O5577">
        <v>-3.1394180000000001E-2</v>
      </c>
      <c r="P5577">
        <v>0.97765849999999999</v>
      </c>
      <c r="Q5577">
        <v>8.9481169999999999E-2</v>
      </c>
      <c r="R5577">
        <v>-0.19020290000000001</v>
      </c>
      <c r="S5577">
        <v>2.9482119999999998</v>
      </c>
      <c r="T5577">
        <v>-0.33698400000000001</v>
      </c>
      <c r="U5577">
        <v>-0.77828980000000003</v>
      </c>
      <c r="V5577">
        <v>0.15960460000000001</v>
      </c>
      <c r="W5577">
        <v>0.1013812</v>
      </c>
      <c r="X5577">
        <v>0.98196139999999998</v>
      </c>
      <c r="Y5577">
        <v>0.22359280000000001</v>
      </c>
      <c r="Z5577">
        <v>-9.0111489999999995E-3</v>
      </c>
      <c r="AA5577">
        <v>0.97464099999999998</v>
      </c>
      <c r="AB5577">
        <v>27</v>
      </c>
      <c r="AC5577">
        <v>9.5711999999999708</v>
      </c>
      <c r="AD5577">
        <v>-1.1094357240599999</v>
      </c>
      <c r="AE5577">
        <v>-2.5575899999999998</v>
      </c>
      <c r="AF5577">
        <v>2.2278869871493399</v>
      </c>
      <c r="AG5577">
        <v>-1.1094357240599999</v>
      </c>
      <c r="AH5577">
        <v>9.5273031174873992</v>
      </c>
      <c r="AI5577">
        <v>96.469087305570994</v>
      </c>
      <c r="AJ5577">
        <v>76.838321952845803</v>
      </c>
      <c r="AK5577">
        <v>9.8470215164695905</v>
      </c>
      <c r="AL5577">
        <v>84.181288244377299</v>
      </c>
      <c r="AM5577">
        <v>80.768074517591202</v>
      </c>
      <c r="AN5577">
        <v>0.99999998357227904</v>
      </c>
    </row>
    <row r="5578" spans="1:40" x14ac:dyDescent="0.25">
      <c r="A5578" t="str">
        <f>"20190312151137159"</f>
        <v>20190312151137159</v>
      </c>
      <c r="B5578" t="str">
        <f>"1552374697156996"</f>
        <v>1552374697156996</v>
      </c>
      <c r="C5578" t="s">
        <v>40</v>
      </c>
      <c r="D5578">
        <v>5.5012100000000004</v>
      </c>
      <c r="E5578">
        <v>0.52539519999999995</v>
      </c>
      <c r="F5578" t="s">
        <v>42</v>
      </c>
      <c r="G5578">
        <v>-327.0333</v>
      </c>
      <c r="H5578" s="1">
        <v>-2.7641689999999999E-6</v>
      </c>
      <c r="I5578">
        <v>13.45002</v>
      </c>
      <c r="J5578">
        <v>-336.57040000000001</v>
      </c>
      <c r="K5578">
        <v>1.1094349999999999</v>
      </c>
      <c r="L5578">
        <v>16.003969999999999</v>
      </c>
      <c r="M5578">
        <v>0.99941380000000002</v>
      </c>
      <c r="N5578">
        <v>0</v>
      </c>
      <c r="O5578">
        <v>-3.1903019999999997E-2</v>
      </c>
      <c r="P5578">
        <v>0.97757039999999995</v>
      </c>
      <c r="Q5578">
        <v>8.9442599999999997E-2</v>
      </c>
      <c r="R5578">
        <v>-0.19067249999999999</v>
      </c>
      <c r="S5578">
        <v>2.9478149999999999</v>
      </c>
      <c r="T5578">
        <v>-0.33803420000000001</v>
      </c>
      <c r="U5578">
        <v>-0.77963260000000001</v>
      </c>
      <c r="V5578">
        <v>0.15957569999999999</v>
      </c>
      <c r="W5578">
        <v>0.10134269999999999</v>
      </c>
      <c r="X5578">
        <v>0.98197009999999996</v>
      </c>
      <c r="Y5578">
        <v>0.22354009999999999</v>
      </c>
      <c r="Z5578">
        <v>-8.9797049999999993E-3</v>
      </c>
      <c r="AA5578">
        <v>0.9746534</v>
      </c>
      <c r="AB5578">
        <v>27</v>
      </c>
      <c r="AC5578">
        <v>9.5371000000000095</v>
      </c>
      <c r="AD5578">
        <v>-1.1094377641690001</v>
      </c>
      <c r="AE5578">
        <v>-2.5539499999999999</v>
      </c>
      <c r="AF5578">
        <v>2.2203282413246201</v>
      </c>
      <c r="AG5578">
        <v>-1.1094377641690001</v>
      </c>
      <c r="AH5578">
        <v>9.4938521055918699</v>
      </c>
      <c r="AI5578">
        <v>96.491658733890404</v>
      </c>
      <c r="AJ5578">
        <v>76.836814077695394</v>
      </c>
      <c r="AK5578">
        <v>9.8129474397165293</v>
      </c>
      <c r="AL5578">
        <v>84.183505718324</v>
      </c>
      <c r="AM5578">
        <v>80.769797760091507</v>
      </c>
      <c r="AN5578">
        <v>1.0000000120838901</v>
      </c>
    </row>
    <row r="5579" spans="1:40" x14ac:dyDescent="0.25">
      <c r="A5579" t="str">
        <f>"20190312151137170"</f>
        <v>20190312151137170</v>
      </c>
      <c r="B5579" t="str">
        <f>"1552374697167264"</f>
        <v>1552374697167264</v>
      </c>
      <c r="C5579" t="s">
        <v>40</v>
      </c>
      <c r="D5579">
        <v>4.8765489999999998</v>
      </c>
      <c r="E5579">
        <v>0.52539519999999995</v>
      </c>
      <c r="F5579" t="s">
        <v>42</v>
      </c>
      <c r="G5579">
        <v>-326.8562</v>
      </c>
      <c r="H5579" s="1">
        <v>-2.8380979999999999E-6</v>
      </c>
      <c r="I5579">
        <v>13.427829999999901</v>
      </c>
      <c r="J5579">
        <v>-336.42610000000002</v>
      </c>
      <c r="K5579">
        <v>1.1094379999999999</v>
      </c>
      <c r="L5579">
        <v>15.998749999999999</v>
      </c>
      <c r="M5579">
        <v>0.99939670000000003</v>
      </c>
      <c r="N5579">
        <v>0</v>
      </c>
      <c r="O5579">
        <v>-3.243513E-2</v>
      </c>
      <c r="P5579">
        <v>0.97755320000000001</v>
      </c>
      <c r="Q5579">
        <v>8.9159559999999999E-2</v>
      </c>
      <c r="R5579">
        <v>-0.1908938</v>
      </c>
      <c r="S5579">
        <v>2.9471440000000002</v>
      </c>
      <c r="T5579">
        <v>-0.3365843</v>
      </c>
      <c r="U5579">
        <v>-0.78155520000000001</v>
      </c>
      <c r="V5579">
        <v>0.159273</v>
      </c>
      <c r="W5579">
        <v>0.1010614</v>
      </c>
      <c r="X5579">
        <v>0.98204820000000004</v>
      </c>
      <c r="Y5579">
        <v>0.2236824</v>
      </c>
      <c r="Z5579">
        <v>-8.8912219999999903E-3</v>
      </c>
      <c r="AA5579">
        <v>0.97462150000000003</v>
      </c>
      <c r="AB5579">
        <v>27</v>
      </c>
      <c r="AC5579">
        <v>9.5699000000000094</v>
      </c>
      <c r="AD5579">
        <v>-1.1094408380980001</v>
      </c>
      <c r="AE5579">
        <v>-2.5709200000000001</v>
      </c>
      <c r="AF5579">
        <v>2.2311741004731398</v>
      </c>
      <c r="AG5579">
        <v>-1.1094408380980001</v>
      </c>
      <c r="AH5579">
        <v>9.5288134184971298</v>
      </c>
      <c r="AI5579">
        <v>96.467662155370107</v>
      </c>
      <c r="AJ5579">
        <v>76.821596268844402</v>
      </c>
      <c r="AK5579">
        <v>9.8492274826197797</v>
      </c>
      <c r="AL5579">
        <v>84.199706015677506</v>
      </c>
      <c r="AM5579">
        <v>80.787726182676906</v>
      </c>
      <c r="AN5579">
        <v>0.999999981111099</v>
      </c>
    </row>
    <row r="5580" spans="1:40" x14ac:dyDescent="0.25">
      <c r="A5580" t="str">
        <f>"20190312151137181"</f>
        <v>20190312151137181</v>
      </c>
      <c r="B5580" t="str">
        <f>"1552374697177023"</f>
        <v>1552374697177023</v>
      </c>
      <c r="C5580" t="s">
        <v>40</v>
      </c>
      <c r="D5580">
        <v>5.2774210000000004</v>
      </c>
      <c r="E5580">
        <v>0.52545430000000004</v>
      </c>
      <c r="F5580" t="s">
        <v>42</v>
      </c>
      <c r="G5580">
        <v>-326.73680000000002</v>
      </c>
      <c r="H5580" s="1">
        <v>-2.884289E-6</v>
      </c>
      <c r="I5580">
        <v>13.42642</v>
      </c>
      <c r="J5580">
        <v>-336.28840000000002</v>
      </c>
      <c r="K5580">
        <v>1.1094389999999901</v>
      </c>
      <c r="L5580">
        <v>15.993740000000001</v>
      </c>
      <c r="M5580">
        <v>0.99938020000000005</v>
      </c>
      <c r="N5580">
        <v>0</v>
      </c>
      <c r="O5580">
        <v>-3.2942920000000001E-2</v>
      </c>
      <c r="P5580">
        <v>0.97746299999999997</v>
      </c>
      <c r="Q5580">
        <v>8.9030949999999998E-2</v>
      </c>
      <c r="R5580">
        <v>-0.19141420000000001</v>
      </c>
      <c r="S5580">
        <v>2.9468990000000002</v>
      </c>
      <c r="T5580">
        <v>-0.3374259</v>
      </c>
      <c r="U5580">
        <v>-0.78234859999999995</v>
      </c>
      <c r="V5580">
        <v>0.1592962</v>
      </c>
      <c r="W5580">
        <v>0.10093290000000001</v>
      </c>
      <c r="X5580">
        <v>0.98205770000000003</v>
      </c>
      <c r="Y5580">
        <v>0.22345119999999999</v>
      </c>
      <c r="Z5580">
        <v>-8.8439230000000001E-3</v>
      </c>
      <c r="AA5580">
        <v>0.97467499999999996</v>
      </c>
      <c r="AB5580">
        <v>27</v>
      </c>
      <c r="AC5580">
        <v>9.5516000000000005</v>
      </c>
      <c r="AD5580">
        <v>-1.1094418842889999</v>
      </c>
      <c r="AE5580">
        <v>-2.5673199999999898</v>
      </c>
      <c r="AF5580">
        <v>2.2232704738856901</v>
      </c>
      <c r="AG5580">
        <v>-1.1094418842889999</v>
      </c>
      <c r="AH5580">
        <v>9.5113213838013504</v>
      </c>
      <c r="AI5580">
        <v>96.480032187846703</v>
      </c>
      <c r="AJ5580">
        <v>76.843344333103104</v>
      </c>
      <c r="AK5580">
        <v>9.8305151116624305</v>
      </c>
      <c r="AL5580">
        <v>84.2071066354506</v>
      </c>
      <c r="AM5580">
        <v>80.7864949176914</v>
      </c>
      <c r="AN5580">
        <v>1.0000000278830601</v>
      </c>
    </row>
    <row r="5581" spans="1:40" x14ac:dyDescent="0.25">
      <c r="A5581" t="str">
        <f>"20190312151137192"</f>
        <v>20190312151137192</v>
      </c>
      <c r="B5581" t="str">
        <f>"1552374697186794"</f>
        <v>1552374697186794</v>
      </c>
      <c r="C5581" t="s">
        <v>40</v>
      </c>
      <c r="D5581">
        <v>4.9740900000000003</v>
      </c>
      <c r="E5581">
        <v>0.52542709999999904</v>
      </c>
      <c r="F5581" t="s">
        <v>42</v>
      </c>
      <c r="G5581">
        <v>-326.63990000000001</v>
      </c>
      <c r="H5581" s="1">
        <v>-2.9218339999999998E-6</v>
      </c>
      <c r="I5581">
        <v>13.425219999999999</v>
      </c>
      <c r="J5581">
        <v>-336.15359999999998</v>
      </c>
      <c r="K5581">
        <v>1.1094389999999901</v>
      </c>
      <c r="L5581">
        <v>15.988799999999999</v>
      </c>
      <c r="M5581">
        <v>0.99936360000000002</v>
      </c>
      <c r="N5581">
        <v>0</v>
      </c>
      <c r="O5581">
        <v>-3.3439759999999999E-2</v>
      </c>
      <c r="P5581">
        <v>0.97739799999999999</v>
      </c>
      <c r="Q5581">
        <v>8.8948609999999997E-2</v>
      </c>
      <c r="R5581">
        <v>-0.19178339999999999</v>
      </c>
      <c r="S5581">
        <v>2.9464109999999999</v>
      </c>
      <c r="T5581">
        <v>-0.33879579999999998</v>
      </c>
      <c r="U5581">
        <v>-0.78436280000000003</v>
      </c>
      <c r="V5581">
        <v>0.15917809999999999</v>
      </c>
      <c r="W5581">
        <v>0.1008503</v>
      </c>
      <c r="X5581">
        <v>0.98208530000000005</v>
      </c>
      <c r="Y5581">
        <v>0.2236216</v>
      </c>
      <c r="Z5581">
        <v>-8.8340320000000003E-3</v>
      </c>
      <c r="AA5581">
        <v>0.97463599999999995</v>
      </c>
      <c r="AB5581">
        <v>27</v>
      </c>
      <c r="AC5581">
        <v>9.5136999999999698</v>
      </c>
      <c r="AD5581">
        <v>-1.1094419218339999</v>
      </c>
      <c r="AE5581">
        <v>-2.5635799999999902</v>
      </c>
      <c r="AF5581">
        <v>2.21589146489098</v>
      </c>
      <c r="AG5581">
        <v>-1.1094419218339999</v>
      </c>
      <c r="AH5581">
        <v>9.4739943950998704</v>
      </c>
      <c r="AI5581">
        <v>96.505141759267005</v>
      </c>
      <c r="AJ5581">
        <v>76.835625133838306</v>
      </c>
      <c r="AK5581">
        <v>9.7927323133272299</v>
      </c>
      <c r="AL5581">
        <v>84.211863339490506</v>
      </c>
      <c r="AM5581">
        <v>80.793462974043806</v>
      </c>
      <c r="AN5581">
        <v>0.99999999350289404</v>
      </c>
    </row>
    <row r="5582" spans="1:40" x14ac:dyDescent="0.25">
      <c r="A5582" t="str">
        <f>"20190312151137204"</f>
        <v>20190312151137204</v>
      </c>
      <c r="B5582" t="str">
        <f>"1552374697196544"</f>
        <v>1552374697196544</v>
      </c>
      <c r="C5582" t="s">
        <v>40</v>
      </c>
      <c r="D5582">
        <v>5.3050940000000004</v>
      </c>
      <c r="E5582">
        <v>0.52542349999999904</v>
      </c>
      <c r="F5582" t="s">
        <v>42</v>
      </c>
      <c r="G5582">
        <v>-326.47280000000001</v>
      </c>
      <c r="H5582" s="1">
        <v>-2.9907180000000001E-6</v>
      </c>
      <c r="I5582">
        <v>13.407450000000001</v>
      </c>
      <c r="J5582">
        <v>-336.02300000000002</v>
      </c>
      <c r="K5582">
        <v>1.10944</v>
      </c>
      <c r="L5582">
        <v>15.983890000000001</v>
      </c>
      <c r="M5582">
        <v>0.99934750000000006</v>
      </c>
      <c r="N5582">
        <v>0</v>
      </c>
      <c r="O5582">
        <v>-3.3921930000000003E-2</v>
      </c>
      <c r="P5582">
        <v>0.97736990000000001</v>
      </c>
      <c r="Q5582">
        <v>8.8642879999999993E-2</v>
      </c>
      <c r="R5582">
        <v>-0.1920702</v>
      </c>
      <c r="S5582">
        <v>2.9459230000000001</v>
      </c>
      <c r="T5582">
        <v>-0.3376113</v>
      </c>
      <c r="U5582">
        <v>-0.78552250000000001</v>
      </c>
      <c r="V5582">
        <v>0.15899050000000001</v>
      </c>
      <c r="W5582">
        <v>0.1005458</v>
      </c>
      <c r="X5582">
        <v>0.98214690000000004</v>
      </c>
      <c r="Y5582">
        <v>0.22356119999999999</v>
      </c>
      <c r="Z5582">
        <v>-8.7469119999999904E-3</v>
      </c>
      <c r="AA5582">
        <v>0.97465069999999998</v>
      </c>
      <c r="AB5582">
        <v>27</v>
      </c>
      <c r="AC5582">
        <v>9.5502000000000091</v>
      </c>
      <c r="AD5582">
        <v>-1.1094429907179999</v>
      </c>
      <c r="AE5582">
        <v>-2.5764399999999901</v>
      </c>
      <c r="AF5582">
        <v>2.2230058529085199</v>
      </c>
      <c r="AG5582">
        <v>-1.1094429907179999</v>
      </c>
      <c r="AH5582">
        <v>9.5124426738148102</v>
      </c>
      <c r="AI5582">
        <v>96.4793600828975</v>
      </c>
      <c r="AJ5582">
        <v>76.846352582736102</v>
      </c>
      <c r="AK5582">
        <v>9.8315402859537695</v>
      </c>
      <c r="AL5582">
        <v>84.2293989891633</v>
      </c>
      <c r="AM5582">
        <v>80.804694801528598</v>
      </c>
      <c r="AN5582">
        <v>0.99999998508374899</v>
      </c>
    </row>
    <row r="5583" spans="1:40" x14ac:dyDescent="0.25">
      <c r="A5583" t="str">
        <f>"20190312151137216"</f>
        <v>20190312151137216</v>
      </c>
      <c r="B5583" t="str">
        <f>"1552374697207280"</f>
        <v>1552374697207280</v>
      </c>
      <c r="C5583" t="s">
        <v>40</v>
      </c>
      <c r="D5583">
        <v>5.3738799999999998</v>
      </c>
      <c r="E5583">
        <v>0.52542529999999998</v>
      </c>
      <c r="F5583" t="s">
        <v>42</v>
      </c>
      <c r="G5583">
        <v>-326.31950000000001</v>
      </c>
      <c r="H5583" s="1">
        <v>-3.0533859999999999E-6</v>
      </c>
      <c r="I5583">
        <v>13.39317</v>
      </c>
      <c r="J5583">
        <v>-335.87509999999997</v>
      </c>
      <c r="K5583">
        <v>1.1094379999999999</v>
      </c>
      <c r="L5583">
        <v>15.978300000000001</v>
      </c>
      <c r="M5583">
        <v>0.99932880000000002</v>
      </c>
      <c r="N5583">
        <v>0</v>
      </c>
      <c r="O5583">
        <v>-3.4467879999999999E-2</v>
      </c>
      <c r="P5583">
        <v>0.97729969999999999</v>
      </c>
      <c r="Q5583">
        <v>8.8593320000000003E-2</v>
      </c>
      <c r="R5583">
        <v>-0.1924495</v>
      </c>
      <c r="S5583">
        <v>2.945465</v>
      </c>
      <c r="T5583">
        <v>-0.33677010000000002</v>
      </c>
      <c r="U5583">
        <v>-0.78640750000000004</v>
      </c>
      <c r="V5583">
        <v>0.1588347</v>
      </c>
      <c r="W5583">
        <v>0.1004964</v>
      </c>
      <c r="X5583">
        <v>0.98217719999999997</v>
      </c>
      <c r="Y5583">
        <v>0.22334999999999999</v>
      </c>
      <c r="Z5583">
        <v>-8.6534059999999902E-3</v>
      </c>
      <c r="AA5583">
        <v>0.97469989999999995</v>
      </c>
      <c r="AB5583">
        <v>27</v>
      </c>
      <c r="AC5583">
        <v>9.5555999999999699</v>
      </c>
      <c r="AD5583">
        <v>-1.109441053386</v>
      </c>
      <c r="AE5583">
        <v>-2.5851299999999902</v>
      </c>
      <c r="AF5583">
        <v>2.2262437446412302</v>
      </c>
      <c r="AG5583">
        <v>-1.109441053386</v>
      </c>
      <c r="AH5583">
        <v>9.5194603422159592</v>
      </c>
      <c r="AI5583">
        <v>96.474374060615702</v>
      </c>
      <c r="AJ5583">
        <v>76.837233506722896</v>
      </c>
      <c r="AK5583">
        <v>9.8390622453826797</v>
      </c>
      <c r="AL5583">
        <v>84.232244013564895</v>
      </c>
      <c r="AM5583">
        <v>80.813830443417999</v>
      </c>
      <c r="AN5583">
        <v>1.00000002026844</v>
      </c>
    </row>
    <row r="5584" spans="1:40" x14ac:dyDescent="0.25">
      <c r="A5584" t="str">
        <f>"20190312151137226"</f>
        <v>20190312151137226</v>
      </c>
      <c r="B5584" t="str">
        <f>"1552374697217039"</f>
        <v>1552374697217039</v>
      </c>
      <c r="C5584" t="s">
        <v>40</v>
      </c>
      <c r="D5584">
        <v>5.2394049999999996</v>
      </c>
      <c r="E5584">
        <v>0.52534999999999998</v>
      </c>
      <c r="F5584" t="s">
        <v>42</v>
      </c>
      <c r="G5584">
        <v>-326.1431</v>
      </c>
      <c r="H5584" s="1">
        <v>-3.125817E-6</v>
      </c>
      <c r="I5584">
        <v>13.375679999999999</v>
      </c>
      <c r="J5584">
        <v>-335.74619999999999</v>
      </c>
      <c r="K5584">
        <v>1.1094379999999999</v>
      </c>
      <c r="L5584">
        <v>15.973330000000001</v>
      </c>
      <c r="M5584">
        <v>0.99931230000000004</v>
      </c>
      <c r="N5584">
        <v>0</v>
      </c>
      <c r="O5584">
        <v>-3.4944820000000001E-2</v>
      </c>
      <c r="P5584">
        <v>0.97729849999999996</v>
      </c>
      <c r="Q5584">
        <v>8.8402090000000003E-2</v>
      </c>
      <c r="R5584">
        <v>-0.19254360000000001</v>
      </c>
      <c r="S5584">
        <v>2.945068</v>
      </c>
      <c r="T5584">
        <v>-0.33573570000000003</v>
      </c>
      <c r="U5584">
        <v>-0.78759769999999996</v>
      </c>
      <c r="V5584">
        <v>0.1584593</v>
      </c>
      <c r="W5584">
        <v>0.1003066</v>
      </c>
      <c r="X5584">
        <v>0.98225720000000005</v>
      </c>
      <c r="Y5584">
        <v>0.2232954</v>
      </c>
      <c r="Z5584">
        <v>-8.5714950000000002E-3</v>
      </c>
      <c r="AA5584">
        <v>0.9747131</v>
      </c>
      <c r="AB5584">
        <v>27</v>
      </c>
      <c r="AC5584">
        <v>9.60309999999998</v>
      </c>
      <c r="AD5584">
        <v>-1.1094411258169901</v>
      </c>
      <c r="AE5584">
        <v>-2.5976499999999998</v>
      </c>
      <c r="AF5584">
        <v>2.2326907706495498</v>
      </c>
      <c r="AG5584">
        <v>-1.1094411258169901</v>
      </c>
      <c r="AH5584">
        <v>9.5690053119407708</v>
      </c>
      <c r="AI5584">
        <v>96.441894813335793</v>
      </c>
      <c r="AJ5584">
        <v>76.866415706642002</v>
      </c>
      <c r="AK5584">
        <v>9.8884594527635397</v>
      </c>
      <c r="AL5584">
        <v>84.243173779741099</v>
      </c>
      <c r="AM5584">
        <v>80.835906513595901</v>
      </c>
      <c r="AN5584">
        <v>0.99999998535594503</v>
      </c>
    </row>
    <row r="5585" spans="1:40" x14ac:dyDescent="0.25">
      <c r="A5585" t="str">
        <f>"20190312151137237"</f>
        <v>20190312151137237</v>
      </c>
      <c r="B5585" t="str">
        <f>"1552374697226801"</f>
        <v>1552374697226801</v>
      </c>
      <c r="C5585" t="s">
        <v>40</v>
      </c>
      <c r="D5585">
        <v>5.2891709999999996</v>
      </c>
      <c r="E5585">
        <v>0.52531899999999998</v>
      </c>
      <c r="F5585" t="s">
        <v>42</v>
      </c>
      <c r="G5585">
        <v>-326.01060000000001</v>
      </c>
      <c r="H5585" s="1">
        <v>-3.1781999999999999E-6</v>
      </c>
      <c r="I5585">
        <v>13.36999</v>
      </c>
      <c r="J5585">
        <v>-335.60899999999998</v>
      </c>
      <c r="K5585">
        <v>1.109437</v>
      </c>
      <c r="L5585">
        <v>15.968019999999999</v>
      </c>
      <c r="M5585">
        <v>0.99929440000000003</v>
      </c>
      <c r="N5585">
        <v>0</v>
      </c>
      <c r="O5585">
        <v>-3.5452150000000002E-2</v>
      </c>
      <c r="P5585">
        <v>0.97723389999999999</v>
      </c>
      <c r="Q5585">
        <v>8.8134779999999996E-2</v>
      </c>
      <c r="R5585">
        <v>-0.1929932</v>
      </c>
      <c r="S5585">
        <v>2.9448850000000002</v>
      </c>
      <c r="T5585">
        <v>-0.335591799999999</v>
      </c>
      <c r="U5585">
        <v>-0.78747559999999905</v>
      </c>
      <c r="V5585">
        <v>0.15841089999999999</v>
      </c>
      <c r="W5585">
        <v>0.1000395</v>
      </c>
      <c r="X5585">
        <v>0.98229219999999895</v>
      </c>
      <c r="Y5585">
        <v>0.22278510000000001</v>
      </c>
      <c r="Z5585">
        <v>-8.4834209999999997E-3</v>
      </c>
      <c r="AA5585">
        <v>0.97483070000000005</v>
      </c>
      <c r="AB5585">
        <v>27</v>
      </c>
      <c r="AC5585">
        <v>9.5984000000000194</v>
      </c>
      <c r="AD5585">
        <v>-1.1094401781999901</v>
      </c>
      <c r="AE5585">
        <v>-2.5980300000000001</v>
      </c>
      <c r="AF5585">
        <v>2.2283477415909698</v>
      </c>
      <c r="AG5585">
        <v>-1.1094401781999901</v>
      </c>
      <c r="AH5585">
        <v>9.5654068449629293</v>
      </c>
      <c r="AI5585">
        <v>96.444809929002005</v>
      </c>
      <c r="AJ5585">
        <v>76.886318951885301</v>
      </c>
      <c r="AK5585">
        <v>9.8839971305197007</v>
      </c>
      <c r="AL5585">
        <v>84.258554590582804</v>
      </c>
      <c r="AM5585">
        <v>80.838979025036807</v>
      </c>
      <c r="AN5585">
        <v>0.999999940489948</v>
      </c>
    </row>
    <row r="5586" spans="1:40" x14ac:dyDescent="0.25">
      <c r="A5586" t="str">
        <f>"20190312151137249"</f>
        <v>20190312151137249</v>
      </c>
      <c r="B5586" t="str">
        <f>"1552374697236560"</f>
        <v>1552374697236560</v>
      </c>
      <c r="C5586" t="s">
        <v>40</v>
      </c>
      <c r="D5586">
        <v>5.2427250000000001</v>
      </c>
      <c r="E5586">
        <v>0.52527919999999995</v>
      </c>
      <c r="F5586" t="s">
        <v>42</v>
      </c>
      <c r="G5586">
        <v>-325.8691</v>
      </c>
      <c r="H5586" s="1">
        <v>-3.2355050000000001E-6</v>
      </c>
      <c r="I5586">
        <v>13.35882</v>
      </c>
      <c r="J5586">
        <v>-335.46839999999997</v>
      </c>
      <c r="K5586">
        <v>1.1094360000000001</v>
      </c>
      <c r="L5586">
        <v>15.962429999999999</v>
      </c>
      <c r="M5586">
        <v>0.99927569999999999</v>
      </c>
      <c r="N5586">
        <v>0</v>
      </c>
      <c r="O5586">
        <v>-3.5973669999999999E-2</v>
      </c>
      <c r="P5586">
        <v>0.97714610000000002</v>
      </c>
      <c r="Q5586">
        <v>8.8359309999999996E-2</v>
      </c>
      <c r="R5586">
        <v>-0.19333400000000001</v>
      </c>
      <c r="S5586">
        <v>2.944366</v>
      </c>
      <c r="T5586">
        <v>-0.33538220000000002</v>
      </c>
      <c r="U5586">
        <v>-0.78875729999999999</v>
      </c>
      <c r="V5586">
        <v>0.15824199999999999</v>
      </c>
      <c r="W5586">
        <v>0.10026400000000001</v>
      </c>
      <c r="X5586">
        <v>0.98229659999999996</v>
      </c>
      <c r="Y5586">
        <v>0.22272</v>
      </c>
      <c r="Z5586">
        <v>-8.4174660000000002E-3</v>
      </c>
      <c r="AA5586">
        <v>0.97484610000000005</v>
      </c>
      <c r="AB5586">
        <v>27</v>
      </c>
      <c r="AC5586">
        <v>9.5992999999999693</v>
      </c>
      <c r="AD5586">
        <v>-1.109439235505</v>
      </c>
      <c r="AE5586">
        <v>-2.60360999999999</v>
      </c>
      <c r="AF5586">
        <v>2.2288440154629301</v>
      </c>
      <c r="AG5586">
        <v>-1.109439235505</v>
      </c>
      <c r="AH5586">
        <v>9.5677104062128304</v>
      </c>
      <c r="AI5586">
        <v>96.443271827440995</v>
      </c>
      <c r="AJ5586">
        <v>76.886548212966005</v>
      </c>
      <c r="AK5586">
        <v>9.8863382240188393</v>
      </c>
      <c r="AL5586">
        <v>84.245627062327202</v>
      </c>
      <c r="AM5586">
        <v>80.8486215739306</v>
      </c>
      <c r="AN5586">
        <v>1.00000000531577</v>
      </c>
    </row>
    <row r="5587" spans="1:40" x14ac:dyDescent="0.25">
      <c r="A5587" t="str">
        <f>"20190312151137259"</f>
        <v>20190312151137259</v>
      </c>
      <c r="B5587" t="str">
        <f>"1552374697257057"</f>
        <v>1552374697257057</v>
      </c>
      <c r="C5587" t="s">
        <v>40</v>
      </c>
      <c r="D5587">
        <v>5.2511999999999999</v>
      </c>
      <c r="E5587">
        <v>0.52518310000000001</v>
      </c>
      <c r="F5587" t="s">
        <v>42</v>
      </c>
      <c r="G5587">
        <v>-325.68490000000003</v>
      </c>
      <c r="H5587" s="1">
        <v>-3.311677E-6</v>
      </c>
      <c r="I5587">
        <v>13.338430000000001</v>
      </c>
      <c r="J5587">
        <v>-335.33519999999999</v>
      </c>
      <c r="K5587">
        <v>1.109437</v>
      </c>
      <c r="L5587">
        <v>15.95715</v>
      </c>
      <c r="M5587">
        <v>0.99925790000000003</v>
      </c>
      <c r="N5587">
        <v>0</v>
      </c>
      <c r="O5587">
        <v>-3.6467890000000003E-2</v>
      </c>
      <c r="P5587">
        <v>0.97712690000000002</v>
      </c>
      <c r="Q5587">
        <v>8.8118199999999994E-2</v>
      </c>
      <c r="R5587">
        <v>-0.19354289999999999</v>
      </c>
      <c r="S5587">
        <v>2.944153</v>
      </c>
      <c r="T5587">
        <v>-0.33386389999999999</v>
      </c>
      <c r="U5587">
        <v>-0.78964230000000002</v>
      </c>
      <c r="V5587">
        <v>0.1579642</v>
      </c>
      <c r="W5587">
        <v>0.1000239</v>
      </c>
      <c r="X5587">
        <v>0.98236579999999996</v>
      </c>
      <c r="Y5587">
        <v>0.2225432</v>
      </c>
      <c r="Z5587">
        <v>-8.3152880000000005E-3</v>
      </c>
      <c r="AA5587">
        <v>0.97488739999999996</v>
      </c>
      <c r="AB5587">
        <v>27</v>
      </c>
      <c r="AC5587">
        <v>9.6502999999999606</v>
      </c>
      <c r="AD5587">
        <v>-1.109440311677</v>
      </c>
      <c r="AE5587">
        <v>-2.6187200000000002</v>
      </c>
      <c r="AF5587">
        <v>2.2374806254035402</v>
      </c>
      <c r="AG5587">
        <v>-1.109440311677</v>
      </c>
      <c r="AH5587">
        <v>9.6209496032167205</v>
      </c>
      <c r="AI5587">
        <v>96.408469613384</v>
      </c>
      <c r="AJ5587">
        <v>76.907821707322597</v>
      </c>
      <c r="AK5587">
        <v>9.9398112970954404</v>
      </c>
      <c r="AL5587">
        <v>84.259453351409803</v>
      </c>
      <c r="AM5587">
        <v>80.865048713985203</v>
      </c>
      <c r="AN5587">
        <v>1.00000001703124</v>
      </c>
    </row>
    <row r="5588" spans="1:40" x14ac:dyDescent="0.25">
      <c r="A5588" t="str">
        <f>"20190312151137270"</f>
        <v>20190312151137270</v>
      </c>
      <c r="B5588" t="str">
        <f>"1552374697266815"</f>
        <v>1552374697266815</v>
      </c>
      <c r="C5588" t="s">
        <v>40</v>
      </c>
      <c r="D5588">
        <v>5.2961429999999998</v>
      </c>
      <c r="E5588">
        <v>0.52518330000000002</v>
      </c>
      <c r="F5588" t="s">
        <v>42</v>
      </c>
      <c r="G5588">
        <v>-325.52659999999997</v>
      </c>
      <c r="H5588" s="1">
        <v>-3.3757070000000001E-6</v>
      </c>
      <c r="I5588">
        <v>13.32625</v>
      </c>
      <c r="J5588">
        <v>-335.19720000000001</v>
      </c>
      <c r="K5588">
        <v>1.1094310000000001</v>
      </c>
      <c r="L5588">
        <v>15.95157</v>
      </c>
      <c r="M5588">
        <v>0.99923899999999999</v>
      </c>
      <c r="N5588">
        <v>0</v>
      </c>
      <c r="O5588">
        <v>-3.6980590000000001E-2</v>
      </c>
      <c r="P5588">
        <v>0.97707880000000003</v>
      </c>
      <c r="Q5588">
        <v>8.8038580000000005E-2</v>
      </c>
      <c r="R5588">
        <v>-0.1938211</v>
      </c>
      <c r="S5588">
        <v>2.943848</v>
      </c>
      <c r="T5588">
        <v>-0.33297569999999999</v>
      </c>
      <c r="U5588">
        <v>-0.78961179999999997</v>
      </c>
      <c r="V5588">
        <v>0.1577394</v>
      </c>
      <c r="W5588">
        <v>9.9945590000000001E-2</v>
      </c>
      <c r="X5588">
        <v>0.98240989999999995</v>
      </c>
      <c r="Y5588">
        <v>0.2220704</v>
      </c>
      <c r="Z5588">
        <v>-8.2112980000000006E-3</v>
      </c>
      <c r="AA5588">
        <v>0.97499599999999997</v>
      </c>
      <c r="AB5588">
        <v>27</v>
      </c>
      <c r="AC5588">
        <v>9.6706000000000305</v>
      </c>
      <c r="AD5588">
        <v>-1.109434375707</v>
      </c>
      <c r="AE5588">
        <v>-2.6253199999999999</v>
      </c>
      <c r="AF5588">
        <v>2.2384335830343698</v>
      </c>
      <c r="AG5588">
        <v>-1.109434375707</v>
      </c>
      <c r="AH5588">
        <v>9.6428766042936296</v>
      </c>
      <c r="AI5588">
        <v>96.3945853584285</v>
      </c>
      <c r="AJ5588">
        <v>76.931197091127501</v>
      </c>
      <c r="AK5588">
        <v>9.9612498585915397</v>
      </c>
      <c r="AL5588">
        <v>84.263962829138094</v>
      </c>
      <c r="AM5588">
        <v>80.878232608489796</v>
      </c>
      <c r="AN5588">
        <v>1.0000000254454</v>
      </c>
    </row>
    <row r="5589" spans="1:40" x14ac:dyDescent="0.25">
      <c r="A5589" t="str">
        <f>"20190312151137282"</f>
        <v>20190312151137282</v>
      </c>
      <c r="B5589" t="str">
        <f>"1552374697276575"</f>
        <v>1552374697276575</v>
      </c>
      <c r="C5589" t="s">
        <v>40</v>
      </c>
      <c r="D5589">
        <v>5.3060140000000002</v>
      </c>
      <c r="E5589">
        <v>0.52525840000000001</v>
      </c>
      <c r="F5589" t="s">
        <v>42</v>
      </c>
      <c r="G5589">
        <v>-325.44760000000002</v>
      </c>
      <c r="H5589" s="1">
        <v>-3.404186E-6</v>
      </c>
      <c r="I5589">
        <v>13.33315</v>
      </c>
      <c r="J5589">
        <v>-335.06470000000002</v>
      </c>
      <c r="K5589">
        <v>1.1094299999999999</v>
      </c>
      <c r="L5589">
        <v>15.946109999999999</v>
      </c>
      <c r="M5589">
        <v>0.99922060000000001</v>
      </c>
      <c r="N5589">
        <v>0</v>
      </c>
      <c r="O5589">
        <v>-3.7473029999999997E-2</v>
      </c>
      <c r="P5589">
        <v>0.97703090000000004</v>
      </c>
      <c r="Q5589">
        <v>8.7978529999999999E-2</v>
      </c>
      <c r="R5589">
        <v>-0.1940885</v>
      </c>
      <c r="S5589">
        <v>2.9437259999999998</v>
      </c>
      <c r="T5589">
        <v>-0.33497569999999999</v>
      </c>
      <c r="U5589">
        <v>-0.79058839999999997</v>
      </c>
      <c r="V5589">
        <v>0.15752360000000001</v>
      </c>
      <c r="W5589">
        <v>9.9885810000000005E-2</v>
      </c>
      <c r="X5589">
        <v>0.98245059999999995</v>
      </c>
      <c r="Y5589">
        <v>0.2218928</v>
      </c>
      <c r="Z5589">
        <v>-8.1956700000000004E-3</v>
      </c>
      <c r="AA5589">
        <v>0.97503660000000003</v>
      </c>
      <c r="AB5589">
        <v>27</v>
      </c>
      <c r="AC5589">
        <v>9.61709999999999</v>
      </c>
      <c r="AD5589">
        <v>-1.1094334041859999</v>
      </c>
      <c r="AE5589">
        <v>-2.6129600000000002</v>
      </c>
      <c r="AF5589">
        <v>2.2231628132572201</v>
      </c>
      <c r="AG5589">
        <v>-1.1094334041859999</v>
      </c>
      <c r="AH5589">
        <v>9.5894239665203198</v>
      </c>
      <c r="AI5589">
        <v>96.430345302530895</v>
      </c>
      <c r="AJ5589">
        <v>76.947427519560705</v>
      </c>
      <c r="AK5589">
        <v>9.9060762859089593</v>
      </c>
      <c r="AL5589">
        <v>84.267405168341199</v>
      </c>
      <c r="AM5589">
        <v>80.890873580918296</v>
      </c>
      <c r="AN5589">
        <v>1.0000000205183299</v>
      </c>
    </row>
    <row r="5590" spans="1:40" x14ac:dyDescent="0.25">
      <c r="A5590" t="str">
        <f>"20190312151137295"</f>
        <v>20190312151137295</v>
      </c>
      <c r="B5590" t="str">
        <f>"1552374697286335"</f>
        <v>1552374697286335</v>
      </c>
      <c r="C5590" t="s">
        <v>40</v>
      </c>
      <c r="D5590">
        <v>5.3543329999999996</v>
      </c>
      <c r="E5590">
        <v>0.52525639999999996</v>
      </c>
      <c r="F5590" t="s">
        <v>42</v>
      </c>
      <c r="G5590">
        <v>-325.37619999999998</v>
      </c>
      <c r="H5590" s="1">
        <v>-3.430176E-6</v>
      </c>
      <c r="I5590">
        <v>13.338520000000001</v>
      </c>
      <c r="J5590">
        <v>-334.90820000000002</v>
      </c>
      <c r="K5590">
        <v>1.1094299999999999</v>
      </c>
      <c r="L5590">
        <v>15.939640000000001</v>
      </c>
      <c r="M5590">
        <v>0.9991987</v>
      </c>
      <c r="N5590">
        <v>0</v>
      </c>
      <c r="O5590">
        <v>-3.8055220000000001E-2</v>
      </c>
      <c r="P5590">
        <v>0.97695540000000003</v>
      </c>
      <c r="Q5590">
        <v>8.7980849999999999E-2</v>
      </c>
      <c r="R5590">
        <v>-0.1944688</v>
      </c>
      <c r="S5590">
        <v>2.9435419999999999</v>
      </c>
      <c r="T5590">
        <v>-0.33706750000000002</v>
      </c>
      <c r="U5590">
        <v>-0.7922363</v>
      </c>
      <c r="V5590">
        <v>0.15733329999999901</v>
      </c>
      <c r="W5590">
        <v>9.9888660000000004E-2</v>
      </c>
      <c r="X5590">
        <v>0.98248080000000004</v>
      </c>
      <c r="Y5590">
        <v>0.22183919999999999</v>
      </c>
      <c r="Z5590">
        <v>-8.1783450000000001E-3</v>
      </c>
      <c r="AA5590">
        <v>0.97504900000000005</v>
      </c>
      <c r="AB5590">
        <v>27</v>
      </c>
      <c r="AC5590">
        <v>9.5320000000000302</v>
      </c>
      <c r="AD5590">
        <v>-1.1094334301759901</v>
      </c>
      <c r="AE5590">
        <v>-2.6011199999999901</v>
      </c>
      <c r="AF5590">
        <v>2.2086192989805302</v>
      </c>
      <c r="AG5590">
        <v>-1.1094334301759901</v>
      </c>
      <c r="AH5590">
        <v>9.5042595431127399</v>
      </c>
      <c r="AI5590">
        <v>96.486701397508696</v>
      </c>
      <c r="AJ5590">
        <v>76.917678934323305</v>
      </c>
      <c r="AK5590">
        <v>9.8203763271409805</v>
      </c>
      <c r="AL5590">
        <v>84.267241034519799</v>
      </c>
      <c r="AM5590">
        <v>80.901968890732505</v>
      </c>
      <c r="AN5590">
        <v>1.00000001702706</v>
      </c>
    </row>
    <row r="5591" spans="1:40" x14ac:dyDescent="0.25">
      <c r="A5591" t="str">
        <f>"20190312151137307"</f>
        <v>20190312151137307</v>
      </c>
      <c r="B5591" t="str">
        <f>"1552374697297072"</f>
        <v>1552374697297072</v>
      </c>
      <c r="C5591" t="s">
        <v>40</v>
      </c>
      <c r="D5591">
        <v>5.1225569999999996</v>
      </c>
      <c r="E5591">
        <v>0.52520809999999996</v>
      </c>
      <c r="F5591" t="s">
        <v>42</v>
      </c>
      <c r="G5591">
        <v>-325.21949999999998</v>
      </c>
      <c r="H5591" s="1">
        <v>-3.4932950000000002E-6</v>
      </c>
      <c r="I5591">
        <v>13.327529999999999</v>
      </c>
      <c r="J5591">
        <v>-334.75189999999998</v>
      </c>
      <c r="K5591">
        <v>1.1094269999999999</v>
      </c>
      <c r="L5591">
        <v>15.933070000000001</v>
      </c>
      <c r="M5591">
        <v>0.99917639999999996</v>
      </c>
      <c r="N5591">
        <v>0</v>
      </c>
      <c r="O5591">
        <v>-3.863693E-2</v>
      </c>
      <c r="P5591">
        <v>0.97687970000000002</v>
      </c>
      <c r="Q5591">
        <v>8.7982530000000003E-2</v>
      </c>
      <c r="R5591">
        <v>-0.1948482</v>
      </c>
      <c r="S5591">
        <v>2.9431759999999998</v>
      </c>
      <c r="T5591">
        <v>-0.337016599999999</v>
      </c>
      <c r="U5591">
        <v>-0.79348750000000001</v>
      </c>
      <c r="V5591">
        <v>0.15714239999999999</v>
      </c>
      <c r="W5591">
        <v>9.9890090000000001E-2</v>
      </c>
      <c r="X5591">
        <v>0.98251120000000003</v>
      </c>
      <c r="Y5591">
        <v>0.22169330000000001</v>
      </c>
      <c r="Z5591">
        <v>-8.104432E-3</v>
      </c>
      <c r="AA5591">
        <v>0.97508280000000003</v>
      </c>
      <c r="AB5591">
        <v>27</v>
      </c>
      <c r="AC5591">
        <v>9.5323999999999902</v>
      </c>
      <c r="AD5591">
        <v>-1.1094304932950001</v>
      </c>
      <c r="AE5591">
        <v>-2.60554</v>
      </c>
      <c r="AF5591">
        <v>2.2074409282317098</v>
      </c>
      <c r="AG5591">
        <v>-1.1094304932950001</v>
      </c>
      <c r="AH5591">
        <v>9.5061448990537993</v>
      </c>
      <c r="AI5591">
        <v>96.485649828788098</v>
      </c>
      <c r="AJ5591">
        <v>76.926923090686401</v>
      </c>
      <c r="AK5591">
        <v>9.8219357721831901</v>
      </c>
      <c r="AL5591">
        <v>84.267158655284902</v>
      </c>
      <c r="AM5591">
        <v>80.913100142124804</v>
      </c>
      <c r="AN5591">
        <v>1.0000000110417</v>
      </c>
    </row>
    <row r="5592" spans="1:40" x14ac:dyDescent="0.25">
      <c r="A5592" t="str">
        <f>"20190312151137321"</f>
        <v>20190312151137321</v>
      </c>
      <c r="B5592" t="str">
        <f>"1552374697316591"</f>
        <v>1552374697316591</v>
      </c>
      <c r="C5592" t="s">
        <v>40</v>
      </c>
      <c r="D5592">
        <v>5.3473499999999996</v>
      </c>
      <c r="E5592">
        <v>0.5252616</v>
      </c>
      <c r="F5592" t="s">
        <v>42</v>
      </c>
      <c r="G5592">
        <v>-325.11680000000001</v>
      </c>
      <c r="H5592" s="1">
        <v>-3.5314880000000001E-6</v>
      </c>
      <c r="I5592">
        <v>13.332129999999999</v>
      </c>
      <c r="J5592">
        <v>-334.59120000000001</v>
      </c>
      <c r="K5592">
        <v>1.1094299999999999</v>
      </c>
      <c r="L5592">
        <v>15.926209999999999</v>
      </c>
      <c r="M5592">
        <v>0.99915299999999996</v>
      </c>
      <c r="N5592">
        <v>0</v>
      </c>
      <c r="O5592">
        <v>-3.9234980000000003E-2</v>
      </c>
      <c r="P5592">
        <v>0.97679729999999998</v>
      </c>
      <c r="Q5592">
        <v>8.7691930000000001E-2</v>
      </c>
      <c r="R5592">
        <v>-0.1953898</v>
      </c>
      <c r="S5592">
        <v>2.9430540000000001</v>
      </c>
      <c r="T5592">
        <v>-0.33887879999999998</v>
      </c>
      <c r="U5592">
        <v>-0.79446410000000001</v>
      </c>
      <c r="V5592">
        <v>0.15709779999999901</v>
      </c>
      <c r="W5592">
        <v>9.9599720000000003E-2</v>
      </c>
      <c r="X5592">
        <v>0.98254779999999997</v>
      </c>
      <c r="Y5592">
        <v>0.22141469999999999</v>
      </c>
      <c r="Z5592">
        <v>-8.0659819999999993E-3</v>
      </c>
      <c r="AA5592">
        <v>0.97514639999999997</v>
      </c>
      <c r="AB5592">
        <v>27</v>
      </c>
      <c r="AC5592">
        <v>9.4743999999999993</v>
      </c>
      <c r="AD5592">
        <v>-1.1094335314879999</v>
      </c>
      <c r="AE5592">
        <v>-2.5940799999999999</v>
      </c>
      <c r="AF5592">
        <v>2.1923606718722</v>
      </c>
      <c r="AG5592">
        <v>-1.1094335314879999</v>
      </c>
      <c r="AH5592">
        <v>9.4483695885131205</v>
      </c>
      <c r="AI5592">
        <v>96.525236252902204</v>
      </c>
      <c r="AJ5592">
        <v>76.936498619262096</v>
      </c>
      <c r="AK5592">
        <v>9.7626316102525106</v>
      </c>
      <c r="AL5592">
        <v>84.283878957578693</v>
      </c>
      <c r="AM5592">
        <v>80.915968916375306</v>
      </c>
      <c r="AN5592">
        <v>1.0000000011368699</v>
      </c>
    </row>
    <row r="5593" spans="1:40" x14ac:dyDescent="0.25">
      <c r="A5593" t="str">
        <f>"20190312151137339"</f>
        <v>20190312151137339</v>
      </c>
      <c r="B5593" t="str">
        <f>"1552374697326352"</f>
        <v>1552374697326352</v>
      </c>
      <c r="C5593" t="s">
        <v>40</v>
      </c>
      <c r="D5593">
        <v>5.2801280000000004</v>
      </c>
      <c r="E5593">
        <v>0.52530239999999995</v>
      </c>
      <c r="F5593" t="s">
        <v>42</v>
      </c>
      <c r="G5593">
        <v>-324.98020000000002</v>
      </c>
      <c r="H5593" s="1">
        <v>-3.586143E-6</v>
      </c>
      <c r="I5593">
        <v>13.32391</v>
      </c>
      <c r="J5593">
        <v>-334.37029999999999</v>
      </c>
      <c r="K5593">
        <v>1.1094250000000001</v>
      </c>
      <c r="L5593">
        <v>15.91663</v>
      </c>
      <c r="M5593">
        <v>0.99912040000000002</v>
      </c>
      <c r="N5593">
        <v>0</v>
      </c>
      <c r="O5593">
        <v>-4.0057009999999997E-2</v>
      </c>
      <c r="P5593">
        <v>0.97671240000000004</v>
      </c>
      <c r="Q5593">
        <v>8.7316669999999999E-2</v>
      </c>
      <c r="R5593">
        <v>-0.19598209999999999</v>
      </c>
      <c r="S5593">
        <v>2.942383</v>
      </c>
      <c r="T5593">
        <v>-0.33965220000000002</v>
      </c>
      <c r="U5593">
        <v>-0.79669190000000001</v>
      </c>
      <c r="V5593">
        <v>0.15688279999999999</v>
      </c>
      <c r="W5593">
        <v>9.9225839999999996E-2</v>
      </c>
      <c r="X5593">
        <v>0.98262000000000005</v>
      </c>
      <c r="Y5593">
        <v>0.22135679999999999</v>
      </c>
      <c r="Z5593">
        <v>-7.9893819999999997E-3</v>
      </c>
      <c r="AA5593">
        <v>0.97516020000000003</v>
      </c>
      <c r="AB5593">
        <v>27</v>
      </c>
      <c r="AC5593">
        <v>9.3900999999999595</v>
      </c>
      <c r="AD5593">
        <v>-1.109428586143</v>
      </c>
      <c r="AE5593">
        <v>-2.5927199999999999</v>
      </c>
      <c r="AF5593">
        <v>2.1861159046665399</v>
      </c>
      <c r="AG5593">
        <v>-1.109428586143</v>
      </c>
      <c r="AH5593">
        <v>9.3649605675469498</v>
      </c>
      <c r="AI5593">
        <v>96.580800086652403</v>
      </c>
      <c r="AJ5593">
        <v>76.860416761735394</v>
      </c>
      <c r="AK5593">
        <v>9.6805175981502494</v>
      </c>
      <c r="AL5593">
        <v>84.305407470438794</v>
      </c>
      <c r="AM5593">
        <v>80.928849697327706</v>
      </c>
      <c r="AN5593">
        <v>1.00000002232977</v>
      </c>
    </row>
    <row r="5594" spans="1:40" x14ac:dyDescent="0.25">
      <c r="A5594" t="str">
        <f>"20190312151137349"</f>
        <v>20190312151137349</v>
      </c>
      <c r="B5594" t="str">
        <f>"1552374697346847"</f>
        <v>1552374697346847</v>
      </c>
      <c r="C5594" t="s">
        <v>40</v>
      </c>
      <c r="D5594">
        <v>5.2788259999999996</v>
      </c>
      <c r="E5594">
        <v>0.52539089999999999</v>
      </c>
      <c r="F5594" t="s">
        <v>42</v>
      </c>
      <c r="G5594">
        <v>-324.80070000000001</v>
      </c>
      <c r="H5594" s="1">
        <v>-3.6569009999999999E-6</v>
      </c>
      <c r="I5594">
        <v>13.317069999999999</v>
      </c>
      <c r="J5594">
        <v>-334.22989999999999</v>
      </c>
      <c r="K5594">
        <v>1.1094219999999999</v>
      </c>
      <c r="L5594">
        <v>15.9104299999999</v>
      </c>
      <c r="M5594">
        <v>0.99909919999999997</v>
      </c>
      <c r="N5594">
        <v>0</v>
      </c>
      <c r="O5594">
        <v>-4.0579730000000001E-2</v>
      </c>
      <c r="P5594">
        <v>0.97661580000000003</v>
      </c>
      <c r="Q5594">
        <v>8.7314950000000002E-2</v>
      </c>
      <c r="R5594">
        <v>-0.196463</v>
      </c>
      <c r="S5594">
        <v>2.9417110000000002</v>
      </c>
      <c r="T5594">
        <v>-0.34103879999999998</v>
      </c>
      <c r="U5594">
        <v>-0.7991028</v>
      </c>
      <c r="V5594">
        <v>0.15685260000000001</v>
      </c>
      <c r="W5594">
        <v>9.9223459999999999E-2</v>
      </c>
      <c r="X5594">
        <v>0.98262499999999997</v>
      </c>
      <c r="Y5594">
        <v>0.22163949999999999</v>
      </c>
      <c r="Z5594">
        <v>-7.9796350000000005E-3</v>
      </c>
      <c r="AA5594">
        <v>0.97509599999999996</v>
      </c>
      <c r="AB5594">
        <v>27</v>
      </c>
      <c r="AC5594">
        <v>9.4291999999999803</v>
      </c>
      <c r="AD5594">
        <v>-1.1094256569009999</v>
      </c>
      <c r="AE5594">
        <v>-2.5933599999999899</v>
      </c>
      <c r="AF5594">
        <v>2.1804966978892302</v>
      </c>
      <c r="AG5594">
        <v>-1.1094256569009999</v>
      </c>
      <c r="AH5594">
        <v>9.4056276693909204</v>
      </c>
      <c r="AI5594">
        <v>96.554881180914904</v>
      </c>
      <c r="AJ5594">
        <v>76.947749666156597</v>
      </c>
      <c r="AK5594">
        <v>9.7186019052592201</v>
      </c>
      <c r="AL5594">
        <v>84.305544165327703</v>
      </c>
      <c r="AM5594">
        <v>80.930612253632205</v>
      </c>
      <c r="AN5594">
        <v>0.99999996188306495</v>
      </c>
    </row>
    <row r="5595" spans="1:40" x14ac:dyDescent="0.25">
      <c r="A5595" t="str">
        <f>"20190312151137361"</f>
        <v>20190312151137361</v>
      </c>
      <c r="B5595" t="str">
        <f>"1552374697356608"</f>
        <v>1552374697356608</v>
      </c>
      <c r="C5595" t="s">
        <v>40</v>
      </c>
      <c r="D5595">
        <v>5.2624440000000003</v>
      </c>
      <c r="E5595">
        <v>0.52545120000000001</v>
      </c>
      <c r="F5595" t="s">
        <v>42</v>
      </c>
      <c r="G5595">
        <v>-324.70609999999999</v>
      </c>
      <c r="H5595" s="1">
        <v>-3.6936270000000002E-6</v>
      </c>
      <c r="I5595">
        <v>13.315630000000001</v>
      </c>
      <c r="J5595">
        <v>-334.09530000000001</v>
      </c>
      <c r="K5595">
        <v>1.1094200000000001</v>
      </c>
      <c r="L5595">
        <v>15.904450000000001</v>
      </c>
      <c r="M5595">
        <v>0.99907889999999999</v>
      </c>
      <c r="N5595">
        <v>0</v>
      </c>
      <c r="O5595">
        <v>-4.1080980000000003E-2</v>
      </c>
      <c r="P5595">
        <v>0.97651949999999998</v>
      </c>
      <c r="Q5595">
        <v>8.7097960000000002E-2</v>
      </c>
      <c r="R5595">
        <v>-0.1970384</v>
      </c>
      <c r="S5595">
        <v>2.941284</v>
      </c>
      <c r="T5595">
        <v>-0.34262730000000002</v>
      </c>
      <c r="U5595">
        <v>-0.80136109999999905</v>
      </c>
      <c r="V5595">
        <v>0.15693750000000001</v>
      </c>
      <c r="W5595">
        <v>9.9006150000000001E-2</v>
      </c>
      <c r="X5595">
        <v>0.98263339999999999</v>
      </c>
      <c r="Y5595">
        <v>0.2218745</v>
      </c>
      <c r="Z5595">
        <v>-7.973338E-3</v>
      </c>
      <c r="AA5595">
        <v>0.97504259999999998</v>
      </c>
      <c r="AB5595">
        <v>27</v>
      </c>
      <c r="AC5595">
        <v>9.3892000000000095</v>
      </c>
      <c r="AD5595">
        <v>-1.1094236936270001</v>
      </c>
      <c r="AE5595">
        <v>-2.5888200000000001</v>
      </c>
      <c r="AF5595">
        <v>2.1726957603577799</v>
      </c>
      <c r="AG5595">
        <v>-1.1094236936270001</v>
      </c>
      <c r="AH5595">
        <v>9.3661044158355296</v>
      </c>
      <c r="AI5595">
        <v>96.5820790616295</v>
      </c>
      <c r="AJ5595">
        <v>76.939844797310798</v>
      </c>
      <c r="AK5595">
        <v>9.6786021577184105</v>
      </c>
      <c r="AL5595">
        <v>84.318056927746497</v>
      </c>
      <c r="AM5595">
        <v>80.9258611782315</v>
      </c>
      <c r="AN5595">
        <v>0.99999999771981596</v>
      </c>
    </row>
    <row r="5596" spans="1:40" x14ac:dyDescent="0.25">
      <c r="A5596" t="str">
        <f>"20190312151137373"</f>
        <v>20190312151137373</v>
      </c>
      <c r="B5596" t="str">
        <f>"1552374697366369"</f>
        <v>1552374697366369</v>
      </c>
      <c r="C5596" t="s">
        <v>40</v>
      </c>
      <c r="D5596">
        <v>5.1682540000000001</v>
      </c>
      <c r="E5596">
        <v>0.52546380000000004</v>
      </c>
      <c r="F5596" t="s">
        <v>42</v>
      </c>
      <c r="G5596">
        <v>-324.6284</v>
      </c>
      <c r="H5596" s="1">
        <v>-3.723093E-6</v>
      </c>
      <c r="I5596">
        <v>13.316979999999999</v>
      </c>
      <c r="J5596">
        <v>-333.9547</v>
      </c>
      <c r="K5596">
        <v>1.1094250000000001</v>
      </c>
      <c r="L5596">
        <v>15.898099999999999</v>
      </c>
      <c r="M5596">
        <v>0.99905719999999998</v>
      </c>
      <c r="N5596">
        <v>0</v>
      </c>
      <c r="O5596">
        <v>-4.1604530000000001E-2</v>
      </c>
      <c r="P5596">
        <v>0.97643199999999997</v>
      </c>
      <c r="Q5596">
        <v>8.7231340000000004E-2</v>
      </c>
      <c r="R5596">
        <v>-0.1974117</v>
      </c>
      <c r="S5596">
        <v>2.9407040000000002</v>
      </c>
      <c r="T5596">
        <v>-0.3446187</v>
      </c>
      <c r="U5596">
        <v>-0.8037415</v>
      </c>
      <c r="V5596">
        <v>0.15679889999999999</v>
      </c>
      <c r="W5596">
        <v>9.9139939999999996E-2</v>
      </c>
      <c r="X5596">
        <v>0.98264209999999996</v>
      </c>
      <c r="Y5596">
        <v>0.22213540000000001</v>
      </c>
      <c r="Z5596">
        <v>-7.9751930000000002E-3</v>
      </c>
      <c r="AA5596">
        <v>0.97498320000000005</v>
      </c>
      <c r="AB5596">
        <v>27</v>
      </c>
      <c r="AC5596">
        <v>9.3262999999999998</v>
      </c>
      <c r="AD5596">
        <v>-1.109428723093</v>
      </c>
      <c r="AE5596">
        <v>-2.5811199999999999</v>
      </c>
      <c r="AF5596">
        <v>2.1624158298484901</v>
      </c>
      <c r="AG5596">
        <v>-1.109428723093</v>
      </c>
      <c r="AH5596">
        <v>9.3033350540476398</v>
      </c>
      <c r="AI5596">
        <v>96.625458584670099</v>
      </c>
      <c r="AJ5596">
        <v>76.914828851770906</v>
      </c>
      <c r="AK5596">
        <v>9.6155560130797806</v>
      </c>
      <c r="AL5596">
        <v>84.310353779323904</v>
      </c>
      <c r="AM5596">
        <v>80.933820818061307</v>
      </c>
      <c r="AN5596">
        <v>1.00000005971841</v>
      </c>
    </row>
    <row r="5597" spans="1:40" x14ac:dyDescent="0.25">
      <c r="A5597" t="str">
        <f>"20190312151137384"</f>
        <v>20190312151137384</v>
      </c>
      <c r="B5597" t="str">
        <f>"1552374697377103"</f>
        <v>1552374697377103</v>
      </c>
      <c r="C5597" t="s">
        <v>40</v>
      </c>
      <c r="D5597">
        <v>5.2757779999999999</v>
      </c>
      <c r="E5597">
        <v>0.525528</v>
      </c>
      <c r="F5597" t="s">
        <v>41</v>
      </c>
      <c r="G5597">
        <v>-333.17720000000003</v>
      </c>
      <c r="H5597">
        <v>1.0180439999999999</v>
      </c>
      <c r="I5597">
        <v>15.685280000000001</v>
      </c>
      <c r="J5597">
        <v>-333.8141</v>
      </c>
      <c r="K5597">
        <v>1.1094250000000001</v>
      </c>
      <c r="L5597">
        <v>15.89166</v>
      </c>
      <c r="M5597">
        <v>0.99903520000000001</v>
      </c>
      <c r="N5597">
        <v>0</v>
      </c>
      <c r="O5597">
        <v>-4.212772E-2</v>
      </c>
      <c r="P5597">
        <v>0.97636120000000004</v>
      </c>
      <c r="Q5597">
        <v>8.7099609999999994E-2</v>
      </c>
      <c r="R5597">
        <v>-0.19781979999999999</v>
      </c>
      <c r="S5597">
        <v>2.9405519999999998</v>
      </c>
      <c r="T5597">
        <v>-0.34565810000000002</v>
      </c>
      <c r="U5597">
        <v>-0.80508419999999903</v>
      </c>
      <c r="V5597">
        <v>0.15669420000000001</v>
      </c>
      <c r="W5597">
        <v>9.9009940000000005E-2</v>
      </c>
      <c r="X5597">
        <v>0.98267190000000004</v>
      </c>
      <c r="Y5597">
        <v>0.222049</v>
      </c>
      <c r="Z5597">
        <v>-7.9340709999999991E-3</v>
      </c>
      <c r="AA5597">
        <v>0.97500319999999996</v>
      </c>
      <c r="AB5597">
        <v>27</v>
      </c>
      <c r="AC5597">
        <v>0.63689999999996805</v>
      </c>
      <c r="AD5597">
        <v>-9.1381000000000101E-2</v>
      </c>
      <c r="AE5597">
        <v>-0.20638000000000101</v>
      </c>
      <c r="AF5597">
        <v>0.17608316155020301</v>
      </c>
      <c r="AG5597">
        <v>-9.1381000000000101E-2</v>
      </c>
      <c r="AH5597">
        <v>0.63323252740241598</v>
      </c>
      <c r="AI5597">
        <v>97.915295850166402</v>
      </c>
      <c r="AJ5597">
        <v>74.460330256735205</v>
      </c>
      <c r="AK5597">
        <v>0.66358059096312205</v>
      </c>
      <c r="AL5597">
        <v>84.317839012783494</v>
      </c>
      <c r="AM5597">
        <v>80.940044367833494</v>
      </c>
      <c r="AN5597">
        <v>1.0000000517910199</v>
      </c>
    </row>
    <row r="5598" spans="1:40" x14ac:dyDescent="0.25">
      <c r="A5598" t="str">
        <f>"20190312151137395"</f>
        <v>20190312151137395</v>
      </c>
      <c r="B5598" t="str">
        <f>"1552374697386864"</f>
        <v>1552374697386864</v>
      </c>
      <c r="C5598" t="s">
        <v>40</v>
      </c>
      <c r="D5598">
        <v>5.2997180000000004</v>
      </c>
      <c r="E5598">
        <v>0.52564480000000002</v>
      </c>
      <c r="F5598" t="s">
        <v>42</v>
      </c>
      <c r="G5598">
        <v>-324.3956</v>
      </c>
      <c r="H5598" s="1">
        <v>-3.8152359999999996E-6</v>
      </c>
      <c r="I5598">
        <v>13.3066</v>
      </c>
      <c r="J5598">
        <v>-333.66969999999998</v>
      </c>
      <c r="K5598">
        <v>1.1094219999999999</v>
      </c>
      <c r="L5598">
        <v>15.88504</v>
      </c>
      <c r="M5598">
        <v>0.99901249999999997</v>
      </c>
      <c r="N5598">
        <v>0</v>
      </c>
      <c r="O5598">
        <v>-4.2664639999999997E-2</v>
      </c>
      <c r="P5598">
        <v>0.9762362</v>
      </c>
      <c r="Q5598">
        <v>8.7214680000000003E-2</v>
      </c>
      <c r="R5598">
        <v>-0.1983858</v>
      </c>
      <c r="S5598">
        <v>2.9400330000000001</v>
      </c>
      <c r="T5598">
        <v>-0.34631669999999998</v>
      </c>
      <c r="U5598">
        <v>-0.80694580000000005</v>
      </c>
      <c r="V5598">
        <v>0.15673619999999999</v>
      </c>
      <c r="W5598">
        <v>9.9127140000000002E-2</v>
      </c>
      <c r="X5598">
        <v>0.98265329999999995</v>
      </c>
      <c r="Y5598">
        <v>0.22214159999999999</v>
      </c>
      <c r="Z5598">
        <v>-7.8934620000000004E-3</v>
      </c>
      <c r="AA5598">
        <v>0.97498249999999997</v>
      </c>
      <c r="AB5598">
        <v>27</v>
      </c>
      <c r="AC5598">
        <v>9.2740999999999705</v>
      </c>
      <c r="AD5598">
        <v>-1.1094258152359999</v>
      </c>
      <c r="AE5598">
        <v>-2.5784400000000001</v>
      </c>
      <c r="AF5598">
        <v>2.1518015313380601</v>
      </c>
      <c r="AG5598">
        <v>-1.1094258152359999</v>
      </c>
      <c r="AH5598">
        <v>9.2527605346399309</v>
      </c>
      <c r="AI5598">
        <v>96.661151139360399</v>
      </c>
      <c r="AJ5598">
        <v>76.9081259937103</v>
      </c>
      <c r="AK5598">
        <v>9.5642382331877904</v>
      </c>
      <c r="AL5598">
        <v>84.311090267278601</v>
      </c>
      <c r="AM5598">
        <v>80.937487560645096</v>
      </c>
      <c r="AN5598">
        <v>0.99999996713795403</v>
      </c>
    </row>
    <row r="5599" spans="1:40" x14ac:dyDescent="0.25">
      <c r="A5599" t="str">
        <f>"20190312151137407"</f>
        <v>20190312151137407</v>
      </c>
      <c r="B5599" t="str">
        <f>"1552374697396624"</f>
        <v>1552374697396624</v>
      </c>
      <c r="C5599" t="s">
        <v>40</v>
      </c>
      <c r="D5599">
        <v>5.2553340000000004</v>
      </c>
      <c r="E5599">
        <v>0.52571780000000001</v>
      </c>
      <c r="F5599" t="s">
        <v>41</v>
      </c>
      <c r="G5599">
        <v>-332.93400000000003</v>
      </c>
      <c r="H5599">
        <v>1.0223660000000001</v>
      </c>
      <c r="I5599">
        <v>15.682079999999999</v>
      </c>
      <c r="J5599">
        <v>-333.53870000000001</v>
      </c>
      <c r="K5599">
        <v>1.109423</v>
      </c>
      <c r="L5599">
        <v>15.878880000000001</v>
      </c>
      <c r="M5599">
        <v>0.99899139999999997</v>
      </c>
      <c r="N5599">
        <v>0</v>
      </c>
      <c r="O5599">
        <v>-4.315161E-2</v>
      </c>
      <c r="P5599">
        <v>0.97615580000000002</v>
      </c>
      <c r="Q5599">
        <v>8.6850629999999998E-2</v>
      </c>
      <c r="R5599">
        <v>-0.19894010000000001</v>
      </c>
      <c r="S5599">
        <v>2.9395449999999999</v>
      </c>
      <c r="T5599">
        <v>-0.34771809999999997</v>
      </c>
      <c r="U5599">
        <v>-0.80969239999999998</v>
      </c>
      <c r="V5599">
        <v>0.15681310000000001</v>
      </c>
      <c r="W5599">
        <v>9.8766999999999994E-2</v>
      </c>
      <c r="X5599">
        <v>0.98267729999999998</v>
      </c>
      <c r="Y5599">
        <v>0.22254599999999999</v>
      </c>
      <c r="Z5599">
        <v>-7.8927579999999997E-3</v>
      </c>
      <c r="AA5599">
        <v>0.97489020000000004</v>
      </c>
      <c r="AB5599">
        <v>27</v>
      </c>
      <c r="AC5599">
        <v>0.60469999999997903</v>
      </c>
      <c r="AD5599">
        <v>-8.7057000000000107E-2</v>
      </c>
      <c r="AE5599">
        <v>-0.196799999999999</v>
      </c>
      <c r="AF5599">
        <v>0.16738384459147501</v>
      </c>
      <c r="AG5599">
        <v>-8.7057000000000107E-2</v>
      </c>
      <c r="AH5599">
        <v>0.60135917139807304</v>
      </c>
      <c r="AI5599">
        <v>97.939562462233596</v>
      </c>
      <c r="AJ5599">
        <v>74.4458523572128</v>
      </c>
      <c r="AK5599">
        <v>0.63026115674678795</v>
      </c>
      <c r="AL5599">
        <v>84.331826558445499</v>
      </c>
      <c r="AM5599">
        <v>80.933332795580995</v>
      </c>
      <c r="AN5599">
        <v>0.99999997227794901</v>
      </c>
    </row>
    <row r="5600" spans="1:40" x14ac:dyDescent="0.25">
      <c r="A5600" t="str">
        <f>"20190312151137418"</f>
        <v>20190312151137418</v>
      </c>
      <c r="B5600" t="str">
        <f>"1552374697406384"</f>
        <v>1552374697406384</v>
      </c>
      <c r="C5600" t="s">
        <v>40</v>
      </c>
      <c r="D5600">
        <v>5.328487</v>
      </c>
      <c r="E5600">
        <v>0.52584609999999998</v>
      </c>
      <c r="F5600" t="s">
        <v>42</v>
      </c>
      <c r="G5600">
        <v>-324.24400000000003</v>
      </c>
      <c r="H5600" s="1">
        <v>-3.8724539999999998E-6</v>
      </c>
      <c r="I5600">
        <v>13.310359999999999</v>
      </c>
      <c r="J5600">
        <v>-333.4015</v>
      </c>
      <c r="K5600">
        <v>1.1094250000000001</v>
      </c>
      <c r="L5600">
        <v>15.872439999999999</v>
      </c>
      <c r="M5600">
        <v>0.9989692</v>
      </c>
      <c r="N5600">
        <v>0</v>
      </c>
      <c r="O5600">
        <v>-4.3661829999999999E-2</v>
      </c>
      <c r="P5600">
        <v>0.97610059999999998</v>
      </c>
      <c r="Q5600">
        <v>8.6616100000000001E-2</v>
      </c>
      <c r="R5600">
        <v>-0.19931260000000001</v>
      </c>
      <c r="S5600">
        <v>2.938965</v>
      </c>
      <c r="T5600">
        <v>-0.35080080000000002</v>
      </c>
      <c r="U5600">
        <v>-0.81216429999999995</v>
      </c>
      <c r="V5600">
        <v>0.15668460000000001</v>
      </c>
      <c r="W5600">
        <v>9.8538269999999997E-2</v>
      </c>
      <c r="X5600">
        <v>0.98272079999999995</v>
      </c>
      <c r="Y5600">
        <v>0.22284010000000001</v>
      </c>
      <c r="Z5600">
        <v>-7.9207310000000003E-3</v>
      </c>
      <c r="AA5600">
        <v>0.97482279999999999</v>
      </c>
      <c r="AB5600">
        <v>27</v>
      </c>
      <c r="AC5600">
        <v>9.1574999999999704</v>
      </c>
      <c r="AD5600">
        <v>-1.109428872454</v>
      </c>
      <c r="AE5600">
        <v>-2.5620799999999901</v>
      </c>
      <c r="AF5600">
        <v>2.1307687495262799</v>
      </c>
      <c r="AG5600">
        <v>-1.109428872454</v>
      </c>
      <c r="AH5600">
        <v>9.1362784765563703</v>
      </c>
      <c r="AI5600">
        <v>96.744339007855601</v>
      </c>
      <c r="AJ5600">
        <v>76.872101095930802</v>
      </c>
      <c r="AK5600">
        <v>9.4468297480255092</v>
      </c>
      <c r="AL5600">
        <v>84.344996293251796</v>
      </c>
      <c r="AM5600">
        <v>80.941033547031395</v>
      </c>
      <c r="AN5600">
        <v>1.00000001264219</v>
      </c>
    </row>
    <row r="5601" spans="1:40" x14ac:dyDescent="0.25">
      <c r="A5601" t="str">
        <f>"20190312151137428"</f>
        <v>20190312151137428</v>
      </c>
      <c r="B5601" t="str">
        <f>"1552374697426879"</f>
        <v>1552374697426879</v>
      </c>
      <c r="C5601" t="s">
        <v>40</v>
      </c>
      <c r="D5601">
        <v>5.2976549999999998</v>
      </c>
      <c r="E5601">
        <v>0.52598480000000003</v>
      </c>
      <c r="F5601" t="s">
        <v>42</v>
      </c>
      <c r="G5601">
        <v>-324.17860000000002</v>
      </c>
      <c r="H5601" s="1">
        <v>-3.8960060000000002E-6</v>
      </c>
      <c r="I5601">
        <v>13.316269999999999</v>
      </c>
      <c r="J5601">
        <v>-333.26190000000003</v>
      </c>
      <c r="K5601">
        <v>1.109424</v>
      </c>
      <c r="L5601">
        <v>15.865780000000001</v>
      </c>
      <c r="M5601">
        <v>0.99894629999999995</v>
      </c>
      <c r="N5601">
        <v>0</v>
      </c>
      <c r="O5601">
        <v>-4.4180289999999997E-2</v>
      </c>
      <c r="P5601">
        <v>0.9760259</v>
      </c>
      <c r="Q5601">
        <v>8.6650359999999996E-2</v>
      </c>
      <c r="R5601">
        <v>-0.19966310000000001</v>
      </c>
      <c r="S5601">
        <v>2.938507</v>
      </c>
      <c r="T5601">
        <v>-0.35347640000000002</v>
      </c>
      <c r="U5601">
        <v>-0.8144226</v>
      </c>
      <c r="V5601">
        <v>0.15652750000000001</v>
      </c>
      <c r="W5601">
        <v>9.8578150000000003E-2</v>
      </c>
      <c r="X5601">
        <v>0.9827418</v>
      </c>
      <c r="Y5601">
        <v>0.22305320000000001</v>
      </c>
      <c r="Z5601">
        <v>-7.9329050000000005E-3</v>
      </c>
      <c r="AA5601">
        <v>0.97477400000000003</v>
      </c>
      <c r="AB5601">
        <v>27</v>
      </c>
      <c r="AC5601">
        <v>9.0832999999999995</v>
      </c>
      <c r="AD5601">
        <v>-1.109427896006</v>
      </c>
      <c r="AE5601">
        <v>-2.54950999999999</v>
      </c>
      <c r="AF5601">
        <v>2.1164193480533902</v>
      </c>
      <c r="AG5601">
        <v>-1.109427896006</v>
      </c>
      <c r="AH5601">
        <v>9.0617650127623204</v>
      </c>
      <c r="AI5601">
        <v>96.798775361223704</v>
      </c>
      <c r="AJ5601">
        <v>76.853940564143301</v>
      </c>
      <c r="AK5601">
        <v>9.3715338264221408</v>
      </c>
      <c r="AL5601">
        <v>84.3426999599955</v>
      </c>
      <c r="AM5601">
        <v>80.950156321939005</v>
      </c>
      <c r="AN5601">
        <v>0.99999997769045601</v>
      </c>
    </row>
    <row r="5602" spans="1:40" x14ac:dyDescent="0.25">
      <c r="A5602" t="str">
        <f>"20190312151137440"</f>
        <v>20190312151137440</v>
      </c>
      <c r="B5602" t="str">
        <f>"1552374697436639"</f>
        <v>1552374697436639</v>
      </c>
      <c r="C5602" t="s">
        <v>40</v>
      </c>
      <c r="D5602">
        <v>5.2150489999999996</v>
      </c>
      <c r="E5602">
        <v>0.52606280000000005</v>
      </c>
      <c r="F5602" t="s">
        <v>41</v>
      </c>
      <c r="G5602">
        <v>-332.44119999999998</v>
      </c>
      <c r="H5602">
        <v>1.0104850000000001</v>
      </c>
      <c r="I5602">
        <v>15.637259999999999</v>
      </c>
      <c r="J5602">
        <v>-333.13159999999999</v>
      </c>
      <c r="K5602">
        <v>1.1094250000000001</v>
      </c>
      <c r="L5602">
        <v>15.859500000000001</v>
      </c>
      <c r="M5602">
        <v>0.9989249</v>
      </c>
      <c r="N5602">
        <v>0</v>
      </c>
      <c r="O5602">
        <v>-4.4664759999999998E-2</v>
      </c>
      <c r="P5602">
        <v>0.97595929999999997</v>
      </c>
      <c r="Q5602">
        <v>8.6325199999999894E-2</v>
      </c>
      <c r="R5602">
        <v>-0.20012969999999999</v>
      </c>
      <c r="S5602">
        <v>2.9380190000000002</v>
      </c>
      <c r="T5602">
        <v>-0.35403499999999999</v>
      </c>
      <c r="U5602">
        <v>-0.81680299999999995</v>
      </c>
      <c r="V5602">
        <v>0.15651880000000001</v>
      </c>
      <c r="W5602">
        <v>9.8257380000000005E-2</v>
      </c>
      <c r="X5602">
        <v>0.98277530000000002</v>
      </c>
      <c r="Y5602">
        <v>0.22335289999999999</v>
      </c>
      <c r="Z5602">
        <v>-7.9065799999999999E-3</v>
      </c>
      <c r="AA5602">
        <v>0.97470559999999995</v>
      </c>
      <c r="AB5602">
        <v>27</v>
      </c>
      <c r="AC5602">
        <v>0.690400000000011</v>
      </c>
      <c r="AD5602">
        <v>-9.894E-2</v>
      </c>
      <c r="AE5602">
        <v>-0.22223999999999899</v>
      </c>
      <c r="AF5602">
        <v>0.18768659321099801</v>
      </c>
      <c r="AG5602">
        <v>-9.894E-2</v>
      </c>
      <c r="AH5602">
        <v>0.68685625790077298</v>
      </c>
      <c r="AI5602">
        <v>97.910783555901304</v>
      </c>
      <c r="AJ5602">
        <v>74.716766160247403</v>
      </c>
      <c r="AK5602">
        <v>0.71887891879551202</v>
      </c>
      <c r="AL5602">
        <v>84.361168338630307</v>
      </c>
      <c r="AM5602">
        <v>80.950954362631705</v>
      </c>
      <c r="AN5602">
        <v>0.999999968883996</v>
      </c>
    </row>
    <row r="5603" spans="1:40" x14ac:dyDescent="0.25">
      <c r="A5603" t="str">
        <f>"20190312151137452"</f>
        <v>20190312151137452</v>
      </c>
      <c r="B5603" t="str">
        <f>"1552374697446401"</f>
        <v>1552374697446401</v>
      </c>
      <c r="C5603" t="s">
        <v>40</v>
      </c>
      <c r="D5603">
        <v>5.2263339999999996</v>
      </c>
      <c r="E5603">
        <v>0.52612749999999997</v>
      </c>
      <c r="F5603" t="s">
        <v>42</v>
      </c>
      <c r="G5603">
        <v>-323.97449999999998</v>
      </c>
      <c r="H5603" s="1">
        <v>-3.9769619999999996E-6</v>
      </c>
      <c r="I5603">
        <v>13.306570000000001</v>
      </c>
      <c r="J5603">
        <v>-332.98129999999998</v>
      </c>
      <c r="K5603">
        <v>1.1094280000000001</v>
      </c>
      <c r="L5603">
        <v>15.852169999999999</v>
      </c>
      <c r="M5603">
        <v>0.9988996</v>
      </c>
      <c r="N5603">
        <v>0</v>
      </c>
      <c r="O5603">
        <v>-4.5223140000000002E-2</v>
      </c>
      <c r="P5603">
        <v>0.97588280000000005</v>
      </c>
      <c r="Q5603">
        <v>8.6210709999999996E-2</v>
      </c>
      <c r="R5603">
        <v>-0.20055120000000001</v>
      </c>
      <c r="S5603">
        <v>2.9374389999999999</v>
      </c>
      <c r="T5603">
        <v>-0.35588750000000002</v>
      </c>
      <c r="U5603">
        <v>-0.81893919999999998</v>
      </c>
      <c r="V5603">
        <v>0.156393</v>
      </c>
      <c r="W5603">
        <v>9.8148700000000005E-2</v>
      </c>
      <c r="X5603">
        <v>0.98280619999999996</v>
      </c>
      <c r="Y5603">
        <v>0.2235058</v>
      </c>
      <c r="Z5603">
        <v>-7.8915879999999997E-3</v>
      </c>
      <c r="AA5603">
        <v>0.97467060000000005</v>
      </c>
      <c r="AB5603">
        <v>27</v>
      </c>
      <c r="AC5603">
        <v>9.0067999999999895</v>
      </c>
      <c r="AD5603">
        <v>-1.109431976962</v>
      </c>
      <c r="AE5603">
        <v>-2.5455999999999999</v>
      </c>
      <c r="AF5603">
        <v>2.1060573054143199</v>
      </c>
      <c r="AG5603">
        <v>-1.109431976962</v>
      </c>
      <c r="AH5603">
        <v>8.9864506536491504</v>
      </c>
      <c r="AI5603">
        <v>96.854028737795701</v>
      </c>
      <c r="AJ5603">
        <v>76.810247912602094</v>
      </c>
      <c r="AK5603">
        <v>9.2963762851804894</v>
      </c>
      <c r="AL5603">
        <v>84.367425564292205</v>
      </c>
      <c r="AM5603">
        <v>80.958386804085904</v>
      </c>
      <c r="AN5603">
        <v>0.99999998225956399</v>
      </c>
    </row>
    <row r="5604" spans="1:40" x14ac:dyDescent="0.25">
      <c r="A5604" t="str">
        <f>"20190312151137464"</f>
        <v>20190312151137464</v>
      </c>
      <c r="B5604" t="str">
        <f>"1552374697457135"</f>
        <v>1552374697457135</v>
      </c>
      <c r="C5604" t="s">
        <v>40</v>
      </c>
      <c r="D5604">
        <v>5.2724070000000003</v>
      </c>
      <c r="E5604">
        <v>0.52621409999999902</v>
      </c>
      <c r="F5604" t="s">
        <v>41</v>
      </c>
      <c r="G5604">
        <v>-332.20600000000002</v>
      </c>
      <c r="H5604">
        <v>1.0153939999999999</v>
      </c>
      <c r="I5604">
        <v>15.63551</v>
      </c>
      <c r="J5604">
        <v>-332.84089999999998</v>
      </c>
      <c r="K5604">
        <v>1.109429</v>
      </c>
      <c r="L5604">
        <v>15.84525</v>
      </c>
      <c r="M5604">
        <v>0.99887570000000003</v>
      </c>
      <c r="N5604">
        <v>0</v>
      </c>
      <c r="O5604">
        <v>-4.5744689999999998E-2</v>
      </c>
      <c r="P5604">
        <v>0.97578869999999895</v>
      </c>
      <c r="Q5604">
        <v>8.6236129999999994E-2</v>
      </c>
      <c r="R5604">
        <v>-0.20099710000000001</v>
      </c>
      <c r="S5604">
        <v>2.9368590000000001</v>
      </c>
      <c r="T5604">
        <v>-0.35623259999999901</v>
      </c>
      <c r="U5604">
        <v>-0.82092289999999901</v>
      </c>
      <c r="V5604">
        <v>0.15632889999999999</v>
      </c>
      <c r="W5604">
        <v>9.8178119999999994E-2</v>
      </c>
      <c r="X5604">
        <v>0.98281350000000001</v>
      </c>
      <c r="Y5604">
        <v>0.22365760000000001</v>
      </c>
      <c r="Z5604">
        <v>-7.8473799999999993E-3</v>
      </c>
      <c r="AA5604">
        <v>0.97463619999999995</v>
      </c>
      <c r="AB5604">
        <v>27</v>
      </c>
      <c r="AC5604">
        <v>0.63490000000001601</v>
      </c>
      <c r="AD5604">
        <v>-9.4034999999999799E-2</v>
      </c>
      <c r="AE5604">
        <v>-0.20974000000000001</v>
      </c>
      <c r="AF5604">
        <v>0.17697462441270401</v>
      </c>
      <c r="AG5604">
        <v>-9.4034999999999799E-2</v>
      </c>
      <c r="AH5604">
        <v>0.63134369779601396</v>
      </c>
      <c r="AI5604">
        <v>98.161492324121298</v>
      </c>
      <c r="AJ5604">
        <v>74.341059592620596</v>
      </c>
      <c r="AK5604">
        <v>0.66238769890281202</v>
      </c>
      <c r="AL5604">
        <v>84.365731966434893</v>
      </c>
      <c r="AM5604">
        <v>80.962097485709904</v>
      </c>
      <c r="AN5604">
        <v>1.0000000220020899</v>
      </c>
    </row>
    <row r="5605" spans="1:40" x14ac:dyDescent="0.25">
      <c r="A5605" t="str">
        <f>"20190312151137475"</f>
        <v>20190312151137475</v>
      </c>
      <c r="B5605" t="str">
        <f>"1552374697466896"</f>
        <v>1552374697466896</v>
      </c>
      <c r="C5605" t="s">
        <v>40</v>
      </c>
      <c r="D5605">
        <v>5.2766339999999996</v>
      </c>
      <c r="E5605">
        <v>0.52628759999999997</v>
      </c>
      <c r="F5605" t="s">
        <v>42</v>
      </c>
      <c r="G5605">
        <v>-323.70839999999998</v>
      </c>
      <c r="H5605" s="1">
        <v>-4.0847369999999996E-6</v>
      </c>
      <c r="I5605">
        <v>13.28558</v>
      </c>
      <c r="J5605">
        <v>-332.69819999999999</v>
      </c>
      <c r="K5605">
        <v>1.109437</v>
      </c>
      <c r="L5605">
        <v>15.83817</v>
      </c>
      <c r="M5605">
        <v>0.99885119999999905</v>
      </c>
      <c r="N5605">
        <v>0</v>
      </c>
      <c r="O5605">
        <v>-4.6274700000000002E-2</v>
      </c>
      <c r="P5605">
        <v>0.97566149999999996</v>
      </c>
      <c r="Q5605">
        <v>8.6170200000000002E-2</v>
      </c>
      <c r="R5605">
        <v>-0.20164090000000001</v>
      </c>
      <c r="S5605">
        <v>2.9364319999999999</v>
      </c>
      <c r="T5605">
        <v>-0.35672500000000001</v>
      </c>
      <c r="U5605">
        <v>-0.8230286</v>
      </c>
      <c r="V5605">
        <v>0.15645609999999999</v>
      </c>
      <c r="W5605">
        <v>9.8116439999999999E-2</v>
      </c>
      <c r="X5605">
        <v>0.98279939999999999</v>
      </c>
      <c r="Y5605">
        <v>0.22382460000000001</v>
      </c>
      <c r="Z5605">
        <v>-7.8057369999999897E-3</v>
      </c>
      <c r="AA5605">
        <v>0.97459819999999997</v>
      </c>
      <c r="AB5605">
        <v>27</v>
      </c>
      <c r="AC5605">
        <v>8.9898000000000007</v>
      </c>
      <c r="AD5605">
        <v>-1.109441084737</v>
      </c>
      <c r="AE5605">
        <v>-2.5525899999999999</v>
      </c>
      <c r="AF5605">
        <v>2.1041664884929401</v>
      </c>
      <c r="AG5605">
        <v>-1.109441084737</v>
      </c>
      <c r="AH5605">
        <v>8.9718485393691001</v>
      </c>
      <c r="AI5605">
        <v>96.864875536812306</v>
      </c>
      <c r="AJ5605">
        <v>76.800978126772705</v>
      </c>
      <c r="AK5605">
        <v>9.2818339968552905</v>
      </c>
      <c r="AL5605">
        <v>84.3692830127017</v>
      </c>
      <c r="AM5605">
        <v>80.954737527162905</v>
      </c>
      <c r="AN5605">
        <v>1.00000000383292</v>
      </c>
    </row>
    <row r="5606" spans="1:40" x14ac:dyDescent="0.25">
      <c r="A5606" t="str">
        <f>"20190312151137489"</f>
        <v>20190312151137489</v>
      </c>
      <c r="B5606" t="str">
        <f>"1552374697476656"</f>
        <v>1552374697476656</v>
      </c>
      <c r="C5606" t="s">
        <v>40</v>
      </c>
      <c r="D5606">
        <v>5.2683530000000003</v>
      </c>
      <c r="E5606">
        <v>0.52638200000000002</v>
      </c>
      <c r="F5606" t="s">
        <v>41</v>
      </c>
      <c r="G5606">
        <v>-331.96030000000002</v>
      </c>
      <c r="H5606">
        <v>1.019587</v>
      </c>
      <c r="I5606">
        <v>15.63043</v>
      </c>
      <c r="J5606">
        <v>-332.54660000000001</v>
      </c>
      <c r="K5606">
        <v>1.1094409999999999</v>
      </c>
      <c r="L5606">
        <v>15.830539999999999</v>
      </c>
      <c r="M5606">
        <v>0.99882499999999996</v>
      </c>
      <c r="N5606">
        <v>0</v>
      </c>
      <c r="O5606">
        <v>-4.683785E-2</v>
      </c>
      <c r="P5606">
        <v>0.97555930000000002</v>
      </c>
      <c r="Q5606">
        <v>8.613941E-2</v>
      </c>
      <c r="R5606">
        <v>-0.20214889999999999</v>
      </c>
      <c r="S5606">
        <v>2.9357600000000001</v>
      </c>
      <c r="T5606">
        <v>-0.357377099999999</v>
      </c>
      <c r="U5606">
        <v>-0.82556149999999995</v>
      </c>
      <c r="V5606">
        <v>0.1564132</v>
      </c>
      <c r="W5606">
        <v>9.8090319999999995E-2</v>
      </c>
      <c r="X5606">
        <v>0.98280880000000004</v>
      </c>
      <c r="Y5606">
        <v>0.22411</v>
      </c>
      <c r="Z5606">
        <v>-7.7709880000000004E-3</v>
      </c>
      <c r="AA5606">
        <v>0.97453290000000004</v>
      </c>
      <c r="AB5606">
        <v>27</v>
      </c>
      <c r="AC5606">
        <v>0.58629999999999405</v>
      </c>
      <c r="AD5606">
        <v>-8.9853999999999795E-2</v>
      </c>
      <c r="AE5606">
        <v>-0.20011000000000001</v>
      </c>
      <c r="AF5606">
        <v>0.168874610800609</v>
      </c>
      <c r="AG5606">
        <v>-8.9853999999999795E-2</v>
      </c>
      <c r="AH5606">
        <v>0.58277027754375899</v>
      </c>
      <c r="AI5606">
        <v>98.423809808896195</v>
      </c>
      <c r="AJ5606">
        <v>73.839519702959905</v>
      </c>
      <c r="AK5606">
        <v>0.61336251261182195</v>
      </c>
      <c r="AL5606">
        <v>84.370786634043299</v>
      </c>
      <c r="AM5606">
        <v>80.957261795717798</v>
      </c>
      <c r="AN5606">
        <v>0.99999996868468999</v>
      </c>
    </row>
    <row r="5607" spans="1:40" x14ac:dyDescent="0.25">
      <c r="A5607" t="str">
        <f>"20190312151137506"</f>
        <v>20190312151137506</v>
      </c>
      <c r="B5607" t="str">
        <f>"1552374697497151"</f>
        <v>1552374697497151</v>
      </c>
      <c r="C5607" t="s">
        <v>40</v>
      </c>
      <c r="D5607">
        <v>5.2383559999999996</v>
      </c>
      <c r="E5607">
        <v>0.52654679999999998</v>
      </c>
      <c r="F5607" t="s">
        <v>42</v>
      </c>
      <c r="G5607">
        <v>-323.44670000000002</v>
      </c>
      <c r="H5607" s="1">
        <v>-4.2051099999999996E-6</v>
      </c>
      <c r="I5607">
        <v>13.26352</v>
      </c>
      <c r="J5607">
        <v>-332.3272</v>
      </c>
      <c r="K5607">
        <v>1.109443</v>
      </c>
      <c r="L5607">
        <v>15.81931</v>
      </c>
      <c r="M5607">
        <v>0.99878619999999996</v>
      </c>
      <c r="N5607">
        <v>0</v>
      </c>
      <c r="O5607">
        <v>-4.7652890000000003E-2</v>
      </c>
      <c r="P5607">
        <v>0.97546359999999999</v>
      </c>
      <c r="Q5607">
        <v>8.6234140000000001E-2</v>
      </c>
      <c r="R5607">
        <v>-0.2025692</v>
      </c>
      <c r="S5607">
        <v>2.935181</v>
      </c>
      <c r="T5607">
        <v>-0.3578559</v>
      </c>
      <c r="U5607">
        <v>-0.82800289999999999</v>
      </c>
      <c r="V5607">
        <v>0.1560348</v>
      </c>
      <c r="W5607">
        <v>9.8191870000000001E-2</v>
      </c>
      <c r="X5607">
        <v>0.98285880000000003</v>
      </c>
      <c r="Y5607">
        <v>0.22411829999999999</v>
      </c>
      <c r="Z5607">
        <v>-7.68572599999999E-3</v>
      </c>
      <c r="AA5607">
        <v>0.9745317</v>
      </c>
      <c r="AB5607">
        <v>27</v>
      </c>
      <c r="AC5607">
        <v>8.8804999999999801</v>
      </c>
      <c r="AD5607">
        <v>-1.1094472051099999</v>
      </c>
      <c r="AE5607">
        <v>-2.5557899999999898</v>
      </c>
      <c r="AF5607">
        <v>2.0994111638580399</v>
      </c>
      <c r="AG5607">
        <v>-1.1094472051099999</v>
      </c>
      <c r="AH5607">
        <v>8.8644395935487399</v>
      </c>
      <c r="AI5607">
        <v>96.943745803641406</v>
      </c>
      <c r="AJ5607">
        <v>76.675844346944203</v>
      </c>
      <c r="AK5607">
        <v>9.1769651652129998</v>
      </c>
      <c r="AL5607">
        <v>84.364939982044007</v>
      </c>
      <c r="AM5607">
        <v>80.979229479558498</v>
      </c>
      <c r="AN5607">
        <v>0.999999961441287</v>
      </c>
    </row>
    <row r="5608" spans="1:40" x14ac:dyDescent="0.25">
      <c r="A5608" t="str">
        <f>"20190312151137519"</f>
        <v>20190312151137519</v>
      </c>
      <c r="B5608" t="str">
        <f>"1552374697506912"</f>
        <v>1552374697506912</v>
      </c>
      <c r="C5608" t="s">
        <v>40</v>
      </c>
      <c r="D5608">
        <v>5.1540999999999997</v>
      </c>
      <c r="E5608">
        <v>0.52660959999999901</v>
      </c>
      <c r="F5608" t="s">
        <v>42</v>
      </c>
      <c r="G5608">
        <v>-323.23770000000002</v>
      </c>
      <c r="H5608" s="1">
        <v>-4.3071790000000001E-6</v>
      </c>
      <c r="I5608">
        <v>13.24513</v>
      </c>
      <c r="J5608">
        <v>-332.1728</v>
      </c>
      <c r="K5608">
        <v>1.109445</v>
      </c>
      <c r="L5608">
        <v>15.81137</v>
      </c>
      <c r="M5608">
        <v>0.99875879999999995</v>
      </c>
      <c r="N5608">
        <v>0</v>
      </c>
      <c r="O5608">
        <v>-4.8226169999999999E-2</v>
      </c>
      <c r="P5608">
        <v>0.97539960000000003</v>
      </c>
      <c r="Q5608">
        <v>8.6367410000000006E-2</v>
      </c>
      <c r="R5608">
        <v>-0.20282159999999999</v>
      </c>
      <c r="S5608">
        <v>2.9345699999999999</v>
      </c>
      <c r="T5608">
        <v>-0.35819020000000001</v>
      </c>
      <c r="U5608">
        <v>-0.83108519999999897</v>
      </c>
      <c r="V5608">
        <v>0.15572520000000001</v>
      </c>
      <c r="W5608">
        <v>9.8330909999999994E-2</v>
      </c>
      <c r="X5608">
        <v>0.98289409999999999</v>
      </c>
      <c r="Y5608">
        <v>0.22455849999999999</v>
      </c>
      <c r="Z5608">
        <v>-7.6515050000000003E-3</v>
      </c>
      <c r="AA5608">
        <v>0.97443060000000004</v>
      </c>
      <c r="AB5608">
        <v>27</v>
      </c>
      <c r="AC5608">
        <v>8.9350999999999701</v>
      </c>
      <c r="AD5608">
        <v>-1.1094493071789999</v>
      </c>
      <c r="AE5608">
        <v>-2.5662400000000001</v>
      </c>
      <c r="AF5608">
        <v>2.102371033911</v>
      </c>
      <c r="AG5608">
        <v>-1.1094493071789999</v>
      </c>
      <c r="AH5608">
        <v>8.9214063959641798</v>
      </c>
      <c r="AI5608">
        <v>96.901654141490297</v>
      </c>
      <c r="AJ5608">
        <v>76.739907517410401</v>
      </c>
      <c r="AK5608">
        <v>9.2326774995869201</v>
      </c>
      <c r="AL5608">
        <v>84.356935387923301</v>
      </c>
      <c r="AM5608">
        <v>80.997152831183001</v>
      </c>
      <c r="AN5608">
        <v>1.0000000587956299</v>
      </c>
    </row>
    <row r="5609" spans="1:40" x14ac:dyDescent="0.25">
      <c r="A5609" t="str">
        <f>"20190312151137532"</f>
        <v>20190312151137532</v>
      </c>
      <c r="B5609" t="str">
        <f>"1552374697527408"</f>
        <v>1552374697527408</v>
      </c>
      <c r="C5609" t="s">
        <v>40</v>
      </c>
      <c r="D5609">
        <v>5.2354989999999999</v>
      </c>
      <c r="E5609">
        <v>0.52684799999999998</v>
      </c>
      <c r="F5609" t="s">
        <v>42</v>
      </c>
      <c r="G5609">
        <v>-323.09120000000001</v>
      </c>
      <c r="H5609" s="1">
        <v>-4.3782870000000004E-6</v>
      </c>
      <c r="I5609">
        <v>13.23465</v>
      </c>
      <c r="J5609">
        <v>-332.00880000000001</v>
      </c>
      <c r="K5609">
        <v>1.109445</v>
      </c>
      <c r="L5609">
        <v>15.802759999999999</v>
      </c>
      <c r="M5609">
        <v>0.99872919999999998</v>
      </c>
      <c r="N5609">
        <v>0</v>
      </c>
      <c r="O5609">
        <v>-4.8835690000000001E-2</v>
      </c>
      <c r="P5609">
        <v>0.97526590000000002</v>
      </c>
      <c r="Q5609">
        <v>8.6250889999999997E-2</v>
      </c>
      <c r="R5609">
        <v>-0.2035141</v>
      </c>
      <c r="S5609">
        <v>2.9342959999999998</v>
      </c>
      <c r="T5609">
        <v>-0.35846749999999999</v>
      </c>
      <c r="U5609">
        <v>-0.83255000000000001</v>
      </c>
      <c r="V5609">
        <v>0.1558223</v>
      </c>
      <c r="W5609">
        <v>9.8217970000000002E-2</v>
      </c>
      <c r="X5609">
        <v>0.98289000000000004</v>
      </c>
      <c r="Y5609">
        <v>0.22444140000000001</v>
      </c>
      <c r="Z5609">
        <v>-7.5781290000000003E-3</v>
      </c>
      <c r="AA5609">
        <v>0.97445820000000005</v>
      </c>
      <c r="AB5609">
        <v>27</v>
      </c>
      <c r="AC5609">
        <v>8.9175999999999895</v>
      </c>
      <c r="AD5609">
        <v>-1.1094493782870001</v>
      </c>
      <c r="AE5609">
        <v>-2.5681099999999999</v>
      </c>
      <c r="AF5609">
        <v>2.0995065905969099</v>
      </c>
      <c r="AG5609">
        <v>-1.1094493782870001</v>
      </c>
      <c r="AH5609">
        <v>8.9051044287064407</v>
      </c>
      <c r="AI5609">
        <v>96.913998994158405</v>
      </c>
      <c r="AJ5609">
        <v>76.733951160571294</v>
      </c>
      <c r="AK5609">
        <v>9.2162731477049995</v>
      </c>
      <c r="AL5609">
        <v>84.363437830115103</v>
      </c>
      <c r="AM5609">
        <v>80.9915943136686</v>
      </c>
      <c r="AN5609">
        <v>1.0000000554541</v>
      </c>
    </row>
    <row r="5610" spans="1:40" x14ac:dyDescent="0.25">
      <c r="A5610" t="str">
        <f>"20190312151137549"</f>
        <v>20190312151137549</v>
      </c>
      <c r="B5610" t="str">
        <f>"1552374697546927"</f>
        <v>1552374697546927</v>
      </c>
      <c r="C5610" t="s">
        <v>40</v>
      </c>
      <c r="D5610">
        <v>5.2121810000000002</v>
      </c>
      <c r="E5610">
        <v>0.52708769999999905</v>
      </c>
      <c r="F5610" t="s">
        <v>41</v>
      </c>
      <c r="G5610">
        <v>-331.23230000000001</v>
      </c>
      <c r="H5610">
        <v>1.013919</v>
      </c>
      <c r="I5610">
        <v>15.58117</v>
      </c>
      <c r="J5610">
        <v>-331.79640000000001</v>
      </c>
      <c r="K5610">
        <v>1.1094409999999999</v>
      </c>
      <c r="L5610">
        <v>15.79147</v>
      </c>
      <c r="M5610">
        <v>0.99869010000000003</v>
      </c>
      <c r="N5610">
        <v>0</v>
      </c>
      <c r="O5610">
        <v>-4.9625320000000001E-2</v>
      </c>
      <c r="P5610">
        <v>0.97513229999999995</v>
      </c>
      <c r="Q5610">
        <v>8.5957560000000002E-2</v>
      </c>
      <c r="R5610">
        <v>-0.20427519999999999</v>
      </c>
      <c r="S5610">
        <v>2.9334410000000002</v>
      </c>
      <c r="T5610">
        <v>-0.3607707</v>
      </c>
      <c r="U5610">
        <v>-0.83648679999999997</v>
      </c>
      <c r="V5610">
        <v>0.1558107</v>
      </c>
      <c r="W5610">
        <v>9.7930420000000004E-2</v>
      </c>
      <c r="X5610">
        <v>0.98292049999999997</v>
      </c>
      <c r="Y5610">
        <v>0.2249419</v>
      </c>
      <c r="Z5610">
        <v>-7.5628809999999996E-3</v>
      </c>
      <c r="AA5610">
        <v>0.97434279999999995</v>
      </c>
      <c r="AB5610">
        <v>27</v>
      </c>
      <c r="AC5610">
        <v>0.56409999999999605</v>
      </c>
      <c r="AD5610">
        <v>-9.5521999999999802E-2</v>
      </c>
      <c r="AE5610">
        <v>-0.21029999999999799</v>
      </c>
      <c r="AF5610">
        <v>0.17757451766476001</v>
      </c>
      <c r="AG5610">
        <v>-9.5521999999999802E-2</v>
      </c>
      <c r="AH5610">
        <v>0.55974994043237103</v>
      </c>
      <c r="AI5610">
        <v>99.238939180331002</v>
      </c>
      <c r="AJ5610">
        <v>72.398941904300003</v>
      </c>
      <c r="AK5610">
        <v>0.59495979496258</v>
      </c>
      <c r="AL5610">
        <v>84.379992871891901</v>
      </c>
      <c r="AM5610">
        <v>80.992528864625399</v>
      </c>
      <c r="AN5610">
        <v>1.0000000253580501</v>
      </c>
    </row>
    <row r="5611" spans="1:40" x14ac:dyDescent="0.25">
      <c r="A5611" t="str">
        <f>"20190312151137561"</f>
        <v>20190312151137561</v>
      </c>
      <c r="B5611" t="str">
        <f>"1552374697556688"</f>
        <v>1552374697556688</v>
      </c>
      <c r="C5611" t="s">
        <v>40</v>
      </c>
      <c r="D5611">
        <v>5.1525239999999997</v>
      </c>
      <c r="E5611">
        <v>0.52722380000000002</v>
      </c>
      <c r="F5611" t="s">
        <v>41</v>
      </c>
      <c r="G5611">
        <v>-330.98880000000003</v>
      </c>
      <c r="H5611">
        <v>1.0093049999999999</v>
      </c>
      <c r="I5611">
        <v>15.559889999999999</v>
      </c>
      <c r="J5611">
        <v>-331.66</v>
      </c>
      <c r="K5611">
        <v>1.109442</v>
      </c>
      <c r="L5611">
        <v>15.784179999999999</v>
      </c>
      <c r="M5611">
        <v>0.99866480000000002</v>
      </c>
      <c r="N5611">
        <v>0</v>
      </c>
      <c r="O5611">
        <v>-5.0132549999999998E-2</v>
      </c>
      <c r="P5611">
        <v>0.97502230000000001</v>
      </c>
      <c r="Q5611">
        <v>8.58352E-2</v>
      </c>
      <c r="R5611">
        <v>-0.20485149999999999</v>
      </c>
      <c r="S5611">
        <v>2.9325260000000002</v>
      </c>
      <c r="T5611">
        <v>-0.3635486</v>
      </c>
      <c r="U5611">
        <v>-0.84024049999999995</v>
      </c>
      <c r="V5611">
        <v>0.15589159999999999</v>
      </c>
      <c r="W5611">
        <v>9.7810830000000001E-2</v>
      </c>
      <c r="X5611">
        <v>0.9829196</v>
      </c>
      <c r="Y5611">
        <v>0.22565979999999999</v>
      </c>
      <c r="Z5611">
        <v>-7.604034E-3</v>
      </c>
      <c r="AA5611">
        <v>0.9741765</v>
      </c>
      <c r="AB5611">
        <v>27</v>
      </c>
      <c r="AC5611">
        <v>0.67119999999999802</v>
      </c>
      <c r="AD5611">
        <v>-0.100137</v>
      </c>
      <c r="AE5611">
        <v>-0.22428999999999899</v>
      </c>
      <c r="AF5611">
        <v>0.186619810323532</v>
      </c>
      <c r="AG5611">
        <v>-0.100137</v>
      </c>
      <c r="AH5611">
        <v>0.668221728858992</v>
      </c>
      <c r="AI5611">
        <v>98.212948722049902</v>
      </c>
      <c r="AJ5611">
        <v>74.396106346347693</v>
      </c>
      <c r="AK5611">
        <v>0.70098120609149805</v>
      </c>
      <c r="AL5611">
        <v>84.386878037283196</v>
      </c>
      <c r="AM5611">
        <v>80.9879206284605</v>
      </c>
      <c r="AN5611">
        <v>1.0000000447399999</v>
      </c>
    </row>
    <row r="5612" spans="1:40" x14ac:dyDescent="0.25">
      <c r="A5612" t="str">
        <f>"20190312151137572"</f>
        <v>20190312151137572</v>
      </c>
      <c r="B5612" t="str">
        <f>"1552374697567425"</f>
        <v>1552374697567425</v>
      </c>
      <c r="C5612" t="s">
        <v>40</v>
      </c>
      <c r="D5612">
        <v>5.2032790000000002</v>
      </c>
      <c r="E5612">
        <v>0.52732570000000001</v>
      </c>
      <c r="F5612" t="s">
        <v>42</v>
      </c>
      <c r="G5612">
        <v>-322.74770000000001</v>
      </c>
      <c r="H5612" s="1">
        <v>-4.5429509999999997E-6</v>
      </c>
      <c r="I5612">
        <v>13.2218</v>
      </c>
      <c r="J5612">
        <v>-331.52120000000002</v>
      </c>
      <c r="K5612">
        <v>1.1094360000000001</v>
      </c>
      <c r="L5612">
        <v>15.776669999999999</v>
      </c>
      <c r="M5612">
        <v>0.99863869999999999</v>
      </c>
      <c r="N5612">
        <v>0</v>
      </c>
      <c r="O5612">
        <v>-5.0648239999999997E-2</v>
      </c>
      <c r="P5612">
        <v>0.97489760000000003</v>
      </c>
      <c r="Q5612">
        <v>8.5667499999999994E-2</v>
      </c>
      <c r="R5612">
        <v>-0.20551359999999999</v>
      </c>
      <c r="S5612">
        <v>2.931915</v>
      </c>
      <c r="T5612">
        <v>-0.36497970000000002</v>
      </c>
      <c r="U5612">
        <v>-0.8429565</v>
      </c>
      <c r="V5612">
        <v>0.15605050000000001</v>
      </c>
      <c r="W5612">
        <v>9.7645689999999993E-2</v>
      </c>
      <c r="X5612">
        <v>0.98291079999999997</v>
      </c>
      <c r="Y5612">
        <v>0.2260356</v>
      </c>
      <c r="Z5612">
        <v>-7.5947769999999996E-3</v>
      </c>
      <c r="AA5612">
        <v>0.97408939999999999</v>
      </c>
      <c r="AB5612">
        <v>27</v>
      </c>
      <c r="AC5612">
        <v>8.7735000000000092</v>
      </c>
      <c r="AD5612">
        <v>-1.1094405429509999</v>
      </c>
      <c r="AE5612">
        <v>-2.5548700000000002</v>
      </c>
      <c r="AF5612">
        <v>2.07658363312866</v>
      </c>
      <c r="AG5612">
        <v>-1.1094405429509999</v>
      </c>
      <c r="AH5612">
        <v>8.76248405572181</v>
      </c>
      <c r="AI5612">
        <v>97.023460483575093</v>
      </c>
      <c r="AJ5612">
        <v>76.6676772776717</v>
      </c>
      <c r="AK5612">
        <v>9.0732675883884397</v>
      </c>
      <c r="AL5612">
        <v>84.396385345795196</v>
      </c>
      <c r="AM5612">
        <v>80.978806183493901</v>
      </c>
      <c r="AN5612">
        <v>1.0000000400412301</v>
      </c>
    </row>
    <row r="5613" spans="1:40" x14ac:dyDescent="0.25">
      <c r="A5613" t="str">
        <f>"20190312151137584"</f>
        <v>20190312151137584</v>
      </c>
      <c r="B5613" t="str">
        <f>"1552374697577184"</f>
        <v>1552374697577184</v>
      </c>
      <c r="C5613" t="s">
        <v>40</v>
      </c>
      <c r="D5613">
        <v>5.0496800000000004</v>
      </c>
      <c r="E5613">
        <v>0.52733769999999902</v>
      </c>
      <c r="F5613" t="s">
        <v>41</v>
      </c>
      <c r="G5613">
        <v>-330.74630000000002</v>
      </c>
      <c r="H5613">
        <v>1.0127280000000001</v>
      </c>
      <c r="I5613">
        <v>15.55301</v>
      </c>
      <c r="J5613">
        <v>-331.38339999999999</v>
      </c>
      <c r="K5613">
        <v>1.109437</v>
      </c>
      <c r="L5613">
        <v>15.769130000000001</v>
      </c>
      <c r="M5613">
        <v>0.99861259999999996</v>
      </c>
      <c r="N5613">
        <v>0</v>
      </c>
      <c r="O5613">
        <v>-5.1160949999999997E-2</v>
      </c>
      <c r="P5613">
        <v>0.97481910000000005</v>
      </c>
      <c r="Q5613">
        <v>8.570933E-2</v>
      </c>
      <c r="R5613">
        <v>-0.20586840000000001</v>
      </c>
      <c r="S5613">
        <v>2.9310909999999999</v>
      </c>
      <c r="T5613">
        <v>-0.36582579999999998</v>
      </c>
      <c r="U5613">
        <v>-0.84582520000000005</v>
      </c>
      <c r="V5613">
        <v>0.15590370000000001</v>
      </c>
      <c r="W5613">
        <v>9.7690750000000007E-2</v>
      </c>
      <c r="X5613">
        <v>0.98292959999999996</v>
      </c>
      <c r="Y5613">
        <v>0.22648309999999999</v>
      </c>
      <c r="Z5613">
        <v>-7.5784009999999898E-3</v>
      </c>
      <c r="AA5613">
        <v>0.97398560000000001</v>
      </c>
      <c r="AB5613">
        <v>27</v>
      </c>
      <c r="AC5613">
        <v>0.63709999999997502</v>
      </c>
      <c r="AD5613">
        <v>-9.6708999999999906E-2</v>
      </c>
      <c r="AE5613">
        <v>-0.21611999999999801</v>
      </c>
      <c r="AF5613">
        <v>0.17952994197856001</v>
      </c>
      <c r="AG5613">
        <v>-9.6708999999999906E-2</v>
      </c>
      <c r="AH5613">
        <v>0.63421780210002898</v>
      </c>
      <c r="AI5613">
        <v>98.346903179874403</v>
      </c>
      <c r="AJ5613">
        <v>74.194614047113106</v>
      </c>
      <c r="AK5613">
        <v>0.66619505495644205</v>
      </c>
      <c r="AL5613">
        <v>84.393791096488002</v>
      </c>
      <c r="AM5613">
        <v>80.987322797955002</v>
      </c>
      <c r="AN5613">
        <v>1.0000000224326999</v>
      </c>
    </row>
    <row r="5614" spans="1:40" x14ac:dyDescent="0.25">
      <c r="A5614" t="str">
        <f>"20190312151137594"</f>
        <v>20190312151137594</v>
      </c>
      <c r="B5614" t="str">
        <f>"1552374697586944"</f>
        <v>1552374697586944</v>
      </c>
      <c r="C5614" t="s">
        <v>40</v>
      </c>
      <c r="D5614">
        <v>5.1912260000000003</v>
      </c>
      <c r="E5614">
        <v>0.52744360000000001</v>
      </c>
      <c r="F5614" t="s">
        <v>42</v>
      </c>
      <c r="G5614">
        <v>-322.48390000000001</v>
      </c>
      <c r="H5614" s="1">
        <v>-4.6721270000000002E-6</v>
      </c>
      <c r="I5614">
        <v>13.196730000000001</v>
      </c>
      <c r="J5614">
        <v>-331.25049999999999</v>
      </c>
      <c r="K5614">
        <v>1.109442</v>
      </c>
      <c r="L5614">
        <v>15.7617799999999</v>
      </c>
      <c r="M5614">
        <v>0.99858709999999995</v>
      </c>
      <c r="N5614">
        <v>0</v>
      </c>
      <c r="O5614">
        <v>-5.1654829999999999E-2</v>
      </c>
      <c r="P5614">
        <v>0.97469660000000002</v>
      </c>
      <c r="Q5614">
        <v>8.5819740000000005E-2</v>
      </c>
      <c r="R5614">
        <v>-0.20640210000000001</v>
      </c>
      <c r="S5614">
        <v>2.9307560000000001</v>
      </c>
      <c r="T5614">
        <v>-0.36535790000000001</v>
      </c>
      <c r="U5614">
        <v>-0.84713749999999999</v>
      </c>
      <c r="V5614">
        <v>0.15595629999999999</v>
      </c>
      <c r="W5614">
        <v>9.780324E-2</v>
      </c>
      <c r="X5614">
        <v>0.98290999999999995</v>
      </c>
      <c r="Y5614">
        <v>0.22644069999999999</v>
      </c>
      <c r="Z5614">
        <v>-7.5067459999999999E-3</v>
      </c>
      <c r="AA5614">
        <v>0.97399599999999997</v>
      </c>
      <c r="AB5614">
        <v>27</v>
      </c>
      <c r="AC5614">
        <v>8.7665999999999809</v>
      </c>
      <c r="AD5614">
        <v>-1.109446672127</v>
      </c>
      <c r="AE5614">
        <v>-2.5650499999999901</v>
      </c>
      <c r="AF5614">
        <v>2.07809481164196</v>
      </c>
      <c r="AG5614">
        <v>-1.109446672127</v>
      </c>
      <c r="AH5614">
        <v>8.7581938585637893</v>
      </c>
      <c r="AI5614">
        <v>97.026454194023998</v>
      </c>
      <c r="AJ5614">
        <v>76.652020291562593</v>
      </c>
      <c r="AK5614">
        <v>9.0694712981877501</v>
      </c>
      <c r="AL5614">
        <v>84.387314500237693</v>
      </c>
      <c r="AM5614">
        <v>80.984155141194705</v>
      </c>
      <c r="AN5614">
        <v>0.99999995468209202</v>
      </c>
    </row>
    <row r="5615" spans="1:40" x14ac:dyDescent="0.25">
      <c r="A5615" t="str">
        <f>"20190312151137606"</f>
        <v>20190312151137606</v>
      </c>
      <c r="B5615" t="str">
        <f>"1552374697596704"</f>
        <v>1552374697596704</v>
      </c>
      <c r="C5615" t="s">
        <v>40</v>
      </c>
      <c r="D5615">
        <v>5.2051949999999998</v>
      </c>
      <c r="E5615">
        <v>0.52756639999999999</v>
      </c>
      <c r="F5615" t="s">
        <v>41</v>
      </c>
      <c r="G5615">
        <v>-330.50139999999999</v>
      </c>
      <c r="H5615">
        <v>1.016008</v>
      </c>
      <c r="I5615">
        <v>15.544280000000001</v>
      </c>
      <c r="J5615">
        <v>-331.10980000000001</v>
      </c>
      <c r="K5615">
        <v>1.109443</v>
      </c>
      <c r="L5615">
        <v>15.75394</v>
      </c>
      <c r="M5615">
        <v>0.9985598</v>
      </c>
      <c r="N5615">
        <v>0</v>
      </c>
      <c r="O5615">
        <v>-5.2178870000000002E-2</v>
      </c>
      <c r="P5615">
        <v>0.97453999999999996</v>
      </c>
      <c r="Q5615">
        <v>8.5877880000000004E-2</v>
      </c>
      <c r="R5615">
        <v>-0.20711589999999999</v>
      </c>
      <c r="S5615">
        <v>2.930145</v>
      </c>
      <c r="T5615">
        <v>-0.36537730000000002</v>
      </c>
      <c r="U5615">
        <v>-0.849639899999999</v>
      </c>
      <c r="V5615">
        <v>0.15616079999999999</v>
      </c>
      <c r="W5615">
        <v>9.7862550000000006E-2</v>
      </c>
      <c r="X5615">
        <v>0.98287170000000001</v>
      </c>
      <c r="Y5615">
        <v>0.2267526</v>
      </c>
      <c r="Z5615">
        <v>-7.4632869999999999E-3</v>
      </c>
      <c r="AA5615">
        <v>0.97392380000000001</v>
      </c>
      <c r="AB5615">
        <v>27</v>
      </c>
      <c r="AC5615">
        <v>0.60840000000001704</v>
      </c>
      <c r="AD5615">
        <v>-9.3434999999999893E-2</v>
      </c>
      <c r="AE5615">
        <v>-0.20966000000000101</v>
      </c>
      <c r="AF5615">
        <v>0.17395890125095001</v>
      </c>
      <c r="AG5615">
        <v>-9.3434999999999893E-2</v>
      </c>
      <c r="AH5615">
        <v>0.60574168820471297</v>
      </c>
      <c r="AI5615">
        <v>98.433035963800094</v>
      </c>
      <c r="AJ5615">
        <v>73.976817963900501</v>
      </c>
      <c r="AK5615">
        <v>0.63711442565565402</v>
      </c>
      <c r="AL5615">
        <v>84.383900311202098</v>
      </c>
      <c r="AM5615">
        <v>80.972181559896697</v>
      </c>
      <c r="AN5615">
        <v>1.00000002640501</v>
      </c>
    </row>
    <row r="5616" spans="1:40" x14ac:dyDescent="0.25">
      <c r="A5616" t="str">
        <f>"20190312151137618"</f>
        <v>20190312151137618</v>
      </c>
      <c r="B5616" t="str">
        <f>"1552374697607440"</f>
        <v>1552374697607440</v>
      </c>
      <c r="C5616" t="s">
        <v>40</v>
      </c>
      <c r="D5616">
        <v>5.1952230000000004</v>
      </c>
      <c r="E5616">
        <v>0.52769750000000004</v>
      </c>
      <c r="F5616" t="s">
        <v>42</v>
      </c>
      <c r="G5616">
        <v>-322.22129999999999</v>
      </c>
      <c r="H5616" s="1">
        <v>-4.8017299999999997E-6</v>
      </c>
      <c r="I5616">
        <v>13.16583</v>
      </c>
      <c r="J5616">
        <v>-330.96899999999999</v>
      </c>
      <c r="K5616">
        <v>1.109442</v>
      </c>
      <c r="L5616">
        <v>15.746029999999999</v>
      </c>
      <c r="M5616">
        <v>0.99853230000000004</v>
      </c>
      <c r="N5616">
        <v>0</v>
      </c>
      <c r="O5616">
        <v>-5.2703270000000003E-2</v>
      </c>
      <c r="P5616">
        <v>0.97442359999999995</v>
      </c>
      <c r="Q5616">
        <v>8.591625E-2</v>
      </c>
      <c r="R5616">
        <v>-0.2076472</v>
      </c>
      <c r="S5616">
        <v>2.9292910000000001</v>
      </c>
      <c r="T5616">
        <v>-0.3656296</v>
      </c>
      <c r="U5616">
        <v>-0.85293580000000002</v>
      </c>
      <c r="V5616">
        <v>0.15618089999999901</v>
      </c>
      <c r="W5616">
        <v>9.7903359999999995E-2</v>
      </c>
      <c r="X5616">
        <v>0.98286439999999997</v>
      </c>
      <c r="Y5616">
        <v>0.22732550000000001</v>
      </c>
      <c r="Z5616">
        <v>-7.4406940000000003E-3</v>
      </c>
      <c r="AA5616">
        <v>0.97379039999999994</v>
      </c>
      <c r="AB5616">
        <v>27</v>
      </c>
      <c r="AC5616">
        <v>8.7477</v>
      </c>
      <c r="AD5616">
        <v>-1.1094468017299901</v>
      </c>
      <c r="AE5616">
        <v>-2.5802</v>
      </c>
      <c r="AF5616">
        <v>2.0846964367518099</v>
      </c>
      <c r="AG5616">
        <v>-1.1094468017299901</v>
      </c>
      <c r="AH5616">
        <v>8.7421717886762202</v>
      </c>
      <c r="AI5616">
        <v>97.037336855660399</v>
      </c>
      <c r="AJ5616">
        <v>76.587489169910995</v>
      </c>
      <c r="AK5616">
        <v>9.0555176009989093</v>
      </c>
      <c r="AL5616">
        <v>84.381550555151094</v>
      </c>
      <c r="AM5616">
        <v>80.970972743013306</v>
      </c>
      <c r="AN5616">
        <v>0.99999998510572896</v>
      </c>
    </row>
    <row r="5617" spans="1:40" x14ac:dyDescent="0.25">
      <c r="A5617" t="str">
        <f>"20190312151137629"</f>
        <v>20190312151137629</v>
      </c>
      <c r="B5617" t="str">
        <f>"1552374697626960"</f>
        <v>1552374697626960</v>
      </c>
      <c r="C5617" t="s">
        <v>40</v>
      </c>
      <c r="D5617">
        <v>5.1915509999999996</v>
      </c>
      <c r="E5617">
        <v>0.5441821</v>
      </c>
      <c r="F5617" t="s">
        <v>42</v>
      </c>
      <c r="G5617">
        <v>-322.08370000000002</v>
      </c>
      <c r="H5617" s="1">
        <v>-4.869572E-6</v>
      </c>
      <c r="I5617">
        <v>13.150069999999999</v>
      </c>
      <c r="J5617">
        <v>-330.82589999999999</v>
      </c>
      <c r="K5617">
        <v>1.109443</v>
      </c>
      <c r="L5617">
        <v>15.737880000000001</v>
      </c>
      <c r="M5617">
        <v>0.9985039</v>
      </c>
      <c r="N5617">
        <v>0</v>
      </c>
      <c r="O5617">
        <v>-5.3239010000000003E-2</v>
      </c>
      <c r="P5617">
        <v>0.97432470000000004</v>
      </c>
      <c r="Q5617">
        <v>8.5591360000000005E-2</v>
      </c>
      <c r="R5617">
        <v>-0.2082447</v>
      </c>
      <c r="S5617">
        <v>2.9286799999999999</v>
      </c>
      <c r="T5617">
        <v>-0.36568339999999999</v>
      </c>
      <c r="U5617">
        <v>-0.85565190000000002</v>
      </c>
      <c r="V5617">
        <v>0.15625459999999999</v>
      </c>
      <c r="W5617">
        <v>9.7579730000000003E-2</v>
      </c>
      <c r="X5617">
        <v>0.98288489999999995</v>
      </c>
      <c r="Y5617">
        <v>0.2276907</v>
      </c>
      <c r="Z5617">
        <v>-7.3996399999999999E-3</v>
      </c>
      <c r="AA5617">
        <v>0.97370540000000005</v>
      </c>
      <c r="AB5617">
        <v>27</v>
      </c>
      <c r="AC5617">
        <v>8.7421999999999596</v>
      </c>
      <c r="AD5617">
        <v>-1.109447869572</v>
      </c>
      <c r="AE5617">
        <v>-2.58780999999999</v>
      </c>
      <c r="AF5617">
        <v>2.08776174062529</v>
      </c>
      <c r="AG5617">
        <v>-1.109447869572</v>
      </c>
      <c r="AH5617">
        <v>8.7381887853539695</v>
      </c>
      <c r="AI5617">
        <v>97.039795912558503</v>
      </c>
      <c r="AJ5617">
        <v>76.562581460249007</v>
      </c>
      <c r="AK5617">
        <v>9.0523790745528494</v>
      </c>
      <c r="AL5617">
        <v>84.400182570041494</v>
      </c>
      <c r="AM5617">
        <v>80.966967583890096</v>
      </c>
      <c r="AN5617">
        <v>1.00000001518802</v>
      </c>
    </row>
    <row r="5618" spans="1:40" x14ac:dyDescent="0.25">
      <c r="A5618" t="str">
        <f>"20190312151137641"</f>
        <v>20190312151137641</v>
      </c>
      <c r="B5618" t="str">
        <f>"1552374697636719"</f>
        <v>1552374697636719</v>
      </c>
      <c r="C5618" t="s">
        <v>40</v>
      </c>
      <c r="D5618">
        <v>5.1996039999999999</v>
      </c>
      <c r="E5618">
        <v>0.54320219999999997</v>
      </c>
      <c r="F5618" t="s">
        <v>42</v>
      </c>
      <c r="G5618">
        <v>-324.31959999999998</v>
      </c>
      <c r="H5618" s="1">
        <v>-3.7859020000000001E-6</v>
      </c>
      <c r="I5618">
        <v>13.52655</v>
      </c>
      <c r="J5618">
        <v>-330.6841</v>
      </c>
      <c r="K5618">
        <v>1.1094409999999999</v>
      </c>
      <c r="L5618">
        <v>15.72977</v>
      </c>
      <c r="M5618">
        <v>0.99847529999999995</v>
      </c>
      <c r="N5618">
        <v>0</v>
      </c>
      <c r="O5618">
        <v>-5.3770949999999998E-2</v>
      </c>
      <c r="P5618">
        <v>0.97424639999999996</v>
      </c>
      <c r="Q5618">
        <v>8.5536349999999997E-2</v>
      </c>
      <c r="R5618">
        <v>-0.20863300000000001</v>
      </c>
      <c r="S5618">
        <v>2.9111630000000002</v>
      </c>
      <c r="T5618">
        <v>-0.49641229999999997</v>
      </c>
      <c r="U5618">
        <v>-0.98944089999999996</v>
      </c>
      <c r="V5618">
        <v>0.1561226</v>
      </c>
      <c r="W5618">
        <v>9.7526559999999998E-2</v>
      </c>
      <c r="X5618">
        <v>0.98291110000000004</v>
      </c>
      <c r="Y5618">
        <v>0.2676615</v>
      </c>
      <c r="Z5618">
        <v>-1.321308E-2</v>
      </c>
      <c r="AA5618">
        <v>0.96342240000000001</v>
      </c>
      <c r="AB5618">
        <v>27</v>
      </c>
      <c r="AC5618">
        <v>6.36450000000002</v>
      </c>
      <c r="AD5618">
        <v>-1.10944478590199</v>
      </c>
      <c r="AE5618">
        <v>-2.20322</v>
      </c>
      <c r="AF5618">
        <v>1.80870128118009</v>
      </c>
      <c r="AG5618">
        <v>-1.10944478590199</v>
      </c>
      <c r="AH5618">
        <v>6.3027450525649202</v>
      </c>
      <c r="AI5618">
        <v>99.603302141807603</v>
      </c>
      <c r="AJ5618">
        <v>73.988087750119405</v>
      </c>
      <c r="AK5618">
        <v>6.6503280562043896</v>
      </c>
      <c r="AL5618">
        <v>84.403243295449599</v>
      </c>
      <c r="AM5618">
        <v>80.974709422352902</v>
      </c>
      <c r="AN5618">
        <v>0.99999996331970098</v>
      </c>
    </row>
    <row r="5619" spans="1:40" x14ac:dyDescent="0.25">
      <c r="A5619" t="str">
        <f>"20190312151137653"</f>
        <v>20190312151137653</v>
      </c>
      <c r="B5619" t="str">
        <f>"1552374697646480"</f>
        <v>1552374697646480</v>
      </c>
      <c r="C5619" t="s">
        <v>40</v>
      </c>
      <c r="D5619">
        <v>5.182436</v>
      </c>
      <c r="E5619">
        <v>0.5425835</v>
      </c>
      <c r="F5619" t="s">
        <v>42</v>
      </c>
      <c r="G5619">
        <v>-323.72980000000001</v>
      </c>
      <c r="H5619" s="1">
        <v>-4.0509030000000003E-6</v>
      </c>
      <c r="I5619">
        <v>13.38181</v>
      </c>
      <c r="J5619">
        <v>-330.54169999999999</v>
      </c>
      <c r="K5619">
        <v>1.1094379999999999</v>
      </c>
      <c r="L5619">
        <v>15.72153</v>
      </c>
      <c r="M5619">
        <v>0.99844630000000001</v>
      </c>
      <c r="N5619">
        <v>0</v>
      </c>
      <c r="O5619">
        <v>-5.4307420000000002E-2</v>
      </c>
      <c r="P5619">
        <v>0.97419009999999995</v>
      </c>
      <c r="Q5619">
        <v>8.5376019999999997E-2</v>
      </c>
      <c r="R5619">
        <v>-0.2089617</v>
      </c>
      <c r="S5619">
        <v>2.9096679999999999</v>
      </c>
      <c r="T5619">
        <v>-0.46419490000000002</v>
      </c>
      <c r="U5619">
        <v>-0.98239140000000003</v>
      </c>
      <c r="V5619">
        <v>0.15592549999999999</v>
      </c>
      <c r="W5619">
        <v>9.7368049999999998E-2</v>
      </c>
      <c r="X5619">
        <v>0.98295809999999995</v>
      </c>
      <c r="Y5619">
        <v>0.26557009999999998</v>
      </c>
      <c r="Z5619">
        <v>-1.2132469999999999E-2</v>
      </c>
      <c r="AA5619">
        <v>0.96401519999999996</v>
      </c>
      <c r="AB5619">
        <v>27</v>
      </c>
      <c r="AC5619">
        <v>6.8118999999999801</v>
      </c>
      <c r="AD5619">
        <v>-1.1094420509030001</v>
      </c>
      <c r="AE5619">
        <v>-2.3397199999999998</v>
      </c>
      <c r="AF5619">
        <v>1.92072826137234</v>
      </c>
      <c r="AG5619">
        <v>-1.1094420509030001</v>
      </c>
      <c r="AH5619">
        <v>6.7683286416051303</v>
      </c>
      <c r="AI5619">
        <v>98.961185027914397</v>
      </c>
      <c r="AJ5619">
        <v>74.157024824674593</v>
      </c>
      <c r="AK5619">
        <v>7.1225228198383901</v>
      </c>
      <c r="AL5619">
        <v>84.412368675972203</v>
      </c>
      <c r="AM5619">
        <v>80.986340306006696</v>
      </c>
      <c r="AN5619">
        <v>0.99999996253333001</v>
      </c>
    </row>
    <row r="5620" spans="1:40" x14ac:dyDescent="0.25">
      <c r="A5620" t="str">
        <f>"20190312151137664"</f>
        <v>20190312151137664</v>
      </c>
      <c r="B5620" t="str">
        <f>"1552374697657216"</f>
        <v>1552374697657216</v>
      </c>
      <c r="C5620" t="s">
        <v>40</v>
      </c>
      <c r="D5620">
        <v>5.1807439999999998</v>
      </c>
      <c r="E5620">
        <v>0.54238140000000001</v>
      </c>
      <c r="F5620" t="s">
        <v>42</v>
      </c>
      <c r="G5620">
        <v>-323.44690000000003</v>
      </c>
      <c r="H5620" s="1">
        <v>-4.1923520000000002E-6</v>
      </c>
      <c r="I5620">
        <v>13.335179999999999</v>
      </c>
      <c r="J5620">
        <v>-330.41329999999999</v>
      </c>
      <c r="K5620">
        <v>1.1094349999999999</v>
      </c>
      <c r="L5620">
        <v>15.71405</v>
      </c>
      <c r="M5620">
        <v>0.99841959999999996</v>
      </c>
      <c r="N5620">
        <v>0</v>
      </c>
      <c r="O5620">
        <v>-5.479444E-2</v>
      </c>
      <c r="P5620">
        <v>0.97407880000000002</v>
      </c>
      <c r="Q5620">
        <v>8.5218199999999994E-2</v>
      </c>
      <c r="R5620">
        <v>-0.20954439999999999</v>
      </c>
      <c r="S5620">
        <v>2.909424</v>
      </c>
      <c r="T5620">
        <v>-0.45495219999999997</v>
      </c>
      <c r="U5620">
        <v>-0.97857669999999997</v>
      </c>
      <c r="V5620">
        <v>0.15603359999999999</v>
      </c>
      <c r="W5620">
        <v>9.7210009999999999E-2</v>
      </c>
      <c r="X5620">
        <v>0.98295659999999896</v>
      </c>
      <c r="Y5620">
        <v>0.26410270000000002</v>
      </c>
      <c r="Z5620">
        <v>-1.1712530000000001E-2</v>
      </c>
      <c r="AA5620">
        <v>0.96442340000000004</v>
      </c>
      <c r="AB5620">
        <v>27</v>
      </c>
      <c r="AC5620">
        <v>6.9663999999999602</v>
      </c>
      <c r="AD5620">
        <v>-1.1094391923519999</v>
      </c>
      <c r="AE5620">
        <v>-2.37887</v>
      </c>
      <c r="AF5620">
        <v>1.9492704767765501</v>
      </c>
      <c r="AG5620">
        <v>-1.1094391923519999</v>
      </c>
      <c r="AH5620">
        <v>6.9289095638894</v>
      </c>
      <c r="AI5620">
        <v>98.762284377255696</v>
      </c>
      <c r="AJ5620">
        <v>74.287418423891694</v>
      </c>
      <c r="AK5620">
        <v>7.2828770728138297</v>
      </c>
      <c r="AL5620">
        <v>84.421466925330407</v>
      </c>
      <c r="AM5620">
        <v>80.980180479241</v>
      </c>
      <c r="AN5620">
        <v>0.99999997392835904</v>
      </c>
    </row>
    <row r="5621" spans="1:40" x14ac:dyDescent="0.25">
      <c r="A5621" t="str">
        <f>"20190312151137685"</f>
        <v>20190312151137685</v>
      </c>
      <c r="B5621" t="str">
        <f>"1552374697676740"</f>
        <v>1552374697676740</v>
      </c>
      <c r="C5621" t="s">
        <v>40</v>
      </c>
      <c r="D5621">
        <v>5.2064969999999997</v>
      </c>
      <c r="E5621">
        <v>0.54261749999999997</v>
      </c>
      <c r="F5621" t="s">
        <v>42</v>
      </c>
      <c r="G5621">
        <v>-323.23320000000001</v>
      </c>
      <c r="H5621" s="1">
        <v>-4.2999460000000001E-6</v>
      </c>
      <c r="I5621">
        <v>13.298080000000001</v>
      </c>
      <c r="J5621">
        <v>-330.14760000000001</v>
      </c>
      <c r="K5621">
        <v>1.109421</v>
      </c>
      <c r="L5621">
        <v>15.6983</v>
      </c>
      <c r="M5621">
        <v>0.99836329999999995</v>
      </c>
      <c r="N5621">
        <v>0</v>
      </c>
      <c r="O5621">
        <v>-5.5810459999999999E-2</v>
      </c>
      <c r="P5621">
        <v>0.97398790000000002</v>
      </c>
      <c r="Q5621">
        <v>8.5250740000000005E-2</v>
      </c>
      <c r="R5621">
        <v>-0.20995340000000001</v>
      </c>
      <c r="S5621">
        <v>2.90863</v>
      </c>
      <c r="T5621">
        <v>-0.44942939999999998</v>
      </c>
      <c r="U5621">
        <v>-0.97869870000000003</v>
      </c>
      <c r="V5621">
        <v>0.15544769999999999</v>
      </c>
      <c r="W5621">
        <v>9.7243720000000006E-2</v>
      </c>
      <c r="X5621">
        <v>0.98304610000000003</v>
      </c>
      <c r="Y5621">
        <v>0.26331059999999901</v>
      </c>
      <c r="Z5621">
        <v>-1.136445E-2</v>
      </c>
      <c r="AA5621">
        <v>0.96464419999999995</v>
      </c>
      <c r="AB5621">
        <v>27</v>
      </c>
      <c r="AC5621">
        <v>6.9143999999999997</v>
      </c>
      <c r="AD5621">
        <v>-1.1094252999459999</v>
      </c>
      <c r="AE5621">
        <v>-2.40022</v>
      </c>
      <c r="AF5621">
        <v>1.9653955101266101</v>
      </c>
      <c r="AG5621">
        <v>-1.1094252999459999</v>
      </c>
      <c r="AH5621">
        <v>6.8795251913593303</v>
      </c>
      <c r="AI5621">
        <v>98.814149563608296</v>
      </c>
      <c r="AJ5621">
        <v>74.056014081397805</v>
      </c>
      <c r="AK5621">
        <v>7.2402673200603402</v>
      </c>
      <c r="AL5621">
        <v>84.419526333358206</v>
      </c>
      <c r="AM5621">
        <v>81.014300615690999</v>
      </c>
      <c r="AN5621">
        <v>0.99999998161996895</v>
      </c>
    </row>
    <row r="5622" spans="1:40" x14ac:dyDescent="0.25">
      <c r="A5622" t="str">
        <f>"20190312151137699"</f>
        <v>20190312151137699</v>
      </c>
      <c r="B5622" t="str">
        <f>"1552374697686496"</f>
        <v>1552374697686496</v>
      </c>
      <c r="C5622" t="s">
        <v>40</v>
      </c>
      <c r="D5622">
        <v>5.1818850000000003</v>
      </c>
      <c r="E5622">
        <v>0.54260649999999999</v>
      </c>
      <c r="F5622" t="s">
        <v>42</v>
      </c>
      <c r="G5622">
        <v>-323.00760000000002</v>
      </c>
      <c r="H5622" s="1">
        <v>-4.4086660000000002E-6</v>
      </c>
      <c r="I5622">
        <v>13.28622</v>
      </c>
      <c r="J5622">
        <v>-329.98700000000002</v>
      </c>
      <c r="K5622">
        <v>1.109415</v>
      </c>
      <c r="L5622">
        <v>15.688689999999999</v>
      </c>
      <c r="M5622">
        <v>0.99832829999999995</v>
      </c>
      <c r="N5622">
        <v>0</v>
      </c>
      <c r="O5622">
        <v>-5.6430809999999998E-2</v>
      </c>
      <c r="P5622">
        <v>0.9738888</v>
      </c>
      <c r="Q5622">
        <v>8.5387500000000005E-2</v>
      </c>
      <c r="R5622">
        <v>-0.21035580000000001</v>
      </c>
      <c r="S5622">
        <v>2.9078979999999999</v>
      </c>
      <c r="T5622">
        <v>-0.45183279999999998</v>
      </c>
      <c r="U5622">
        <v>-0.98236080000000003</v>
      </c>
      <c r="V5622">
        <v>0.1552453</v>
      </c>
      <c r="W5622">
        <v>9.7380380000000002E-2</v>
      </c>
      <c r="X5622">
        <v>0.98306459999999996</v>
      </c>
      <c r="Y5622">
        <v>0.26385310000000001</v>
      </c>
      <c r="Z5622">
        <v>-1.137317E-2</v>
      </c>
      <c r="AA5622">
        <v>0.96449580000000001</v>
      </c>
      <c r="AB5622">
        <v>27</v>
      </c>
      <c r="AC5622">
        <v>6.9793999999999397</v>
      </c>
      <c r="AD5622">
        <v>-1.1094194086660001</v>
      </c>
      <c r="AE5622">
        <v>-2.4024699999999899</v>
      </c>
      <c r="AF5622">
        <v>1.9604694033449499</v>
      </c>
      <c r="AG5622">
        <v>-1.1094194086660001</v>
      </c>
      <c r="AH5622">
        <v>6.94692690495381</v>
      </c>
      <c r="AI5622">
        <v>98.737774753790603</v>
      </c>
      <c r="AJ5622">
        <v>74.240577418998797</v>
      </c>
      <c r="AK5622">
        <v>7.3030161665265201</v>
      </c>
      <c r="AL5622">
        <v>84.411659194143098</v>
      </c>
      <c r="AM5622">
        <v>81.025976004685006</v>
      </c>
      <c r="AN5622">
        <v>1.0000000246770899</v>
      </c>
    </row>
    <row r="5623" spans="1:40" x14ac:dyDescent="0.25">
      <c r="A5623" t="str">
        <f>"20190312151137715"</f>
        <v>20190312151137715</v>
      </c>
      <c r="B5623" t="str">
        <f>"1552374697706992"</f>
        <v>1552374697706992</v>
      </c>
      <c r="C5623" t="s">
        <v>40</v>
      </c>
      <c r="D5623">
        <v>5.3445070000000001</v>
      </c>
      <c r="E5623">
        <v>0.5435643</v>
      </c>
      <c r="F5623" t="s">
        <v>42</v>
      </c>
      <c r="G5623">
        <v>-322.78199999999998</v>
      </c>
      <c r="H5623" s="1">
        <v>-4.521614E-6</v>
      </c>
      <c r="I5623">
        <v>13.250859999999999</v>
      </c>
      <c r="J5623">
        <v>-329.77940000000001</v>
      </c>
      <c r="K5623">
        <v>1.109407</v>
      </c>
      <c r="L5623">
        <v>15.67606</v>
      </c>
      <c r="M5623">
        <v>0.99828209999999995</v>
      </c>
      <c r="N5623">
        <v>0</v>
      </c>
      <c r="O5623">
        <v>-5.724336E-2</v>
      </c>
      <c r="P5623">
        <v>0.97378869999999895</v>
      </c>
      <c r="Q5623">
        <v>8.540913E-2</v>
      </c>
      <c r="R5623">
        <v>-0.21081130000000001</v>
      </c>
      <c r="S5623">
        <v>2.907257</v>
      </c>
      <c r="T5623">
        <v>-0.44765569999999999</v>
      </c>
      <c r="U5623">
        <v>-0.98367309999999997</v>
      </c>
      <c r="V5623">
        <v>0.15490670000000001</v>
      </c>
      <c r="W5623">
        <v>9.7401280000000007E-2</v>
      </c>
      <c r="X5623">
        <v>0.98311590000000004</v>
      </c>
      <c r="Y5623">
        <v>0.26357550000000002</v>
      </c>
      <c r="Z5623">
        <v>-1.1129689999999999E-2</v>
      </c>
      <c r="AA5623">
        <v>0.96457459999999995</v>
      </c>
      <c r="AB5623">
        <v>27</v>
      </c>
      <c r="AC5623">
        <v>6.9974000000000203</v>
      </c>
      <c r="AD5623">
        <v>-1.1094115216139999</v>
      </c>
      <c r="AE5623">
        <v>-2.4251999999999998</v>
      </c>
      <c r="AF5623">
        <v>1.9762864214659099</v>
      </c>
      <c r="AG5623">
        <v>-1.1094115216139999</v>
      </c>
      <c r="AH5623">
        <v>6.9683825884468602</v>
      </c>
      <c r="AI5623">
        <v>98.708076379352406</v>
      </c>
      <c r="AJ5623">
        <v>74.166259326807904</v>
      </c>
      <c r="AK5623">
        <v>7.3276775203968798</v>
      </c>
      <c r="AL5623">
        <v>84.410455764200805</v>
      </c>
      <c r="AM5623">
        <v>81.045691108782194</v>
      </c>
      <c r="AN5623">
        <v>0.999999983941669</v>
      </c>
    </row>
    <row r="5624" spans="1:40" x14ac:dyDescent="0.25">
      <c r="A5624" t="str">
        <f>"20190312151137731"</f>
        <v>20190312151137731</v>
      </c>
      <c r="B5624" t="str">
        <f>"1552374697726512"</f>
        <v>1552374697726512</v>
      </c>
      <c r="C5624" t="s">
        <v>40</v>
      </c>
      <c r="D5624">
        <v>5.1628829999999999</v>
      </c>
      <c r="E5624">
        <v>0.54363229999999996</v>
      </c>
      <c r="F5624" t="s">
        <v>42</v>
      </c>
      <c r="G5624">
        <v>-322.64030000000002</v>
      </c>
      <c r="H5624" s="1">
        <v>-4.5911580000000003E-6</v>
      </c>
      <c r="I5624">
        <v>13.23634</v>
      </c>
      <c r="J5624">
        <v>-329.59989999999999</v>
      </c>
      <c r="K5624">
        <v>1.1094010000000001</v>
      </c>
      <c r="L5624">
        <v>15.6649799999999</v>
      </c>
      <c r="M5624">
        <v>0.99824109999999999</v>
      </c>
      <c r="N5624">
        <v>0</v>
      </c>
      <c r="O5624">
        <v>-5.7956130000000002E-2</v>
      </c>
      <c r="P5624">
        <v>0.97375179999999995</v>
      </c>
      <c r="Q5624">
        <v>8.5089520000000002E-2</v>
      </c>
      <c r="R5624">
        <v>-0.2111104</v>
      </c>
      <c r="S5624">
        <v>2.9053960000000001</v>
      </c>
      <c r="T5624">
        <v>-0.45149610000000001</v>
      </c>
      <c r="U5624">
        <v>-0.99288940000000003</v>
      </c>
      <c r="V5624">
        <v>0.15450630000000001</v>
      </c>
      <c r="W5624">
        <v>9.7081410000000007E-2</v>
      </c>
      <c r="X5624">
        <v>0.98321060000000005</v>
      </c>
      <c r="Y5624">
        <v>0.26576379999999999</v>
      </c>
      <c r="Z5624">
        <v>-1.128352E-2</v>
      </c>
      <c r="AA5624">
        <v>0.96397219999999995</v>
      </c>
      <c r="AB5624">
        <v>27</v>
      </c>
      <c r="AC5624">
        <v>6.95959999999996</v>
      </c>
      <c r="AD5624">
        <v>-1.1094055911579901</v>
      </c>
      <c r="AE5624">
        <v>-2.4286399999999899</v>
      </c>
      <c r="AF5624">
        <v>1.97640472449835</v>
      </c>
      <c r="AG5624">
        <v>-1.1094055911579901</v>
      </c>
      <c r="AH5624">
        <v>6.93164985211732</v>
      </c>
      <c r="AI5624">
        <v>98.750018333935301</v>
      </c>
      <c r="AJ5624">
        <v>74.085686284788494</v>
      </c>
      <c r="AK5624">
        <v>7.2927858924467301</v>
      </c>
      <c r="AL5624">
        <v>84.428870550567098</v>
      </c>
      <c r="AM5624">
        <v>81.069308833794693</v>
      </c>
      <c r="AN5624">
        <v>1.0000000404298099</v>
      </c>
    </row>
    <row r="5625" spans="1:40" x14ac:dyDescent="0.25">
      <c r="A5625" t="str">
        <f>"20190312151137753"</f>
        <v>20190312151137753</v>
      </c>
      <c r="B5625" t="str">
        <f>"1552374697747008"</f>
        <v>1552374697747008</v>
      </c>
      <c r="C5625" t="s">
        <v>40</v>
      </c>
      <c r="D5625">
        <v>5.1665890000000001</v>
      </c>
      <c r="E5625">
        <v>0.54389390000000004</v>
      </c>
      <c r="F5625" t="s">
        <v>42</v>
      </c>
      <c r="G5625">
        <v>-322.45389999999998</v>
      </c>
      <c r="H5625" s="1">
        <v>-4.6824250000000003E-6</v>
      </c>
      <c r="I5625">
        <v>13.21856</v>
      </c>
      <c r="J5625">
        <v>-329.33010000000002</v>
      </c>
      <c r="K5625">
        <v>1.109381</v>
      </c>
      <c r="L5625">
        <v>15.648099999999999</v>
      </c>
      <c r="M5625">
        <v>0.99817719999999999</v>
      </c>
      <c r="N5625">
        <v>0</v>
      </c>
      <c r="O5625">
        <v>-5.9044020000000003E-2</v>
      </c>
      <c r="P5625">
        <v>0.97368710000000003</v>
      </c>
      <c r="Q5625">
        <v>8.4642709999999996E-2</v>
      </c>
      <c r="R5625">
        <v>-0.2115879</v>
      </c>
      <c r="S5625">
        <v>2.9046940000000001</v>
      </c>
      <c r="T5625">
        <v>-0.45094919999999999</v>
      </c>
      <c r="U5625">
        <v>-0.9944153</v>
      </c>
      <c r="V5625">
        <v>0.15391629999999901</v>
      </c>
      <c r="W5625">
        <v>9.663339E-2</v>
      </c>
      <c r="X5625">
        <v>0.98334719999999998</v>
      </c>
      <c r="Y5625">
        <v>0.26526040000000001</v>
      </c>
      <c r="Z5625">
        <v>-1.1071549999999999E-2</v>
      </c>
      <c r="AA5625">
        <v>0.9641132</v>
      </c>
      <c r="AB5625">
        <v>27</v>
      </c>
      <c r="AC5625">
        <v>6.8762000000000398</v>
      </c>
      <c r="AD5625">
        <v>-1.1093856824249999</v>
      </c>
      <c r="AE5625">
        <v>-2.4295399999999998</v>
      </c>
      <c r="AF5625">
        <v>1.97359992903488</v>
      </c>
      <c r="AG5625">
        <v>-1.1093856824249999</v>
      </c>
      <c r="AH5625">
        <v>6.8491678118841701</v>
      </c>
      <c r="AI5625">
        <v>98.846598506963801</v>
      </c>
      <c r="AJ5625">
        <v>73.925569248669404</v>
      </c>
      <c r="AK5625">
        <v>7.2136629383140898</v>
      </c>
      <c r="AL5625">
        <v>84.454661117374101</v>
      </c>
      <c r="AM5625">
        <v>81.104081261601294</v>
      </c>
      <c r="AN5625">
        <v>0.99999997760821002</v>
      </c>
    </row>
    <row r="5626" spans="1:40" x14ac:dyDescent="0.25">
      <c r="A5626" t="str">
        <f>"20190312151137769"</f>
        <v>20190312151137769</v>
      </c>
      <c r="B5626" t="str">
        <f>"1552374697756768"</f>
        <v>1552374697756768</v>
      </c>
      <c r="C5626" t="s">
        <v>40</v>
      </c>
      <c r="D5626">
        <v>5.2060269999999997</v>
      </c>
      <c r="E5626">
        <v>0.54396669999999903</v>
      </c>
      <c r="F5626" t="s">
        <v>42</v>
      </c>
      <c r="G5626">
        <v>-322.14449999999999</v>
      </c>
      <c r="H5626" s="1">
        <v>-4.8358999999999997E-6</v>
      </c>
      <c r="I5626">
        <v>13.17775</v>
      </c>
      <c r="J5626">
        <v>-329.14030000000002</v>
      </c>
      <c r="K5626">
        <v>1.10937</v>
      </c>
      <c r="L5626">
        <v>15.63599</v>
      </c>
      <c r="M5626">
        <v>0.99813070000000004</v>
      </c>
      <c r="N5626">
        <v>0</v>
      </c>
      <c r="O5626">
        <v>-5.9825499999999997E-2</v>
      </c>
      <c r="P5626">
        <v>0.97358889999999998</v>
      </c>
      <c r="Q5626">
        <v>8.4500599999999995E-2</v>
      </c>
      <c r="R5626">
        <v>-0.21209639999999999</v>
      </c>
      <c r="S5626">
        <v>2.9031370000000001</v>
      </c>
      <c r="T5626">
        <v>-0.44821660000000002</v>
      </c>
      <c r="U5626">
        <v>-0.9980774</v>
      </c>
      <c r="V5626">
        <v>0.15366109999999999</v>
      </c>
      <c r="W5626">
        <v>9.6489599999999995E-2</v>
      </c>
      <c r="X5626">
        <v>0.98340119999999998</v>
      </c>
      <c r="Y5626">
        <v>0.26578069999999998</v>
      </c>
      <c r="Z5626">
        <v>-1.093154E-2</v>
      </c>
      <c r="AA5626">
        <v>0.96397160000000004</v>
      </c>
      <c r="AB5626">
        <v>27</v>
      </c>
      <c r="AC5626">
        <v>6.9958000000000302</v>
      </c>
      <c r="AD5626">
        <v>-1.1093748359</v>
      </c>
      <c r="AE5626">
        <v>-2.45824</v>
      </c>
      <c r="AF5626">
        <v>1.9907180367205899</v>
      </c>
      <c r="AG5626">
        <v>-1.1093748359</v>
      </c>
      <c r="AH5626">
        <v>6.9742397639292202</v>
      </c>
      <c r="AI5626">
        <v>98.696463413738897</v>
      </c>
      <c r="AJ5626">
        <v>74.069202571667702</v>
      </c>
      <c r="AK5626">
        <v>7.3371446157905602</v>
      </c>
      <c r="AL5626">
        <v>84.462938194628094</v>
      </c>
      <c r="AM5626">
        <v>81.119075673062994</v>
      </c>
      <c r="AN5626">
        <v>0.99999994836140305</v>
      </c>
    </row>
    <row r="5627" spans="1:40" x14ac:dyDescent="0.25">
      <c r="A5627" t="str">
        <f>"20190312151137787"</f>
        <v>20190312151137787</v>
      </c>
      <c r="B5627" t="str">
        <f>"1552374697777264"</f>
        <v>1552374697777264</v>
      </c>
      <c r="C5627" t="s">
        <v>40</v>
      </c>
      <c r="D5627">
        <v>5.1616010000000001</v>
      </c>
      <c r="E5627">
        <v>0.54423639999999995</v>
      </c>
      <c r="F5627" t="s">
        <v>42</v>
      </c>
      <c r="G5627">
        <v>-322.04989999999998</v>
      </c>
      <c r="H5627" s="1">
        <v>-4.8780739999999996E-6</v>
      </c>
      <c r="I5627">
        <v>13.192130000000001</v>
      </c>
      <c r="J5627">
        <v>-328.92399999999998</v>
      </c>
      <c r="K5627">
        <v>1.109354</v>
      </c>
      <c r="L5627">
        <v>15.62204</v>
      </c>
      <c r="M5627">
        <v>0.99807599999999996</v>
      </c>
      <c r="N5627">
        <v>0</v>
      </c>
      <c r="O5627">
        <v>-6.0731470000000003E-2</v>
      </c>
      <c r="P5627">
        <v>0.97358679999999997</v>
      </c>
      <c r="Q5627">
        <v>8.442355E-2</v>
      </c>
      <c r="R5627">
        <v>-0.21213570000000001</v>
      </c>
      <c r="S5627">
        <v>2.9028320000000001</v>
      </c>
      <c r="T5627">
        <v>-0.454181</v>
      </c>
      <c r="U5627">
        <v>-1.0005189999999999</v>
      </c>
      <c r="V5627">
        <v>0.15281040000000001</v>
      </c>
      <c r="W5627">
        <v>9.6411269999999993E-2</v>
      </c>
      <c r="X5627">
        <v>0.98354149999999996</v>
      </c>
      <c r="Y5627">
        <v>0.26561639999999997</v>
      </c>
      <c r="Z5627">
        <v>-1.092652E-2</v>
      </c>
      <c r="AA5627">
        <v>0.96401689999999995</v>
      </c>
      <c r="AB5627">
        <v>27</v>
      </c>
      <c r="AC5627">
        <v>6.8741000000000501</v>
      </c>
      <c r="AD5627">
        <v>-1.109358878074</v>
      </c>
      <c r="AE5627">
        <v>-2.42991</v>
      </c>
      <c r="AF5627">
        <v>1.9624829768974099</v>
      </c>
      <c r="AG5627">
        <v>-1.109358878074</v>
      </c>
      <c r="AH5627">
        <v>6.8503964356847504</v>
      </c>
      <c r="AI5627">
        <v>98.848696116054001</v>
      </c>
      <c r="AJ5627">
        <v>74.014194942916603</v>
      </c>
      <c r="AK5627">
        <v>7.2117922793863203</v>
      </c>
      <c r="AL5627">
        <v>84.467447574877994</v>
      </c>
      <c r="AM5627">
        <v>81.168705056294399</v>
      </c>
      <c r="AN5627">
        <v>1.00000001677671</v>
      </c>
    </row>
    <row r="5628" spans="1:40" x14ac:dyDescent="0.25">
      <c r="A5628" t="str">
        <f>"20190312151137796"</f>
        <v>20190312151137796</v>
      </c>
      <c r="B5628" t="str">
        <f>"1552374697787024"</f>
        <v>1552374697787024</v>
      </c>
      <c r="C5628" t="s">
        <v>40</v>
      </c>
      <c r="D5628">
        <v>5.1433710000000001</v>
      </c>
      <c r="E5628">
        <v>0.54444820000000005</v>
      </c>
      <c r="F5628" t="s">
        <v>42</v>
      </c>
      <c r="G5628">
        <v>-321.84710000000001</v>
      </c>
      <c r="H5628" s="1">
        <v>-4.97682399999999E-6</v>
      </c>
      <c r="I5628">
        <v>13.17595</v>
      </c>
      <c r="J5628">
        <v>-328.78879999999998</v>
      </c>
      <c r="K5628">
        <v>1.1093420000000001</v>
      </c>
      <c r="L5628">
        <v>15.613250000000001</v>
      </c>
      <c r="M5628">
        <v>0.99804090000000001</v>
      </c>
      <c r="N5628">
        <v>0</v>
      </c>
      <c r="O5628">
        <v>-6.130406E-2</v>
      </c>
      <c r="P5628">
        <v>0.97353469999999998</v>
      </c>
      <c r="Q5628">
        <v>8.4162429999999996E-2</v>
      </c>
      <c r="R5628">
        <v>-0.21247859999999999</v>
      </c>
      <c r="S5628">
        <v>2.9022519999999998</v>
      </c>
      <c r="T5628">
        <v>-0.45494839999999998</v>
      </c>
      <c r="U5628">
        <v>-1.0031429999999999</v>
      </c>
      <c r="V5628">
        <v>0.15259249999999999</v>
      </c>
      <c r="W5628">
        <v>9.6148339999999999E-2</v>
      </c>
      <c r="X5628">
        <v>0.98360099999999995</v>
      </c>
      <c r="Y5628">
        <v>0.26589760000000001</v>
      </c>
      <c r="Z5628">
        <v>-1.088046E-2</v>
      </c>
      <c r="AA5628">
        <v>0.96393980000000001</v>
      </c>
      <c r="AB5628">
        <v>27</v>
      </c>
      <c r="AC5628">
        <v>6.94169999999996</v>
      </c>
      <c r="AD5628">
        <v>-1.1093469768240001</v>
      </c>
      <c r="AE5628">
        <v>-2.4373</v>
      </c>
      <c r="AF5628">
        <v>1.96250767636166</v>
      </c>
      <c r="AG5628">
        <v>-1.1093469768240001</v>
      </c>
      <c r="AH5628">
        <v>6.9207195208380803</v>
      </c>
      <c r="AI5628">
        <v>98.766703691749001</v>
      </c>
      <c r="AJ5628">
        <v>74.168260313238093</v>
      </c>
      <c r="AK5628">
        <v>7.2786293888943296</v>
      </c>
      <c r="AL5628">
        <v>84.482582301635205</v>
      </c>
      <c r="AM5628">
        <v>81.1816250385681</v>
      </c>
      <c r="AN5628">
        <v>0.99999995077100101</v>
      </c>
    </row>
    <row r="5629" spans="1:40" x14ac:dyDescent="0.25">
      <c r="A5629" t="str">
        <f>"20190312151137808"</f>
        <v>20190312151137808</v>
      </c>
      <c r="B5629" t="str">
        <f>"1552374697796784"</f>
        <v>1552374697796784</v>
      </c>
      <c r="C5629" t="s">
        <v>40</v>
      </c>
      <c r="D5629">
        <v>5.1354569999999997</v>
      </c>
      <c r="E5629">
        <v>0.54465229999999998</v>
      </c>
      <c r="F5629" t="s">
        <v>41</v>
      </c>
      <c r="G5629">
        <v>-328.0822</v>
      </c>
      <c r="H5629">
        <v>0.99751970000000001</v>
      </c>
      <c r="I5629">
        <v>15.368040000000001</v>
      </c>
      <c r="J5629">
        <v>-328.65480000000002</v>
      </c>
      <c r="K5629">
        <v>1.1093329999999999</v>
      </c>
      <c r="L5629">
        <v>15.604369999999999</v>
      </c>
      <c r="M5629">
        <v>0.99800500000000003</v>
      </c>
      <c r="N5629">
        <v>0</v>
      </c>
      <c r="O5629">
        <v>-6.1884660000000001E-2</v>
      </c>
      <c r="P5629">
        <v>0.97348230000000002</v>
      </c>
      <c r="Q5629">
        <v>8.4284990000000004E-2</v>
      </c>
      <c r="R5629">
        <v>-0.2126699</v>
      </c>
      <c r="S5629">
        <v>2.901672</v>
      </c>
      <c r="T5629">
        <v>-0.4590822</v>
      </c>
      <c r="U5629">
        <v>-1.006165</v>
      </c>
      <c r="V5629">
        <v>0.1522162</v>
      </c>
      <c r="W5629">
        <v>9.6269359999999998E-2</v>
      </c>
      <c r="X5629">
        <v>0.98364750000000001</v>
      </c>
      <c r="Y5629">
        <v>0.26625520000000003</v>
      </c>
      <c r="Z5629">
        <v>-1.0917700000000001E-2</v>
      </c>
      <c r="AA5629">
        <v>0.96384069999999999</v>
      </c>
      <c r="AB5629">
        <v>27</v>
      </c>
      <c r="AC5629">
        <v>0.57260000000002198</v>
      </c>
      <c r="AD5629">
        <v>-0.11181329999999901</v>
      </c>
      <c r="AE5629">
        <v>-0.23633000000000201</v>
      </c>
      <c r="AF5629">
        <v>0.19411451182577399</v>
      </c>
      <c r="AG5629">
        <v>-0.11181329999999901</v>
      </c>
      <c r="AH5629">
        <v>0.56763436229442898</v>
      </c>
      <c r="AI5629">
        <v>100.55788237865001</v>
      </c>
      <c r="AJ5629">
        <v>71.120797705243604</v>
      </c>
      <c r="AK5629">
        <v>0.610238827849926</v>
      </c>
      <c r="AL5629">
        <v>84.475616227931098</v>
      </c>
      <c r="AM5629">
        <v>81.203440344147396</v>
      </c>
      <c r="AN5629">
        <v>0.99999998273674895</v>
      </c>
    </row>
    <row r="5630" spans="1:40" x14ac:dyDescent="0.25">
      <c r="A5630" t="str">
        <f>"20190312151137821"</f>
        <v>20190312151137821</v>
      </c>
      <c r="B5630" t="str">
        <f>"1552374697817280"</f>
        <v>1552374697817280</v>
      </c>
      <c r="C5630" t="s">
        <v>40</v>
      </c>
      <c r="D5630">
        <v>5.146566</v>
      </c>
      <c r="E5630">
        <v>0.54412839999999996</v>
      </c>
      <c r="F5630" t="s">
        <v>42</v>
      </c>
      <c r="G5630">
        <v>-321.66829999999999</v>
      </c>
      <c r="H5630" s="1">
        <v>-5.0613810000000001E-6</v>
      </c>
      <c r="I5630">
        <v>13.175789999999999</v>
      </c>
      <c r="J5630">
        <v>-328.50790000000001</v>
      </c>
      <c r="K5630">
        <v>1.109324</v>
      </c>
      <c r="L5630">
        <v>15.59464</v>
      </c>
      <c r="M5630">
        <v>0.9979652</v>
      </c>
      <c r="N5630">
        <v>0</v>
      </c>
      <c r="O5630">
        <v>-6.252547E-2</v>
      </c>
      <c r="P5630">
        <v>0.97339419999999999</v>
      </c>
      <c r="Q5630">
        <v>8.4428089999999997E-2</v>
      </c>
      <c r="R5630">
        <v>-0.2130167</v>
      </c>
      <c r="S5630">
        <v>2.9012760000000002</v>
      </c>
      <c r="T5630">
        <v>-0.46067390000000003</v>
      </c>
      <c r="U5630">
        <v>-1.0085139999999999</v>
      </c>
      <c r="V5630">
        <v>0.1519384</v>
      </c>
      <c r="W5630">
        <v>9.6409380000000003E-2</v>
      </c>
      <c r="X5630">
        <v>0.98367669999999996</v>
      </c>
      <c r="Y5630">
        <v>0.26636480000000001</v>
      </c>
      <c r="Z5630">
        <v>-1.0865949999999999E-2</v>
      </c>
      <c r="AA5630">
        <v>0.96381099999999997</v>
      </c>
      <c r="AB5630">
        <v>27</v>
      </c>
      <c r="AC5630">
        <v>6.8396000000000097</v>
      </c>
      <c r="AD5630">
        <v>-1.1093290613810001</v>
      </c>
      <c r="AE5630">
        <v>-2.4188499999999999</v>
      </c>
      <c r="AF5630">
        <v>1.9410485251601799</v>
      </c>
      <c r="AG5630">
        <v>-1.1093290613810001</v>
      </c>
      <c r="AH5630">
        <v>6.8180480725190602</v>
      </c>
      <c r="AI5630">
        <v>98.8938978134249</v>
      </c>
      <c r="AJ5630">
        <v>74.108733606004506</v>
      </c>
      <c r="AK5630">
        <v>7.1752393592570698</v>
      </c>
      <c r="AL5630">
        <v>84.467555989208194</v>
      </c>
      <c r="AM5630">
        <v>81.219500556689994</v>
      </c>
      <c r="AN5630">
        <v>0.99999994803471504</v>
      </c>
    </row>
    <row r="5631" spans="1:40" x14ac:dyDescent="0.25">
      <c r="A5631" t="str">
        <f>"20190312151137832"</f>
        <v>20190312151137832</v>
      </c>
      <c r="B5631" t="str">
        <f>"1552374697827040"</f>
        <v>1552374697827040</v>
      </c>
      <c r="C5631" t="s">
        <v>40</v>
      </c>
      <c r="D5631">
        <v>5.1965399999999997</v>
      </c>
      <c r="E5631">
        <v>0.54405079999999995</v>
      </c>
      <c r="F5631" t="s">
        <v>42</v>
      </c>
      <c r="G5631">
        <v>-321.26900000000001</v>
      </c>
      <c r="H5631" s="1">
        <v>-5.2658619999999899E-6</v>
      </c>
      <c r="I5631">
        <v>13.087059999999999</v>
      </c>
      <c r="J5631">
        <v>-328.3571</v>
      </c>
      <c r="K5631">
        <v>1.109308</v>
      </c>
      <c r="L5631">
        <v>15.584440000000001</v>
      </c>
      <c r="M5631">
        <v>0.99792270000000005</v>
      </c>
      <c r="N5631">
        <v>0</v>
      </c>
      <c r="O5631">
        <v>-6.3198519999999994E-2</v>
      </c>
      <c r="P5631">
        <v>0.9732364</v>
      </c>
      <c r="Q5631">
        <v>8.4464940000000002E-2</v>
      </c>
      <c r="R5631">
        <v>-0.2137213</v>
      </c>
      <c r="S5631">
        <v>2.900665</v>
      </c>
      <c r="T5631">
        <v>-0.44451069999999998</v>
      </c>
      <c r="U5631">
        <v>-1.004791</v>
      </c>
      <c r="V5631">
        <v>0.15199089999999901</v>
      </c>
      <c r="W5631">
        <v>9.6441650000000004E-2</v>
      </c>
      <c r="X5631">
        <v>0.98366549999999997</v>
      </c>
      <c r="Y5631">
        <v>0.26484999999999997</v>
      </c>
      <c r="Z5631">
        <v>-1.0281729999999999E-2</v>
      </c>
      <c r="AA5631">
        <v>0.96423479999999995</v>
      </c>
      <c r="AB5631">
        <v>27</v>
      </c>
      <c r="AC5631">
        <v>7.0880999999999901</v>
      </c>
      <c r="AD5631">
        <v>-1.109313265862</v>
      </c>
      <c r="AE5631">
        <v>-2.4973799999999899</v>
      </c>
      <c r="AF5631">
        <v>2.0007999150699098</v>
      </c>
      <c r="AG5631">
        <v>-1.109313265862</v>
      </c>
      <c r="AH5631">
        <v>7.0775616544217197</v>
      </c>
      <c r="AI5631">
        <v>98.577027626178506</v>
      </c>
      <c r="AJ5631">
        <v>74.214603002862802</v>
      </c>
      <c r="AK5631">
        <v>7.4381217517664897</v>
      </c>
      <c r="AL5631">
        <v>84.465698801794204</v>
      </c>
      <c r="AM5631">
        <v>81.216415443297805</v>
      </c>
      <c r="AN5631">
        <v>1.0000000207138899</v>
      </c>
    </row>
    <row r="5632" spans="1:40" x14ac:dyDescent="0.25">
      <c r="A5632" t="str">
        <f>"20190312151137845"</f>
        <v>20190312151137845</v>
      </c>
      <c r="B5632" t="str">
        <f>"1552374697836800"</f>
        <v>1552374697836800</v>
      </c>
      <c r="C5632" t="s">
        <v>40</v>
      </c>
      <c r="D5632">
        <v>5.1983319999999997</v>
      </c>
      <c r="E5632">
        <v>0.54383669999999995</v>
      </c>
      <c r="F5632" t="s">
        <v>42</v>
      </c>
      <c r="G5632">
        <v>-321.02089999999998</v>
      </c>
      <c r="H5632" s="1">
        <v>-5.3915339999999996E-6</v>
      </c>
      <c r="I5632">
        <v>13.039630000000001</v>
      </c>
      <c r="J5632">
        <v>-328.20850000000002</v>
      </c>
      <c r="K5632">
        <v>1.1092930000000001</v>
      </c>
      <c r="L5632">
        <v>15.574339999999999</v>
      </c>
      <c r="M5632">
        <v>0.99787969999999904</v>
      </c>
      <c r="N5632">
        <v>0</v>
      </c>
      <c r="O5632">
        <v>-6.3874570000000006E-2</v>
      </c>
      <c r="P5632">
        <v>0.97309599999999996</v>
      </c>
      <c r="Q5632">
        <v>8.4466399999999997E-2</v>
      </c>
      <c r="R5632">
        <v>-0.2143592</v>
      </c>
      <c r="S5632">
        <v>2.899689</v>
      </c>
      <c r="T5632">
        <v>-0.4384652</v>
      </c>
      <c r="U5632">
        <v>-1.0058590000000001</v>
      </c>
      <c r="V5632">
        <v>0.15197279999999999</v>
      </c>
      <c r="W5632">
        <v>9.643786E-2</v>
      </c>
      <c r="X5632">
        <v>0.9836686</v>
      </c>
      <c r="Y5632">
        <v>0.26467849999999998</v>
      </c>
      <c r="Z5632">
        <v>-1.003532E-2</v>
      </c>
      <c r="AA5632">
        <v>0.96428449999999999</v>
      </c>
      <c r="AB5632">
        <v>27</v>
      </c>
      <c r="AC5632">
        <v>7.18760000000003</v>
      </c>
      <c r="AD5632">
        <v>-1.109298391534</v>
      </c>
      <c r="AE5632">
        <v>-2.5347099999999898</v>
      </c>
      <c r="AF5632">
        <v>2.0274416605501702</v>
      </c>
      <c r="AG5632">
        <v>-1.109298391534</v>
      </c>
      <c r="AH5632">
        <v>7.1826733980026303</v>
      </c>
      <c r="AI5632">
        <v>98.454158292402994</v>
      </c>
      <c r="AJ5632">
        <v>74.237304251961802</v>
      </c>
      <c r="AK5632">
        <v>7.5453203875494204</v>
      </c>
      <c r="AL5632">
        <v>84.465916597714994</v>
      </c>
      <c r="AM5632">
        <v>81.217472383543196</v>
      </c>
      <c r="AN5632">
        <v>0.99999995370358796</v>
      </c>
    </row>
    <row r="5633" spans="1:40" x14ac:dyDescent="0.25">
      <c r="A5633" t="str">
        <f>"20190312151137856"</f>
        <v>20190312151137856</v>
      </c>
      <c r="B5633" t="str">
        <f>"1552374697846560"</f>
        <v>1552374697846560</v>
      </c>
      <c r="C5633" t="s">
        <v>40</v>
      </c>
      <c r="D5633">
        <v>5.7306030000000003</v>
      </c>
      <c r="E5633">
        <v>0.54375799999999996</v>
      </c>
      <c r="F5633" t="s">
        <v>42</v>
      </c>
      <c r="G5633">
        <v>-320.77820000000003</v>
      </c>
      <c r="H5633" s="1">
        <v>-5.5139099999999997E-6</v>
      </c>
      <c r="I5633">
        <v>12.99653</v>
      </c>
      <c r="J5633">
        <v>-328.07229999999998</v>
      </c>
      <c r="K5633">
        <v>1.109278</v>
      </c>
      <c r="L5633">
        <v>15.564970000000001</v>
      </c>
      <c r="M5633">
        <v>0.99783940000000004</v>
      </c>
      <c r="N5633">
        <v>0</v>
      </c>
      <c r="O5633">
        <v>-6.4501370000000002E-2</v>
      </c>
      <c r="P5633">
        <v>0.97301629999999995</v>
      </c>
      <c r="Q5633">
        <v>8.3999740000000003E-2</v>
      </c>
      <c r="R5633">
        <v>-0.2149037</v>
      </c>
      <c r="S5633">
        <v>2.8989259999999999</v>
      </c>
      <c r="T5633">
        <v>-0.43279499999999999</v>
      </c>
      <c r="U5633">
        <v>-1.0057370000000001</v>
      </c>
      <c r="V5633">
        <v>0.15190509999999999</v>
      </c>
      <c r="W5633">
        <v>9.596702E-2</v>
      </c>
      <c r="X5633">
        <v>0.98372510000000002</v>
      </c>
      <c r="Y5633">
        <v>0.26417750000000001</v>
      </c>
      <c r="Z5633">
        <v>-9.7833729999999997E-3</v>
      </c>
      <c r="AA5633">
        <v>0.96442450000000002</v>
      </c>
      <c r="AB5633">
        <v>27</v>
      </c>
      <c r="AC5633">
        <v>7.2940999999999496</v>
      </c>
      <c r="AD5633">
        <v>-1.1092835139099999</v>
      </c>
      <c r="AE5633">
        <v>-2.5684399999999998</v>
      </c>
      <c r="AF5633">
        <v>2.05038413566876</v>
      </c>
      <c r="AG5633">
        <v>-1.1092835139099999</v>
      </c>
      <c r="AH5633">
        <v>7.2944919048016796</v>
      </c>
      <c r="AI5633">
        <v>98.328815932225794</v>
      </c>
      <c r="AJ5633">
        <v>74.300036887058894</v>
      </c>
      <c r="AK5633">
        <v>7.6579499324069698</v>
      </c>
      <c r="AL5633">
        <v>84.493019434312103</v>
      </c>
      <c r="AM5633">
        <v>81.221820166660507</v>
      </c>
      <c r="AN5633">
        <v>0.99999995035184897</v>
      </c>
    </row>
    <row r="5634" spans="1:40" x14ac:dyDescent="0.25">
      <c r="A5634" t="str">
        <f>"20190312151137867"</f>
        <v>20190312151137867</v>
      </c>
      <c r="B5634" t="str">
        <f>"1552374697857295"</f>
        <v>1552374697857295</v>
      </c>
      <c r="C5634" t="s">
        <v>40</v>
      </c>
      <c r="D5634">
        <v>5.1541880000000004</v>
      </c>
      <c r="E5634">
        <v>0.54405539999999997</v>
      </c>
      <c r="F5634" t="s">
        <v>42</v>
      </c>
      <c r="G5634">
        <v>-320.55790000000002</v>
      </c>
      <c r="H5634" s="1">
        <v>-5.6255029999999996E-6</v>
      </c>
      <c r="I5634">
        <v>12.954599999999999</v>
      </c>
      <c r="J5634">
        <v>-327.93880000000001</v>
      </c>
      <c r="K5634">
        <v>1.1092630000000001</v>
      </c>
      <c r="L5634">
        <v>15.55566</v>
      </c>
      <c r="M5634">
        <v>0.99779819999999997</v>
      </c>
      <c r="N5634">
        <v>0</v>
      </c>
      <c r="O5634">
        <v>-6.513621E-2</v>
      </c>
      <c r="P5634">
        <v>0.97293059999999998</v>
      </c>
      <c r="Q5634">
        <v>8.3991949999999996E-2</v>
      </c>
      <c r="R5634">
        <v>-0.21529499999999999</v>
      </c>
      <c r="S5634">
        <v>2.8978269999999999</v>
      </c>
      <c r="T5634">
        <v>-0.42777910000000002</v>
      </c>
      <c r="U5634">
        <v>-1.006653</v>
      </c>
      <c r="V5634">
        <v>0.15167839999999999</v>
      </c>
      <c r="W5634">
        <v>9.5954689999999995E-2</v>
      </c>
      <c r="X5634">
        <v>0.98376129999999995</v>
      </c>
      <c r="Y5634">
        <v>0.26400119999999999</v>
      </c>
      <c r="Z5634">
        <v>-9.5715409999999994E-3</v>
      </c>
      <c r="AA5634">
        <v>0.96447490000000002</v>
      </c>
      <c r="AB5634">
        <v>27</v>
      </c>
      <c r="AC5634">
        <v>7.3808999999999898</v>
      </c>
      <c r="AD5634">
        <v>-1.109268625503</v>
      </c>
      <c r="AE5634">
        <v>-2.6010599999999999</v>
      </c>
      <c r="AF5634">
        <v>2.07308247019738</v>
      </c>
      <c r="AG5634">
        <v>-1.109268625503</v>
      </c>
      <c r="AH5634">
        <v>7.3862576481858797</v>
      </c>
      <c r="AI5634">
        <v>98.227541556188598</v>
      </c>
      <c r="AJ5634">
        <v>74.322295165425004</v>
      </c>
      <c r="AK5634">
        <v>7.7514482425640496</v>
      </c>
      <c r="AL5634">
        <v>84.493729261187497</v>
      </c>
      <c r="AM5634">
        <v>81.235034478429199</v>
      </c>
      <c r="AN5634">
        <v>0.99999996746862196</v>
      </c>
    </row>
    <row r="5635" spans="1:40" x14ac:dyDescent="0.25">
      <c r="A5635" t="str">
        <f>"20190312151137878"</f>
        <v>20190312151137878</v>
      </c>
      <c r="B5635" t="str">
        <f>"1552374697876816"</f>
        <v>1552374697876816</v>
      </c>
      <c r="C5635" t="s">
        <v>40</v>
      </c>
      <c r="D5635">
        <v>5.5502099999999999</v>
      </c>
      <c r="E5635">
        <v>0.54405530000000002</v>
      </c>
      <c r="F5635" t="s">
        <v>42</v>
      </c>
      <c r="G5635">
        <v>-320.43520000000001</v>
      </c>
      <c r="H5635" s="1">
        <v>-5.6863500000000002E-6</v>
      </c>
      <c r="I5635">
        <v>12.938370000000001</v>
      </c>
      <c r="J5635">
        <v>-327.80070000000001</v>
      </c>
      <c r="K5635">
        <v>1.109245</v>
      </c>
      <c r="L5635">
        <v>15.54599</v>
      </c>
      <c r="M5635">
        <v>0.99775449999999999</v>
      </c>
      <c r="N5635">
        <v>0</v>
      </c>
      <c r="O5635">
        <v>-6.5798850000000006E-2</v>
      </c>
      <c r="P5635">
        <v>0.97278399999999998</v>
      </c>
      <c r="Q5635">
        <v>8.3698439999999999E-2</v>
      </c>
      <c r="R5635">
        <v>-0.21606909999999999</v>
      </c>
      <c r="S5635">
        <v>2.8968509999999998</v>
      </c>
      <c r="T5635">
        <v>-0.42824630000000002</v>
      </c>
      <c r="U5635">
        <v>-1.010437</v>
      </c>
      <c r="V5635">
        <v>0.1518101</v>
      </c>
      <c r="W5635">
        <v>9.5654240000000001E-2</v>
      </c>
      <c r="X5635">
        <v>0.98377029999999999</v>
      </c>
      <c r="Y5635">
        <v>0.26458189999999998</v>
      </c>
      <c r="Z5635">
        <v>-9.5305119999999997E-3</v>
      </c>
      <c r="AA5635">
        <v>0.96431610000000001</v>
      </c>
      <c r="AB5635">
        <v>27</v>
      </c>
      <c r="AC5635">
        <v>7.3654999999999902</v>
      </c>
      <c r="AD5635">
        <v>-1.10925068635</v>
      </c>
      <c r="AE5635">
        <v>-2.6076199999999998</v>
      </c>
      <c r="AF5635">
        <v>2.0754589942552801</v>
      </c>
      <c r="AG5635">
        <v>-1.10925068635</v>
      </c>
      <c r="AH5635">
        <v>7.3725378634140197</v>
      </c>
      <c r="AI5635">
        <v>98.240722237201695</v>
      </c>
      <c r="AJ5635">
        <v>74.277443986218003</v>
      </c>
      <c r="AK5635">
        <v>7.73901038049934</v>
      </c>
      <c r="AL5635">
        <v>84.511023626678593</v>
      </c>
      <c r="AM5635">
        <v>81.227621332116897</v>
      </c>
      <c r="AN5635">
        <v>1.0000000216270299</v>
      </c>
    </row>
    <row r="5636" spans="1:40" x14ac:dyDescent="0.25">
      <c r="A5636" t="str">
        <f>"20190312151137889"</f>
        <v>20190312151137889</v>
      </c>
      <c r="B5636" t="str">
        <f>"1552374697886576"</f>
        <v>1552374697886576</v>
      </c>
      <c r="C5636" t="s">
        <v>40</v>
      </c>
      <c r="D5636">
        <v>5.2349059999999996</v>
      </c>
      <c r="E5636">
        <v>0.54414419999999897</v>
      </c>
      <c r="F5636" t="s">
        <v>42</v>
      </c>
      <c r="G5636">
        <v>-320.13139999999999</v>
      </c>
      <c r="H5636" s="1">
        <v>-5.8432689999999998E-6</v>
      </c>
      <c r="I5636">
        <v>12.863530000000001</v>
      </c>
      <c r="J5636">
        <v>-327.6626</v>
      </c>
      <c r="K5636">
        <v>1.109219</v>
      </c>
      <c r="L5636">
        <v>15.536129999999901</v>
      </c>
      <c r="M5636">
        <v>0.99770890000000001</v>
      </c>
      <c r="N5636">
        <v>0</v>
      </c>
      <c r="O5636">
        <v>-6.648983E-2</v>
      </c>
      <c r="P5636">
        <v>0.97262029999999999</v>
      </c>
      <c r="Q5636">
        <v>8.378041E-2</v>
      </c>
      <c r="R5636">
        <v>-0.21677399999999999</v>
      </c>
      <c r="S5636">
        <v>2.8950200000000001</v>
      </c>
      <c r="T5636">
        <v>-0.41871920000000001</v>
      </c>
      <c r="U5636">
        <v>-1.0125729999999999</v>
      </c>
      <c r="V5636">
        <v>0.1518476</v>
      </c>
      <c r="W5636">
        <v>9.5728759999999996E-2</v>
      </c>
      <c r="X5636">
        <v>0.98375729999999995</v>
      </c>
      <c r="Y5636">
        <v>0.26482480000000003</v>
      </c>
      <c r="Z5636">
        <v>-9.2460839999999999E-3</v>
      </c>
      <c r="AA5636">
        <v>0.9642522</v>
      </c>
      <c r="AB5636">
        <v>27</v>
      </c>
      <c r="AC5636">
        <v>7.5312000000000099</v>
      </c>
      <c r="AD5636">
        <v>-1.1092248432689999</v>
      </c>
      <c r="AE5636">
        <v>-2.6725999999999899</v>
      </c>
      <c r="AF5636">
        <v>2.1249575385664499</v>
      </c>
      <c r="AG5636">
        <v>-1.1092248432689999</v>
      </c>
      <c r="AH5636">
        <v>7.5468464222715896</v>
      </c>
      <c r="AI5636">
        <v>98.052610051977297</v>
      </c>
      <c r="AJ5636">
        <v>74.274429261627802</v>
      </c>
      <c r="AK5636">
        <v>7.9183783197690802</v>
      </c>
      <c r="AL5636">
        <v>84.506734457621107</v>
      </c>
      <c r="AM5636">
        <v>81.225373957643001</v>
      </c>
      <c r="AN5636">
        <v>1.00000005721009</v>
      </c>
    </row>
    <row r="5637" spans="1:40" x14ac:dyDescent="0.25">
      <c r="A5637" t="str">
        <f>"20190312151137903"</f>
        <v>20190312151137903</v>
      </c>
      <c r="B5637" t="str">
        <f>"1552374697897312"</f>
        <v>1552374697897312</v>
      </c>
      <c r="C5637" t="s">
        <v>40</v>
      </c>
      <c r="D5637">
        <v>5.1673809999999998</v>
      </c>
      <c r="E5637">
        <v>0.54404589999999997</v>
      </c>
      <c r="F5637" t="s">
        <v>43</v>
      </c>
      <c r="G5637">
        <v>-319.5421</v>
      </c>
      <c r="H5637">
        <v>-0.05</v>
      </c>
      <c r="I5637">
        <v>12.68633</v>
      </c>
      <c r="J5637">
        <v>-327.50869999999998</v>
      </c>
      <c r="K5637">
        <v>1.1091899999999999</v>
      </c>
      <c r="L5637">
        <v>15.525090000000001</v>
      </c>
      <c r="M5637">
        <v>0.99765610000000005</v>
      </c>
      <c r="N5637">
        <v>0</v>
      </c>
      <c r="O5637">
        <v>-6.7274940000000005E-2</v>
      </c>
      <c r="P5637">
        <v>0.97240939999999998</v>
      </c>
      <c r="Q5637">
        <v>8.3607799999999996E-2</v>
      </c>
      <c r="R5637">
        <v>-0.2177838</v>
      </c>
      <c r="S5637">
        <v>2.893707</v>
      </c>
      <c r="T5637">
        <v>-0.41307959999999999</v>
      </c>
      <c r="U5637">
        <v>-1.015503</v>
      </c>
      <c r="V5637">
        <v>0.1521004</v>
      </c>
      <c r="W5637">
        <v>9.5545550000000007E-2</v>
      </c>
      <c r="X5637">
        <v>0.98373600000000005</v>
      </c>
      <c r="Y5637">
        <v>0.26512449999999999</v>
      </c>
      <c r="Z5637">
        <v>-9.0383349999999998E-3</v>
      </c>
      <c r="AA5637">
        <v>0.96417180000000002</v>
      </c>
      <c r="AB5637">
        <v>27</v>
      </c>
      <c r="AC5637">
        <v>7.9665999999999704</v>
      </c>
      <c r="AD5637">
        <v>-1.1591899999999999</v>
      </c>
      <c r="AE5637">
        <v>-2.83875999999999</v>
      </c>
      <c r="AF5637">
        <v>2.2539883338247999</v>
      </c>
      <c r="AG5637">
        <v>-1.1591899999999999</v>
      </c>
      <c r="AH5637">
        <v>7.9894459304579799</v>
      </c>
      <c r="AI5637">
        <v>97.949348222192697</v>
      </c>
      <c r="AJ5637">
        <v>74.2451404457167</v>
      </c>
      <c r="AK5637">
        <v>8.3818512955569595</v>
      </c>
      <c r="AL5637">
        <v>84.517279644089797</v>
      </c>
      <c r="AM5637">
        <v>81.210806293005206</v>
      </c>
      <c r="AN5637">
        <v>1.0000000007504799</v>
      </c>
    </row>
    <row r="5638" spans="1:40" x14ac:dyDescent="0.25">
      <c r="A5638" t="str">
        <f>"20190312151137920"</f>
        <v>20190312151137920</v>
      </c>
      <c r="B5638" t="str">
        <f>"1552374697916832"</f>
        <v>1552374697916832</v>
      </c>
      <c r="C5638" t="s">
        <v>40</v>
      </c>
      <c r="D5638">
        <v>5.2741550000000004</v>
      </c>
      <c r="E5638">
        <v>0.54414669999999998</v>
      </c>
      <c r="F5638" t="s">
        <v>43</v>
      </c>
      <c r="G5638">
        <v>-319.30930000000001</v>
      </c>
      <c r="H5638">
        <v>-0.05</v>
      </c>
      <c r="I5638">
        <v>12.64024</v>
      </c>
      <c r="J5638">
        <v>-327.30439999999999</v>
      </c>
      <c r="K5638">
        <v>1.109151</v>
      </c>
      <c r="L5638">
        <v>15.510129999999901</v>
      </c>
      <c r="M5638">
        <v>0.99758279999999999</v>
      </c>
      <c r="N5638">
        <v>0</v>
      </c>
      <c r="O5638">
        <v>-6.8353059999999993E-2</v>
      </c>
      <c r="P5638">
        <v>0.97211250000000005</v>
      </c>
      <c r="Q5638">
        <v>8.323237E-2</v>
      </c>
      <c r="R5638">
        <v>-0.21924830000000001</v>
      </c>
      <c r="S5638">
        <v>2.8923649999999999</v>
      </c>
      <c r="T5638">
        <v>-0.40890860000000001</v>
      </c>
      <c r="U5638">
        <v>-1.017639</v>
      </c>
      <c r="V5638">
        <v>0.15252550000000001</v>
      </c>
      <c r="W5638">
        <v>9.5154420000000003E-2</v>
      </c>
      <c r="X5638">
        <v>0.98370809999999997</v>
      </c>
      <c r="Y5638">
        <v>0.26490279999999999</v>
      </c>
      <c r="Z5638">
        <v>-8.7894410000000003E-3</v>
      </c>
      <c r="AA5638">
        <v>0.96423510000000001</v>
      </c>
      <c r="AB5638">
        <v>27</v>
      </c>
      <c r="AC5638">
        <v>7.9950999999999697</v>
      </c>
      <c r="AD5638">
        <v>-1.159151</v>
      </c>
      <c r="AE5638">
        <v>-2.8698899999999998</v>
      </c>
      <c r="AF5638">
        <v>2.2742955464566799</v>
      </c>
      <c r="AG5638">
        <v>-1.159151</v>
      </c>
      <c r="AH5638">
        <v>8.0231818691035102</v>
      </c>
      <c r="AI5638">
        <v>97.913332662648301</v>
      </c>
      <c r="AJ5638">
        <v>74.173794546279794</v>
      </c>
      <c r="AK5638">
        <v>8.41947139541106</v>
      </c>
      <c r="AL5638">
        <v>84.539792359085695</v>
      </c>
      <c r="AM5638">
        <v>81.186380780856098</v>
      </c>
      <c r="AN5638">
        <v>1.00000000890069</v>
      </c>
    </row>
    <row r="5639" spans="1:40" x14ac:dyDescent="0.25">
      <c r="A5639" t="str">
        <f>"20190312151137934"</f>
        <v>20190312151137934</v>
      </c>
      <c r="B5639" t="str">
        <f>"1552374697926593"</f>
        <v>1552374697926593</v>
      </c>
      <c r="C5639" t="s">
        <v>40</v>
      </c>
      <c r="D5639">
        <v>5.2262170000000001</v>
      </c>
      <c r="E5639">
        <v>0.54432789999999998</v>
      </c>
      <c r="F5639" t="s">
        <v>43</v>
      </c>
      <c r="G5639">
        <v>-318.95409999999998</v>
      </c>
      <c r="H5639">
        <v>-0.05</v>
      </c>
      <c r="I5639">
        <v>12.55447</v>
      </c>
      <c r="J5639">
        <v>-327.13380000000001</v>
      </c>
      <c r="K5639">
        <v>1.1091120000000001</v>
      </c>
      <c r="L5639">
        <v>15.49747</v>
      </c>
      <c r="M5639">
        <v>0.99751769999999995</v>
      </c>
      <c r="N5639">
        <v>0</v>
      </c>
      <c r="O5639">
        <v>-6.9297529999999996E-2</v>
      </c>
      <c r="P5639">
        <v>0.9718215</v>
      </c>
      <c r="Q5639">
        <v>8.319878E-2</v>
      </c>
      <c r="R5639">
        <v>-0.22054699999999999</v>
      </c>
      <c r="S5639">
        <v>2.8897089999999999</v>
      </c>
      <c r="T5639">
        <v>-0.40113260000000001</v>
      </c>
      <c r="U5639">
        <v>-1.0228269999999999</v>
      </c>
      <c r="V5639">
        <v>0.1529179</v>
      </c>
      <c r="W5639">
        <v>9.5105990000000001E-2</v>
      </c>
      <c r="X5639">
        <v>0.98365190000000002</v>
      </c>
      <c r="Y5639">
        <v>0.265870099999999</v>
      </c>
      <c r="Z5639">
        <v>-8.5679980000000003E-3</v>
      </c>
      <c r="AA5639">
        <v>0.96397080000000002</v>
      </c>
      <c r="AB5639">
        <v>27</v>
      </c>
      <c r="AC5639">
        <v>8.17970000000002</v>
      </c>
      <c r="AD5639">
        <v>-1.1591119999999999</v>
      </c>
      <c r="AE5639">
        <v>-2.9430000000000001</v>
      </c>
      <c r="AF5639">
        <v>2.3276630774999298</v>
      </c>
      <c r="AG5639">
        <v>-1.1591119999999999</v>
      </c>
      <c r="AH5639">
        <v>8.2178855728542697</v>
      </c>
      <c r="AI5639">
        <v>97.7283249665673</v>
      </c>
      <c r="AJ5639">
        <v>74.185568130080298</v>
      </c>
      <c r="AK5639">
        <v>8.6194663013104709</v>
      </c>
      <c r="AL5639">
        <v>84.542580043457306</v>
      </c>
      <c r="AM5639">
        <v>81.163566607922704</v>
      </c>
      <c r="AN5639">
        <v>1.0000000469239401</v>
      </c>
    </row>
    <row r="5640" spans="1:40" x14ac:dyDescent="0.25">
      <c r="A5640" t="str">
        <f>"20190312151137952"</f>
        <v>20190312151137952</v>
      </c>
      <c r="B5640" t="str">
        <f>"1552374697947088"</f>
        <v>1552374697947088</v>
      </c>
      <c r="C5640" t="s">
        <v>40</v>
      </c>
      <c r="D5640">
        <v>5.2551839999999999</v>
      </c>
      <c r="E5640">
        <v>0.54466840000000005</v>
      </c>
      <c r="F5640" t="s">
        <v>43</v>
      </c>
      <c r="G5640">
        <v>-318.71550000000002</v>
      </c>
      <c r="H5640">
        <v>-0.05</v>
      </c>
      <c r="I5640">
        <v>12.499890000000001</v>
      </c>
      <c r="J5640">
        <v>-326.91210000000001</v>
      </c>
      <c r="K5640">
        <v>1.1090580000000001</v>
      </c>
      <c r="L5640">
        <v>15.48068</v>
      </c>
      <c r="M5640">
        <v>0.99742790000000003</v>
      </c>
      <c r="N5640">
        <v>0</v>
      </c>
      <c r="O5640">
        <v>-7.0579169999999997E-2</v>
      </c>
      <c r="P5640">
        <v>0.97144109999999995</v>
      </c>
      <c r="Q5640">
        <v>8.3354700000000004E-2</v>
      </c>
      <c r="R5640">
        <v>-0.22215850000000001</v>
      </c>
      <c r="S5640">
        <v>2.8876339999999998</v>
      </c>
      <c r="T5640">
        <v>-0.3975979</v>
      </c>
      <c r="U5640">
        <v>-1.0282290000000001</v>
      </c>
      <c r="V5640">
        <v>0.15329960000000001</v>
      </c>
      <c r="W5640">
        <v>9.5241279999999998E-2</v>
      </c>
      <c r="X5640">
        <v>0.98357930000000005</v>
      </c>
      <c r="Y5640">
        <v>0.26648490000000002</v>
      </c>
      <c r="Z5640">
        <v>-8.3682029999999994E-3</v>
      </c>
      <c r="AA5640">
        <v>0.96380279999999996</v>
      </c>
      <c r="AB5640">
        <v>27</v>
      </c>
      <c r="AC5640">
        <v>8.1965999999999894</v>
      </c>
      <c r="AD5640">
        <v>-1.1590579999999999</v>
      </c>
      <c r="AE5640">
        <v>-2.9807899999999998</v>
      </c>
      <c r="AF5640">
        <v>2.3532416916101799</v>
      </c>
      <c r="AG5640">
        <v>-1.1590579999999999</v>
      </c>
      <c r="AH5640">
        <v>8.2410144544550992</v>
      </c>
      <c r="AI5640">
        <v>97.7019171542603</v>
      </c>
      <c r="AJ5640">
        <v>74.0631782909348</v>
      </c>
      <c r="AK5640">
        <v>8.6484380754581398</v>
      </c>
      <c r="AL5640">
        <v>84.5347926417205</v>
      </c>
      <c r="AM5640">
        <v>81.141215795224099</v>
      </c>
      <c r="AN5640">
        <v>0.99999995408234299</v>
      </c>
    </row>
    <row r="5641" spans="1:40" x14ac:dyDescent="0.25">
      <c r="A5641" t="str">
        <f>"20190312151137964"</f>
        <v>20190312151137964</v>
      </c>
      <c r="B5641" t="str">
        <f>"1552374697956848"</f>
        <v>1552374697956848</v>
      </c>
      <c r="C5641" t="s">
        <v>40</v>
      </c>
      <c r="D5641">
        <v>5.1548970000000001</v>
      </c>
      <c r="E5641">
        <v>0.55994600000000005</v>
      </c>
      <c r="F5641" t="s">
        <v>43</v>
      </c>
      <c r="G5641">
        <v>-318.49369999999999</v>
      </c>
      <c r="H5641">
        <v>-0.05</v>
      </c>
      <c r="I5641">
        <v>12.45744</v>
      </c>
      <c r="J5641">
        <v>-326.76029999999997</v>
      </c>
      <c r="K5641">
        <v>1.1090169999999999</v>
      </c>
      <c r="L5641">
        <v>15.468959999999999</v>
      </c>
      <c r="M5641">
        <v>0.99736199999999997</v>
      </c>
      <c r="N5641">
        <v>0</v>
      </c>
      <c r="O5641">
        <v>-7.1502490000000002E-2</v>
      </c>
      <c r="P5641">
        <v>0.97117189999999998</v>
      </c>
      <c r="Q5641">
        <v>8.3254430000000004E-2</v>
      </c>
      <c r="R5641">
        <v>-0.22337019999999999</v>
      </c>
      <c r="S5641">
        <v>2.885345</v>
      </c>
      <c r="T5641">
        <v>-0.397258</v>
      </c>
      <c r="U5641">
        <v>-1.0361940000000001</v>
      </c>
      <c r="V5641">
        <v>0.1536254</v>
      </c>
      <c r="W5641">
        <v>9.5124509999999995E-2</v>
      </c>
      <c r="X5641">
        <v>0.98353979999999996</v>
      </c>
      <c r="Y5641">
        <v>0.26818890000000001</v>
      </c>
      <c r="Z5641">
        <v>-8.3552969999999994E-3</v>
      </c>
      <c r="AA5641">
        <v>0.96333009999999997</v>
      </c>
      <c r="AB5641">
        <v>27</v>
      </c>
      <c r="AC5641">
        <v>8.2665999999999809</v>
      </c>
      <c r="AD5641">
        <v>-1.159017</v>
      </c>
      <c r="AE5641">
        <v>-3.01152</v>
      </c>
      <c r="AF5641">
        <v>2.3715258389340299</v>
      </c>
      <c r="AG5641">
        <v>-1.159017</v>
      </c>
      <c r="AH5641">
        <v>8.3164599231796199</v>
      </c>
      <c r="AI5641">
        <v>97.633387424141702</v>
      </c>
      <c r="AJ5641">
        <v>74.083943484369499</v>
      </c>
      <c r="AK5641">
        <v>8.7253057748639193</v>
      </c>
      <c r="AL5641">
        <v>84.541513765155301</v>
      </c>
      <c r="AM5641">
        <v>81.122337373871602</v>
      </c>
      <c r="AN5641">
        <v>0.99999998705597004</v>
      </c>
    </row>
    <row r="5642" spans="1:40" x14ac:dyDescent="0.25">
      <c r="A5642" t="str">
        <f>"20190312151137975"</f>
        <v>20190312151137975</v>
      </c>
      <c r="B5642" t="str">
        <f>"1552374697966608"</f>
        <v>1552374697966608</v>
      </c>
      <c r="C5642" t="s">
        <v>40</v>
      </c>
      <c r="D5642">
        <v>5.2250899999999998</v>
      </c>
      <c r="E5642">
        <v>0.560007699999999</v>
      </c>
      <c r="F5642" t="s">
        <v>42</v>
      </c>
      <c r="G5642">
        <v>-320.36410000000001</v>
      </c>
      <c r="H5642" s="1">
        <v>-5.731464E-6</v>
      </c>
      <c r="I5642">
        <v>12.873710000000001</v>
      </c>
      <c r="J5642">
        <v>-326.63420000000002</v>
      </c>
      <c r="K5642">
        <v>1.1089800000000001</v>
      </c>
      <c r="L5642">
        <v>15.45917</v>
      </c>
      <c r="M5642">
        <v>0.99730510000000006</v>
      </c>
      <c r="N5642">
        <v>0</v>
      </c>
      <c r="O5642">
        <v>-7.2291880000000003E-2</v>
      </c>
      <c r="P5642">
        <v>0.97096070000000001</v>
      </c>
      <c r="Q5642">
        <v>8.3392679999999997E-2</v>
      </c>
      <c r="R5642">
        <v>-0.2242343</v>
      </c>
      <c r="S5642">
        <v>2.8643190000000001</v>
      </c>
      <c r="T5642">
        <v>-0.49663950000000001</v>
      </c>
      <c r="U5642">
        <v>-1.162201</v>
      </c>
      <c r="V5642">
        <v>0.15373220000000001</v>
      </c>
      <c r="W5642">
        <v>9.5248860000000005E-2</v>
      </c>
      <c r="X5642">
        <v>0.98351109999999997</v>
      </c>
      <c r="Y5642">
        <v>0.30503920000000001</v>
      </c>
      <c r="Z5642">
        <v>-1.3340960000000001E-2</v>
      </c>
      <c r="AA5642">
        <v>0.95224629999999999</v>
      </c>
      <c r="AB5642">
        <v>27</v>
      </c>
      <c r="AC5642">
        <v>6.27010000000001</v>
      </c>
      <c r="AD5642">
        <v>-1.1089857314639999</v>
      </c>
      <c r="AE5642">
        <v>-2.5854599999999901</v>
      </c>
      <c r="AF5642">
        <v>2.0700356912050499</v>
      </c>
      <c r="AG5642">
        <v>-1.1089857314639999</v>
      </c>
      <c r="AH5642">
        <v>6.2728983817831896</v>
      </c>
      <c r="AI5642">
        <v>99.530228510006395</v>
      </c>
      <c r="AJ5642">
        <v>71.737281177079893</v>
      </c>
      <c r="AK5642">
        <v>6.6980707090647904</v>
      </c>
      <c r="AL5642">
        <v>84.534356658640704</v>
      </c>
      <c r="AM5642">
        <v>81.116008949014102</v>
      </c>
      <c r="AN5642">
        <v>1.00000000923567</v>
      </c>
    </row>
    <row r="5643" spans="1:40" x14ac:dyDescent="0.25">
      <c r="A5643" t="str">
        <f>"20190312151137988"</f>
        <v>20190312151137988</v>
      </c>
      <c r="B5643" t="str">
        <f>"1552374697977345"</f>
        <v>1552374697977345</v>
      </c>
      <c r="C5643" t="s">
        <v>40</v>
      </c>
      <c r="D5643">
        <v>5.0901839999999998</v>
      </c>
      <c r="E5643">
        <v>0.55958909999999995</v>
      </c>
      <c r="F5643" t="s">
        <v>42</v>
      </c>
      <c r="G5643">
        <v>-319.97469999999998</v>
      </c>
      <c r="H5643" s="1">
        <v>-5.9377659999999996E-6</v>
      </c>
      <c r="I5643">
        <v>12.74823</v>
      </c>
      <c r="J5643">
        <v>-326.49930000000001</v>
      </c>
      <c r="K5643">
        <v>1.108935</v>
      </c>
      <c r="L5643">
        <v>15.448460000000001</v>
      </c>
      <c r="M5643">
        <v>0.99724000000000002</v>
      </c>
      <c r="N5643">
        <v>0</v>
      </c>
      <c r="O5643">
        <v>-7.3184890000000002E-2</v>
      </c>
      <c r="P5643">
        <v>0.97072040000000004</v>
      </c>
      <c r="Q5643">
        <v>8.3425319999999997E-2</v>
      </c>
      <c r="R5643">
        <v>-0.22526070000000001</v>
      </c>
      <c r="S5643">
        <v>2.8616329999999999</v>
      </c>
      <c r="T5643">
        <v>-0.47654239999999998</v>
      </c>
      <c r="U5643">
        <v>-1.164917</v>
      </c>
      <c r="V5643">
        <v>0.1539026</v>
      </c>
      <c r="W5643">
        <v>9.5264550000000003E-2</v>
      </c>
      <c r="X5643">
        <v>0.98348290000000005</v>
      </c>
      <c r="Y5643">
        <v>0.30550939999999999</v>
      </c>
      <c r="Z5643">
        <v>-1.27133E-2</v>
      </c>
      <c r="AA5643">
        <v>0.95210419999999996</v>
      </c>
      <c r="AB5643">
        <v>27</v>
      </c>
      <c r="AC5643">
        <v>6.5246000000000199</v>
      </c>
      <c r="AD5643">
        <v>-1.108940937766</v>
      </c>
      <c r="AE5643">
        <v>-2.7002299999999999</v>
      </c>
      <c r="AF5643">
        <v>2.1621234563448</v>
      </c>
      <c r="AG5643">
        <v>-1.108940937766</v>
      </c>
      <c r="AH5643">
        <v>6.5433520250269401</v>
      </c>
      <c r="AI5643">
        <v>99.141588083316506</v>
      </c>
      <c r="AJ5643">
        <v>71.714866433179694</v>
      </c>
      <c r="AK5643">
        <v>6.9799701695174798</v>
      </c>
      <c r="AL5643">
        <v>84.533453419298993</v>
      </c>
      <c r="AM5643">
        <v>81.106068139739904</v>
      </c>
      <c r="AN5643">
        <v>0.99999997968293597</v>
      </c>
    </row>
    <row r="5644" spans="1:40" x14ac:dyDescent="0.25">
      <c r="A5644" t="str">
        <f>"20190312151138001"</f>
        <v>20190312151138001</v>
      </c>
      <c r="B5644" t="str">
        <f>"1552374697996865"</f>
        <v>1552374697996865</v>
      </c>
      <c r="C5644" t="s">
        <v>40</v>
      </c>
      <c r="D5644">
        <v>5.0641339999999904</v>
      </c>
      <c r="E5644">
        <v>0.56048489999999995</v>
      </c>
      <c r="F5644" t="s">
        <v>43</v>
      </c>
      <c r="G5644">
        <v>-319.512</v>
      </c>
      <c r="H5644">
        <v>-0.05</v>
      </c>
      <c r="I5644">
        <v>12.60426</v>
      </c>
      <c r="J5644">
        <v>-326.3141</v>
      </c>
      <c r="K5644">
        <v>1.1088709999999999</v>
      </c>
      <c r="L5644">
        <v>15.43356</v>
      </c>
      <c r="M5644">
        <v>0.99714610000000004</v>
      </c>
      <c r="N5644">
        <v>0</v>
      </c>
      <c r="O5644">
        <v>-7.4453110000000003E-2</v>
      </c>
      <c r="P5644">
        <v>0.97037799999999996</v>
      </c>
      <c r="Q5644">
        <v>8.3612899999999907E-2</v>
      </c>
      <c r="R5644">
        <v>-0.22666140000000001</v>
      </c>
      <c r="S5644">
        <v>2.8610229999999999</v>
      </c>
      <c r="T5644">
        <v>-0.47453689999999998</v>
      </c>
      <c r="U5644">
        <v>-1.1645810000000001</v>
      </c>
      <c r="V5644">
        <v>0.15408849999999999</v>
      </c>
      <c r="W5644">
        <v>9.5427830000000005E-2</v>
      </c>
      <c r="X5644">
        <v>0.98343800000000003</v>
      </c>
      <c r="Y5644">
        <v>0.30432490000000001</v>
      </c>
      <c r="Z5644">
        <v>-1.2370040000000001E-2</v>
      </c>
      <c r="AA5644">
        <v>0.952488</v>
      </c>
      <c r="AB5644">
        <v>27</v>
      </c>
      <c r="AC5644">
        <v>6.8020999999999896</v>
      </c>
      <c r="AD5644">
        <v>-1.158871</v>
      </c>
      <c r="AE5644">
        <v>-2.8292999999999999</v>
      </c>
      <c r="AF5644">
        <v>2.2590689839787301</v>
      </c>
      <c r="AG5644">
        <v>-1.158871</v>
      </c>
      <c r="AH5644">
        <v>6.8250018972414201</v>
      </c>
      <c r="AI5644">
        <v>99.157133439908904</v>
      </c>
      <c r="AJ5644">
        <v>71.685506689457299</v>
      </c>
      <c r="AK5644">
        <v>7.2819657762423402</v>
      </c>
      <c r="AL5644">
        <v>84.524055559845806</v>
      </c>
      <c r="AM5644">
        <v>81.095097119277497</v>
      </c>
      <c r="AN5644">
        <v>1.0000000182073701</v>
      </c>
    </row>
    <row r="5645" spans="1:40" x14ac:dyDescent="0.25">
      <c r="A5645" t="str">
        <f>"20190312151138019"</f>
        <v>20190312151138019</v>
      </c>
      <c r="B5645" t="str">
        <f>"1552374698006624"</f>
        <v>1552374698006624</v>
      </c>
      <c r="C5645" t="s">
        <v>40</v>
      </c>
      <c r="D5645">
        <v>5.3403720000000003</v>
      </c>
      <c r="E5645">
        <v>0.56157880000000004</v>
      </c>
      <c r="F5645" t="s">
        <v>43</v>
      </c>
      <c r="G5645">
        <v>-319.08699999999999</v>
      </c>
      <c r="H5645">
        <v>-0.05</v>
      </c>
      <c r="I5645">
        <v>12.45987</v>
      </c>
      <c r="J5645">
        <v>-326.10169999999999</v>
      </c>
      <c r="K5645">
        <v>1.1087880000000001</v>
      </c>
      <c r="L5645">
        <v>15.416079999999999</v>
      </c>
      <c r="M5645">
        <v>0.99702979999999997</v>
      </c>
      <c r="N5645">
        <v>0</v>
      </c>
      <c r="O5645">
        <v>-7.5994759999999995E-2</v>
      </c>
      <c r="P5645">
        <v>0.96993859999999998</v>
      </c>
      <c r="Q5645">
        <v>8.3603189999999994E-2</v>
      </c>
      <c r="R5645">
        <v>-0.22853799999999999</v>
      </c>
      <c r="S5645">
        <v>2.8565369999999999</v>
      </c>
      <c r="T5645">
        <v>-0.4580438</v>
      </c>
      <c r="U5645">
        <v>-1.175354</v>
      </c>
      <c r="V5645">
        <v>0.15448999999999999</v>
      </c>
      <c r="W5645">
        <v>9.5387E-2</v>
      </c>
      <c r="X5645">
        <v>0.98337889999999994</v>
      </c>
      <c r="Y5645">
        <v>0.30662209999999901</v>
      </c>
      <c r="Z5645">
        <v>-1.1896530000000001E-2</v>
      </c>
      <c r="AA5645">
        <v>0.95175699999999996</v>
      </c>
      <c r="AB5645">
        <v>27</v>
      </c>
      <c r="AC5645">
        <v>7.0147000000000004</v>
      </c>
      <c r="AD5645">
        <v>-1.1587879999999999</v>
      </c>
      <c r="AE5645">
        <v>-2.9562099999999898</v>
      </c>
      <c r="AF5645">
        <v>2.35985192191673</v>
      </c>
      <c r="AG5645">
        <v>-1.1587879999999999</v>
      </c>
      <c r="AH5645">
        <v>7.0555837043868301</v>
      </c>
      <c r="AI5645">
        <v>98.853022561609805</v>
      </c>
      <c r="AJ5645">
        <v>71.506670565777299</v>
      </c>
      <c r="AK5645">
        <v>7.5294722346208998</v>
      </c>
      <c r="AL5645">
        <v>84.526405294755705</v>
      </c>
      <c r="AM5645">
        <v>81.071739472687597</v>
      </c>
      <c r="AN5645">
        <v>0.99999995041710299</v>
      </c>
    </row>
    <row r="5646" spans="1:40" x14ac:dyDescent="0.25">
      <c r="A5646" t="str">
        <f>"20190312151138030"</f>
        <v>20190312151138030</v>
      </c>
      <c r="B5646" t="str">
        <f>"1552374698027121"</f>
        <v>1552374698027121</v>
      </c>
      <c r="C5646" t="s">
        <v>40</v>
      </c>
      <c r="D5646">
        <v>5.1129619999999996</v>
      </c>
      <c r="E5646">
        <v>0.56279860000000004</v>
      </c>
      <c r="F5646" t="s">
        <v>43</v>
      </c>
      <c r="G5646">
        <v>-318.78680000000003</v>
      </c>
      <c r="H5646">
        <v>-0.05</v>
      </c>
      <c r="I5646">
        <v>12.365589999999999</v>
      </c>
      <c r="J5646">
        <v>-325.96980000000002</v>
      </c>
      <c r="K5646">
        <v>1.1087309999999999</v>
      </c>
      <c r="L5646">
        <v>15.404999999999999</v>
      </c>
      <c r="M5646">
        <v>0.99695199999999995</v>
      </c>
      <c r="N5646">
        <v>0</v>
      </c>
      <c r="O5646">
        <v>-7.7007870000000006E-2</v>
      </c>
      <c r="P5646">
        <v>0.96965120000000005</v>
      </c>
      <c r="Q5646">
        <v>8.3699999999999997E-2</v>
      </c>
      <c r="R5646">
        <v>-0.2297198</v>
      </c>
      <c r="S5646">
        <v>2.851715</v>
      </c>
      <c r="T5646">
        <v>-0.45175359999999998</v>
      </c>
      <c r="U5646">
        <v>-1.1892400000000001</v>
      </c>
      <c r="V5646">
        <v>0.15470249999999999</v>
      </c>
      <c r="W5646">
        <v>9.5464370000000007E-2</v>
      </c>
      <c r="X5646">
        <v>0.98333809999999999</v>
      </c>
      <c r="Y5646">
        <v>0.31021320000000002</v>
      </c>
      <c r="Z5646">
        <v>-1.18631E-2</v>
      </c>
      <c r="AA5646">
        <v>0.95059300000000002</v>
      </c>
      <c r="AB5646">
        <v>27</v>
      </c>
      <c r="AC5646">
        <v>7.1829999999999901</v>
      </c>
      <c r="AD5646">
        <v>-1.158731</v>
      </c>
      <c r="AE5646">
        <v>-3.03940999999999</v>
      </c>
      <c r="AF5646">
        <v>2.4236986873774198</v>
      </c>
      <c r="AG5646">
        <v>-1.158731</v>
      </c>
      <c r="AH5646">
        <v>7.2360367155383702</v>
      </c>
      <c r="AI5646">
        <v>98.633961430538804</v>
      </c>
      <c r="AJ5646">
        <v>71.481810372675696</v>
      </c>
      <c r="AK5646">
        <v>7.71862683423518</v>
      </c>
      <c r="AL5646">
        <v>84.521952622800896</v>
      </c>
      <c r="AM5646">
        <v>81.059291993561203</v>
      </c>
      <c r="AN5646">
        <v>1.0000000641786699</v>
      </c>
    </row>
    <row r="5647" spans="1:40" x14ac:dyDescent="0.25">
      <c r="A5647" t="str">
        <f>"20190312151138041"</f>
        <v>20190312151138041</v>
      </c>
      <c r="B5647" t="str">
        <f>"1552374698036880"</f>
        <v>1552374698036880</v>
      </c>
      <c r="C5647" t="s">
        <v>40</v>
      </c>
      <c r="D5647">
        <v>5.2840829999999999</v>
      </c>
      <c r="E5647">
        <v>0.56354009999999999</v>
      </c>
      <c r="F5647" t="s">
        <v>43</v>
      </c>
      <c r="G5647">
        <v>-318.91079999999999</v>
      </c>
      <c r="H5647">
        <v>-0.05</v>
      </c>
      <c r="I5647">
        <v>12.42493</v>
      </c>
      <c r="J5647">
        <v>-325.8297</v>
      </c>
      <c r="K5647">
        <v>1.1086769999999999</v>
      </c>
      <c r="L5647">
        <v>15.39307</v>
      </c>
      <c r="M5647">
        <v>0.99686660000000005</v>
      </c>
      <c r="N5647">
        <v>0</v>
      </c>
      <c r="O5647">
        <v>-7.8105300000000003E-2</v>
      </c>
      <c r="P5647">
        <v>0.96938519999999995</v>
      </c>
      <c r="Q5647">
        <v>8.3664069999999993E-2</v>
      </c>
      <c r="R5647">
        <v>-0.23085339999999999</v>
      </c>
      <c r="S5647">
        <v>2.8492739999999999</v>
      </c>
      <c r="T5647">
        <v>-0.46770129999999999</v>
      </c>
      <c r="U5647">
        <v>-1.20285</v>
      </c>
      <c r="V5647">
        <v>0.154782</v>
      </c>
      <c r="W5647">
        <v>9.5409320000000006E-2</v>
      </c>
      <c r="X5647">
        <v>0.98333079999999995</v>
      </c>
      <c r="Y5647">
        <v>0.31312210000000001</v>
      </c>
      <c r="Z5647">
        <v>-1.2334039999999999E-2</v>
      </c>
      <c r="AA5647">
        <v>0.94963280000000005</v>
      </c>
      <c r="AB5647">
        <v>27</v>
      </c>
      <c r="AC5647">
        <v>6.9188999999999998</v>
      </c>
      <c r="AD5647">
        <v>-1.158677</v>
      </c>
      <c r="AE5647">
        <v>-2.96814</v>
      </c>
      <c r="AF5647">
        <v>2.3626647175500599</v>
      </c>
      <c r="AG5647">
        <v>-1.158677</v>
      </c>
      <c r="AH5647">
        <v>6.9646431039677399</v>
      </c>
      <c r="AI5647">
        <v>98.953186922834902</v>
      </c>
      <c r="AJ5647">
        <v>71.261161957228197</v>
      </c>
      <c r="AK5647">
        <v>7.44519781627932</v>
      </c>
      <c r="AL5647">
        <v>84.525120503727706</v>
      </c>
      <c r="AM5647">
        <v>81.054706402081806</v>
      </c>
      <c r="AN5647">
        <v>0.99999993404774801</v>
      </c>
    </row>
    <row r="5648" spans="1:40" x14ac:dyDescent="0.25">
      <c r="A5648" t="str">
        <f>"20190312151138052"</f>
        <v>20190312151138052</v>
      </c>
      <c r="B5648" t="str">
        <f>"1552374698046640"</f>
        <v>1552374698046640</v>
      </c>
      <c r="C5648" t="s">
        <v>40</v>
      </c>
      <c r="D5648">
        <v>5.1021330000000003</v>
      </c>
      <c r="E5648">
        <v>0.56361819999999996</v>
      </c>
      <c r="F5648" t="s">
        <v>43</v>
      </c>
      <c r="G5648">
        <v>-318.88389999999998</v>
      </c>
      <c r="H5648">
        <v>-0.05</v>
      </c>
      <c r="I5648">
        <v>12.435230000000001</v>
      </c>
      <c r="J5648">
        <v>-325.70060000000001</v>
      </c>
      <c r="K5648">
        <v>1.1086290000000001</v>
      </c>
      <c r="L5648">
        <v>15.381869999999999</v>
      </c>
      <c r="M5648">
        <v>0.99678389999999994</v>
      </c>
      <c r="N5648">
        <v>0</v>
      </c>
      <c r="O5648">
        <v>-7.9153979999999999E-2</v>
      </c>
      <c r="P5648">
        <v>0.96912399999999999</v>
      </c>
      <c r="Q5648">
        <v>8.3661180000000002E-2</v>
      </c>
      <c r="R5648">
        <v>-0.23194780000000001</v>
      </c>
      <c r="S5648">
        <v>2.8470460000000002</v>
      </c>
      <c r="T5648">
        <v>-0.474937</v>
      </c>
      <c r="U5648">
        <v>-1.212402</v>
      </c>
      <c r="V5648">
        <v>0.15486929999999999</v>
      </c>
      <c r="W5648">
        <v>9.5389399999999999E-2</v>
      </c>
      <c r="X5648">
        <v>0.98331900000000005</v>
      </c>
      <c r="Y5648">
        <v>0.31499880000000002</v>
      </c>
      <c r="Z5648">
        <v>-1.25083E-2</v>
      </c>
      <c r="AA5648">
        <v>0.94900969999999996</v>
      </c>
      <c r="AB5648">
        <v>27</v>
      </c>
      <c r="AC5648">
        <v>6.8167000000000204</v>
      </c>
      <c r="AD5648">
        <v>-1.1586289999999999</v>
      </c>
      <c r="AE5648">
        <v>-2.9466399999999999</v>
      </c>
      <c r="AF5648">
        <v>2.3408039572303299</v>
      </c>
      <c r="AG5648">
        <v>-1.1586289999999999</v>
      </c>
      <c r="AH5648">
        <v>6.8615466037533803</v>
      </c>
      <c r="AI5648">
        <v>99.079908854841193</v>
      </c>
      <c r="AJ5648">
        <v>71.163019715849401</v>
      </c>
      <c r="AK5648">
        <v>7.3418394235576798</v>
      </c>
      <c r="AL5648">
        <v>84.526267134780895</v>
      </c>
      <c r="AM5648">
        <v>81.049637075220701</v>
      </c>
      <c r="AN5648">
        <v>0.99999994673792303</v>
      </c>
    </row>
    <row r="5649" spans="1:40" x14ac:dyDescent="0.25">
      <c r="A5649" t="str">
        <f>"20190312151138064"</f>
        <v>20190312151138064</v>
      </c>
      <c r="B5649" t="str">
        <f>"1552374698057376"</f>
        <v>1552374698057376</v>
      </c>
      <c r="C5649" t="s">
        <v>40</v>
      </c>
      <c r="D5649">
        <v>5.0936139999999996</v>
      </c>
      <c r="E5649">
        <v>0.56371610000000005</v>
      </c>
      <c r="F5649" t="s">
        <v>43</v>
      </c>
      <c r="G5649">
        <v>-318.68369999999999</v>
      </c>
      <c r="H5649">
        <v>-0.05</v>
      </c>
      <c r="I5649">
        <v>12.38287</v>
      </c>
      <c r="J5649">
        <v>-325.5659</v>
      </c>
      <c r="K5649">
        <v>1.108579</v>
      </c>
      <c r="L5649">
        <v>15.3700299999999</v>
      </c>
      <c r="M5649">
        <v>0.99669370000000002</v>
      </c>
      <c r="N5649">
        <v>0</v>
      </c>
      <c r="O5649">
        <v>-8.0280050000000006E-2</v>
      </c>
      <c r="P5649">
        <v>0.96886799999999995</v>
      </c>
      <c r="Q5649">
        <v>8.3671700000000002E-2</v>
      </c>
      <c r="R5649">
        <v>-0.23301150000000001</v>
      </c>
      <c r="S5649">
        <v>2.8451230000000001</v>
      </c>
      <c r="T5649">
        <v>-0.46979169999999998</v>
      </c>
      <c r="U5649">
        <v>-1.2160029999999999</v>
      </c>
      <c r="V5649">
        <v>0.1548493</v>
      </c>
      <c r="W5649">
        <v>9.5382239999999993E-2</v>
      </c>
      <c r="X5649">
        <v>0.9833229</v>
      </c>
      <c r="Y5649">
        <v>0.31524210000000003</v>
      </c>
      <c r="Z5649">
        <v>-1.222315E-2</v>
      </c>
      <c r="AA5649">
        <v>0.94893260000000001</v>
      </c>
      <c r="AB5649">
        <v>27</v>
      </c>
      <c r="AC5649">
        <v>6.8822000000000099</v>
      </c>
      <c r="AD5649">
        <v>-1.158579</v>
      </c>
      <c r="AE5649">
        <v>-2.98715999999999</v>
      </c>
      <c r="AF5649">
        <v>2.3684885255027801</v>
      </c>
      <c r="AG5649">
        <v>-1.158579</v>
      </c>
      <c r="AH5649">
        <v>6.9344443808127396</v>
      </c>
      <c r="AI5649">
        <v>98.984544042255393</v>
      </c>
      <c r="AJ5649">
        <v>71.142183482669395</v>
      </c>
      <c r="AK5649">
        <v>7.4187978854572298</v>
      </c>
      <c r="AL5649">
        <v>84.526679552553205</v>
      </c>
      <c r="AM5649">
        <v>81.050809145979699</v>
      </c>
      <c r="AN5649">
        <v>1.0000000015411501</v>
      </c>
    </row>
    <row r="5650" spans="1:40" x14ac:dyDescent="0.25">
      <c r="A5650" t="str">
        <f>"20190312151138074"</f>
        <v>20190312151138074</v>
      </c>
      <c r="B5650" t="str">
        <f>"1552374698067137"</f>
        <v>1552374698067137</v>
      </c>
      <c r="C5650" t="s">
        <v>40</v>
      </c>
      <c r="D5650">
        <v>5.1043649999999996</v>
      </c>
      <c r="E5650">
        <v>0.56400269999999997</v>
      </c>
      <c r="F5650" t="s">
        <v>43</v>
      </c>
      <c r="G5650">
        <v>-318.55509999999998</v>
      </c>
      <c r="H5650">
        <v>-0.05</v>
      </c>
      <c r="I5650">
        <v>12.362399999999999</v>
      </c>
      <c r="J5650">
        <v>-325.42750000000001</v>
      </c>
      <c r="K5650">
        <v>1.10853</v>
      </c>
      <c r="L5650">
        <v>15.357670000000001</v>
      </c>
      <c r="M5650">
        <v>0.99659730000000002</v>
      </c>
      <c r="N5650">
        <v>0</v>
      </c>
      <c r="O5650">
        <v>-8.1467999999999999E-2</v>
      </c>
      <c r="P5650">
        <v>0.96853900000000004</v>
      </c>
      <c r="Q5650">
        <v>8.3590449999999997E-2</v>
      </c>
      <c r="R5650">
        <v>-0.23440369999999999</v>
      </c>
      <c r="S5650">
        <v>2.8435969999999999</v>
      </c>
      <c r="T5650">
        <v>-0.46992390000000001</v>
      </c>
      <c r="U5650">
        <v>-1.21991</v>
      </c>
      <c r="V5650">
        <v>0.1551015</v>
      </c>
      <c r="W5650">
        <v>9.5282580000000006E-2</v>
      </c>
      <c r="X5650">
        <v>0.98329279999999997</v>
      </c>
      <c r="Y5650">
        <v>0.3154071</v>
      </c>
      <c r="Z5650">
        <v>-1.205763E-2</v>
      </c>
      <c r="AA5650">
        <v>0.94887980000000005</v>
      </c>
      <c r="AB5650">
        <v>27</v>
      </c>
      <c r="AC5650">
        <v>6.8724000000000203</v>
      </c>
      <c r="AD5650">
        <v>-1.1585299999999901</v>
      </c>
      <c r="AE5650">
        <v>-2.9952700000000001</v>
      </c>
      <c r="AF5650">
        <v>2.3688159404239499</v>
      </c>
      <c r="AG5650">
        <v>-1.1585299999999901</v>
      </c>
      <c r="AH5650">
        <v>6.92813396458891</v>
      </c>
      <c r="AI5650">
        <v>98.991249834150096</v>
      </c>
      <c r="AJ5650">
        <v>71.123798064655702</v>
      </c>
      <c r="AK5650">
        <v>7.4129967591924002</v>
      </c>
      <c r="AL5650">
        <v>84.532415701018294</v>
      </c>
      <c r="AM5650">
        <v>81.036200311490205</v>
      </c>
      <c r="AN5650">
        <v>0.99999998794277301</v>
      </c>
    </row>
    <row r="5651" spans="1:40" x14ac:dyDescent="0.25">
      <c r="A5651" t="str">
        <f>"20190312151138085"</f>
        <v>20190312151138085</v>
      </c>
      <c r="B5651" t="str">
        <f>"1552374698076896"</f>
        <v>1552374698076896</v>
      </c>
      <c r="C5651" t="s">
        <v>40</v>
      </c>
      <c r="D5651">
        <v>5.1315569999999999</v>
      </c>
      <c r="E5651">
        <v>0.56421529999999998</v>
      </c>
      <c r="F5651" t="s">
        <v>43</v>
      </c>
      <c r="G5651">
        <v>-318.44119999999998</v>
      </c>
      <c r="H5651">
        <v>-0.05</v>
      </c>
      <c r="I5651">
        <v>12.342610000000001</v>
      </c>
      <c r="J5651">
        <v>-325.29770000000002</v>
      </c>
      <c r="K5651">
        <v>1.108482</v>
      </c>
      <c r="L5651">
        <v>15.34586</v>
      </c>
      <c r="M5651">
        <v>0.9965022</v>
      </c>
      <c r="N5651">
        <v>0</v>
      </c>
      <c r="O5651">
        <v>-8.2624500000000003E-2</v>
      </c>
      <c r="P5651">
        <v>0.96828040000000004</v>
      </c>
      <c r="Q5651">
        <v>8.3550479999999996E-2</v>
      </c>
      <c r="R5651">
        <v>-0.2354841</v>
      </c>
      <c r="S5651">
        <v>2.8413390000000001</v>
      </c>
      <c r="T5651">
        <v>-0.47117540000000002</v>
      </c>
      <c r="U5651">
        <v>-1.226227</v>
      </c>
      <c r="V5651">
        <v>0.15506719999999999</v>
      </c>
      <c r="W5651">
        <v>9.5227519999999996E-2</v>
      </c>
      <c r="X5651">
        <v>0.9833035</v>
      </c>
      <c r="Y5651">
        <v>0.3163475</v>
      </c>
      <c r="Z5651">
        <v>-1.1987039999999999E-2</v>
      </c>
      <c r="AA5651">
        <v>0.94856759999999996</v>
      </c>
      <c r="AB5651">
        <v>27</v>
      </c>
      <c r="AC5651">
        <v>6.8565000000000396</v>
      </c>
      <c r="AD5651">
        <v>-1.158482</v>
      </c>
      <c r="AE5651">
        <v>-3.0032499999999902</v>
      </c>
      <c r="AF5651">
        <v>2.3696611711729898</v>
      </c>
      <c r="AG5651">
        <v>-1.158482</v>
      </c>
      <c r="AH5651">
        <v>6.9155690742712599</v>
      </c>
      <c r="AI5651">
        <v>99.004933593685493</v>
      </c>
      <c r="AJ5651">
        <v>71.085669109463197</v>
      </c>
      <c r="AK5651">
        <v>7.4015181031668096</v>
      </c>
      <c r="AL5651">
        <v>84.535584582124102</v>
      </c>
      <c r="AM5651">
        <v>81.038246375408903</v>
      </c>
      <c r="AN5651">
        <v>0.99999994509671797</v>
      </c>
    </row>
    <row r="5652" spans="1:40" x14ac:dyDescent="0.25">
      <c r="A5652" t="str">
        <f>"20190312151138097"</f>
        <v>20190312151138097</v>
      </c>
      <c r="B5652" t="str">
        <f>"1552374698086656"</f>
        <v>1552374698086656</v>
      </c>
      <c r="C5652" t="s">
        <v>40</v>
      </c>
      <c r="D5652">
        <v>5.1411300000000004</v>
      </c>
      <c r="E5652">
        <v>0.56444430000000001</v>
      </c>
      <c r="F5652" t="s">
        <v>43</v>
      </c>
      <c r="G5652">
        <v>-318.2688</v>
      </c>
      <c r="H5652">
        <v>-0.05</v>
      </c>
      <c r="I5652">
        <v>12.2986</v>
      </c>
      <c r="J5652">
        <v>-325.15519999999998</v>
      </c>
      <c r="K5652">
        <v>1.1084350000000001</v>
      </c>
      <c r="L5652">
        <v>15.332789999999999</v>
      </c>
      <c r="M5652">
        <v>0.99639469999999997</v>
      </c>
      <c r="N5652">
        <v>0</v>
      </c>
      <c r="O5652">
        <v>-8.390947E-2</v>
      </c>
      <c r="P5652">
        <v>0.96798770000000001</v>
      </c>
      <c r="Q5652">
        <v>8.3507750000000006E-2</v>
      </c>
      <c r="R5652">
        <v>-0.2367002</v>
      </c>
      <c r="S5652">
        <v>2.839264</v>
      </c>
      <c r="T5652">
        <v>-0.46796359999999898</v>
      </c>
      <c r="U5652">
        <v>-1.2309270000000001</v>
      </c>
      <c r="V5652">
        <v>0.15504479999999901</v>
      </c>
      <c r="W5652">
        <v>9.5168660000000002E-2</v>
      </c>
      <c r="X5652">
        <v>0.98331279999999999</v>
      </c>
      <c r="Y5652">
        <v>0.316745</v>
      </c>
      <c r="Z5652">
        <v>-1.174264E-2</v>
      </c>
      <c r="AA5652">
        <v>0.948438</v>
      </c>
      <c r="AB5652">
        <v>27</v>
      </c>
      <c r="AC5652">
        <v>6.8863999999999796</v>
      </c>
      <c r="AD5652">
        <v>-1.1584350000000001</v>
      </c>
      <c r="AE5652">
        <v>-3.03418999999999</v>
      </c>
      <c r="AF5652">
        <v>2.38899476768982</v>
      </c>
      <c r="AG5652">
        <v>-1.1584350000000001</v>
      </c>
      <c r="AH5652">
        <v>6.9519818611534898</v>
      </c>
      <c r="AI5652">
        <v>98.955509286391703</v>
      </c>
      <c r="AJ5652">
        <v>71.035113003800703</v>
      </c>
      <c r="AK5652">
        <v>7.4417282567345504</v>
      </c>
      <c r="AL5652">
        <v>84.5389727714835</v>
      </c>
      <c r="AM5652">
        <v>81.039603297231594</v>
      </c>
      <c r="AN5652">
        <v>1.0000000132485301</v>
      </c>
    </row>
    <row r="5653" spans="1:40" x14ac:dyDescent="0.25">
      <c r="A5653" t="str">
        <f>"20190312151138110"</f>
        <v>20190312151138110</v>
      </c>
      <c r="B5653" t="str">
        <f>"1552374698107152"</f>
        <v>1552374698107152</v>
      </c>
      <c r="C5653" t="s">
        <v>40</v>
      </c>
      <c r="D5653">
        <v>5.0953720000000002</v>
      </c>
      <c r="E5653">
        <v>0.56485129999999995</v>
      </c>
      <c r="F5653" t="s">
        <v>43</v>
      </c>
      <c r="G5653">
        <v>-318.09840000000003</v>
      </c>
      <c r="H5653">
        <v>-0.05</v>
      </c>
      <c r="I5653">
        <v>12.258179999999999</v>
      </c>
      <c r="J5653">
        <v>-325.00790000000001</v>
      </c>
      <c r="K5653">
        <v>1.1083909999999999</v>
      </c>
      <c r="L5653">
        <v>15.318910000000001</v>
      </c>
      <c r="M5653">
        <v>0.99627750000000004</v>
      </c>
      <c r="N5653">
        <v>0</v>
      </c>
      <c r="O5653">
        <v>-8.5290829999999998E-2</v>
      </c>
      <c r="P5653">
        <v>0.96764700000000003</v>
      </c>
      <c r="Q5653">
        <v>8.3269289999999996E-2</v>
      </c>
      <c r="R5653">
        <v>-0.2381723</v>
      </c>
      <c r="S5653">
        <v>2.837097</v>
      </c>
      <c r="T5653">
        <v>-0.4657367</v>
      </c>
      <c r="U5653">
        <v>-1.2361150000000001</v>
      </c>
      <c r="V5653">
        <v>0.15518499999999999</v>
      </c>
      <c r="W5653">
        <v>9.4914689999999996E-2</v>
      </c>
      <c r="X5653">
        <v>0.98331519999999994</v>
      </c>
      <c r="Y5653">
        <v>0.31718839999999998</v>
      </c>
      <c r="Z5653">
        <v>-1.151315E-2</v>
      </c>
      <c r="AA5653">
        <v>0.94829269999999999</v>
      </c>
      <c r="AB5653">
        <v>27</v>
      </c>
      <c r="AC5653">
        <v>6.90949999999998</v>
      </c>
      <c r="AD5653">
        <v>-1.1583909999999999</v>
      </c>
      <c r="AE5653">
        <v>-3.06073</v>
      </c>
      <c r="AF5653">
        <v>2.4037327153977102</v>
      </c>
      <c r="AG5653">
        <v>-1.1583909999999999</v>
      </c>
      <c r="AH5653">
        <v>6.9813535360347201</v>
      </c>
      <c r="AI5653">
        <v>98.916310205362706</v>
      </c>
      <c r="AJ5653">
        <v>71.0010278223521</v>
      </c>
      <c r="AK5653">
        <v>7.4738944246663497</v>
      </c>
      <c r="AL5653">
        <v>84.5535901823703</v>
      </c>
      <c r="AM5653">
        <v>81.031653989564902</v>
      </c>
      <c r="AN5653">
        <v>0.99999998257691702</v>
      </c>
    </row>
    <row r="5654" spans="1:40" x14ac:dyDescent="0.25">
      <c r="A5654" t="str">
        <f>"20190312151138123"</f>
        <v>20190312151138123</v>
      </c>
      <c r="B5654" t="str">
        <f>"1552374698116912"</f>
        <v>1552374698116912</v>
      </c>
      <c r="C5654" t="s">
        <v>40</v>
      </c>
      <c r="D5654">
        <v>5.1134259999999996</v>
      </c>
      <c r="E5654">
        <v>0.56511859999999903</v>
      </c>
      <c r="F5654" t="s">
        <v>43</v>
      </c>
      <c r="G5654">
        <v>-317.9325</v>
      </c>
      <c r="H5654">
        <v>-0.05</v>
      </c>
      <c r="I5654">
        <v>12.2149</v>
      </c>
      <c r="J5654">
        <v>-324.84660000000002</v>
      </c>
      <c r="K5654">
        <v>1.1083449999999999</v>
      </c>
      <c r="L5654">
        <v>15.3035</v>
      </c>
      <c r="M5654">
        <v>0.99614480000000005</v>
      </c>
      <c r="N5654">
        <v>0</v>
      </c>
      <c r="O5654">
        <v>-8.6824680000000001E-2</v>
      </c>
      <c r="P5654">
        <v>0.96725380000000005</v>
      </c>
      <c r="Q5654">
        <v>8.2936960000000004E-2</v>
      </c>
      <c r="R5654">
        <v>-0.23987839999999999</v>
      </c>
      <c r="S5654">
        <v>2.8341980000000002</v>
      </c>
      <c r="T5654">
        <v>-0.46401789999999998</v>
      </c>
      <c r="U5654">
        <v>-1.2433780000000001</v>
      </c>
      <c r="V5654">
        <v>0.15541240000000001</v>
      </c>
      <c r="W5654">
        <v>9.4565339999999998E-2</v>
      </c>
      <c r="X5654">
        <v>0.98331299999999999</v>
      </c>
      <c r="Y5654">
        <v>0.31814870000000001</v>
      </c>
      <c r="Z5654">
        <v>-1.131541E-2</v>
      </c>
      <c r="AA5654">
        <v>0.94797330000000002</v>
      </c>
      <c r="AB5654">
        <v>27</v>
      </c>
      <c r="AC5654">
        <v>6.9141000000000101</v>
      </c>
      <c r="AD5654">
        <v>-1.158345</v>
      </c>
      <c r="AE5654">
        <v>-3.0886</v>
      </c>
      <c r="AF5654">
        <v>2.4199497926577398</v>
      </c>
      <c r="AG5654">
        <v>-1.158345</v>
      </c>
      <c r="AH5654">
        <v>6.9925586184247202</v>
      </c>
      <c r="AI5654">
        <v>98.897129672642805</v>
      </c>
      <c r="AJ5654">
        <v>70.9105417623242</v>
      </c>
      <c r="AK5654">
        <v>7.4895791717635998</v>
      </c>
      <c r="AL5654">
        <v>84.573697197480001</v>
      </c>
      <c r="AM5654">
        <v>81.018706543115002</v>
      </c>
      <c r="AN5654">
        <v>1.00000003678603</v>
      </c>
    </row>
    <row r="5655" spans="1:40" x14ac:dyDescent="0.25">
      <c r="A5655" t="str">
        <f>"20190312151138136"</f>
        <v>20190312151138136</v>
      </c>
      <c r="B5655" t="str">
        <f>"1552374698126672"</f>
        <v>1552374698126672</v>
      </c>
      <c r="C5655" t="s">
        <v>40</v>
      </c>
      <c r="D5655">
        <v>5.0738310000000002</v>
      </c>
      <c r="E5655">
        <v>0.56541140000000001</v>
      </c>
      <c r="F5655" t="s">
        <v>43</v>
      </c>
      <c r="G5655">
        <v>-317.762</v>
      </c>
      <c r="H5655">
        <v>-0.05</v>
      </c>
      <c r="I5655">
        <v>12.17474</v>
      </c>
      <c r="J5655">
        <v>-324.69170000000003</v>
      </c>
      <c r="K5655">
        <v>1.1082959999999999</v>
      </c>
      <c r="L5655">
        <v>15.2884799999999</v>
      </c>
      <c r="M5655">
        <v>0.99601289999999998</v>
      </c>
      <c r="N5655">
        <v>0</v>
      </c>
      <c r="O5655">
        <v>-8.8324680000000003E-2</v>
      </c>
      <c r="P5655">
        <v>0.96686729999999999</v>
      </c>
      <c r="Q5655">
        <v>8.2665790000000003E-2</v>
      </c>
      <c r="R5655">
        <v>-0.24152499999999999</v>
      </c>
      <c r="S5655">
        <v>2.8311459999999999</v>
      </c>
      <c r="T5655">
        <v>-0.46289469999999999</v>
      </c>
      <c r="U5655">
        <v>-1.250305</v>
      </c>
      <c r="V5655">
        <v>0.155612</v>
      </c>
      <c r="W5655">
        <v>9.4280030000000001E-2</v>
      </c>
      <c r="X5655">
        <v>0.98330879999999998</v>
      </c>
      <c r="Y5655">
        <v>0.31905820000000001</v>
      </c>
      <c r="Z5655">
        <v>-1.11349E-2</v>
      </c>
      <c r="AA5655">
        <v>0.94766969999999995</v>
      </c>
      <c r="AB5655">
        <v>27</v>
      </c>
      <c r="AC5655">
        <v>6.92970000000002</v>
      </c>
      <c r="AD5655">
        <v>-1.158296</v>
      </c>
      <c r="AE5655">
        <v>-3.1137399999999902</v>
      </c>
      <c r="AF5655">
        <v>2.4329027252312798</v>
      </c>
      <c r="AG5655">
        <v>-1.158296</v>
      </c>
      <c r="AH5655">
        <v>7.01459540179816</v>
      </c>
      <c r="AI5655">
        <v>98.867204725921098</v>
      </c>
      <c r="AJ5655">
        <v>70.871696663848198</v>
      </c>
      <c r="AK5655">
        <v>7.5143338989548303</v>
      </c>
      <c r="AL5655">
        <v>84.590117459419005</v>
      </c>
      <c r="AM5655">
        <v>81.0073222450781</v>
      </c>
      <c r="AN5655">
        <v>1.00000000737912</v>
      </c>
    </row>
    <row r="5656" spans="1:40" x14ac:dyDescent="0.25">
      <c r="A5656" t="str">
        <f>"20190312151138149"</f>
        <v>20190312151138149</v>
      </c>
      <c r="B5656" t="str">
        <f>"1552374698136432"</f>
        <v>1552374698136432</v>
      </c>
      <c r="C5656" t="s">
        <v>40</v>
      </c>
      <c r="D5656">
        <v>5.1005690000000001</v>
      </c>
      <c r="E5656">
        <v>0.56572199999999995</v>
      </c>
      <c r="F5656" t="s">
        <v>43</v>
      </c>
      <c r="G5656">
        <v>-317.61419999999998</v>
      </c>
      <c r="H5656">
        <v>-0.05</v>
      </c>
      <c r="I5656">
        <v>12.14235</v>
      </c>
      <c r="J5656">
        <v>-324.5401</v>
      </c>
      <c r="K5656">
        <v>1.1082620000000001</v>
      </c>
      <c r="L5656">
        <v>15.273440000000001</v>
      </c>
      <c r="M5656">
        <v>0.99587890000000001</v>
      </c>
      <c r="N5656">
        <v>0</v>
      </c>
      <c r="O5656">
        <v>-8.982213E-2</v>
      </c>
      <c r="P5656">
        <v>0.96641560000000004</v>
      </c>
      <c r="Q5656">
        <v>8.2454559999999996E-2</v>
      </c>
      <c r="R5656">
        <v>-0.243397</v>
      </c>
      <c r="S5656">
        <v>2.8283390000000002</v>
      </c>
      <c r="T5656">
        <v>-0.46288030000000002</v>
      </c>
      <c r="U5656">
        <v>-1.257263</v>
      </c>
      <c r="V5656">
        <v>0.1560434</v>
      </c>
      <c r="W5656">
        <v>9.4055020000000003E-2</v>
      </c>
      <c r="X5656">
        <v>0.98326199999999997</v>
      </c>
      <c r="Y5656">
        <v>0.31993630000000001</v>
      </c>
      <c r="Z5656">
        <v>-1.0978099999999999E-2</v>
      </c>
      <c r="AA5656">
        <v>0.94737539999999998</v>
      </c>
      <c r="AB5656">
        <v>27</v>
      </c>
      <c r="AC5656">
        <v>6.9259000000000102</v>
      </c>
      <c r="AD5656">
        <v>-1.1582619999999999</v>
      </c>
      <c r="AE5656">
        <v>-3.1310899999999902</v>
      </c>
      <c r="AF5656">
        <v>2.4396307503800898</v>
      </c>
      <c r="AG5656">
        <v>-1.1582619999999999</v>
      </c>
      <c r="AH5656">
        <v>7.0162329521042999</v>
      </c>
      <c r="AI5656">
        <v>98.862538573829696</v>
      </c>
      <c r="AJ5656">
        <v>70.826806223146804</v>
      </c>
      <c r="AK5656">
        <v>7.5180379020751396</v>
      </c>
      <c r="AL5656">
        <v>84.603067221975095</v>
      </c>
      <c r="AM5656">
        <v>80.982378958771307</v>
      </c>
      <c r="AN5656">
        <v>1.0000000250573799</v>
      </c>
    </row>
    <row r="5657" spans="1:40" x14ac:dyDescent="0.25">
      <c r="A5657" t="str">
        <f>"20190312151138165"</f>
        <v>20190312151138165</v>
      </c>
      <c r="B5657" t="str">
        <f>"1552374698156928"</f>
        <v>1552374698156928</v>
      </c>
      <c r="C5657" t="s">
        <v>40</v>
      </c>
      <c r="D5657">
        <v>5.1388769999999999</v>
      </c>
      <c r="E5657">
        <v>0.56616330000000004</v>
      </c>
      <c r="F5657" t="s">
        <v>43</v>
      </c>
      <c r="G5657">
        <v>-317.4742</v>
      </c>
      <c r="H5657">
        <v>-0.05</v>
      </c>
      <c r="I5657">
        <v>12.10928</v>
      </c>
      <c r="J5657">
        <v>-324.34440000000001</v>
      </c>
      <c r="K5657">
        <v>1.1082190000000001</v>
      </c>
      <c r="L5657">
        <v>15.25372</v>
      </c>
      <c r="M5657">
        <v>0.99570099999999995</v>
      </c>
      <c r="N5657">
        <v>0</v>
      </c>
      <c r="O5657">
        <v>-9.1774659999999994E-2</v>
      </c>
      <c r="P5657">
        <v>0.96578030000000004</v>
      </c>
      <c r="Q5657">
        <v>8.224969E-2</v>
      </c>
      <c r="R5657">
        <v>-0.245975</v>
      </c>
      <c r="S5657">
        <v>2.8251650000000001</v>
      </c>
      <c r="T5657">
        <v>-0.46311160000000001</v>
      </c>
      <c r="U5657">
        <v>-1.265137</v>
      </c>
      <c r="V5657">
        <v>0.15674560000000001</v>
      </c>
      <c r="W5657">
        <v>9.3833780000000006E-2</v>
      </c>
      <c r="X5657">
        <v>0.98317140000000003</v>
      </c>
      <c r="Y5657">
        <v>0.32068629999999998</v>
      </c>
      <c r="Z5657">
        <v>-1.0747710000000001E-2</v>
      </c>
      <c r="AA5657">
        <v>0.94712450000000004</v>
      </c>
      <c r="AB5657">
        <v>27</v>
      </c>
      <c r="AC5657">
        <v>6.8702000000000103</v>
      </c>
      <c r="AD5657">
        <v>-1.1582190000000001</v>
      </c>
      <c r="AE5657">
        <v>-3.1444399999999999</v>
      </c>
      <c r="AF5657">
        <v>2.4431961781676801</v>
      </c>
      <c r="AG5657">
        <v>-1.1582190000000001</v>
      </c>
      <c r="AH5657">
        <v>6.9661101675935901</v>
      </c>
      <c r="AI5657">
        <v>98.916724032526304</v>
      </c>
      <c r="AJ5657">
        <v>70.672903309816107</v>
      </c>
      <c r="AK5657">
        <v>7.4724406778525196</v>
      </c>
      <c r="AL5657">
        <v>84.615799415033607</v>
      </c>
      <c r="AM5657">
        <v>80.941649802189204</v>
      </c>
      <c r="AN5657">
        <v>0.99999998158320402</v>
      </c>
    </row>
    <row r="5658" spans="1:40" x14ac:dyDescent="0.25">
      <c r="A5658" t="str">
        <f>"20190312151138176"</f>
        <v>20190312151138176</v>
      </c>
      <c r="B5658" t="str">
        <f>"1552374698166688"</f>
        <v>1552374698166688</v>
      </c>
      <c r="C5658" t="s">
        <v>40</v>
      </c>
      <c r="D5658">
        <v>5.1384589999999903</v>
      </c>
      <c r="E5658">
        <v>0.56635239999999998</v>
      </c>
      <c r="F5658" t="s">
        <v>43</v>
      </c>
      <c r="G5658">
        <v>-317.35270000000003</v>
      </c>
      <c r="H5658">
        <v>-0.05</v>
      </c>
      <c r="I5658">
        <v>12.091710000000001</v>
      </c>
      <c r="J5658">
        <v>-324.20400000000001</v>
      </c>
      <c r="K5658">
        <v>1.108198</v>
      </c>
      <c r="L5658">
        <v>15.239380000000001</v>
      </c>
      <c r="M5658">
        <v>0.99556960000000005</v>
      </c>
      <c r="N5658">
        <v>0</v>
      </c>
      <c r="O5658">
        <v>-9.3188660000000006E-2</v>
      </c>
      <c r="P5658">
        <v>0.96529719999999997</v>
      </c>
      <c r="Q5658">
        <v>8.1991289999999994E-2</v>
      </c>
      <c r="R5658">
        <v>-0.2479498</v>
      </c>
      <c r="S5658">
        <v>2.821167</v>
      </c>
      <c r="T5658">
        <v>-0.46734379999999998</v>
      </c>
      <c r="U5658">
        <v>-1.275879</v>
      </c>
      <c r="V5658">
        <v>0.15736240000000001</v>
      </c>
      <c r="W5658">
        <v>9.3564610000000006E-2</v>
      </c>
      <c r="X5658">
        <v>0.98309860000000004</v>
      </c>
      <c r="Y5658">
        <v>0.3227854</v>
      </c>
      <c r="Z5658">
        <v>-1.079695E-2</v>
      </c>
      <c r="AA5658">
        <v>0.94641059999999999</v>
      </c>
      <c r="AB5658">
        <v>27</v>
      </c>
      <c r="AC5658">
        <v>6.8512999999999797</v>
      </c>
      <c r="AD5658">
        <v>-1.1581980000000001</v>
      </c>
      <c r="AE5658">
        <v>-3.14766999999999</v>
      </c>
      <c r="AF5658">
        <v>2.4379301975837402</v>
      </c>
      <c r="AG5658">
        <v>-1.1581980000000001</v>
      </c>
      <c r="AH5658">
        <v>6.9508162371541999</v>
      </c>
      <c r="AI5658">
        <v>98.935829170751902</v>
      </c>
      <c r="AJ5658">
        <v>70.672183988030199</v>
      </c>
      <c r="AK5658">
        <v>7.4564584501076103</v>
      </c>
      <c r="AL5658">
        <v>84.631290287972206</v>
      </c>
      <c r="AM5658">
        <v>80.9059371398141</v>
      </c>
      <c r="AN5658">
        <v>1.00000005925008</v>
      </c>
    </row>
    <row r="5659" spans="1:40" x14ac:dyDescent="0.25">
      <c r="A5659" t="str">
        <f>"20190312151138187"</f>
        <v>20190312151138187</v>
      </c>
      <c r="B5659" t="str">
        <f>"1552374698177424"</f>
        <v>1552374698177424</v>
      </c>
      <c r="C5659" t="s">
        <v>40</v>
      </c>
      <c r="D5659">
        <v>5.1837929999999997</v>
      </c>
      <c r="E5659">
        <v>0.56648779999999999</v>
      </c>
      <c r="F5659" t="s">
        <v>43</v>
      </c>
      <c r="G5659">
        <v>-317.28769999999997</v>
      </c>
      <c r="H5659">
        <v>-0.05</v>
      </c>
      <c r="I5659">
        <v>12.09064</v>
      </c>
      <c r="J5659">
        <v>-324.07819999999998</v>
      </c>
      <c r="K5659">
        <v>1.1081840000000001</v>
      </c>
      <c r="L5659">
        <v>15.226229999999999</v>
      </c>
      <c r="M5659">
        <v>0.99544889999999997</v>
      </c>
      <c r="N5659">
        <v>0</v>
      </c>
      <c r="O5659">
        <v>-9.4468029999999995E-2</v>
      </c>
      <c r="P5659">
        <v>0.96481439999999996</v>
      </c>
      <c r="Q5659">
        <v>8.2071939999999996E-2</v>
      </c>
      <c r="R5659">
        <v>-0.24979499999999999</v>
      </c>
      <c r="S5659">
        <v>2.8183590000000001</v>
      </c>
      <c r="T5659">
        <v>-0.47196260000000001</v>
      </c>
      <c r="U5659">
        <v>-1.283112</v>
      </c>
      <c r="V5659">
        <v>0.1579836</v>
      </c>
      <c r="W5659">
        <v>9.3636300000000006E-2</v>
      </c>
      <c r="X5659">
        <v>0.98299210000000004</v>
      </c>
      <c r="Y5659">
        <v>0.32388790000000001</v>
      </c>
      <c r="Z5659">
        <v>-1.0794369999999999E-2</v>
      </c>
      <c r="AA5659">
        <v>0.94603389999999998</v>
      </c>
      <c r="AB5659">
        <v>27</v>
      </c>
      <c r="AC5659">
        <v>6.7904999999999998</v>
      </c>
      <c r="AD5659">
        <v>-1.1581840000000001</v>
      </c>
      <c r="AE5659">
        <v>-3.1355900000000001</v>
      </c>
      <c r="AF5659">
        <v>2.4219561179089899</v>
      </c>
      <c r="AG5659">
        <v>-1.1581840000000001</v>
      </c>
      <c r="AH5659">
        <v>6.8911290216249501</v>
      </c>
      <c r="AI5659">
        <v>99.009860193529605</v>
      </c>
      <c r="AJ5659">
        <v>70.635465588474503</v>
      </c>
      <c r="AK5659">
        <v>7.3956014500251701</v>
      </c>
      <c r="AL5659">
        <v>84.627164438679998</v>
      </c>
      <c r="AM5659">
        <v>80.869668583119804</v>
      </c>
      <c r="AN5659">
        <v>1.00000002160452</v>
      </c>
    </row>
    <row r="5660" spans="1:40" x14ac:dyDescent="0.25">
      <c r="A5660" t="str">
        <f>"20190312151138197"</f>
        <v>20190312151138197</v>
      </c>
      <c r="B5660" t="str">
        <f>"1552374698187184"</f>
        <v>1552374698187184</v>
      </c>
      <c r="C5660" t="s">
        <v>40</v>
      </c>
      <c r="D5660">
        <v>5.167008</v>
      </c>
      <c r="E5660">
        <v>0.566666</v>
      </c>
      <c r="F5660" t="s">
        <v>43</v>
      </c>
      <c r="G5660">
        <v>-317.21449999999999</v>
      </c>
      <c r="H5660">
        <v>-0.05</v>
      </c>
      <c r="I5660">
        <v>12.08276</v>
      </c>
      <c r="J5660">
        <v>-323.9479</v>
      </c>
      <c r="K5660">
        <v>1.1081780000000001</v>
      </c>
      <c r="L5660">
        <v>15.212590000000001</v>
      </c>
      <c r="M5660">
        <v>0.99532229999999999</v>
      </c>
      <c r="N5660">
        <v>0</v>
      </c>
      <c r="O5660">
        <v>-9.5794119999999996E-2</v>
      </c>
      <c r="P5660">
        <v>0.96439390000000003</v>
      </c>
      <c r="Q5660">
        <v>8.1839179999999997E-2</v>
      </c>
      <c r="R5660">
        <v>-0.2514903</v>
      </c>
      <c r="S5660">
        <v>2.8159179999999999</v>
      </c>
      <c r="T5660">
        <v>-0.4751611</v>
      </c>
      <c r="U5660">
        <v>-1.289642</v>
      </c>
      <c r="V5660">
        <v>0.15840199999999999</v>
      </c>
      <c r="W5660">
        <v>9.3396549999999995E-2</v>
      </c>
      <c r="X5660">
        <v>0.98294749999999997</v>
      </c>
      <c r="Y5660">
        <v>0.32472269999999998</v>
      </c>
      <c r="Z5660">
        <v>-1.0728329999999999E-2</v>
      </c>
      <c r="AA5660">
        <v>0.94574840000000004</v>
      </c>
      <c r="AB5660">
        <v>27</v>
      </c>
      <c r="AC5660">
        <v>6.7334000000000103</v>
      </c>
      <c r="AD5660">
        <v>-1.1581779999999999</v>
      </c>
      <c r="AE5660">
        <v>-3.1298299999999899</v>
      </c>
      <c r="AF5660">
        <v>2.41168903930566</v>
      </c>
      <c r="AG5660">
        <v>-1.1581779999999999</v>
      </c>
      <c r="AH5660">
        <v>6.83595907190203</v>
      </c>
      <c r="AI5660">
        <v>99.077588640884898</v>
      </c>
      <c r="AJ5660">
        <v>70.567436499182406</v>
      </c>
      <c r="AK5660">
        <v>7.3408416911625798</v>
      </c>
      <c r="AL5660">
        <v>84.640961171032799</v>
      </c>
      <c r="AM5660">
        <v>80.845488578071695</v>
      </c>
      <c r="AN5660">
        <v>0.99999994845607498</v>
      </c>
    </row>
    <row r="5661" spans="1:40" x14ac:dyDescent="0.25">
      <c r="A5661" t="str">
        <f>"20190312151138208"</f>
        <v>20190312151138208</v>
      </c>
      <c r="B5661" t="str">
        <f>"1552374698196944"</f>
        <v>1552374698196944</v>
      </c>
      <c r="C5661" t="s">
        <v>40</v>
      </c>
      <c r="D5661">
        <v>5.1687770000000004</v>
      </c>
      <c r="E5661">
        <v>0.56684259999999997</v>
      </c>
      <c r="F5661" t="s">
        <v>43</v>
      </c>
      <c r="G5661">
        <v>-317.13760000000002</v>
      </c>
      <c r="H5661">
        <v>-0.05</v>
      </c>
      <c r="I5661">
        <v>12.075390000000001</v>
      </c>
      <c r="J5661">
        <v>-323.8177</v>
      </c>
      <c r="K5661">
        <v>1.1081700000000001</v>
      </c>
      <c r="L5661">
        <v>15.198549999999999</v>
      </c>
      <c r="M5661">
        <v>0.99519259999999998</v>
      </c>
      <c r="N5661">
        <v>0</v>
      </c>
      <c r="O5661">
        <v>-9.7130720000000004E-2</v>
      </c>
      <c r="P5661">
        <v>0.96397600000000006</v>
      </c>
      <c r="Q5661">
        <v>8.1782099999999996E-2</v>
      </c>
      <c r="R5661">
        <v>-0.25310460000000001</v>
      </c>
      <c r="S5661">
        <v>2.8133849999999998</v>
      </c>
      <c r="T5661">
        <v>-0.4784504</v>
      </c>
      <c r="U5661">
        <v>-1.29599</v>
      </c>
      <c r="V5661">
        <v>0.15872929999999999</v>
      </c>
      <c r="W5661">
        <v>9.3334360000000005E-2</v>
      </c>
      <c r="X5661">
        <v>0.98290069999999996</v>
      </c>
      <c r="Y5661">
        <v>0.32550669999999998</v>
      </c>
      <c r="Z5661">
        <v>-1.0657069999999999E-2</v>
      </c>
      <c r="AA5661">
        <v>0.94547969999999903</v>
      </c>
      <c r="AB5661">
        <v>27</v>
      </c>
      <c r="AC5661">
        <v>6.6800999999999799</v>
      </c>
      <c r="AD5661">
        <v>-1.1581699999999999</v>
      </c>
      <c r="AE5661">
        <v>-3.1231599999999999</v>
      </c>
      <c r="AF5661">
        <v>2.4002875300967901</v>
      </c>
      <c r="AG5661">
        <v>-1.1581699999999999</v>
      </c>
      <c r="AH5661">
        <v>6.7845312963599698</v>
      </c>
      <c r="AI5661">
        <v>99.142371827011303</v>
      </c>
      <c r="AJ5661">
        <v>70.516818389027094</v>
      </c>
      <c r="AK5661">
        <v>7.2892114036654201</v>
      </c>
      <c r="AL5661">
        <v>84.644540518871295</v>
      </c>
      <c r="AM5661">
        <v>80.826464875294803</v>
      </c>
      <c r="AN5661">
        <v>1.0000000397477899</v>
      </c>
    </row>
    <row r="5662" spans="1:40" x14ac:dyDescent="0.25">
      <c r="A5662" t="str">
        <f>"20190312151138220"</f>
        <v>20190312151138220</v>
      </c>
      <c r="B5662" t="str">
        <f>"1552374698216464"</f>
        <v>1552374698216464</v>
      </c>
      <c r="C5662" t="s">
        <v>40</v>
      </c>
      <c r="D5662">
        <v>5.1035659999999998</v>
      </c>
      <c r="E5662">
        <v>0.56790130000000005</v>
      </c>
      <c r="F5662" t="s">
        <v>43</v>
      </c>
      <c r="G5662">
        <v>-317.0598</v>
      </c>
      <c r="H5662">
        <v>-0.05</v>
      </c>
      <c r="I5662">
        <v>12.068390000000001</v>
      </c>
      <c r="J5662">
        <v>-323.67669999999998</v>
      </c>
      <c r="K5662">
        <v>1.108161</v>
      </c>
      <c r="L5662">
        <v>15.183350000000001</v>
      </c>
      <c r="M5662">
        <v>0.9950504</v>
      </c>
      <c r="N5662">
        <v>0</v>
      </c>
      <c r="O5662">
        <v>-9.8578550000000001E-2</v>
      </c>
      <c r="P5662">
        <v>0.96354059999999997</v>
      </c>
      <c r="Q5662">
        <v>8.161446E-2</v>
      </c>
      <c r="R5662">
        <v>-0.25481130000000002</v>
      </c>
      <c r="S5662">
        <v>2.811096</v>
      </c>
      <c r="T5662">
        <v>-0.48176930000000001</v>
      </c>
      <c r="U5662">
        <v>-1.302063</v>
      </c>
      <c r="V5662">
        <v>0.15904009999999999</v>
      </c>
      <c r="W5662">
        <v>9.3162019999999998E-2</v>
      </c>
      <c r="X5662">
        <v>0.98286680000000004</v>
      </c>
      <c r="Y5662">
        <v>0.3260808</v>
      </c>
      <c r="Z5662">
        <v>-1.0548999999999999E-2</v>
      </c>
      <c r="AA5662">
        <v>0.94528310000000004</v>
      </c>
      <c r="AB5662">
        <v>27</v>
      </c>
      <c r="AC5662">
        <v>6.6168999999999798</v>
      </c>
      <c r="AD5662">
        <v>-1.158161</v>
      </c>
      <c r="AE5662">
        <v>-3.11496</v>
      </c>
      <c r="AF5662">
        <v>2.3875740150154598</v>
      </c>
      <c r="AG5662">
        <v>-1.158161</v>
      </c>
      <c r="AH5662">
        <v>6.7231540892305199</v>
      </c>
      <c r="AI5662">
        <v>99.220514510196097</v>
      </c>
      <c r="AJ5662">
        <v>70.448672185194795</v>
      </c>
      <c r="AK5662">
        <v>7.22790754552347</v>
      </c>
      <c r="AL5662">
        <v>84.654458037892496</v>
      </c>
      <c r="AM5662">
        <v>80.808497307899799</v>
      </c>
      <c r="AN5662">
        <v>1.0000000309603601</v>
      </c>
    </row>
    <row r="5663" spans="1:40" x14ac:dyDescent="0.25">
      <c r="A5663" t="str">
        <f>"20190312151138231"</f>
        <v>20190312151138231</v>
      </c>
      <c r="B5663" t="str">
        <f>"1552374698227200"</f>
        <v>1552374698227200</v>
      </c>
      <c r="C5663" t="s">
        <v>40</v>
      </c>
      <c r="D5663">
        <v>5.0585959999999996</v>
      </c>
      <c r="E5663">
        <v>0.56839569999999995</v>
      </c>
      <c r="F5663" t="s">
        <v>43</v>
      </c>
      <c r="G5663">
        <v>-316.9178</v>
      </c>
      <c r="H5663">
        <v>-0.05</v>
      </c>
      <c r="I5663">
        <v>12.01544</v>
      </c>
      <c r="J5663">
        <v>-323.548</v>
      </c>
      <c r="K5663">
        <v>1.1081510000000001</v>
      </c>
      <c r="L5663">
        <v>15.16916</v>
      </c>
      <c r="M5663">
        <v>0.99491779999999996</v>
      </c>
      <c r="N5663">
        <v>0</v>
      </c>
      <c r="O5663">
        <v>-9.9907480000000007E-2</v>
      </c>
      <c r="P5663">
        <v>0.96309540000000005</v>
      </c>
      <c r="Q5663">
        <v>8.1534529999999994E-2</v>
      </c>
      <c r="R5663">
        <v>-0.25651400000000002</v>
      </c>
      <c r="S5663">
        <v>2.8063959999999999</v>
      </c>
      <c r="T5663">
        <v>-0.48088609999999998</v>
      </c>
      <c r="U5663">
        <v>-1.315369</v>
      </c>
      <c r="V5663">
        <v>0.15946550000000001</v>
      </c>
      <c r="W5663">
        <v>9.3077989999999999E-2</v>
      </c>
      <c r="X5663">
        <v>0.98280579999999995</v>
      </c>
      <c r="Y5663">
        <v>0.32909139999999998</v>
      </c>
      <c r="Z5663">
        <v>-1.056841E-2</v>
      </c>
      <c r="AA5663">
        <v>0.94423900000000005</v>
      </c>
      <c r="AB5663">
        <v>27</v>
      </c>
      <c r="AC5663">
        <v>6.6302000000000003</v>
      </c>
      <c r="AD5663">
        <v>-1.1581509999999999</v>
      </c>
      <c r="AE5663">
        <v>-3.1537199999999999</v>
      </c>
      <c r="AF5663">
        <v>2.4153788884459599</v>
      </c>
      <c r="AG5663">
        <v>-1.1581509999999999</v>
      </c>
      <c r="AH5663">
        <v>6.74431050091499</v>
      </c>
      <c r="AI5663">
        <v>99.183410069221694</v>
      </c>
      <c r="AJ5663">
        <v>70.295737182600405</v>
      </c>
      <c r="AK5663">
        <v>7.2567963349058902</v>
      </c>
      <c r="AL5663">
        <v>84.659293443145998</v>
      </c>
      <c r="AM5663">
        <v>80.783771019566501</v>
      </c>
      <c r="AN5663">
        <v>0.99999999921316496</v>
      </c>
    </row>
    <row r="5664" spans="1:40" x14ac:dyDescent="0.25">
      <c r="A5664" t="str">
        <f>"20190312151138242"</f>
        <v>20190312151138242</v>
      </c>
      <c r="B5664" t="str">
        <f>"1552374698236960"</f>
        <v>1552374698236960</v>
      </c>
      <c r="C5664" t="s">
        <v>40</v>
      </c>
      <c r="D5664">
        <v>4.9987459999999997</v>
      </c>
      <c r="E5664">
        <v>0.56882029999999995</v>
      </c>
      <c r="F5664" t="s">
        <v>43</v>
      </c>
      <c r="G5664">
        <v>-316.79349999999999</v>
      </c>
      <c r="H5664">
        <v>-0.05</v>
      </c>
      <c r="I5664">
        <v>11.978070000000001</v>
      </c>
      <c r="J5664">
        <v>-323.41140000000001</v>
      </c>
      <c r="K5664">
        <v>1.1081449999999999</v>
      </c>
      <c r="L5664">
        <v>15.154019999999999</v>
      </c>
      <c r="M5664">
        <v>0.99477490000000002</v>
      </c>
      <c r="N5664">
        <v>0</v>
      </c>
      <c r="O5664">
        <v>-0.10131950000000001</v>
      </c>
      <c r="P5664">
        <v>0.96260480000000004</v>
      </c>
      <c r="Q5664">
        <v>8.1464339999999996E-2</v>
      </c>
      <c r="R5664">
        <v>-0.25837130000000003</v>
      </c>
      <c r="S5664">
        <v>2.8029480000000002</v>
      </c>
      <c r="T5664">
        <v>-0.48060310000000001</v>
      </c>
      <c r="U5664">
        <v>-1.324219</v>
      </c>
      <c r="V5664">
        <v>0.15996740000000001</v>
      </c>
      <c r="W5664">
        <v>9.3002039999999994E-2</v>
      </c>
      <c r="X5664">
        <v>0.98273140000000003</v>
      </c>
      <c r="Y5664">
        <v>0.33063920000000002</v>
      </c>
      <c r="Z5664">
        <v>-1.046801E-2</v>
      </c>
      <c r="AA5664">
        <v>0.94369919999999996</v>
      </c>
      <c r="AB5664">
        <v>27</v>
      </c>
      <c r="AC5664">
        <v>6.6179000000000103</v>
      </c>
      <c r="AD5664">
        <v>-1.158145</v>
      </c>
      <c r="AE5664">
        <v>-3.1759499999999998</v>
      </c>
      <c r="AF5664">
        <v>2.4285749515110702</v>
      </c>
      <c r="AG5664">
        <v>-1.158145</v>
      </c>
      <c r="AH5664">
        <v>6.7379243449154398</v>
      </c>
      <c r="AI5664">
        <v>99.185314471684705</v>
      </c>
      <c r="AJ5664">
        <v>70.179128854974806</v>
      </c>
      <c r="AK5664">
        <v>7.2552670945965998</v>
      </c>
      <c r="AL5664">
        <v>84.663663894113995</v>
      </c>
      <c r="AM5664">
        <v>80.754576221530797</v>
      </c>
      <c r="AN5664">
        <v>0.99999997652644002</v>
      </c>
    </row>
    <row r="5665" spans="1:40" x14ac:dyDescent="0.25">
      <c r="A5665" t="str">
        <f>"20190312151138253"</f>
        <v>20190312151138253</v>
      </c>
      <c r="B5665" t="str">
        <f>"1552374698246721"</f>
        <v>1552374698246721</v>
      </c>
      <c r="C5665" t="s">
        <v>40</v>
      </c>
      <c r="D5665">
        <v>5.0943259999999997</v>
      </c>
      <c r="E5665">
        <v>0.56941309999999901</v>
      </c>
      <c r="F5665" t="s">
        <v>43</v>
      </c>
      <c r="G5665">
        <v>-316.66919999999999</v>
      </c>
      <c r="H5665">
        <v>-0.05</v>
      </c>
      <c r="I5665">
        <v>11.943770000000001</v>
      </c>
      <c r="J5665">
        <v>-323.27289999999999</v>
      </c>
      <c r="K5665">
        <v>1.1081369999999999</v>
      </c>
      <c r="L5665">
        <v>15.138400000000001</v>
      </c>
      <c r="M5665">
        <v>0.99462740000000005</v>
      </c>
      <c r="N5665">
        <v>0</v>
      </c>
      <c r="O5665">
        <v>-0.1027576</v>
      </c>
      <c r="P5665">
        <v>0.96207920000000002</v>
      </c>
      <c r="Q5665">
        <v>8.1568570000000007E-2</v>
      </c>
      <c r="R5665">
        <v>-0.26028879999999999</v>
      </c>
      <c r="S5665">
        <v>2.7994690000000002</v>
      </c>
      <c r="T5665">
        <v>-0.48087930000000001</v>
      </c>
      <c r="U5665">
        <v>-1.3329470000000001</v>
      </c>
      <c r="V5665">
        <v>0.16050819999999999</v>
      </c>
      <c r="W5665">
        <v>9.310032E-2</v>
      </c>
      <c r="X5665">
        <v>0.98263389999999995</v>
      </c>
      <c r="Y5665">
        <v>0.33212509999999901</v>
      </c>
      <c r="Z5665">
        <v>-1.0370610000000001E-2</v>
      </c>
      <c r="AA5665">
        <v>0.94317839999999997</v>
      </c>
      <c r="AB5665">
        <v>27</v>
      </c>
      <c r="AC5665">
        <v>6.6036999999999999</v>
      </c>
      <c r="AD5665">
        <v>-1.158137</v>
      </c>
      <c r="AE5665">
        <v>-3.1946300000000001</v>
      </c>
      <c r="AF5665">
        <v>2.43830980492225</v>
      </c>
      <c r="AG5665">
        <v>-1.158137</v>
      </c>
      <c r="AH5665">
        <v>6.7293131924287604</v>
      </c>
      <c r="AI5665">
        <v>99.191294188489806</v>
      </c>
      <c r="AJ5665">
        <v>70.082443605175001</v>
      </c>
      <c r="AK5665">
        <v>7.2505373633507197</v>
      </c>
      <c r="AL5665">
        <v>84.658008274145999</v>
      </c>
      <c r="AM5665">
        <v>80.722958341545606</v>
      </c>
      <c r="AN5665">
        <v>0.99999996664027502</v>
      </c>
    </row>
    <row r="5666" spans="1:40" x14ac:dyDescent="0.25">
      <c r="A5666" t="str">
        <f>"20190312151138265"</f>
        <v>20190312151138265</v>
      </c>
      <c r="B5666" t="str">
        <f>"1552374698256480"</f>
        <v>1552374698256480</v>
      </c>
      <c r="C5666" t="s">
        <v>40</v>
      </c>
      <c r="D5666">
        <v>5.1731939999999996</v>
      </c>
      <c r="E5666">
        <v>0.56941309999999901</v>
      </c>
      <c r="F5666" t="s">
        <v>43</v>
      </c>
      <c r="G5666">
        <v>-316.53160000000003</v>
      </c>
      <c r="H5666">
        <v>-0.05</v>
      </c>
      <c r="I5666">
        <v>11.89992</v>
      </c>
      <c r="J5666">
        <v>-323.1388</v>
      </c>
      <c r="K5666">
        <v>1.108128</v>
      </c>
      <c r="L5666">
        <v>15.123049999999999</v>
      </c>
      <c r="M5666">
        <v>0.99448190000000003</v>
      </c>
      <c r="N5666">
        <v>0</v>
      </c>
      <c r="O5666">
        <v>-0.1041569</v>
      </c>
      <c r="P5666">
        <v>0.96152539999999997</v>
      </c>
      <c r="Q5666">
        <v>8.1588330000000001E-2</v>
      </c>
      <c r="R5666">
        <v>-0.26232139999999998</v>
      </c>
      <c r="S5666">
        <v>2.7956240000000001</v>
      </c>
      <c r="T5666">
        <v>-0.48028769999999998</v>
      </c>
      <c r="U5666">
        <v>-1.343018</v>
      </c>
      <c r="V5666">
        <v>0.1612055</v>
      </c>
      <c r="W5666">
        <v>9.3112189999999997E-2</v>
      </c>
      <c r="X5666">
        <v>0.98251869999999997</v>
      </c>
      <c r="Y5666">
        <v>0.33406570000000002</v>
      </c>
      <c r="Z5666">
        <v>-1.029804E-2</v>
      </c>
      <c r="AA5666">
        <v>0.94249360000000004</v>
      </c>
      <c r="AB5666">
        <v>27</v>
      </c>
      <c r="AC5666">
        <v>6.6071999999999704</v>
      </c>
      <c r="AD5666">
        <v>-1.158128</v>
      </c>
      <c r="AE5666">
        <v>-3.2231299999999901</v>
      </c>
      <c r="AF5666">
        <v>2.4563937076255602</v>
      </c>
      <c r="AG5666">
        <v>-1.158128</v>
      </c>
      <c r="AH5666">
        <v>6.7397274019350997</v>
      </c>
      <c r="AI5666">
        <v>99.171116806860198</v>
      </c>
      <c r="AJ5666">
        <v>69.974979881650796</v>
      </c>
      <c r="AK5666">
        <v>7.26629589017963</v>
      </c>
      <c r="AL5666">
        <v>84.657325623300906</v>
      </c>
      <c r="AM5666">
        <v>80.682287814203207</v>
      </c>
      <c r="AN5666">
        <v>1.00000004450326</v>
      </c>
    </row>
    <row r="5667" spans="1:40" x14ac:dyDescent="0.25">
      <c r="A5667" t="str">
        <f>"20190312151138276"</f>
        <v>20190312151138276</v>
      </c>
      <c r="B5667" t="str">
        <f>"1552374698267216"</f>
        <v>1552374698267216</v>
      </c>
      <c r="C5667" t="s">
        <v>40</v>
      </c>
      <c r="D5667">
        <v>5.0298339999999904</v>
      </c>
      <c r="E5667">
        <v>0.5883389</v>
      </c>
      <c r="F5667" t="s">
        <v>43</v>
      </c>
      <c r="G5667">
        <v>-316.4042</v>
      </c>
      <c r="H5667">
        <v>-0.05</v>
      </c>
      <c r="I5667">
        <v>11.87135</v>
      </c>
      <c r="J5667">
        <v>-323.00900000000001</v>
      </c>
      <c r="K5667">
        <v>1.10812</v>
      </c>
      <c r="L5667">
        <v>15.108090000000001</v>
      </c>
      <c r="M5667">
        <v>0.99433859999999996</v>
      </c>
      <c r="N5667">
        <v>0</v>
      </c>
      <c r="O5667">
        <v>-0.1055151</v>
      </c>
      <c r="P5667">
        <v>0.96094210000000002</v>
      </c>
      <c r="Q5667">
        <v>8.1623109999999999E-2</v>
      </c>
      <c r="R5667">
        <v>-0.26444000000000001</v>
      </c>
      <c r="S5667">
        <v>2.7929080000000002</v>
      </c>
      <c r="T5667">
        <v>-0.48028850000000001</v>
      </c>
      <c r="U5667">
        <v>-1.348511</v>
      </c>
      <c r="V5667">
        <v>0.16203210000000001</v>
      </c>
      <c r="W5667">
        <v>9.3137819999999996E-2</v>
      </c>
      <c r="X5667">
        <v>0.98238020000000004</v>
      </c>
      <c r="Y5667">
        <v>0.33464939999999999</v>
      </c>
      <c r="Z5667">
        <v>-1.01341E-2</v>
      </c>
      <c r="AA5667">
        <v>0.94228820000000002</v>
      </c>
      <c r="AB5667">
        <v>27</v>
      </c>
      <c r="AC5667">
        <v>6.6048000000000098</v>
      </c>
      <c r="AD5667">
        <v>-1.15812</v>
      </c>
      <c r="AE5667">
        <v>-3.2367400000000002</v>
      </c>
      <c r="AF5667">
        <v>2.4607021081749401</v>
      </c>
      <c r="AG5667">
        <v>-1.15812</v>
      </c>
      <c r="AH5667">
        <v>6.7423206611804796</v>
      </c>
      <c r="AI5667">
        <v>99.166140092623806</v>
      </c>
      <c r="AJ5667">
        <v>69.9497546026045</v>
      </c>
      <c r="AK5667">
        <v>7.2701571301972496</v>
      </c>
      <c r="AL5667">
        <v>84.655850249693003</v>
      </c>
      <c r="AM5667">
        <v>80.634057537192206</v>
      </c>
      <c r="AN5667">
        <v>0.99999995614839998</v>
      </c>
    </row>
    <row r="5668" spans="1:40" x14ac:dyDescent="0.25">
      <c r="A5668" t="str">
        <f>"20190312151138287"</f>
        <v>20190312151138287</v>
      </c>
      <c r="B5668" t="str">
        <f>"1552374698276976"</f>
        <v>1552374698276976</v>
      </c>
      <c r="C5668" t="s">
        <v>40</v>
      </c>
      <c r="D5668">
        <v>5.0431540000000004</v>
      </c>
      <c r="E5668">
        <v>0.58838210000000002</v>
      </c>
      <c r="F5668" t="s">
        <v>43</v>
      </c>
      <c r="G5668">
        <v>-316.53280000000001</v>
      </c>
      <c r="H5668">
        <v>-0.05</v>
      </c>
      <c r="I5668">
        <v>11.5748</v>
      </c>
      <c r="J5668">
        <v>-322.86649999999997</v>
      </c>
      <c r="K5668">
        <v>1.108107</v>
      </c>
      <c r="L5668">
        <v>15.091340000000001</v>
      </c>
      <c r="M5668">
        <v>0.99417699999999998</v>
      </c>
      <c r="N5668">
        <v>0</v>
      </c>
      <c r="O5668">
        <v>-0.1070277</v>
      </c>
      <c r="P5668">
        <v>0.96037479999999997</v>
      </c>
      <c r="Q5668">
        <v>8.1438979999999994E-2</v>
      </c>
      <c r="R5668">
        <v>-0.26654919999999999</v>
      </c>
      <c r="S5668">
        <v>2.7507320000000002</v>
      </c>
      <c r="T5668">
        <v>-0.49190909999999899</v>
      </c>
      <c r="U5668">
        <v>-1.5007629999999901</v>
      </c>
      <c r="V5668">
        <v>0.16269649999999999</v>
      </c>
      <c r="W5668">
        <v>9.2943620000000005E-2</v>
      </c>
      <c r="X5668">
        <v>0.98228879999999996</v>
      </c>
      <c r="Y5668">
        <v>0.37894230000000001</v>
      </c>
      <c r="Z5668">
        <v>-1.383819E-2</v>
      </c>
      <c r="AA5668">
        <v>0.9253169</v>
      </c>
      <c r="AB5668">
        <v>27</v>
      </c>
      <c r="AC5668">
        <v>6.3336999999999604</v>
      </c>
      <c r="AD5668">
        <v>-1.158107</v>
      </c>
      <c r="AE5668">
        <v>-3.5165399999999898</v>
      </c>
      <c r="AF5668">
        <v>2.7481717476588101</v>
      </c>
      <c r="AG5668">
        <v>-1.158107</v>
      </c>
      <c r="AH5668">
        <v>6.5074088161995203</v>
      </c>
      <c r="AI5668">
        <v>99.310643550754094</v>
      </c>
      <c r="AJ5668">
        <v>67.104971411860802</v>
      </c>
      <c r="AK5668">
        <v>7.1582141124187002</v>
      </c>
      <c r="AL5668">
        <v>84.667025677805697</v>
      </c>
      <c r="AM5668">
        <v>80.595478455958798</v>
      </c>
      <c r="AN5668">
        <v>0.99999997710819599</v>
      </c>
    </row>
    <row r="5669" spans="1:40" x14ac:dyDescent="0.25">
      <c r="A5669" t="str">
        <f>"20190312151138298"</f>
        <v>20190312151138298</v>
      </c>
      <c r="B5669" t="str">
        <f>"1552374698286737"</f>
        <v>1552374698286737</v>
      </c>
      <c r="C5669" t="s">
        <v>40</v>
      </c>
      <c r="D5669">
        <v>5.1754340000000001</v>
      </c>
      <c r="E5669">
        <v>0.58931739999999999</v>
      </c>
      <c r="F5669" t="s">
        <v>43</v>
      </c>
      <c r="G5669">
        <v>-316.19819999999999</v>
      </c>
      <c r="H5669">
        <v>-0.05</v>
      </c>
      <c r="I5669">
        <v>11.43333</v>
      </c>
      <c r="J5669">
        <v>-322.73770000000002</v>
      </c>
      <c r="K5669">
        <v>1.1080939999999999</v>
      </c>
      <c r="L5669">
        <v>15.07611</v>
      </c>
      <c r="M5669">
        <v>0.99402829999999998</v>
      </c>
      <c r="N5669">
        <v>0</v>
      </c>
      <c r="O5669">
        <v>-0.10839940000000001</v>
      </c>
      <c r="P5669">
        <v>0.95981629999999996</v>
      </c>
      <c r="Q5669">
        <v>8.1294249999999998E-2</v>
      </c>
      <c r="R5669">
        <v>-0.26859670000000002</v>
      </c>
      <c r="S5669">
        <v>2.746124</v>
      </c>
      <c r="T5669">
        <v>-0.47693239999999998</v>
      </c>
      <c r="U5669">
        <v>-1.5064390000000001</v>
      </c>
      <c r="V5669">
        <v>0.16343859999999999</v>
      </c>
      <c r="W5669">
        <v>9.2787900000000006E-2</v>
      </c>
      <c r="X5669">
        <v>0.98218039999999995</v>
      </c>
      <c r="Y5669">
        <v>0.37998599999999999</v>
      </c>
      <c r="Z5669">
        <v>-1.3302929999999999E-2</v>
      </c>
      <c r="AA5669">
        <v>0.92489659999999996</v>
      </c>
      <c r="AB5669">
        <v>27</v>
      </c>
      <c r="AC5669">
        <v>6.5395000000000296</v>
      </c>
      <c r="AD5669">
        <v>-1.158094</v>
      </c>
      <c r="AE5669">
        <v>-3.6427800000000001</v>
      </c>
      <c r="AF5669">
        <v>2.8442999934926698</v>
      </c>
      <c r="AG5669">
        <v>-1.158094</v>
      </c>
      <c r="AH5669">
        <v>6.7346729051132597</v>
      </c>
      <c r="AI5669">
        <v>99.001513760885103</v>
      </c>
      <c r="AJ5669">
        <v>67.103878520525598</v>
      </c>
      <c r="AK5669">
        <v>7.4018270247746996</v>
      </c>
      <c r="AL5669">
        <v>84.675986911651805</v>
      </c>
      <c r="AM5669">
        <v>80.552329718612697</v>
      </c>
      <c r="AN5669">
        <v>1.0000000542502601</v>
      </c>
    </row>
    <row r="5670" spans="1:40" x14ac:dyDescent="0.25">
      <c r="A5670" t="str">
        <f>"20190312151138310"</f>
        <v>20190312151138310</v>
      </c>
      <c r="B5670" t="str">
        <f>"1552374698307233"</f>
        <v>1552374698307233</v>
      </c>
      <c r="C5670" t="s">
        <v>40</v>
      </c>
      <c r="D5670">
        <v>5.0503710000000002</v>
      </c>
      <c r="E5670">
        <v>0.58910819999999997</v>
      </c>
      <c r="F5670" t="s">
        <v>43</v>
      </c>
      <c r="G5670">
        <v>-316.0385</v>
      </c>
      <c r="H5670">
        <v>-0.05</v>
      </c>
      <c r="I5670">
        <v>11.362869999999999</v>
      </c>
      <c r="J5670">
        <v>-322.58800000000002</v>
      </c>
      <c r="K5670">
        <v>1.108066</v>
      </c>
      <c r="L5670">
        <v>15.058009999999999</v>
      </c>
      <c r="M5670">
        <v>0.99384899999999998</v>
      </c>
      <c r="N5670">
        <v>0</v>
      </c>
      <c r="O5670">
        <v>-0.11003250000000001</v>
      </c>
      <c r="P5670">
        <v>0.95920380000000005</v>
      </c>
      <c r="Q5670">
        <v>8.1309229999999996E-2</v>
      </c>
      <c r="R5670">
        <v>-0.27077180000000001</v>
      </c>
      <c r="S5670">
        <v>2.740631</v>
      </c>
      <c r="T5670">
        <v>-0.47377180000000002</v>
      </c>
      <c r="U5670">
        <v>-1.5190729999999999</v>
      </c>
      <c r="V5670">
        <v>0.1640588</v>
      </c>
      <c r="W5670">
        <v>9.2787889999999998E-2</v>
      </c>
      <c r="X5670">
        <v>0.98207690000000003</v>
      </c>
      <c r="Y5670">
        <v>0.38254480000000002</v>
      </c>
      <c r="Z5670">
        <v>-1.3174389999999999E-2</v>
      </c>
      <c r="AA5670">
        <v>0.92384299999999997</v>
      </c>
      <c r="AB5670">
        <v>27</v>
      </c>
      <c r="AC5670">
        <v>6.5494999999999601</v>
      </c>
      <c r="AD5670">
        <v>-1.158066</v>
      </c>
      <c r="AE5670">
        <v>-3.6951399999999999</v>
      </c>
      <c r="AF5670">
        <v>2.8835988473234799</v>
      </c>
      <c r="AG5670">
        <v>-1.158066</v>
      </c>
      <c r="AH5670">
        <v>6.75611721342705</v>
      </c>
      <c r="AI5670">
        <v>98.958991692790903</v>
      </c>
      <c r="AJ5670">
        <v>66.886579110612701</v>
      </c>
      <c r="AK5670">
        <v>7.4364896943522103</v>
      </c>
      <c r="AL5670">
        <v>84.675986983590803</v>
      </c>
      <c r="AM5670">
        <v>80.516147366226605</v>
      </c>
      <c r="AN5670">
        <v>0.99999995995085</v>
      </c>
    </row>
    <row r="5671" spans="1:40" x14ac:dyDescent="0.25">
      <c r="A5671" t="str">
        <f>"20190312151138323"</f>
        <v>20190312151138323</v>
      </c>
      <c r="B5671" t="str">
        <f>"1552374698316992"</f>
        <v>1552374698316992</v>
      </c>
      <c r="C5671" t="s">
        <v>40</v>
      </c>
      <c r="D5671">
        <v>5.0261959999999997</v>
      </c>
      <c r="E5671">
        <v>0.5887154</v>
      </c>
      <c r="F5671" t="s">
        <v>43</v>
      </c>
      <c r="G5671">
        <v>-315.90050000000002</v>
      </c>
      <c r="H5671">
        <v>-0.05</v>
      </c>
      <c r="I5671">
        <v>11.335850000000001</v>
      </c>
      <c r="J5671">
        <v>-322.43950000000001</v>
      </c>
      <c r="K5671">
        <v>1.108036</v>
      </c>
      <c r="L5671">
        <v>15.03989</v>
      </c>
      <c r="M5671">
        <v>0.99366620000000005</v>
      </c>
      <c r="N5671">
        <v>0</v>
      </c>
      <c r="O5671">
        <v>-0.1116714</v>
      </c>
      <c r="P5671">
        <v>0.95848860000000002</v>
      </c>
      <c r="Q5671">
        <v>8.1179370000000001E-2</v>
      </c>
      <c r="R5671">
        <v>-0.27333069999999998</v>
      </c>
      <c r="S5671">
        <v>2.7376399999999999</v>
      </c>
      <c r="T5671">
        <v>-0.47407539999999998</v>
      </c>
      <c r="U5671">
        <v>-1.5237430000000001</v>
      </c>
      <c r="V5671">
        <v>0.16506680000000001</v>
      </c>
      <c r="W5671">
        <v>9.2639299999999994E-2</v>
      </c>
      <c r="X5671">
        <v>0.98192199999999996</v>
      </c>
      <c r="Y5671">
        <v>0.3826659</v>
      </c>
      <c r="Z5671">
        <v>-1.2942149999999999E-2</v>
      </c>
      <c r="AA5671">
        <v>0.92379610000000001</v>
      </c>
      <c r="AB5671">
        <v>27</v>
      </c>
      <c r="AC5671">
        <v>6.5389999999999802</v>
      </c>
      <c r="AD5671">
        <v>-1.1580360000000001</v>
      </c>
      <c r="AE5671">
        <v>-3.7040399999999898</v>
      </c>
      <c r="AF5671">
        <v>2.8821565478589402</v>
      </c>
      <c r="AG5671">
        <v>-1.1580360000000001</v>
      </c>
      <c r="AH5671">
        <v>6.75145186737939</v>
      </c>
      <c r="AI5671">
        <v>98.964594589695693</v>
      </c>
      <c r="AJ5671">
        <v>66.882638615677095</v>
      </c>
      <c r="AK5671">
        <v>7.4316872957090201</v>
      </c>
      <c r="AL5671">
        <v>84.684537345465898</v>
      </c>
      <c r="AM5671">
        <v>80.4574678995873</v>
      </c>
      <c r="AN5671">
        <v>0.999999951225363</v>
      </c>
    </row>
    <row r="5672" spans="1:40" x14ac:dyDescent="0.25">
      <c r="A5672" t="str">
        <f>"20190312151138335"</f>
        <v>20190312151138335</v>
      </c>
      <c r="B5672" t="str">
        <f>"1552374698326752"</f>
        <v>1552374698326752</v>
      </c>
      <c r="C5672" t="s">
        <v>40</v>
      </c>
      <c r="D5672">
        <v>5.2944630000000004</v>
      </c>
      <c r="E5672">
        <v>0.5887154</v>
      </c>
      <c r="F5672" t="s">
        <v>43</v>
      </c>
      <c r="G5672">
        <v>-315.77030000000002</v>
      </c>
      <c r="H5672">
        <v>-0.05</v>
      </c>
      <c r="I5672">
        <v>11.31349</v>
      </c>
      <c r="J5672">
        <v>-322.2876</v>
      </c>
      <c r="K5672">
        <v>1.107993</v>
      </c>
      <c r="L5672">
        <v>15.02106</v>
      </c>
      <c r="M5672">
        <v>0.9934731</v>
      </c>
      <c r="N5672">
        <v>0</v>
      </c>
      <c r="O5672">
        <v>-0.1133736</v>
      </c>
      <c r="P5672">
        <v>0.95784420000000003</v>
      </c>
      <c r="Q5672">
        <v>8.0671740000000006E-2</v>
      </c>
      <c r="R5672">
        <v>-0.27572909999999901</v>
      </c>
      <c r="S5672">
        <v>2.734467</v>
      </c>
      <c r="T5672">
        <v>-0.47480830000000002</v>
      </c>
      <c r="U5672">
        <v>-1.527863</v>
      </c>
      <c r="V5672">
        <v>0.16584399999999999</v>
      </c>
      <c r="W5672">
        <v>9.2112739999999999E-2</v>
      </c>
      <c r="X5672">
        <v>0.98184059999999995</v>
      </c>
      <c r="Y5672">
        <v>0.3826097</v>
      </c>
      <c r="Z5672">
        <v>-1.2697780000000001E-2</v>
      </c>
      <c r="AA5672">
        <v>0.92382280000000006</v>
      </c>
      <c r="AB5672">
        <v>27</v>
      </c>
      <c r="AC5672">
        <v>6.5172999999999703</v>
      </c>
      <c r="AD5672">
        <v>-1.1579930000000001</v>
      </c>
      <c r="AE5672">
        <v>-3.70757</v>
      </c>
      <c r="AF5672">
        <v>2.8761144587843002</v>
      </c>
      <c r="AG5672">
        <v>-1.1579930000000001</v>
      </c>
      <c r="AH5672">
        <v>6.7350079112434296</v>
      </c>
      <c r="AI5672">
        <v>98.985333858682907</v>
      </c>
      <c r="AJ5672">
        <v>66.875603340224302</v>
      </c>
      <c r="AK5672">
        <v>7.4143990810171996</v>
      </c>
      <c r="AL5672">
        <v>84.714836700555793</v>
      </c>
      <c r="AM5672">
        <v>80.412589816579299</v>
      </c>
      <c r="AN5672">
        <v>0.99999997650733297</v>
      </c>
    </row>
    <row r="5673" spans="1:40" x14ac:dyDescent="0.25">
      <c r="A5673" t="str">
        <f>"20190312151138349"</f>
        <v>20190312151138349</v>
      </c>
      <c r="B5673" t="str">
        <f>"1552374698336512"</f>
        <v>1552374698336512</v>
      </c>
      <c r="C5673" t="s">
        <v>40</v>
      </c>
      <c r="D5673">
        <v>5.0603210000000001</v>
      </c>
      <c r="E5673">
        <v>0.58856929999999996</v>
      </c>
      <c r="F5673" t="s">
        <v>43</v>
      </c>
      <c r="G5673">
        <v>-315.65089999999998</v>
      </c>
      <c r="H5673">
        <v>-0.05</v>
      </c>
      <c r="I5673">
        <v>11.28989</v>
      </c>
      <c r="J5673">
        <v>-322.13630000000001</v>
      </c>
      <c r="K5673">
        <v>1.1079490000000001</v>
      </c>
      <c r="L5673">
        <v>15.001860000000001</v>
      </c>
      <c r="M5673">
        <v>0.9932725</v>
      </c>
      <c r="N5673">
        <v>0</v>
      </c>
      <c r="O5673">
        <v>-0.1151184</v>
      </c>
      <c r="P5673">
        <v>0.95709219999999895</v>
      </c>
      <c r="Q5673">
        <v>8.0255649999999998E-2</v>
      </c>
      <c r="R5673">
        <v>-0.27844839999999998</v>
      </c>
      <c r="S5673">
        <v>2.7303160000000002</v>
      </c>
      <c r="T5673">
        <v>-0.4763966</v>
      </c>
      <c r="U5673">
        <v>-1.535004</v>
      </c>
      <c r="V5673">
        <v>0.1669128</v>
      </c>
      <c r="W5673">
        <v>9.1673069999999995E-2</v>
      </c>
      <c r="X5673">
        <v>0.98170069999999998</v>
      </c>
      <c r="Y5673">
        <v>0.3834127</v>
      </c>
      <c r="Z5673">
        <v>-1.2538189999999999E-2</v>
      </c>
      <c r="AA5673">
        <v>0.92349199999999998</v>
      </c>
      <c r="AB5673">
        <v>27</v>
      </c>
      <c r="AC5673">
        <v>6.4854000000000198</v>
      </c>
      <c r="AD5673">
        <v>-1.1579489999999999</v>
      </c>
      <c r="AE5673">
        <v>-3.71197</v>
      </c>
      <c r="AF5673">
        <v>2.8716836770441998</v>
      </c>
      <c r="AG5673">
        <v>-1.1579489999999999</v>
      </c>
      <c r="AH5673">
        <v>6.7085367251870398</v>
      </c>
      <c r="AI5673">
        <v>99.016585015858297</v>
      </c>
      <c r="AJ5673">
        <v>66.825971686553004</v>
      </c>
      <c r="AK5673">
        <v>7.3886316744568097</v>
      </c>
      <c r="AL5673">
        <v>84.740135361255398</v>
      </c>
      <c r="AM5673">
        <v>80.350611397336294</v>
      </c>
      <c r="AN5673">
        <v>1.00000004947377</v>
      </c>
    </row>
    <row r="5674" spans="1:40" x14ac:dyDescent="0.25">
      <c r="A5674" t="str">
        <f>"20190312151138360"</f>
        <v>20190312151138360</v>
      </c>
      <c r="B5674" t="str">
        <f>"1552374698357008"</f>
        <v>1552374698357008</v>
      </c>
      <c r="C5674" t="s">
        <v>40</v>
      </c>
      <c r="D5674">
        <v>4.4702900000000003</v>
      </c>
      <c r="E5674">
        <v>0.5881035</v>
      </c>
      <c r="F5674" t="s">
        <v>43</v>
      </c>
      <c r="G5674">
        <v>-315.56990000000002</v>
      </c>
      <c r="H5674">
        <v>-0.05</v>
      </c>
      <c r="I5674">
        <v>11.289249999999999</v>
      </c>
      <c r="J5674">
        <v>-321.98950000000002</v>
      </c>
      <c r="K5674">
        <v>1.1079030000000001</v>
      </c>
      <c r="L5674">
        <v>14.983090000000001</v>
      </c>
      <c r="M5674">
        <v>0.99307160000000005</v>
      </c>
      <c r="N5674">
        <v>0</v>
      </c>
      <c r="O5674">
        <v>-0.1168392</v>
      </c>
      <c r="P5674">
        <v>0.95635239999999999</v>
      </c>
      <c r="Q5674">
        <v>7.9940780000000003E-2</v>
      </c>
      <c r="R5674">
        <v>-0.28106969999999998</v>
      </c>
      <c r="S5674">
        <v>2.7263489999999999</v>
      </c>
      <c r="T5674">
        <v>-0.48077750000000002</v>
      </c>
      <c r="U5674">
        <v>-1.5414730000000001</v>
      </c>
      <c r="V5674">
        <v>0.1679081</v>
      </c>
      <c r="W5674">
        <v>9.1333559999999994E-2</v>
      </c>
      <c r="X5674">
        <v>0.98156259999999995</v>
      </c>
      <c r="Y5674">
        <v>0.38400519999999999</v>
      </c>
      <c r="Z5674">
        <v>-1.243505E-2</v>
      </c>
      <c r="AA5674">
        <v>0.92324720000000005</v>
      </c>
      <c r="AB5674">
        <v>27</v>
      </c>
      <c r="AC5674">
        <v>6.4196</v>
      </c>
      <c r="AD5674">
        <v>-1.1579029999999999</v>
      </c>
      <c r="AE5674">
        <v>-3.6938399999999998</v>
      </c>
      <c r="AF5674">
        <v>2.84878855754148</v>
      </c>
      <c r="AG5674">
        <v>-1.1579029999999999</v>
      </c>
      <c r="AH5674">
        <v>6.64483576702058</v>
      </c>
      <c r="AI5674">
        <v>99.099095734185894</v>
      </c>
      <c r="AJ5674">
        <v>66.794112157914498</v>
      </c>
      <c r="AK5674">
        <v>7.3218971567254503</v>
      </c>
      <c r="AL5674">
        <v>84.759669770389905</v>
      </c>
      <c r="AM5674">
        <v>80.292823894911706</v>
      </c>
      <c r="AN5674">
        <v>1.0000000434733201</v>
      </c>
    </row>
    <row r="5675" spans="1:40" x14ac:dyDescent="0.25">
      <c r="A5675" t="str">
        <f>"20190312151138375"</f>
        <v>20190312151138375</v>
      </c>
      <c r="B5675" t="str">
        <f>"1552374698366768"</f>
        <v>1552374698366768</v>
      </c>
      <c r="C5675" t="s">
        <v>40</v>
      </c>
      <c r="D5675">
        <v>5.0724489999999998</v>
      </c>
      <c r="E5675">
        <v>0.58048429999999995</v>
      </c>
      <c r="F5675" t="s">
        <v>43</v>
      </c>
      <c r="G5675">
        <v>-315.46319999999997</v>
      </c>
      <c r="H5675">
        <v>-0.05</v>
      </c>
      <c r="I5675">
        <v>11.27847</v>
      </c>
      <c r="J5675">
        <v>-321.80279999999999</v>
      </c>
      <c r="K5675">
        <v>1.1078380000000001</v>
      </c>
      <c r="L5675">
        <v>14.958740000000001</v>
      </c>
      <c r="M5675">
        <v>0.99280310000000005</v>
      </c>
      <c r="N5675">
        <v>0</v>
      </c>
      <c r="O5675">
        <v>-0.11909930000000001</v>
      </c>
      <c r="P5675">
        <v>0.95504339999999999</v>
      </c>
      <c r="Q5675">
        <v>8.0029879999999998E-2</v>
      </c>
      <c r="R5675">
        <v>-0.2854604</v>
      </c>
      <c r="S5675">
        <v>2.7230829999999999</v>
      </c>
      <c r="T5675">
        <v>-0.48313319999999998</v>
      </c>
      <c r="U5675">
        <v>-1.5457459999999901</v>
      </c>
      <c r="V5675">
        <v>0.17020250000000001</v>
      </c>
      <c r="W5675">
        <v>9.1379130000000003E-2</v>
      </c>
      <c r="X5675">
        <v>0.98116309999999995</v>
      </c>
      <c r="Y5675">
        <v>0.3834766</v>
      </c>
      <c r="Z5675">
        <v>-1.2097689999999999E-2</v>
      </c>
      <c r="AA5675">
        <v>0.92347129999999999</v>
      </c>
      <c r="AB5675">
        <v>27</v>
      </c>
      <c r="AC5675">
        <v>6.3396000000000097</v>
      </c>
      <c r="AD5675">
        <v>-1.1578379999999999</v>
      </c>
      <c r="AE5675">
        <v>-3.6802699999999899</v>
      </c>
      <c r="AF5675">
        <v>2.8284060356738201</v>
      </c>
      <c r="AG5675">
        <v>-1.1578379999999999</v>
      </c>
      <c r="AH5675">
        <v>6.5689387509680603</v>
      </c>
      <c r="AI5675">
        <v>99.195860909145495</v>
      </c>
      <c r="AJ5675">
        <v>66.704605553837993</v>
      </c>
      <c r="AK5675">
        <v>7.2450966764322704</v>
      </c>
      <c r="AL5675">
        <v>84.757047780456901</v>
      </c>
      <c r="AM5675">
        <v>80.158826417119698</v>
      </c>
      <c r="AN5675">
        <v>1.0000000326037</v>
      </c>
    </row>
    <row r="5676" spans="1:40" x14ac:dyDescent="0.25">
      <c r="A5676" t="str">
        <f>"20190312151138387"</f>
        <v>20190312151138387</v>
      </c>
      <c r="B5676" t="str">
        <f>"1552374698376528"</f>
        <v>1552374698376528</v>
      </c>
      <c r="C5676" t="s">
        <v>40</v>
      </c>
      <c r="D5676">
        <v>5.0140940000000001</v>
      </c>
      <c r="E5676">
        <v>0.58121840000000002</v>
      </c>
      <c r="F5676" t="s">
        <v>43</v>
      </c>
      <c r="G5676">
        <v>-312.04680000000002</v>
      </c>
      <c r="H5676">
        <v>-0.05</v>
      </c>
      <c r="I5676">
        <v>9.6044459999999994</v>
      </c>
      <c r="J5676">
        <v>-321.66829999999999</v>
      </c>
      <c r="K5676">
        <v>1.1077840000000001</v>
      </c>
      <c r="L5676">
        <v>14.940770000000001</v>
      </c>
      <c r="M5676">
        <v>0.9925988</v>
      </c>
      <c r="N5676">
        <v>0</v>
      </c>
      <c r="O5676">
        <v>-0.1207891</v>
      </c>
      <c r="P5676">
        <v>0.95421</v>
      </c>
      <c r="Q5676">
        <v>8.0140669999999997E-2</v>
      </c>
      <c r="R5676">
        <v>-0.28820400000000002</v>
      </c>
      <c r="S5676">
        <v>2.721832</v>
      </c>
      <c r="T5676">
        <v>-0.32302700000000001</v>
      </c>
      <c r="U5676">
        <v>-1.4938049999999901</v>
      </c>
      <c r="V5676">
        <v>0.17136689999999999</v>
      </c>
      <c r="W5676">
        <v>9.1460810000000003E-2</v>
      </c>
      <c r="X5676">
        <v>0.98095270000000001</v>
      </c>
      <c r="Y5676">
        <v>0.37037710000000001</v>
      </c>
      <c r="Z5676">
        <v>-7.245179E-3</v>
      </c>
      <c r="AA5676">
        <v>0.92885320000000005</v>
      </c>
      <c r="AB5676">
        <v>27</v>
      </c>
      <c r="AC5676">
        <v>9.6214999999999602</v>
      </c>
      <c r="AD5676">
        <v>-1.1577839999999999</v>
      </c>
      <c r="AE5676">
        <v>-5.3363239999999896</v>
      </c>
      <c r="AF5676">
        <v>4.0896944186410904</v>
      </c>
      <c r="AG5676">
        <v>-1.1577839999999999</v>
      </c>
      <c r="AH5676">
        <v>10.083995790964</v>
      </c>
      <c r="AI5676">
        <v>96.073240428997494</v>
      </c>
      <c r="AJ5676">
        <v>67.924351602603195</v>
      </c>
      <c r="AK5676">
        <v>10.9431730014973</v>
      </c>
      <c r="AL5676">
        <v>84.752347730467505</v>
      </c>
      <c r="AM5676">
        <v>80.090747124895103</v>
      </c>
      <c r="AN5676">
        <v>0.99999994690937599</v>
      </c>
    </row>
    <row r="5677" spans="1:40" x14ac:dyDescent="0.25">
      <c r="A5677" t="str">
        <f>"20190312151138398"</f>
        <v>20190312151138398</v>
      </c>
      <c r="B5677" t="str">
        <f>"1552374698387264"</f>
        <v>1552374698387264</v>
      </c>
      <c r="C5677" t="s">
        <v>40</v>
      </c>
      <c r="D5677">
        <v>5.1676380000000002</v>
      </c>
      <c r="E5677">
        <v>0.58121840000000002</v>
      </c>
      <c r="F5677" t="s">
        <v>43</v>
      </c>
      <c r="G5677">
        <v>-311.96699999999998</v>
      </c>
      <c r="H5677">
        <v>-0.05</v>
      </c>
      <c r="I5677">
        <v>9.5568240000000007</v>
      </c>
      <c r="J5677">
        <v>-321.53190000000001</v>
      </c>
      <c r="K5677">
        <v>1.1077269999999999</v>
      </c>
      <c r="L5677">
        <v>14.92245</v>
      </c>
      <c r="M5677">
        <v>0.99238660000000001</v>
      </c>
      <c r="N5677">
        <v>0</v>
      </c>
      <c r="O5677">
        <v>-0.1225203</v>
      </c>
      <c r="P5677">
        <v>0.95342009999999999</v>
      </c>
      <c r="Q5677">
        <v>7.9980659999999995E-2</v>
      </c>
      <c r="R5677">
        <v>-0.2908501</v>
      </c>
      <c r="S5677">
        <v>2.7159420000000001</v>
      </c>
      <c r="T5677">
        <v>-0.32412829999999998</v>
      </c>
      <c r="U5677">
        <v>-1.507263</v>
      </c>
      <c r="V5677">
        <v>0.17238829999999999</v>
      </c>
      <c r="W5677">
        <v>9.1271809999999995E-2</v>
      </c>
      <c r="X5677">
        <v>0.98079139999999998</v>
      </c>
      <c r="Y5677">
        <v>0.37311660000000002</v>
      </c>
      <c r="Z5677">
        <v>-7.2402819999999998E-3</v>
      </c>
      <c r="AA5677">
        <v>0.92775620000000003</v>
      </c>
      <c r="AB5677">
        <v>27</v>
      </c>
      <c r="AC5677">
        <v>9.5649000000000193</v>
      </c>
      <c r="AD5677">
        <v>-1.157727</v>
      </c>
      <c r="AE5677">
        <v>-5.36562599999999</v>
      </c>
      <c r="AF5677">
        <v>4.1074362617721096</v>
      </c>
      <c r="AG5677">
        <v>-1.157727</v>
      </c>
      <c r="AH5677">
        <v>10.038411737047801</v>
      </c>
      <c r="AI5677">
        <v>96.092683717646096</v>
      </c>
      <c r="AJ5677">
        <v>67.747000021512605</v>
      </c>
      <c r="AK5677">
        <v>10.9078446383119</v>
      </c>
      <c r="AL5677">
        <v>84.763222499885998</v>
      </c>
      <c r="AM5677">
        <v>80.031259556262796</v>
      </c>
      <c r="AN5677">
        <v>1.0000000197957599</v>
      </c>
    </row>
    <row r="5678" spans="1:40" x14ac:dyDescent="0.25">
      <c r="A5678" t="str">
        <f>"20190312151138408"</f>
        <v>20190312151138408</v>
      </c>
      <c r="B5678" t="str">
        <f>"1552374698406784"</f>
        <v>1552374698406784</v>
      </c>
      <c r="C5678" t="s">
        <v>40</v>
      </c>
      <c r="D5678">
        <v>4.9514559999999896</v>
      </c>
      <c r="E5678">
        <v>0.58944859999999999</v>
      </c>
      <c r="F5678" t="s">
        <v>43</v>
      </c>
      <c r="G5678">
        <v>-311.86430000000001</v>
      </c>
      <c r="H5678">
        <v>-0.05</v>
      </c>
      <c r="I5678">
        <v>9.5228269999999995</v>
      </c>
      <c r="J5678">
        <v>-321.40620000000001</v>
      </c>
      <c r="K5678">
        <v>1.107669</v>
      </c>
      <c r="L5678">
        <v>14.905150000000001</v>
      </c>
      <c r="M5678">
        <v>0.9921799</v>
      </c>
      <c r="N5678">
        <v>0</v>
      </c>
      <c r="O5678">
        <v>-0.124183</v>
      </c>
      <c r="P5678">
        <v>0.95266269999999997</v>
      </c>
      <c r="Q5678">
        <v>7.9867069999999998E-2</v>
      </c>
      <c r="R5678">
        <v>-0.293352</v>
      </c>
      <c r="S5678">
        <v>2.711792</v>
      </c>
      <c r="T5678">
        <v>-0.32474730000000002</v>
      </c>
      <c r="U5678">
        <v>-1.514618</v>
      </c>
      <c r="V5678">
        <v>0.1733314</v>
      </c>
      <c r="W5678">
        <v>9.1130320000000001E-2</v>
      </c>
      <c r="X5678">
        <v>0.98063829999999996</v>
      </c>
      <c r="Y5678">
        <v>0.37408249999999998</v>
      </c>
      <c r="Z5678">
        <v>-7.1324609999999997E-3</v>
      </c>
      <c r="AA5678">
        <v>0.92736799999999997</v>
      </c>
      <c r="AB5678">
        <v>27</v>
      </c>
      <c r="AC5678">
        <v>9.5418999999999894</v>
      </c>
      <c r="AD5678">
        <v>-1.1576690000000001</v>
      </c>
      <c r="AE5678">
        <v>-5.3823230000000004</v>
      </c>
      <c r="AF5678">
        <v>4.1097263539618396</v>
      </c>
      <c r="AG5678">
        <v>-1.1576690000000001</v>
      </c>
      <c r="AH5678">
        <v>10.024532321985699</v>
      </c>
      <c r="AI5678">
        <v>96.0990644209663</v>
      </c>
      <c r="AJ5678">
        <v>67.707994848584093</v>
      </c>
      <c r="AK5678">
        <v>10.895930272011899</v>
      </c>
      <c r="AL5678">
        <v>84.771363062534704</v>
      </c>
      <c r="AM5678">
        <v>79.976292464265498</v>
      </c>
      <c r="AN5678">
        <v>0.99999999243807602</v>
      </c>
    </row>
    <row r="5679" spans="1:40" x14ac:dyDescent="0.25">
      <c r="A5679" t="str">
        <f>"20190312151138420"</f>
        <v>20190312151138420</v>
      </c>
      <c r="B5679" t="str">
        <f>"1552374698416545"</f>
        <v>1552374698416545</v>
      </c>
      <c r="C5679" t="s">
        <v>40</v>
      </c>
      <c r="D5679">
        <v>5.0688659999999999</v>
      </c>
      <c r="E5679">
        <v>0.59030969999999905</v>
      </c>
      <c r="F5679" t="s">
        <v>43</v>
      </c>
      <c r="G5679">
        <v>-315.64249999999998</v>
      </c>
      <c r="H5679">
        <v>-0.05</v>
      </c>
      <c r="I5679">
        <v>11.508800000000001</v>
      </c>
      <c r="J5679">
        <v>-321.27190000000002</v>
      </c>
      <c r="K5679">
        <v>1.1076029999999999</v>
      </c>
      <c r="L5679">
        <v>14.886570000000001</v>
      </c>
      <c r="M5679">
        <v>0.99193869999999895</v>
      </c>
      <c r="N5679">
        <v>0</v>
      </c>
      <c r="O5679">
        <v>-0.12609980000000001</v>
      </c>
      <c r="P5679">
        <v>0.95180030000000004</v>
      </c>
      <c r="Q5679">
        <v>7.9874600000000004E-2</v>
      </c>
      <c r="R5679">
        <v>-0.29613590000000001</v>
      </c>
      <c r="S5679">
        <v>2.7039789999999999</v>
      </c>
      <c r="T5679">
        <v>-0.54311449999999994</v>
      </c>
      <c r="U5679">
        <v>-1.5933839999999999</v>
      </c>
      <c r="V5679">
        <v>0.17431549999999901</v>
      </c>
      <c r="W5679">
        <v>9.1058130000000001E-2</v>
      </c>
      <c r="X5679">
        <v>0.98047050000000002</v>
      </c>
      <c r="Y5679">
        <v>0.39110719999999999</v>
      </c>
      <c r="Z5679">
        <v>-1.305068E-2</v>
      </c>
      <c r="AA5679">
        <v>0.92025259999999998</v>
      </c>
      <c r="AB5679">
        <v>27</v>
      </c>
      <c r="AC5679">
        <v>5.6294000000000297</v>
      </c>
      <c r="AD5679">
        <v>-1.1576029999999999</v>
      </c>
      <c r="AE5679">
        <v>-3.3777699999999902</v>
      </c>
      <c r="AF5679">
        <v>2.5612471189444102</v>
      </c>
      <c r="AG5679">
        <v>-1.1576029999999999</v>
      </c>
      <c r="AH5679">
        <v>5.8291855654459201</v>
      </c>
      <c r="AI5679">
        <v>100.304468512846</v>
      </c>
      <c r="AJ5679">
        <v>66.280112665749499</v>
      </c>
      <c r="AK5679">
        <v>6.4714322886292397</v>
      </c>
      <c r="AL5679">
        <v>84.775516233692102</v>
      </c>
      <c r="AM5679">
        <v>79.918856316745405</v>
      </c>
      <c r="AN5679">
        <v>0.999999938974796</v>
      </c>
    </row>
    <row r="5680" spans="1:40" x14ac:dyDescent="0.25">
      <c r="A5680" t="str">
        <f>"20190312151138432"</f>
        <v>20190312151138432</v>
      </c>
      <c r="B5680" t="str">
        <f>"1552374698427280"</f>
        <v>1552374698427280</v>
      </c>
      <c r="C5680" t="s">
        <v>40</v>
      </c>
      <c r="D5680">
        <v>5.6919550000000001</v>
      </c>
      <c r="E5680">
        <v>0.59030969999999905</v>
      </c>
      <c r="F5680" t="s">
        <v>43</v>
      </c>
      <c r="G5680">
        <v>-315.4092</v>
      </c>
      <c r="H5680">
        <v>-0.05</v>
      </c>
      <c r="I5680">
        <v>11.391690000000001</v>
      </c>
      <c r="J5680">
        <v>-321.13549999999998</v>
      </c>
      <c r="K5680">
        <v>1.107513</v>
      </c>
      <c r="L5680">
        <v>14.867369999999999</v>
      </c>
      <c r="M5680">
        <v>0.99163509999999999</v>
      </c>
      <c r="N5680">
        <v>0</v>
      </c>
      <c r="O5680">
        <v>-0.1284875</v>
      </c>
      <c r="P5680">
        <v>0.950986</v>
      </c>
      <c r="Q5680">
        <v>7.9831979999999997E-2</v>
      </c>
      <c r="R5680">
        <v>-0.29875249999999998</v>
      </c>
      <c r="S5680">
        <v>2.696472</v>
      </c>
      <c r="T5680">
        <v>-0.53242230000000001</v>
      </c>
      <c r="U5680">
        <v>-1.6074219999999999</v>
      </c>
      <c r="V5680">
        <v>0.174654799999999</v>
      </c>
      <c r="W5680">
        <v>9.0786989999999998E-2</v>
      </c>
      <c r="X5680">
        <v>0.98043530000000001</v>
      </c>
      <c r="Y5680">
        <v>0.39369959999999998</v>
      </c>
      <c r="Z5680">
        <v>-1.262683E-2</v>
      </c>
      <c r="AA5680">
        <v>0.91915239999999998</v>
      </c>
      <c r="AB5680">
        <v>27</v>
      </c>
      <c r="AC5680">
        <v>5.7262999999999797</v>
      </c>
      <c r="AD5680">
        <v>-1.157513</v>
      </c>
      <c r="AE5680">
        <v>-3.4756800000000001</v>
      </c>
      <c r="AF5680">
        <v>2.6324482640976599</v>
      </c>
      <c r="AG5680">
        <v>-1.157513</v>
      </c>
      <c r="AH5680">
        <v>5.94784180953644</v>
      </c>
      <c r="AI5680">
        <v>100.090704418283</v>
      </c>
      <c r="AJ5680">
        <v>66.126354552465997</v>
      </c>
      <c r="AK5680">
        <v>6.6065454209889101</v>
      </c>
      <c r="AL5680">
        <v>84.791116226377497</v>
      </c>
      <c r="AM5680">
        <v>79.899282139299601</v>
      </c>
      <c r="AN5680">
        <v>0.99999997710119404</v>
      </c>
    </row>
    <row r="5681" spans="1:40" x14ac:dyDescent="0.25">
      <c r="A5681" t="str">
        <f>"20190312151138443"</f>
        <v>20190312151138443</v>
      </c>
      <c r="B5681" t="str">
        <f>"1552374698437041"</f>
        <v>1552374698437041</v>
      </c>
      <c r="C5681" t="s">
        <v>40</v>
      </c>
      <c r="D5681">
        <v>5.2910849999999998</v>
      </c>
      <c r="E5681">
        <v>0.58066799999999996</v>
      </c>
      <c r="F5681" t="s">
        <v>43</v>
      </c>
      <c r="G5681">
        <v>-315.28649999999999</v>
      </c>
      <c r="H5681">
        <v>-0.05</v>
      </c>
      <c r="I5681">
        <v>11.359680000000001</v>
      </c>
      <c r="J5681">
        <v>-320.99419999999998</v>
      </c>
      <c r="K5681">
        <v>1.1073470000000001</v>
      </c>
      <c r="L5681">
        <v>14.84726</v>
      </c>
      <c r="M5681">
        <v>0.99132359999999997</v>
      </c>
      <c r="N5681">
        <v>0</v>
      </c>
      <c r="O5681">
        <v>-0.1308947</v>
      </c>
      <c r="P5681">
        <v>0.95011060000000003</v>
      </c>
      <c r="Q5681">
        <v>8.0018259999999994E-2</v>
      </c>
      <c r="R5681">
        <v>-0.3014752</v>
      </c>
      <c r="S5681">
        <v>2.6921689999999998</v>
      </c>
      <c r="T5681">
        <v>-0.53277580000000002</v>
      </c>
      <c r="U5681">
        <v>-1.6145020000000001</v>
      </c>
      <c r="V5681">
        <v>0.17510120000000001</v>
      </c>
      <c r="W5681">
        <v>9.0664010000000003E-2</v>
      </c>
      <c r="X5681">
        <v>0.98036710000000005</v>
      </c>
      <c r="Y5681">
        <v>0.39392080000000002</v>
      </c>
      <c r="Z5681">
        <v>-1.2239470000000001E-2</v>
      </c>
      <c r="AA5681">
        <v>0.91906290000000002</v>
      </c>
      <c r="AB5681">
        <v>27</v>
      </c>
      <c r="AC5681">
        <v>5.7076999999999796</v>
      </c>
      <c r="AD5681">
        <v>-1.1573469999999999</v>
      </c>
      <c r="AE5681">
        <v>-3.4875799999999901</v>
      </c>
      <c r="AF5681">
        <v>2.6316227760650102</v>
      </c>
      <c r="AG5681">
        <v>-1.1573469999999999</v>
      </c>
      <c r="AH5681">
        <v>5.9373717579136001</v>
      </c>
      <c r="AI5681">
        <v>100.10436151330001</v>
      </c>
      <c r="AJ5681">
        <v>66.095630182840395</v>
      </c>
      <c r="AK5681">
        <v>6.5967623805608797</v>
      </c>
      <c r="AL5681">
        <v>84.798191874409099</v>
      </c>
      <c r="AM5681">
        <v>79.873309444934904</v>
      </c>
      <c r="AN5681">
        <v>1.0000000218565599</v>
      </c>
    </row>
    <row r="5682" spans="1:40" x14ac:dyDescent="0.25">
      <c r="A5682" t="str">
        <f>"20190312151138454"</f>
        <v>20190312151138454</v>
      </c>
      <c r="B5682" t="str">
        <f>"1552374698446801"</f>
        <v>1552374698446801</v>
      </c>
      <c r="C5682" t="s">
        <v>40</v>
      </c>
      <c r="D5682">
        <v>4.3771490000000002</v>
      </c>
      <c r="E5682">
        <v>0.58138279999999998</v>
      </c>
      <c r="F5682" t="s">
        <v>43</v>
      </c>
      <c r="G5682">
        <v>-312.34309999999999</v>
      </c>
      <c r="H5682">
        <v>-0.05</v>
      </c>
      <c r="I5682">
        <v>9.903473</v>
      </c>
      <c r="J5682">
        <v>-320.86059999999998</v>
      </c>
      <c r="K5682">
        <v>1.1071150000000001</v>
      </c>
      <c r="L5682">
        <v>14.827970000000001</v>
      </c>
      <c r="M5682">
        <v>0.99103269999999999</v>
      </c>
      <c r="N5682">
        <v>0</v>
      </c>
      <c r="O5682">
        <v>-0.13310669999999999</v>
      </c>
      <c r="P5682">
        <v>0.94931010000000005</v>
      </c>
      <c r="Q5682">
        <v>8.0132040000000002E-2</v>
      </c>
      <c r="R5682">
        <v>-0.30395620000000001</v>
      </c>
      <c r="S5682">
        <v>2.6985779999999999</v>
      </c>
      <c r="T5682">
        <v>-0.36101749999999999</v>
      </c>
      <c r="U5682">
        <v>-1.5421450000000001</v>
      </c>
      <c r="V5682">
        <v>0.1755014</v>
      </c>
      <c r="W5682">
        <v>9.0416099999999999E-2</v>
      </c>
      <c r="X5682">
        <v>0.98031840000000003</v>
      </c>
      <c r="Y5682">
        <v>0.37457499999999999</v>
      </c>
      <c r="Z5682">
        <v>-6.8915189999999996E-3</v>
      </c>
      <c r="AA5682">
        <v>0.92717110000000003</v>
      </c>
      <c r="AB5682">
        <v>27</v>
      </c>
      <c r="AC5682">
        <v>8.5174999999999805</v>
      </c>
      <c r="AD5682">
        <v>-1.1571149999999999</v>
      </c>
      <c r="AE5682">
        <v>-4.9244969999999997</v>
      </c>
      <c r="AF5682">
        <v>3.6957381273348702</v>
      </c>
      <c r="AG5682">
        <v>-1.1571149999999999</v>
      </c>
      <c r="AH5682">
        <v>8.9731108722555408</v>
      </c>
      <c r="AI5682">
        <v>96.799630153087506</v>
      </c>
      <c r="AJ5682">
        <v>67.614799890308504</v>
      </c>
      <c r="AK5682">
        <v>9.7731322591507102</v>
      </c>
      <c r="AL5682">
        <v>84.812454479576402</v>
      </c>
      <c r="AM5682">
        <v>79.850151427594497</v>
      </c>
      <c r="AN5682">
        <v>0.99999998895986397</v>
      </c>
    </row>
    <row r="5683" spans="1:40" x14ac:dyDescent="0.25">
      <c r="A5683" t="str">
        <f>"20190312151138466"</f>
        <v>20190312151138466</v>
      </c>
      <c r="B5683" t="str">
        <f>"1552374698456561"</f>
        <v>1552374698456561</v>
      </c>
      <c r="C5683" t="s">
        <v>40</v>
      </c>
      <c r="D5683">
        <v>5.0835129999999999</v>
      </c>
      <c r="E5683">
        <v>0.58138279999999998</v>
      </c>
      <c r="F5683" t="s">
        <v>43</v>
      </c>
      <c r="G5683">
        <v>-312.05739999999997</v>
      </c>
      <c r="H5683">
        <v>-0.05</v>
      </c>
      <c r="I5683">
        <v>9.7463379999999997</v>
      </c>
      <c r="J5683">
        <v>-320.72109999999998</v>
      </c>
      <c r="K5683">
        <v>1.1068150000000001</v>
      </c>
      <c r="L5683">
        <v>14.807370000000001</v>
      </c>
      <c r="M5683">
        <v>0.99074980000000001</v>
      </c>
      <c r="N5683">
        <v>0</v>
      </c>
      <c r="O5683">
        <v>-0.1352082</v>
      </c>
      <c r="P5683">
        <v>0.94860429999999996</v>
      </c>
      <c r="Q5683">
        <v>7.9860860000000006E-2</v>
      </c>
      <c r="R5683">
        <v>-0.306222099999999</v>
      </c>
      <c r="S5683">
        <v>2.6924440000000001</v>
      </c>
      <c r="T5683">
        <v>-0.35389969999999998</v>
      </c>
      <c r="U5683">
        <v>-1.5541990000000001</v>
      </c>
      <c r="V5683">
        <v>0.17579719999999999</v>
      </c>
      <c r="W5683">
        <v>8.9929819999999994E-2</v>
      </c>
      <c r="X5683">
        <v>0.98031009999999996</v>
      </c>
      <c r="Y5683">
        <v>0.3766989</v>
      </c>
      <c r="Z5683">
        <v>-6.6439699999999999E-3</v>
      </c>
      <c r="AA5683">
        <v>0.92631200000000002</v>
      </c>
      <c r="AB5683">
        <v>27</v>
      </c>
      <c r="AC5683">
        <v>8.6637000000000004</v>
      </c>
      <c r="AD5683">
        <v>-1.1568149999999999</v>
      </c>
      <c r="AE5683">
        <v>-5.061032</v>
      </c>
      <c r="AF5683">
        <v>3.7926553946026602</v>
      </c>
      <c r="AG5683">
        <v>-1.1568149999999999</v>
      </c>
      <c r="AH5683">
        <v>9.1468847658818806</v>
      </c>
      <c r="AI5683">
        <v>96.663449515566896</v>
      </c>
      <c r="AJ5683">
        <v>67.479195805552195</v>
      </c>
      <c r="AK5683">
        <v>9.9693508718850694</v>
      </c>
      <c r="AL5683">
        <v>84.840430092449296</v>
      </c>
      <c r="AM5683">
        <v>79.833316551786993</v>
      </c>
      <c r="AN5683">
        <v>0.99999996010754</v>
      </c>
    </row>
    <row r="5684" spans="1:40" x14ac:dyDescent="0.25">
      <c r="A5684" t="str">
        <f>"20190312151138477"</f>
        <v>20190312151138477</v>
      </c>
      <c r="B5684" t="str">
        <f>"1552374698467297"</f>
        <v>1552374698467297</v>
      </c>
      <c r="C5684" t="s">
        <v>40</v>
      </c>
      <c r="D5684">
        <v>5.096565</v>
      </c>
      <c r="E5684">
        <v>0.58758650000000001</v>
      </c>
      <c r="F5684" t="s">
        <v>43</v>
      </c>
      <c r="G5684">
        <v>-311.95049999999998</v>
      </c>
      <c r="H5684">
        <v>-0.05</v>
      </c>
      <c r="I5684">
        <v>9.7166440000000005</v>
      </c>
      <c r="J5684">
        <v>-320.58109999999999</v>
      </c>
      <c r="K5684">
        <v>1.1064860000000001</v>
      </c>
      <c r="L5684">
        <v>14.78659</v>
      </c>
      <c r="M5684">
        <v>0.99047200000000002</v>
      </c>
      <c r="N5684">
        <v>0</v>
      </c>
      <c r="O5684">
        <v>-0.137235</v>
      </c>
      <c r="P5684">
        <v>0.94788380000000005</v>
      </c>
      <c r="Q5684">
        <v>7.9419089999999998E-2</v>
      </c>
      <c r="R5684">
        <v>-0.3085598</v>
      </c>
      <c r="S5684">
        <v>2.68866</v>
      </c>
      <c r="T5684">
        <v>-0.35462510000000003</v>
      </c>
      <c r="U5684">
        <v>-1.5605770000000001</v>
      </c>
      <c r="V5684">
        <v>0.1762437</v>
      </c>
      <c r="W5684">
        <v>8.9333800000000005E-2</v>
      </c>
      <c r="X5684">
        <v>0.9802845</v>
      </c>
      <c r="Y5684">
        <v>0.37701810000000002</v>
      </c>
      <c r="Z5684">
        <v>-6.441095E-3</v>
      </c>
      <c r="AA5684">
        <v>0.92618350000000005</v>
      </c>
      <c r="AB5684">
        <v>27</v>
      </c>
      <c r="AC5684">
        <v>8.63060000000001</v>
      </c>
      <c r="AD5684">
        <v>-1.1564859999999999</v>
      </c>
      <c r="AE5684">
        <v>-5.0699459999999901</v>
      </c>
      <c r="AF5684">
        <v>3.7869203293252598</v>
      </c>
      <c r="AG5684">
        <v>-1.1564859999999999</v>
      </c>
      <c r="AH5684">
        <v>9.1229681112663705</v>
      </c>
      <c r="AI5684">
        <v>96.677804068134805</v>
      </c>
      <c r="AJ5684">
        <v>67.456789500286803</v>
      </c>
      <c r="AK5684">
        <v>9.9451884149088006</v>
      </c>
      <c r="AL5684">
        <v>84.874717919156097</v>
      </c>
      <c r="AM5684">
        <v>79.807774646601601</v>
      </c>
      <c r="AN5684">
        <v>1.00000003527618</v>
      </c>
    </row>
    <row r="5685" spans="1:40" x14ac:dyDescent="0.25">
      <c r="A5685" t="str">
        <f>"20190312151138488"</f>
        <v>20190312151138488</v>
      </c>
      <c r="B5685" t="str">
        <f>"1552374698477057"</f>
        <v>1552374698477057</v>
      </c>
      <c r="C5685" t="s">
        <v>40</v>
      </c>
      <c r="D5685">
        <v>5.2094740000000002</v>
      </c>
      <c r="E5685">
        <v>0.58947869999999902</v>
      </c>
      <c r="F5685" t="s">
        <v>43</v>
      </c>
      <c r="G5685">
        <v>-315.18459999999999</v>
      </c>
      <c r="H5685">
        <v>-0.05</v>
      </c>
      <c r="I5685">
        <v>11.523820000000001</v>
      </c>
      <c r="J5685">
        <v>-320.45490000000001</v>
      </c>
      <c r="K5685">
        <v>1.1061540000000001</v>
      </c>
      <c r="L5685">
        <v>14.767239999999999</v>
      </c>
      <c r="M5685">
        <v>0.99022600000000005</v>
      </c>
      <c r="N5685">
        <v>0</v>
      </c>
      <c r="O5685">
        <v>-0.13898139999999901</v>
      </c>
      <c r="P5685">
        <v>0.94731710000000002</v>
      </c>
      <c r="Q5685">
        <v>7.8735379999999994E-2</v>
      </c>
      <c r="R5685">
        <v>-0.31046960000000001</v>
      </c>
      <c r="S5685">
        <v>2.6847530000000002</v>
      </c>
      <c r="T5685">
        <v>-0.57534300000000005</v>
      </c>
      <c r="U5685">
        <v>-1.6231990000000001</v>
      </c>
      <c r="V5685">
        <v>0.1765166</v>
      </c>
      <c r="W5685">
        <v>8.8761489999999998E-2</v>
      </c>
      <c r="X5685">
        <v>0.98028740000000003</v>
      </c>
      <c r="Y5685">
        <v>0.38932149999999999</v>
      </c>
      <c r="Z5685">
        <v>-1.1228170000000001E-2</v>
      </c>
      <c r="AA5685">
        <v>0.92103349999999995</v>
      </c>
      <c r="AB5685">
        <v>27</v>
      </c>
      <c r="AC5685">
        <v>5.2703000000000104</v>
      </c>
      <c r="AD5685">
        <v>-1.1561539999999999</v>
      </c>
      <c r="AE5685">
        <v>-3.24342</v>
      </c>
      <c r="AF5685">
        <v>2.39579096097316</v>
      </c>
      <c r="AG5685">
        <v>-1.1561539999999999</v>
      </c>
      <c r="AH5685">
        <v>5.4787192690391704</v>
      </c>
      <c r="AI5685">
        <v>100.943006523523</v>
      </c>
      <c r="AJ5685">
        <v>66.380706227554199</v>
      </c>
      <c r="AK5685">
        <v>6.0903917139489296</v>
      </c>
      <c r="AL5685">
        <v>84.907639724034894</v>
      </c>
      <c r="AM5685">
        <v>79.7923539058838</v>
      </c>
      <c r="AN5685">
        <v>1.00000004939066</v>
      </c>
    </row>
    <row r="5686" spans="1:40" x14ac:dyDescent="0.25">
      <c r="A5686" t="str">
        <f>"20190312151138499"</f>
        <v>20190312151138499</v>
      </c>
      <c r="B5686" t="str">
        <f>"1552374698496577"</f>
        <v>1552374698496577</v>
      </c>
      <c r="C5686" t="s">
        <v>40</v>
      </c>
      <c r="D5686">
        <v>5.1496959999999996</v>
      </c>
      <c r="E5686">
        <v>0.59083739999999996</v>
      </c>
      <c r="F5686" t="s">
        <v>43</v>
      </c>
      <c r="G5686">
        <v>-315.01420000000002</v>
      </c>
      <c r="H5686">
        <v>-0.05</v>
      </c>
      <c r="I5686">
        <v>11.42737</v>
      </c>
      <c r="J5686">
        <v>-320.32170000000002</v>
      </c>
      <c r="K5686">
        <v>1.105793</v>
      </c>
      <c r="L5686">
        <v>14.7468</v>
      </c>
      <c r="M5686">
        <v>0.98996189999999995</v>
      </c>
      <c r="N5686">
        <v>0</v>
      </c>
      <c r="O5686">
        <v>-0.1408336</v>
      </c>
      <c r="P5686">
        <v>0.94670699999999997</v>
      </c>
      <c r="Q5686">
        <v>7.7659500000000006E-2</v>
      </c>
      <c r="R5686">
        <v>-0.31259500000000001</v>
      </c>
      <c r="S5686">
        <v>2.6757810000000002</v>
      </c>
      <c r="T5686">
        <v>-0.56860569999999999</v>
      </c>
      <c r="U5686">
        <v>-1.6425780000000001</v>
      </c>
      <c r="V5686">
        <v>0.17690239999999999</v>
      </c>
      <c r="W5686">
        <v>8.7824369999999999E-2</v>
      </c>
      <c r="X5686">
        <v>0.98030220000000001</v>
      </c>
      <c r="Y5686">
        <v>0.39387139999999998</v>
      </c>
      <c r="Z5686">
        <v>-1.120613E-2</v>
      </c>
      <c r="AA5686">
        <v>0.91909719999999995</v>
      </c>
      <c r="AB5686">
        <v>27</v>
      </c>
      <c r="AC5686">
        <v>5.3075000000000001</v>
      </c>
      <c r="AD5686">
        <v>-1.1557930000000001</v>
      </c>
      <c r="AE5686">
        <v>-3.3194300000000001</v>
      </c>
      <c r="AF5686">
        <v>2.4551233755243902</v>
      </c>
      <c r="AG5686">
        <v>-1.1557930000000001</v>
      </c>
      <c r="AH5686">
        <v>5.53348736031628</v>
      </c>
      <c r="AI5686">
        <v>100.80904663845099</v>
      </c>
      <c r="AJ5686">
        <v>66.0738738211856</v>
      </c>
      <c r="AK5686">
        <v>6.1630325826394401</v>
      </c>
      <c r="AL5686">
        <v>84.961542967788205</v>
      </c>
      <c r="AM5686">
        <v>79.770665538392706</v>
      </c>
      <c r="AN5686">
        <v>0.99999999120824801</v>
      </c>
    </row>
    <row r="5687" spans="1:40" x14ac:dyDescent="0.25">
      <c r="A5687" t="str">
        <f>"20190312151138513"</f>
        <v>20190312151138513</v>
      </c>
      <c r="B5687" t="str">
        <f>"1552374698507312"</f>
        <v>1552374698507312</v>
      </c>
      <c r="C5687" t="s">
        <v>40</v>
      </c>
      <c r="D5687">
        <v>5.2497669999999896</v>
      </c>
      <c r="E5687">
        <v>0.59193739999999995</v>
      </c>
      <c r="F5687" t="s">
        <v>43</v>
      </c>
      <c r="G5687">
        <v>-314.94979999999998</v>
      </c>
      <c r="H5687">
        <v>-0.05</v>
      </c>
      <c r="I5687">
        <v>11.40649</v>
      </c>
      <c r="J5687">
        <v>-320.15109999999999</v>
      </c>
      <c r="K5687">
        <v>1.105245</v>
      </c>
      <c r="L5687">
        <v>14.719939999999999</v>
      </c>
      <c r="M5687">
        <v>0.98959819999999998</v>
      </c>
      <c r="N5687">
        <v>0</v>
      </c>
      <c r="O5687">
        <v>-0.14332700000000001</v>
      </c>
      <c r="P5687">
        <v>0.94591060000000005</v>
      </c>
      <c r="Q5687">
        <v>7.6688599999999996E-2</v>
      </c>
      <c r="R5687">
        <v>-0.31523420000000002</v>
      </c>
      <c r="S5687">
        <v>2.6681520000000001</v>
      </c>
      <c r="T5687">
        <v>-0.57405819999999996</v>
      </c>
      <c r="U5687">
        <v>-1.6590579999999999</v>
      </c>
      <c r="V5687">
        <v>0.17719399999999999</v>
      </c>
      <c r="W5687">
        <v>8.7209239999999993E-2</v>
      </c>
      <c r="X5687">
        <v>0.98030450000000002</v>
      </c>
      <c r="Y5687">
        <v>0.39674809999999999</v>
      </c>
      <c r="Z5687">
        <v>-1.113164E-2</v>
      </c>
      <c r="AA5687">
        <v>0.91786000000000001</v>
      </c>
      <c r="AB5687">
        <v>27</v>
      </c>
      <c r="AC5687">
        <v>5.2012999999999998</v>
      </c>
      <c r="AD5687">
        <v>-1.1552450000000001</v>
      </c>
      <c r="AE5687">
        <v>-3.31345</v>
      </c>
      <c r="AF5687">
        <v>2.4477957938857502</v>
      </c>
      <c r="AG5687">
        <v>-1.1552450000000001</v>
      </c>
      <c r="AH5687">
        <v>5.4319227932076997</v>
      </c>
      <c r="AI5687">
        <v>100.973417466193</v>
      </c>
      <c r="AJ5687">
        <v>65.742170140984896</v>
      </c>
      <c r="AK5687">
        <v>6.0689439353118999</v>
      </c>
      <c r="AL5687">
        <v>84.996923312917204</v>
      </c>
      <c r="AM5687">
        <v>79.754184266810398</v>
      </c>
      <c r="AN5687">
        <v>1.00000003894881</v>
      </c>
    </row>
    <row r="5688" spans="1:40" x14ac:dyDescent="0.25">
      <c r="A5688" t="str">
        <f>"20190312151138525"</f>
        <v>20190312151138525</v>
      </c>
      <c r="B5688" t="str">
        <f>"1552374698517073"</f>
        <v>1552374698517073</v>
      </c>
      <c r="C5688" t="s">
        <v>40</v>
      </c>
      <c r="D5688">
        <v>5.0613570000000001</v>
      </c>
      <c r="E5688">
        <v>0.5917249</v>
      </c>
      <c r="F5688" t="s">
        <v>43</v>
      </c>
      <c r="G5688">
        <v>-314.89839999999998</v>
      </c>
      <c r="H5688">
        <v>-0.05</v>
      </c>
      <c r="I5688">
        <v>11.4124</v>
      </c>
      <c r="J5688">
        <v>-320.00240000000002</v>
      </c>
      <c r="K5688">
        <v>1.1047070000000001</v>
      </c>
      <c r="L5688">
        <v>14.69614</v>
      </c>
      <c r="M5688">
        <v>0.98927719999999997</v>
      </c>
      <c r="N5688">
        <v>0</v>
      </c>
      <c r="O5688">
        <v>-0.14548059999999999</v>
      </c>
      <c r="P5688">
        <v>0.94520029999999999</v>
      </c>
      <c r="Q5688">
        <v>7.5271820000000003E-2</v>
      </c>
      <c r="R5688">
        <v>-0.31769589999999998</v>
      </c>
      <c r="S5688">
        <v>2.6606450000000001</v>
      </c>
      <c r="T5688">
        <v>-0.58517180000000002</v>
      </c>
      <c r="U5688">
        <v>-1.6753849999999999</v>
      </c>
      <c r="V5688">
        <v>0.17762159999999999</v>
      </c>
      <c r="W5688">
        <v>8.6229219999999995E-2</v>
      </c>
      <c r="X5688">
        <v>0.98031380000000001</v>
      </c>
      <c r="Y5688">
        <v>0.39977940000000001</v>
      </c>
      <c r="Z5688">
        <v>-1.1240740000000001E-2</v>
      </c>
      <c r="AA5688">
        <v>0.91654250000000004</v>
      </c>
      <c r="AB5688">
        <v>27</v>
      </c>
      <c r="AC5688">
        <v>5.1040000000000401</v>
      </c>
      <c r="AD5688">
        <v>-1.1547069999999999</v>
      </c>
      <c r="AE5688">
        <v>-3.2837399999999999</v>
      </c>
      <c r="AF5688">
        <v>2.4186512335934598</v>
      </c>
      <c r="AG5688">
        <v>-1.1547069999999999</v>
      </c>
      <c r="AH5688">
        <v>5.3343515379387396</v>
      </c>
      <c r="AI5688">
        <v>101.152713246709</v>
      </c>
      <c r="AJ5688">
        <v>65.609959312413693</v>
      </c>
      <c r="AK5688">
        <v>5.9698013682133197</v>
      </c>
      <c r="AL5688">
        <v>85.053286605089895</v>
      </c>
      <c r="AM5688">
        <v>79.730080270381194</v>
      </c>
      <c r="AN5688">
        <v>1.0000000288194</v>
      </c>
    </row>
    <row r="5689" spans="1:40" x14ac:dyDescent="0.25">
      <c r="A5689" t="str">
        <f>"20190312151138539"</f>
        <v>20190312151138539</v>
      </c>
      <c r="B5689" t="str">
        <f>"1552374698526832"</f>
        <v>1552374698526832</v>
      </c>
      <c r="C5689" t="s">
        <v>40</v>
      </c>
      <c r="D5689">
        <v>5.0955890000000004</v>
      </c>
      <c r="E5689">
        <v>0.59217889999999995</v>
      </c>
      <c r="F5689" t="s">
        <v>43</v>
      </c>
      <c r="G5689">
        <v>-314.80930000000001</v>
      </c>
      <c r="H5689">
        <v>-0.05</v>
      </c>
      <c r="I5689">
        <v>11.409330000000001</v>
      </c>
      <c r="J5689">
        <v>-319.84480000000002</v>
      </c>
      <c r="K5689">
        <v>1.104088</v>
      </c>
      <c r="L5689">
        <v>14.67062</v>
      </c>
      <c r="M5689">
        <v>0.98893299999999995</v>
      </c>
      <c r="N5689">
        <v>0</v>
      </c>
      <c r="O5689">
        <v>-0.1477455</v>
      </c>
      <c r="P5689">
        <v>0.94449559999999999</v>
      </c>
      <c r="Q5689">
        <v>7.3789199999999999E-2</v>
      </c>
      <c r="R5689">
        <v>-0.3201309</v>
      </c>
      <c r="S5689">
        <v>2.655945</v>
      </c>
      <c r="T5689">
        <v>-0.5905629</v>
      </c>
      <c r="U5689">
        <v>-1.681</v>
      </c>
      <c r="V5689">
        <v>0.1779106</v>
      </c>
      <c r="W5689">
        <v>8.5303290000000004E-2</v>
      </c>
      <c r="X5689">
        <v>0.98034239999999995</v>
      </c>
      <c r="Y5689">
        <v>0.39975450000000001</v>
      </c>
      <c r="Z5689">
        <v>-1.090793E-2</v>
      </c>
      <c r="AA5689">
        <v>0.91655739999999997</v>
      </c>
      <c r="AB5689">
        <v>27</v>
      </c>
      <c r="AC5689">
        <v>5.0355000000000096</v>
      </c>
      <c r="AD5689">
        <v>-1.154088</v>
      </c>
      <c r="AE5689">
        <v>-3.2612899999999998</v>
      </c>
      <c r="AF5689">
        <v>2.3929006835214901</v>
      </c>
      <c r="AG5689">
        <v>-1.154088</v>
      </c>
      <c r="AH5689">
        <v>5.2671960163997698</v>
      </c>
      <c r="AI5689">
        <v>101.281688518564</v>
      </c>
      <c r="AJ5689">
        <v>65.567579643898398</v>
      </c>
      <c r="AK5689">
        <v>5.8992581455738398</v>
      </c>
      <c r="AL5689">
        <v>85.106534681938697</v>
      </c>
      <c r="AM5689">
        <v>79.714020690267105</v>
      </c>
      <c r="AN5689">
        <v>1.00000002705747</v>
      </c>
    </row>
    <row r="5690" spans="1:40" x14ac:dyDescent="0.25">
      <c r="A5690" t="str">
        <f>"20190312151138552"</f>
        <v>20190312151138552</v>
      </c>
      <c r="B5690" t="str">
        <f>"1552374698547329"</f>
        <v>1552374698547329</v>
      </c>
      <c r="C5690" t="s">
        <v>40</v>
      </c>
      <c r="D5690">
        <v>5.1655559999999996</v>
      </c>
      <c r="E5690">
        <v>0.59297469999999997</v>
      </c>
      <c r="F5690" t="s">
        <v>43</v>
      </c>
      <c r="G5690">
        <v>-314.78519999999997</v>
      </c>
      <c r="H5690">
        <v>-0.05</v>
      </c>
      <c r="I5690">
        <v>11.440379999999999</v>
      </c>
      <c r="J5690">
        <v>-319.6832</v>
      </c>
      <c r="K5690">
        <v>1.1033630000000001</v>
      </c>
      <c r="L5690">
        <v>14.643800000000001</v>
      </c>
      <c r="M5690">
        <v>0.98858970000000002</v>
      </c>
      <c r="N5690">
        <v>0</v>
      </c>
      <c r="O5690">
        <v>-0.149948</v>
      </c>
      <c r="P5690">
        <v>0.94372239999999996</v>
      </c>
      <c r="Q5690">
        <v>7.2091589999999997E-2</v>
      </c>
      <c r="R5690">
        <v>-0.32278659999999998</v>
      </c>
      <c r="S5690">
        <v>2.650055</v>
      </c>
      <c r="T5690">
        <v>-0.60448400000000002</v>
      </c>
      <c r="U5690">
        <v>-1.6919249999999999</v>
      </c>
      <c r="V5690">
        <v>0.17848310000000001</v>
      </c>
      <c r="W5690">
        <v>8.4355899999999998E-2</v>
      </c>
      <c r="X5690">
        <v>0.98032030000000003</v>
      </c>
      <c r="Y5690">
        <v>0.40113169999999998</v>
      </c>
      <c r="Z5690">
        <v>-1.0872069999999999E-2</v>
      </c>
      <c r="AA5690">
        <v>0.91595590000000005</v>
      </c>
      <c r="AB5690">
        <v>27</v>
      </c>
      <c r="AC5690">
        <v>4.8980000000000201</v>
      </c>
      <c r="AD5690">
        <v>-1.1533629999999999</v>
      </c>
      <c r="AE5690">
        <v>-3.2034199999999902</v>
      </c>
      <c r="AF5690">
        <v>2.34172830997429</v>
      </c>
      <c r="AG5690">
        <v>-1.1533629999999999</v>
      </c>
      <c r="AH5690">
        <v>5.1240075671835799</v>
      </c>
      <c r="AI5690">
        <v>101.569940323785</v>
      </c>
      <c r="AJ5690">
        <v>65.439073433823296</v>
      </c>
      <c r="AK5690">
        <v>5.7505992066965197</v>
      </c>
      <c r="AL5690">
        <v>85.1610124282887</v>
      </c>
      <c r="AM5690">
        <v>79.681403662919095</v>
      </c>
      <c r="AN5690">
        <v>1.0000000127212501</v>
      </c>
    </row>
    <row r="5691" spans="1:40" x14ac:dyDescent="0.25">
      <c r="A5691" t="str">
        <f>"20190312151138566"</f>
        <v>20190312151138566</v>
      </c>
      <c r="B5691" t="str">
        <f>"1552374698557089"</f>
        <v>1552374698557089</v>
      </c>
      <c r="C5691" t="s">
        <v>40</v>
      </c>
      <c r="D5691">
        <v>5.0621159999999996</v>
      </c>
      <c r="E5691">
        <v>0.59309460000000003</v>
      </c>
      <c r="F5691" t="s">
        <v>43</v>
      </c>
      <c r="G5691">
        <v>-314.7765</v>
      </c>
      <c r="H5691">
        <v>-0.05</v>
      </c>
      <c r="I5691">
        <v>11.476990000000001</v>
      </c>
      <c r="J5691">
        <v>-319.51119999999997</v>
      </c>
      <c r="K5691">
        <v>1.1025640000000001</v>
      </c>
      <c r="L5691">
        <v>14.61478</v>
      </c>
      <c r="M5691">
        <v>0.98820640000000004</v>
      </c>
      <c r="N5691">
        <v>0</v>
      </c>
      <c r="O5691">
        <v>-0.152355399999999</v>
      </c>
      <c r="P5691">
        <v>0.94275310000000001</v>
      </c>
      <c r="Q5691">
        <v>6.9651999999999895E-2</v>
      </c>
      <c r="R5691">
        <v>-0.32613720000000002</v>
      </c>
      <c r="S5691">
        <v>2.642944</v>
      </c>
      <c r="T5691">
        <v>-0.62124009999999996</v>
      </c>
      <c r="U5691">
        <v>-1.7057500000000001</v>
      </c>
      <c r="V5691">
        <v>0.17955299999999999</v>
      </c>
      <c r="W5691">
        <v>8.2849140000000002E-2</v>
      </c>
      <c r="X5691">
        <v>0.98025340000000005</v>
      </c>
      <c r="Y5691">
        <v>0.40316229999999997</v>
      </c>
      <c r="Z5691">
        <v>-1.090022E-2</v>
      </c>
      <c r="AA5691">
        <v>0.91506359999999998</v>
      </c>
      <c r="AB5691">
        <v>27</v>
      </c>
      <c r="AC5691">
        <v>4.7346999999999699</v>
      </c>
      <c r="AD5691">
        <v>-1.1525639999999999</v>
      </c>
      <c r="AE5691">
        <v>-3.1377899999999999</v>
      </c>
      <c r="AF5691">
        <v>2.2856003189210701</v>
      </c>
      <c r="AG5691">
        <v>-1.1525639999999999</v>
      </c>
      <c r="AH5691">
        <v>4.9535699028490496</v>
      </c>
      <c r="AI5691">
        <v>101.929385436697</v>
      </c>
      <c r="AJ5691">
        <v>65.231178962665297</v>
      </c>
      <c r="AK5691">
        <v>5.5758611329874403</v>
      </c>
      <c r="AL5691">
        <v>85.247646626109002</v>
      </c>
      <c r="AM5691">
        <v>79.6201973065684</v>
      </c>
      <c r="AN5691">
        <v>0.99999999400964901</v>
      </c>
    </row>
    <row r="5692" spans="1:40" x14ac:dyDescent="0.25">
      <c r="A5692" t="str">
        <f>"20190312151138577"</f>
        <v>20190312151138577</v>
      </c>
      <c r="B5692" t="str">
        <f>"1552374698566849"</f>
        <v>1552374698566849</v>
      </c>
      <c r="C5692" t="s">
        <v>40</v>
      </c>
      <c r="D5692">
        <v>5.0732809999999997</v>
      </c>
      <c r="E5692">
        <v>0.59333539999999996</v>
      </c>
      <c r="F5692" t="s">
        <v>43</v>
      </c>
      <c r="G5692">
        <v>-314.65699999999998</v>
      </c>
      <c r="H5692">
        <v>-0.05</v>
      </c>
      <c r="I5692">
        <v>11.453049999999999</v>
      </c>
      <c r="J5692">
        <v>-319.37709999999998</v>
      </c>
      <c r="K5692">
        <v>1.1019300000000001</v>
      </c>
      <c r="L5692">
        <v>14.59192</v>
      </c>
      <c r="M5692">
        <v>0.98789700000000003</v>
      </c>
      <c r="N5692">
        <v>0</v>
      </c>
      <c r="O5692">
        <v>-0.1542626</v>
      </c>
      <c r="P5692">
        <v>0.94204840000000001</v>
      </c>
      <c r="Q5692">
        <v>6.8258920000000001E-2</v>
      </c>
      <c r="R5692">
        <v>-0.32845930000000001</v>
      </c>
      <c r="S5692">
        <v>2.634735</v>
      </c>
      <c r="T5692">
        <v>-0.62557940000000001</v>
      </c>
      <c r="U5692">
        <v>-1.7160949999999999</v>
      </c>
      <c r="V5692">
        <v>0.1800631</v>
      </c>
      <c r="W5692">
        <v>8.2257999999999998E-2</v>
      </c>
      <c r="X5692">
        <v>0.98020960000000001</v>
      </c>
      <c r="Y5692">
        <v>0.40514420000000001</v>
      </c>
      <c r="Z5692">
        <v>-1.0810999999999999E-2</v>
      </c>
      <c r="AA5692">
        <v>0.91418889999999997</v>
      </c>
      <c r="AB5692">
        <v>27</v>
      </c>
      <c r="AC5692">
        <v>4.7201000000000004</v>
      </c>
      <c r="AD5692">
        <v>-1.1519299999999999</v>
      </c>
      <c r="AE5692">
        <v>-3.1388699999999998</v>
      </c>
      <c r="AF5692">
        <v>2.2789438220043499</v>
      </c>
      <c r="AG5692">
        <v>-1.1519299999999999</v>
      </c>
      <c r="AH5692">
        <v>4.9436997434161496</v>
      </c>
      <c r="AI5692">
        <v>101.94800903581999</v>
      </c>
      <c r="AJ5692">
        <v>65.251271036491701</v>
      </c>
      <c r="AK5692">
        <v>5.5642335340821898</v>
      </c>
      <c r="AL5692">
        <v>85.281632390347497</v>
      </c>
      <c r="AM5692">
        <v>79.590897571779493</v>
      </c>
      <c r="AN5692">
        <v>0.99999997923888395</v>
      </c>
    </row>
    <row r="5693" spans="1:40" x14ac:dyDescent="0.25">
      <c r="A5693" t="str">
        <f>"20190312151138588"</f>
        <v>20190312151138588</v>
      </c>
      <c r="B5693" t="str">
        <f>"1552374698576608"</f>
        <v>1552374698576608</v>
      </c>
      <c r="C5693" t="s">
        <v>40</v>
      </c>
      <c r="D5693">
        <v>5.1530659999999999</v>
      </c>
      <c r="E5693">
        <v>0.59385940000000004</v>
      </c>
      <c r="F5693" t="s">
        <v>43</v>
      </c>
      <c r="G5693">
        <v>-314.56169999999997</v>
      </c>
      <c r="H5693">
        <v>-0.05</v>
      </c>
      <c r="I5693">
        <v>11.433490000000001</v>
      </c>
      <c r="J5693">
        <v>-319.24790000000002</v>
      </c>
      <c r="K5693">
        <v>1.101297</v>
      </c>
      <c r="L5693">
        <v>14.569369999999999</v>
      </c>
      <c r="M5693">
        <v>0.98755490000000001</v>
      </c>
      <c r="N5693">
        <v>0</v>
      </c>
      <c r="O5693">
        <v>-0.15634339999999999</v>
      </c>
      <c r="P5693">
        <v>0.94127959999999999</v>
      </c>
      <c r="Q5693">
        <v>6.6896269999999994E-2</v>
      </c>
      <c r="R5693">
        <v>-0.3309356</v>
      </c>
      <c r="S5693">
        <v>2.6289060000000002</v>
      </c>
      <c r="T5693">
        <v>-0.62887910000000002</v>
      </c>
      <c r="U5693">
        <v>-1.7243040000000001</v>
      </c>
      <c r="V5693">
        <v>0.1805513</v>
      </c>
      <c r="W5693">
        <v>8.1763269999999999E-2</v>
      </c>
      <c r="X5693">
        <v>0.98016119999999995</v>
      </c>
      <c r="Y5693">
        <v>0.40611039999999998</v>
      </c>
      <c r="Z5693">
        <v>-1.0549670000000001E-2</v>
      </c>
      <c r="AA5693">
        <v>0.91376310000000005</v>
      </c>
      <c r="AB5693">
        <v>27</v>
      </c>
      <c r="AC5693">
        <v>4.6862000000000403</v>
      </c>
      <c r="AD5693">
        <v>-1.151297</v>
      </c>
      <c r="AE5693">
        <v>-3.1358799999999998</v>
      </c>
      <c r="AF5693">
        <v>2.2699110874691</v>
      </c>
      <c r="AG5693">
        <v>-1.151297</v>
      </c>
      <c r="AH5693">
        <v>4.9140377222935703</v>
      </c>
      <c r="AI5693">
        <v>102.007436690766</v>
      </c>
      <c r="AJ5693">
        <v>65.206659939944799</v>
      </c>
      <c r="AK5693">
        <v>5.5340534749266999</v>
      </c>
      <c r="AL5693">
        <v>85.310074195408902</v>
      </c>
      <c r="AM5693">
        <v>79.562790967983503</v>
      </c>
      <c r="AN5693">
        <v>0.99999999111911098</v>
      </c>
    </row>
    <row r="5694" spans="1:40" x14ac:dyDescent="0.25">
      <c r="A5694" t="str">
        <f>"20190312151138601"</f>
        <v>20190312151138601</v>
      </c>
      <c r="B5694" t="str">
        <f>"1552374698597104"</f>
        <v>1552374698597104</v>
      </c>
      <c r="C5694" t="s">
        <v>40</v>
      </c>
      <c r="D5694">
        <v>5.0145670000000004</v>
      </c>
      <c r="E5694">
        <v>0.5942653</v>
      </c>
      <c r="F5694" t="s">
        <v>43</v>
      </c>
      <c r="G5694">
        <v>-314.49529999999999</v>
      </c>
      <c r="H5694">
        <v>-0.05</v>
      </c>
      <c r="I5694">
        <v>11.42393</v>
      </c>
      <c r="J5694">
        <v>-319.1071</v>
      </c>
      <c r="K5694">
        <v>1.1005940000000001</v>
      </c>
      <c r="L5694">
        <v>14.544650000000001</v>
      </c>
      <c r="M5694">
        <v>0.98716649999999995</v>
      </c>
      <c r="N5694">
        <v>0</v>
      </c>
      <c r="O5694">
        <v>-0.15867110000000001</v>
      </c>
      <c r="P5694">
        <v>0.94035970000000002</v>
      </c>
      <c r="Q5694">
        <v>6.5283400000000005E-2</v>
      </c>
      <c r="R5694">
        <v>-0.33385930000000003</v>
      </c>
      <c r="S5694">
        <v>2.6221619999999999</v>
      </c>
      <c r="T5694">
        <v>-0.63520940000000004</v>
      </c>
      <c r="U5694">
        <v>-1.7354430000000001</v>
      </c>
      <c r="V5694">
        <v>0.181258</v>
      </c>
      <c r="W5694">
        <v>8.1091730000000001E-2</v>
      </c>
      <c r="X5694">
        <v>0.98008660000000003</v>
      </c>
      <c r="Y5694">
        <v>0.40765289999999998</v>
      </c>
      <c r="Z5694">
        <v>-1.034436E-2</v>
      </c>
      <c r="AA5694">
        <v>0.91307839999999996</v>
      </c>
      <c r="AB5694">
        <v>27</v>
      </c>
      <c r="AC5694">
        <v>4.6118000000000103</v>
      </c>
      <c r="AD5694">
        <v>-1.1505939999999999</v>
      </c>
      <c r="AE5694">
        <v>-3.1207199999999999</v>
      </c>
      <c r="AF5694">
        <v>2.2530977535491599</v>
      </c>
      <c r="AG5694">
        <v>-1.1505939999999999</v>
      </c>
      <c r="AH5694">
        <v>4.8418812694653397</v>
      </c>
      <c r="AI5694">
        <v>102.158490264218</v>
      </c>
      <c r="AJ5694">
        <v>65.0457836002345</v>
      </c>
      <c r="AK5694">
        <v>5.4629781500097101</v>
      </c>
      <c r="AL5694">
        <v>85.348679015431301</v>
      </c>
      <c r="AM5694">
        <v>79.522061547091496</v>
      </c>
      <c r="AN5694">
        <v>1.0000000373689699</v>
      </c>
    </row>
    <row r="5695" spans="1:40" x14ac:dyDescent="0.25">
      <c r="A5695" t="str">
        <f>"20190312151138611"</f>
        <v>20190312151138611</v>
      </c>
      <c r="B5695" t="str">
        <f>"1552374698606865"</f>
        <v>1552374698606865</v>
      </c>
      <c r="C5695" t="s">
        <v>40</v>
      </c>
      <c r="D5695">
        <v>5.0140789999999997</v>
      </c>
      <c r="E5695">
        <v>0.59450309999999995</v>
      </c>
      <c r="F5695" t="s">
        <v>43</v>
      </c>
      <c r="G5695">
        <v>-314.3956</v>
      </c>
      <c r="H5695">
        <v>-0.05</v>
      </c>
      <c r="I5695">
        <v>11.398070000000001</v>
      </c>
      <c r="J5695">
        <v>-318.96969999999999</v>
      </c>
      <c r="K5695">
        <v>1.099858</v>
      </c>
      <c r="L5695">
        <v>14.520049999999999</v>
      </c>
      <c r="M5695">
        <v>0.98674669999999998</v>
      </c>
      <c r="N5695">
        <v>0</v>
      </c>
      <c r="O5695">
        <v>-0.1611553</v>
      </c>
      <c r="P5695">
        <v>0.93933960000000005</v>
      </c>
      <c r="Q5695">
        <v>6.365933E-2</v>
      </c>
      <c r="R5695">
        <v>-0.3370302</v>
      </c>
      <c r="S5695">
        <v>2.6146240000000001</v>
      </c>
      <c r="T5695">
        <v>-0.6385092</v>
      </c>
      <c r="U5695">
        <v>-1.7461549999999999</v>
      </c>
      <c r="V5695">
        <v>0.18206649999999999</v>
      </c>
      <c r="W5695">
        <v>8.0372650000000004E-2</v>
      </c>
      <c r="X5695">
        <v>0.97999590000000003</v>
      </c>
      <c r="Y5695">
        <v>0.40912080000000001</v>
      </c>
      <c r="Z5695">
        <v>-1.00474E-2</v>
      </c>
      <c r="AA5695">
        <v>0.91242489999999998</v>
      </c>
      <c r="AB5695">
        <v>27</v>
      </c>
      <c r="AC5695">
        <v>4.5740999999999801</v>
      </c>
      <c r="AD5695">
        <v>-1.149858</v>
      </c>
      <c r="AE5695">
        <v>-3.12197999999999</v>
      </c>
      <c r="AF5695">
        <v>2.2470141362186902</v>
      </c>
      <c r="AG5695">
        <v>-1.149858</v>
      </c>
      <c r="AH5695">
        <v>4.8101356504476698</v>
      </c>
      <c r="AI5695">
        <v>102.220528611942</v>
      </c>
      <c r="AJ5695">
        <v>64.960768439780693</v>
      </c>
      <c r="AK5695">
        <v>5.4321865693510798</v>
      </c>
      <c r="AL5695">
        <v>85.390013871522896</v>
      </c>
      <c r="AM5695">
        <v>79.475414379541704</v>
      </c>
      <c r="AN5695">
        <v>0.99999996865354002</v>
      </c>
    </row>
    <row r="5696" spans="1:40" x14ac:dyDescent="0.25">
      <c r="A5696" t="str">
        <f>"20190312151138622"</f>
        <v>20190312151138622</v>
      </c>
      <c r="B5696" t="str">
        <f>"1552374698616625"</f>
        <v>1552374698616625</v>
      </c>
      <c r="C5696" t="s">
        <v>40</v>
      </c>
      <c r="D5696">
        <v>5.0325800000000003</v>
      </c>
      <c r="E5696">
        <v>0.59475659999999997</v>
      </c>
      <c r="F5696" t="s">
        <v>43</v>
      </c>
      <c r="G5696">
        <v>-314.30110000000002</v>
      </c>
      <c r="H5696">
        <v>-0.05</v>
      </c>
      <c r="I5696">
        <v>11.37561</v>
      </c>
      <c r="J5696">
        <v>-318.84890000000001</v>
      </c>
      <c r="K5696">
        <v>1.099181</v>
      </c>
      <c r="L5696">
        <v>14.49817</v>
      </c>
      <c r="M5696">
        <v>0.9863653</v>
      </c>
      <c r="N5696">
        <v>0</v>
      </c>
      <c r="O5696">
        <v>-0.16338039999999901</v>
      </c>
      <c r="P5696">
        <v>0.93840590000000002</v>
      </c>
      <c r="Q5696">
        <v>6.2313540000000001E-2</v>
      </c>
      <c r="R5696">
        <v>-0.33987000000000001</v>
      </c>
      <c r="S5696">
        <v>2.6072389999999999</v>
      </c>
      <c r="T5696">
        <v>-0.64216219999999902</v>
      </c>
      <c r="U5696">
        <v>-1.756073</v>
      </c>
      <c r="V5696">
        <v>0.1827973</v>
      </c>
      <c r="W5696">
        <v>7.9793240000000001E-2</v>
      </c>
      <c r="X5696">
        <v>0.97990719999999998</v>
      </c>
      <c r="Y5696">
        <v>0.41059960000000001</v>
      </c>
      <c r="Z5696">
        <v>-9.808265E-3</v>
      </c>
      <c r="AA5696">
        <v>0.91176299999999999</v>
      </c>
      <c r="AB5696">
        <v>27</v>
      </c>
      <c r="AC5696">
        <v>4.5477999999999899</v>
      </c>
      <c r="AD5696">
        <v>-1.149181</v>
      </c>
      <c r="AE5696">
        <v>-3.12256</v>
      </c>
      <c r="AF5696">
        <v>2.2402071657316198</v>
      </c>
      <c r="AG5696">
        <v>-1.149181</v>
      </c>
      <c r="AH5696">
        <v>4.7891117672238002</v>
      </c>
      <c r="AI5696">
        <v>102.262675007788</v>
      </c>
      <c r="AJ5696">
        <v>64.931174502207</v>
      </c>
      <c r="AK5696">
        <v>5.4106133326192998</v>
      </c>
      <c r="AL5696">
        <v>85.423318582544297</v>
      </c>
      <c r="AM5696">
        <v>79.433184099389194</v>
      </c>
      <c r="AN5696">
        <v>0.99999996732441299</v>
      </c>
    </row>
    <row r="5697" spans="1:40" x14ac:dyDescent="0.25">
      <c r="A5697" t="str">
        <f>"20190312151138634"</f>
        <v>20190312151138634</v>
      </c>
      <c r="B5697" t="str">
        <f>"1552374698627361"</f>
        <v>1552374698627361</v>
      </c>
      <c r="C5697" t="s">
        <v>40</v>
      </c>
      <c r="D5697">
        <v>5.0295110000000003</v>
      </c>
      <c r="E5697">
        <v>0.59504319999999999</v>
      </c>
      <c r="F5697" t="s">
        <v>43</v>
      </c>
      <c r="G5697">
        <v>-314.2201</v>
      </c>
      <c r="H5697">
        <v>-0.05</v>
      </c>
      <c r="I5697">
        <v>11.355420000000001</v>
      </c>
      <c r="J5697">
        <v>-318.70159999999998</v>
      </c>
      <c r="K5697">
        <v>1.0983019999999999</v>
      </c>
      <c r="L5697">
        <v>14.471069999999999</v>
      </c>
      <c r="M5697">
        <v>0.98588039999999999</v>
      </c>
      <c r="N5697">
        <v>0</v>
      </c>
      <c r="O5697">
        <v>-0.1661685</v>
      </c>
      <c r="P5697">
        <v>0.93722309999999998</v>
      </c>
      <c r="Q5697">
        <v>6.0487100000000002E-2</v>
      </c>
      <c r="R5697">
        <v>-0.34344479999999999</v>
      </c>
      <c r="S5697">
        <v>2.6003419999999999</v>
      </c>
      <c r="T5697">
        <v>-0.64557609999999999</v>
      </c>
      <c r="U5697">
        <v>-1.7655029999999901</v>
      </c>
      <c r="V5697">
        <v>0.1837329</v>
      </c>
      <c r="W5697">
        <v>7.885209E-2</v>
      </c>
      <c r="X5697">
        <v>0.97980840000000002</v>
      </c>
      <c r="Y5697">
        <v>0.41139189999999998</v>
      </c>
      <c r="Z5697">
        <v>-9.363484E-3</v>
      </c>
      <c r="AA5697">
        <v>0.91141050000000001</v>
      </c>
      <c r="AB5697">
        <v>27</v>
      </c>
      <c r="AC5697">
        <v>4.4814999999999801</v>
      </c>
      <c r="AD5697">
        <v>-1.1483019999999999</v>
      </c>
      <c r="AE5697">
        <v>-3.11565</v>
      </c>
      <c r="AF5697">
        <v>2.22882129217188</v>
      </c>
      <c r="AG5697">
        <v>-1.1483019999999999</v>
      </c>
      <c r="AH5697">
        <v>4.7277454227833502</v>
      </c>
      <c r="AI5697">
        <v>102.390798534773</v>
      </c>
      <c r="AJ5697">
        <v>64.759202807457399</v>
      </c>
      <c r="AK5697">
        <v>5.35143145506804</v>
      </c>
      <c r="AL5697">
        <v>85.477412953538504</v>
      </c>
      <c r="AM5697">
        <v>79.379281293524102</v>
      </c>
      <c r="AN5697">
        <v>0.99999996567516802</v>
      </c>
    </row>
    <row r="5698" spans="1:40" x14ac:dyDescent="0.25">
      <c r="A5698" t="str">
        <f>"20190312151138643"</f>
        <v>20190312151138643</v>
      </c>
      <c r="B5698" t="str">
        <f>"1552374698637121"</f>
        <v>1552374698637121</v>
      </c>
      <c r="C5698" t="s">
        <v>40</v>
      </c>
      <c r="D5698">
        <v>5.0390629999999996</v>
      </c>
      <c r="E5698">
        <v>0.59517219999999904</v>
      </c>
      <c r="F5698" t="s">
        <v>43</v>
      </c>
      <c r="G5698">
        <v>-314.11770000000001</v>
      </c>
      <c r="H5698">
        <v>-0.05</v>
      </c>
      <c r="I5698">
        <v>11.32851</v>
      </c>
      <c r="J5698">
        <v>-318.58370000000002</v>
      </c>
      <c r="K5698">
        <v>1.097583</v>
      </c>
      <c r="L5698">
        <v>14.449009999999999</v>
      </c>
      <c r="M5698">
        <v>0.98545709999999997</v>
      </c>
      <c r="N5698">
        <v>0</v>
      </c>
      <c r="O5698">
        <v>-0.16858380000000001</v>
      </c>
      <c r="P5698">
        <v>0.93611339999999998</v>
      </c>
      <c r="Q5698">
        <v>5.9269969999999998E-2</v>
      </c>
      <c r="R5698">
        <v>-0.3466689</v>
      </c>
      <c r="S5698">
        <v>2.5917659999999998</v>
      </c>
      <c r="T5698">
        <v>-0.64925790000000005</v>
      </c>
      <c r="U5698">
        <v>-1.7768250000000001</v>
      </c>
      <c r="V5698">
        <v>0.1846855</v>
      </c>
      <c r="W5698">
        <v>7.823505E-2</v>
      </c>
      <c r="X5698">
        <v>0.97967879999999996</v>
      </c>
      <c r="Y5698">
        <v>0.41322019999999998</v>
      </c>
      <c r="Z5698">
        <v>-9.1168619999999999E-3</v>
      </c>
      <c r="AA5698">
        <v>0.91058550000000005</v>
      </c>
      <c r="AB5698">
        <v>27</v>
      </c>
      <c r="AC5698">
        <v>4.4660000000000002</v>
      </c>
      <c r="AD5698">
        <v>-1.147583</v>
      </c>
      <c r="AE5698">
        <v>-3.1204999999999998</v>
      </c>
      <c r="AF5698">
        <v>2.22407407733786</v>
      </c>
      <c r="AG5698">
        <v>-1.147583</v>
      </c>
      <c r="AH5698">
        <v>4.7188709146664003</v>
      </c>
      <c r="AI5698">
        <v>102.40640129255</v>
      </c>
      <c r="AJ5698">
        <v>64.764800553667399</v>
      </c>
      <c r="AK5698">
        <v>5.3414600019713498</v>
      </c>
      <c r="AL5698">
        <v>85.512876473295606</v>
      </c>
      <c r="AM5698">
        <v>79.324098633560894</v>
      </c>
      <c r="AN5698">
        <v>1.00000000406409</v>
      </c>
    </row>
    <row r="5699" spans="1:40" x14ac:dyDescent="0.25">
      <c r="A5699" t="str">
        <f>"20190312151138654"</f>
        <v>20190312151138654</v>
      </c>
      <c r="B5699" t="str">
        <f>"1552374698646881"</f>
        <v>1552374698646881</v>
      </c>
      <c r="C5699" t="s">
        <v>40</v>
      </c>
      <c r="D5699">
        <v>5.1374550000000001</v>
      </c>
      <c r="E5699">
        <v>0.59534739999999997</v>
      </c>
      <c r="F5699" t="s">
        <v>43</v>
      </c>
      <c r="G5699">
        <v>-314.04840000000002</v>
      </c>
      <c r="H5699">
        <v>-0.05</v>
      </c>
      <c r="I5699">
        <v>11.314159999999999</v>
      </c>
      <c r="J5699">
        <v>-318.45089999999999</v>
      </c>
      <c r="K5699">
        <v>1.096757</v>
      </c>
      <c r="L5699">
        <v>14.42395</v>
      </c>
      <c r="M5699">
        <v>0.98495370000000004</v>
      </c>
      <c r="N5699">
        <v>0</v>
      </c>
      <c r="O5699">
        <v>-0.1714193</v>
      </c>
      <c r="P5699">
        <v>0.93476139999999996</v>
      </c>
      <c r="Q5699">
        <v>5.8557900000000003E-2</v>
      </c>
      <c r="R5699">
        <v>-0.35041739999999999</v>
      </c>
      <c r="S5699">
        <v>2.5845950000000002</v>
      </c>
      <c r="T5699">
        <v>-0.65399010000000002</v>
      </c>
      <c r="U5699">
        <v>-1.7864990000000001</v>
      </c>
      <c r="V5699">
        <v>0.18578310000000001</v>
      </c>
      <c r="W5699">
        <v>7.8131899999999893E-2</v>
      </c>
      <c r="X5699">
        <v>0.97947949999999995</v>
      </c>
      <c r="Y5699">
        <v>0.41405219999999998</v>
      </c>
      <c r="Z5699">
        <v>-8.6733890000000001E-3</v>
      </c>
      <c r="AA5699">
        <v>0.91021180000000002</v>
      </c>
      <c r="AB5699">
        <v>27</v>
      </c>
      <c r="AC5699">
        <v>4.4024999999999697</v>
      </c>
      <c r="AD5699">
        <v>-1.146757</v>
      </c>
      <c r="AE5699">
        <v>-3.1097899999999901</v>
      </c>
      <c r="AF5699">
        <v>2.20889780023021</v>
      </c>
      <c r="AG5699">
        <v>-1.146757</v>
      </c>
      <c r="AH5699">
        <v>4.6595968274592501</v>
      </c>
      <c r="AI5699">
        <v>102.537638675804</v>
      </c>
      <c r="AJ5699">
        <v>64.636549162977303</v>
      </c>
      <c r="AK5699">
        <v>5.2826246983274503</v>
      </c>
      <c r="AL5699">
        <v>85.518804761946797</v>
      </c>
      <c r="AM5699">
        <v>79.259987911204604</v>
      </c>
      <c r="AN5699">
        <v>1.00000002248173</v>
      </c>
    </row>
    <row r="5700" spans="1:40" x14ac:dyDescent="0.25">
      <c r="A5700" t="str">
        <f>"20190312151138667"</f>
        <v>20190312151138667</v>
      </c>
      <c r="B5700" t="str">
        <f>"1552374698656640"</f>
        <v>1552374698656640</v>
      </c>
      <c r="C5700" t="s">
        <v>40</v>
      </c>
      <c r="D5700">
        <v>5.0589659999999999</v>
      </c>
      <c r="E5700">
        <v>0.59559819999999997</v>
      </c>
      <c r="F5700" t="s">
        <v>43</v>
      </c>
      <c r="G5700">
        <v>-313.935</v>
      </c>
      <c r="H5700">
        <v>-0.05</v>
      </c>
      <c r="I5700">
        <v>11.27345</v>
      </c>
      <c r="J5700">
        <v>-318.31139999999999</v>
      </c>
      <c r="K5700">
        <v>1.095798</v>
      </c>
      <c r="L5700">
        <v>14.397030000000001</v>
      </c>
      <c r="M5700">
        <v>0.98442810000000003</v>
      </c>
      <c r="N5700">
        <v>0</v>
      </c>
      <c r="O5700">
        <v>-0.17434520000000001</v>
      </c>
      <c r="P5700">
        <v>0.93334700000000004</v>
      </c>
      <c r="Q5700">
        <v>5.7553310000000003E-2</v>
      </c>
      <c r="R5700">
        <v>-0.35433209999999998</v>
      </c>
      <c r="S5700">
        <v>2.5765690000000001</v>
      </c>
      <c r="T5700">
        <v>-0.65428260000000005</v>
      </c>
      <c r="U5700">
        <v>-1.7975159999999999</v>
      </c>
      <c r="V5700">
        <v>0.1869721</v>
      </c>
      <c r="W5700">
        <v>7.7600420000000003E-2</v>
      </c>
      <c r="X5700">
        <v>0.97929549999999999</v>
      </c>
      <c r="Y5700">
        <v>0.41532140000000001</v>
      </c>
      <c r="Z5700">
        <v>-8.1993009999999904E-3</v>
      </c>
      <c r="AA5700">
        <v>0.90963769999999999</v>
      </c>
      <c r="AB5700">
        <v>27</v>
      </c>
      <c r="AC5700">
        <v>4.3763999999999896</v>
      </c>
      <c r="AD5700">
        <v>-1.1457979999999901</v>
      </c>
      <c r="AE5700">
        <v>-3.1235799999999898</v>
      </c>
      <c r="AF5700">
        <v>2.2120646849221099</v>
      </c>
      <c r="AG5700">
        <v>-1.1457979999999901</v>
      </c>
      <c r="AH5700">
        <v>4.6431998494403297</v>
      </c>
      <c r="AI5700">
        <v>102.55920841562499</v>
      </c>
      <c r="AJ5700">
        <v>64.526424615173397</v>
      </c>
      <c r="AK5700">
        <v>5.2692872448677699</v>
      </c>
      <c r="AL5700">
        <v>85.5493491111271</v>
      </c>
      <c r="AM5700">
        <v>79.190883570878896</v>
      </c>
      <c r="AN5700">
        <v>1.0000000338414099</v>
      </c>
    </row>
    <row r="5701" spans="1:40" x14ac:dyDescent="0.25">
      <c r="A5701" t="str">
        <f>"20190312151138677"</f>
        <v>20190312151138677</v>
      </c>
      <c r="B5701" t="str">
        <f>"1552374698667015"</f>
        <v>1552374698667015</v>
      </c>
      <c r="C5701" t="s">
        <v>40</v>
      </c>
      <c r="D5701">
        <v>5.2925649999999997</v>
      </c>
      <c r="E5701">
        <v>0.59613319999999903</v>
      </c>
      <c r="F5701" t="s">
        <v>43</v>
      </c>
      <c r="G5701">
        <v>-313.83069999999998</v>
      </c>
      <c r="H5701">
        <v>-0.05</v>
      </c>
      <c r="I5701">
        <v>11.23953</v>
      </c>
      <c r="J5701">
        <v>-318.18020000000001</v>
      </c>
      <c r="K5701">
        <v>1.0948819999999999</v>
      </c>
      <c r="L5701">
        <v>14.3715799999999</v>
      </c>
      <c r="M5701">
        <v>0.98392970000000002</v>
      </c>
      <c r="N5701">
        <v>0</v>
      </c>
      <c r="O5701">
        <v>-0.1770784</v>
      </c>
      <c r="P5701">
        <v>0.93196219999999996</v>
      </c>
      <c r="Q5701">
        <v>5.672928E-2</v>
      </c>
      <c r="R5701">
        <v>-0.35808970000000001</v>
      </c>
      <c r="S5701">
        <v>2.5677490000000001</v>
      </c>
      <c r="T5701">
        <v>-0.65661599999999998</v>
      </c>
      <c r="U5701">
        <v>-1.8094479999999999</v>
      </c>
      <c r="V5701">
        <v>0.1881979</v>
      </c>
      <c r="W5701">
        <v>7.7173030000000004E-2</v>
      </c>
      <c r="X5701">
        <v>0.97909440000000003</v>
      </c>
      <c r="Y5701">
        <v>0.41706949999999998</v>
      </c>
      <c r="Z5701">
        <v>-7.8458079999999993E-3</v>
      </c>
      <c r="AA5701">
        <v>0.90884069999999995</v>
      </c>
      <c r="AB5701">
        <v>27</v>
      </c>
      <c r="AC5701">
        <v>4.3495000000000301</v>
      </c>
      <c r="AD5701">
        <v>-1.144882</v>
      </c>
      <c r="AE5701">
        <v>-3.1320499999999898</v>
      </c>
      <c r="AF5701">
        <v>2.2112313180071599</v>
      </c>
      <c r="AG5701">
        <v>-1.144882</v>
      </c>
      <c r="AH5701">
        <v>4.6244918589840998</v>
      </c>
      <c r="AI5701">
        <v>102.590355990848</v>
      </c>
      <c r="AJ5701">
        <v>64.444896969037899</v>
      </c>
      <c r="AK5701">
        <v>5.2522589130268402</v>
      </c>
      <c r="AL5701">
        <v>85.573910193232507</v>
      </c>
      <c r="AM5701">
        <v>79.119522841868104</v>
      </c>
      <c r="AN5701">
        <v>0.99999998511757504</v>
      </c>
    </row>
    <row r="5702" spans="1:40" x14ac:dyDescent="0.25">
      <c r="A5702" t="str">
        <f>"20190312151138690"</f>
        <v>20190312151138690</v>
      </c>
      <c r="B5702" t="str">
        <f>"1552374698686520"</f>
        <v>1552374698686520</v>
      </c>
      <c r="C5702" t="s">
        <v>40</v>
      </c>
      <c r="D5702">
        <v>5.0567250000000001</v>
      </c>
      <c r="E5702">
        <v>0.59653659999999997</v>
      </c>
      <c r="F5702" t="s">
        <v>43</v>
      </c>
      <c r="G5702">
        <v>-313.7491</v>
      </c>
      <c r="H5702">
        <v>-0.05</v>
      </c>
      <c r="I5702">
        <v>11.213990000000001</v>
      </c>
      <c r="J5702">
        <v>-318.03100000000001</v>
      </c>
      <c r="K5702">
        <v>1.093707</v>
      </c>
      <c r="L5702">
        <v>14.34177</v>
      </c>
      <c r="M5702">
        <v>0.98339969999999999</v>
      </c>
      <c r="N5702">
        <v>0</v>
      </c>
      <c r="O5702">
        <v>-0.1799441</v>
      </c>
      <c r="P5702">
        <v>0.93046289999999998</v>
      </c>
      <c r="Q5702">
        <v>5.5889460000000002E-2</v>
      </c>
      <c r="R5702">
        <v>-0.36209859999999999</v>
      </c>
      <c r="S5702">
        <v>2.558716</v>
      </c>
      <c r="T5702">
        <v>-0.66111279999999994</v>
      </c>
      <c r="U5702">
        <v>-1.823364</v>
      </c>
      <c r="V5702">
        <v>0.189578</v>
      </c>
      <c r="W5702">
        <v>7.6652910000000005E-2</v>
      </c>
      <c r="X5702">
        <v>0.97886899999999999</v>
      </c>
      <c r="Y5702">
        <v>0.41916140000000002</v>
      </c>
      <c r="Z5702">
        <v>-7.522885E-3</v>
      </c>
      <c r="AA5702">
        <v>0.90788049999999998</v>
      </c>
      <c r="AB5702">
        <v>27</v>
      </c>
      <c r="AC5702">
        <v>4.2819000000000003</v>
      </c>
      <c r="AD5702">
        <v>-1.143707</v>
      </c>
      <c r="AE5702">
        <v>-3.12778</v>
      </c>
      <c r="AF5702">
        <v>2.20347575579029</v>
      </c>
      <c r="AG5702">
        <v>-1.143707</v>
      </c>
      <c r="AH5702">
        <v>4.5626852239229496</v>
      </c>
      <c r="AI5702">
        <v>102.719728400018</v>
      </c>
      <c r="AJ5702">
        <v>64.222524388395698</v>
      </c>
      <c r="AK5702">
        <v>5.1943688318032804</v>
      </c>
      <c r="AL5702">
        <v>85.603799490855195</v>
      </c>
      <c r="AM5702">
        <v>79.039196335613696</v>
      </c>
      <c r="AN5702">
        <v>1.0000000029282301</v>
      </c>
    </row>
    <row r="5703" spans="1:40" x14ac:dyDescent="0.25">
      <c r="A5703" t="str">
        <f>"20190312151138715"</f>
        <v>20190312151138715</v>
      </c>
      <c r="B5703" t="str">
        <f>"1552374698707016"</f>
        <v>1552374698707016</v>
      </c>
      <c r="C5703" t="s">
        <v>40</v>
      </c>
      <c r="D5703">
        <v>5.0589570000000004</v>
      </c>
      <c r="E5703">
        <v>0.59653659999999997</v>
      </c>
      <c r="F5703" t="s">
        <v>43</v>
      </c>
      <c r="G5703">
        <v>-313.62970000000001</v>
      </c>
      <c r="H5703">
        <v>-0.05</v>
      </c>
      <c r="I5703">
        <v>11.169560000000001</v>
      </c>
      <c r="J5703">
        <v>-317.72969999999998</v>
      </c>
      <c r="K5703">
        <v>1.0912249999999999</v>
      </c>
      <c r="L5703">
        <v>14.2803</v>
      </c>
      <c r="M5703">
        <v>0.98233919999999997</v>
      </c>
      <c r="N5703">
        <v>0</v>
      </c>
      <c r="O5703">
        <v>-0.18554979999999999</v>
      </c>
      <c r="P5703">
        <v>0.92750010000000005</v>
      </c>
      <c r="Q5703">
        <v>5.4780080000000002E-2</v>
      </c>
      <c r="R5703">
        <v>-0.3697877</v>
      </c>
      <c r="S5703">
        <v>2.549042</v>
      </c>
      <c r="T5703">
        <v>-0.66239009999999998</v>
      </c>
      <c r="U5703">
        <v>-1.8372189999999999</v>
      </c>
      <c r="V5703">
        <v>0.1921494</v>
      </c>
      <c r="W5703">
        <v>7.6069059999999994E-2</v>
      </c>
      <c r="X5703">
        <v>0.97841299999999998</v>
      </c>
      <c r="Y5703">
        <v>0.41897119999999999</v>
      </c>
      <c r="Z5703">
        <v>-6.2951819999999999E-3</v>
      </c>
      <c r="AA5703">
        <v>0.9079777</v>
      </c>
      <c r="AB5703">
        <v>27</v>
      </c>
      <c r="AC5703">
        <v>4.0999999999999597</v>
      </c>
      <c r="AD5703">
        <v>-1.1412249999999999</v>
      </c>
      <c r="AE5703">
        <v>-3.1107399999999998</v>
      </c>
      <c r="AF5703">
        <v>2.1881211350383798</v>
      </c>
      <c r="AG5703">
        <v>-1.1412249999999999</v>
      </c>
      <c r="AH5703">
        <v>4.3902503200172296</v>
      </c>
      <c r="AI5703">
        <v>103.096909624717</v>
      </c>
      <c r="AJ5703">
        <v>63.508121343673501</v>
      </c>
      <c r="AK5703">
        <v>5.0363246990874302</v>
      </c>
      <c r="AL5703">
        <v>85.637349342423505</v>
      </c>
      <c r="AM5703">
        <v>78.889151020059302</v>
      </c>
      <c r="AN5703">
        <v>0.99999994618931998</v>
      </c>
    </row>
    <row r="5704" spans="1:40" x14ac:dyDescent="0.25">
      <c r="A5704" t="str">
        <f>"20190312151138728"</f>
        <v>20190312151138728</v>
      </c>
      <c r="B5704" t="str">
        <f>"1552374698716777"</f>
        <v>1552374698716777</v>
      </c>
      <c r="C5704" t="s">
        <v>40</v>
      </c>
      <c r="D5704">
        <v>5.1170159999999996</v>
      </c>
      <c r="E5704">
        <v>0.61319639999999997</v>
      </c>
      <c r="F5704" t="s">
        <v>43</v>
      </c>
      <c r="G5704">
        <v>-313.38339999999999</v>
      </c>
      <c r="H5704">
        <v>-0.05</v>
      </c>
      <c r="I5704">
        <v>11.090529999999999</v>
      </c>
      <c r="J5704">
        <v>-317.57769999999999</v>
      </c>
      <c r="K5704">
        <v>1.089898</v>
      </c>
      <c r="L5704">
        <v>14.248290000000001</v>
      </c>
      <c r="M5704">
        <v>0.98178920000000003</v>
      </c>
      <c r="N5704">
        <v>0</v>
      </c>
      <c r="O5704">
        <v>-0.18840509999999999</v>
      </c>
      <c r="P5704">
        <v>0.92589580000000005</v>
      </c>
      <c r="Q5704">
        <v>5.4310499999999998E-2</v>
      </c>
      <c r="R5704">
        <v>-0.37385479999999999</v>
      </c>
      <c r="S5704">
        <v>2.5326840000000002</v>
      </c>
      <c r="T5704">
        <v>-0.66500939999999997</v>
      </c>
      <c r="U5704">
        <v>-1.8587340000000001</v>
      </c>
      <c r="V5704">
        <v>0.1936254</v>
      </c>
      <c r="W5704">
        <v>7.5742429999999999E-2</v>
      </c>
      <c r="X5704">
        <v>0.9781474</v>
      </c>
      <c r="Y5704">
        <v>0.42403419999999997</v>
      </c>
      <c r="Z5704">
        <v>-6.2996369999999899E-3</v>
      </c>
      <c r="AA5704">
        <v>0.90562419999999999</v>
      </c>
      <c r="AB5704">
        <v>27</v>
      </c>
      <c r="AC5704">
        <v>4.1942999999999904</v>
      </c>
      <c r="AD5704">
        <v>-1.1398979999999901</v>
      </c>
      <c r="AE5704">
        <v>-3.1577599999999899</v>
      </c>
      <c r="AF5704">
        <v>2.20668811779215</v>
      </c>
      <c r="AG5704">
        <v>-1.1398979999999901</v>
      </c>
      <c r="AH5704">
        <v>4.50202695289736</v>
      </c>
      <c r="AI5704">
        <v>102.808706906165</v>
      </c>
      <c r="AJ5704">
        <v>63.888014826451801</v>
      </c>
      <c r="AK5704">
        <v>5.1417007482177901</v>
      </c>
      <c r="AL5704">
        <v>85.656118348889194</v>
      </c>
      <c r="AM5704">
        <v>78.802987463728698</v>
      </c>
      <c r="AN5704">
        <v>1.0000000236771101</v>
      </c>
    </row>
    <row r="5705" spans="1:40" x14ac:dyDescent="0.25">
      <c r="A5705" t="str">
        <f>"20190312151138743"</f>
        <v>20190312151138743</v>
      </c>
      <c r="B5705" t="str">
        <f>"1552374698737272"</f>
        <v>1552374698737272</v>
      </c>
      <c r="C5705" t="s">
        <v>40</v>
      </c>
      <c r="D5705">
        <v>5.3011819999999998</v>
      </c>
      <c r="E5705">
        <v>0.61320469999999905</v>
      </c>
      <c r="F5705" t="s">
        <v>43</v>
      </c>
      <c r="G5705">
        <v>-311.49180000000001</v>
      </c>
      <c r="H5705">
        <v>-0.05</v>
      </c>
      <c r="I5705">
        <v>9.3500370000000004</v>
      </c>
      <c r="J5705">
        <v>-317.41140000000001</v>
      </c>
      <c r="K5705">
        <v>1.088408</v>
      </c>
      <c r="L5705">
        <v>14.2128</v>
      </c>
      <c r="M5705">
        <v>0.98116499999999995</v>
      </c>
      <c r="N5705">
        <v>0</v>
      </c>
      <c r="O5705">
        <v>-0.1916031</v>
      </c>
      <c r="P5705">
        <v>0.92407490000000003</v>
      </c>
      <c r="Q5705">
        <v>5.3971169999999999E-2</v>
      </c>
      <c r="R5705">
        <v>-0.37838179999999999</v>
      </c>
      <c r="S5705">
        <v>2.4658509999999998</v>
      </c>
      <c r="T5705">
        <v>-0.46185949999999998</v>
      </c>
      <c r="U5705">
        <v>-1.98465</v>
      </c>
      <c r="V5705">
        <v>0.19525509999999999</v>
      </c>
      <c r="W5705">
        <v>7.5485189999999994E-2</v>
      </c>
      <c r="X5705">
        <v>0.97784320000000002</v>
      </c>
      <c r="Y5705">
        <v>0.46327360000000001</v>
      </c>
      <c r="Z5705">
        <v>-7.1731989999999999E-3</v>
      </c>
      <c r="AA5705">
        <v>0.88618619999999904</v>
      </c>
      <c r="AB5705">
        <v>27</v>
      </c>
      <c r="AC5705">
        <v>5.9196</v>
      </c>
      <c r="AD5705">
        <v>-1.1384080000000001</v>
      </c>
      <c r="AE5705">
        <v>-4.8627629999999904</v>
      </c>
      <c r="AF5705">
        <v>3.5594558777526601</v>
      </c>
      <c r="AG5705">
        <v>-1.1384080000000001</v>
      </c>
      <c r="AH5705">
        <v>6.5961997426960099</v>
      </c>
      <c r="AI5705">
        <v>98.636241215166194</v>
      </c>
      <c r="AJ5705">
        <v>61.647715269784797</v>
      </c>
      <c r="AK5705">
        <v>7.5812630851115399</v>
      </c>
      <c r="AL5705">
        <v>85.670899093098598</v>
      </c>
      <c r="AM5705">
        <v>78.707733589751101</v>
      </c>
      <c r="AN5705">
        <v>0.999999945885791</v>
      </c>
    </row>
    <row r="5706" spans="1:40" x14ac:dyDescent="0.25">
      <c r="A5706" t="str">
        <f>"20190312151138756"</f>
        <v>20190312151138756</v>
      </c>
      <c r="B5706" t="str">
        <f>"1552374698747033"</f>
        <v>1552374698747033</v>
      </c>
      <c r="C5706" t="s">
        <v>40</v>
      </c>
      <c r="D5706">
        <v>5.3211629999999897</v>
      </c>
      <c r="E5706">
        <v>0.61156709999999903</v>
      </c>
      <c r="F5706" t="s">
        <v>43</v>
      </c>
      <c r="G5706">
        <v>-311.07310000000001</v>
      </c>
      <c r="H5706">
        <v>-0.05</v>
      </c>
      <c r="I5706">
        <v>9.0595549999999996</v>
      </c>
      <c r="J5706">
        <v>-317.23790000000002</v>
      </c>
      <c r="K5706">
        <v>1.086802</v>
      </c>
      <c r="L5706">
        <v>14.175079999999999</v>
      </c>
      <c r="M5706">
        <v>0.98047790000000001</v>
      </c>
      <c r="N5706">
        <v>0</v>
      </c>
      <c r="O5706">
        <v>-0.1950771</v>
      </c>
      <c r="P5706">
        <v>0.92161599999999999</v>
      </c>
      <c r="Q5706">
        <v>5.3314130000000001E-2</v>
      </c>
      <c r="R5706">
        <v>-0.3844244</v>
      </c>
      <c r="S5706">
        <v>2.4549560000000001</v>
      </c>
      <c r="T5706">
        <v>-0.4409246</v>
      </c>
      <c r="U5706">
        <v>-1.995941</v>
      </c>
      <c r="V5706">
        <v>0.19821510000000001</v>
      </c>
      <c r="W5706">
        <v>7.4782890000000005E-2</v>
      </c>
      <c r="X5706">
        <v>0.97730150000000005</v>
      </c>
      <c r="Y5706">
        <v>0.46477299999999999</v>
      </c>
      <c r="Z5706">
        <v>-6.4703919999999897E-3</v>
      </c>
      <c r="AA5706">
        <v>0.88540629999999998</v>
      </c>
      <c r="AB5706">
        <v>27</v>
      </c>
      <c r="AC5706">
        <v>6.1648000000000103</v>
      </c>
      <c r="AD5706">
        <v>-1.1368020000000001</v>
      </c>
      <c r="AE5706">
        <v>-5.1155249999999999</v>
      </c>
      <c r="AF5706">
        <v>3.7389136271423098</v>
      </c>
      <c r="AG5706">
        <v>-1.1368020000000001</v>
      </c>
      <c r="AH5706">
        <v>6.9054522998724099</v>
      </c>
      <c r="AI5706">
        <v>98.237251524595806</v>
      </c>
      <c r="AJ5706">
        <v>61.566949487174703</v>
      </c>
      <c r="AK5706">
        <v>7.9345488444049401</v>
      </c>
      <c r="AL5706">
        <v>85.711252060521204</v>
      </c>
      <c r="AM5706">
        <v>78.534859425419299</v>
      </c>
      <c r="AN5706">
        <v>0.99999996420350501</v>
      </c>
    </row>
    <row r="5707" spans="1:40" x14ac:dyDescent="0.25">
      <c r="A5707" t="str">
        <f>"20190312151138771"</f>
        <v>20190312151138771</v>
      </c>
      <c r="B5707" t="str">
        <f>"1552374698766552"</f>
        <v>1552374698766552</v>
      </c>
      <c r="C5707" t="s">
        <v>40</v>
      </c>
      <c r="D5707">
        <v>5.3278309999999998</v>
      </c>
      <c r="E5707">
        <v>0.61005799999999999</v>
      </c>
      <c r="F5707" t="s">
        <v>43</v>
      </c>
      <c r="G5707">
        <v>-311.14789999999999</v>
      </c>
      <c r="H5707">
        <v>-0.05</v>
      </c>
      <c r="I5707">
        <v>9.1988979999999998</v>
      </c>
      <c r="J5707">
        <v>-317.0761</v>
      </c>
      <c r="K5707">
        <v>1.0852379999999999</v>
      </c>
      <c r="L5707">
        <v>14.139010000000001</v>
      </c>
      <c r="M5707">
        <v>0.97981359999999995</v>
      </c>
      <c r="N5707">
        <v>0</v>
      </c>
      <c r="O5707">
        <v>-0.1983887</v>
      </c>
      <c r="P5707">
        <v>0.91976590000000003</v>
      </c>
      <c r="Q5707">
        <v>5.3036149999999997E-2</v>
      </c>
      <c r="R5707">
        <v>-0.3888682</v>
      </c>
      <c r="S5707">
        <v>2.4474179999999999</v>
      </c>
      <c r="T5707">
        <v>-0.45684799999999998</v>
      </c>
      <c r="U5707">
        <v>-1.9997860000000001</v>
      </c>
      <c r="V5707">
        <v>0.19965450000000001</v>
      </c>
      <c r="W5707">
        <v>7.4385839999999995E-2</v>
      </c>
      <c r="X5707">
        <v>0.97703879999999999</v>
      </c>
      <c r="Y5707">
        <v>0.46380359999999998</v>
      </c>
      <c r="Z5707">
        <v>-6.1269810000000001E-3</v>
      </c>
      <c r="AA5707">
        <v>0.88591690000000001</v>
      </c>
      <c r="AB5707">
        <v>27</v>
      </c>
      <c r="AC5707">
        <v>5.9282000000000004</v>
      </c>
      <c r="AD5707">
        <v>-1.135238</v>
      </c>
      <c r="AE5707">
        <v>-4.9401120000000001</v>
      </c>
      <c r="AF5707">
        <v>3.5877663265517099</v>
      </c>
      <c r="AG5707">
        <v>-1.135238</v>
      </c>
      <c r="AH5707">
        <v>6.6468029034574698</v>
      </c>
      <c r="AI5707">
        <v>98.547425850159399</v>
      </c>
      <c r="AJ5707">
        <v>61.641013886841598</v>
      </c>
      <c r="AK5707">
        <v>7.6381163494668698</v>
      </c>
      <c r="AL5707">
        <v>85.734065021214093</v>
      </c>
      <c r="AM5707">
        <v>78.450808810239295</v>
      </c>
      <c r="AN5707">
        <v>0.99999999463409694</v>
      </c>
    </row>
    <row r="5708" spans="1:40" x14ac:dyDescent="0.25">
      <c r="A5708" t="str">
        <f>"20190312151138785"</f>
        <v>20190312151138785</v>
      </c>
      <c r="B5708" t="str">
        <f>"1552374698777288"</f>
        <v>1552374698777288</v>
      </c>
      <c r="C5708" t="s">
        <v>40</v>
      </c>
      <c r="D5708">
        <v>5.3078810000000001</v>
      </c>
      <c r="E5708">
        <v>0.60937489999999905</v>
      </c>
      <c r="F5708" t="s">
        <v>43</v>
      </c>
      <c r="G5708">
        <v>-311.1474</v>
      </c>
      <c r="H5708">
        <v>-0.05</v>
      </c>
      <c r="I5708">
        <v>9.2829280000000001</v>
      </c>
      <c r="J5708">
        <v>-316.90960000000001</v>
      </c>
      <c r="K5708">
        <v>1.0835920000000001</v>
      </c>
      <c r="L5708">
        <v>14.101319999999999</v>
      </c>
      <c r="M5708">
        <v>0.97911389999999998</v>
      </c>
      <c r="N5708">
        <v>0</v>
      </c>
      <c r="O5708">
        <v>-0.20182169999999999</v>
      </c>
      <c r="P5708">
        <v>0.91793820000000004</v>
      </c>
      <c r="Q5708">
        <v>5.2975889999999998E-2</v>
      </c>
      <c r="R5708">
        <v>-0.39317020000000003</v>
      </c>
      <c r="S5708">
        <v>2.44278</v>
      </c>
      <c r="T5708">
        <v>-0.46774690000000002</v>
      </c>
      <c r="U5708">
        <v>-2.0008240000000002</v>
      </c>
      <c r="V5708">
        <v>0.20083400000000001</v>
      </c>
      <c r="W5708">
        <v>7.4155209999999999E-2</v>
      </c>
      <c r="X5708">
        <v>0.97681459999999998</v>
      </c>
      <c r="Y5708">
        <v>0.4616751</v>
      </c>
      <c r="Z5708">
        <v>-5.5620579999999999E-3</v>
      </c>
      <c r="AA5708">
        <v>0.88703169999999898</v>
      </c>
      <c r="AB5708">
        <v>27</v>
      </c>
      <c r="AC5708">
        <v>5.7622</v>
      </c>
      <c r="AD5708">
        <v>-1.1335919999999999</v>
      </c>
      <c r="AE5708">
        <v>-4.8183920000000002</v>
      </c>
      <c r="AF5708">
        <v>3.47670537488849</v>
      </c>
      <c r="AG5708">
        <v>-1.1335919999999999</v>
      </c>
      <c r="AH5708">
        <v>6.4689659334284304</v>
      </c>
      <c r="AI5708">
        <v>98.774655174657795</v>
      </c>
      <c r="AJ5708">
        <v>61.744470479791701</v>
      </c>
      <c r="AK5708">
        <v>7.4310181895955596</v>
      </c>
      <c r="AL5708">
        <v>85.747315880538096</v>
      </c>
      <c r="AM5708">
        <v>78.3818349768475</v>
      </c>
      <c r="AN5708">
        <v>1.0000000267496501</v>
      </c>
    </row>
    <row r="5709" spans="1:40" x14ac:dyDescent="0.25">
      <c r="A5709" t="str">
        <f>"20190312151138800"</f>
        <v>20190312151138800</v>
      </c>
      <c r="B5709" t="str">
        <f>"1552374698796809"</f>
        <v>1552374698796809</v>
      </c>
      <c r="C5709" t="s">
        <v>40</v>
      </c>
      <c r="D5709">
        <v>5.2868409999999999</v>
      </c>
      <c r="E5709">
        <v>0.60843689999999995</v>
      </c>
      <c r="F5709" t="s">
        <v>43</v>
      </c>
      <c r="G5709">
        <v>-311.0872</v>
      </c>
      <c r="H5709">
        <v>-0.05</v>
      </c>
      <c r="I5709">
        <v>9.3022770000000001</v>
      </c>
      <c r="J5709">
        <v>-316.72660000000002</v>
      </c>
      <c r="K5709">
        <v>1.0817479999999999</v>
      </c>
      <c r="L5709">
        <v>14.0590799999999</v>
      </c>
      <c r="M5709">
        <v>0.97832470000000005</v>
      </c>
      <c r="N5709">
        <v>0</v>
      </c>
      <c r="O5709">
        <v>-0.20563100000000001</v>
      </c>
      <c r="P5709">
        <v>0.9157457</v>
      </c>
      <c r="Q5709">
        <v>5.2085520000000003E-2</v>
      </c>
      <c r="R5709">
        <v>-0.39836769999999999</v>
      </c>
      <c r="S5709">
        <v>2.435638</v>
      </c>
      <c r="T5709">
        <v>-0.47421160000000001</v>
      </c>
      <c r="U5709">
        <v>-2.007568</v>
      </c>
      <c r="V5709">
        <v>0.20257790000000001</v>
      </c>
      <c r="W5709">
        <v>7.300297E-2</v>
      </c>
      <c r="X5709">
        <v>0.9765412</v>
      </c>
      <c r="Y5709">
        <v>0.46093430000000002</v>
      </c>
      <c r="Z5709">
        <v>-4.9770810000000004E-3</v>
      </c>
      <c r="AA5709">
        <v>0.88742030000000005</v>
      </c>
      <c r="AB5709">
        <v>27</v>
      </c>
      <c r="AC5709">
        <v>5.6394000000000197</v>
      </c>
      <c r="AD5709">
        <v>-1.131748</v>
      </c>
      <c r="AE5709">
        <v>-4.7568029999999899</v>
      </c>
      <c r="AF5709">
        <v>3.4147489921497098</v>
      </c>
      <c r="AG5709">
        <v>-1.131748</v>
      </c>
      <c r="AH5709">
        <v>6.3478702734775201</v>
      </c>
      <c r="AI5709">
        <v>98.923256315740801</v>
      </c>
      <c r="AJ5709">
        <v>61.7225850499076</v>
      </c>
      <c r="AK5709">
        <v>7.2963567089192498</v>
      </c>
      <c r="AL5709">
        <v>85.8135136009642</v>
      </c>
      <c r="AM5709">
        <v>78.280539020273594</v>
      </c>
      <c r="AN5709">
        <v>0.99999997724733503</v>
      </c>
    </row>
    <row r="5710" spans="1:40" x14ac:dyDescent="0.25">
      <c r="A5710" t="str">
        <f>"20190312151138811"</f>
        <v>20190312151138811</v>
      </c>
      <c r="B5710" t="str">
        <f>"1552374698806568"</f>
        <v>1552374698806568</v>
      </c>
      <c r="C5710" t="s">
        <v>40</v>
      </c>
      <c r="D5710">
        <v>5.3726849999999997</v>
      </c>
      <c r="E5710">
        <v>0.60803759999999996</v>
      </c>
      <c r="F5710" t="s">
        <v>43</v>
      </c>
      <c r="G5710">
        <v>-311.02260000000001</v>
      </c>
      <c r="H5710">
        <v>-0.05</v>
      </c>
      <c r="I5710">
        <v>9.3227229999999999</v>
      </c>
      <c r="J5710">
        <v>-316.596</v>
      </c>
      <c r="K5710">
        <v>1.0804229999999999</v>
      </c>
      <c r="L5710">
        <v>14.028230000000001</v>
      </c>
      <c r="M5710">
        <v>0.97774030000000001</v>
      </c>
      <c r="N5710">
        <v>0</v>
      </c>
      <c r="O5710">
        <v>-0.20841270000000001</v>
      </c>
      <c r="P5710">
        <v>0.91416810000000004</v>
      </c>
      <c r="Q5710">
        <v>5.1439110000000003E-2</v>
      </c>
      <c r="R5710">
        <v>-0.40205809999999997</v>
      </c>
      <c r="S5710">
        <v>2.4267880000000002</v>
      </c>
      <c r="T5710">
        <v>-0.48150690000000002</v>
      </c>
      <c r="U5710">
        <v>-2.0151059999999998</v>
      </c>
      <c r="V5710">
        <v>0.20373949999999999</v>
      </c>
      <c r="W5710">
        <v>7.2112220000000005E-2</v>
      </c>
      <c r="X5710">
        <v>0.9763657</v>
      </c>
      <c r="Y5710">
        <v>0.46156570000000002</v>
      </c>
      <c r="Z5710">
        <v>-4.6677919999999996E-3</v>
      </c>
      <c r="AA5710">
        <v>0.88709380000000004</v>
      </c>
      <c r="AB5710">
        <v>27</v>
      </c>
      <c r="AC5710">
        <v>5.5733999999999897</v>
      </c>
      <c r="AD5710">
        <v>-1.130423</v>
      </c>
      <c r="AE5710">
        <v>-4.7055069999999901</v>
      </c>
      <c r="AF5710">
        <v>3.3595199221288699</v>
      </c>
      <c r="AG5710">
        <v>-1.130423</v>
      </c>
      <c r="AH5710">
        <v>6.2810595104349103</v>
      </c>
      <c r="AI5710">
        <v>99.017576319617902</v>
      </c>
      <c r="AJ5710">
        <v>61.859225506707098</v>
      </c>
      <c r="AK5710">
        <v>7.2122076259446803</v>
      </c>
      <c r="AL5710">
        <v>85.864684657247295</v>
      </c>
      <c r="AM5710">
        <v>78.213153744833093</v>
      </c>
      <c r="AN5710">
        <v>0.999999968135033</v>
      </c>
    </row>
    <row r="5711" spans="1:40" x14ac:dyDescent="0.25">
      <c r="A5711" t="str">
        <f>"20190312151138823"</f>
        <v>20190312151138823</v>
      </c>
      <c r="B5711" t="str">
        <f>"1552374698817304"</f>
        <v>1552374698817304</v>
      </c>
      <c r="C5711" t="s">
        <v>40</v>
      </c>
      <c r="D5711">
        <v>5.3410270000000004</v>
      </c>
      <c r="E5711">
        <v>0.60767419999999905</v>
      </c>
      <c r="F5711" t="s">
        <v>43</v>
      </c>
      <c r="G5711">
        <v>-310.9631</v>
      </c>
      <c r="H5711">
        <v>-0.05</v>
      </c>
      <c r="I5711">
        <v>9.3210750000000004</v>
      </c>
      <c r="J5711">
        <v>-316.46069999999997</v>
      </c>
      <c r="K5711">
        <v>1.0790660000000001</v>
      </c>
      <c r="L5711">
        <v>13.99591</v>
      </c>
      <c r="M5711">
        <v>0.97711040000000005</v>
      </c>
      <c r="N5711">
        <v>0</v>
      </c>
      <c r="O5711">
        <v>-0.21137130000000001</v>
      </c>
      <c r="P5711">
        <v>0.91249279999999999</v>
      </c>
      <c r="Q5711">
        <v>5.0740590000000002E-2</v>
      </c>
      <c r="R5711">
        <v>-0.40593380000000001</v>
      </c>
      <c r="S5711">
        <v>2.4196780000000002</v>
      </c>
      <c r="T5711">
        <v>-0.48559190000000002</v>
      </c>
      <c r="U5711">
        <v>-2.0220340000000001</v>
      </c>
      <c r="V5711">
        <v>0.20492150000000001</v>
      </c>
      <c r="W5711">
        <v>7.1138629999999994E-2</v>
      </c>
      <c r="X5711">
        <v>0.9761898</v>
      </c>
      <c r="Y5711">
        <v>0.4616422</v>
      </c>
      <c r="Z5711">
        <v>-4.2383519999999999E-3</v>
      </c>
      <c r="AA5711">
        <v>0.88705610000000001</v>
      </c>
      <c r="AB5711">
        <v>27</v>
      </c>
      <c r="AC5711">
        <v>5.4975999999999701</v>
      </c>
      <c r="AD5711">
        <v>-1.1290659999999999</v>
      </c>
      <c r="AE5711">
        <v>-4.6748349999999999</v>
      </c>
      <c r="AF5711">
        <v>3.3253781113786398</v>
      </c>
      <c r="AG5711">
        <v>-1.1290659999999999</v>
      </c>
      <c r="AH5711">
        <v>6.2097197269785802</v>
      </c>
      <c r="AI5711">
        <v>99.106270080086702</v>
      </c>
      <c r="AJ5711">
        <v>61.830425708438199</v>
      </c>
      <c r="AK5711">
        <v>7.133971453799</v>
      </c>
      <c r="AL5711">
        <v>85.920611135529796</v>
      </c>
      <c r="AM5711">
        <v>78.144625784842702</v>
      </c>
      <c r="AN5711">
        <v>1.0000000257322801</v>
      </c>
    </row>
    <row r="5712" spans="1:40" x14ac:dyDescent="0.25">
      <c r="A5712" t="str">
        <f>"20190312151138834"</f>
        <v>20190312151138834</v>
      </c>
      <c r="B5712" t="str">
        <f>"1552374698827064"</f>
        <v>1552374698827064</v>
      </c>
      <c r="C5712" t="s">
        <v>40</v>
      </c>
      <c r="D5712">
        <v>5.3468999999999998</v>
      </c>
      <c r="E5712">
        <v>0.6073984</v>
      </c>
      <c r="F5712" t="s">
        <v>43</v>
      </c>
      <c r="G5712">
        <v>-310.90469999999999</v>
      </c>
      <c r="H5712">
        <v>-0.05</v>
      </c>
      <c r="I5712">
        <v>9.3212890000000002</v>
      </c>
      <c r="J5712">
        <v>-316.32299999999998</v>
      </c>
      <c r="K5712">
        <v>1.0777110000000001</v>
      </c>
      <c r="L5712">
        <v>13.96246</v>
      </c>
      <c r="M5712">
        <v>0.97643820000000003</v>
      </c>
      <c r="N5712">
        <v>0</v>
      </c>
      <c r="O5712">
        <v>-0.2144856</v>
      </c>
      <c r="P5712">
        <v>0.91066100000000005</v>
      </c>
      <c r="Q5712">
        <v>5.0022940000000002E-2</v>
      </c>
      <c r="R5712">
        <v>-0.41011510000000001</v>
      </c>
      <c r="S5712">
        <v>2.4121700000000001</v>
      </c>
      <c r="T5712">
        <v>-0.49018319999999999</v>
      </c>
      <c r="U5712">
        <v>-2.02948</v>
      </c>
      <c r="V5712">
        <v>0.2062744</v>
      </c>
      <c r="W5712">
        <v>7.01098E-2</v>
      </c>
      <c r="X5712">
        <v>0.97597920000000005</v>
      </c>
      <c r="Y5712">
        <v>0.46175719999999998</v>
      </c>
      <c r="Z5712">
        <v>-3.7824180000000001E-3</v>
      </c>
      <c r="AA5712">
        <v>0.88699830000000002</v>
      </c>
      <c r="AB5712">
        <v>27</v>
      </c>
      <c r="AC5712">
        <v>5.4182999999999799</v>
      </c>
      <c r="AD5712">
        <v>-1.1277109999999999</v>
      </c>
      <c r="AE5712">
        <v>-4.6411709999999999</v>
      </c>
      <c r="AF5712">
        <v>3.2884562924360599</v>
      </c>
      <c r="AG5712">
        <v>-1.1277109999999999</v>
      </c>
      <c r="AH5712">
        <v>6.1345969733718899</v>
      </c>
      <c r="AI5712">
        <v>99.202980148107002</v>
      </c>
      <c r="AJ5712">
        <v>61.806425722715701</v>
      </c>
      <c r="AK5712">
        <v>7.0511670603161098</v>
      </c>
      <c r="AL5712">
        <v>85.979706031742197</v>
      </c>
      <c r="AM5712">
        <v>78.066091541436705</v>
      </c>
      <c r="AN5712">
        <v>0.99999995549201903</v>
      </c>
    </row>
    <row r="5713" spans="1:40" x14ac:dyDescent="0.25">
      <c r="A5713" t="str">
        <f>"20190312151138845"</f>
        <v>20190312151138845</v>
      </c>
      <c r="B5713" t="str">
        <f>"1552374698836824"</f>
        <v>1552374698836824</v>
      </c>
      <c r="C5713" t="s">
        <v>40</v>
      </c>
      <c r="D5713">
        <v>5.3910179999999999</v>
      </c>
      <c r="E5713">
        <v>0.60706899999999997</v>
      </c>
      <c r="F5713" t="s">
        <v>43</v>
      </c>
      <c r="G5713">
        <v>-310.83659999999998</v>
      </c>
      <c r="H5713">
        <v>-0.05</v>
      </c>
      <c r="I5713">
        <v>9.3092500000000005</v>
      </c>
      <c r="J5713">
        <v>-316.2004</v>
      </c>
      <c r="K5713">
        <v>1.076541</v>
      </c>
      <c r="L5713">
        <v>13.9321</v>
      </c>
      <c r="M5713">
        <v>0.97579119999999997</v>
      </c>
      <c r="N5713">
        <v>0</v>
      </c>
      <c r="O5713">
        <v>-0.2174392</v>
      </c>
      <c r="P5713">
        <v>0.90877180000000002</v>
      </c>
      <c r="Q5713">
        <v>4.9504039999999999E-2</v>
      </c>
      <c r="R5713">
        <v>-0.41434769999999999</v>
      </c>
      <c r="S5713">
        <v>2.4034119999999999</v>
      </c>
      <c r="T5713">
        <v>-0.49401499999999998</v>
      </c>
      <c r="U5713">
        <v>-2.0384220000000002</v>
      </c>
      <c r="V5713">
        <v>0.2078487</v>
      </c>
      <c r="W5713">
        <v>6.9294010000000003E-2</v>
      </c>
      <c r="X5713">
        <v>0.97570349999999995</v>
      </c>
      <c r="Y5713">
        <v>0.46256550000000002</v>
      </c>
      <c r="Z5713">
        <v>-3.400967E-3</v>
      </c>
      <c r="AA5713">
        <v>0.88657859999999999</v>
      </c>
      <c r="AB5713">
        <v>27</v>
      </c>
      <c r="AC5713">
        <v>5.3638000000000199</v>
      </c>
      <c r="AD5713">
        <v>-1.126541</v>
      </c>
      <c r="AE5713">
        <v>-4.6228499999999997</v>
      </c>
      <c r="AF5713">
        <v>3.2629716682149201</v>
      </c>
      <c r="AG5713">
        <v>-1.126541</v>
      </c>
      <c r="AH5713">
        <v>6.0867997481340401</v>
      </c>
      <c r="AI5713">
        <v>99.264456376532905</v>
      </c>
      <c r="AJ5713">
        <v>61.805423095530102</v>
      </c>
      <c r="AK5713">
        <v>6.9975145520490996</v>
      </c>
      <c r="AL5713">
        <v>86.026561617685104</v>
      </c>
      <c r="AM5713">
        <v>77.974353334822794</v>
      </c>
      <c r="AN5713">
        <v>1.0000000309129</v>
      </c>
    </row>
    <row r="5714" spans="1:40" x14ac:dyDescent="0.25">
      <c r="A5714" t="str">
        <f>"20190312151138856"</f>
        <v>20190312151138856</v>
      </c>
      <c r="B5714" t="str">
        <f>"1552374698846586"</f>
        <v>1552374698846586</v>
      </c>
      <c r="C5714" t="s">
        <v>40</v>
      </c>
      <c r="D5714">
        <v>5.3969940000000003</v>
      </c>
      <c r="E5714">
        <v>0.606832699999999</v>
      </c>
      <c r="F5714" t="s">
        <v>43</v>
      </c>
      <c r="G5714">
        <v>-310.77339999999998</v>
      </c>
      <c r="H5714">
        <v>-0.05</v>
      </c>
      <c r="I5714">
        <v>9.2941590000000005</v>
      </c>
      <c r="J5714">
        <v>-316.06950000000001</v>
      </c>
      <c r="K5714">
        <v>1.0753109999999999</v>
      </c>
      <c r="L5714">
        <v>13.89941</v>
      </c>
      <c r="M5714">
        <v>0.97507140000000003</v>
      </c>
      <c r="N5714">
        <v>0</v>
      </c>
      <c r="O5714">
        <v>-0.22067590000000001</v>
      </c>
      <c r="P5714">
        <v>0.90662149999999997</v>
      </c>
      <c r="Q5714">
        <v>4.9061439999999998E-2</v>
      </c>
      <c r="R5714">
        <v>-0.41908309999999999</v>
      </c>
      <c r="S5714">
        <v>2.3950200000000001</v>
      </c>
      <c r="T5714">
        <v>-0.49715609999999999</v>
      </c>
      <c r="U5714">
        <v>-2.046783</v>
      </c>
      <c r="V5714">
        <v>0.2096876</v>
      </c>
      <c r="W5714">
        <v>6.8526240000000002E-2</v>
      </c>
      <c r="X5714">
        <v>0.97536409999999996</v>
      </c>
      <c r="Y5714">
        <v>0.46294289999999999</v>
      </c>
      <c r="Z5714">
        <v>-2.9221479999999998E-3</v>
      </c>
      <c r="AA5714">
        <v>0.88638329999999999</v>
      </c>
      <c r="AB5714">
        <v>27</v>
      </c>
      <c r="AC5714">
        <v>5.2961000000000196</v>
      </c>
      <c r="AD5714">
        <v>-1.125311</v>
      </c>
      <c r="AE5714">
        <v>-4.605251</v>
      </c>
      <c r="AF5714">
        <v>3.2393419789878002</v>
      </c>
      <c r="AG5714">
        <v>-1.125311</v>
      </c>
      <c r="AH5714">
        <v>6.0270596816886997</v>
      </c>
      <c r="AI5714">
        <v>99.339309448027194</v>
      </c>
      <c r="AJ5714">
        <v>61.743464696893803</v>
      </c>
      <c r="AK5714">
        <v>6.9343427742065904</v>
      </c>
      <c r="AL5714">
        <v>86.070656025270097</v>
      </c>
      <c r="AM5714">
        <v>77.867000310003505</v>
      </c>
      <c r="AN5714">
        <v>0.99999993136555099</v>
      </c>
    </row>
    <row r="5715" spans="1:40" x14ac:dyDescent="0.25">
      <c r="A5715" t="str">
        <f>"20190312151138867"</f>
        <v>20190312151138867</v>
      </c>
      <c r="B5715" t="str">
        <f>"1552374698857320"</f>
        <v>1552374698857320</v>
      </c>
      <c r="C5715" t="s">
        <v>40</v>
      </c>
      <c r="D5715">
        <v>5.3975929999999996</v>
      </c>
      <c r="E5715">
        <v>0.60654339999999995</v>
      </c>
      <c r="F5715" t="s">
        <v>43</v>
      </c>
      <c r="G5715">
        <v>-310.7133</v>
      </c>
      <c r="H5715">
        <v>-0.05</v>
      </c>
      <c r="I5715">
        <v>9.2797850000000004</v>
      </c>
      <c r="J5715">
        <v>-315.93610000000001</v>
      </c>
      <c r="K5715">
        <v>1.074092</v>
      </c>
      <c r="L5715">
        <v>13.865259999999999</v>
      </c>
      <c r="M5715">
        <v>0.97427200000000003</v>
      </c>
      <c r="N5715">
        <v>0</v>
      </c>
      <c r="O5715">
        <v>-0.224213</v>
      </c>
      <c r="P5715">
        <v>0.90420219999999996</v>
      </c>
      <c r="Q5715">
        <v>4.8770719999999997E-2</v>
      </c>
      <c r="R5715">
        <v>-0.4243112</v>
      </c>
      <c r="S5715">
        <v>2.3851930000000001</v>
      </c>
      <c r="T5715">
        <v>-0.50111839999999996</v>
      </c>
      <c r="U5715">
        <v>-2.0571899999999999</v>
      </c>
      <c r="V5715">
        <v>0.21176880000000001</v>
      </c>
      <c r="W5715">
        <v>6.7878770000000005E-2</v>
      </c>
      <c r="X5715">
        <v>0.97495969999999998</v>
      </c>
      <c r="Y5715">
        <v>0.46373579999999998</v>
      </c>
      <c r="Z5715">
        <v>-2.4282190000000001E-3</v>
      </c>
      <c r="AA5715">
        <v>0.88597019999999904</v>
      </c>
      <c r="AB5715">
        <v>27</v>
      </c>
      <c r="AC5715">
        <v>5.2228000000000003</v>
      </c>
      <c r="AD5715">
        <v>-1.1240920000000001</v>
      </c>
      <c r="AE5715">
        <v>-4.5854749999999997</v>
      </c>
      <c r="AF5715">
        <v>3.2132860859937402</v>
      </c>
      <c r="AG5715">
        <v>-1.1240920000000001</v>
      </c>
      <c r="AH5715">
        <v>5.9621858705671302</v>
      </c>
      <c r="AI5715">
        <v>99.423359483093705</v>
      </c>
      <c r="AJ5715">
        <v>61.6778055906913</v>
      </c>
      <c r="AK5715">
        <v>6.86559907437766</v>
      </c>
      <c r="AL5715">
        <v>86.107840116121906</v>
      </c>
      <c r="AM5715">
        <v>77.7452691111056</v>
      </c>
      <c r="AN5715">
        <v>0.99999998434712101</v>
      </c>
    </row>
    <row r="5716" spans="1:40" x14ac:dyDescent="0.25">
      <c r="A5716" t="str">
        <f>"20190312151138878"</f>
        <v>20190312151138878</v>
      </c>
      <c r="B5716" t="str">
        <f>"1552374698867080"</f>
        <v>1552374698867080</v>
      </c>
      <c r="C5716" t="s">
        <v>40</v>
      </c>
      <c r="D5716">
        <v>5.141248</v>
      </c>
      <c r="E5716">
        <v>0.60654339999999995</v>
      </c>
      <c r="F5716" t="s">
        <v>43</v>
      </c>
      <c r="G5716">
        <v>-310.64940000000001</v>
      </c>
      <c r="H5716">
        <v>-0.05</v>
      </c>
      <c r="I5716">
        <v>9.2609860000000008</v>
      </c>
      <c r="J5716">
        <v>-315.80930000000001</v>
      </c>
      <c r="K5716">
        <v>1.072945</v>
      </c>
      <c r="L5716">
        <v>13.83264</v>
      </c>
      <c r="M5716">
        <v>0.97348959999999995</v>
      </c>
      <c r="N5716">
        <v>0</v>
      </c>
      <c r="O5716">
        <v>-0.22761799999999999</v>
      </c>
      <c r="P5716">
        <v>0.90192510000000004</v>
      </c>
      <c r="Q5716">
        <v>4.9070120000000002E-2</v>
      </c>
      <c r="R5716">
        <v>-0.42909570000000002</v>
      </c>
      <c r="S5716">
        <v>2.3745729999999998</v>
      </c>
      <c r="T5716">
        <v>-0.50489700000000004</v>
      </c>
      <c r="U5716">
        <v>-2.0680540000000001</v>
      </c>
      <c r="V5716">
        <v>0.21353050000000001</v>
      </c>
      <c r="W5716">
        <v>6.7837369999999994E-2</v>
      </c>
      <c r="X5716">
        <v>0.97457830000000001</v>
      </c>
      <c r="Y5716">
        <v>0.46488689999999999</v>
      </c>
      <c r="Z5716">
        <v>-1.980379E-3</v>
      </c>
      <c r="AA5716">
        <v>0.88536789999999999</v>
      </c>
      <c r="AB5716">
        <v>27</v>
      </c>
      <c r="AC5716">
        <v>5.1598999999999897</v>
      </c>
      <c r="AD5716">
        <v>-1.1229450000000001</v>
      </c>
      <c r="AE5716">
        <v>-4.5716539999999899</v>
      </c>
      <c r="AF5716">
        <v>3.1921054692458299</v>
      </c>
      <c r="AG5716">
        <v>-1.1229450000000001</v>
      </c>
      <c r="AH5716">
        <v>5.9084668563263998</v>
      </c>
      <c r="AI5716">
        <v>99.492829676478806</v>
      </c>
      <c r="AJ5716">
        <v>61.619442556234802</v>
      </c>
      <c r="AK5716">
        <v>6.8088562469860996</v>
      </c>
      <c r="AL5716">
        <v>86.110217792304596</v>
      </c>
      <c r="AM5716">
        <v>77.641754240354899</v>
      </c>
      <c r="AN5716">
        <v>1.00000002301482</v>
      </c>
    </row>
    <row r="5717" spans="1:40" x14ac:dyDescent="0.25">
      <c r="A5717" t="str">
        <f>"20190312151138890"</f>
        <v>20190312151138890</v>
      </c>
      <c r="B5717" t="str">
        <f>"1552374698887253"</f>
        <v>1552374698887253</v>
      </c>
      <c r="C5717" t="s">
        <v>40</v>
      </c>
      <c r="D5717">
        <v>5.275881</v>
      </c>
      <c r="E5717">
        <v>0.60668669999999902</v>
      </c>
      <c r="F5717" t="s">
        <v>43</v>
      </c>
      <c r="G5717">
        <v>-310.54910000000001</v>
      </c>
      <c r="H5717">
        <v>-0.05</v>
      </c>
      <c r="I5717">
        <v>9.2035830000000001</v>
      </c>
      <c r="J5717">
        <v>-315.67559999999997</v>
      </c>
      <c r="K5717">
        <v>1.0717559999999999</v>
      </c>
      <c r="L5717">
        <v>13.79724</v>
      </c>
      <c r="M5717">
        <v>0.9726108</v>
      </c>
      <c r="N5717">
        <v>0</v>
      </c>
      <c r="O5717">
        <v>-0.231379</v>
      </c>
      <c r="P5717">
        <v>0.89944449999999998</v>
      </c>
      <c r="Q5717">
        <v>4.9795319999999997E-2</v>
      </c>
      <c r="R5717">
        <v>-0.43418950000000001</v>
      </c>
      <c r="S5717">
        <v>2.363953</v>
      </c>
      <c r="T5717">
        <v>-0.50465740000000003</v>
      </c>
      <c r="U5717">
        <v>-2.0803219999999998</v>
      </c>
      <c r="V5717">
        <v>0.21529570000000001</v>
      </c>
      <c r="W5717">
        <v>6.8170399999999895E-2</v>
      </c>
      <c r="X5717">
        <v>0.97416659999999999</v>
      </c>
      <c r="Y5717">
        <v>0.46606199999999998</v>
      </c>
      <c r="Z5717">
        <v>-1.4546629999999999E-3</v>
      </c>
      <c r="AA5717">
        <v>0.88475079999999995</v>
      </c>
      <c r="AB5717">
        <v>27</v>
      </c>
      <c r="AC5717">
        <v>5.1264999999999601</v>
      </c>
      <c r="AD5717">
        <v>-1.121756</v>
      </c>
      <c r="AE5717">
        <v>-4.5936569999999897</v>
      </c>
      <c r="AF5717">
        <v>3.1975661466773002</v>
      </c>
      <c r="AG5717">
        <v>-1.121756</v>
      </c>
      <c r="AH5717">
        <v>5.8939291993039404</v>
      </c>
      <c r="AI5717">
        <v>99.497102107457593</v>
      </c>
      <c r="AJ5717">
        <v>61.519346021174201</v>
      </c>
      <c r="AK5717">
        <v>6.79861509370257</v>
      </c>
      <c r="AL5717">
        <v>86.091092227262905</v>
      </c>
      <c r="AM5717">
        <v>77.537668537747393</v>
      </c>
      <c r="AN5717">
        <v>1.0000000032151</v>
      </c>
    </row>
    <row r="5718" spans="1:40" x14ac:dyDescent="0.25">
      <c r="A5718" t="str">
        <f>"20190312151138900"</f>
        <v>20190312151138900</v>
      </c>
      <c r="B5718" t="str">
        <f>"1552374698897014"</f>
        <v>1552374698897014</v>
      </c>
      <c r="C5718" t="s">
        <v>40</v>
      </c>
      <c r="D5718">
        <v>5.2311829999999997</v>
      </c>
      <c r="E5718">
        <v>0.60658000000000001</v>
      </c>
      <c r="F5718" t="s">
        <v>43</v>
      </c>
      <c r="G5718">
        <v>-310.3501</v>
      </c>
      <c r="H5718">
        <v>-0.05</v>
      </c>
      <c r="I5718">
        <v>9.0536499999999993</v>
      </c>
      <c r="J5718">
        <v>-315.54930000000002</v>
      </c>
      <c r="K5718">
        <v>1.070643</v>
      </c>
      <c r="L5718">
        <v>13.76355</v>
      </c>
      <c r="M5718">
        <v>0.97176090000000004</v>
      </c>
      <c r="N5718">
        <v>0</v>
      </c>
      <c r="O5718">
        <v>-0.23495460000000001</v>
      </c>
      <c r="P5718">
        <v>0.89708060000000001</v>
      </c>
      <c r="Q5718">
        <v>5.0754899999999999E-2</v>
      </c>
      <c r="R5718">
        <v>-0.43894290000000002</v>
      </c>
      <c r="S5718">
        <v>2.3516539999999999</v>
      </c>
      <c r="T5718">
        <v>-0.49535000000000001</v>
      </c>
      <c r="U5718">
        <v>-2.0946959999999999</v>
      </c>
      <c r="V5718">
        <v>0.2168967</v>
      </c>
      <c r="W5718">
        <v>6.8751720000000002E-2</v>
      </c>
      <c r="X5718">
        <v>0.97377049999999998</v>
      </c>
      <c r="Y5718">
        <v>0.4682423</v>
      </c>
      <c r="Z5718">
        <v>-1.034711E-3</v>
      </c>
      <c r="AA5718">
        <v>0.88359949999999998</v>
      </c>
      <c r="AB5718">
        <v>27</v>
      </c>
      <c r="AC5718">
        <v>5.19920000000001</v>
      </c>
      <c r="AD5718">
        <v>-1.1206430000000001</v>
      </c>
      <c r="AE5718">
        <v>-4.7099000000000002</v>
      </c>
      <c r="AF5718">
        <v>3.2726124267235801</v>
      </c>
      <c r="AG5718">
        <v>-1.1206430000000001</v>
      </c>
      <c r="AH5718">
        <v>6.0071734798117298</v>
      </c>
      <c r="AI5718">
        <v>99.303458964688303</v>
      </c>
      <c r="AJ5718">
        <v>61.419155394857</v>
      </c>
      <c r="AK5718">
        <v>6.93195254207268</v>
      </c>
      <c r="AL5718">
        <v>86.057706631415101</v>
      </c>
      <c r="AM5718">
        <v>77.442977740908105</v>
      </c>
      <c r="AN5718">
        <v>0.99999998207204899</v>
      </c>
    </row>
    <row r="5719" spans="1:40" x14ac:dyDescent="0.25">
      <c r="A5719" t="str">
        <f>"20190312151138911"</f>
        <v>20190312151138911</v>
      </c>
      <c r="B5719" t="str">
        <f>"1552374698906773"</f>
        <v>1552374698906773</v>
      </c>
      <c r="C5719" t="s">
        <v>40</v>
      </c>
      <c r="D5719">
        <v>5.1621739999999896</v>
      </c>
      <c r="E5719">
        <v>0.60658000000000001</v>
      </c>
      <c r="F5719" t="s">
        <v>43</v>
      </c>
      <c r="G5719">
        <v>-310.1814</v>
      </c>
      <c r="H5719">
        <v>-0.05</v>
      </c>
      <c r="I5719">
        <v>8.934723</v>
      </c>
      <c r="J5719">
        <v>-315.41989999999998</v>
      </c>
      <c r="K5719">
        <v>1.069526</v>
      </c>
      <c r="L5719">
        <v>13.728210000000001</v>
      </c>
      <c r="M5719">
        <v>0.97085949999999999</v>
      </c>
      <c r="N5719">
        <v>0</v>
      </c>
      <c r="O5719">
        <v>-0.23868510000000001</v>
      </c>
      <c r="P5719">
        <v>0.89446539999999997</v>
      </c>
      <c r="Q5719">
        <v>5.1956059999999998E-2</v>
      </c>
      <c r="R5719">
        <v>-0.44410899999999998</v>
      </c>
      <c r="S5719">
        <v>2.3413089999999999</v>
      </c>
      <c r="T5719">
        <v>-0.48877989999999999</v>
      </c>
      <c r="U5719">
        <v>-2.1061399999999999</v>
      </c>
      <c r="V5719">
        <v>0.21881310000000001</v>
      </c>
      <c r="W5719">
        <v>6.9537580000000002E-2</v>
      </c>
      <c r="X5719">
        <v>0.97328590000000004</v>
      </c>
      <c r="Y5719">
        <v>0.46928120000000001</v>
      </c>
      <c r="Z5719">
        <v>-5.0422550000000003E-4</v>
      </c>
      <c r="AA5719">
        <v>0.88304869999999902</v>
      </c>
      <c r="AB5719">
        <v>27</v>
      </c>
      <c r="AC5719">
        <v>5.2384999999999797</v>
      </c>
      <c r="AD5719">
        <v>-1.119526</v>
      </c>
      <c r="AE5719">
        <v>-4.7934869999999998</v>
      </c>
      <c r="AF5719">
        <v>3.3216648916311602</v>
      </c>
      <c r="AG5719">
        <v>-1.119526</v>
      </c>
      <c r="AH5719">
        <v>6.0802737006713299</v>
      </c>
      <c r="AI5719">
        <v>99.178762713823104</v>
      </c>
      <c r="AJ5719">
        <v>61.352137603347202</v>
      </c>
      <c r="AK5719">
        <v>7.0182992521013503</v>
      </c>
      <c r="AL5719">
        <v>86.012572398398405</v>
      </c>
      <c r="AM5719">
        <v>77.3294912326499</v>
      </c>
      <c r="AN5719">
        <v>1.00000004545133</v>
      </c>
    </row>
    <row r="5720" spans="1:40" x14ac:dyDescent="0.25">
      <c r="A5720" t="str">
        <f>"20190312151138925"</f>
        <v>20190312151138925</v>
      </c>
      <c r="B5720" t="str">
        <f>"1552374698916533"</f>
        <v>1552374698916533</v>
      </c>
      <c r="C5720" t="s">
        <v>40</v>
      </c>
      <c r="D5720">
        <v>5.3224980000000004</v>
      </c>
      <c r="E5720">
        <v>0.60609590000000002</v>
      </c>
      <c r="F5720" t="s">
        <v>43</v>
      </c>
      <c r="G5720">
        <v>-310.04559999999998</v>
      </c>
      <c r="H5720">
        <v>-0.05</v>
      </c>
      <c r="I5720">
        <v>8.8390810000000002</v>
      </c>
      <c r="J5720">
        <v>-315.27379999999999</v>
      </c>
      <c r="K5720">
        <v>1.0683</v>
      </c>
      <c r="L5720">
        <v>13.68765</v>
      </c>
      <c r="M5720">
        <v>0.96981379999999995</v>
      </c>
      <c r="N5720">
        <v>0</v>
      </c>
      <c r="O5720">
        <v>-0.2429346</v>
      </c>
      <c r="P5720">
        <v>0.89171559999999905</v>
      </c>
      <c r="Q5720">
        <v>5.3225729999999999E-2</v>
      </c>
      <c r="R5720">
        <v>-0.44945590000000002</v>
      </c>
      <c r="S5720">
        <v>2.329834</v>
      </c>
      <c r="T5720">
        <v>-0.48533539999999997</v>
      </c>
      <c r="U5720">
        <v>-2.1195369999999998</v>
      </c>
      <c r="V5720">
        <v>0.2204228</v>
      </c>
      <c r="W5720">
        <v>7.03405E-2</v>
      </c>
      <c r="X5720">
        <v>0.97286479999999997</v>
      </c>
      <c r="Y5720">
        <v>0.47043170000000001</v>
      </c>
      <c r="Z5720" s="1">
        <v>8.7767839999999898E-5</v>
      </c>
      <c r="AA5720">
        <v>0.88243649999999996</v>
      </c>
      <c r="AB5720">
        <v>27</v>
      </c>
      <c r="AC5720">
        <v>5.22820000000001</v>
      </c>
      <c r="AD5720">
        <v>-1.1183000000000001</v>
      </c>
      <c r="AE5720">
        <v>-4.8485690000000004</v>
      </c>
      <c r="AF5720">
        <v>3.3504484779273498</v>
      </c>
      <c r="AG5720">
        <v>-1.1183000000000001</v>
      </c>
      <c r="AH5720">
        <v>6.0996188008328698</v>
      </c>
      <c r="AI5720">
        <v>99.128993809146706</v>
      </c>
      <c r="AJ5720">
        <v>61.220528206966399</v>
      </c>
      <c r="AK5720">
        <v>7.0485068921523801</v>
      </c>
      <c r="AL5720">
        <v>85.966455190329995</v>
      </c>
      <c r="AM5720">
        <v>77.2339794202165</v>
      </c>
      <c r="AN5720">
        <v>0.99999995788956397</v>
      </c>
    </row>
    <row r="5721" spans="1:40" x14ac:dyDescent="0.25">
      <c r="A5721" t="str">
        <f>"20190312151138938"</f>
        <v>20190312151138938</v>
      </c>
      <c r="B5721" t="str">
        <f>"1552374698927270"</f>
        <v>1552374698927270</v>
      </c>
      <c r="C5721" t="s">
        <v>40</v>
      </c>
      <c r="D5721">
        <v>5.2874910000000002</v>
      </c>
      <c r="E5721">
        <v>0.60589720000000002</v>
      </c>
      <c r="F5721" t="s">
        <v>43</v>
      </c>
      <c r="G5721">
        <v>-309.82069999999999</v>
      </c>
      <c r="H5721">
        <v>-0.05</v>
      </c>
      <c r="I5721">
        <v>8.6785130000000006</v>
      </c>
      <c r="J5721">
        <v>-315.1216</v>
      </c>
      <c r="K5721">
        <v>1.0670539999999999</v>
      </c>
      <c r="L5721">
        <v>13.644780000000001</v>
      </c>
      <c r="M5721">
        <v>0.96869430000000001</v>
      </c>
      <c r="N5721">
        <v>0</v>
      </c>
      <c r="O5721">
        <v>-0.24739749999999999</v>
      </c>
      <c r="P5721">
        <v>0.88877600000000001</v>
      </c>
      <c r="Q5721">
        <v>5.4371719999999998E-2</v>
      </c>
      <c r="R5721">
        <v>-0.4551055</v>
      </c>
      <c r="S5721">
        <v>2.319</v>
      </c>
      <c r="T5721">
        <v>-0.47557539999999998</v>
      </c>
      <c r="U5721">
        <v>-2.1302189999999999</v>
      </c>
      <c r="V5721">
        <v>0.22216159999999999</v>
      </c>
      <c r="W5721">
        <v>7.0991180000000001E-2</v>
      </c>
      <c r="X5721">
        <v>0.97242189999999995</v>
      </c>
      <c r="Y5721">
        <v>0.47077400000000003</v>
      </c>
      <c r="Z5721">
        <v>7.686689E-4</v>
      </c>
      <c r="AA5721">
        <v>0.88225350000000002</v>
      </c>
      <c r="AB5721">
        <v>27</v>
      </c>
      <c r="AC5721">
        <v>5.3009000000000102</v>
      </c>
      <c r="AD5721">
        <v>-1.117054</v>
      </c>
      <c r="AE5721">
        <v>-4.9662669999999904</v>
      </c>
      <c r="AF5721">
        <v>3.41924803964034</v>
      </c>
      <c r="AG5721">
        <v>-1.117054</v>
      </c>
      <c r="AH5721">
        <v>6.2179007727401396</v>
      </c>
      <c r="AI5721">
        <v>98.946070183448796</v>
      </c>
      <c r="AJ5721">
        <v>61.193432683441202</v>
      </c>
      <c r="AK5721">
        <v>7.1834084399498499</v>
      </c>
      <c r="AL5721">
        <v>85.929080453687504</v>
      </c>
      <c r="AM5721">
        <v>77.1309487952837</v>
      </c>
      <c r="AN5721">
        <v>0.99999993787597896</v>
      </c>
    </row>
    <row r="5722" spans="1:40" x14ac:dyDescent="0.25">
      <c r="A5722" t="str">
        <f>"20190312151138951"</f>
        <v>20190312151138951</v>
      </c>
      <c r="B5722" t="str">
        <f>"1552374698946789"</f>
        <v>1552374698946789</v>
      </c>
      <c r="C5722" t="s">
        <v>40</v>
      </c>
      <c r="D5722">
        <v>4.517353</v>
      </c>
      <c r="E5722">
        <v>0.60566850000000005</v>
      </c>
      <c r="F5722" t="s">
        <v>43</v>
      </c>
      <c r="G5722">
        <v>-309.64519999999999</v>
      </c>
      <c r="H5722">
        <v>-0.05</v>
      </c>
      <c r="I5722">
        <v>8.5551449999999996</v>
      </c>
      <c r="J5722">
        <v>-314.96890000000002</v>
      </c>
      <c r="K5722">
        <v>1.065904</v>
      </c>
      <c r="L5722">
        <v>13.600429999999999</v>
      </c>
      <c r="M5722">
        <v>0.96752059999999995</v>
      </c>
      <c r="N5722">
        <v>0</v>
      </c>
      <c r="O5722">
        <v>-0.25198280000000001</v>
      </c>
      <c r="P5722">
        <v>0.88589509999999905</v>
      </c>
      <c r="Q5722">
        <v>5.507534E-2</v>
      </c>
      <c r="R5722">
        <v>-0.46060459999999898</v>
      </c>
      <c r="S5722">
        <v>2.3065190000000002</v>
      </c>
      <c r="T5722">
        <v>-0.47047329999999998</v>
      </c>
      <c r="U5722">
        <v>-2.1436160000000002</v>
      </c>
      <c r="V5722">
        <v>0.22361339999999999</v>
      </c>
      <c r="W5722">
        <v>7.1210919999999997E-2</v>
      </c>
      <c r="X5722">
        <v>0.97207310000000002</v>
      </c>
      <c r="Y5722">
        <v>0.47181590000000001</v>
      </c>
      <c r="Z5722">
        <v>1.3955269999999999E-3</v>
      </c>
      <c r="AA5722">
        <v>0.88169599999999904</v>
      </c>
      <c r="AB5722">
        <v>27</v>
      </c>
      <c r="AC5722">
        <v>5.3237000000000299</v>
      </c>
      <c r="AD5722">
        <v>-1.115904</v>
      </c>
      <c r="AE5722">
        <v>-5.0452849999999998</v>
      </c>
      <c r="AF5722">
        <v>3.4605575288608001</v>
      </c>
      <c r="AG5722">
        <v>-1.115904</v>
      </c>
      <c r="AH5722">
        <v>6.2781062768733404</v>
      </c>
      <c r="AI5722">
        <v>98.847861317861799</v>
      </c>
      <c r="AJ5722">
        <v>61.135988689911301</v>
      </c>
      <c r="AK5722">
        <v>7.25502023232794</v>
      </c>
      <c r="AL5722">
        <v>85.9164587090536</v>
      </c>
      <c r="AM5722">
        <v>77.045187345814696</v>
      </c>
      <c r="AN5722">
        <v>1.0000000297652001</v>
      </c>
    </row>
    <row r="5723" spans="1:40" x14ac:dyDescent="0.25">
      <c r="A5723" t="str">
        <f>"20190312151138964"</f>
        <v>20190312151138964</v>
      </c>
      <c r="B5723" t="str">
        <f>"1552374698956549"</f>
        <v>1552374698956549</v>
      </c>
      <c r="C5723" t="s">
        <v>40</v>
      </c>
      <c r="D5723">
        <v>5.4318080000000002</v>
      </c>
      <c r="E5723">
        <v>0.59216210000000002</v>
      </c>
      <c r="F5723" t="s">
        <v>43</v>
      </c>
      <c r="G5723">
        <v>-309.49430000000001</v>
      </c>
      <c r="H5723">
        <v>-0.05</v>
      </c>
      <c r="I5723">
        <v>8.4550319999999992</v>
      </c>
      <c r="J5723">
        <v>-314.82139999999998</v>
      </c>
      <c r="K5723">
        <v>1.064843</v>
      </c>
      <c r="L5723">
        <v>13.556950000000001</v>
      </c>
      <c r="M5723">
        <v>0.96634810000000004</v>
      </c>
      <c r="N5723">
        <v>0</v>
      </c>
      <c r="O5723">
        <v>-0.25647449999999999</v>
      </c>
      <c r="P5723">
        <v>0.88291219999999904</v>
      </c>
      <c r="Q5723">
        <v>5.5878860000000002E-2</v>
      </c>
      <c r="R5723">
        <v>-0.46620159999999999</v>
      </c>
      <c r="S5723">
        <v>2.2943120000000001</v>
      </c>
      <c r="T5723">
        <v>-0.46765420000000002</v>
      </c>
      <c r="U5723">
        <v>-2.156342</v>
      </c>
      <c r="V5723">
        <v>0.22528290000000001</v>
      </c>
      <c r="W5723">
        <v>7.1552420000000005E-2</v>
      </c>
      <c r="X5723">
        <v>0.97166240000000004</v>
      </c>
      <c r="Y5723">
        <v>0.47272360000000002</v>
      </c>
      <c r="Z5723">
        <v>2.0164139999999998E-3</v>
      </c>
      <c r="AA5723">
        <v>0.8812084</v>
      </c>
      <c r="AB5723">
        <v>27</v>
      </c>
      <c r="AC5723">
        <v>5.3270999999999704</v>
      </c>
      <c r="AD5723">
        <v>-1.114843</v>
      </c>
      <c r="AE5723">
        <v>-5.1019180000000004</v>
      </c>
      <c r="AF5723">
        <v>3.4850507531647299</v>
      </c>
      <c r="AG5723">
        <v>-1.114843</v>
      </c>
      <c r="AH5723">
        <v>6.3133894865632803</v>
      </c>
      <c r="AI5723">
        <v>98.788030366143303</v>
      </c>
      <c r="AJ5723">
        <v>61.1008867450632</v>
      </c>
      <c r="AK5723">
        <v>7.2970775297944304</v>
      </c>
      <c r="AL5723">
        <v>85.896841942414596</v>
      </c>
      <c r="AM5723">
        <v>76.946438255509506</v>
      </c>
      <c r="AN5723">
        <v>0.99999997670701202</v>
      </c>
    </row>
    <row r="5724" spans="1:40" x14ac:dyDescent="0.25">
      <c r="A5724" t="str">
        <f>"20190312151138979"</f>
        <v>20190312151138979</v>
      </c>
      <c r="B5724" t="str">
        <f>"1552374698967285"</f>
        <v>1552374698967285</v>
      </c>
      <c r="C5724" t="s">
        <v>40</v>
      </c>
      <c r="D5724">
        <v>5.2867389999999999</v>
      </c>
      <c r="E5724">
        <v>0.59216210000000002</v>
      </c>
      <c r="F5724" t="s">
        <v>43</v>
      </c>
      <c r="G5724">
        <v>-303.35430000000002</v>
      </c>
      <c r="H5724">
        <v>-0.05</v>
      </c>
      <c r="I5724">
        <v>3.3549039999999999</v>
      </c>
      <c r="J5724">
        <v>-314.65230000000003</v>
      </c>
      <c r="K5724">
        <v>1.063701</v>
      </c>
      <c r="L5724">
        <v>13.5062</v>
      </c>
      <c r="M5724">
        <v>0.96495319999999996</v>
      </c>
      <c r="N5724">
        <v>0</v>
      </c>
      <c r="O5724">
        <v>-0.26170690000000002</v>
      </c>
      <c r="P5724">
        <v>0.87871999999999995</v>
      </c>
      <c r="Q5724">
        <v>5.6302190000000002E-2</v>
      </c>
      <c r="R5724">
        <v>-0.47400579999999998</v>
      </c>
      <c r="S5724">
        <v>2.3215029999999999</v>
      </c>
      <c r="T5724">
        <v>-0.2256995</v>
      </c>
      <c r="U5724">
        <v>-2.0653990000000002</v>
      </c>
      <c r="V5724">
        <v>0.22864880000000001</v>
      </c>
      <c r="W5724">
        <v>7.1433510000000006E-2</v>
      </c>
      <c r="X5724">
        <v>0.97088459999999999</v>
      </c>
      <c r="Y5724">
        <v>0.4454864</v>
      </c>
      <c r="Z5724">
        <v>2.531869E-3</v>
      </c>
      <c r="AA5724">
        <v>0.89528509999999994</v>
      </c>
      <c r="AB5724">
        <v>27</v>
      </c>
      <c r="AC5724">
        <v>11.298</v>
      </c>
      <c r="AD5724">
        <v>-1.1137010000000001</v>
      </c>
      <c r="AE5724">
        <v>-10.151296</v>
      </c>
      <c r="AF5724">
        <v>6.8034640243820697</v>
      </c>
      <c r="AG5724">
        <v>-1.1137010000000001</v>
      </c>
      <c r="AH5724">
        <v>13.4887247524664</v>
      </c>
      <c r="AI5724">
        <v>94.216162280089506</v>
      </c>
      <c r="AJ5724">
        <v>63.234465128005702</v>
      </c>
      <c r="AK5724">
        <v>15.1483711367348</v>
      </c>
      <c r="AL5724">
        <v>85.903672407316407</v>
      </c>
      <c r="AM5724">
        <v>76.747997006026594</v>
      </c>
      <c r="AN5724">
        <v>0.99999996330475904</v>
      </c>
    </row>
    <row r="5725" spans="1:40" x14ac:dyDescent="0.25">
      <c r="A5725" t="str">
        <f>"20190312151138995"</f>
        <v>20190312151138995</v>
      </c>
      <c r="B5725" t="str">
        <f>"1552374698987312"</f>
        <v>1552374698987312</v>
      </c>
      <c r="C5725" t="s">
        <v>40</v>
      </c>
      <c r="D5725">
        <v>5.324249</v>
      </c>
      <c r="E5725">
        <v>0.59526730000000005</v>
      </c>
      <c r="F5725" t="s">
        <v>43</v>
      </c>
      <c r="G5725">
        <v>-303.23700000000002</v>
      </c>
      <c r="H5725">
        <v>-0.05</v>
      </c>
      <c r="I5725">
        <v>3.1688230000000002</v>
      </c>
      <c r="J5725">
        <v>-314.46789999999999</v>
      </c>
      <c r="K5725">
        <v>1.062576</v>
      </c>
      <c r="L5725">
        <v>13.449249999999999</v>
      </c>
      <c r="M5725">
        <v>0.96334710000000001</v>
      </c>
      <c r="N5725">
        <v>0</v>
      </c>
      <c r="O5725">
        <v>-0.26759270000000002</v>
      </c>
      <c r="P5725">
        <v>0.87483849999999996</v>
      </c>
      <c r="Q5725">
        <v>5.6532689999999997E-2</v>
      </c>
      <c r="R5725">
        <v>-0.4811047</v>
      </c>
      <c r="S5725">
        <v>2.3033139999999999</v>
      </c>
      <c r="T5725">
        <v>-0.22471630000000001</v>
      </c>
      <c r="U5725">
        <v>-2.0858150000000002</v>
      </c>
      <c r="V5725">
        <v>0.23059660000000001</v>
      </c>
      <c r="W5725">
        <v>7.1141960000000004E-2</v>
      </c>
      <c r="X5725">
        <v>0.97044529999999996</v>
      </c>
      <c r="Y5725">
        <v>0.44791189999999997</v>
      </c>
      <c r="Z5725">
        <v>2.8736259999999998E-3</v>
      </c>
      <c r="AA5725">
        <v>0.89407309999999995</v>
      </c>
      <c r="AB5725">
        <v>27</v>
      </c>
      <c r="AC5725">
        <v>11.230899999999901</v>
      </c>
      <c r="AD5725">
        <v>-1.112576</v>
      </c>
      <c r="AE5725">
        <v>-10.280427</v>
      </c>
      <c r="AF5725">
        <v>6.86289761628879</v>
      </c>
      <c r="AG5725">
        <v>-1.112576</v>
      </c>
      <c r="AH5725">
        <v>13.5005543559461</v>
      </c>
      <c r="AI5725">
        <v>94.201553888593494</v>
      </c>
      <c r="AJ5725">
        <v>63.053860974876898</v>
      </c>
      <c r="AK5725">
        <v>15.185590438481301</v>
      </c>
      <c r="AL5725">
        <v>85.920419854377798</v>
      </c>
      <c r="AM5725">
        <v>76.633307562794101</v>
      </c>
      <c r="AN5725">
        <v>1.00000002534814</v>
      </c>
    </row>
    <row r="5726" spans="1:40" x14ac:dyDescent="0.25">
      <c r="A5726" t="str">
        <f>"20190312151139007"</f>
        <v>20190312151139007</v>
      </c>
      <c r="B5726" t="str">
        <f>"1552374698997072"</f>
        <v>1552374698997072</v>
      </c>
      <c r="C5726" t="s">
        <v>40</v>
      </c>
      <c r="D5726">
        <v>5.3914780000000002</v>
      </c>
      <c r="E5726">
        <v>0.59631020000000001</v>
      </c>
      <c r="F5726" t="s">
        <v>43</v>
      </c>
      <c r="G5726">
        <v>-309.05610000000001</v>
      </c>
      <c r="H5726">
        <v>-0.05</v>
      </c>
      <c r="I5726">
        <v>8.3876190000000008</v>
      </c>
      <c r="J5726">
        <v>-314.32299999999998</v>
      </c>
      <c r="K5726">
        <v>1.061769</v>
      </c>
      <c r="L5726">
        <v>13.403560000000001</v>
      </c>
      <c r="M5726">
        <v>0.96202810000000005</v>
      </c>
      <c r="N5726">
        <v>0</v>
      </c>
      <c r="O5726">
        <v>-0.27232000000000001</v>
      </c>
      <c r="P5726">
        <v>0.87146780000000001</v>
      </c>
      <c r="Q5726">
        <v>5.6008349999999998E-2</v>
      </c>
      <c r="R5726">
        <v>-0.48724420000000002</v>
      </c>
      <c r="S5726">
        <v>2.2845149999999999</v>
      </c>
      <c r="T5726">
        <v>-0.46965709999999999</v>
      </c>
      <c r="U5726">
        <v>-2.1366879999999999</v>
      </c>
      <c r="V5726">
        <v>0.2326414</v>
      </c>
      <c r="W5726">
        <v>7.0221580000000006E-2</v>
      </c>
      <c r="X5726">
        <v>0.9700242</v>
      </c>
      <c r="Y5726">
        <v>0.45633099999999999</v>
      </c>
      <c r="Z5726">
        <v>5.9772100000000002E-3</v>
      </c>
      <c r="AA5726">
        <v>0.88978999999999997</v>
      </c>
      <c r="AB5726">
        <v>27</v>
      </c>
      <c r="AC5726">
        <v>5.2668999999999597</v>
      </c>
      <c r="AD5726">
        <v>-1.111769</v>
      </c>
      <c r="AE5726">
        <v>-5.0159409999999998</v>
      </c>
      <c r="AF5726">
        <v>3.3143360234101098</v>
      </c>
      <c r="AG5726">
        <v>-1.111769</v>
      </c>
      <c r="AH5726">
        <v>6.2870529293051902</v>
      </c>
      <c r="AI5726">
        <v>98.890682893299399</v>
      </c>
      <c r="AJ5726">
        <v>62.203215819729799</v>
      </c>
      <c r="AK5726">
        <v>7.1936004977563099</v>
      </c>
      <c r="AL5726">
        <v>85.9732859452524</v>
      </c>
      <c r="AM5726">
        <v>76.513449162767202</v>
      </c>
      <c r="AN5726">
        <v>1.0000000199386401</v>
      </c>
    </row>
    <row r="5727" spans="1:40" x14ac:dyDescent="0.25">
      <c r="A5727" t="str">
        <f>"20190312151139021"</f>
        <v>20190312151139021</v>
      </c>
      <c r="B5727" t="str">
        <f>"1552374699016592"</f>
        <v>1552374699016592</v>
      </c>
      <c r="C5727" t="s">
        <v>40</v>
      </c>
      <c r="D5727">
        <v>5.2911570000000001</v>
      </c>
      <c r="E5727">
        <v>0.61907179999999995</v>
      </c>
      <c r="F5727" t="s">
        <v>43</v>
      </c>
      <c r="G5727">
        <v>-308.92259999999999</v>
      </c>
      <c r="H5727">
        <v>-0.05</v>
      </c>
      <c r="I5727">
        <v>8.2541960000000003</v>
      </c>
      <c r="J5727">
        <v>-314.16649999999998</v>
      </c>
      <c r="K5727">
        <v>1.0609420000000001</v>
      </c>
      <c r="L5727">
        <v>13.35345</v>
      </c>
      <c r="M5727">
        <v>0.96055330000000005</v>
      </c>
      <c r="N5727">
        <v>0</v>
      </c>
      <c r="O5727">
        <v>-0.2775011</v>
      </c>
      <c r="P5727">
        <v>0.86781969999999997</v>
      </c>
      <c r="Q5727">
        <v>5.5855130000000003E-2</v>
      </c>
      <c r="R5727">
        <v>-0.49373030000000001</v>
      </c>
      <c r="S5727">
        <v>2.264923</v>
      </c>
      <c r="T5727">
        <v>-0.46627400000000002</v>
      </c>
      <c r="U5727">
        <v>-2.159637</v>
      </c>
      <c r="V5727">
        <v>0.2346471</v>
      </c>
      <c r="W5727">
        <v>6.9656979999999993E-2</v>
      </c>
      <c r="X5727">
        <v>0.96958169999999999</v>
      </c>
      <c r="Y5727">
        <v>0.46014430000000001</v>
      </c>
      <c r="Z5727">
        <v>6.4290049999999998E-3</v>
      </c>
      <c r="AA5727">
        <v>0.88782090000000002</v>
      </c>
      <c r="AB5727">
        <v>27</v>
      </c>
      <c r="AC5727">
        <v>5.2438999999999902</v>
      </c>
      <c r="AD5727">
        <v>-1.1109420000000001</v>
      </c>
      <c r="AE5727">
        <v>-5.0992540000000002</v>
      </c>
      <c r="AF5727">
        <v>3.3658409678567098</v>
      </c>
      <c r="AG5727">
        <v>-1.1109420000000001</v>
      </c>
      <c r="AH5727">
        <v>6.3076516090058998</v>
      </c>
      <c r="AI5727">
        <v>98.832405310058704</v>
      </c>
      <c r="AJ5727">
        <v>61.915067086192401</v>
      </c>
      <c r="AK5727">
        <v>7.2352986371580599</v>
      </c>
      <c r="AL5727">
        <v>86.005714530686902</v>
      </c>
      <c r="AM5727">
        <v>76.395500500212506</v>
      </c>
      <c r="AN5727">
        <v>1.0000000146880099</v>
      </c>
    </row>
    <row r="5728" spans="1:40" x14ac:dyDescent="0.25">
      <c r="A5728" t="str">
        <f>"20190312151139035"</f>
        <v>20190312151139035</v>
      </c>
      <c r="B5728" t="str">
        <f>"1552374699027327"</f>
        <v>1552374699027327</v>
      </c>
      <c r="C5728" t="s">
        <v>40</v>
      </c>
      <c r="D5728">
        <v>5.2604340000000001</v>
      </c>
      <c r="E5728">
        <v>0.61907179999999995</v>
      </c>
      <c r="F5728" t="s">
        <v>43</v>
      </c>
      <c r="G5728">
        <v>-308.85899999999998</v>
      </c>
      <c r="H5728">
        <v>-0.05</v>
      </c>
      <c r="I5728">
        <v>7.6153559999999896</v>
      </c>
      <c r="J5728">
        <v>-314.00810000000001</v>
      </c>
      <c r="K5728">
        <v>1.0601689999999999</v>
      </c>
      <c r="L5728">
        <v>13.301640000000001</v>
      </c>
      <c r="M5728">
        <v>0.95899670000000004</v>
      </c>
      <c r="N5728">
        <v>0</v>
      </c>
      <c r="O5728">
        <v>-0.28285470000000001</v>
      </c>
      <c r="P5728">
        <v>0.86298829999999904</v>
      </c>
      <c r="Q5728">
        <v>5.533954E-2</v>
      </c>
      <c r="R5728">
        <v>-0.50218439999999998</v>
      </c>
      <c r="S5728">
        <v>2.1583860000000001</v>
      </c>
      <c r="T5728">
        <v>-0.4517835</v>
      </c>
      <c r="U5728">
        <v>-2.3334959999999998</v>
      </c>
      <c r="V5728">
        <v>0.2386983</v>
      </c>
      <c r="W5728">
        <v>6.8704630000000003E-2</v>
      </c>
      <c r="X5728">
        <v>0.96866030000000003</v>
      </c>
      <c r="Y5728">
        <v>0.50983859999999903</v>
      </c>
      <c r="Z5728">
        <v>2.8332510000000002E-3</v>
      </c>
      <c r="AA5728">
        <v>0.86026539999999996</v>
      </c>
      <c r="AB5728">
        <v>27</v>
      </c>
      <c r="AC5728">
        <v>5.1490999999999696</v>
      </c>
      <c r="AD5728">
        <v>-1.110169</v>
      </c>
      <c r="AE5728">
        <v>-5.6862839999999997</v>
      </c>
      <c r="AF5728">
        <v>3.9153159647283502</v>
      </c>
      <c r="AG5728">
        <v>-1.110169</v>
      </c>
      <c r="AH5728">
        <v>6.4130911092872704</v>
      </c>
      <c r="AI5728">
        <v>98.404665071093206</v>
      </c>
      <c r="AJ5728">
        <v>58.595128706721503</v>
      </c>
      <c r="AK5728">
        <v>7.5953875403587601</v>
      </c>
      <c r="AL5728">
        <v>86.0604111186571</v>
      </c>
      <c r="AM5728">
        <v>76.156914255642803</v>
      </c>
      <c r="AN5728">
        <v>0.99999999070120804</v>
      </c>
    </row>
    <row r="5729" spans="1:40" x14ac:dyDescent="0.25">
      <c r="A5729" t="str">
        <f>"20190312151139046"</f>
        <v>20190312151139046</v>
      </c>
      <c r="B5729" t="str">
        <f>"1552374699037089"</f>
        <v>1552374699037089</v>
      </c>
      <c r="C5729" t="s">
        <v>40</v>
      </c>
      <c r="D5729">
        <v>5.1743100000000002</v>
      </c>
      <c r="E5729">
        <v>0.64665090000000003</v>
      </c>
      <c r="F5729" t="s">
        <v>43</v>
      </c>
      <c r="G5729">
        <v>-308.77600000000001</v>
      </c>
      <c r="H5729">
        <v>-0.05</v>
      </c>
      <c r="I5729">
        <v>7.5327449999999896</v>
      </c>
      <c r="J5729">
        <v>-313.87979999999999</v>
      </c>
      <c r="K5729">
        <v>1.0595920000000001</v>
      </c>
      <c r="L5729">
        <v>13.258699999999999</v>
      </c>
      <c r="M5729">
        <v>0.95768810000000004</v>
      </c>
      <c r="N5729">
        <v>0</v>
      </c>
      <c r="O5729">
        <v>-0.28727000000000003</v>
      </c>
      <c r="P5729">
        <v>0.85955949999999903</v>
      </c>
      <c r="Q5729">
        <v>5.5432679999999998E-2</v>
      </c>
      <c r="R5729">
        <v>-0.50802060000000004</v>
      </c>
      <c r="S5729">
        <v>2.1353149999999999</v>
      </c>
      <c r="T5729">
        <v>-0.45308179999999998</v>
      </c>
      <c r="U5729">
        <v>-2.3544010000000002</v>
      </c>
      <c r="V5729">
        <v>0.2408083</v>
      </c>
      <c r="W5729">
        <v>6.8482000000000001E-2</v>
      </c>
      <c r="X5729">
        <v>0.96815370000000001</v>
      </c>
      <c r="Y5729">
        <v>0.51427730000000005</v>
      </c>
      <c r="Z5729">
        <v>3.1410829999999998E-3</v>
      </c>
      <c r="AA5729">
        <v>0.85761829999999994</v>
      </c>
      <c r="AB5729">
        <v>27</v>
      </c>
      <c r="AC5729">
        <v>5.1037999999999704</v>
      </c>
      <c r="AD5729">
        <v>-1.1095919999999999</v>
      </c>
      <c r="AE5729">
        <v>-5.7259549999999999</v>
      </c>
      <c r="AF5729">
        <v>3.93577171996967</v>
      </c>
      <c r="AG5729">
        <v>-1.1095919999999999</v>
      </c>
      <c r="AH5729">
        <v>6.3998310936053402</v>
      </c>
      <c r="AI5729">
        <v>98.4010412319235</v>
      </c>
      <c r="AJ5729">
        <v>58.409292402877902</v>
      </c>
      <c r="AK5729">
        <v>7.5946910052256102</v>
      </c>
      <c r="AL5729">
        <v>86.073197045983207</v>
      </c>
      <c r="AM5729">
        <v>76.032294035211706</v>
      </c>
      <c r="AN5729">
        <v>1.0000000042482899</v>
      </c>
    </row>
    <row r="5730" spans="1:40" x14ac:dyDescent="0.25">
      <c r="A5730" t="str">
        <f>"20190312151139056"</f>
        <v>20190312151139056</v>
      </c>
      <c r="B5730" t="str">
        <f>"1552374699046849"</f>
        <v>1552374699046849</v>
      </c>
      <c r="C5730" t="s">
        <v>40</v>
      </c>
      <c r="D5730">
        <v>5.2872570000000003</v>
      </c>
      <c r="E5730">
        <v>0.64338229999999996</v>
      </c>
      <c r="F5730" t="s">
        <v>43</v>
      </c>
      <c r="G5730">
        <v>-306.79390000000001</v>
      </c>
      <c r="H5730">
        <v>-0.05</v>
      </c>
      <c r="I5730">
        <v>4.2267910000000004</v>
      </c>
      <c r="J5730">
        <v>-313.75490000000002</v>
      </c>
      <c r="K5730">
        <v>1.0590459999999999</v>
      </c>
      <c r="L5730">
        <v>13.21664</v>
      </c>
      <c r="M5730">
        <v>0.95638619999999996</v>
      </c>
      <c r="N5730">
        <v>0</v>
      </c>
      <c r="O5730">
        <v>-0.2915895</v>
      </c>
      <c r="P5730">
        <v>0.85613019999999995</v>
      </c>
      <c r="Q5730">
        <v>5.5878530000000003E-2</v>
      </c>
      <c r="R5730">
        <v>-0.51373049999999998</v>
      </c>
      <c r="S5730">
        <v>2.0021059999999999</v>
      </c>
      <c r="T5730">
        <v>-0.31350860000000003</v>
      </c>
      <c r="U5730">
        <v>-2.5519099999999999</v>
      </c>
      <c r="V5730">
        <v>0.2429038</v>
      </c>
      <c r="W5730">
        <v>6.8624229999999994E-2</v>
      </c>
      <c r="X5730">
        <v>0.96762000000000004</v>
      </c>
      <c r="Y5730">
        <v>0.57131540000000003</v>
      </c>
      <c r="Z5730">
        <v>-8.2083789999999905E-4</v>
      </c>
      <c r="AA5730">
        <v>0.82073009999999902</v>
      </c>
      <c r="AB5730">
        <v>26</v>
      </c>
      <c r="AC5730">
        <v>6.9610000000000101</v>
      </c>
      <c r="AD5730">
        <v>-1.109046</v>
      </c>
      <c r="AE5730">
        <v>-8.9898489999999995</v>
      </c>
      <c r="AF5730">
        <v>6.5070892191302798</v>
      </c>
      <c r="AG5730">
        <v>-1.109046</v>
      </c>
      <c r="AH5730">
        <v>9.1926817740324704</v>
      </c>
      <c r="AI5730">
        <v>95.623843102555298</v>
      </c>
      <c r="AJ5730">
        <v>54.707026168175901</v>
      </c>
      <c r="AK5730">
        <v>11.3171370644022</v>
      </c>
      <c r="AL5730">
        <v>86.065028644773193</v>
      </c>
      <c r="AM5730">
        <v>75.908106965327605</v>
      </c>
      <c r="AN5730">
        <v>1.0000000026987601</v>
      </c>
    </row>
    <row r="5731" spans="1:40" x14ac:dyDescent="0.25">
      <c r="A5731" t="str">
        <f>"20190312151139068"</f>
        <v>20190312151139068</v>
      </c>
      <c r="B5731" t="str">
        <f>"1552374699056608"</f>
        <v>1552374699056608</v>
      </c>
      <c r="C5731" t="s">
        <v>40</v>
      </c>
      <c r="D5731">
        <v>5.2859119999999997</v>
      </c>
      <c r="E5731">
        <v>0.64136029999999999</v>
      </c>
      <c r="F5731" t="s">
        <v>43</v>
      </c>
      <c r="G5731">
        <v>-307.23379999999997</v>
      </c>
      <c r="H5731">
        <v>-0.05</v>
      </c>
      <c r="I5731">
        <v>4.919861</v>
      </c>
      <c r="J5731">
        <v>-313.6302</v>
      </c>
      <c r="K5731">
        <v>1.0585549999999999</v>
      </c>
      <c r="L5731">
        <v>13.17346</v>
      </c>
      <c r="M5731">
        <v>0.95503499999999997</v>
      </c>
      <c r="N5731">
        <v>0</v>
      </c>
      <c r="O5731">
        <v>-0.2959985</v>
      </c>
      <c r="P5731">
        <v>0.85252419999999995</v>
      </c>
      <c r="Q5731">
        <v>5.5689259999999997E-2</v>
      </c>
      <c r="R5731">
        <v>-0.51971329999999905</v>
      </c>
      <c r="S5731">
        <v>1.9996640000000001</v>
      </c>
      <c r="T5731">
        <v>-0.34008240000000001</v>
      </c>
      <c r="U5731">
        <v>-2.5441590000000001</v>
      </c>
      <c r="V5731">
        <v>0.2452164</v>
      </c>
      <c r="W5731">
        <v>6.8143750000000003E-2</v>
      </c>
      <c r="X5731">
        <v>0.96707050000000006</v>
      </c>
      <c r="Y5731">
        <v>0.56662159999999995</v>
      </c>
      <c r="Z5731" s="1">
        <v>-7.1786340000000004E-5</v>
      </c>
      <c r="AA5731">
        <v>0.82397809999999905</v>
      </c>
      <c r="AB5731">
        <v>26</v>
      </c>
      <c r="AC5731">
        <v>6.3964000000000203</v>
      </c>
      <c r="AD5731">
        <v>-1.108555</v>
      </c>
      <c r="AE5731">
        <v>-8.2535989999999995</v>
      </c>
      <c r="AF5731">
        <v>5.9232702923734299</v>
      </c>
      <c r="AG5731">
        <v>-1.108555</v>
      </c>
      <c r="AH5731">
        <v>8.4577683410516293</v>
      </c>
      <c r="AI5731">
        <v>96.127768280351802</v>
      </c>
      <c r="AJ5731">
        <v>54.995103976671203</v>
      </c>
      <c r="AK5731">
        <v>10.3849829299539</v>
      </c>
      <c r="AL5731">
        <v>86.092622716890602</v>
      </c>
      <c r="AM5731">
        <v>75.771609126635497</v>
      </c>
      <c r="AN5731">
        <v>1.00000000273163</v>
      </c>
    </row>
    <row r="5732" spans="1:40" x14ac:dyDescent="0.25">
      <c r="A5732" t="str">
        <f>"20190312151139080"</f>
        <v>20190312151139080</v>
      </c>
      <c r="B5732" t="str">
        <f>"1552374699077105"</f>
        <v>1552374699077105</v>
      </c>
      <c r="C5732" t="s">
        <v>40</v>
      </c>
      <c r="D5732">
        <v>5.2982100000000001</v>
      </c>
      <c r="E5732">
        <v>0.63909939999999998</v>
      </c>
      <c r="F5732" t="s">
        <v>43</v>
      </c>
      <c r="G5732">
        <v>-307.4221</v>
      </c>
      <c r="H5732">
        <v>-0.05</v>
      </c>
      <c r="I5732">
        <v>5.2381440000000001</v>
      </c>
      <c r="J5732">
        <v>-313.5016</v>
      </c>
      <c r="K5732">
        <v>1.058057</v>
      </c>
      <c r="L5732">
        <v>13.12866</v>
      </c>
      <c r="M5732">
        <v>0.95361309999999999</v>
      </c>
      <c r="N5732">
        <v>0</v>
      </c>
      <c r="O5732">
        <v>-0.30055989999999999</v>
      </c>
      <c r="P5732">
        <v>0.84877939999999996</v>
      </c>
      <c r="Q5732">
        <v>5.6112160000000001E-2</v>
      </c>
      <c r="R5732">
        <v>-0.52576140000000005</v>
      </c>
      <c r="S5732">
        <v>1.990845</v>
      </c>
      <c r="T5732">
        <v>-0.35549259999999999</v>
      </c>
      <c r="U5732">
        <v>-2.544708</v>
      </c>
      <c r="V5732">
        <v>0.2474925</v>
      </c>
      <c r="W5732">
        <v>6.8271250000000006E-2</v>
      </c>
      <c r="X5732">
        <v>0.96648149999999999</v>
      </c>
      <c r="Y5732">
        <v>0.564442</v>
      </c>
      <c r="Z5732">
        <v>6.2549860000000004E-4</v>
      </c>
      <c r="AA5732">
        <v>0.82547250000000005</v>
      </c>
      <c r="AB5732">
        <v>26</v>
      </c>
      <c r="AC5732">
        <v>6.0794999999999897</v>
      </c>
      <c r="AD5732">
        <v>-1.1080570000000001</v>
      </c>
      <c r="AE5732">
        <v>-7.8905159999999999</v>
      </c>
      <c r="AF5732">
        <v>5.6284118702025197</v>
      </c>
      <c r="AG5732">
        <v>-1.1080570000000001</v>
      </c>
      <c r="AH5732">
        <v>8.0703656027018091</v>
      </c>
      <c r="AI5732">
        <v>96.425383563392401</v>
      </c>
      <c r="AJ5732">
        <v>55.107417748333901</v>
      </c>
      <c r="AK5732">
        <v>9.9013944198359294</v>
      </c>
      <c r="AL5732">
        <v>86.085300424208995</v>
      </c>
      <c r="AM5732">
        <v>75.636588924359501</v>
      </c>
      <c r="AN5732">
        <v>0.99999999548753105</v>
      </c>
    </row>
    <row r="5733" spans="1:40" x14ac:dyDescent="0.25">
      <c r="A5733" t="str">
        <f>"20190312151139090"</f>
        <v>20190312151139090</v>
      </c>
      <c r="B5733" t="str">
        <f>"1552374699086864"</f>
        <v>1552374699086864</v>
      </c>
      <c r="C5733" t="s">
        <v>40</v>
      </c>
      <c r="D5733">
        <v>5.3290699999999998</v>
      </c>
      <c r="E5733">
        <v>0.63832929999999999</v>
      </c>
      <c r="F5733" t="s">
        <v>43</v>
      </c>
      <c r="G5733">
        <v>-307.65589999999997</v>
      </c>
      <c r="H5733">
        <v>-0.05</v>
      </c>
      <c r="I5733">
        <v>5.6291960000000003</v>
      </c>
      <c r="J5733">
        <v>-313.37139999999999</v>
      </c>
      <c r="K5733">
        <v>1.0575969999999999</v>
      </c>
      <c r="L5733">
        <v>13.08215</v>
      </c>
      <c r="M5733">
        <v>0.95212050000000004</v>
      </c>
      <c r="N5733">
        <v>0</v>
      </c>
      <c r="O5733">
        <v>-0.30526679999999901</v>
      </c>
      <c r="P5733">
        <v>0.84491959999999999</v>
      </c>
      <c r="Q5733">
        <v>5.6133219999999998E-2</v>
      </c>
      <c r="R5733">
        <v>-0.53194019999999897</v>
      </c>
      <c r="S5733">
        <v>1.9833069999999999</v>
      </c>
      <c r="T5733">
        <v>-0.3759305</v>
      </c>
      <c r="U5733">
        <v>-2.5443419999999999</v>
      </c>
      <c r="V5733">
        <v>0.2497791</v>
      </c>
      <c r="W5733">
        <v>6.8008159999999998E-2</v>
      </c>
      <c r="X5733">
        <v>0.96591159999999998</v>
      </c>
      <c r="Y5733">
        <v>0.56169040000000003</v>
      </c>
      <c r="Z5733">
        <v>1.4643970000000001E-3</v>
      </c>
      <c r="AA5733">
        <v>0.82734619999999903</v>
      </c>
      <c r="AB5733">
        <v>26</v>
      </c>
      <c r="AC5733">
        <v>5.7155000000000102</v>
      </c>
      <c r="AD5733">
        <v>-1.1075969999999999</v>
      </c>
      <c r="AE5733">
        <v>-7.4529539999999903</v>
      </c>
      <c r="AF5733">
        <v>5.2786938666410901</v>
      </c>
      <c r="AG5733">
        <v>-1.1075969999999999</v>
      </c>
      <c r="AH5733">
        <v>7.6121981817114399</v>
      </c>
      <c r="AI5733">
        <v>96.818331700839906</v>
      </c>
      <c r="AJ5733">
        <v>55.260549885454402</v>
      </c>
      <c r="AK5733">
        <v>9.3293590996259894</v>
      </c>
      <c r="AL5733">
        <v>86.100409363914693</v>
      </c>
      <c r="AM5733">
        <v>75.501257921674807</v>
      </c>
      <c r="AN5733">
        <v>0.99999996381897704</v>
      </c>
    </row>
    <row r="5734" spans="1:40" x14ac:dyDescent="0.25">
      <c r="A5734" t="str">
        <f>"20190312151139102"</f>
        <v>20190312151139102</v>
      </c>
      <c r="B5734" t="str">
        <f>"1552374699096624"</f>
        <v>1552374699096624</v>
      </c>
      <c r="C5734" t="s">
        <v>40</v>
      </c>
      <c r="D5734">
        <v>5.2791240000000004</v>
      </c>
      <c r="E5734">
        <v>0.63743629999999996</v>
      </c>
      <c r="F5734" t="s">
        <v>43</v>
      </c>
      <c r="G5734">
        <v>-307.71530000000001</v>
      </c>
      <c r="H5734">
        <v>-0.05</v>
      </c>
      <c r="I5734">
        <v>5.7456209999999999</v>
      </c>
      <c r="J5734">
        <v>-313.24169999999998</v>
      </c>
      <c r="K5734">
        <v>1.057158</v>
      </c>
      <c r="L5734">
        <v>13.03525</v>
      </c>
      <c r="M5734">
        <v>0.95059530000000003</v>
      </c>
      <c r="N5734">
        <v>0</v>
      </c>
      <c r="O5734">
        <v>-0.3099943</v>
      </c>
      <c r="P5734">
        <v>0.84118599999999999</v>
      </c>
      <c r="Q5734">
        <v>5.5919249999999997E-2</v>
      </c>
      <c r="R5734">
        <v>-0.53784730000000003</v>
      </c>
      <c r="S5734">
        <v>1.968628</v>
      </c>
      <c r="T5734">
        <v>-0.38550210000000001</v>
      </c>
      <c r="U5734">
        <v>-2.5534970000000001</v>
      </c>
      <c r="V5734">
        <v>0.25174760000000002</v>
      </c>
      <c r="W5734">
        <v>6.7526240000000001E-2</v>
      </c>
      <c r="X5734">
        <v>0.96543429999999997</v>
      </c>
      <c r="Y5734">
        <v>0.56193800000000005</v>
      </c>
      <c r="Z5734">
        <v>2.103008E-3</v>
      </c>
      <c r="AA5734">
        <v>0.82717669999999999</v>
      </c>
      <c r="AB5734">
        <v>26</v>
      </c>
      <c r="AC5734">
        <v>5.5263999999999598</v>
      </c>
      <c r="AD5734">
        <v>-1.1071580000000001</v>
      </c>
      <c r="AE5734">
        <v>-7.2896289999999997</v>
      </c>
      <c r="AF5734">
        <v>5.1417249112825401</v>
      </c>
      <c r="AG5734">
        <v>-1.1071580000000001</v>
      </c>
      <c r="AH5734">
        <v>7.4056526375739598</v>
      </c>
      <c r="AI5734">
        <v>97.001137149038001</v>
      </c>
      <c r="AJ5734">
        <v>55.227855360281303</v>
      </c>
      <c r="AK5734">
        <v>9.0833267522793406</v>
      </c>
      <c r="AL5734">
        <v>86.128085176813101</v>
      </c>
      <c r="AM5734">
        <v>75.384950905317993</v>
      </c>
      <c r="AN5734">
        <v>1.00000001740539</v>
      </c>
    </row>
    <row r="5735" spans="1:40" x14ac:dyDescent="0.25">
      <c r="A5735" t="str">
        <f>"20190312151139113"</f>
        <v>20190312151139113</v>
      </c>
      <c r="B5735" t="str">
        <f>"1552374699107359"</f>
        <v>1552374699107359</v>
      </c>
      <c r="C5735" t="s">
        <v>40</v>
      </c>
      <c r="D5735">
        <v>5.3334979999999996</v>
      </c>
      <c r="E5735">
        <v>0.63658110000000001</v>
      </c>
      <c r="F5735" t="s">
        <v>43</v>
      </c>
      <c r="G5735">
        <v>-307.7371</v>
      </c>
      <c r="H5735">
        <v>-0.05</v>
      </c>
      <c r="I5735">
        <v>5.8224489999999998</v>
      </c>
      <c r="J5735">
        <v>-313.1189</v>
      </c>
      <c r="K5735">
        <v>1.0567740000000001</v>
      </c>
      <c r="L5735">
        <v>12.99011</v>
      </c>
      <c r="M5735">
        <v>0.94911179999999995</v>
      </c>
      <c r="N5735">
        <v>0</v>
      </c>
      <c r="O5735">
        <v>-0.31451620000000002</v>
      </c>
      <c r="P5735">
        <v>0.83735139999999997</v>
      </c>
      <c r="Q5735">
        <v>5.5792059999999997E-2</v>
      </c>
      <c r="R5735">
        <v>-0.54381049999999997</v>
      </c>
      <c r="S5735">
        <v>1.9548030000000001</v>
      </c>
      <c r="T5735">
        <v>-0.39317790000000002</v>
      </c>
      <c r="U5735">
        <v>-2.5614319999999999</v>
      </c>
      <c r="V5735">
        <v>0.25401449999999998</v>
      </c>
      <c r="W5735">
        <v>6.7146600000000001E-2</v>
      </c>
      <c r="X5735">
        <v>0.96486680000000002</v>
      </c>
      <c r="Y5735">
        <v>0.56201509999999999</v>
      </c>
      <c r="Z5735">
        <v>2.7454979999999999E-3</v>
      </c>
      <c r="AA5735">
        <v>0.82712240000000004</v>
      </c>
      <c r="AB5735">
        <v>26</v>
      </c>
      <c r="AC5735">
        <v>5.3817999999999904</v>
      </c>
      <c r="AD5735">
        <v>-1.1067739999999999</v>
      </c>
      <c r="AE5735">
        <v>-7.1676609999999998</v>
      </c>
      <c r="AF5735">
        <v>5.0341719043295896</v>
      </c>
      <c r="AG5735">
        <v>-1.1067739999999999</v>
      </c>
      <c r="AH5735">
        <v>7.2526729373955297</v>
      </c>
      <c r="AI5735">
        <v>97.145458084473503</v>
      </c>
      <c r="AJ5735">
        <v>55.234996663433499</v>
      </c>
      <c r="AK5735">
        <v>8.8977019609698598</v>
      </c>
      <c r="AL5735">
        <v>86.149886310457603</v>
      </c>
      <c r="AM5735">
        <v>75.250762401691503</v>
      </c>
      <c r="AN5735">
        <v>0.99999998692202496</v>
      </c>
    </row>
    <row r="5736" spans="1:40" x14ac:dyDescent="0.25">
      <c r="A5736" t="str">
        <f>"20190312151139125"</f>
        <v>20190312151139125</v>
      </c>
      <c r="B5736" t="str">
        <f>"1552374699117120"</f>
        <v>1552374699117120</v>
      </c>
      <c r="C5736" t="s">
        <v>40</v>
      </c>
      <c r="D5736">
        <v>5.3221449999999999</v>
      </c>
      <c r="E5736">
        <v>0.63584300000000005</v>
      </c>
      <c r="F5736" t="s">
        <v>43</v>
      </c>
      <c r="G5736">
        <v>-307.73610000000002</v>
      </c>
      <c r="H5736">
        <v>-0.05</v>
      </c>
      <c r="I5736">
        <v>5.8651119999999999</v>
      </c>
      <c r="J5736">
        <v>-312.98110000000003</v>
      </c>
      <c r="K5736">
        <v>1.0563720000000001</v>
      </c>
      <c r="L5736">
        <v>12.938510000000001</v>
      </c>
      <c r="M5736">
        <v>0.94739689999999999</v>
      </c>
      <c r="N5736">
        <v>0</v>
      </c>
      <c r="O5736">
        <v>-0.319654299999999</v>
      </c>
      <c r="P5736">
        <v>0.83312819999999899</v>
      </c>
      <c r="Q5736">
        <v>5.5996320000000002E-2</v>
      </c>
      <c r="R5736">
        <v>-0.55023829999999996</v>
      </c>
      <c r="S5736">
        <v>1.940887</v>
      </c>
      <c r="T5736">
        <v>-0.39907350000000003</v>
      </c>
      <c r="U5736">
        <v>-2.5690919999999999</v>
      </c>
      <c r="V5736">
        <v>0.25622869999999998</v>
      </c>
      <c r="W5736">
        <v>6.7086649999999998E-2</v>
      </c>
      <c r="X5736">
        <v>0.96428539999999996</v>
      </c>
      <c r="Y5736">
        <v>0.56155459999999902</v>
      </c>
      <c r="Z5736">
        <v>3.523745E-3</v>
      </c>
      <c r="AA5736">
        <v>0.82743219999999995</v>
      </c>
      <c r="AB5736">
        <v>26</v>
      </c>
      <c r="AC5736">
        <v>5.2450000000000001</v>
      </c>
      <c r="AD5736">
        <v>-1.1063719999999999</v>
      </c>
      <c r="AE5736">
        <v>-7.0733980000000001</v>
      </c>
      <c r="AF5736">
        <v>4.9472868198155897</v>
      </c>
      <c r="AG5736">
        <v>-1.1063719999999999</v>
      </c>
      <c r="AH5736">
        <v>7.1187070664816696</v>
      </c>
      <c r="AI5736">
        <v>97.272992754832302</v>
      </c>
      <c r="AJ5736">
        <v>55.201864129455601</v>
      </c>
      <c r="AK5736">
        <v>8.7393189768014103</v>
      </c>
      <c r="AL5736">
        <v>86.153329194262497</v>
      </c>
      <c r="AM5736">
        <v>75.119301268929206</v>
      </c>
      <c r="AN5736">
        <v>1.00000004898253</v>
      </c>
    </row>
    <row r="5737" spans="1:40" x14ac:dyDescent="0.25">
      <c r="A5737" t="str">
        <f>"20190312151139139"</f>
        <v>20190312151139139</v>
      </c>
      <c r="B5737" t="str">
        <f>"1552374699126880"</f>
        <v>1552374699126880</v>
      </c>
      <c r="C5737" t="s">
        <v>40</v>
      </c>
      <c r="D5737">
        <v>5.3448310000000001</v>
      </c>
      <c r="E5737">
        <v>0.63509009999999999</v>
      </c>
      <c r="F5737" t="s">
        <v>43</v>
      </c>
      <c r="G5737">
        <v>-307.72969999999998</v>
      </c>
      <c r="H5737">
        <v>-0.05</v>
      </c>
      <c r="I5737">
        <v>5.9019170000000001</v>
      </c>
      <c r="J5737">
        <v>-312.8288</v>
      </c>
      <c r="K5737">
        <v>1.0559480000000001</v>
      </c>
      <c r="L5737">
        <v>12.88068</v>
      </c>
      <c r="M5737">
        <v>0.94544899999999998</v>
      </c>
      <c r="N5737">
        <v>0</v>
      </c>
      <c r="O5737">
        <v>-0.32538030000000001</v>
      </c>
      <c r="P5737">
        <v>0.82843239999999996</v>
      </c>
      <c r="Q5737">
        <v>5.5734880000000001E-2</v>
      </c>
      <c r="R5737">
        <v>-0.55730959999999996</v>
      </c>
      <c r="S5737">
        <v>1.924744</v>
      </c>
      <c r="T5737">
        <v>-0.40550989999999998</v>
      </c>
      <c r="U5737">
        <v>-2.5790709999999999</v>
      </c>
      <c r="V5737">
        <v>0.25860149999999998</v>
      </c>
      <c r="W5737">
        <v>6.6544740000000005E-2</v>
      </c>
      <c r="X5737">
        <v>0.96368929999999997</v>
      </c>
      <c r="Y5737">
        <v>0.56139189999999894</v>
      </c>
      <c r="Z5737">
        <v>4.3887910000000004E-3</v>
      </c>
      <c r="AA5737">
        <v>0.82753840000000001</v>
      </c>
      <c r="AB5737">
        <v>26</v>
      </c>
      <c r="AC5737">
        <v>5.0991000000000204</v>
      </c>
      <c r="AD5737">
        <v>-1.1059479999999999</v>
      </c>
      <c r="AE5737">
        <v>-6.9787629999999998</v>
      </c>
      <c r="AF5737">
        <v>4.8599729099871398</v>
      </c>
      <c r="AG5737">
        <v>-1.1059479999999999</v>
      </c>
      <c r="AH5737">
        <v>6.9783356257471301</v>
      </c>
      <c r="AI5737">
        <v>97.409824400935406</v>
      </c>
      <c r="AJ5737">
        <v>55.145209386914502</v>
      </c>
      <c r="AK5737">
        <v>8.5755248101841808</v>
      </c>
      <c r="AL5737">
        <v>86.184447711551599</v>
      </c>
      <c r="AM5737">
        <v>74.978826786727197</v>
      </c>
      <c r="AN5737">
        <v>1.0000000025792</v>
      </c>
    </row>
    <row r="5738" spans="1:40" x14ac:dyDescent="0.25">
      <c r="A5738" t="str">
        <f>"20190312151139154"</f>
        <v>20190312151139154</v>
      </c>
      <c r="B5738" t="str">
        <f>"1552374699147376"</f>
        <v>1552374699147376</v>
      </c>
      <c r="C5738" t="s">
        <v>40</v>
      </c>
      <c r="D5738">
        <v>5.4212129999999998</v>
      </c>
      <c r="E5738">
        <v>0.63362830000000003</v>
      </c>
      <c r="F5738" t="s">
        <v>43</v>
      </c>
      <c r="G5738">
        <v>-307.69369999999998</v>
      </c>
      <c r="H5738">
        <v>-0.05</v>
      </c>
      <c r="I5738">
        <v>5.903473</v>
      </c>
      <c r="J5738">
        <v>-312.66250000000002</v>
      </c>
      <c r="K5738">
        <v>1.055539</v>
      </c>
      <c r="L5738">
        <v>12.815950000000001</v>
      </c>
      <c r="M5738">
        <v>0.94324030000000003</v>
      </c>
      <c r="N5738">
        <v>0</v>
      </c>
      <c r="O5738">
        <v>-0.33173760000000002</v>
      </c>
      <c r="P5738">
        <v>0.82332019999999995</v>
      </c>
      <c r="Q5738">
        <v>5.5528620000000001E-2</v>
      </c>
      <c r="R5738">
        <v>-0.56485459999999998</v>
      </c>
      <c r="S5738">
        <v>1.906372</v>
      </c>
      <c r="T5738">
        <v>-0.41057559999999899</v>
      </c>
      <c r="U5738">
        <v>-2.5902400000000001</v>
      </c>
      <c r="V5738">
        <v>0.26092009999999999</v>
      </c>
      <c r="W5738">
        <v>6.6057530000000003E-2</v>
      </c>
      <c r="X5738">
        <v>0.96309769999999995</v>
      </c>
      <c r="Y5738">
        <v>0.56132990000000005</v>
      </c>
      <c r="Z5738">
        <v>5.3455229999999996E-3</v>
      </c>
      <c r="AA5738">
        <v>0.82757479999999894</v>
      </c>
      <c r="AB5738">
        <v>26</v>
      </c>
      <c r="AC5738">
        <v>4.9688000000000399</v>
      </c>
      <c r="AD5738">
        <v>-1.105539</v>
      </c>
      <c r="AE5738">
        <v>-6.912477</v>
      </c>
      <c r="AF5738">
        <v>4.7915838109239299</v>
      </c>
      <c r="AG5738">
        <v>-1.105539</v>
      </c>
      <c r="AH5738">
        <v>6.8649893656981602</v>
      </c>
      <c r="AI5738">
        <v>97.522657068125298</v>
      </c>
      <c r="AJ5738">
        <v>55.0859624077193</v>
      </c>
      <c r="AK5738">
        <v>8.4444994457207603</v>
      </c>
      <c r="AL5738">
        <v>86.212424480228194</v>
      </c>
      <c r="AM5738">
        <v>74.841434832701495</v>
      </c>
      <c r="AN5738">
        <v>1.00000003779949</v>
      </c>
    </row>
    <row r="5739" spans="1:40" x14ac:dyDescent="0.25">
      <c r="A5739" t="str">
        <f>"20190312151139171"</f>
        <v>20190312151139171</v>
      </c>
      <c r="B5739" t="str">
        <f>"1552374699166896"</f>
        <v>1552374699166896</v>
      </c>
      <c r="C5739" t="s">
        <v>40</v>
      </c>
      <c r="D5739">
        <v>5.4036339999999896</v>
      </c>
      <c r="E5739">
        <v>0.63237330000000003</v>
      </c>
      <c r="F5739" t="s">
        <v>43</v>
      </c>
      <c r="G5739">
        <v>-307.72309999999999</v>
      </c>
      <c r="H5739">
        <v>-0.05</v>
      </c>
      <c r="I5739">
        <v>6.0274660000000004</v>
      </c>
      <c r="J5739">
        <v>-312.483</v>
      </c>
      <c r="K5739">
        <v>1.0551330000000001</v>
      </c>
      <c r="L5739">
        <v>12.744479999999999</v>
      </c>
      <c r="M5739">
        <v>0.94076789999999999</v>
      </c>
      <c r="N5739">
        <v>0</v>
      </c>
      <c r="O5739">
        <v>-0.33869440000000001</v>
      </c>
      <c r="P5739">
        <v>0.816334</v>
      </c>
      <c r="Q5739">
        <v>5.4871919999999998E-2</v>
      </c>
      <c r="R5739">
        <v>-0.57496809999999998</v>
      </c>
      <c r="S5739">
        <v>1.890137</v>
      </c>
      <c r="T5739">
        <v>-0.4230469</v>
      </c>
      <c r="U5739">
        <v>-2.5976870000000001</v>
      </c>
      <c r="V5739">
        <v>0.26567200000000002</v>
      </c>
      <c r="W5739">
        <v>6.5064979999999994E-2</v>
      </c>
      <c r="X5739">
        <v>0.96186539999999998</v>
      </c>
      <c r="Y5739">
        <v>0.55967919999999904</v>
      </c>
      <c r="Z5739">
        <v>6.6589939999999997E-3</v>
      </c>
      <c r="AA5739">
        <v>0.828682699999999</v>
      </c>
      <c r="AB5739">
        <v>26</v>
      </c>
      <c r="AC5739">
        <v>4.7599000000000098</v>
      </c>
      <c r="AD5739">
        <v>-1.1051329999999999</v>
      </c>
      <c r="AE5739">
        <v>-6.7170139999999998</v>
      </c>
      <c r="AF5739">
        <v>4.6242392052172701</v>
      </c>
      <c r="AG5739">
        <v>-1.1051329999999999</v>
      </c>
      <c r="AH5739">
        <v>6.6342424477769102</v>
      </c>
      <c r="AI5739">
        <v>97.781747461882404</v>
      </c>
      <c r="AJ5739">
        <v>55.1225020693281</v>
      </c>
      <c r="AK5739">
        <v>8.16198995531375</v>
      </c>
      <c r="AL5739">
        <v>86.269416087031104</v>
      </c>
      <c r="AM5739">
        <v>74.559583108931804</v>
      </c>
      <c r="AN5739">
        <v>1.0000000554617701</v>
      </c>
    </row>
    <row r="5740" spans="1:40" x14ac:dyDescent="0.25">
      <c r="A5740" t="str">
        <f>"20190312151139191"</f>
        <v>20190312151139191</v>
      </c>
      <c r="B5740" t="str">
        <f>"1552374699187392"</f>
        <v>1552374699187392</v>
      </c>
      <c r="C5740" t="s">
        <v>40</v>
      </c>
      <c r="D5740">
        <v>5.4193419999999897</v>
      </c>
      <c r="E5740">
        <v>0.63124539999999996</v>
      </c>
      <c r="F5740" t="s">
        <v>43</v>
      </c>
      <c r="G5740">
        <v>-307.72399999999999</v>
      </c>
      <c r="H5740">
        <v>-0.05</v>
      </c>
      <c r="I5740">
        <v>6.0764620000000003</v>
      </c>
      <c r="J5740">
        <v>-312.25209999999998</v>
      </c>
      <c r="K5740">
        <v>1.054667</v>
      </c>
      <c r="L5740">
        <v>12.650359999999999</v>
      </c>
      <c r="M5740">
        <v>0.93745610000000001</v>
      </c>
      <c r="N5740">
        <v>0</v>
      </c>
      <c r="O5740">
        <v>-0.34776570000000001</v>
      </c>
      <c r="P5740">
        <v>0.80800939999999999</v>
      </c>
      <c r="Q5740">
        <v>5.4482870000000003E-2</v>
      </c>
      <c r="R5740">
        <v>-0.58664530000000004</v>
      </c>
      <c r="S5740">
        <v>1.8642879999999999</v>
      </c>
      <c r="T5740">
        <v>-0.43292940000000002</v>
      </c>
      <c r="U5740">
        <v>-2.612152</v>
      </c>
      <c r="V5740">
        <v>0.27020719999999998</v>
      </c>
      <c r="W5740">
        <v>6.4299369999999995E-2</v>
      </c>
      <c r="X5740">
        <v>0.96065270000000003</v>
      </c>
      <c r="Y5740">
        <v>0.55925769999999997</v>
      </c>
      <c r="Z5740">
        <v>8.2096310000000002E-3</v>
      </c>
      <c r="AA5740">
        <v>0.82895319999999995</v>
      </c>
      <c r="AB5740">
        <v>26</v>
      </c>
      <c r="AC5740">
        <v>4.5280999999999896</v>
      </c>
      <c r="AD5740">
        <v>-1.1046670000000001</v>
      </c>
      <c r="AE5740">
        <v>-6.5738979999999998</v>
      </c>
      <c r="AF5740">
        <v>4.5023386437007904</v>
      </c>
      <c r="AG5740">
        <v>-1.1046670000000001</v>
      </c>
      <c r="AH5740">
        <v>6.4090992618542701</v>
      </c>
      <c r="AI5740">
        <v>98.027866643364405</v>
      </c>
      <c r="AJ5740">
        <v>54.912279573689503</v>
      </c>
      <c r="AK5740">
        <v>7.9099870917563102</v>
      </c>
      <c r="AL5740">
        <v>86.313374062598101</v>
      </c>
      <c r="AM5740">
        <v>74.290056239539993</v>
      </c>
      <c r="AN5740">
        <v>0.99999997496576298</v>
      </c>
    </row>
    <row r="5741" spans="1:40" x14ac:dyDescent="0.25">
      <c r="A5741" t="str">
        <f>"20190312151139203"</f>
        <v>20190312151139203</v>
      </c>
      <c r="B5741" t="str">
        <f>"1552374699197151"</f>
        <v>1552374699197151</v>
      </c>
      <c r="C5741" t="s">
        <v>40</v>
      </c>
      <c r="D5741">
        <v>5.4393890000000003</v>
      </c>
      <c r="E5741">
        <v>0.63069149999999996</v>
      </c>
      <c r="F5741" t="s">
        <v>43</v>
      </c>
      <c r="G5741">
        <v>-307.6628</v>
      </c>
      <c r="H5741">
        <v>-0.05</v>
      </c>
      <c r="I5741">
        <v>6.060638</v>
      </c>
      <c r="J5741">
        <v>-312.12459999999999</v>
      </c>
      <c r="K5741">
        <v>1.0544290000000001</v>
      </c>
      <c r="L5741">
        <v>12.59723</v>
      </c>
      <c r="M5741">
        <v>0.93556010000000001</v>
      </c>
      <c r="N5741">
        <v>0</v>
      </c>
      <c r="O5741">
        <v>-0.35283920000000002</v>
      </c>
      <c r="P5741">
        <v>0.80339769999999999</v>
      </c>
      <c r="Q5741">
        <v>5.4156719999999998E-2</v>
      </c>
      <c r="R5741">
        <v>-0.59297509999999998</v>
      </c>
      <c r="S5741">
        <v>1.8323670000000001</v>
      </c>
      <c r="T5741">
        <v>-0.44104910000000003</v>
      </c>
      <c r="U5741">
        <v>-2.6310120000000001</v>
      </c>
      <c r="V5741">
        <v>0.27254430000000002</v>
      </c>
      <c r="W5741">
        <v>6.3778299999999996E-2</v>
      </c>
      <c r="X5741">
        <v>0.96002699999999996</v>
      </c>
      <c r="Y5741">
        <v>0.56422910000000004</v>
      </c>
      <c r="Z5741">
        <v>8.7227229999999999E-3</v>
      </c>
      <c r="AA5741">
        <v>0.82557219999999998</v>
      </c>
      <c r="AB5741">
        <v>26</v>
      </c>
      <c r="AC5741">
        <v>4.4617999999999798</v>
      </c>
      <c r="AD5741">
        <v>-1.1044290000000001</v>
      </c>
      <c r="AE5741">
        <v>-6.5365919999999997</v>
      </c>
      <c r="AF5741">
        <v>4.4548483109473498</v>
      </c>
      <c r="AG5741">
        <v>-1.1044290000000001</v>
      </c>
      <c r="AH5741">
        <v>6.3575899110246699</v>
      </c>
      <c r="AI5741">
        <v>98.097007447547796</v>
      </c>
      <c r="AJ5741">
        <v>54.980557031183501</v>
      </c>
      <c r="AK5741">
        <v>7.8411980185654198</v>
      </c>
      <c r="AL5741">
        <v>86.343290504712201</v>
      </c>
      <c r="AM5741">
        <v>74.151162437143398</v>
      </c>
      <c r="AN5741">
        <v>0.99999995387118901</v>
      </c>
    </row>
    <row r="5742" spans="1:40" x14ac:dyDescent="0.25">
      <c r="A5742" t="str">
        <f>"20190312151139214"</f>
        <v>20190312151139214</v>
      </c>
      <c r="B5742" t="str">
        <f>"1552374699206912"</f>
        <v>1552374699206912</v>
      </c>
      <c r="C5742" t="s">
        <v>40</v>
      </c>
      <c r="D5742">
        <v>5.3272269999999997</v>
      </c>
      <c r="E5742">
        <v>0.63069149999999996</v>
      </c>
      <c r="F5742" t="s">
        <v>43</v>
      </c>
      <c r="G5742">
        <v>-307.61110000000002</v>
      </c>
      <c r="H5742">
        <v>-0.05</v>
      </c>
      <c r="I5742">
        <v>6.0254519999999996</v>
      </c>
      <c r="J5742">
        <v>-311.9948</v>
      </c>
      <c r="K5742">
        <v>1.0542039999999999</v>
      </c>
      <c r="L5742">
        <v>12.54224</v>
      </c>
      <c r="M5742">
        <v>0.9335791</v>
      </c>
      <c r="N5742">
        <v>0</v>
      </c>
      <c r="O5742">
        <v>-0.35805229999999999</v>
      </c>
      <c r="P5742">
        <v>0.79866440000000005</v>
      </c>
      <c r="Q5742">
        <v>5.385682E-2</v>
      </c>
      <c r="R5742">
        <v>-0.59936239999999996</v>
      </c>
      <c r="S5742">
        <v>1.8143009999999999</v>
      </c>
      <c r="T5742">
        <v>-0.44394729999999999</v>
      </c>
      <c r="U5742">
        <v>-2.6416629999999999</v>
      </c>
      <c r="V5742">
        <v>0.27483930000000001</v>
      </c>
      <c r="W5742">
        <v>6.3288140000000007E-2</v>
      </c>
      <c r="X5742">
        <v>0.95940499999999995</v>
      </c>
      <c r="Y5742">
        <v>0.56502069999999904</v>
      </c>
      <c r="Z5742">
        <v>9.5190480000000004E-3</v>
      </c>
      <c r="AA5742">
        <v>0.82502189999999997</v>
      </c>
      <c r="AB5742">
        <v>26</v>
      </c>
      <c r="AC5742">
        <v>4.38369999999997</v>
      </c>
      <c r="AD5742">
        <v>-1.104204</v>
      </c>
      <c r="AE5742">
        <v>-6.516788</v>
      </c>
      <c r="AF5742">
        <v>4.4273487868623098</v>
      </c>
      <c r="AG5742">
        <v>-1.104204</v>
      </c>
      <c r="AH5742">
        <v>6.30205058355084</v>
      </c>
      <c r="AI5742">
        <v>98.158906301959803</v>
      </c>
      <c r="AJ5742">
        <v>54.910995474051198</v>
      </c>
      <c r="AK5742">
        <v>7.7805221747502697</v>
      </c>
      <c r="AL5742">
        <v>86.371431595726904</v>
      </c>
      <c r="AM5742">
        <v>74.014660769290003</v>
      </c>
      <c r="AN5742">
        <v>0.99999999175707399</v>
      </c>
    </row>
    <row r="5743" spans="1:40" x14ac:dyDescent="0.25">
      <c r="A5743" t="str">
        <f>"20190312151139226"</f>
        <v>20190312151139226</v>
      </c>
      <c r="B5743" t="str">
        <f>"1552374699216671"</f>
        <v>1552374699216671</v>
      </c>
      <c r="C5743" t="s">
        <v>40</v>
      </c>
      <c r="D5743">
        <v>5.3617879999999998</v>
      </c>
      <c r="E5743">
        <v>0.61408479999999999</v>
      </c>
      <c r="F5743" t="s">
        <v>43</v>
      </c>
      <c r="G5743">
        <v>-307.54610000000002</v>
      </c>
      <c r="H5743">
        <v>-0.05</v>
      </c>
      <c r="I5743">
        <v>5.9539949999999999</v>
      </c>
      <c r="J5743">
        <v>-311.8664</v>
      </c>
      <c r="K5743">
        <v>1.053998</v>
      </c>
      <c r="L5743">
        <v>12.48676</v>
      </c>
      <c r="M5743">
        <v>0.93156329999999998</v>
      </c>
      <c r="N5743">
        <v>0</v>
      </c>
      <c r="O5743">
        <v>-0.3632687</v>
      </c>
      <c r="P5743">
        <v>0.79382050000000004</v>
      </c>
      <c r="Q5743">
        <v>5.3463190000000001E-2</v>
      </c>
      <c r="R5743">
        <v>-0.60579769999999999</v>
      </c>
      <c r="S5743">
        <v>1.793304</v>
      </c>
      <c r="T5743">
        <v>-0.4451059</v>
      </c>
      <c r="U5743">
        <v>-2.6557309999999998</v>
      </c>
      <c r="V5743">
        <v>0.27721810000000002</v>
      </c>
      <c r="W5743">
        <v>6.271185E-2</v>
      </c>
      <c r="X5743">
        <v>0.9587582</v>
      </c>
      <c r="Y5743">
        <v>0.56692609999999999</v>
      </c>
      <c r="Z5743">
        <v>1.0188340000000001E-2</v>
      </c>
      <c r="AA5743">
        <v>0.82370560000000004</v>
      </c>
      <c r="AB5743">
        <v>26</v>
      </c>
      <c r="AC5743">
        <v>4.3202999999999703</v>
      </c>
      <c r="AD5743">
        <v>-1.103998</v>
      </c>
      <c r="AE5743">
        <v>-6.5327650000000004</v>
      </c>
      <c r="AF5743">
        <v>4.42876831833303</v>
      </c>
      <c r="AG5743">
        <v>-1.103998</v>
      </c>
      <c r="AH5743">
        <v>6.2738481658880296</v>
      </c>
      <c r="AI5743">
        <v>98.1807105941228</v>
      </c>
      <c r="AJ5743">
        <v>54.781373194548898</v>
      </c>
      <c r="AK5743">
        <v>7.7584773770432003</v>
      </c>
      <c r="AL5743">
        <v>86.404516219675799</v>
      </c>
      <c r="AM5743">
        <v>73.873151416423099</v>
      </c>
      <c r="AN5743">
        <v>0.99999996858263496</v>
      </c>
    </row>
    <row r="5744" spans="1:40" x14ac:dyDescent="0.25">
      <c r="A5744" t="str">
        <f>"20190312151139239"</f>
        <v>20190312151139239</v>
      </c>
      <c r="B5744" t="str">
        <f>"1552374699227408"</f>
        <v>1552374699227408</v>
      </c>
      <c r="C5744" t="s">
        <v>40</v>
      </c>
      <c r="D5744">
        <v>5.3322560000000001</v>
      </c>
      <c r="E5744">
        <v>0.61363069999999997</v>
      </c>
      <c r="F5744" t="s">
        <v>43</v>
      </c>
      <c r="G5744">
        <v>-306.97370000000001</v>
      </c>
      <c r="H5744">
        <v>-0.05</v>
      </c>
      <c r="I5744">
        <v>5.709854</v>
      </c>
      <c r="J5744">
        <v>-311.72559999999999</v>
      </c>
      <c r="K5744">
        <v>1.0537780000000001</v>
      </c>
      <c r="L5744">
        <v>12.42529</v>
      </c>
      <c r="M5744">
        <v>0.92930429999999997</v>
      </c>
      <c r="N5744">
        <v>0</v>
      </c>
      <c r="O5744">
        <v>-0.36901349999999999</v>
      </c>
      <c r="P5744">
        <v>0.78876590000000002</v>
      </c>
      <c r="Q5744">
        <v>5.3046929999999999E-2</v>
      </c>
      <c r="R5744">
        <v>-0.61240079999999997</v>
      </c>
      <c r="S5744">
        <v>1.8508610000000001</v>
      </c>
      <c r="T5744">
        <v>-0.41763499999999998</v>
      </c>
      <c r="U5744">
        <v>-2.56366</v>
      </c>
      <c r="V5744">
        <v>0.27928969999999997</v>
      </c>
      <c r="W5744">
        <v>6.2111729999999997E-2</v>
      </c>
      <c r="X5744">
        <v>0.95819589999999999</v>
      </c>
      <c r="Y5744">
        <v>0.53609379999999995</v>
      </c>
      <c r="Z5744">
        <v>1.300229E-2</v>
      </c>
      <c r="AA5744">
        <v>0.84405819999999998</v>
      </c>
      <c r="AB5744">
        <v>26</v>
      </c>
      <c r="AC5744">
        <v>4.7518999999999698</v>
      </c>
      <c r="AD5744">
        <v>-1.1037779999999999</v>
      </c>
      <c r="AE5744">
        <v>-6.7154359999999897</v>
      </c>
      <c r="AF5744">
        <v>4.4083097614061497</v>
      </c>
      <c r="AG5744">
        <v>-1.1037779999999999</v>
      </c>
      <c r="AH5744">
        <v>6.7728900491539497</v>
      </c>
      <c r="AI5744">
        <v>97.777700979909795</v>
      </c>
      <c r="AJ5744">
        <v>56.9408736666498</v>
      </c>
      <c r="AK5744">
        <v>8.1561976707116006</v>
      </c>
      <c r="AL5744">
        <v>86.438967815864999</v>
      </c>
      <c r="AM5744">
        <v>73.749941337842102</v>
      </c>
      <c r="AN5744">
        <v>0.99999999315324595</v>
      </c>
    </row>
    <row r="5745" spans="1:40" x14ac:dyDescent="0.25">
      <c r="A5745" t="str">
        <f>"20190312151139250"</f>
        <v>20190312151139250</v>
      </c>
      <c r="B5745" t="str">
        <f>"1552374699246928"</f>
        <v>1552374699246928</v>
      </c>
      <c r="C5745" t="s">
        <v>40</v>
      </c>
      <c r="D5745">
        <v>5.6082799999999997</v>
      </c>
      <c r="E5745">
        <v>0.6133672</v>
      </c>
      <c r="F5745" t="s">
        <v>43</v>
      </c>
      <c r="G5745">
        <v>-306.97559999999999</v>
      </c>
      <c r="H5745">
        <v>-0.05</v>
      </c>
      <c r="I5745">
        <v>5.7443540000000004</v>
      </c>
      <c r="J5745">
        <v>-311.58850000000001</v>
      </c>
      <c r="K5745">
        <v>1.053582</v>
      </c>
      <c r="L5745">
        <v>12.36392</v>
      </c>
      <c r="M5745">
        <v>0.92702929999999995</v>
      </c>
      <c r="N5745">
        <v>0</v>
      </c>
      <c r="O5745">
        <v>-0.37469520000000001</v>
      </c>
      <c r="P5745">
        <v>0.78351530000000003</v>
      </c>
      <c r="Q5745">
        <v>5.3067910000000003E-2</v>
      </c>
      <c r="R5745">
        <v>-0.61910240000000005</v>
      </c>
      <c r="S5745">
        <v>1.831726</v>
      </c>
      <c r="T5745">
        <v>-0.425647</v>
      </c>
      <c r="U5745">
        <v>-2.576355</v>
      </c>
      <c r="V5745">
        <v>0.28160220000000002</v>
      </c>
      <c r="W5745">
        <v>6.1954679999999998E-2</v>
      </c>
      <c r="X5745">
        <v>0.95752899999999996</v>
      </c>
      <c r="Y5745">
        <v>0.53703310000000004</v>
      </c>
      <c r="Z5745">
        <v>1.402775E-2</v>
      </c>
      <c r="AA5745">
        <v>0.84344449999999904</v>
      </c>
      <c r="AB5745">
        <v>26</v>
      </c>
      <c r="AC5745">
        <v>4.6129000000000202</v>
      </c>
      <c r="AD5745">
        <v>-1.1035820000000001</v>
      </c>
      <c r="AE5745">
        <v>-6.6195659999999998</v>
      </c>
      <c r="AF5745">
        <v>4.32762111785964</v>
      </c>
      <c r="AG5745">
        <v>-1.1035820000000001</v>
      </c>
      <c r="AH5745">
        <v>6.6332570507992097</v>
      </c>
      <c r="AI5745">
        <v>97.932458964339403</v>
      </c>
      <c r="AJ5745">
        <v>56.879060422863098</v>
      </c>
      <c r="AK5745">
        <v>7.99664285012443</v>
      </c>
      <c r="AL5745">
        <v>86.447983447633405</v>
      </c>
      <c r="AM5745">
        <v>73.611780131556202</v>
      </c>
      <c r="AN5745">
        <v>0.99999998362987097</v>
      </c>
    </row>
    <row r="5746" spans="1:40" x14ac:dyDescent="0.25">
      <c r="A5746" t="str">
        <f>"20190312151139264"</f>
        <v>20190312151139264</v>
      </c>
      <c r="B5746" t="str">
        <f>"1552374699256688"</f>
        <v>1552374699256688</v>
      </c>
      <c r="C5746" t="s">
        <v>40</v>
      </c>
      <c r="D5746">
        <v>5.4679190000000002</v>
      </c>
      <c r="E5746">
        <v>0.612896</v>
      </c>
      <c r="F5746" t="s">
        <v>43</v>
      </c>
      <c r="G5746">
        <v>-306.85750000000002</v>
      </c>
      <c r="H5746">
        <v>-0.05</v>
      </c>
      <c r="I5746">
        <v>5.5942379999999998</v>
      </c>
      <c r="J5746">
        <v>-311.44490000000002</v>
      </c>
      <c r="K5746">
        <v>1.05339</v>
      </c>
      <c r="L5746">
        <v>12.298679999999999</v>
      </c>
      <c r="M5746">
        <v>0.92458410000000002</v>
      </c>
      <c r="N5746">
        <v>0</v>
      </c>
      <c r="O5746">
        <v>-0.38069249999999999</v>
      </c>
      <c r="P5746">
        <v>0.77828929999999996</v>
      </c>
      <c r="Q5746">
        <v>5.2734839999999998E-2</v>
      </c>
      <c r="R5746">
        <v>-0.62568769999999996</v>
      </c>
      <c r="S5746">
        <v>1.810486</v>
      </c>
      <c r="T5746">
        <v>-0.4223208</v>
      </c>
      <c r="U5746">
        <v>-2.5906370000000001</v>
      </c>
      <c r="V5746">
        <v>0.28346870000000002</v>
      </c>
      <c r="W5746">
        <v>6.145258E-2</v>
      </c>
      <c r="X5746">
        <v>0.95701049999999999</v>
      </c>
      <c r="Y5746">
        <v>0.53845159999999903</v>
      </c>
      <c r="Z5746">
        <v>1.470145E-2</v>
      </c>
      <c r="AA5746">
        <v>0.84252819999999995</v>
      </c>
      <c r="AB5746">
        <v>26</v>
      </c>
      <c r="AC5746">
        <v>4.5873999999999997</v>
      </c>
      <c r="AD5746">
        <v>-1.1033899999999901</v>
      </c>
      <c r="AE5746">
        <v>-6.7044420000000002</v>
      </c>
      <c r="AF5746">
        <v>4.3722554525807702</v>
      </c>
      <c r="AG5746">
        <v>-1.1033899999999901</v>
      </c>
      <c r="AH5746">
        <v>6.6714305124211304</v>
      </c>
      <c r="AI5746">
        <v>97.875746587085999</v>
      </c>
      <c r="AJ5746">
        <v>56.760368591519601</v>
      </c>
      <c r="AK5746">
        <v>8.0524575327527206</v>
      </c>
      <c r="AL5746">
        <v>86.476806675383301</v>
      </c>
      <c r="AM5746">
        <v>73.500590303368497</v>
      </c>
      <c r="AN5746">
        <v>1.0000000102892901</v>
      </c>
    </row>
    <row r="5747" spans="1:40" x14ac:dyDescent="0.25">
      <c r="A5747" t="str">
        <f>"20190312151139281"</f>
        <v>20190312151139281</v>
      </c>
      <c r="B5747" t="str">
        <f>"1552374699277184"</f>
        <v>1552374699277184</v>
      </c>
      <c r="C5747" t="s">
        <v>40</v>
      </c>
      <c r="D5747">
        <v>5.6161390000000004</v>
      </c>
      <c r="E5747">
        <v>0.61194499999999996</v>
      </c>
      <c r="F5747" t="s">
        <v>43</v>
      </c>
      <c r="G5747">
        <v>-306.90870000000001</v>
      </c>
      <c r="H5747">
        <v>-0.05</v>
      </c>
      <c r="I5747">
        <v>5.705444</v>
      </c>
      <c r="J5747">
        <v>-311.274</v>
      </c>
      <c r="K5747">
        <v>1.05318</v>
      </c>
      <c r="L5747">
        <v>12.2197</v>
      </c>
      <c r="M5747">
        <v>0.92159159999999996</v>
      </c>
      <c r="N5747">
        <v>0</v>
      </c>
      <c r="O5747">
        <v>-0.38788430000000002</v>
      </c>
      <c r="P5747">
        <v>0.77070329999999998</v>
      </c>
      <c r="Q5747">
        <v>5.203236E-2</v>
      </c>
      <c r="R5747">
        <v>-0.63506649999999998</v>
      </c>
      <c r="S5747">
        <v>1.7911680000000001</v>
      </c>
      <c r="T5747">
        <v>-0.43568790000000002</v>
      </c>
      <c r="U5747">
        <v>-2.603424</v>
      </c>
      <c r="V5747">
        <v>0.28758</v>
      </c>
      <c r="W5747">
        <v>6.0512099999999999E-2</v>
      </c>
      <c r="X5747">
        <v>0.95584309999999995</v>
      </c>
      <c r="Y5747">
        <v>0.53803319999999999</v>
      </c>
      <c r="Z5747">
        <v>1.6304880000000001E-2</v>
      </c>
      <c r="AA5747">
        <v>0.84276589999999996</v>
      </c>
      <c r="AB5747">
        <v>26</v>
      </c>
      <c r="AC5747">
        <v>4.3652999999999897</v>
      </c>
      <c r="AD5747">
        <v>-1.1031799999999901</v>
      </c>
      <c r="AE5747">
        <v>-6.5142559999999996</v>
      </c>
      <c r="AF5747">
        <v>4.2270553046029598</v>
      </c>
      <c r="AG5747">
        <v>-1.1031799999999901</v>
      </c>
      <c r="AH5747">
        <v>6.4233764416775898</v>
      </c>
      <c r="AI5747">
        <v>98.164317677237804</v>
      </c>
      <c r="AJ5747">
        <v>56.652135604166098</v>
      </c>
      <c r="AK5747">
        <v>7.76818946551065</v>
      </c>
      <c r="AL5747">
        <v>86.530792656427593</v>
      </c>
      <c r="AM5747">
        <v>73.255283323022198</v>
      </c>
      <c r="AN5747">
        <v>1.00000000123201</v>
      </c>
    </row>
    <row r="5748" spans="1:40" x14ac:dyDescent="0.25">
      <c r="A5748" t="str">
        <f>"20190312151139291"</f>
        <v>20190312151139291</v>
      </c>
      <c r="B5748" t="str">
        <f>"1552374699286944"</f>
        <v>1552374699286944</v>
      </c>
      <c r="C5748" t="s">
        <v>40</v>
      </c>
      <c r="D5748">
        <v>5.4612889999999998</v>
      </c>
      <c r="E5748">
        <v>0.61138800000000004</v>
      </c>
      <c r="F5748" t="s">
        <v>43</v>
      </c>
      <c r="G5748">
        <v>-306.56220000000002</v>
      </c>
      <c r="H5748">
        <v>-0.05</v>
      </c>
      <c r="I5748">
        <v>5.2221679999999999</v>
      </c>
      <c r="J5748">
        <v>-311.15159999999997</v>
      </c>
      <c r="K5748">
        <v>1.0530349999999999</v>
      </c>
      <c r="L5748">
        <v>12.161799999999999</v>
      </c>
      <c r="M5748">
        <v>0.91937539999999995</v>
      </c>
      <c r="N5748">
        <v>0</v>
      </c>
      <c r="O5748">
        <v>-0.39311049999999997</v>
      </c>
      <c r="P5748">
        <v>0.76591279999999995</v>
      </c>
      <c r="Q5748">
        <v>5.2147730000000003E-2</v>
      </c>
      <c r="R5748">
        <v>-0.64082629999999996</v>
      </c>
      <c r="S5748">
        <v>1.7629999999999999</v>
      </c>
      <c r="T5748">
        <v>-0.4127653</v>
      </c>
      <c r="U5748">
        <v>-2.6181950000000001</v>
      </c>
      <c r="V5748">
        <v>0.28933199999999998</v>
      </c>
      <c r="W5748">
        <v>6.0490210000000003E-2</v>
      </c>
      <c r="X5748">
        <v>0.95531560000000004</v>
      </c>
      <c r="Y5748">
        <v>0.54182209999999997</v>
      </c>
      <c r="Z5748">
        <v>1.5944299999999901E-2</v>
      </c>
      <c r="AA5748">
        <v>0.84034200000000003</v>
      </c>
      <c r="AB5748">
        <v>26</v>
      </c>
      <c r="AC5748">
        <v>4.5893999999999497</v>
      </c>
      <c r="AD5748">
        <v>-1.103035</v>
      </c>
      <c r="AE5748">
        <v>-6.9396319999999996</v>
      </c>
      <c r="AF5748">
        <v>4.4974226899323497</v>
      </c>
      <c r="AG5748">
        <v>-1.103035</v>
      </c>
      <c r="AH5748">
        <v>6.8281466435014604</v>
      </c>
      <c r="AI5748">
        <v>97.683263717863497</v>
      </c>
      <c r="AJ5748">
        <v>56.628727709340097</v>
      </c>
      <c r="AK5748">
        <v>8.2502777921900101</v>
      </c>
      <c r="AL5748">
        <v>86.532049101808894</v>
      </c>
      <c r="AM5748">
        <v>73.150257507773603</v>
      </c>
      <c r="AN5748">
        <v>0.99999998366660103</v>
      </c>
    </row>
    <row r="5749" spans="1:40" x14ac:dyDescent="0.25">
      <c r="A5749" t="str">
        <f>"20190312151139303"</f>
        <v>20190312151139303</v>
      </c>
      <c r="B5749" t="str">
        <f>"1552374699296705"</f>
        <v>1552374699296705</v>
      </c>
      <c r="C5749" t="s">
        <v>40</v>
      </c>
      <c r="D5749">
        <v>5.4638439999999999</v>
      </c>
      <c r="E5749">
        <v>0.61205669999999901</v>
      </c>
      <c r="F5749" t="s">
        <v>43</v>
      </c>
      <c r="G5749">
        <v>-306.54059999999998</v>
      </c>
      <c r="H5749">
        <v>-0.05</v>
      </c>
      <c r="I5749">
        <v>5.223007</v>
      </c>
      <c r="J5749">
        <v>-311.02879999999999</v>
      </c>
      <c r="K5749">
        <v>1.0528999999999999</v>
      </c>
      <c r="L5749">
        <v>12.103</v>
      </c>
      <c r="M5749">
        <v>0.91710480000000005</v>
      </c>
      <c r="N5749">
        <v>0</v>
      </c>
      <c r="O5749">
        <v>-0.39838059999999997</v>
      </c>
      <c r="P5749">
        <v>0.76107840000000004</v>
      </c>
      <c r="Q5749">
        <v>5.1976189999999999E-2</v>
      </c>
      <c r="R5749">
        <v>-0.64657439999999999</v>
      </c>
      <c r="S5749">
        <v>1.746429</v>
      </c>
      <c r="T5749">
        <v>-0.41778140000000002</v>
      </c>
      <c r="U5749">
        <v>-2.6281129999999999</v>
      </c>
      <c r="V5749">
        <v>0.2910413</v>
      </c>
      <c r="W5749">
        <v>6.0185580000000002E-2</v>
      </c>
      <c r="X5749">
        <v>0.95481550000000004</v>
      </c>
      <c r="Y5749">
        <v>0.54213820000000001</v>
      </c>
      <c r="Z5749">
        <v>1.689879E-2</v>
      </c>
      <c r="AA5749">
        <v>0.84011939999999996</v>
      </c>
      <c r="AB5749">
        <v>26</v>
      </c>
      <c r="AC5749">
        <v>4.4882</v>
      </c>
      <c r="AD5749">
        <v>-1.1029</v>
      </c>
      <c r="AE5749">
        <v>-6.87999299999999</v>
      </c>
      <c r="AF5749">
        <v>4.4420670653643199</v>
      </c>
      <c r="AG5749">
        <v>-1.1029</v>
      </c>
      <c r="AH5749">
        <v>6.7363002703109602</v>
      </c>
      <c r="AI5749">
        <v>97.783107857986593</v>
      </c>
      <c r="AJ5749">
        <v>56.598248690656597</v>
      </c>
      <c r="AK5749">
        <v>8.1440831009381203</v>
      </c>
      <c r="AL5749">
        <v>86.549534998846099</v>
      </c>
      <c r="AM5749">
        <v>73.048035404654797</v>
      </c>
      <c r="AN5749">
        <v>0.99999999069293799</v>
      </c>
    </row>
    <row r="5750" spans="1:40" x14ac:dyDescent="0.25">
      <c r="A5750" t="str">
        <f>"20190312151139314"</f>
        <v>20190312151139314</v>
      </c>
      <c r="B5750" t="str">
        <f>"1552374699306464"</f>
        <v>1552374699306464</v>
      </c>
      <c r="C5750" t="s">
        <v>40</v>
      </c>
      <c r="D5750">
        <v>5.4576989999999999</v>
      </c>
      <c r="E5750">
        <v>0.61205669999999901</v>
      </c>
      <c r="F5750" t="s">
        <v>43</v>
      </c>
      <c r="G5750">
        <v>-306.51369999999997</v>
      </c>
      <c r="H5750">
        <v>-0.05</v>
      </c>
      <c r="I5750">
        <v>5.1696619999999998</v>
      </c>
      <c r="J5750">
        <v>-310.90339999999998</v>
      </c>
      <c r="K5750">
        <v>1.0527660000000001</v>
      </c>
      <c r="L5750">
        <v>12.04199</v>
      </c>
      <c r="M5750">
        <v>0.91472810000000004</v>
      </c>
      <c r="N5750">
        <v>0</v>
      </c>
      <c r="O5750">
        <v>-0.40381020000000001</v>
      </c>
      <c r="P5750">
        <v>0.75617650000000003</v>
      </c>
      <c r="Q5750">
        <v>5.1775809999999999E-2</v>
      </c>
      <c r="R5750">
        <v>-0.65231649999999997</v>
      </c>
      <c r="S5750">
        <v>1.7229000000000001</v>
      </c>
      <c r="T5750">
        <v>-0.42084569999999999</v>
      </c>
      <c r="U5750">
        <v>-2.6456300000000001</v>
      </c>
      <c r="V5750">
        <v>0.2926069</v>
      </c>
      <c r="W5750">
        <v>5.9857149999999998E-2</v>
      </c>
      <c r="X5750">
        <v>0.95435760000000003</v>
      </c>
      <c r="Y5750">
        <v>0.54494779999999998</v>
      </c>
      <c r="Z5750">
        <v>1.7604620000000001E-2</v>
      </c>
      <c r="AA5750">
        <v>0.83828510000000001</v>
      </c>
      <c r="AB5750">
        <v>26</v>
      </c>
      <c r="AC5750">
        <v>4.3897000000000004</v>
      </c>
      <c r="AD5750">
        <v>-1.1027659999999999</v>
      </c>
      <c r="AE5750">
        <v>-6.8723280000000004</v>
      </c>
      <c r="AF5750">
        <v>4.43310876723943</v>
      </c>
      <c r="AG5750">
        <v>-1.1027659999999999</v>
      </c>
      <c r="AH5750">
        <v>6.6692463501958299</v>
      </c>
      <c r="AI5750">
        <v>97.840579553986203</v>
      </c>
      <c r="AJ5750">
        <v>56.387651921985203</v>
      </c>
      <c r="AK5750">
        <v>8.0837734426770993</v>
      </c>
      <c r="AL5750">
        <v>86.568386852106997</v>
      </c>
      <c r="AM5750">
        <v>72.954413281721699</v>
      </c>
      <c r="AN5750">
        <v>1.00000005250574</v>
      </c>
    </row>
    <row r="5751" spans="1:40" x14ac:dyDescent="0.25">
      <c r="A5751" t="str">
        <f>"20190312151139327"</f>
        <v>20190312151139327</v>
      </c>
      <c r="B5751" t="str">
        <f>"1552374699317200"</f>
        <v>1552374699317200</v>
      </c>
      <c r="C5751" t="s">
        <v>40</v>
      </c>
      <c r="D5751">
        <v>5.486637</v>
      </c>
      <c r="E5751">
        <v>0.64295389999999997</v>
      </c>
      <c r="F5751" t="s">
        <v>43</v>
      </c>
      <c r="G5751">
        <v>-306.4418</v>
      </c>
      <c r="H5751">
        <v>-0.05</v>
      </c>
      <c r="I5751">
        <v>5.0750120000000001</v>
      </c>
      <c r="J5751">
        <v>-310.76900000000001</v>
      </c>
      <c r="K5751">
        <v>1.052629</v>
      </c>
      <c r="L5751">
        <v>11.97531</v>
      </c>
      <c r="M5751">
        <v>0.91210749999999996</v>
      </c>
      <c r="N5751">
        <v>0</v>
      </c>
      <c r="O5751">
        <v>-0.40969689999999997</v>
      </c>
      <c r="P5751">
        <v>0.7513126</v>
      </c>
      <c r="Q5751">
        <v>5.1604360000000002E-2</v>
      </c>
      <c r="R5751">
        <v>-0.65792589999999995</v>
      </c>
      <c r="S5751">
        <v>1.7026060000000001</v>
      </c>
      <c r="T5751">
        <v>-0.42083500000000001</v>
      </c>
      <c r="U5751">
        <v>-2.658722</v>
      </c>
      <c r="V5751">
        <v>0.29355979999999998</v>
      </c>
      <c r="W5751">
        <v>5.9570140000000001E-2</v>
      </c>
      <c r="X5751">
        <v>0.95408280000000001</v>
      </c>
      <c r="Y5751">
        <v>0.54599049999999905</v>
      </c>
      <c r="Z5751">
        <v>1.8405899999999999E-2</v>
      </c>
      <c r="AA5751">
        <v>0.83758909999999998</v>
      </c>
      <c r="AB5751">
        <v>26</v>
      </c>
      <c r="AC5751">
        <v>4.3272000000000004</v>
      </c>
      <c r="AD5751">
        <v>-1.1026290000000001</v>
      </c>
      <c r="AE5751">
        <v>-6.9002979999999896</v>
      </c>
      <c r="AF5751">
        <v>4.4400710141640696</v>
      </c>
      <c r="AG5751">
        <v>-1.1026290000000001</v>
      </c>
      <c r="AH5751">
        <v>6.6526843353441496</v>
      </c>
      <c r="AI5751">
        <v>97.849224326614802</v>
      </c>
      <c r="AJ5751">
        <v>56.280439651124802</v>
      </c>
      <c r="AK5751">
        <v>8.0739228500273903</v>
      </c>
      <c r="AL5751">
        <v>86.584860439665405</v>
      </c>
      <c r="AM5751">
        <v>72.897498064996796</v>
      </c>
      <c r="AN5751">
        <v>0.99999997350574898</v>
      </c>
    </row>
    <row r="5752" spans="1:40" x14ac:dyDescent="0.25">
      <c r="A5752" t="str">
        <f>"20190312151139341"</f>
        <v>20190312151139341</v>
      </c>
      <c r="B5752" t="str">
        <f>"1552374699336720"</f>
        <v>1552374699336720</v>
      </c>
      <c r="C5752" t="s">
        <v>40</v>
      </c>
      <c r="D5752">
        <v>5.4808899999999996</v>
      </c>
      <c r="E5752">
        <v>0.64507340000000002</v>
      </c>
      <c r="F5752" t="s">
        <v>43</v>
      </c>
      <c r="G5752">
        <v>-307.02359999999999</v>
      </c>
      <c r="H5752">
        <v>-0.05</v>
      </c>
      <c r="I5752">
        <v>4.9349059999999998</v>
      </c>
      <c r="J5752">
        <v>-310.61970000000002</v>
      </c>
      <c r="K5752">
        <v>1.052476</v>
      </c>
      <c r="L5752">
        <v>11.900270000000001</v>
      </c>
      <c r="M5752">
        <v>0.90912320000000002</v>
      </c>
      <c r="N5752">
        <v>0</v>
      </c>
      <c r="O5752">
        <v>-0.4162787</v>
      </c>
      <c r="P5752">
        <v>0.74581409999999904</v>
      </c>
      <c r="Q5752">
        <v>5.1332030000000001E-2</v>
      </c>
      <c r="R5752">
        <v>-0.66417369999999898</v>
      </c>
      <c r="S5752">
        <v>1.5206299999999999</v>
      </c>
      <c r="T5752">
        <v>-0.44767109999999899</v>
      </c>
      <c r="U5752">
        <v>-2.8584290000000001</v>
      </c>
      <c r="V5752">
        <v>0.29462369999999999</v>
      </c>
      <c r="W5752">
        <v>5.9171729999999999E-2</v>
      </c>
      <c r="X5752">
        <v>0.95377959999999995</v>
      </c>
      <c r="Y5752">
        <v>0.6054233</v>
      </c>
      <c r="Z5752">
        <v>1.510998E-2</v>
      </c>
      <c r="AA5752">
        <v>0.79576029999999998</v>
      </c>
      <c r="AB5752">
        <v>26</v>
      </c>
      <c r="AC5752">
        <v>3.5961000000000301</v>
      </c>
      <c r="AD5752">
        <v>-1.102476</v>
      </c>
      <c r="AE5752">
        <v>-6.9653639999999903</v>
      </c>
      <c r="AF5752">
        <v>4.7420956238238299</v>
      </c>
      <c r="AG5752">
        <v>-1.102476</v>
      </c>
      <c r="AH5752">
        <v>6.0498035069329203</v>
      </c>
      <c r="AI5752">
        <v>98.161913252187702</v>
      </c>
      <c r="AJ5752">
        <v>51.9091284324439</v>
      </c>
      <c r="AK5752">
        <v>7.7655036352166498</v>
      </c>
      <c r="AL5752">
        <v>86.607727984747896</v>
      </c>
      <c r="AM5752">
        <v>72.834016529054097</v>
      </c>
      <c r="AN5752">
        <v>0.99999997180452105</v>
      </c>
    </row>
    <row r="5753" spans="1:40" x14ac:dyDescent="0.25">
      <c r="A5753" t="str">
        <f>"20190312151139359"</f>
        <v>20190312151139359</v>
      </c>
      <c r="B5753" t="str">
        <f>"1552374699346480"</f>
        <v>1552374699346480</v>
      </c>
      <c r="C5753" t="s">
        <v>40</v>
      </c>
      <c r="D5753">
        <v>5.4682060000000003</v>
      </c>
      <c r="E5753">
        <v>0.64521479999999998</v>
      </c>
      <c r="F5753" t="s">
        <v>43</v>
      </c>
      <c r="G5753">
        <v>-307.16750000000002</v>
      </c>
      <c r="H5753">
        <v>-0.05</v>
      </c>
      <c r="I5753">
        <v>5.1960300000000004</v>
      </c>
      <c r="J5753">
        <v>-310.42759999999998</v>
      </c>
      <c r="K5753">
        <v>1.0522940000000001</v>
      </c>
      <c r="L5753">
        <v>11.80142</v>
      </c>
      <c r="M5753">
        <v>0.90514309999999998</v>
      </c>
      <c r="N5753">
        <v>0</v>
      </c>
      <c r="O5753">
        <v>-0.42486580000000002</v>
      </c>
      <c r="P5753">
        <v>0.73884150000000004</v>
      </c>
      <c r="Q5753">
        <v>5.0889419999999998E-2</v>
      </c>
      <c r="R5753">
        <v>-0.67195559999999999</v>
      </c>
      <c r="S5753">
        <v>1.485687</v>
      </c>
      <c r="T5753">
        <v>-0.47446470000000002</v>
      </c>
      <c r="U5753">
        <v>-2.8852540000000002</v>
      </c>
      <c r="V5753">
        <v>0.29558519999999999</v>
      </c>
      <c r="W5753">
        <v>5.8581960000000002E-2</v>
      </c>
      <c r="X5753">
        <v>0.95351850000000005</v>
      </c>
      <c r="Y5753">
        <v>0.60837680000000005</v>
      </c>
      <c r="Z5753">
        <v>1.7138380000000002E-2</v>
      </c>
      <c r="AA5753">
        <v>0.79346329999999998</v>
      </c>
      <c r="AB5753">
        <v>26</v>
      </c>
      <c r="AC5753">
        <v>3.26009999999996</v>
      </c>
      <c r="AD5753">
        <v>-1.1022940000000001</v>
      </c>
      <c r="AE5753">
        <v>-6.6053899999999901</v>
      </c>
      <c r="AF5753">
        <v>4.4935630924490004</v>
      </c>
      <c r="AG5753">
        <v>-1.1022940000000001</v>
      </c>
      <c r="AH5753">
        <v>5.6317379431772601</v>
      </c>
      <c r="AI5753">
        <v>98.698528551997498</v>
      </c>
      <c r="AJ5753">
        <v>51.4136372925526</v>
      </c>
      <c r="AK5753">
        <v>7.2885961329242503</v>
      </c>
      <c r="AL5753">
        <v>86.641578111168897</v>
      </c>
      <c r="AM5753">
        <v>72.776867241070903</v>
      </c>
      <c r="AN5753">
        <v>0.99999999316936505</v>
      </c>
    </row>
    <row r="5754" spans="1:40" x14ac:dyDescent="0.25">
      <c r="A5754" t="str">
        <f>"20190312151139381"</f>
        <v>20190312151139381</v>
      </c>
      <c r="B5754" t="str">
        <f>"1552374699376737"</f>
        <v>1552374699376737</v>
      </c>
      <c r="C5754" t="s">
        <v>40</v>
      </c>
      <c r="D5754">
        <v>5.461938</v>
      </c>
      <c r="E5754">
        <v>0.64452319999999996</v>
      </c>
      <c r="F5754" t="s">
        <v>43</v>
      </c>
      <c r="G5754">
        <v>-307.10399999999998</v>
      </c>
      <c r="H5754">
        <v>-0.05</v>
      </c>
      <c r="I5754">
        <v>5.168304</v>
      </c>
      <c r="J5754">
        <v>-310.19850000000002</v>
      </c>
      <c r="K5754">
        <v>1.0520940000000001</v>
      </c>
      <c r="L5754">
        <v>11.68018</v>
      </c>
      <c r="M5754">
        <v>0.90018829999999905</v>
      </c>
      <c r="N5754">
        <v>0</v>
      </c>
      <c r="O5754">
        <v>-0.43526700000000002</v>
      </c>
      <c r="P5754">
        <v>0.73083279999999995</v>
      </c>
      <c r="Q5754">
        <v>4.9847460000000003E-2</v>
      </c>
      <c r="R5754">
        <v>-0.6807337</v>
      </c>
      <c r="S5754">
        <v>1.4541630000000001</v>
      </c>
      <c r="T5754">
        <v>-0.4822922</v>
      </c>
      <c r="U5754">
        <v>-2.9022220000000001</v>
      </c>
      <c r="V5754">
        <v>0.29595290000000002</v>
      </c>
      <c r="W5754">
        <v>5.73952E-2</v>
      </c>
      <c r="X5754">
        <v>0.95347660000000001</v>
      </c>
      <c r="Y5754">
        <v>0.60801450000000001</v>
      </c>
      <c r="Z5754">
        <v>1.9230690000000002E-2</v>
      </c>
      <c r="AA5754">
        <v>0.79369299999999998</v>
      </c>
      <c r="AB5754">
        <v>26</v>
      </c>
      <c r="AC5754">
        <v>3.09449999999998</v>
      </c>
      <c r="AD5754">
        <v>-1.1020939999999999</v>
      </c>
      <c r="AE5754">
        <v>-6.511876</v>
      </c>
      <c r="AF5754">
        <v>4.4123389444784102</v>
      </c>
      <c r="AG5754">
        <v>-1.1020939999999999</v>
      </c>
      <c r="AH5754">
        <v>5.4922735662829298</v>
      </c>
      <c r="AI5754">
        <v>98.890923998468097</v>
      </c>
      <c r="AJ5754">
        <v>51.222578737175603</v>
      </c>
      <c r="AK5754">
        <v>7.1308074628815401</v>
      </c>
      <c r="AL5754">
        <v>86.709689016901905</v>
      </c>
      <c r="AM5754">
        <v>72.755999048497003</v>
      </c>
      <c r="AN5754">
        <v>0.99999997737450397</v>
      </c>
    </row>
    <row r="5755" spans="1:40" x14ac:dyDescent="0.25">
      <c r="A5755" t="str">
        <f>"20190312151139392"</f>
        <v>20190312151139392</v>
      </c>
      <c r="B5755" t="str">
        <f>"1552374699387471"</f>
        <v>1552374699387471</v>
      </c>
      <c r="C5755" t="s">
        <v>40</v>
      </c>
      <c r="D5755">
        <v>5.441891</v>
      </c>
      <c r="E5755">
        <v>0.6440188</v>
      </c>
      <c r="F5755" t="s">
        <v>43</v>
      </c>
      <c r="G5755">
        <v>-306.94499999999999</v>
      </c>
      <c r="H5755">
        <v>-0.05</v>
      </c>
      <c r="I5755">
        <v>5.0129239999999999</v>
      </c>
      <c r="J5755">
        <v>-310.0727</v>
      </c>
      <c r="K5755">
        <v>1.0519909999999999</v>
      </c>
      <c r="L5755">
        <v>11.611969999999999</v>
      </c>
      <c r="M5755">
        <v>0.89736870000000002</v>
      </c>
      <c r="N5755">
        <v>0</v>
      </c>
      <c r="O5755">
        <v>-0.44105169999999999</v>
      </c>
      <c r="P5755">
        <v>0.726433</v>
      </c>
      <c r="Q5755">
        <v>4.9686769999999998E-2</v>
      </c>
      <c r="R5755">
        <v>-0.68543880000000001</v>
      </c>
      <c r="S5755">
        <v>1.4225159999999999</v>
      </c>
      <c r="T5755">
        <v>-0.4818654</v>
      </c>
      <c r="U5755">
        <v>-2.9150999999999998</v>
      </c>
      <c r="V5755">
        <v>0.29597319999999999</v>
      </c>
      <c r="W5755">
        <v>5.7164310000000003E-2</v>
      </c>
      <c r="X5755">
        <v>0.9534842</v>
      </c>
      <c r="Y5755">
        <v>0.6112514</v>
      </c>
      <c r="Z5755">
        <v>1.9921479999999998E-2</v>
      </c>
      <c r="AA5755">
        <v>0.79118580000000005</v>
      </c>
      <c r="AB5755">
        <v>26</v>
      </c>
      <c r="AC5755">
        <v>3.1276999999999999</v>
      </c>
      <c r="AD5755">
        <v>-1.1019909999999999</v>
      </c>
      <c r="AE5755">
        <v>-6.5990460000000004</v>
      </c>
      <c r="AF5755">
        <v>4.4416197745005004</v>
      </c>
      <c r="AG5755">
        <v>-1.1019909999999999</v>
      </c>
      <c r="AH5755">
        <v>5.59049825104794</v>
      </c>
      <c r="AI5755">
        <v>98.773653688564394</v>
      </c>
      <c r="AJ5755">
        <v>51.533053721308498</v>
      </c>
      <c r="AK5755">
        <v>7.2246827667576499</v>
      </c>
      <c r="AL5755">
        <v>86.722939891052206</v>
      </c>
      <c r="AM5755">
        <v>72.755015701455093</v>
      </c>
      <c r="AN5755">
        <v>1.0000000065528201</v>
      </c>
    </row>
    <row r="5756" spans="1:40" x14ac:dyDescent="0.25">
      <c r="A5756" t="str">
        <f>"20190312151139405"</f>
        <v>20190312151139405</v>
      </c>
      <c r="B5756" t="str">
        <f>"1552374699397232"</f>
        <v>1552374699397232</v>
      </c>
      <c r="C5756" t="s">
        <v>40</v>
      </c>
      <c r="D5756">
        <v>5.3560239999999997</v>
      </c>
      <c r="E5756">
        <v>0.64342339999999998</v>
      </c>
      <c r="F5756" t="s">
        <v>43</v>
      </c>
      <c r="G5756">
        <v>-306.83449999999999</v>
      </c>
      <c r="H5756">
        <v>-0.05</v>
      </c>
      <c r="I5756">
        <v>4.8836209999999998</v>
      </c>
      <c r="J5756">
        <v>-309.94779999999997</v>
      </c>
      <c r="K5756">
        <v>1.0518989999999999</v>
      </c>
      <c r="L5756">
        <v>11.54321</v>
      </c>
      <c r="M5756">
        <v>0.89450339999999995</v>
      </c>
      <c r="N5756">
        <v>0</v>
      </c>
      <c r="O5756">
        <v>-0.44683499999999998</v>
      </c>
      <c r="P5756">
        <v>0.72229869999999996</v>
      </c>
      <c r="Q5756">
        <v>4.9810880000000002E-2</v>
      </c>
      <c r="R5756">
        <v>-0.68978569999999995</v>
      </c>
      <c r="S5756">
        <v>1.405975</v>
      </c>
      <c r="T5756">
        <v>-0.47846889999999997</v>
      </c>
      <c r="U5756">
        <v>-2.9213559999999998</v>
      </c>
      <c r="V5756">
        <v>0.29555369999999997</v>
      </c>
      <c r="W5756">
        <v>5.7233819999999998E-2</v>
      </c>
      <c r="X5756">
        <v>0.95361010000000002</v>
      </c>
      <c r="Y5756">
        <v>0.61052019999999996</v>
      </c>
      <c r="Z5756">
        <v>2.085099E-2</v>
      </c>
      <c r="AA5756">
        <v>0.79172619999999905</v>
      </c>
      <c r="AB5756">
        <v>26</v>
      </c>
      <c r="AC5756">
        <v>3.1132999999999802</v>
      </c>
      <c r="AD5756">
        <v>-1.101899</v>
      </c>
      <c r="AE5756">
        <v>-6.6595889999999898</v>
      </c>
      <c r="AF5756">
        <v>4.4660169431516703</v>
      </c>
      <c r="AG5756">
        <v>-1.101899</v>
      </c>
      <c r="AH5756">
        <v>5.6345847343384001</v>
      </c>
      <c r="AI5756">
        <v>98.713223697219206</v>
      </c>
      <c r="AJ5756">
        <v>51.599374768089298</v>
      </c>
      <c r="AK5756">
        <v>7.2737908872305503</v>
      </c>
      <c r="AL5756">
        <v>86.718950581653701</v>
      </c>
      <c r="AM5756">
        <v>72.7801504968496</v>
      </c>
      <c r="AN5756">
        <v>0.99999996127874502</v>
      </c>
    </row>
    <row r="5757" spans="1:40" x14ac:dyDescent="0.25">
      <c r="A5757" t="str">
        <f>"20190312151139415"</f>
        <v>20190312151139415</v>
      </c>
      <c r="B5757" t="str">
        <f>"1552374699406992"</f>
        <v>1552374699406992</v>
      </c>
      <c r="C5757" t="s">
        <v>40</v>
      </c>
      <c r="D5757">
        <v>5.3573969999999997</v>
      </c>
      <c r="E5757">
        <v>0.64270509999999903</v>
      </c>
      <c r="F5757" t="s">
        <v>43</v>
      </c>
      <c r="G5757">
        <v>-306.7672</v>
      </c>
      <c r="H5757">
        <v>-0.05</v>
      </c>
      <c r="I5757">
        <v>4.8526150000000001</v>
      </c>
      <c r="J5757">
        <v>-309.8279</v>
      </c>
      <c r="K5757">
        <v>1.0518099999999999</v>
      </c>
      <c r="L5757">
        <v>11.4765</v>
      </c>
      <c r="M5757">
        <v>0.89169699999999996</v>
      </c>
      <c r="N5757">
        <v>0</v>
      </c>
      <c r="O5757">
        <v>-0.45240999999999998</v>
      </c>
      <c r="P5757">
        <v>0.71836099999999903</v>
      </c>
      <c r="Q5757">
        <v>4.9527120000000001E-2</v>
      </c>
      <c r="R5757">
        <v>-0.69390540000000001</v>
      </c>
      <c r="S5757">
        <v>1.3914489999999999</v>
      </c>
      <c r="T5757">
        <v>-0.48205350000000002</v>
      </c>
      <c r="U5757">
        <v>-2.926971</v>
      </c>
      <c r="V5757">
        <v>0.29504789999999997</v>
      </c>
      <c r="W5757">
        <v>5.6902479999999998E-2</v>
      </c>
      <c r="X5757">
        <v>0.95378660000000004</v>
      </c>
      <c r="Y5757">
        <v>0.60939909999999997</v>
      </c>
      <c r="Z5757">
        <v>2.208189E-2</v>
      </c>
      <c r="AA5757">
        <v>0.79255600000000004</v>
      </c>
      <c r="AB5757">
        <v>26</v>
      </c>
      <c r="AC5757">
        <v>3.06069999999999</v>
      </c>
      <c r="AD5757">
        <v>-1.10181</v>
      </c>
      <c r="AE5757">
        <v>-6.6238849999999996</v>
      </c>
      <c r="AF5757">
        <v>4.4214516518540696</v>
      </c>
      <c r="AG5757">
        <v>-1.10181</v>
      </c>
      <c r="AH5757">
        <v>5.5988495100039</v>
      </c>
      <c r="AI5757">
        <v>98.779469016099696</v>
      </c>
      <c r="AJ5757">
        <v>51.701596185982702</v>
      </c>
      <c r="AK5757">
        <v>7.21874890971102</v>
      </c>
      <c r="AL5757">
        <v>86.737966137440097</v>
      </c>
      <c r="AM5757">
        <v>72.810875227188205</v>
      </c>
      <c r="AN5757">
        <v>1.00000001693206</v>
      </c>
    </row>
    <row r="5758" spans="1:40" x14ac:dyDescent="0.25">
      <c r="A5758" t="str">
        <f>"20190312151139428"</f>
        <v>20190312151139428</v>
      </c>
      <c r="B5758" t="str">
        <f>"1552374699416752"</f>
        <v>1552374699416752</v>
      </c>
      <c r="C5758" t="s">
        <v>40</v>
      </c>
      <c r="D5758">
        <v>5.3779370000000002</v>
      </c>
      <c r="E5758">
        <v>0.64211839999999998</v>
      </c>
      <c r="F5758" t="s">
        <v>43</v>
      </c>
      <c r="G5758">
        <v>-306.6635</v>
      </c>
      <c r="H5758">
        <v>-0.05</v>
      </c>
      <c r="I5758">
        <v>4.7489929999999996</v>
      </c>
      <c r="J5758">
        <v>-309.70710000000003</v>
      </c>
      <c r="K5758">
        <v>1.051723</v>
      </c>
      <c r="L5758">
        <v>11.40765</v>
      </c>
      <c r="M5758">
        <v>0.88878049999999997</v>
      </c>
      <c r="N5758">
        <v>0</v>
      </c>
      <c r="O5758">
        <v>-0.45811390000000002</v>
      </c>
      <c r="P5758">
        <v>0.71440090000000001</v>
      </c>
      <c r="Q5758">
        <v>4.9454930000000001E-2</v>
      </c>
      <c r="R5758">
        <v>-0.69798700000000002</v>
      </c>
      <c r="S5758">
        <v>1.378479</v>
      </c>
      <c r="T5758">
        <v>-0.47996090000000002</v>
      </c>
      <c r="U5758">
        <v>-2.9305729999999999</v>
      </c>
      <c r="V5758">
        <v>0.29437439999999998</v>
      </c>
      <c r="W5758">
        <v>5.6789649999999997E-2</v>
      </c>
      <c r="X5758">
        <v>0.9540014</v>
      </c>
      <c r="Y5758">
        <v>0.60764069999999903</v>
      </c>
      <c r="Z5758">
        <v>2.3149510000000002E-2</v>
      </c>
      <c r="AA5758">
        <v>0.79387459999999999</v>
      </c>
      <c r="AB5758">
        <v>26</v>
      </c>
      <c r="AC5758">
        <v>3.0436000000000201</v>
      </c>
      <c r="AD5758">
        <v>-1.101723</v>
      </c>
      <c r="AE5758">
        <v>-6.6586569999999998</v>
      </c>
      <c r="AF5758">
        <v>4.4240415301597897</v>
      </c>
      <c r="AG5758">
        <v>-1.101723</v>
      </c>
      <c r="AH5758">
        <v>5.6286340249934304</v>
      </c>
      <c r="AI5758">
        <v>98.748607549354801</v>
      </c>
      <c r="AJ5758">
        <v>51.833060980980797</v>
      </c>
      <c r="AK5758">
        <v>7.2434424148067498</v>
      </c>
      <c r="AL5758">
        <v>86.744441272923694</v>
      </c>
      <c r="AM5758">
        <v>72.851442909001904</v>
      </c>
      <c r="AN5758">
        <v>1.0000000114622201</v>
      </c>
    </row>
    <row r="5759" spans="1:40" x14ac:dyDescent="0.25">
      <c r="A5759" t="str">
        <f>"20190312151139440"</f>
        <v>20190312151139440</v>
      </c>
      <c r="B5759" t="str">
        <f>"1552374699437248"</f>
        <v>1552374699437248</v>
      </c>
      <c r="C5759" t="s">
        <v>40</v>
      </c>
      <c r="D5759">
        <v>5.3605470000000004</v>
      </c>
      <c r="E5759">
        <v>0.64097729999999997</v>
      </c>
      <c r="F5759" t="s">
        <v>43</v>
      </c>
      <c r="G5759">
        <v>-306.56479999999999</v>
      </c>
      <c r="H5759">
        <v>-0.05</v>
      </c>
      <c r="I5759">
        <v>4.6481479999999999</v>
      </c>
      <c r="J5759">
        <v>-309.58319999999998</v>
      </c>
      <c r="K5759">
        <v>1.051633</v>
      </c>
      <c r="L5759">
        <v>11.336460000000001</v>
      </c>
      <c r="M5759">
        <v>0.88573550000000001</v>
      </c>
      <c r="N5759">
        <v>0</v>
      </c>
      <c r="O5759">
        <v>-0.4639742</v>
      </c>
      <c r="P5759">
        <v>0.71040499999999995</v>
      </c>
      <c r="Q5759">
        <v>4.9512889999999997E-2</v>
      </c>
      <c r="R5759">
        <v>-0.702049699999999</v>
      </c>
      <c r="S5759">
        <v>1.3645320000000001</v>
      </c>
      <c r="T5759">
        <v>-0.47842689999999999</v>
      </c>
      <c r="U5759">
        <v>-2.935333</v>
      </c>
      <c r="V5759">
        <v>0.29352410000000001</v>
      </c>
      <c r="W5759">
        <v>5.6810600000000003E-2</v>
      </c>
      <c r="X5759">
        <v>0.9542621</v>
      </c>
      <c r="Y5759">
        <v>0.60605869999999995</v>
      </c>
      <c r="Z5759">
        <v>2.4243270000000001E-2</v>
      </c>
      <c r="AA5759">
        <v>0.79505040000000005</v>
      </c>
      <c r="AB5759">
        <v>26</v>
      </c>
      <c r="AC5759">
        <v>3.0183999999999802</v>
      </c>
      <c r="AD5759">
        <v>-1.1016330000000001</v>
      </c>
      <c r="AE5759">
        <v>-6.6883119999999998</v>
      </c>
      <c r="AF5759">
        <v>4.4243489901897597</v>
      </c>
      <c r="AG5759">
        <v>-1.1016330000000001</v>
      </c>
      <c r="AH5759">
        <v>5.6499436000107597</v>
      </c>
      <c r="AI5759">
        <v>98.727553265100298</v>
      </c>
      <c r="AJ5759">
        <v>51.9362701371331</v>
      </c>
      <c r="AK5759">
        <v>7.2601874588046797</v>
      </c>
      <c r="AL5759">
        <v>86.743238943167697</v>
      </c>
      <c r="AM5759">
        <v>72.902482268312696</v>
      </c>
      <c r="AN5759">
        <v>0.99999999852478905</v>
      </c>
    </row>
    <row r="5760" spans="1:40" x14ac:dyDescent="0.25">
      <c r="A5760" t="str">
        <f>"20190312151139451"</f>
        <v>20190312151139451</v>
      </c>
      <c r="B5760" t="str">
        <f>"1552374699447008"</f>
        <v>1552374699447008</v>
      </c>
      <c r="C5760" t="s">
        <v>40</v>
      </c>
      <c r="D5760">
        <v>5.3711180000000001</v>
      </c>
      <c r="E5760">
        <v>0.64054730000000004</v>
      </c>
      <c r="F5760" t="s">
        <v>43</v>
      </c>
      <c r="G5760">
        <v>-306.4486</v>
      </c>
      <c r="H5760">
        <v>-0.05</v>
      </c>
      <c r="I5760">
        <v>4.5353240000000001</v>
      </c>
      <c r="J5760">
        <v>-309.45729999999998</v>
      </c>
      <c r="K5760">
        <v>1.051542</v>
      </c>
      <c r="L5760">
        <v>11.262510000000001</v>
      </c>
      <c r="M5760">
        <v>0.882548</v>
      </c>
      <c r="N5760">
        <v>0</v>
      </c>
      <c r="O5760">
        <v>-0.47000920000000002</v>
      </c>
      <c r="P5760">
        <v>0.70618049999999999</v>
      </c>
      <c r="Q5760">
        <v>4.9860809999999998E-2</v>
      </c>
      <c r="R5760">
        <v>-0.70627419999999996</v>
      </c>
      <c r="S5760">
        <v>1.3536379999999999</v>
      </c>
      <c r="T5760">
        <v>-0.47573029999999999</v>
      </c>
      <c r="U5760">
        <v>-2.9370120000000002</v>
      </c>
      <c r="V5760">
        <v>0.29272880000000001</v>
      </c>
      <c r="W5760">
        <v>5.7121949999999998E-2</v>
      </c>
      <c r="X5760">
        <v>0.9544878</v>
      </c>
      <c r="Y5760">
        <v>0.60331869999999999</v>
      </c>
      <c r="Z5760">
        <v>2.5416310000000001E-2</v>
      </c>
      <c r="AA5760">
        <v>0.79709509999999995</v>
      </c>
      <c r="AB5760">
        <v>26</v>
      </c>
      <c r="AC5760">
        <v>3.00869999999997</v>
      </c>
      <c r="AD5760">
        <v>-1.101542</v>
      </c>
      <c r="AE5760">
        <v>-6.7271859999999997</v>
      </c>
      <c r="AF5760">
        <v>4.4245429884454897</v>
      </c>
      <c r="AG5760">
        <v>-1.101542</v>
      </c>
      <c r="AH5760">
        <v>5.6905986470057401</v>
      </c>
      <c r="AI5760">
        <v>98.688490218412198</v>
      </c>
      <c r="AJ5760">
        <v>52.134290811623501</v>
      </c>
      <c r="AK5760">
        <v>7.2919742454063696</v>
      </c>
      <c r="AL5760">
        <v>86.725370936754899</v>
      </c>
      <c r="AM5760">
        <v>72.949915133766893</v>
      </c>
      <c r="AN5760">
        <v>1.00000001393504</v>
      </c>
    </row>
    <row r="5761" spans="1:40" x14ac:dyDescent="0.25">
      <c r="A5761" t="str">
        <f>"20190312151139463"</f>
        <v>20190312151139463</v>
      </c>
      <c r="B5761" t="str">
        <f>"1552374699456768"</f>
        <v>1552374699456768</v>
      </c>
      <c r="C5761" t="s">
        <v>40</v>
      </c>
      <c r="D5761">
        <v>5.3849539999999996</v>
      </c>
      <c r="E5761">
        <v>0.6400709</v>
      </c>
      <c r="F5761" t="s">
        <v>43</v>
      </c>
      <c r="G5761">
        <v>-306.36059999999998</v>
      </c>
      <c r="H5761">
        <v>-0.05</v>
      </c>
      <c r="I5761">
        <v>4.4549409999999998</v>
      </c>
      <c r="J5761">
        <v>-309.33890000000002</v>
      </c>
      <c r="K5761">
        <v>1.0514619999999999</v>
      </c>
      <c r="L5761">
        <v>11.19205</v>
      </c>
      <c r="M5761">
        <v>0.87948369999999998</v>
      </c>
      <c r="N5761">
        <v>0</v>
      </c>
      <c r="O5761">
        <v>-0.47571920000000001</v>
      </c>
      <c r="P5761">
        <v>0.70204180000000005</v>
      </c>
      <c r="Q5761">
        <v>5.004811E-2</v>
      </c>
      <c r="R5761">
        <v>-0.71037550000000005</v>
      </c>
      <c r="S5761">
        <v>1.338654</v>
      </c>
      <c r="T5761">
        <v>-0.47617470000000001</v>
      </c>
      <c r="U5761">
        <v>-2.94278</v>
      </c>
      <c r="V5761">
        <v>0.29211999999999999</v>
      </c>
      <c r="W5761">
        <v>5.7274279999999997E-2</v>
      </c>
      <c r="X5761">
        <v>0.95466519999999999</v>
      </c>
      <c r="Y5761">
        <v>0.60215280000000004</v>
      </c>
      <c r="Z5761">
        <v>2.6537410000000001E-2</v>
      </c>
      <c r="AA5761">
        <v>0.79793970000000003</v>
      </c>
      <c r="AB5761">
        <v>26</v>
      </c>
      <c r="AC5761">
        <v>2.9783000000000399</v>
      </c>
      <c r="AD5761">
        <v>-1.1014619999999999</v>
      </c>
      <c r="AE5761">
        <v>-6.7371089999999896</v>
      </c>
      <c r="AF5761">
        <v>4.4101823900505401</v>
      </c>
      <c r="AG5761">
        <v>-1.1014619999999999</v>
      </c>
      <c r="AH5761">
        <v>5.6975244235421103</v>
      </c>
      <c r="AI5761">
        <v>98.691823251090597</v>
      </c>
      <c r="AJ5761">
        <v>52.2582518384202</v>
      </c>
      <c r="AK5761">
        <v>7.2886700987090096</v>
      </c>
      <c r="AL5761">
        <v>86.716628846868801</v>
      </c>
      <c r="AM5761">
        <v>72.986303688042398</v>
      </c>
      <c r="AN5761">
        <v>1.0000000408202701</v>
      </c>
    </row>
    <row r="5762" spans="1:40" x14ac:dyDescent="0.25">
      <c r="A5762" t="str">
        <f>"20190312151139475"</f>
        <v>20190312151139475</v>
      </c>
      <c r="B5762" t="str">
        <f>"1552374699466528"</f>
        <v>1552374699466528</v>
      </c>
      <c r="C5762" t="s">
        <v>40</v>
      </c>
      <c r="D5762">
        <v>5.3738029999999997</v>
      </c>
      <c r="E5762">
        <v>0.63954089999999997</v>
      </c>
      <c r="F5762" t="s">
        <v>43</v>
      </c>
      <c r="G5762">
        <v>-306.28399999999999</v>
      </c>
      <c r="H5762">
        <v>-0.05</v>
      </c>
      <c r="I5762">
        <v>4.3883669999999997</v>
      </c>
      <c r="J5762">
        <v>-309.21350000000001</v>
      </c>
      <c r="K5762">
        <v>1.0513859999999999</v>
      </c>
      <c r="L5762">
        <v>11.11636</v>
      </c>
      <c r="M5762">
        <v>0.87616589999999905</v>
      </c>
      <c r="N5762">
        <v>0</v>
      </c>
      <c r="O5762">
        <v>-0.48180269999999997</v>
      </c>
      <c r="P5762">
        <v>0.69771179999999999</v>
      </c>
      <c r="Q5762">
        <v>4.9833479999999999E-2</v>
      </c>
      <c r="R5762">
        <v>-0.71464340000000004</v>
      </c>
      <c r="S5762">
        <v>1.3238529999999999</v>
      </c>
      <c r="T5762">
        <v>-0.47732190000000002</v>
      </c>
      <c r="U5762">
        <v>-2.9483950000000001</v>
      </c>
      <c r="V5762">
        <v>0.29132160000000001</v>
      </c>
      <c r="W5762">
        <v>5.7029110000000001E-2</v>
      </c>
      <c r="X5762">
        <v>0.95492370000000004</v>
      </c>
      <c r="Y5762">
        <v>0.60057450000000001</v>
      </c>
      <c r="Z5762">
        <v>2.7804369999999998E-2</v>
      </c>
      <c r="AA5762">
        <v>0.7990853</v>
      </c>
      <c r="AB5762">
        <v>26</v>
      </c>
      <c r="AC5762">
        <v>2.9295000000000102</v>
      </c>
      <c r="AD5762">
        <v>-1.101386</v>
      </c>
      <c r="AE5762">
        <v>-6.7279929999999997</v>
      </c>
      <c r="AF5762">
        <v>4.3850603459185198</v>
      </c>
      <c r="AG5762">
        <v>-1.101386</v>
      </c>
      <c r="AH5762">
        <v>5.6808968716740003</v>
      </c>
      <c r="AI5762">
        <v>98.725241462865995</v>
      </c>
      <c r="AJ5762">
        <v>52.335600951243599</v>
      </c>
      <c r="AK5762">
        <v>7.2604679342958702</v>
      </c>
      <c r="AL5762">
        <v>86.730698698741506</v>
      </c>
      <c r="AM5762">
        <v>73.034458674608601</v>
      </c>
      <c r="AN5762">
        <v>0.99999993341781801</v>
      </c>
    </row>
    <row r="5763" spans="1:40" x14ac:dyDescent="0.25">
      <c r="A5763" t="str">
        <f>"20190312151139492"</f>
        <v>20190312151139492</v>
      </c>
      <c r="B5763" t="str">
        <f>"1552374699487024"</f>
        <v>1552374699487024</v>
      </c>
      <c r="C5763" t="s">
        <v>40</v>
      </c>
      <c r="D5763">
        <v>5.3738409999999996</v>
      </c>
      <c r="E5763">
        <v>0.63884099999999999</v>
      </c>
      <c r="F5763" t="s">
        <v>43</v>
      </c>
      <c r="G5763">
        <v>-306.19290000000001</v>
      </c>
      <c r="H5763">
        <v>-0.05</v>
      </c>
      <c r="I5763">
        <v>4.3023379999999998</v>
      </c>
      <c r="J5763">
        <v>-309.04129999999998</v>
      </c>
      <c r="K5763">
        <v>1.05128</v>
      </c>
      <c r="L5763">
        <v>11.010009999999999</v>
      </c>
      <c r="M5763">
        <v>0.87146749999999995</v>
      </c>
      <c r="N5763">
        <v>0</v>
      </c>
      <c r="O5763">
        <v>-0.49025010000000002</v>
      </c>
      <c r="P5763">
        <v>0.69183190000000006</v>
      </c>
      <c r="Q5763">
        <v>4.9706710000000001E-2</v>
      </c>
      <c r="R5763">
        <v>-0.72034580000000004</v>
      </c>
      <c r="S5763">
        <v>1.3090820000000001</v>
      </c>
      <c r="T5763">
        <v>-0.47732350000000001</v>
      </c>
      <c r="U5763">
        <v>-2.9530940000000001</v>
      </c>
      <c r="V5763">
        <v>0.28993039999999998</v>
      </c>
      <c r="W5763">
        <v>5.6874389999999997E-2</v>
      </c>
      <c r="X5763">
        <v>0.95535630000000005</v>
      </c>
      <c r="Y5763">
        <v>0.59674799999999995</v>
      </c>
      <c r="Z5763">
        <v>2.9627069999999998E-2</v>
      </c>
      <c r="AA5763">
        <v>0.80188159999999997</v>
      </c>
      <c r="AB5763">
        <v>26</v>
      </c>
      <c r="AC5763">
        <v>2.8483999999999599</v>
      </c>
      <c r="AD5763">
        <v>-1.10128</v>
      </c>
      <c r="AE5763">
        <v>-6.7076719999999996</v>
      </c>
      <c r="AF5763">
        <v>4.3501853743682597</v>
      </c>
      <c r="AG5763">
        <v>-1.10128</v>
      </c>
      <c r="AH5763">
        <v>5.64244022343909</v>
      </c>
      <c r="AI5763">
        <v>98.786800019984</v>
      </c>
      <c r="AJ5763">
        <v>52.368643147378599</v>
      </c>
      <c r="AK5763">
        <v>7.2093038571592203</v>
      </c>
      <c r="AL5763">
        <v>86.739578119868298</v>
      </c>
      <c r="AM5763">
        <v>73.118067499641796</v>
      </c>
      <c r="AN5763">
        <v>0.99999999651586102</v>
      </c>
    </row>
    <row r="5764" spans="1:40" x14ac:dyDescent="0.25">
      <c r="A5764" t="str">
        <f>"20190312151139505"</f>
        <v>20190312151139505</v>
      </c>
      <c r="B5764" t="str">
        <f>"1552374699496784"</f>
        <v>1552374699496784</v>
      </c>
      <c r="C5764" t="s">
        <v>40</v>
      </c>
      <c r="D5764">
        <v>5.3658910000000004</v>
      </c>
      <c r="E5764">
        <v>0.63837409999999895</v>
      </c>
      <c r="F5764" t="s">
        <v>43</v>
      </c>
      <c r="G5764">
        <v>-306.0496</v>
      </c>
      <c r="H5764">
        <v>-0.05</v>
      </c>
      <c r="I5764">
        <v>4.1367949999999896</v>
      </c>
      <c r="J5764">
        <v>-308.91910000000001</v>
      </c>
      <c r="K5764">
        <v>1.0512090000000001</v>
      </c>
      <c r="L5764">
        <v>10.933070000000001</v>
      </c>
      <c r="M5764">
        <v>0.868040699999999</v>
      </c>
      <c r="N5764">
        <v>0</v>
      </c>
      <c r="O5764">
        <v>-0.49629220000000002</v>
      </c>
      <c r="P5764">
        <v>0.68730349999999996</v>
      </c>
      <c r="Q5764">
        <v>4.9723740000000002E-2</v>
      </c>
      <c r="R5764">
        <v>-0.72466649999999999</v>
      </c>
      <c r="S5764">
        <v>1.2883910000000001</v>
      </c>
      <c r="T5764">
        <v>-0.47427750000000002</v>
      </c>
      <c r="U5764">
        <v>-2.9600219999999999</v>
      </c>
      <c r="V5764">
        <v>0.28928739999999997</v>
      </c>
      <c r="W5764">
        <v>5.6865819999999997E-2</v>
      </c>
      <c r="X5764">
        <v>0.9555517</v>
      </c>
      <c r="Y5764">
        <v>0.59663189999999999</v>
      </c>
      <c r="Z5764">
        <v>3.051471E-2</v>
      </c>
      <c r="AA5764">
        <v>0.8019347</v>
      </c>
      <c r="AB5764">
        <v>26</v>
      </c>
      <c r="AC5764">
        <v>2.8695000000000102</v>
      </c>
      <c r="AD5764">
        <v>-1.1012090000000001</v>
      </c>
      <c r="AE5764">
        <v>-6.7962749999999996</v>
      </c>
      <c r="AF5764">
        <v>4.3782235571684103</v>
      </c>
      <c r="AG5764">
        <v>-1.1012090000000001</v>
      </c>
      <c r="AH5764">
        <v>5.7365441380316096</v>
      </c>
      <c r="AI5764">
        <v>98.676266084308097</v>
      </c>
      <c r="AJ5764">
        <v>52.648539024863503</v>
      </c>
      <c r="AK5764">
        <v>7.2999617413936004</v>
      </c>
      <c r="AL5764">
        <v>86.740069907422395</v>
      </c>
      <c r="AM5764">
        <v>73.156634640183995</v>
      </c>
      <c r="AN5764">
        <v>0.99999998632796105</v>
      </c>
    </row>
    <row r="5765" spans="1:40" x14ac:dyDescent="0.25">
      <c r="A5765" t="str">
        <f>"20190312151139517"</f>
        <v>20190312151139517</v>
      </c>
      <c r="B5765" t="str">
        <f>"1552374699506544"</f>
        <v>1552374699506544</v>
      </c>
      <c r="C5765" t="s">
        <v>40</v>
      </c>
      <c r="D5765">
        <v>5.3635349999999997</v>
      </c>
      <c r="E5765">
        <v>0.637953199999999</v>
      </c>
      <c r="F5765" t="s">
        <v>43</v>
      </c>
      <c r="G5765">
        <v>-305.959</v>
      </c>
      <c r="H5765">
        <v>-0.05</v>
      </c>
      <c r="I5765">
        <v>4.0357209999999997</v>
      </c>
      <c r="J5765">
        <v>-308.7901</v>
      </c>
      <c r="K5765">
        <v>1.05114</v>
      </c>
      <c r="L5765">
        <v>10.85098</v>
      </c>
      <c r="M5765">
        <v>0.86435229999999996</v>
      </c>
      <c r="N5765">
        <v>0</v>
      </c>
      <c r="O5765">
        <v>-0.50268889999999999</v>
      </c>
      <c r="P5765">
        <v>0.68212740000000005</v>
      </c>
      <c r="Q5765">
        <v>4.9599699999999997E-2</v>
      </c>
      <c r="R5765">
        <v>-0.72954989999999997</v>
      </c>
      <c r="S5765">
        <v>1.2726139999999999</v>
      </c>
      <c r="T5765">
        <v>-0.47343479999999999</v>
      </c>
      <c r="U5765">
        <v>-2.9653320000000001</v>
      </c>
      <c r="V5765">
        <v>0.28904550000000001</v>
      </c>
      <c r="W5765">
        <v>5.6704919999999999E-2</v>
      </c>
      <c r="X5765">
        <v>0.95563450000000005</v>
      </c>
      <c r="Y5765">
        <v>0.59489329999999996</v>
      </c>
      <c r="Z5765">
        <v>3.173426E-2</v>
      </c>
      <c r="AA5765">
        <v>0.80317799999999995</v>
      </c>
      <c r="AB5765">
        <v>26</v>
      </c>
      <c r="AC5765">
        <v>2.83109999999999</v>
      </c>
      <c r="AD5765">
        <v>-1.10114</v>
      </c>
      <c r="AE5765">
        <v>-6.8152589999999904</v>
      </c>
      <c r="AF5765">
        <v>4.3707603671893702</v>
      </c>
      <c r="AG5765">
        <v>-1.10114</v>
      </c>
      <c r="AH5765">
        <v>5.7456906770430702</v>
      </c>
      <c r="AI5765">
        <v>98.672473709902107</v>
      </c>
      <c r="AJ5765">
        <v>52.7396666866318</v>
      </c>
      <c r="AK5765">
        <v>7.3026718975490796</v>
      </c>
      <c r="AL5765">
        <v>86.749303818378294</v>
      </c>
      <c r="AM5765">
        <v>73.171298131827797</v>
      </c>
      <c r="AN5765">
        <v>1.00000002330635</v>
      </c>
    </row>
    <row r="5766" spans="1:40" x14ac:dyDescent="0.25">
      <c r="A5766" t="str">
        <f>"20190312151139538"</f>
        <v>20190312151139538</v>
      </c>
      <c r="B5766" t="str">
        <f>"1552374699527040"</f>
        <v>1552374699527040</v>
      </c>
      <c r="C5766" t="s">
        <v>40</v>
      </c>
      <c r="D5766">
        <v>5.3682780000000001</v>
      </c>
      <c r="E5766">
        <v>0.63718809999999904</v>
      </c>
      <c r="F5766" t="s">
        <v>43</v>
      </c>
      <c r="G5766">
        <v>-305.87560000000002</v>
      </c>
      <c r="H5766">
        <v>-0.05</v>
      </c>
      <c r="I5766">
        <v>3.9402469999999998</v>
      </c>
      <c r="J5766">
        <v>-308.5849</v>
      </c>
      <c r="K5766">
        <v>1.0510489999999999</v>
      </c>
      <c r="L5766">
        <v>10.71683</v>
      </c>
      <c r="M5766">
        <v>0.85828199999999999</v>
      </c>
      <c r="N5766">
        <v>0</v>
      </c>
      <c r="O5766">
        <v>-0.51298429999999995</v>
      </c>
      <c r="P5766">
        <v>0.67371459999999905</v>
      </c>
      <c r="Q5766">
        <v>4.9640780000000002E-2</v>
      </c>
      <c r="R5766">
        <v>-0.73732229999999999</v>
      </c>
      <c r="S5766">
        <v>1.2535400000000001</v>
      </c>
      <c r="T5766">
        <v>-0.47359299999999999</v>
      </c>
      <c r="U5766">
        <v>-2.9722599999999999</v>
      </c>
      <c r="V5766">
        <v>0.28859220000000002</v>
      </c>
      <c r="W5766">
        <v>5.6699670000000001E-2</v>
      </c>
      <c r="X5766">
        <v>0.9557717</v>
      </c>
      <c r="Y5766">
        <v>0.59043459999999903</v>
      </c>
      <c r="Z5766">
        <v>3.3930130000000003E-2</v>
      </c>
      <c r="AA5766">
        <v>0.80637199999999998</v>
      </c>
      <c r="AB5766">
        <v>26</v>
      </c>
      <c r="AC5766">
        <v>2.7092999999999798</v>
      </c>
      <c r="AD5766">
        <v>-1.1010489999999999</v>
      </c>
      <c r="AE5766">
        <v>-6.7765829999999996</v>
      </c>
      <c r="AF5766">
        <v>4.3283145213037404</v>
      </c>
      <c r="AG5766">
        <v>-1.1010489999999999</v>
      </c>
      <c r="AH5766">
        <v>5.6730764974203396</v>
      </c>
      <c r="AI5766">
        <v>98.771654439435494</v>
      </c>
      <c r="AJ5766">
        <v>52.657918644567403</v>
      </c>
      <c r="AK5766">
        <v>7.2201393643968501</v>
      </c>
      <c r="AL5766">
        <v>86.749604790948894</v>
      </c>
      <c r="AM5766">
        <v>73.198477609723696</v>
      </c>
      <c r="AN5766">
        <v>0.99999992649991598</v>
      </c>
    </row>
    <row r="5767" spans="1:40" x14ac:dyDescent="0.25">
      <c r="A5767" t="str">
        <f>"20190312151139561"</f>
        <v>20190312151139561</v>
      </c>
      <c r="B5767" t="str">
        <f>"1552374699557296"</f>
        <v>1552374699557296</v>
      </c>
      <c r="C5767" t="s">
        <v>40</v>
      </c>
      <c r="D5767">
        <v>5.4004750000000001</v>
      </c>
      <c r="E5767">
        <v>0.63596090000000005</v>
      </c>
      <c r="F5767" t="s">
        <v>43</v>
      </c>
      <c r="G5767">
        <v>-305.72550000000001</v>
      </c>
      <c r="H5767">
        <v>-0.05</v>
      </c>
      <c r="I5767">
        <v>3.7486269999999999</v>
      </c>
      <c r="J5767">
        <v>-308.36700000000002</v>
      </c>
      <c r="K5767">
        <v>1.050964</v>
      </c>
      <c r="L5767">
        <v>10.570309999999999</v>
      </c>
      <c r="M5767">
        <v>0.85159359999999995</v>
      </c>
      <c r="N5767">
        <v>0</v>
      </c>
      <c r="O5767">
        <v>-0.52401319999999996</v>
      </c>
      <c r="P5767">
        <v>0.66403679999999998</v>
      </c>
      <c r="Q5767">
        <v>4.957553E-2</v>
      </c>
      <c r="R5767">
        <v>-0.74605500000000002</v>
      </c>
      <c r="S5767">
        <v>1.2237849999999999</v>
      </c>
      <c r="T5767">
        <v>-0.47123359999999898</v>
      </c>
      <c r="U5767">
        <v>-2.9823</v>
      </c>
      <c r="V5767">
        <v>0.2887458</v>
      </c>
      <c r="W5767">
        <v>5.6579709999999998E-2</v>
      </c>
      <c r="X5767">
        <v>0.95573249999999998</v>
      </c>
      <c r="Y5767">
        <v>0.58796419999999905</v>
      </c>
      <c r="Z5767">
        <v>3.5910709999999998E-2</v>
      </c>
      <c r="AA5767">
        <v>0.80808939999999996</v>
      </c>
      <c r="AB5767">
        <v>26</v>
      </c>
      <c r="AC5767">
        <v>2.6415000000000002</v>
      </c>
      <c r="AD5767">
        <v>-1.1009639999999901</v>
      </c>
      <c r="AE5767">
        <v>-6.8216830000000002</v>
      </c>
      <c r="AF5767">
        <v>4.3275368349178702</v>
      </c>
      <c r="AG5767">
        <v>-1.1009639999999901</v>
      </c>
      <c r="AH5767">
        <v>5.6957011028641098</v>
      </c>
      <c r="AI5767">
        <v>98.749826446603393</v>
      </c>
      <c r="AJ5767">
        <v>52.772793037623202</v>
      </c>
      <c r="AK5767">
        <v>7.2374517504460396</v>
      </c>
      <c r="AL5767">
        <v>86.756489302962095</v>
      </c>
      <c r="AM5767">
        <v>73.189388880638802</v>
      </c>
      <c r="AN5767">
        <v>1.0000000060787799</v>
      </c>
    </row>
    <row r="5768" spans="1:40" x14ac:dyDescent="0.25">
      <c r="A5768" t="str">
        <f>"20190312151139573"</f>
        <v>20190312151139573</v>
      </c>
      <c r="B5768" t="str">
        <f>"1552374699567056"</f>
        <v>1552374699567056</v>
      </c>
      <c r="C5768" t="s">
        <v>40</v>
      </c>
      <c r="D5768">
        <v>5.35968</v>
      </c>
      <c r="E5768">
        <v>0.6355826</v>
      </c>
      <c r="F5768" t="s">
        <v>43</v>
      </c>
      <c r="G5768">
        <v>-305.58150000000001</v>
      </c>
      <c r="H5768">
        <v>-0.05</v>
      </c>
      <c r="I5768">
        <v>3.5806429999999998</v>
      </c>
      <c r="J5768">
        <v>-308.23349999999999</v>
      </c>
      <c r="K5768">
        <v>1.050924</v>
      </c>
      <c r="L5768">
        <v>10.478389999999999</v>
      </c>
      <c r="M5768">
        <v>0.84736819999999902</v>
      </c>
      <c r="N5768">
        <v>0</v>
      </c>
      <c r="O5768">
        <v>-0.53081880000000004</v>
      </c>
      <c r="P5768">
        <v>0.6579971</v>
      </c>
      <c r="Q5768">
        <v>4.9548689999999999E-2</v>
      </c>
      <c r="R5768">
        <v>-0.75138890000000003</v>
      </c>
      <c r="S5768">
        <v>1.1921389999999901</v>
      </c>
      <c r="T5768">
        <v>-0.47117870000000001</v>
      </c>
      <c r="U5768">
        <v>-2.9913639999999999</v>
      </c>
      <c r="V5768">
        <v>0.28880409999999901</v>
      </c>
      <c r="W5768">
        <v>5.6525899999999997E-2</v>
      </c>
      <c r="X5768">
        <v>0.95571810000000001</v>
      </c>
      <c r="Y5768">
        <v>0.58972480000000005</v>
      </c>
      <c r="Z5768">
        <v>3.6983519999999999E-2</v>
      </c>
      <c r="AA5768">
        <v>0.80675699999999995</v>
      </c>
      <c r="AB5768">
        <v>26</v>
      </c>
      <c r="AC5768">
        <v>2.6519999999999802</v>
      </c>
      <c r="AD5768">
        <v>-1.100924</v>
      </c>
      <c r="AE5768">
        <v>-6.8977469999999901</v>
      </c>
      <c r="AF5768">
        <v>4.341291928975</v>
      </c>
      <c r="AG5768">
        <v>-1.100924</v>
      </c>
      <c r="AH5768">
        <v>5.7809609278226102</v>
      </c>
      <c r="AI5768">
        <v>98.658550978265794</v>
      </c>
      <c r="AJ5768">
        <v>53.094779727139297</v>
      </c>
      <c r="AK5768">
        <v>7.3128898880928803</v>
      </c>
      <c r="AL5768">
        <v>86.759577428299806</v>
      </c>
      <c r="AM5768">
        <v>73.185947165762997</v>
      </c>
      <c r="AN5768">
        <v>1.00000003610761</v>
      </c>
    </row>
    <row r="5769" spans="1:40" x14ac:dyDescent="0.25">
      <c r="A5769" t="str">
        <f>"20190312151139593"</f>
        <v>20190312151139593</v>
      </c>
      <c r="B5769" t="str">
        <f>"1552374699586579"</f>
        <v>1552374699586579</v>
      </c>
      <c r="C5769" t="s">
        <v>40</v>
      </c>
      <c r="D5769">
        <v>5.3563879999999999</v>
      </c>
      <c r="E5769">
        <v>0.63488880000000003</v>
      </c>
      <c r="F5769" t="s">
        <v>43</v>
      </c>
      <c r="G5769">
        <v>-305.4984</v>
      </c>
      <c r="H5769">
        <v>-0.05</v>
      </c>
      <c r="I5769">
        <v>3.4697269999999998</v>
      </c>
      <c r="J5769">
        <v>-308.04349999999999</v>
      </c>
      <c r="K5769">
        <v>1.0508740000000001</v>
      </c>
      <c r="L5769">
        <v>10.34491</v>
      </c>
      <c r="M5769">
        <v>0.84120090000000003</v>
      </c>
      <c r="N5769">
        <v>0</v>
      </c>
      <c r="O5769">
        <v>-0.54053899999999999</v>
      </c>
      <c r="P5769">
        <v>0.64889289999999999</v>
      </c>
      <c r="Q5769">
        <v>4.9495110000000002E-2</v>
      </c>
      <c r="R5769">
        <v>-0.75926850000000001</v>
      </c>
      <c r="S5769">
        <v>1.170258</v>
      </c>
      <c r="T5769">
        <v>-0.4710646</v>
      </c>
      <c r="U5769">
        <v>-2.9988709999999998</v>
      </c>
      <c r="V5769">
        <v>0.28932720000000001</v>
      </c>
      <c r="W5769">
        <v>5.6429739999999999E-2</v>
      </c>
      <c r="X5769">
        <v>0.95556549999999996</v>
      </c>
      <c r="Y5769">
        <v>0.58630769999999899</v>
      </c>
      <c r="Z5769">
        <v>3.8974330000000001E-2</v>
      </c>
      <c r="AA5769">
        <v>0.80915029999999999</v>
      </c>
      <c r="AB5769">
        <v>26</v>
      </c>
      <c r="AC5769">
        <v>2.5450999999999899</v>
      </c>
      <c r="AD5769">
        <v>-1.1008739999999999</v>
      </c>
      <c r="AE5769">
        <v>-6.8751829999999998</v>
      </c>
      <c r="AF5769">
        <v>4.3109143477347596</v>
      </c>
      <c r="AG5769">
        <v>-1.1008739999999999</v>
      </c>
      <c r="AH5769">
        <v>5.72865012273434</v>
      </c>
      <c r="AI5769">
        <v>98.729590595194907</v>
      </c>
      <c r="AJ5769">
        <v>53.037867737334302</v>
      </c>
      <c r="AK5769">
        <v>7.2535052427144198</v>
      </c>
      <c r="AL5769">
        <v>86.765095631271606</v>
      </c>
      <c r="AM5769">
        <v>73.154678082400807</v>
      </c>
      <c r="AN5769">
        <v>0.99999998450327798</v>
      </c>
    </row>
    <row r="5770" spans="1:40" x14ac:dyDescent="0.25">
      <c r="A5770" t="str">
        <f>"20190312151139606"</f>
        <v>20190312151139606</v>
      </c>
      <c r="B5770" t="str">
        <f>"1552374699597312"</f>
        <v>1552374699597312</v>
      </c>
      <c r="C5770" t="s">
        <v>40</v>
      </c>
      <c r="D5770">
        <v>5.5177559999999897</v>
      </c>
      <c r="E5770">
        <v>0.63488880000000003</v>
      </c>
      <c r="F5770" t="s">
        <v>43</v>
      </c>
      <c r="G5770">
        <v>-305.3886</v>
      </c>
      <c r="H5770">
        <v>-0.05</v>
      </c>
      <c r="I5770">
        <v>3.3277130000000001</v>
      </c>
      <c r="J5770">
        <v>-307.92200000000003</v>
      </c>
      <c r="K5770">
        <v>1.050851</v>
      </c>
      <c r="L5770">
        <v>10.25766</v>
      </c>
      <c r="M5770">
        <v>0.83715239999999902</v>
      </c>
      <c r="N5770">
        <v>0</v>
      </c>
      <c r="O5770">
        <v>-0.54678800000000005</v>
      </c>
      <c r="P5770">
        <v>0.64298849999999996</v>
      </c>
      <c r="Q5770">
        <v>4.9508339999999998E-2</v>
      </c>
      <c r="R5770">
        <v>-0.76427419999999902</v>
      </c>
      <c r="S5770">
        <v>1.138428</v>
      </c>
      <c r="T5770">
        <v>-0.47206320000000002</v>
      </c>
      <c r="U5770">
        <v>-3.0090330000000001</v>
      </c>
      <c r="V5770">
        <v>0.2896204</v>
      </c>
      <c r="W5770">
        <v>5.6419270000000001E-2</v>
      </c>
      <c r="X5770">
        <v>0.95547729999999997</v>
      </c>
      <c r="Y5770">
        <v>0.588678699999999</v>
      </c>
      <c r="Z5770">
        <v>3.9981580000000003E-2</v>
      </c>
      <c r="AA5770">
        <v>0.80737780000000003</v>
      </c>
      <c r="AB5770">
        <v>26</v>
      </c>
      <c r="AC5770">
        <v>2.5334000000000199</v>
      </c>
      <c r="AD5770">
        <v>-1.100851</v>
      </c>
      <c r="AE5770">
        <v>-6.9299470000000003</v>
      </c>
      <c r="AF5770">
        <v>4.32045558170591</v>
      </c>
      <c r="AG5770">
        <v>-1.100851</v>
      </c>
      <c r="AH5770">
        <v>5.7819365206693103</v>
      </c>
      <c r="AI5770">
        <v>98.671820254998096</v>
      </c>
      <c r="AJ5770">
        <v>53.231689630477298</v>
      </c>
      <c r="AK5770">
        <v>7.3013012050417601</v>
      </c>
      <c r="AL5770">
        <v>86.765696494632707</v>
      </c>
      <c r="AM5770">
        <v>73.137107367963395</v>
      </c>
      <c r="AN5770">
        <v>0.99999999046939103</v>
      </c>
    </row>
    <row r="5771" spans="1:40" x14ac:dyDescent="0.25">
      <c r="A5771" t="str">
        <f>"20190312151139618"</f>
        <v>20190312151139618</v>
      </c>
      <c r="B5771" t="str">
        <f>"1552374699607072"</f>
        <v>1552374699607072</v>
      </c>
      <c r="C5771" t="s">
        <v>40</v>
      </c>
      <c r="D5771">
        <v>5.5536349999999999</v>
      </c>
      <c r="E5771">
        <v>0.61843709999999996</v>
      </c>
      <c r="F5771" t="s">
        <v>43</v>
      </c>
      <c r="G5771">
        <v>-305.32220000000001</v>
      </c>
      <c r="H5771">
        <v>-0.05</v>
      </c>
      <c r="I5771">
        <v>3.2197420000000001</v>
      </c>
      <c r="J5771">
        <v>-307.80309999999997</v>
      </c>
      <c r="K5771">
        <v>1.050826</v>
      </c>
      <c r="L5771">
        <v>10.171480000000001</v>
      </c>
      <c r="M5771">
        <v>0.83312830000000004</v>
      </c>
      <c r="N5771">
        <v>0</v>
      </c>
      <c r="O5771">
        <v>-0.55290010000000001</v>
      </c>
      <c r="P5771">
        <v>0.63703080000000001</v>
      </c>
      <c r="Q5771">
        <v>4.9644809999999998E-2</v>
      </c>
      <c r="R5771">
        <v>-0.76923830000000004</v>
      </c>
      <c r="S5771">
        <v>1.114838</v>
      </c>
      <c r="T5771">
        <v>-0.47206379999999998</v>
      </c>
      <c r="U5771">
        <v>-3.0179749999999999</v>
      </c>
      <c r="V5771">
        <v>0.29004990000000003</v>
      </c>
      <c r="W5771">
        <v>5.6531140000000001E-2</v>
      </c>
      <c r="X5771">
        <v>0.95534039999999998</v>
      </c>
      <c r="Y5771">
        <v>0.58913110000000002</v>
      </c>
      <c r="Z5771">
        <v>4.1022309999999999E-2</v>
      </c>
      <c r="AA5771">
        <v>0.80699549999999998</v>
      </c>
      <c r="AB5771">
        <v>26</v>
      </c>
      <c r="AC5771">
        <v>2.4808999999999601</v>
      </c>
      <c r="AD5771">
        <v>-1.1008260000000001</v>
      </c>
      <c r="AE5771">
        <v>-6.9517379999999998</v>
      </c>
      <c r="AF5771">
        <v>4.3242557754768498</v>
      </c>
      <c r="AG5771">
        <v>-1.1008260000000001</v>
      </c>
      <c r="AH5771">
        <v>5.7824935344558401</v>
      </c>
      <c r="AI5771">
        <v>98.668407624861203</v>
      </c>
      <c r="AJ5771">
        <v>53.2101793754249</v>
      </c>
      <c r="AK5771">
        <v>7.3039877717617099</v>
      </c>
      <c r="AL5771">
        <v>86.759276590959104</v>
      </c>
      <c r="AM5771">
        <v>73.111240243800196</v>
      </c>
      <c r="AN5771">
        <v>0.99999999707593401</v>
      </c>
    </row>
    <row r="5772" spans="1:40" x14ac:dyDescent="0.25">
      <c r="A5772" t="str">
        <f>"20190312151139631"</f>
        <v>20190312151139631</v>
      </c>
      <c r="B5772" t="str">
        <f>"1552374699626592"</f>
        <v>1552374699626592</v>
      </c>
      <c r="C5772" t="s">
        <v>40</v>
      </c>
      <c r="D5772">
        <v>5.3993129999999896</v>
      </c>
      <c r="E5772">
        <v>0.61974479999999998</v>
      </c>
      <c r="F5772" t="s">
        <v>43</v>
      </c>
      <c r="G5772">
        <v>-305.25130000000001</v>
      </c>
      <c r="H5772">
        <v>-0.05</v>
      </c>
      <c r="I5772">
        <v>3.8751220000000002</v>
      </c>
      <c r="J5772">
        <v>-307.68310000000002</v>
      </c>
      <c r="K5772">
        <v>1.050807</v>
      </c>
      <c r="L5772">
        <v>10.08231</v>
      </c>
      <c r="M5772">
        <v>0.82897109999999996</v>
      </c>
      <c r="N5772">
        <v>0</v>
      </c>
      <c r="O5772">
        <v>-0.55911390000000005</v>
      </c>
      <c r="P5772">
        <v>0.63082559999999999</v>
      </c>
      <c r="Q5772">
        <v>4.9723290000000003E-2</v>
      </c>
      <c r="R5772">
        <v>-0.77432979999999996</v>
      </c>
      <c r="S5772">
        <v>1.1935119999999999</v>
      </c>
      <c r="T5772">
        <v>-0.51486100000000001</v>
      </c>
      <c r="U5772">
        <v>-2.9448240000000001</v>
      </c>
      <c r="V5772">
        <v>0.29058729999999999</v>
      </c>
      <c r="W5772">
        <v>5.658494E-2</v>
      </c>
      <c r="X5772">
        <v>0.95517390000000002</v>
      </c>
      <c r="Y5772">
        <v>0.557647</v>
      </c>
      <c r="Z5772">
        <v>4.9259520000000001E-2</v>
      </c>
      <c r="AA5772">
        <v>0.8286152</v>
      </c>
      <c r="AB5772">
        <v>26</v>
      </c>
      <c r="AC5772">
        <v>2.4318</v>
      </c>
      <c r="AD5772">
        <v>-1.1008069999999901</v>
      </c>
      <c r="AE5772">
        <v>-6.2071880000000004</v>
      </c>
      <c r="AF5772">
        <v>3.6858052314233301</v>
      </c>
      <c r="AG5772">
        <v>-1.1008069999999901</v>
      </c>
      <c r="AH5772">
        <v>5.34132548177032</v>
      </c>
      <c r="AI5772">
        <v>99.627234296664298</v>
      </c>
      <c r="AJ5772">
        <v>55.392212342908003</v>
      </c>
      <c r="AK5772">
        <v>6.5823015851178903</v>
      </c>
      <c r="AL5772">
        <v>86.756189167535098</v>
      </c>
      <c r="AM5772">
        <v>73.078954313587701</v>
      </c>
      <c r="AN5772">
        <v>1.0000000067986501</v>
      </c>
    </row>
    <row r="5773" spans="1:40" x14ac:dyDescent="0.25">
      <c r="A5773" t="str">
        <f>"20190312151139643"</f>
        <v>20190312151139643</v>
      </c>
      <c r="B5773" t="str">
        <f>"1552374699637328"</f>
        <v>1552374699637328</v>
      </c>
      <c r="C5773" t="s">
        <v>40</v>
      </c>
      <c r="D5773">
        <v>5.4383939999999997</v>
      </c>
      <c r="E5773">
        <v>0.62043819999999905</v>
      </c>
      <c r="F5773" t="s">
        <v>43</v>
      </c>
      <c r="G5773">
        <v>-305.20769999999999</v>
      </c>
      <c r="H5773">
        <v>-0.05</v>
      </c>
      <c r="I5773">
        <v>3.7751459999999999</v>
      </c>
      <c r="J5773">
        <v>-307.56490000000002</v>
      </c>
      <c r="K5773">
        <v>1.0507869999999999</v>
      </c>
      <c r="L5773">
        <v>9.9934999999999992</v>
      </c>
      <c r="M5773">
        <v>0.82481139999999997</v>
      </c>
      <c r="N5773">
        <v>0</v>
      </c>
      <c r="O5773">
        <v>-0.56523250000000003</v>
      </c>
      <c r="P5773">
        <v>0.62475509999999901</v>
      </c>
      <c r="Q5773">
        <v>4.9631870000000002E-2</v>
      </c>
      <c r="R5773">
        <v>-0.77924189999999904</v>
      </c>
      <c r="S5773">
        <v>1.162048</v>
      </c>
      <c r="T5773">
        <v>-0.51675939999999998</v>
      </c>
      <c r="U5773">
        <v>-2.9608150000000002</v>
      </c>
      <c r="V5773">
        <v>0.29098849999999998</v>
      </c>
      <c r="W5773">
        <v>5.6473059999999999E-2</v>
      </c>
      <c r="X5773">
        <v>0.95505839999999997</v>
      </c>
      <c r="Y5773">
        <v>0.56068030000000002</v>
      </c>
      <c r="Z5773">
        <v>5.0310689999999998E-2</v>
      </c>
      <c r="AA5773">
        <v>0.82650259999999998</v>
      </c>
      <c r="AB5773">
        <v>26</v>
      </c>
      <c r="AC5773">
        <v>2.3572000000000299</v>
      </c>
      <c r="AD5773">
        <v>-1.100787</v>
      </c>
      <c r="AE5773">
        <v>-6.2183539999999997</v>
      </c>
      <c r="AF5773">
        <v>3.6957183638044202</v>
      </c>
      <c r="AG5773">
        <v>-1.100787</v>
      </c>
      <c r="AH5773">
        <v>5.3140008567068397</v>
      </c>
      <c r="AI5773">
        <v>99.651603832682497</v>
      </c>
      <c r="AJ5773">
        <v>55.182616626741101</v>
      </c>
      <c r="AK5773">
        <v>6.56571940833686</v>
      </c>
      <c r="AL5773">
        <v>86.762609762878796</v>
      </c>
      <c r="AM5773">
        <v>73.054998106106396</v>
      </c>
      <c r="AN5773">
        <v>1.00000003052428</v>
      </c>
    </row>
    <row r="5774" spans="1:40" x14ac:dyDescent="0.25">
      <c r="A5774" t="str">
        <f>"20190312151139654"</f>
        <v>20190312151139654</v>
      </c>
      <c r="B5774" t="str">
        <f>"1552374699647089"</f>
        <v>1552374699647089</v>
      </c>
      <c r="C5774" t="s">
        <v>40</v>
      </c>
      <c r="D5774">
        <v>5.4614849999999997</v>
      </c>
      <c r="E5774">
        <v>0.62120149999999996</v>
      </c>
      <c r="F5774" t="s">
        <v>43</v>
      </c>
      <c r="G5774">
        <v>-305.12830000000002</v>
      </c>
      <c r="H5774">
        <v>-0.05</v>
      </c>
      <c r="I5774">
        <v>3.6122890000000001</v>
      </c>
      <c r="J5774">
        <v>-307.4495</v>
      </c>
      <c r="K5774">
        <v>1.0507690000000001</v>
      </c>
      <c r="L5774">
        <v>9.9056090000000001</v>
      </c>
      <c r="M5774">
        <v>0.82067880000000004</v>
      </c>
      <c r="N5774">
        <v>0</v>
      </c>
      <c r="O5774">
        <v>-0.57121630000000001</v>
      </c>
      <c r="P5774">
        <v>0.61876229999999999</v>
      </c>
      <c r="Q5774">
        <v>4.9659389999999998E-2</v>
      </c>
      <c r="R5774">
        <v>-0.78400760000000003</v>
      </c>
      <c r="S5774">
        <v>1.13504</v>
      </c>
      <c r="T5774">
        <v>-0.51277470000000003</v>
      </c>
      <c r="U5774">
        <v>-2.972534</v>
      </c>
      <c r="V5774">
        <v>0.29136570000000001</v>
      </c>
      <c r="W5774">
        <v>5.6483529999999997E-2</v>
      </c>
      <c r="X5774">
        <v>0.95494279999999998</v>
      </c>
      <c r="Y5774">
        <v>0.56234249999999997</v>
      </c>
      <c r="Z5774">
        <v>5.0922799999999997E-2</v>
      </c>
      <c r="AA5774">
        <v>0.82533500000000004</v>
      </c>
      <c r="AB5774">
        <v>26</v>
      </c>
      <c r="AC5774">
        <v>2.32119999999997</v>
      </c>
      <c r="AD5774">
        <v>-1.1007690000000001</v>
      </c>
      <c r="AE5774">
        <v>-6.2933199999999996</v>
      </c>
      <c r="AF5774">
        <v>3.7385867916044502</v>
      </c>
      <c r="AG5774">
        <v>-1.1007690000000001</v>
      </c>
      <c r="AH5774">
        <v>5.3561108034672396</v>
      </c>
      <c r="AI5774">
        <v>99.565805978054698</v>
      </c>
      <c r="AJ5774">
        <v>55.084804878842199</v>
      </c>
      <c r="AK5774">
        <v>6.6239449370249703</v>
      </c>
      <c r="AL5774">
        <v>86.762008998912407</v>
      </c>
      <c r="AM5774">
        <v>73.032357867142693</v>
      </c>
      <c r="AN5774">
        <v>1.0000000557847899</v>
      </c>
    </row>
    <row r="5775" spans="1:40" x14ac:dyDescent="0.25">
      <c r="A5775" t="str">
        <f>"20190312151139671"</f>
        <v>20190312151139671</v>
      </c>
      <c r="B5775" t="str">
        <f>"1552374699667583"</f>
        <v>1552374699667583</v>
      </c>
      <c r="C5775" t="s">
        <v>40</v>
      </c>
      <c r="D5775">
        <v>5.3832019999999998</v>
      </c>
      <c r="E5775">
        <v>0.62114040000000004</v>
      </c>
      <c r="F5775" t="s">
        <v>43</v>
      </c>
      <c r="G5775">
        <v>-305.048</v>
      </c>
      <c r="H5775">
        <v>-0.05</v>
      </c>
      <c r="I5775">
        <v>3.4365230000000002</v>
      </c>
      <c r="J5775">
        <v>-307.29989999999998</v>
      </c>
      <c r="K5775">
        <v>1.0507519999999999</v>
      </c>
      <c r="L5775">
        <v>9.7891539999999999</v>
      </c>
      <c r="M5775">
        <v>0.81520459999999995</v>
      </c>
      <c r="N5775">
        <v>0</v>
      </c>
      <c r="O5775">
        <v>-0.57900180000000001</v>
      </c>
      <c r="P5775">
        <v>0.61104329999999996</v>
      </c>
      <c r="Q5775">
        <v>4.9179069999999998E-2</v>
      </c>
      <c r="R5775">
        <v>-0.79006799999999999</v>
      </c>
      <c r="S5775">
        <v>1.1078490000000001</v>
      </c>
      <c r="T5775">
        <v>-0.50780509999999901</v>
      </c>
      <c r="U5775">
        <v>-2.9843139999999999</v>
      </c>
      <c r="V5775">
        <v>0.29165669999999999</v>
      </c>
      <c r="W5775">
        <v>5.5987469999999998E-2</v>
      </c>
      <c r="X5775">
        <v>0.95488309999999998</v>
      </c>
      <c r="Y5775">
        <v>0.56222039999999995</v>
      </c>
      <c r="Z5775">
        <v>5.1919529999999998E-2</v>
      </c>
      <c r="AA5775">
        <v>0.82535599999999998</v>
      </c>
      <c r="AB5775">
        <v>26</v>
      </c>
      <c r="AC5775">
        <v>2.2518999999999698</v>
      </c>
      <c r="AD5775">
        <v>-1.100752</v>
      </c>
      <c r="AE5775">
        <v>-6.3526309999999997</v>
      </c>
      <c r="AF5775">
        <v>3.77454730910513</v>
      </c>
      <c r="AG5775">
        <v>-1.100752</v>
      </c>
      <c r="AH5775">
        <v>5.3712265087576503</v>
      </c>
      <c r="AI5775">
        <v>99.518443678331494</v>
      </c>
      <c r="AJ5775">
        <v>54.902955517328799</v>
      </c>
      <c r="AK5775">
        <v>6.65649581706153</v>
      </c>
      <c r="AL5775">
        <v>86.790475950330801</v>
      </c>
      <c r="AM5775">
        <v>73.015385730056906</v>
      </c>
      <c r="AN5775">
        <v>0.99999998105874999</v>
      </c>
    </row>
    <row r="5776" spans="1:40" x14ac:dyDescent="0.25">
      <c r="A5776" t="str">
        <f>"20190312151139686"</f>
        <v>20190312151139686</v>
      </c>
      <c r="B5776" t="str">
        <f>"1552374699677344"</f>
        <v>1552374699677344</v>
      </c>
      <c r="C5776" t="s">
        <v>40</v>
      </c>
      <c r="D5776">
        <v>5.3674280000000003</v>
      </c>
      <c r="E5776">
        <v>0.63643190000000005</v>
      </c>
      <c r="F5776" t="s">
        <v>43</v>
      </c>
      <c r="G5776">
        <v>-304.94979999999998</v>
      </c>
      <c r="H5776">
        <v>-0.05</v>
      </c>
      <c r="I5776">
        <v>3.2633670000000001</v>
      </c>
      <c r="J5776">
        <v>-307.16699999999997</v>
      </c>
      <c r="K5776">
        <v>1.05074</v>
      </c>
      <c r="L5776">
        <v>9.6839289999999991</v>
      </c>
      <c r="M5776">
        <v>0.81024219999999902</v>
      </c>
      <c r="N5776">
        <v>0</v>
      </c>
      <c r="O5776">
        <v>-0.5859259</v>
      </c>
      <c r="P5776">
        <v>0.60434330000000003</v>
      </c>
      <c r="Q5776">
        <v>4.9223450000000002E-2</v>
      </c>
      <c r="R5776">
        <v>-0.79520230000000003</v>
      </c>
      <c r="S5776">
        <v>1.0784</v>
      </c>
      <c r="T5776">
        <v>-0.50511549999999905</v>
      </c>
      <c r="U5776">
        <v>-2.9945680000000001</v>
      </c>
      <c r="V5776">
        <v>0.29159259999999998</v>
      </c>
      <c r="W5776">
        <v>5.6027449999999999E-2</v>
      </c>
      <c r="X5776">
        <v>0.95490030000000004</v>
      </c>
      <c r="Y5776">
        <v>0.563307</v>
      </c>
      <c r="Z5776">
        <v>5.289162E-2</v>
      </c>
      <c r="AA5776">
        <v>0.82455299999999998</v>
      </c>
      <c r="AB5776">
        <v>26</v>
      </c>
      <c r="AC5776">
        <v>2.21720000000004</v>
      </c>
      <c r="AD5776">
        <v>-1.1007400000000001</v>
      </c>
      <c r="AE5776">
        <v>-6.4205619999999897</v>
      </c>
      <c r="AF5776">
        <v>3.8035998842436598</v>
      </c>
      <c r="AG5776">
        <v>-1.1007400000000001</v>
      </c>
      <c r="AH5776">
        <v>5.41674991320345</v>
      </c>
      <c r="AI5776">
        <v>99.442158982382196</v>
      </c>
      <c r="AJ5776">
        <v>54.9237662828059</v>
      </c>
      <c r="AK5776">
        <v>6.7097079108712396</v>
      </c>
      <c r="AL5776">
        <v>86.788181567904502</v>
      </c>
      <c r="AM5776">
        <v>73.019192054595194</v>
      </c>
      <c r="AN5776">
        <v>0.99999995123417496</v>
      </c>
    </row>
    <row r="5777" spans="1:40" x14ac:dyDescent="0.25">
      <c r="A5777" t="str">
        <f>"20190312151139705"</f>
        <v>20190312151139705</v>
      </c>
      <c r="B5777" t="str">
        <f>"1552374699696864"</f>
        <v>1552374699696864</v>
      </c>
      <c r="C5777" t="s">
        <v>40</v>
      </c>
      <c r="D5777">
        <v>5.3892369999999996</v>
      </c>
      <c r="E5777">
        <v>0.63805259999999997</v>
      </c>
      <c r="F5777" t="s">
        <v>43</v>
      </c>
      <c r="G5777">
        <v>-304.78719999999998</v>
      </c>
      <c r="H5777">
        <v>-0.05</v>
      </c>
      <c r="I5777">
        <v>2.0234380000000001</v>
      </c>
      <c r="J5777">
        <v>-306.98939999999999</v>
      </c>
      <c r="K5777">
        <v>1.0507299999999999</v>
      </c>
      <c r="L5777">
        <v>9.5405270000000009</v>
      </c>
      <c r="M5777">
        <v>0.80346010000000001</v>
      </c>
      <c r="N5777">
        <v>0</v>
      </c>
      <c r="O5777">
        <v>-0.59519200000000005</v>
      </c>
      <c r="P5777">
        <v>0.59522189999999997</v>
      </c>
      <c r="Q5777">
        <v>4.9106959999999998E-2</v>
      </c>
      <c r="R5777">
        <v>-0.80205979999999999</v>
      </c>
      <c r="S5777">
        <v>0.95501709999999995</v>
      </c>
      <c r="T5777">
        <v>-0.44172699999999998</v>
      </c>
      <c r="U5777">
        <v>-3.0741580000000002</v>
      </c>
      <c r="V5777">
        <v>0.29153669999999998</v>
      </c>
      <c r="W5777">
        <v>5.5904620000000002E-2</v>
      </c>
      <c r="X5777">
        <v>0.95492460000000001</v>
      </c>
      <c r="Y5777">
        <v>0.59019659999999996</v>
      </c>
      <c r="Z5777">
        <v>4.5390060000000003E-2</v>
      </c>
      <c r="AA5777">
        <v>0.80598249999999905</v>
      </c>
      <c r="AB5777">
        <v>26</v>
      </c>
      <c r="AC5777">
        <v>2.2021999999999999</v>
      </c>
      <c r="AD5777">
        <v>-1.10073</v>
      </c>
      <c r="AE5777">
        <v>-7.5170890000000004</v>
      </c>
      <c r="AF5777">
        <v>4.6378347397613702</v>
      </c>
      <c r="AG5777">
        <v>-1.10073</v>
      </c>
      <c r="AH5777">
        <v>6.1231952805588499</v>
      </c>
      <c r="AI5777">
        <v>98.154919938280401</v>
      </c>
      <c r="AJ5777">
        <v>52.858959005940498</v>
      </c>
      <c r="AK5777">
        <v>7.7598091503654603</v>
      </c>
      <c r="AL5777">
        <v>86.795230357827407</v>
      </c>
      <c r="AM5777">
        <v>73.022667307952105</v>
      </c>
      <c r="AN5777">
        <v>0.99999998283469704</v>
      </c>
    </row>
    <row r="5778" spans="1:40" x14ac:dyDescent="0.25">
      <c r="A5778" t="str">
        <f>"20190312151139729"</f>
        <v>20190312151139729</v>
      </c>
      <c r="B5778" t="str">
        <f>"1552374699717361"</f>
        <v>1552374699717361</v>
      </c>
      <c r="C5778" t="s">
        <v>40</v>
      </c>
      <c r="D5778">
        <v>5.3669269999999996</v>
      </c>
      <c r="E5778">
        <v>0.63794030000000002</v>
      </c>
      <c r="F5778" t="s">
        <v>43</v>
      </c>
      <c r="G5778">
        <v>-304.72649999999999</v>
      </c>
      <c r="H5778">
        <v>-0.05</v>
      </c>
      <c r="I5778">
        <v>1.8467100000000001</v>
      </c>
      <c r="J5778">
        <v>-306.77289999999999</v>
      </c>
      <c r="K5778">
        <v>1.0507139999999999</v>
      </c>
      <c r="L5778">
        <v>9.3609010000000001</v>
      </c>
      <c r="M5778">
        <v>0.79493459999999905</v>
      </c>
      <c r="N5778">
        <v>0</v>
      </c>
      <c r="O5778">
        <v>-0.60653179999999995</v>
      </c>
      <c r="P5778">
        <v>0.58417739999999996</v>
      </c>
      <c r="Q5778">
        <v>4.9348700000000002E-2</v>
      </c>
      <c r="R5778">
        <v>-0.81012489999999904</v>
      </c>
      <c r="S5778">
        <v>0.90954590000000002</v>
      </c>
      <c r="T5778">
        <v>-0.44242599999999999</v>
      </c>
      <c r="U5778">
        <v>-3.092438</v>
      </c>
      <c r="V5778">
        <v>0.2910663</v>
      </c>
      <c r="W5778">
        <v>5.6150279999999997E-2</v>
      </c>
      <c r="X5778">
        <v>0.95505370000000001</v>
      </c>
      <c r="Y5778">
        <v>0.59101000000000004</v>
      </c>
      <c r="Z5778">
        <v>4.7262430000000001E-2</v>
      </c>
      <c r="AA5778">
        <v>0.80527850000000001</v>
      </c>
      <c r="AB5778">
        <v>26</v>
      </c>
      <c r="AC5778">
        <v>2.0464000000000002</v>
      </c>
      <c r="AD5778">
        <v>-1.100714</v>
      </c>
      <c r="AE5778">
        <v>-7.5141910000000003</v>
      </c>
      <c r="AF5778">
        <v>4.6398658919968696</v>
      </c>
      <c r="AG5778">
        <v>-1.100714</v>
      </c>
      <c r="AH5778">
        <v>6.0638306512446203</v>
      </c>
      <c r="AI5778">
        <v>98.203270449133399</v>
      </c>
      <c r="AJ5778">
        <v>52.577840099346801</v>
      </c>
      <c r="AK5778">
        <v>7.7142704757148399</v>
      </c>
      <c r="AL5778">
        <v>86.781133011717401</v>
      </c>
      <c r="AM5778">
        <v>73.050648674299396</v>
      </c>
      <c r="AN5778">
        <v>1.0000000074117199</v>
      </c>
    </row>
    <row r="5779" spans="1:40" x14ac:dyDescent="0.25">
      <c r="A5779" t="str">
        <f>"20190312151139751"</f>
        <v>20190312151139751</v>
      </c>
      <c r="B5779" t="str">
        <f>"1552374699747617"</f>
        <v>1552374699747617</v>
      </c>
      <c r="C5779" t="s">
        <v>40</v>
      </c>
      <c r="D5779">
        <v>5.4062020000000004</v>
      </c>
      <c r="E5779">
        <v>0.63715299999999997</v>
      </c>
      <c r="F5779" t="s">
        <v>43</v>
      </c>
      <c r="G5779">
        <v>-304.58949999999999</v>
      </c>
      <c r="H5779">
        <v>-0.05</v>
      </c>
      <c r="I5779">
        <v>1.547134</v>
      </c>
      <c r="J5779">
        <v>-306.5779</v>
      </c>
      <c r="K5779">
        <v>1.050702</v>
      </c>
      <c r="L5779">
        <v>9.1945499999999996</v>
      </c>
      <c r="M5779">
        <v>0.78700919999999996</v>
      </c>
      <c r="N5779">
        <v>0</v>
      </c>
      <c r="O5779">
        <v>-0.61678049999999995</v>
      </c>
      <c r="P5779">
        <v>0.57425789999999999</v>
      </c>
      <c r="Q5779">
        <v>4.9546880000000001E-2</v>
      </c>
      <c r="R5779">
        <v>-0.81717430000000002</v>
      </c>
      <c r="S5779">
        <v>0.86743159999999897</v>
      </c>
      <c r="T5779">
        <v>-0.43729590000000002</v>
      </c>
      <c r="U5779">
        <v>-3.104279</v>
      </c>
      <c r="V5779">
        <v>0.29033130000000001</v>
      </c>
      <c r="W5779">
        <v>5.6359279999999998E-2</v>
      </c>
      <c r="X5779">
        <v>0.95526500000000003</v>
      </c>
      <c r="Y5779">
        <v>0.5915473</v>
      </c>
      <c r="Z5779">
        <v>4.8412839999999999E-2</v>
      </c>
      <c r="AA5779">
        <v>0.80481550000000002</v>
      </c>
      <c r="AB5779">
        <v>26</v>
      </c>
      <c r="AC5779">
        <v>1.9884000000000099</v>
      </c>
      <c r="AD5779">
        <v>-1.1007020000000001</v>
      </c>
      <c r="AE5779">
        <v>-7.6474159999999998</v>
      </c>
      <c r="AF5779">
        <v>4.7014274646450502</v>
      </c>
      <c r="AG5779">
        <v>-1.1007020000000001</v>
      </c>
      <c r="AH5779">
        <v>6.1627057662433797</v>
      </c>
      <c r="AI5779">
        <v>98.082113398107694</v>
      </c>
      <c r="AJ5779">
        <v>52.660582125852599</v>
      </c>
      <c r="AK5779">
        <v>7.8290425633925498</v>
      </c>
      <c r="AL5779">
        <v>86.7691389384008</v>
      </c>
      <c r="AM5779">
        <v>73.094530976132702</v>
      </c>
      <c r="AN5779">
        <v>0.99999992621340095</v>
      </c>
    </row>
    <row r="5780" spans="1:40" x14ac:dyDescent="0.25">
      <c r="A5780" t="str">
        <f>"20190312151139772"</f>
        <v>20190312151139772</v>
      </c>
      <c r="B5780" t="str">
        <f>"1552374699767136"</f>
        <v>1552374699767136</v>
      </c>
      <c r="C5780" t="s">
        <v>40</v>
      </c>
      <c r="D5780">
        <v>5.4049370000000003</v>
      </c>
      <c r="E5780">
        <v>0.63629539999999996</v>
      </c>
      <c r="F5780" t="s">
        <v>43</v>
      </c>
      <c r="G5780">
        <v>-304.46620000000001</v>
      </c>
      <c r="H5780">
        <v>-0.05</v>
      </c>
      <c r="I5780">
        <v>1.326187</v>
      </c>
      <c r="J5780">
        <v>-306.37729999999999</v>
      </c>
      <c r="K5780">
        <v>1.0506770000000001</v>
      </c>
      <c r="L5780">
        <v>9.0188600000000001</v>
      </c>
      <c r="M5780">
        <v>0.77860620000000003</v>
      </c>
      <c r="N5780">
        <v>0</v>
      </c>
      <c r="O5780">
        <v>-0.62735479999999999</v>
      </c>
      <c r="P5780">
        <v>0.56352630000000004</v>
      </c>
      <c r="Q5780">
        <v>4.9546560000000003E-2</v>
      </c>
      <c r="R5780">
        <v>-0.82461119999999899</v>
      </c>
      <c r="S5780">
        <v>0.83486939999999998</v>
      </c>
      <c r="T5780">
        <v>-0.43518289999999998</v>
      </c>
      <c r="U5780">
        <v>-3.1109010000000001</v>
      </c>
      <c r="V5780">
        <v>0.2899177</v>
      </c>
      <c r="W5780">
        <v>5.6360710000000001E-2</v>
      </c>
      <c r="X5780">
        <v>0.95539059999999998</v>
      </c>
      <c r="Y5780">
        <v>0.58900369999999902</v>
      </c>
      <c r="Z5780">
        <v>5.0181789999999997E-2</v>
      </c>
      <c r="AA5780">
        <v>0.80657080000000003</v>
      </c>
      <c r="AB5780">
        <v>26</v>
      </c>
      <c r="AC5780">
        <v>1.91109999999997</v>
      </c>
      <c r="AD5780">
        <v>-1.1006769999999999</v>
      </c>
      <c r="AE5780">
        <v>-7.6926729999999903</v>
      </c>
      <c r="AF5780">
        <v>4.7004650982374097</v>
      </c>
      <c r="AG5780">
        <v>-1.1006769999999999</v>
      </c>
      <c r="AH5780">
        <v>6.1951989818172004</v>
      </c>
      <c r="AI5780">
        <v>98.056007889913005</v>
      </c>
      <c r="AJ5780">
        <v>52.811425483291799</v>
      </c>
      <c r="AK5780">
        <v>7.8540659802668999</v>
      </c>
      <c r="AL5780">
        <v>86.769057115218601</v>
      </c>
      <c r="AM5780">
        <v>73.119336523107805</v>
      </c>
      <c r="AN5780">
        <v>1.00000000048667</v>
      </c>
    </row>
    <row r="5781" spans="1:40" x14ac:dyDescent="0.25">
      <c r="A5781" t="str">
        <f>"20190312151139794"</f>
        <v>20190312151139794</v>
      </c>
      <c r="B5781" t="str">
        <f>"1552374699786656"</f>
        <v>1552374699786656</v>
      </c>
      <c r="C5781" t="s">
        <v>40</v>
      </c>
      <c r="D5781">
        <v>5.3972769999999999</v>
      </c>
      <c r="E5781">
        <v>0.6354938</v>
      </c>
      <c r="F5781" t="s">
        <v>43</v>
      </c>
      <c r="G5781">
        <v>-304.38889999999998</v>
      </c>
      <c r="H5781">
        <v>-0.05</v>
      </c>
      <c r="I5781">
        <v>1.2676240000000001</v>
      </c>
      <c r="J5781">
        <v>-306.18650000000002</v>
      </c>
      <c r="K5781">
        <v>1.0506500000000001</v>
      </c>
      <c r="L5781">
        <v>8.8471069999999994</v>
      </c>
      <c r="M5781">
        <v>0.77035120000000001</v>
      </c>
      <c r="N5781">
        <v>0</v>
      </c>
      <c r="O5781">
        <v>-0.63746429999999998</v>
      </c>
      <c r="P5781">
        <v>0.55356590000000006</v>
      </c>
      <c r="Q5781">
        <v>4.9201979999999999E-2</v>
      </c>
      <c r="R5781">
        <v>-0.83135119999999896</v>
      </c>
      <c r="S5781">
        <v>0.79986569999999901</v>
      </c>
      <c r="T5781">
        <v>-0.44276650000000001</v>
      </c>
      <c r="U5781">
        <v>-3.1180729999999999</v>
      </c>
      <c r="V5781">
        <v>0.28894989999999998</v>
      </c>
      <c r="W5781">
        <v>5.6030780000000002E-2</v>
      </c>
      <c r="X5781">
        <v>0.95570310000000003</v>
      </c>
      <c r="Y5781">
        <v>0.58743109999999998</v>
      </c>
      <c r="Z5781">
        <v>5.29332E-2</v>
      </c>
      <c r="AA5781">
        <v>0.80754130000000002</v>
      </c>
      <c r="AB5781">
        <v>26</v>
      </c>
      <c r="AC5781">
        <v>1.7976000000000401</v>
      </c>
      <c r="AD5781">
        <v>-1.1006499999999999</v>
      </c>
      <c r="AE5781">
        <v>-7.5794829999999997</v>
      </c>
      <c r="AF5781">
        <v>4.6015566471935303</v>
      </c>
      <c r="AG5781">
        <v>-1.1006499999999999</v>
      </c>
      <c r="AH5781">
        <v>6.0953601660999501</v>
      </c>
      <c r="AI5781">
        <v>98.200764590662303</v>
      </c>
      <c r="AJ5781">
        <v>52.949831541425397</v>
      </c>
      <c r="AK5781">
        <v>7.7161628776425504</v>
      </c>
      <c r="AL5781">
        <v>86.787990482248006</v>
      </c>
      <c r="AM5781">
        <v>73.177688994746205</v>
      </c>
      <c r="AN5781">
        <v>0.99999995418351295</v>
      </c>
    </row>
    <row r="5782" spans="1:40" x14ac:dyDescent="0.25">
      <c r="A5782" t="str">
        <f>"20190312151139816"</f>
        <v>20190312151139816</v>
      </c>
      <c r="B5782" t="str">
        <f>"1552374699807152"</f>
        <v>1552374699807152</v>
      </c>
      <c r="C5782" t="s">
        <v>40</v>
      </c>
      <c r="D5782">
        <v>5.4071899999999999</v>
      </c>
      <c r="E5782">
        <v>0.63460799999999995</v>
      </c>
      <c r="F5782" t="s">
        <v>43</v>
      </c>
      <c r="G5782">
        <v>-304.26589999999999</v>
      </c>
      <c r="H5782">
        <v>-0.05</v>
      </c>
      <c r="I5782">
        <v>1.023361</v>
      </c>
      <c r="J5782">
        <v>-305.98899999999998</v>
      </c>
      <c r="K5782">
        <v>1.0506230000000001</v>
      </c>
      <c r="L5782">
        <v>8.6645810000000001</v>
      </c>
      <c r="M5782">
        <v>0.76153029999999999</v>
      </c>
      <c r="N5782">
        <v>0</v>
      </c>
      <c r="O5782">
        <v>-0.64797649999999996</v>
      </c>
      <c r="P5782">
        <v>0.5428769</v>
      </c>
      <c r="Q5782">
        <v>4.9085080000000003E-2</v>
      </c>
      <c r="R5782">
        <v>-0.83837709999999999</v>
      </c>
      <c r="S5782">
        <v>0.76687620000000001</v>
      </c>
      <c r="T5782">
        <v>-0.43948130000000002</v>
      </c>
      <c r="U5782">
        <v>-3.1239620000000001</v>
      </c>
      <c r="V5782">
        <v>0.28807549999999998</v>
      </c>
      <c r="W5782">
        <v>5.5923189999999998E-2</v>
      </c>
      <c r="X5782">
        <v>0.95597339999999997</v>
      </c>
      <c r="Y5782">
        <v>0.5847791</v>
      </c>
      <c r="Z5782">
        <v>5.4580539999999997E-2</v>
      </c>
      <c r="AA5782">
        <v>0.80935419999999902</v>
      </c>
      <c r="AB5782">
        <v>26</v>
      </c>
      <c r="AC5782">
        <v>1.72310000000004</v>
      </c>
      <c r="AD5782">
        <v>-1.1006229999999999</v>
      </c>
      <c r="AE5782">
        <v>-7.6412199999999997</v>
      </c>
      <c r="AF5782">
        <v>4.6119056399186604</v>
      </c>
      <c r="AG5782">
        <v>-1.1006229999999999</v>
      </c>
      <c r="AH5782">
        <v>6.1428662565548997</v>
      </c>
      <c r="AI5782">
        <v>98.154039168450893</v>
      </c>
      <c r="AJ5782">
        <v>53.101722693541802</v>
      </c>
      <c r="AK5782">
        <v>7.7598872714468801</v>
      </c>
      <c r="AL5782">
        <v>86.794164824757601</v>
      </c>
      <c r="AM5782">
        <v>73.230208731674097</v>
      </c>
      <c r="AN5782">
        <v>1.0000000191937899</v>
      </c>
    </row>
    <row r="5783" spans="1:40" x14ac:dyDescent="0.25">
      <c r="A5783" t="str">
        <f>"20190312151139839"</f>
        <v>20190312151139839</v>
      </c>
      <c r="B5783" t="str">
        <f>"1552374699826676"</f>
        <v>1552374699826676</v>
      </c>
      <c r="C5783" t="s">
        <v>40</v>
      </c>
      <c r="D5783">
        <v>5.3866019999999999</v>
      </c>
      <c r="E5783">
        <v>0.63384929999999995</v>
      </c>
      <c r="F5783" t="s">
        <v>43</v>
      </c>
      <c r="G5783">
        <v>-304.15199999999999</v>
      </c>
      <c r="H5783">
        <v>-0.05</v>
      </c>
      <c r="I5783">
        <v>0.81172180000000005</v>
      </c>
      <c r="J5783">
        <v>-305.80599999999998</v>
      </c>
      <c r="K5783">
        <v>1.0505990000000001</v>
      </c>
      <c r="L5783">
        <v>8.4906310000000005</v>
      </c>
      <c r="M5783">
        <v>0.75308229999999998</v>
      </c>
      <c r="N5783">
        <v>0</v>
      </c>
      <c r="O5783">
        <v>-0.65777540000000001</v>
      </c>
      <c r="P5783">
        <v>0.5326495</v>
      </c>
      <c r="Q5783">
        <v>4.9391690000000002E-2</v>
      </c>
      <c r="R5783">
        <v>-0.84489400000000003</v>
      </c>
      <c r="S5783">
        <v>0.73217769999999904</v>
      </c>
      <c r="T5783">
        <v>-0.43867519999999999</v>
      </c>
      <c r="U5783">
        <v>-3.1299130000000002</v>
      </c>
      <c r="V5783">
        <v>0.28731980000000001</v>
      </c>
      <c r="W5783">
        <v>5.6235029999999998E-2</v>
      </c>
      <c r="X5783">
        <v>0.95618250000000005</v>
      </c>
      <c r="Y5783">
        <v>0.58317659999999905</v>
      </c>
      <c r="Z5783">
        <v>5.6325119999999999E-2</v>
      </c>
      <c r="AA5783">
        <v>0.81039039999999996</v>
      </c>
      <c r="AB5783">
        <v>26</v>
      </c>
      <c r="AC5783">
        <v>1.6539999999999899</v>
      </c>
      <c r="AD5783">
        <v>-1.1005989999999899</v>
      </c>
      <c r="AE5783">
        <v>-7.6789091999999997</v>
      </c>
      <c r="AF5783">
        <v>4.6049521013690198</v>
      </c>
      <c r="AG5783">
        <v>-1.1005989999999899</v>
      </c>
      <c r="AH5783">
        <v>6.1759745210155401</v>
      </c>
      <c r="AI5783">
        <v>98.130531107756994</v>
      </c>
      <c r="AJ5783">
        <v>53.290920793415196</v>
      </c>
      <c r="AK5783">
        <v>7.7820025249891298</v>
      </c>
      <c r="AL5783">
        <v>86.776269517183295</v>
      </c>
      <c r="AM5783">
        <v>73.275193648187894</v>
      </c>
      <c r="AN5783">
        <v>1.0000000096886901</v>
      </c>
    </row>
    <row r="5784" spans="1:40" x14ac:dyDescent="0.25">
      <c r="A5784" t="str">
        <f>"20190312151139851"</f>
        <v>20190312151139851</v>
      </c>
      <c r="B5784" t="str">
        <f>"1552374699847168"</f>
        <v>1552374699847168</v>
      </c>
      <c r="C5784" t="s">
        <v>40</v>
      </c>
      <c r="D5784">
        <v>5.4378169999999999</v>
      </c>
      <c r="E5784">
        <v>0.63304349999999998</v>
      </c>
      <c r="F5784" t="s">
        <v>43</v>
      </c>
      <c r="G5784">
        <v>-304.05160000000001</v>
      </c>
      <c r="H5784">
        <v>-0.05</v>
      </c>
      <c r="I5784">
        <v>0.61387630000000004</v>
      </c>
      <c r="J5784">
        <v>-305.69510000000002</v>
      </c>
      <c r="K5784">
        <v>1.0505799999999901</v>
      </c>
      <c r="L5784">
        <v>8.3824769999999997</v>
      </c>
      <c r="M5784">
        <v>0.74781129999999996</v>
      </c>
      <c r="N5784">
        <v>0</v>
      </c>
      <c r="O5784">
        <v>-0.66376139999999995</v>
      </c>
      <c r="P5784">
        <v>0.52641669999999996</v>
      </c>
      <c r="Q5784">
        <v>4.9739039999999998E-2</v>
      </c>
      <c r="R5784">
        <v>-0.84877089999999999</v>
      </c>
      <c r="S5784">
        <v>0.6984863</v>
      </c>
      <c r="T5784">
        <v>-0.43818760000000001</v>
      </c>
      <c r="U5784">
        <v>-3.1360169999999998</v>
      </c>
      <c r="V5784">
        <v>0.28672540000000002</v>
      </c>
      <c r="W5784">
        <v>5.6589220000000003E-2</v>
      </c>
      <c r="X5784">
        <v>0.95633999999999997</v>
      </c>
      <c r="Y5784">
        <v>0.58533539999999995</v>
      </c>
      <c r="Z5784">
        <v>5.7179430000000003E-2</v>
      </c>
      <c r="AA5784">
        <v>0.80877259999999995</v>
      </c>
      <c r="AB5784">
        <v>26</v>
      </c>
      <c r="AC5784">
        <v>1.64350000000001</v>
      </c>
      <c r="AD5784">
        <v>-1.1005799999999999</v>
      </c>
      <c r="AE5784">
        <v>-7.7686006999999897</v>
      </c>
      <c r="AF5784">
        <v>4.63007830902996</v>
      </c>
      <c r="AG5784">
        <v>-1.1005799999999999</v>
      </c>
      <c r="AH5784">
        <v>6.2657907291098098</v>
      </c>
      <c r="AI5784">
        <v>98.0406969655251</v>
      </c>
      <c r="AJ5784">
        <v>53.537615993031302</v>
      </c>
      <c r="AK5784">
        <v>7.8682294669860902</v>
      </c>
      <c r="AL5784">
        <v>86.755943510410603</v>
      </c>
      <c r="AM5784">
        <v>73.310463024217</v>
      </c>
      <c r="AN5784">
        <v>0.99999999521268401</v>
      </c>
    </row>
    <row r="5785" spans="1:40" x14ac:dyDescent="0.25">
      <c r="A5785" t="str">
        <f>"20190312151139872"</f>
        <v>20190312151139872</v>
      </c>
      <c r="B5785" t="str">
        <f>"1552374699866692"</f>
        <v>1552374699866692</v>
      </c>
      <c r="C5785" t="s">
        <v>40</v>
      </c>
      <c r="D5785">
        <v>5.3948320000000001</v>
      </c>
      <c r="E5785">
        <v>0.63229809999999997</v>
      </c>
      <c r="F5785" t="s">
        <v>43</v>
      </c>
      <c r="G5785">
        <v>-303.97739999999999</v>
      </c>
      <c r="H5785">
        <v>-0.05</v>
      </c>
      <c r="I5785">
        <v>0.4674835</v>
      </c>
      <c r="J5785">
        <v>-305.52069999999998</v>
      </c>
      <c r="K5785">
        <v>1.0505469999999999</v>
      </c>
      <c r="L5785">
        <v>8.2095640000000003</v>
      </c>
      <c r="M5785">
        <v>0.73933850000000001</v>
      </c>
      <c r="N5785">
        <v>0</v>
      </c>
      <c r="O5785">
        <v>-0.67318619999999996</v>
      </c>
      <c r="P5785">
        <v>0.51595279999999999</v>
      </c>
      <c r="Q5785">
        <v>4.9944700000000002E-2</v>
      </c>
      <c r="R5785">
        <v>-0.85515989999999997</v>
      </c>
      <c r="S5785">
        <v>0.68093870000000001</v>
      </c>
      <c r="T5785">
        <v>-0.43631399999999998</v>
      </c>
      <c r="U5785">
        <v>-3.1378170000000001</v>
      </c>
      <c r="V5785">
        <v>0.28634959999999998</v>
      </c>
      <c r="W5785">
        <v>5.6790609999999998E-2</v>
      </c>
      <c r="X5785">
        <v>0.95644070000000003</v>
      </c>
      <c r="Y5785">
        <v>0.57952729999999997</v>
      </c>
      <c r="Z5785">
        <v>5.9003659999999999E-2</v>
      </c>
      <c r="AA5785">
        <v>0.81281409999999998</v>
      </c>
      <c r="AB5785">
        <v>26</v>
      </c>
      <c r="AC5785">
        <v>1.5432999999999799</v>
      </c>
      <c r="AD5785">
        <v>-1.1005469999999999</v>
      </c>
      <c r="AE5785">
        <v>-7.7420804999999904</v>
      </c>
      <c r="AF5785">
        <v>4.5962294593212896</v>
      </c>
      <c r="AG5785">
        <v>-1.1005469999999999</v>
      </c>
      <c r="AH5785">
        <v>6.2323899516186803</v>
      </c>
      <c r="AI5785">
        <v>98.088589587486595</v>
      </c>
      <c r="AJ5785">
        <v>53.592167032588002</v>
      </c>
      <c r="AK5785">
        <v>7.8217142271358604</v>
      </c>
      <c r="AL5785">
        <v>86.744386272128096</v>
      </c>
      <c r="AM5785">
        <v>73.332780740512305</v>
      </c>
      <c r="AN5785">
        <v>1.0000000397104101</v>
      </c>
    </row>
    <row r="5786" spans="1:40" x14ac:dyDescent="0.25">
      <c r="A5786" t="str">
        <f>"20190312151139894"</f>
        <v>20190312151139894</v>
      </c>
      <c r="B5786" t="str">
        <f>"1552374699887189"</f>
        <v>1552374699887189</v>
      </c>
      <c r="C5786" t="s">
        <v>40</v>
      </c>
      <c r="D5786">
        <v>5.3959809999999999</v>
      </c>
      <c r="E5786">
        <v>0.6315982</v>
      </c>
      <c r="F5786" t="s">
        <v>43</v>
      </c>
      <c r="G5786">
        <v>-303.88940000000002</v>
      </c>
      <c r="H5786">
        <v>-0.05</v>
      </c>
      <c r="I5786">
        <v>0.2841187</v>
      </c>
      <c r="J5786">
        <v>-305.33390000000003</v>
      </c>
      <c r="K5786">
        <v>1.0505169999999999</v>
      </c>
      <c r="L5786">
        <v>8.0193479999999902</v>
      </c>
      <c r="M5786">
        <v>0.72996989999999995</v>
      </c>
      <c r="N5786">
        <v>0</v>
      </c>
      <c r="O5786">
        <v>-0.68333359999999999</v>
      </c>
      <c r="P5786">
        <v>0.50409910000000002</v>
      </c>
      <c r="Q5786">
        <v>4.9929960000000002E-2</v>
      </c>
      <c r="R5786">
        <v>-0.86220149999999995</v>
      </c>
      <c r="S5786">
        <v>0.64697269999999996</v>
      </c>
      <c r="T5786">
        <v>-0.43647970000000003</v>
      </c>
      <c r="U5786">
        <v>-3.1432500000000001</v>
      </c>
      <c r="V5786">
        <v>0.2863465</v>
      </c>
      <c r="W5786">
        <v>5.6762519999999997E-2</v>
      </c>
      <c r="X5786">
        <v>0.9564433</v>
      </c>
      <c r="Y5786">
        <v>0.57701950000000002</v>
      </c>
      <c r="Z5786">
        <v>6.0993480000000003E-2</v>
      </c>
      <c r="AA5786">
        <v>0.81444969999999905</v>
      </c>
      <c r="AB5786">
        <v>26</v>
      </c>
      <c r="AC5786">
        <v>1.4444999999999999</v>
      </c>
      <c r="AD5786">
        <v>-1.100517</v>
      </c>
      <c r="AE5786">
        <v>-7.7352292999999896</v>
      </c>
      <c r="AF5786">
        <v>4.5704764549316099</v>
      </c>
      <c r="AG5786">
        <v>-1.100517</v>
      </c>
      <c r="AH5786">
        <v>6.2191704587320098</v>
      </c>
      <c r="AI5786">
        <v>98.115168073978793</v>
      </c>
      <c r="AJ5786">
        <v>53.687785351821603</v>
      </c>
      <c r="AK5786">
        <v>7.7960550207869996</v>
      </c>
      <c r="AL5786">
        <v>86.745998324609801</v>
      </c>
      <c r="AM5786">
        <v>73.332993965109793</v>
      </c>
      <c r="AN5786">
        <v>1.0000000439269401</v>
      </c>
    </row>
    <row r="5787" spans="1:40" x14ac:dyDescent="0.25">
      <c r="A5787" t="str">
        <f>"20190312151139907"</f>
        <v>20190312151139907</v>
      </c>
      <c r="B5787" t="str">
        <f>"1552374699896945"</f>
        <v>1552374699896945</v>
      </c>
      <c r="C5787" t="s">
        <v>40</v>
      </c>
      <c r="D5787">
        <v>5.4697979999999999</v>
      </c>
      <c r="E5787">
        <v>0.63129219999999997</v>
      </c>
      <c r="F5787" t="s">
        <v>43</v>
      </c>
      <c r="G5787">
        <v>-303.80290000000002</v>
      </c>
      <c r="H5787">
        <v>-0.05</v>
      </c>
      <c r="I5787">
        <v>9.4207760000000001E-2</v>
      </c>
      <c r="J5787">
        <v>-305.22719999999998</v>
      </c>
      <c r="K5787">
        <v>1.0505</v>
      </c>
      <c r="L5787">
        <v>7.9079899999999999</v>
      </c>
      <c r="M5787">
        <v>0.72446699999999997</v>
      </c>
      <c r="N5787">
        <v>0</v>
      </c>
      <c r="O5787">
        <v>-0.68916480000000002</v>
      </c>
      <c r="P5787">
        <v>0.49754549999999997</v>
      </c>
      <c r="Q5787">
        <v>4.9717400000000002E-2</v>
      </c>
      <c r="R5787">
        <v>-0.86601189999999995</v>
      </c>
      <c r="S5787">
        <v>0.60833740000000003</v>
      </c>
      <c r="T5787">
        <v>-0.43729760000000001</v>
      </c>
      <c r="U5787">
        <v>-3.1491090000000002</v>
      </c>
      <c r="V5787">
        <v>0.28593689999999999</v>
      </c>
      <c r="W5787">
        <v>5.655495E-2</v>
      </c>
      <c r="X5787">
        <v>0.95657809999999999</v>
      </c>
      <c r="Y5787">
        <v>0.58038120000000004</v>
      </c>
      <c r="Z5787">
        <v>6.1940929999999998E-2</v>
      </c>
      <c r="AA5787">
        <v>0.81198590000000004</v>
      </c>
      <c r="AB5787">
        <v>26</v>
      </c>
      <c r="AC5787">
        <v>1.4242999999999499</v>
      </c>
      <c r="AD5787">
        <v>-1.1005</v>
      </c>
      <c r="AE5787">
        <v>-7.8137822400000001</v>
      </c>
      <c r="AF5787">
        <v>4.5915665162660799</v>
      </c>
      <c r="AG5787">
        <v>-1.1005</v>
      </c>
      <c r="AH5787">
        <v>6.2965982294579801</v>
      </c>
      <c r="AI5787">
        <v>98.038037530055902</v>
      </c>
      <c r="AJ5787">
        <v>53.899951799350603</v>
      </c>
      <c r="AK5787">
        <v>7.8702434896583204</v>
      </c>
      <c r="AL5787">
        <v>86.757910257987305</v>
      </c>
      <c r="AM5787">
        <v>73.357731112386404</v>
      </c>
      <c r="AN5787">
        <v>1.00000001727536</v>
      </c>
    </row>
    <row r="5788" spans="1:40" x14ac:dyDescent="0.25">
      <c r="A5788" t="str">
        <f>"20190312151139921"</f>
        <v>20190312151139921</v>
      </c>
      <c r="B5788" t="str">
        <f>"1552374699917440"</f>
        <v>1552374699917440</v>
      </c>
      <c r="C5788" t="s">
        <v>40</v>
      </c>
      <c r="D5788">
        <v>5.4837699999999998</v>
      </c>
      <c r="E5788">
        <v>0.63075919999999996</v>
      </c>
      <c r="F5788" t="s">
        <v>43</v>
      </c>
      <c r="G5788">
        <v>-303.75459999999998</v>
      </c>
      <c r="H5788">
        <v>-0.05</v>
      </c>
      <c r="I5788">
        <v>-1.0025020000000001E-2</v>
      </c>
      <c r="J5788">
        <v>-305.11680000000001</v>
      </c>
      <c r="K5788">
        <v>1.050481</v>
      </c>
      <c r="L5788">
        <v>7.7912289999999897</v>
      </c>
      <c r="M5788">
        <v>0.71867289999999995</v>
      </c>
      <c r="N5788">
        <v>0</v>
      </c>
      <c r="O5788">
        <v>-0.69520490000000001</v>
      </c>
      <c r="P5788">
        <v>0.49028040000000001</v>
      </c>
      <c r="Q5788">
        <v>4.9569019999999998E-2</v>
      </c>
      <c r="R5788">
        <v>-0.87015409999999904</v>
      </c>
      <c r="S5788">
        <v>0.58630369999999998</v>
      </c>
      <c r="T5788">
        <v>-0.43814730000000002</v>
      </c>
      <c r="U5788">
        <v>-3.1524350000000001</v>
      </c>
      <c r="V5788">
        <v>0.28594000000000003</v>
      </c>
      <c r="W5788">
        <v>5.6400220000000001E-2</v>
      </c>
      <c r="X5788">
        <v>0.9565863</v>
      </c>
      <c r="Y5788">
        <v>0.57922940000000001</v>
      </c>
      <c r="Z5788">
        <v>6.3219349999999994E-2</v>
      </c>
      <c r="AA5788">
        <v>0.81270949999999997</v>
      </c>
      <c r="AB5788">
        <v>26</v>
      </c>
      <c r="AC5788">
        <v>1.3622000000000201</v>
      </c>
      <c r="AD5788">
        <v>-1.100481</v>
      </c>
      <c r="AE5788">
        <v>-7.8012540199999902</v>
      </c>
      <c r="AF5788">
        <v>4.5717242869045203</v>
      </c>
      <c r="AG5788">
        <v>-1.100481</v>
      </c>
      <c r="AH5788">
        <v>6.2817806250075403</v>
      </c>
      <c r="AI5788">
        <v>98.062057339888398</v>
      </c>
      <c r="AJ5788">
        <v>53.953800370345199</v>
      </c>
      <c r="AK5788">
        <v>7.8468139526532603</v>
      </c>
      <c r="AL5788">
        <v>86.766789779577394</v>
      </c>
      <c r="AM5788">
        <v>73.357695434548603</v>
      </c>
      <c r="AN5788">
        <v>1.0000000088818599</v>
      </c>
    </row>
    <row r="5789" spans="1:40" x14ac:dyDescent="0.25">
      <c r="A5789" t="str">
        <f>"20190312151139939"</f>
        <v>20190312151139939</v>
      </c>
      <c r="B5789" t="str">
        <f>"1552374699927200"</f>
        <v>1552374699927200</v>
      </c>
      <c r="C5789" t="s">
        <v>40</v>
      </c>
      <c r="D5789">
        <v>5.4690880000000002</v>
      </c>
      <c r="E5789">
        <v>0.63049419999999901</v>
      </c>
      <c r="F5789" t="s">
        <v>43</v>
      </c>
      <c r="G5789">
        <v>-303.70190000000002</v>
      </c>
      <c r="H5789">
        <v>-0.05</v>
      </c>
      <c r="I5789">
        <v>-0.1269226</v>
      </c>
      <c r="J5789">
        <v>-304.97210000000001</v>
      </c>
      <c r="K5789">
        <v>1.0504659999999999</v>
      </c>
      <c r="L5789">
        <v>7.6349789999999897</v>
      </c>
      <c r="M5789">
        <v>0.71089399999999903</v>
      </c>
      <c r="N5789">
        <v>0</v>
      </c>
      <c r="O5789">
        <v>-0.70315729999999999</v>
      </c>
      <c r="P5789">
        <v>0.48117149999999997</v>
      </c>
      <c r="Q5789">
        <v>4.9205640000000002E-2</v>
      </c>
      <c r="R5789">
        <v>-0.87524480000000004</v>
      </c>
      <c r="S5789">
        <v>0.56378169999999905</v>
      </c>
      <c r="T5789">
        <v>-0.43848789999999999</v>
      </c>
      <c r="U5789">
        <v>-3.1549990000000001</v>
      </c>
      <c r="V5789">
        <v>0.28529019999999999</v>
      </c>
      <c r="W5789">
        <v>5.6049349999999998E-2</v>
      </c>
      <c r="X5789">
        <v>0.95680089999999995</v>
      </c>
      <c r="Y5789">
        <v>0.57593319999999903</v>
      </c>
      <c r="Z5789">
        <v>6.4925170000000004E-2</v>
      </c>
      <c r="AA5789">
        <v>0.81491459999999905</v>
      </c>
      <c r="AB5789">
        <v>26</v>
      </c>
      <c r="AC5789">
        <v>1.27019999999998</v>
      </c>
      <c r="AD5789">
        <v>-1.1004659999999999</v>
      </c>
      <c r="AE5789">
        <v>-7.7619015999999998</v>
      </c>
      <c r="AF5789">
        <v>4.53639270012214</v>
      </c>
      <c r="AG5789">
        <v>-1.1004659999999999</v>
      </c>
      <c r="AH5789">
        <v>6.2393049687654898</v>
      </c>
      <c r="AI5789">
        <v>98.118802233852406</v>
      </c>
      <c r="AJ5789">
        <v>53.980337177597796</v>
      </c>
      <c r="AK5789">
        <v>7.7922275788210396</v>
      </c>
      <c r="AL5789">
        <v>86.786924956347704</v>
      </c>
      <c r="AM5789">
        <v>73.396949826651493</v>
      </c>
      <c r="AN5789">
        <v>0.99999999504613601</v>
      </c>
    </row>
    <row r="5790" spans="1:40" x14ac:dyDescent="0.25">
      <c r="A5790" t="str">
        <f>"20190312151139962"</f>
        <v>20190312151139962</v>
      </c>
      <c r="B5790" t="str">
        <f>"1552374699957456"</f>
        <v>1552374699957456</v>
      </c>
      <c r="C5790" t="s">
        <v>40</v>
      </c>
      <c r="D5790">
        <v>5.4730910000000002</v>
      </c>
      <c r="E5790">
        <v>0.62964409999999904</v>
      </c>
      <c r="F5790" t="s">
        <v>43</v>
      </c>
      <c r="G5790">
        <v>-303.64170000000001</v>
      </c>
      <c r="H5790">
        <v>-0.05</v>
      </c>
      <c r="I5790">
        <v>-0.2597351</v>
      </c>
      <c r="J5790">
        <v>-304.79419999999999</v>
      </c>
      <c r="K5790">
        <v>1.0504439999999999</v>
      </c>
      <c r="L5790">
        <v>7.4375309999999999</v>
      </c>
      <c r="M5790">
        <v>0.70103509999999902</v>
      </c>
      <c r="N5790">
        <v>0</v>
      </c>
      <c r="O5790">
        <v>-0.71298649999999997</v>
      </c>
      <c r="P5790">
        <v>0.46946320000000002</v>
      </c>
      <c r="Q5790">
        <v>4.9172840000000002E-2</v>
      </c>
      <c r="R5790">
        <v>-0.88158189999999903</v>
      </c>
      <c r="S5790">
        <v>0.53244019999999903</v>
      </c>
      <c r="T5790">
        <v>-0.44043490000000002</v>
      </c>
      <c r="U5790">
        <v>-3.1596679999999999</v>
      </c>
      <c r="V5790">
        <v>0.28472380000000003</v>
      </c>
      <c r="W5790">
        <v>5.6027929999999997E-2</v>
      </c>
      <c r="X5790">
        <v>0.95697089999999996</v>
      </c>
      <c r="Y5790">
        <v>0.57264999999999999</v>
      </c>
      <c r="Z5790">
        <v>6.7197590000000001E-2</v>
      </c>
      <c r="AA5790">
        <v>0.81704129999999997</v>
      </c>
      <c r="AB5790">
        <v>26</v>
      </c>
      <c r="AC5790">
        <v>1.1524999999999701</v>
      </c>
      <c r="AD5790">
        <v>-1.100444</v>
      </c>
      <c r="AE5790">
        <v>-7.6972660999999896</v>
      </c>
      <c r="AF5790">
        <v>4.4851321620454998</v>
      </c>
      <c r="AG5790">
        <v>-1.100444</v>
      </c>
      <c r="AH5790">
        <v>6.1732110317519897</v>
      </c>
      <c r="AI5790">
        <v>98.206386653709401</v>
      </c>
      <c r="AJ5790">
        <v>53.999806744404601</v>
      </c>
      <c r="AK5790">
        <v>7.7094696283658397</v>
      </c>
      <c r="AL5790">
        <v>86.788154299499297</v>
      </c>
      <c r="AM5790">
        <v>73.430885622339204</v>
      </c>
      <c r="AN5790">
        <v>1.00000003733666</v>
      </c>
    </row>
    <row r="5791" spans="1:40" x14ac:dyDescent="0.25">
      <c r="A5791" t="str">
        <f>"20190312151139984"</f>
        <v>20190312151139984</v>
      </c>
      <c r="B5791" t="str">
        <f>"1552374699977025"</f>
        <v>1552374699977025</v>
      </c>
      <c r="C5791" t="s">
        <v>40</v>
      </c>
      <c r="D5791">
        <v>5.4340299999999999</v>
      </c>
      <c r="E5791">
        <v>0.62002330000000005</v>
      </c>
      <c r="F5791" t="s">
        <v>43</v>
      </c>
      <c r="G5791">
        <v>-303.55220000000003</v>
      </c>
      <c r="H5791">
        <v>-0.05</v>
      </c>
      <c r="I5791">
        <v>-0.47056579999999898</v>
      </c>
      <c r="J5791">
        <v>-304.61860000000001</v>
      </c>
      <c r="K5791">
        <v>1.0504359999999999</v>
      </c>
      <c r="L5791">
        <v>7.2372439999999996</v>
      </c>
      <c r="M5791">
        <v>0.69100059999999996</v>
      </c>
      <c r="N5791">
        <v>0</v>
      </c>
      <c r="O5791">
        <v>-0.72271589999999997</v>
      </c>
      <c r="P5791">
        <v>0.45741300000000001</v>
      </c>
      <c r="Q5791">
        <v>4.9582609999999999E-2</v>
      </c>
      <c r="R5791">
        <v>-0.88787109999999902</v>
      </c>
      <c r="S5791">
        <v>0.49676510000000001</v>
      </c>
      <c r="T5791">
        <v>-0.44014360000000002</v>
      </c>
      <c r="U5791">
        <v>-3.1629939999999999</v>
      </c>
      <c r="V5791">
        <v>0.28437570000000001</v>
      </c>
      <c r="W5791">
        <v>5.6446400000000001E-2</v>
      </c>
      <c r="X5791">
        <v>0.95704979999999995</v>
      </c>
      <c r="Y5791">
        <v>0.57035040000000004</v>
      </c>
      <c r="Z5791">
        <v>6.9102440000000001E-2</v>
      </c>
      <c r="AA5791">
        <v>0.81848959999999904</v>
      </c>
      <c r="AB5791">
        <v>26</v>
      </c>
      <c r="AC5791">
        <v>1.06639999999998</v>
      </c>
      <c r="AD5791">
        <v>-1.100436</v>
      </c>
      <c r="AE5791">
        <v>-7.7078097999999997</v>
      </c>
      <c r="AF5791">
        <v>4.46652127994202</v>
      </c>
      <c r="AG5791">
        <v>-1.100436</v>
      </c>
      <c r="AH5791">
        <v>6.1843817449515797</v>
      </c>
      <c r="AI5791">
        <v>98.208313419678902</v>
      </c>
      <c r="AJ5791">
        <v>54.162204856413901</v>
      </c>
      <c r="AK5791">
        <v>7.7076163177444901</v>
      </c>
      <c r="AL5791">
        <v>86.764139698164698</v>
      </c>
      <c r="AM5791">
        <v>73.451323853673301</v>
      </c>
      <c r="AN5791">
        <v>1.00000002725174</v>
      </c>
    </row>
    <row r="5792" spans="1:40" x14ac:dyDescent="0.25">
      <c r="A5792" t="str">
        <f>"20190312151140027"</f>
        <v>20190312151140027</v>
      </c>
      <c r="B5792" t="str">
        <f>"1552374700017042"</f>
        <v>1552374700017042</v>
      </c>
      <c r="C5792" t="s">
        <v>40</v>
      </c>
      <c r="D5792">
        <v>5.5301999999999998</v>
      </c>
      <c r="E5792">
        <v>0.61772139999999998</v>
      </c>
      <c r="F5792" t="s">
        <v>43</v>
      </c>
      <c r="G5792">
        <v>-303.32589999999999</v>
      </c>
      <c r="H5792">
        <v>-0.05</v>
      </c>
      <c r="I5792">
        <v>-0.52784730000000002</v>
      </c>
      <c r="J5792">
        <v>-304.28660000000002</v>
      </c>
      <c r="K5792">
        <v>1.0504439999999999</v>
      </c>
      <c r="L5792">
        <v>6.8423769999999999</v>
      </c>
      <c r="M5792">
        <v>0.6711376</v>
      </c>
      <c r="N5792">
        <v>0</v>
      </c>
      <c r="O5792">
        <v>-0.74119780000000002</v>
      </c>
      <c r="P5792">
        <v>0.4334307</v>
      </c>
      <c r="Q5792">
        <v>4.9697430000000001E-2</v>
      </c>
      <c r="R5792">
        <v>-0.899815699999999</v>
      </c>
      <c r="S5792">
        <v>0.52185059999999905</v>
      </c>
      <c r="T5792">
        <v>-0.4442586</v>
      </c>
      <c r="U5792">
        <v>-3.1348569999999998</v>
      </c>
      <c r="V5792">
        <v>0.28408109999999998</v>
      </c>
      <c r="W5792">
        <v>5.6575420000000001E-2</v>
      </c>
      <c r="X5792">
        <v>0.95712969999999997</v>
      </c>
      <c r="Y5792">
        <v>0.54036949999999995</v>
      </c>
      <c r="Z5792">
        <v>7.5500049999999999E-2</v>
      </c>
      <c r="AA5792">
        <v>0.83803379999999905</v>
      </c>
      <c r="AB5792">
        <v>26</v>
      </c>
      <c r="AC5792">
        <v>0.96070000000003097</v>
      </c>
      <c r="AD5792">
        <v>-1.100444</v>
      </c>
      <c r="AE5792">
        <v>-7.3702243000000003</v>
      </c>
      <c r="AF5792">
        <v>4.1439507880872197</v>
      </c>
      <c r="AG5792">
        <v>-1.100444</v>
      </c>
      <c r="AH5792">
        <v>5.9771431362331597</v>
      </c>
      <c r="AI5792">
        <v>98.603734945054498</v>
      </c>
      <c r="AJ5792">
        <v>55.2664468035345</v>
      </c>
      <c r="AK5792">
        <v>7.3559190589785501</v>
      </c>
      <c r="AL5792">
        <v>86.756735658525699</v>
      </c>
      <c r="AM5792">
        <v>73.468835995886394</v>
      </c>
      <c r="AN5792">
        <v>1.0000000560737301</v>
      </c>
    </row>
    <row r="5793" spans="1:40" x14ac:dyDescent="0.25">
      <c r="A5793" t="str">
        <f>"20190312151140051"</f>
        <v>20190312151140051</v>
      </c>
      <c r="B5793" t="str">
        <f>"1552374700047298"</f>
        <v>1552374700047298</v>
      </c>
      <c r="C5793" t="s">
        <v>40</v>
      </c>
      <c r="D5793">
        <v>5.4239680000000003</v>
      </c>
      <c r="E5793">
        <v>0.61779830000000002</v>
      </c>
      <c r="F5793" t="s">
        <v>42</v>
      </c>
      <c r="G5793">
        <v>-303.23270000000002</v>
      </c>
      <c r="H5793" s="1">
        <v>-4.839309E-6</v>
      </c>
      <c r="I5793">
        <v>-0.44118020000000002</v>
      </c>
      <c r="J5793">
        <v>-304.11610000000002</v>
      </c>
      <c r="K5793">
        <v>1.0504530000000001</v>
      </c>
      <c r="L5793">
        <v>6.6310119999999904</v>
      </c>
      <c r="M5793">
        <v>0.66047690000000003</v>
      </c>
      <c r="N5793">
        <v>0</v>
      </c>
      <c r="O5793">
        <v>-0.75071319999999997</v>
      </c>
      <c r="P5793">
        <v>0.42064259999999898</v>
      </c>
      <c r="Q5793">
        <v>5.0033250000000001E-2</v>
      </c>
      <c r="R5793">
        <v>-0.90584600000000004</v>
      </c>
      <c r="S5793">
        <v>0.45434570000000002</v>
      </c>
      <c r="T5793">
        <v>-0.45288089999999998</v>
      </c>
      <c r="U5793">
        <v>-3.1401669999999999</v>
      </c>
      <c r="V5793">
        <v>0.28395429999999999</v>
      </c>
      <c r="W5793">
        <v>5.6921039999999999E-2</v>
      </c>
      <c r="X5793">
        <v>0.95714679999999996</v>
      </c>
      <c r="Y5793">
        <v>0.54615729999999996</v>
      </c>
      <c r="Z5793">
        <v>7.849739E-2</v>
      </c>
      <c r="AA5793">
        <v>0.83399669999999904</v>
      </c>
      <c r="AB5793">
        <v>26</v>
      </c>
      <c r="AC5793">
        <v>0.88339999999999397</v>
      </c>
      <c r="AD5793">
        <v>-1.0504578393089901</v>
      </c>
      <c r="AE5793">
        <v>-7.0721921999999902</v>
      </c>
      <c r="AF5793">
        <v>3.92301948578138</v>
      </c>
      <c r="AG5793">
        <v>-1.0504578393089901</v>
      </c>
      <c r="AH5793">
        <v>5.7679439538245703</v>
      </c>
      <c r="AI5793">
        <v>98.563818458203301</v>
      </c>
      <c r="AJ5793">
        <v>55.778744630901997</v>
      </c>
      <c r="AK5793">
        <v>7.0542697008583097</v>
      </c>
      <c r="AL5793">
        <v>86.736901021307304</v>
      </c>
      <c r="AM5793">
        <v>73.476091338677406</v>
      </c>
      <c r="AN5793">
        <v>1.0000000230167001</v>
      </c>
    </row>
    <row r="5794" spans="1:40" x14ac:dyDescent="0.25">
      <c r="A5794" t="str">
        <f>"20190312151140075"</f>
        <v>20190312151140075</v>
      </c>
      <c r="B5794" t="str">
        <f>"1552374700066821"</f>
        <v>1552374700066821</v>
      </c>
      <c r="C5794" t="s">
        <v>40</v>
      </c>
      <c r="D5794">
        <v>5.4035520000000004</v>
      </c>
      <c r="E5794">
        <v>0.62477919999999998</v>
      </c>
      <c r="F5794" t="s">
        <v>42</v>
      </c>
      <c r="G5794">
        <v>-303.1395</v>
      </c>
      <c r="H5794" s="1">
        <v>-4.6581670000000003E-6</v>
      </c>
      <c r="I5794">
        <v>-0.86980630000000003</v>
      </c>
      <c r="J5794">
        <v>-303.95409999999998</v>
      </c>
      <c r="K5794">
        <v>1.0504639999999901</v>
      </c>
      <c r="L5794">
        <v>6.4242249999999999</v>
      </c>
      <c r="M5794">
        <v>0.65002799999999905</v>
      </c>
      <c r="N5794">
        <v>0</v>
      </c>
      <c r="O5794">
        <v>-0.75977859999999997</v>
      </c>
      <c r="P5794">
        <v>0.40832689999999999</v>
      </c>
      <c r="Q5794">
        <v>5.0220109999999998E-2</v>
      </c>
      <c r="R5794">
        <v>-0.91145370000000003</v>
      </c>
      <c r="S5794">
        <v>0.40963749999999999</v>
      </c>
      <c r="T5794">
        <v>-0.44057449999999998</v>
      </c>
      <c r="U5794">
        <v>-3.1459350000000001</v>
      </c>
      <c r="V5794">
        <v>0.28368179999999998</v>
      </c>
      <c r="W5794">
        <v>5.7121470000000001E-2</v>
      </c>
      <c r="X5794">
        <v>0.95721560000000006</v>
      </c>
      <c r="Y5794">
        <v>0.54645100000000002</v>
      </c>
      <c r="Z5794">
        <v>7.8060340000000006E-2</v>
      </c>
      <c r="AA5794">
        <v>0.83384530000000001</v>
      </c>
      <c r="AB5794">
        <v>26</v>
      </c>
      <c r="AC5794">
        <v>0.814599999999984</v>
      </c>
      <c r="AD5794">
        <v>-1.05046865816699</v>
      </c>
      <c r="AE5794">
        <v>-7.2940312999999897</v>
      </c>
      <c r="AF5794">
        <v>4.0400585559332596</v>
      </c>
      <c r="AG5794">
        <v>-1.05046865816699</v>
      </c>
      <c r="AH5794">
        <v>5.9500785074660802</v>
      </c>
      <c r="AI5794">
        <v>98.309850272444194</v>
      </c>
      <c r="AJ5794">
        <v>55.8237903112773</v>
      </c>
      <c r="AK5794">
        <v>7.2683555074150297</v>
      </c>
      <c r="AL5794">
        <v>86.725398324714604</v>
      </c>
      <c r="AM5794">
        <v>73.492207100577502</v>
      </c>
      <c r="AN5794">
        <v>0.99999996543477998</v>
      </c>
    </row>
    <row r="5795" spans="1:40" x14ac:dyDescent="0.25">
      <c r="A5795" t="str">
        <f>"20190312151140096"</f>
        <v>20190312151140096</v>
      </c>
      <c r="B5795" t="str">
        <f>"1552374700087320"</f>
        <v>1552374700087320</v>
      </c>
      <c r="C5795" t="s">
        <v>40</v>
      </c>
      <c r="D5795">
        <v>5.4742800000000003</v>
      </c>
      <c r="E5795">
        <v>0.624</v>
      </c>
      <c r="F5795" t="s">
        <v>42</v>
      </c>
      <c r="G5795">
        <v>-302.88060000000002</v>
      </c>
      <c r="H5795" s="1">
        <v>-3.2000120000000002E-6</v>
      </c>
      <c r="I5795">
        <v>-4.3145280000000001</v>
      </c>
      <c r="J5795">
        <v>-303.79820000000001</v>
      </c>
      <c r="K5795">
        <v>1.0504659999999999</v>
      </c>
      <c r="L5795">
        <v>6.2195130000000001</v>
      </c>
      <c r="M5795">
        <v>0.63967339999999995</v>
      </c>
      <c r="N5795">
        <v>0</v>
      </c>
      <c r="O5795">
        <v>-0.76851639999999999</v>
      </c>
      <c r="P5795">
        <v>0.39671129999999999</v>
      </c>
      <c r="Q5795">
        <v>5.0628569999999998E-2</v>
      </c>
      <c r="R5795">
        <v>-0.91654639999999998</v>
      </c>
      <c r="S5795">
        <v>0.31655879999999997</v>
      </c>
      <c r="T5795">
        <v>-0.30976589999999998</v>
      </c>
      <c r="U5795">
        <v>-3.166687</v>
      </c>
      <c r="V5795">
        <v>0.28286909999999998</v>
      </c>
      <c r="W5795">
        <v>5.7558959999999999E-2</v>
      </c>
      <c r="X5795">
        <v>0.95742989999999994</v>
      </c>
      <c r="Y5795">
        <v>0.5600079</v>
      </c>
      <c r="Z5795">
        <v>5.5522559999999999E-2</v>
      </c>
      <c r="AA5795">
        <v>0.82662479999999905</v>
      </c>
      <c r="AB5795">
        <v>26</v>
      </c>
      <c r="AC5795">
        <v>0.91759999999999298</v>
      </c>
      <c r="AD5795">
        <v>-1.0504692000119999</v>
      </c>
      <c r="AE5795">
        <v>-10.534041</v>
      </c>
      <c r="AF5795">
        <v>5.9747920238917596</v>
      </c>
      <c r="AG5795">
        <v>-1.0504692000119999</v>
      </c>
      <c r="AH5795">
        <v>8.5985549065634697</v>
      </c>
      <c r="AI5795">
        <v>95.729067814889007</v>
      </c>
      <c r="AJ5795">
        <v>55.206107935009697</v>
      </c>
      <c r="AK5795">
        <v>10.523154078037599</v>
      </c>
      <c r="AL5795">
        <v>86.700290756300703</v>
      </c>
      <c r="AM5795">
        <v>73.540420871018398</v>
      </c>
      <c r="AN5795">
        <v>0.99999998751255004</v>
      </c>
    </row>
    <row r="5796" spans="1:40" x14ac:dyDescent="0.25">
      <c r="A5796" t="str">
        <f>"20190312151140117"</f>
        <v>20190312151140117</v>
      </c>
      <c r="B5796" t="str">
        <f>"1552374700106834"</f>
        <v>1552374700106834</v>
      </c>
      <c r="C5796" t="s">
        <v>40</v>
      </c>
      <c r="D5796">
        <v>5.4759149999999996</v>
      </c>
      <c r="E5796">
        <v>0.62330350000000001</v>
      </c>
      <c r="F5796" t="s">
        <v>42</v>
      </c>
      <c r="G5796">
        <v>-302.8338</v>
      </c>
      <c r="H5796" s="1">
        <v>-3.0469949999999999E-6</v>
      </c>
      <c r="I5796">
        <v>-4.6118870000000003</v>
      </c>
      <c r="J5796">
        <v>-303.64229999999998</v>
      </c>
      <c r="K5796">
        <v>1.0504819999999999</v>
      </c>
      <c r="L5796">
        <v>6.0090940000000002</v>
      </c>
      <c r="M5796">
        <v>0.62901549999999995</v>
      </c>
      <c r="N5796">
        <v>0</v>
      </c>
      <c r="O5796">
        <v>-0.77726419999999996</v>
      </c>
      <c r="P5796">
        <v>0.38529350000000001</v>
      </c>
      <c r="Q5796">
        <v>5.089167E-2</v>
      </c>
      <c r="R5796">
        <v>-0.92139009999999999</v>
      </c>
      <c r="S5796">
        <v>0.28207399999999999</v>
      </c>
      <c r="T5796">
        <v>-0.30725029999999998</v>
      </c>
      <c r="U5796">
        <v>-3.1680600000000001</v>
      </c>
      <c r="V5796">
        <v>0.2815568</v>
      </c>
      <c r="W5796">
        <v>5.7864100000000002E-2</v>
      </c>
      <c r="X5796">
        <v>0.95779820000000004</v>
      </c>
      <c r="Y5796">
        <v>0.55755200000000005</v>
      </c>
      <c r="Z5796">
        <v>5.635921E-2</v>
      </c>
      <c r="AA5796">
        <v>0.82822669999999998</v>
      </c>
      <c r="AB5796">
        <v>26</v>
      </c>
      <c r="AC5796">
        <v>0.80849999999998001</v>
      </c>
      <c r="AD5796">
        <v>-1.050485046995</v>
      </c>
      <c r="AE5796">
        <v>-10.620981</v>
      </c>
      <c r="AF5796">
        <v>5.9946436547794404</v>
      </c>
      <c r="AG5796">
        <v>-1.050485046995</v>
      </c>
      <c r="AH5796">
        <v>8.6803171528573202</v>
      </c>
      <c r="AI5796">
        <v>95.686792921361501</v>
      </c>
      <c r="AJ5796">
        <v>55.3709672723895</v>
      </c>
      <c r="AK5796">
        <v>10.6012818685259</v>
      </c>
      <c r="AL5796">
        <v>86.682778172169606</v>
      </c>
      <c r="AM5796">
        <v>73.618638968963097</v>
      </c>
      <c r="AN5796">
        <v>0.99999993880914295</v>
      </c>
    </row>
    <row r="5797" spans="1:40" x14ac:dyDescent="0.25">
      <c r="A5797" t="str">
        <f>"20190312151140140"</f>
        <v>20190312151140140</v>
      </c>
      <c r="B5797" t="str">
        <f>"1552374700137090"</f>
        <v>1552374700137090</v>
      </c>
      <c r="C5797" t="s">
        <v>40</v>
      </c>
      <c r="D5797">
        <v>5.4595789999999997</v>
      </c>
      <c r="E5797">
        <v>0.62144960000000005</v>
      </c>
      <c r="F5797" t="s">
        <v>42</v>
      </c>
      <c r="G5797">
        <v>-302.79579999999999</v>
      </c>
      <c r="H5797" s="1">
        <v>-2.9466680000000001E-6</v>
      </c>
      <c r="I5797">
        <v>-4.8027769999999999</v>
      </c>
      <c r="J5797">
        <v>-303.49029999999999</v>
      </c>
      <c r="K5797">
        <v>1.050494</v>
      </c>
      <c r="L5797">
        <v>5.7973939999999997</v>
      </c>
      <c r="M5797">
        <v>0.61829250000000002</v>
      </c>
      <c r="N5797">
        <v>0</v>
      </c>
      <c r="O5797">
        <v>-0.78582099999999999</v>
      </c>
      <c r="P5797">
        <v>0.37442619999999999</v>
      </c>
      <c r="Q5797">
        <v>5.1836880000000002E-2</v>
      </c>
      <c r="R5797">
        <v>-0.92580720000000005</v>
      </c>
      <c r="S5797">
        <v>0.24810789999999999</v>
      </c>
      <c r="T5797">
        <v>-0.30791940000000001</v>
      </c>
      <c r="U5797">
        <v>-3.1691889999999998</v>
      </c>
      <c r="V5797">
        <v>0.27967180000000003</v>
      </c>
      <c r="W5797">
        <v>5.8867089999999997E-2</v>
      </c>
      <c r="X5797">
        <v>0.95828930000000001</v>
      </c>
      <c r="Y5797">
        <v>0.55501469999999997</v>
      </c>
      <c r="Z5797">
        <v>5.7749290000000002E-2</v>
      </c>
      <c r="AA5797">
        <v>0.829833499999999</v>
      </c>
      <c r="AB5797">
        <v>26</v>
      </c>
      <c r="AC5797">
        <v>0.694500000000005</v>
      </c>
      <c r="AD5797">
        <v>-1.0504969466680001</v>
      </c>
      <c r="AE5797">
        <v>-10.600171</v>
      </c>
      <c r="AF5797">
        <v>5.9506609402668698</v>
      </c>
      <c r="AG5797">
        <v>-1.0504969466680001</v>
      </c>
      <c r="AH5797">
        <v>8.67527869815226</v>
      </c>
      <c r="AI5797">
        <v>95.702476988483994</v>
      </c>
      <c r="AJ5797">
        <v>55.552483500491597</v>
      </c>
      <c r="AK5797">
        <v>10.572339852255499</v>
      </c>
      <c r="AL5797">
        <v>86.625213201089906</v>
      </c>
      <c r="AM5797">
        <v>73.730386822545398</v>
      </c>
      <c r="AN5797">
        <v>1.0000000162473901</v>
      </c>
    </row>
    <row r="5798" spans="1:40" x14ac:dyDescent="0.25">
      <c r="A5798" t="str">
        <f>"20190312151140163"</f>
        <v>20190312151140163</v>
      </c>
      <c r="B5798" t="str">
        <f>"1552374700156609"</f>
        <v>1552374700156609</v>
      </c>
      <c r="C5798" t="s">
        <v>40</v>
      </c>
      <c r="D5798">
        <v>5.4962339999999896</v>
      </c>
      <c r="E5798">
        <v>0.61414990000000003</v>
      </c>
      <c r="F5798" t="s">
        <v>42</v>
      </c>
      <c r="G5798">
        <v>-302.73439999999999</v>
      </c>
      <c r="H5798" s="1">
        <v>-2.9080170000000002E-6</v>
      </c>
      <c r="I5798">
        <v>-4.849971</v>
      </c>
      <c r="J5798">
        <v>-303.33370000000002</v>
      </c>
      <c r="K5798">
        <v>1.0505139999999999</v>
      </c>
      <c r="L5798">
        <v>5.5726930000000001</v>
      </c>
      <c r="M5798">
        <v>0.60689789999999999</v>
      </c>
      <c r="N5798">
        <v>0</v>
      </c>
      <c r="O5798">
        <v>-0.79465410000000003</v>
      </c>
      <c r="P5798">
        <v>0.3621665</v>
      </c>
      <c r="Q5798">
        <v>5.2945270000000003E-2</v>
      </c>
      <c r="R5798">
        <v>-0.93060869999999996</v>
      </c>
      <c r="S5798">
        <v>0.224823</v>
      </c>
      <c r="T5798">
        <v>-0.31246390000000002</v>
      </c>
      <c r="U5798">
        <v>-3.166992</v>
      </c>
      <c r="V5798">
        <v>0.27849639999999998</v>
      </c>
      <c r="W5798">
        <v>6.0013759999999999E-2</v>
      </c>
      <c r="X5798">
        <v>0.95856050000000004</v>
      </c>
      <c r="Y5798">
        <v>0.5490448</v>
      </c>
      <c r="Z5798">
        <v>6.0100750000000001E-2</v>
      </c>
      <c r="AA5798">
        <v>0.83362930000000002</v>
      </c>
      <c r="AB5798">
        <v>26</v>
      </c>
      <c r="AC5798">
        <v>0.59930000000002703</v>
      </c>
      <c r="AD5798">
        <v>-1.050516908017</v>
      </c>
      <c r="AE5798">
        <v>-10.422663999999999</v>
      </c>
      <c r="AF5798">
        <v>5.7912024842847796</v>
      </c>
      <c r="AG5798">
        <v>-1.050516908017</v>
      </c>
      <c r="AH5798">
        <v>8.5603132904963495</v>
      </c>
      <c r="AI5798">
        <v>95.803854542092296</v>
      </c>
      <c r="AJ5798">
        <v>55.9209573663491</v>
      </c>
      <c r="AK5798">
        <v>10.3884828353068</v>
      </c>
      <c r="AL5798">
        <v>86.559397640374499</v>
      </c>
      <c r="AM5798">
        <v>73.799513237080504</v>
      </c>
      <c r="AN5798">
        <v>1.0000000641812701</v>
      </c>
    </row>
    <row r="5799" spans="1:40" x14ac:dyDescent="0.25">
      <c r="A5799" t="str">
        <f>"20190312151140185"</f>
        <v>20190312151140185</v>
      </c>
      <c r="B5799" t="str">
        <f>"1552374700177106"</f>
        <v>1552374700177106</v>
      </c>
      <c r="C5799" t="s">
        <v>40</v>
      </c>
      <c r="D5799">
        <v>5.4765129999999997</v>
      </c>
      <c r="E5799">
        <v>0.61362019999999995</v>
      </c>
      <c r="F5799" t="s">
        <v>42</v>
      </c>
      <c r="G5799">
        <v>-302.51600000000002</v>
      </c>
      <c r="H5799" s="1">
        <v>-2.657762E-6</v>
      </c>
      <c r="I5799">
        <v>-5.2564120000000001</v>
      </c>
      <c r="J5799">
        <v>-303.18729999999999</v>
      </c>
      <c r="K5799">
        <v>1.050524</v>
      </c>
      <c r="L5799">
        <v>5.3563839999999896</v>
      </c>
      <c r="M5799">
        <v>0.5959179</v>
      </c>
      <c r="N5799">
        <v>0</v>
      </c>
      <c r="O5799">
        <v>-0.80292089999999905</v>
      </c>
      <c r="P5799">
        <v>0.35091869999999997</v>
      </c>
      <c r="Q5799">
        <v>5.349392E-2</v>
      </c>
      <c r="R5799">
        <v>-0.93487699999999996</v>
      </c>
      <c r="S5799">
        <v>0.23776249999999999</v>
      </c>
      <c r="T5799">
        <v>-0.30543759999999998</v>
      </c>
      <c r="U5799">
        <v>-3.1485599999999998</v>
      </c>
      <c r="V5799">
        <v>0.27687050000000002</v>
      </c>
      <c r="W5799">
        <v>6.0613010000000002E-2</v>
      </c>
      <c r="X5799">
        <v>0.9589936</v>
      </c>
      <c r="Y5799">
        <v>0.53374809999999995</v>
      </c>
      <c r="Z5799">
        <v>6.0760479999999999E-2</v>
      </c>
      <c r="AA5799">
        <v>0.84345780000000004</v>
      </c>
      <c r="AB5799">
        <v>26</v>
      </c>
      <c r="AC5799">
        <v>0.67130000000002998</v>
      </c>
      <c r="AD5799">
        <v>-1.050526657762</v>
      </c>
      <c r="AE5799">
        <v>-10.612795999999999</v>
      </c>
      <c r="AF5799">
        <v>5.73001147581589</v>
      </c>
      <c r="AG5799">
        <v>-1.050526657762</v>
      </c>
      <c r="AH5799">
        <v>8.8359342808692602</v>
      </c>
      <c r="AI5799">
        <v>95.696608099589199</v>
      </c>
      <c r="AJ5799">
        <v>57.037010726112896</v>
      </c>
      <c r="AK5799">
        <v>10.583495282159401</v>
      </c>
      <c r="AL5799">
        <v>86.525000190574602</v>
      </c>
      <c r="AM5799">
        <v>73.896072194055904</v>
      </c>
      <c r="AN5799">
        <v>0.99999996779623401</v>
      </c>
    </row>
    <row r="5800" spans="1:40" x14ac:dyDescent="0.25">
      <c r="A5800" t="str">
        <f>"20190312151140207"</f>
        <v>20190312151140207</v>
      </c>
      <c r="B5800" t="str">
        <f>"1552374700196626"</f>
        <v>1552374700196626</v>
      </c>
      <c r="C5800" t="s">
        <v>40</v>
      </c>
      <c r="D5800">
        <v>5.4633269999999996</v>
      </c>
      <c r="E5800">
        <v>0.61210220000000004</v>
      </c>
      <c r="F5800" t="s">
        <v>42</v>
      </c>
      <c r="G5800">
        <v>-302.51589999999999</v>
      </c>
      <c r="H5800" s="1">
        <v>-2.751738E-6</v>
      </c>
      <c r="I5800">
        <v>-5.0575799999999997</v>
      </c>
      <c r="J5800">
        <v>-303.04419999999999</v>
      </c>
      <c r="K5800">
        <v>1.050535</v>
      </c>
      <c r="L5800">
        <v>5.1384280000000002</v>
      </c>
      <c r="M5800">
        <v>0.58484630000000004</v>
      </c>
      <c r="N5800">
        <v>0</v>
      </c>
      <c r="O5800">
        <v>-0.81102069999999904</v>
      </c>
      <c r="P5800">
        <v>0.33970099999999998</v>
      </c>
      <c r="Q5800">
        <v>5.314526E-2</v>
      </c>
      <c r="R5800">
        <v>-0.93903110000000001</v>
      </c>
      <c r="S5800">
        <v>0.20315549999999999</v>
      </c>
      <c r="T5800">
        <v>-0.31785350000000001</v>
      </c>
      <c r="U5800">
        <v>-3.150909</v>
      </c>
      <c r="V5800">
        <v>0.27519500000000002</v>
      </c>
      <c r="W5800">
        <v>6.0317429999999998E-2</v>
      </c>
      <c r="X5800">
        <v>0.95949439999999997</v>
      </c>
      <c r="Y5800">
        <v>0.53141519999999898</v>
      </c>
      <c r="Z5800">
        <v>6.4428879999999994E-2</v>
      </c>
      <c r="AA5800">
        <v>0.84465780000000001</v>
      </c>
      <c r="AB5800">
        <v>26</v>
      </c>
      <c r="AC5800">
        <v>0.52830000000000099</v>
      </c>
      <c r="AD5800">
        <v>-1.0505377517379999</v>
      </c>
      <c r="AE5800">
        <v>-10.196008000000001</v>
      </c>
      <c r="AF5800">
        <v>5.4771989657495501</v>
      </c>
      <c r="AG5800">
        <v>-1.0505377517379999</v>
      </c>
      <c r="AH5800">
        <v>8.4891270717514704</v>
      </c>
      <c r="AI5800">
        <v>95.936600809646805</v>
      </c>
      <c r="AJ5800">
        <v>57.169824609224797</v>
      </c>
      <c r="AK5800">
        <v>10.1571953076909</v>
      </c>
      <c r="AL5800">
        <v>86.541966805105304</v>
      </c>
      <c r="AM5800">
        <v>73.996446171340693</v>
      </c>
      <c r="AN5800">
        <v>0.99999999200908196</v>
      </c>
    </row>
    <row r="5801" spans="1:40" x14ac:dyDescent="0.25">
      <c r="A5801" t="str">
        <f>"20190312151140229"</f>
        <v>20190312151140229</v>
      </c>
      <c r="B5801" t="str">
        <f>"1552374700226882"</f>
        <v>1552374700226882</v>
      </c>
      <c r="C5801" t="s">
        <v>40</v>
      </c>
      <c r="D5801">
        <v>5.5404410000000004</v>
      </c>
      <c r="E5801">
        <v>0.61074569999999995</v>
      </c>
      <c r="F5801" t="s">
        <v>42</v>
      </c>
      <c r="G5801">
        <v>-302.45819999999998</v>
      </c>
      <c r="H5801" s="1">
        <v>-2.609494E-6</v>
      </c>
      <c r="I5801">
        <v>-5.3260160000000001</v>
      </c>
      <c r="J5801">
        <v>-302.90519999999998</v>
      </c>
      <c r="K5801">
        <v>1.05054</v>
      </c>
      <c r="L5801">
        <v>4.9205019999999999</v>
      </c>
      <c r="M5801">
        <v>0.57377429999999996</v>
      </c>
      <c r="N5801">
        <v>0</v>
      </c>
      <c r="O5801">
        <v>-0.81889129999999999</v>
      </c>
      <c r="P5801">
        <v>0.32840200000000003</v>
      </c>
      <c r="Q5801">
        <v>5.2687159999999997E-2</v>
      </c>
      <c r="R5801">
        <v>-0.94306780000000001</v>
      </c>
      <c r="S5801">
        <v>0.1763306</v>
      </c>
      <c r="T5801">
        <v>-0.31612119999999999</v>
      </c>
      <c r="U5801">
        <v>-3.148895</v>
      </c>
      <c r="V5801">
        <v>0.27368039999999999</v>
      </c>
      <c r="W5801">
        <v>5.991047E-2</v>
      </c>
      <c r="X5801">
        <v>0.95995299999999995</v>
      </c>
      <c r="Y5801">
        <v>0.52705000000000002</v>
      </c>
      <c r="Z5801">
        <v>6.5414319999999998E-2</v>
      </c>
      <c r="AA5801">
        <v>0.84731299999999898</v>
      </c>
      <c r="AB5801">
        <v>26</v>
      </c>
      <c r="AC5801">
        <v>0.44700000000000201</v>
      </c>
      <c r="AD5801">
        <v>-1.050542609494</v>
      </c>
      <c r="AE5801">
        <v>-10.246518</v>
      </c>
      <c r="AF5801">
        <v>5.4564481001958001</v>
      </c>
      <c r="AG5801">
        <v>-1.050542609494</v>
      </c>
      <c r="AH5801">
        <v>8.5583346791224599</v>
      </c>
      <c r="AI5801">
        <v>95.909302116199697</v>
      </c>
      <c r="AJ5801">
        <v>57.480062990024997</v>
      </c>
      <c r="AK5801">
        <v>10.203997164070699</v>
      </c>
      <c r="AL5801">
        <v>86.565326147541896</v>
      </c>
      <c r="AM5801">
        <v>74.087270510136094</v>
      </c>
      <c r="AN5801">
        <v>0.99999999398438999</v>
      </c>
    </row>
    <row r="5802" spans="1:40" x14ac:dyDescent="0.25">
      <c r="A5802" t="str">
        <f>"20190312151140252"</f>
        <v>20190312151140252</v>
      </c>
      <c r="B5802" t="str">
        <f>"1552374700247377"</f>
        <v>1552374700247377</v>
      </c>
      <c r="C5802" t="s">
        <v>40</v>
      </c>
      <c r="D5802">
        <v>5.6427040000000002</v>
      </c>
      <c r="E5802">
        <v>0.60990599999999995</v>
      </c>
      <c r="F5802" t="s">
        <v>42</v>
      </c>
      <c r="G5802">
        <v>-302.43029999999999</v>
      </c>
      <c r="H5802" s="1">
        <v>-2.6730559999999999E-6</v>
      </c>
      <c r="I5802">
        <v>-5.1758410000000001</v>
      </c>
      <c r="J5802">
        <v>-302.76729999999998</v>
      </c>
      <c r="K5802">
        <v>1.0505599999999999</v>
      </c>
      <c r="L5802">
        <v>4.6976319999999996</v>
      </c>
      <c r="M5802">
        <v>0.56245880000000004</v>
      </c>
      <c r="N5802">
        <v>0</v>
      </c>
      <c r="O5802">
        <v>-0.82670440000000001</v>
      </c>
      <c r="P5802">
        <v>0.31723309999999999</v>
      </c>
      <c r="Q5802">
        <v>5.2069360000000002E-2</v>
      </c>
      <c r="R5802">
        <v>-0.94691720000000001</v>
      </c>
      <c r="S5802">
        <v>0.14807129999999999</v>
      </c>
      <c r="T5802">
        <v>-0.3275402</v>
      </c>
      <c r="U5802">
        <v>-3.1478579999999998</v>
      </c>
      <c r="V5802">
        <v>0.27182410000000001</v>
      </c>
      <c r="W5802">
        <v>5.9356409999999998E-2</v>
      </c>
      <c r="X5802">
        <v>0.96051470000000005</v>
      </c>
      <c r="Y5802">
        <v>0.52293319999999999</v>
      </c>
      <c r="Z5802">
        <v>6.9099899999999895E-2</v>
      </c>
      <c r="AA5802">
        <v>0.849568199999999</v>
      </c>
      <c r="AB5802">
        <v>26</v>
      </c>
      <c r="AC5802">
        <v>0.33699999999998898</v>
      </c>
      <c r="AD5802">
        <v>-1.050562673056</v>
      </c>
      <c r="AE5802">
        <v>-9.87347299999999</v>
      </c>
      <c r="AF5802">
        <v>5.2163614520858097</v>
      </c>
      <c r="AG5802">
        <v>-1.050562673056</v>
      </c>
      <c r="AH5802">
        <v>8.2594269256390902</v>
      </c>
      <c r="AI5802">
        <v>96.138177789279396</v>
      </c>
      <c r="AJ5802">
        <v>57.724944371904002</v>
      </c>
      <c r="AK5802">
        <v>9.8250822830548099</v>
      </c>
      <c r="AL5802">
        <v>86.597128087987898</v>
      </c>
      <c r="AM5802">
        <v>74.198573094311499</v>
      </c>
      <c r="AN5802">
        <v>1.0000000068324899</v>
      </c>
    </row>
    <row r="5803" spans="1:40" x14ac:dyDescent="0.25">
      <c r="A5803" t="str">
        <f>"20190312151140274"</f>
        <v>20190312151140274</v>
      </c>
      <c r="B5803" t="str">
        <f>"1552374700266898"</f>
        <v>1552374700266898</v>
      </c>
      <c r="C5803" t="s">
        <v>40</v>
      </c>
      <c r="D5803">
        <v>5.5192870000000003</v>
      </c>
      <c r="E5803">
        <v>0.60858829999999997</v>
      </c>
      <c r="F5803" t="s">
        <v>42</v>
      </c>
      <c r="G5803">
        <v>-302.39800000000002</v>
      </c>
      <c r="H5803" s="1">
        <v>-2.6237800000000001E-6</v>
      </c>
      <c r="I5803">
        <v>-5.2618999999999998</v>
      </c>
      <c r="J5803">
        <v>-302.63279999999997</v>
      </c>
      <c r="K5803">
        <v>1.0505930000000001</v>
      </c>
      <c r="L5803">
        <v>4.473541</v>
      </c>
      <c r="M5803">
        <v>0.55110559999999997</v>
      </c>
      <c r="N5803">
        <v>0</v>
      </c>
      <c r="O5803">
        <v>-0.83431599999999995</v>
      </c>
      <c r="P5803">
        <v>0.30657869999999998</v>
      </c>
      <c r="Q5803">
        <v>5.161872E-2</v>
      </c>
      <c r="R5803">
        <v>-0.95044510000000004</v>
      </c>
      <c r="S5803">
        <v>0.1166992</v>
      </c>
      <c r="T5803">
        <v>-0.33199109999999998</v>
      </c>
      <c r="U5803">
        <v>-3.1473390000000001</v>
      </c>
      <c r="V5803">
        <v>0.26947650000000001</v>
      </c>
      <c r="W5803">
        <v>5.898846E-2</v>
      </c>
      <c r="X5803">
        <v>0.96119860000000001</v>
      </c>
      <c r="Y5803">
        <v>0.51973309999999995</v>
      </c>
      <c r="Z5803">
        <v>7.1319309999999997E-2</v>
      </c>
      <c r="AA5803">
        <v>0.85134669999999901</v>
      </c>
      <c r="AB5803">
        <v>26</v>
      </c>
      <c r="AC5803">
        <v>0.234800000000007</v>
      </c>
      <c r="AD5803">
        <v>-1.0505956237799901</v>
      </c>
      <c r="AE5803">
        <v>-9.7354409999999998</v>
      </c>
      <c r="AF5803">
        <v>5.1103954400250498</v>
      </c>
      <c r="AG5803">
        <v>-1.0505956237799901</v>
      </c>
      <c r="AH5803">
        <v>8.1577109585966792</v>
      </c>
      <c r="AI5803">
        <v>96.228540418378998</v>
      </c>
      <c r="AJ5803">
        <v>57.934926669054398</v>
      </c>
      <c r="AK5803">
        <v>9.6833951071998996</v>
      </c>
      <c r="AL5803">
        <v>86.618247003181907</v>
      </c>
      <c r="AM5803">
        <v>74.338912435275006</v>
      </c>
      <c r="AN5803">
        <v>0.99999998555368996</v>
      </c>
    </row>
    <row r="5804" spans="1:40" x14ac:dyDescent="0.25">
      <c r="A5804" t="str">
        <f>"20190312151140297"</f>
        <v>20190312151140297</v>
      </c>
      <c r="B5804" t="str">
        <f>"1552374700287393"</f>
        <v>1552374700287393</v>
      </c>
      <c r="C5804" t="s">
        <v>40</v>
      </c>
      <c r="D5804">
        <v>5.5355169999999996</v>
      </c>
      <c r="E5804">
        <v>0.59610819999999998</v>
      </c>
      <c r="F5804" t="s">
        <v>42</v>
      </c>
      <c r="G5804">
        <v>-302.34829999999999</v>
      </c>
      <c r="H5804" s="1">
        <v>-2.572058E-6</v>
      </c>
      <c r="I5804">
        <v>-5.3433710000000003</v>
      </c>
      <c r="J5804">
        <v>-302.50069999999999</v>
      </c>
      <c r="K5804">
        <v>1.050646</v>
      </c>
      <c r="L5804">
        <v>4.2468570000000003</v>
      </c>
      <c r="M5804">
        <v>0.5396571</v>
      </c>
      <c r="N5804">
        <v>0</v>
      </c>
      <c r="O5804">
        <v>-0.84176640000000003</v>
      </c>
      <c r="P5804">
        <v>0.29603220000000002</v>
      </c>
      <c r="Q5804">
        <v>5.115111E-2</v>
      </c>
      <c r="R5804">
        <v>-0.95380739999999997</v>
      </c>
      <c r="S5804">
        <v>9.1125490000000003E-2</v>
      </c>
      <c r="T5804">
        <v>-0.3366094</v>
      </c>
      <c r="U5804">
        <v>-3.1453250000000001</v>
      </c>
      <c r="V5804">
        <v>0.26698549999999999</v>
      </c>
      <c r="W5804">
        <v>5.8612890000000001E-2</v>
      </c>
      <c r="X5804">
        <v>0.9619164</v>
      </c>
      <c r="Y5804">
        <v>0.51495800000000003</v>
      </c>
      <c r="Z5804">
        <v>7.3671109999999998E-2</v>
      </c>
      <c r="AA5804">
        <v>0.85404380000000002</v>
      </c>
      <c r="AB5804">
        <v>26</v>
      </c>
      <c r="AC5804">
        <v>0.15240000000000001</v>
      </c>
      <c r="AD5804">
        <v>-1.0506485720580001</v>
      </c>
      <c r="AE5804">
        <v>-9.5902279999999998</v>
      </c>
      <c r="AF5804">
        <v>4.9878040784618403</v>
      </c>
      <c r="AG5804">
        <v>-1.0506485720580001</v>
      </c>
      <c r="AH5804">
        <v>8.0590876722899107</v>
      </c>
      <c r="AI5804">
        <v>96.325675088273599</v>
      </c>
      <c r="AJ5804">
        <v>58.2464565329552</v>
      </c>
      <c r="AK5804">
        <v>9.5357719171938697</v>
      </c>
      <c r="AL5804">
        <v>86.639802738069605</v>
      </c>
      <c r="AM5804">
        <v>74.487695678502803</v>
      </c>
      <c r="AN5804">
        <v>0.99999994433667905</v>
      </c>
    </row>
    <row r="5805" spans="1:40" x14ac:dyDescent="0.25">
      <c r="A5805" t="str">
        <f>"20190312151140319"</f>
        <v>20190312151140319</v>
      </c>
      <c r="B5805" t="str">
        <f>"1552374700306914"</f>
        <v>1552374700306914</v>
      </c>
      <c r="C5805" t="s">
        <v>40</v>
      </c>
      <c r="D5805">
        <v>5.5610739999999996</v>
      </c>
      <c r="E5805">
        <v>0.59558809999999995</v>
      </c>
      <c r="F5805" t="s">
        <v>42</v>
      </c>
      <c r="G5805">
        <v>-302.02960000000002</v>
      </c>
      <c r="H5805" s="1">
        <v>-2.4305540000000001E-6</v>
      </c>
      <c r="I5805">
        <v>-5.4633000000000003</v>
      </c>
      <c r="J5805">
        <v>-302.37509999999997</v>
      </c>
      <c r="K5805">
        <v>1.050716</v>
      </c>
      <c r="L5805">
        <v>4.0241699999999998</v>
      </c>
      <c r="M5805">
        <v>0.52847840000000001</v>
      </c>
      <c r="N5805">
        <v>0</v>
      </c>
      <c r="O5805">
        <v>-0.84882939999999996</v>
      </c>
      <c r="P5805">
        <v>0.28597600000000001</v>
      </c>
      <c r="Q5805">
        <v>5.0430589999999997E-2</v>
      </c>
      <c r="R5805">
        <v>-0.95690920000000002</v>
      </c>
      <c r="S5805">
        <v>0.1512146</v>
      </c>
      <c r="T5805">
        <v>-0.33720339999999999</v>
      </c>
      <c r="U5805">
        <v>-3.1164550000000002</v>
      </c>
      <c r="V5805">
        <v>0.2643817</v>
      </c>
      <c r="W5805">
        <v>5.799882E-2</v>
      </c>
      <c r="X5805">
        <v>0.96267259999999999</v>
      </c>
      <c r="Y5805">
        <v>0.48672219999999999</v>
      </c>
      <c r="Z5805">
        <v>7.6505229999999994E-2</v>
      </c>
      <c r="AA5805">
        <v>0.87020030000000004</v>
      </c>
      <c r="AB5805">
        <v>26</v>
      </c>
      <c r="AC5805">
        <v>0.34549999999995801</v>
      </c>
      <c r="AD5805">
        <v>-1.050718430554</v>
      </c>
      <c r="AE5805">
        <v>-9.4874700000000001</v>
      </c>
      <c r="AF5805">
        <v>4.6639940333036103</v>
      </c>
      <c r="AG5805">
        <v>-1.050718430554</v>
      </c>
      <c r="AH5805">
        <v>8.1369843632385308</v>
      </c>
      <c r="AI5805">
        <v>96.392209264093694</v>
      </c>
      <c r="AJ5805">
        <v>60.179329834056801</v>
      </c>
      <c r="AK5805">
        <v>9.4375507463846695</v>
      </c>
      <c r="AL5805">
        <v>86.675046637919806</v>
      </c>
      <c r="AM5805">
        <v>74.643297747983794</v>
      </c>
      <c r="AN5805">
        <v>1.0000000406035201</v>
      </c>
    </row>
    <row r="5806" spans="1:40" x14ac:dyDescent="0.25">
      <c r="A5806" t="str">
        <f>"20190312151140341"</f>
        <v>20190312151140341</v>
      </c>
      <c r="B5806" t="str">
        <f>"1552374700337170"</f>
        <v>1552374700337170</v>
      </c>
      <c r="C5806" t="s">
        <v>40</v>
      </c>
      <c r="D5806">
        <v>5.5148260000000002</v>
      </c>
      <c r="E5806">
        <v>0.59494449999999999</v>
      </c>
      <c r="F5806" t="s">
        <v>42</v>
      </c>
      <c r="G5806">
        <v>-301.99220000000003</v>
      </c>
      <c r="H5806" s="1">
        <v>-2.2835470000000001E-6</v>
      </c>
      <c r="I5806">
        <v>-5.7532230000000002</v>
      </c>
      <c r="J5806">
        <v>-302.2482</v>
      </c>
      <c r="K5806">
        <v>1.05081</v>
      </c>
      <c r="L5806">
        <v>3.7919010000000002</v>
      </c>
      <c r="M5806">
        <v>0.51690509999999901</v>
      </c>
      <c r="N5806">
        <v>0</v>
      </c>
      <c r="O5806">
        <v>-0.85592649999999904</v>
      </c>
      <c r="P5806">
        <v>0.27608559999999999</v>
      </c>
      <c r="Q5806">
        <v>5.0709110000000002E-2</v>
      </c>
      <c r="R5806">
        <v>-0.9597947</v>
      </c>
      <c r="S5806">
        <v>0.1220398</v>
      </c>
      <c r="T5806">
        <v>-0.33488699999999999</v>
      </c>
      <c r="U5806">
        <v>-3.1162719999999999</v>
      </c>
      <c r="V5806">
        <v>0.26122869999999998</v>
      </c>
      <c r="W5806">
        <v>5.8409620000000002E-2</v>
      </c>
      <c r="X5806">
        <v>0.96350809999999998</v>
      </c>
      <c r="Y5806">
        <v>0.4829985</v>
      </c>
      <c r="Z5806">
        <v>7.7222520000000003E-2</v>
      </c>
      <c r="AA5806">
        <v>0.87220929999999997</v>
      </c>
      <c r="AB5806">
        <v>26</v>
      </c>
      <c r="AC5806">
        <v>0.25599999999997097</v>
      </c>
      <c r="AD5806">
        <v>-1.050812283547</v>
      </c>
      <c r="AE5806">
        <v>-9.5451239999999995</v>
      </c>
      <c r="AF5806">
        <v>4.6588524605917598</v>
      </c>
      <c r="AG5806">
        <v>-1.050812283547</v>
      </c>
      <c r="AH5806">
        <v>8.2037241244910906</v>
      </c>
      <c r="AI5806">
        <v>96.355530020193598</v>
      </c>
      <c r="AJ5806">
        <v>60.407981407534301</v>
      </c>
      <c r="AK5806">
        <v>9.4926393703528102</v>
      </c>
      <c r="AL5806">
        <v>86.651469386161196</v>
      </c>
      <c r="AM5806">
        <v>74.830498649620097</v>
      </c>
      <c r="AN5806">
        <v>0.99999998808892199</v>
      </c>
    </row>
    <row r="5807" spans="1:40" x14ac:dyDescent="0.25">
      <c r="A5807" t="str">
        <f>"20190312151140364"</f>
        <v>20190312151140364</v>
      </c>
      <c r="B5807" t="str">
        <f>"1552374700356690"</f>
        <v>1552374700356690</v>
      </c>
      <c r="C5807" t="s">
        <v>40</v>
      </c>
      <c r="D5807">
        <v>5.5244540000000004</v>
      </c>
      <c r="E5807">
        <v>0.59427730000000001</v>
      </c>
      <c r="F5807" t="s">
        <v>42</v>
      </c>
      <c r="G5807">
        <v>-301.94400000000002</v>
      </c>
      <c r="H5807" s="1">
        <v>-2.0641109999999999E-6</v>
      </c>
      <c r="I5807">
        <v>-6.1903240000000004</v>
      </c>
      <c r="J5807">
        <v>-302.12299999999999</v>
      </c>
      <c r="K5807">
        <v>1.050907</v>
      </c>
      <c r="L5807">
        <v>3.5557249999999998</v>
      </c>
      <c r="M5807">
        <v>0.50521419999999995</v>
      </c>
      <c r="N5807">
        <v>0</v>
      </c>
      <c r="O5807">
        <v>-0.8628789</v>
      </c>
      <c r="P5807">
        <v>0.2663046</v>
      </c>
      <c r="Q5807">
        <v>5.170197E-2</v>
      </c>
      <c r="R5807">
        <v>-0.96250119999999895</v>
      </c>
      <c r="S5807">
        <v>9.4940189999999994E-2</v>
      </c>
      <c r="T5807">
        <v>-0.32798359999999999</v>
      </c>
      <c r="U5807">
        <v>-3.1156920000000001</v>
      </c>
      <c r="V5807">
        <v>0.2579051</v>
      </c>
      <c r="W5807">
        <v>5.95392E-2</v>
      </c>
      <c r="X5807">
        <v>0.96433400000000002</v>
      </c>
      <c r="Y5807">
        <v>0.4786668</v>
      </c>
      <c r="Z5807">
        <v>7.6863089999999995E-2</v>
      </c>
      <c r="AA5807">
        <v>0.87462569999999995</v>
      </c>
      <c r="AB5807">
        <v>26</v>
      </c>
      <c r="AC5807">
        <v>0.17899999999997299</v>
      </c>
      <c r="AD5807">
        <v>-1.0509090641109999</v>
      </c>
      <c r="AE5807">
        <v>-9.7460489999999993</v>
      </c>
      <c r="AF5807">
        <v>4.7150565741613004</v>
      </c>
      <c r="AG5807">
        <v>-1.0509090641109999</v>
      </c>
      <c r="AH5807">
        <v>8.4032646056925593</v>
      </c>
      <c r="AI5807">
        <v>96.224315081916401</v>
      </c>
      <c r="AJ5807">
        <v>60.703295856345797</v>
      </c>
      <c r="AK5807">
        <v>9.6928336616212398</v>
      </c>
      <c r="AL5807">
        <v>86.586636448811205</v>
      </c>
      <c r="AM5807">
        <v>75.027023264717201</v>
      </c>
      <c r="AN5807">
        <v>1.0000000102493201</v>
      </c>
    </row>
    <row r="5808" spans="1:40" x14ac:dyDescent="0.25">
      <c r="A5808" t="str">
        <f>"20190312151140397"</f>
        <v>20190312151140397</v>
      </c>
      <c r="B5808" t="str">
        <f>"1552374700386945"</f>
        <v>1552374700386945</v>
      </c>
      <c r="C5808" t="s">
        <v>40</v>
      </c>
      <c r="D5808">
        <v>5.4219600000000003</v>
      </c>
      <c r="E5808">
        <v>0.59271669999999999</v>
      </c>
      <c r="F5808" t="s">
        <v>42</v>
      </c>
      <c r="G5808">
        <v>-301.90069999999997</v>
      </c>
      <c r="H5808" s="1">
        <v>-1.9228099999999999E-6</v>
      </c>
      <c r="I5808">
        <v>-6.464861</v>
      </c>
      <c r="J5808">
        <v>-301.9479</v>
      </c>
      <c r="K5808">
        <v>1.0510469999999901</v>
      </c>
      <c r="L5808">
        <v>3.2128299999999999</v>
      </c>
      <c r="M5808">
        <v>0.48840119999999998</v>
      </c>
      <c r="N5808">
        <v>0</v>
      </c>
      <c r="O5808">
        <v>-0.87250569999999905</v>
      </c>
      <c r="P5808">
        <v>0.25076110000000001</v>
      </c>
      <c r="Q5808">
        <v>5.1339370000000002E-2</v>
      </c>
      <c r="R5808">
        <v>-0.96668659999999995</v>
      </c>
      <c r="S5808">
        <v>6.9122310000000006E-2</v>
      </c>
      <c r="T5808">
        <v>-0.32671640000000002</v>
      </c>
      <c r="U5808">
        <v>-3.1152950000000001</v>
      </c>
      <c r="V5808">
        <v>0.25473630000000003</v>
      </c>
      <c r="W5808">
        <v>5.9330720000000003E-2</v>
      </c>
      <c r="X5808">
        <v>0.96518870000000001</v>
      </c>
      <c r="Y5808">
        <v>0.46888360000000001</v>
      </c>
      <c r="Z5808">
        <v>7.8344479999999994E-2</v>
      </c>
      <c r="AA5808">
        <v>0.87977850000000002</v>
      </c>
      <c r="AB5808">
        <v>26</v>
      </c>
      <c r="AC5808">
        <v>4.7200000000032098E-2</v>
      </c>
      <c r="AD5808">
        <v>-1.05104892281</v>
      </c>
      <c r="AE5808">
        <v>-9.6776909999999994</v>
      </c>
      <c r="AF5808">
        <v>4.6312528373613597</v>
      </c>
      <c r="AG5808">
        <v>-1.05104892281</v>
      </c>
      <c r="AH5808">
        <v>8.3690204936773593</v>
      </c>
      <c r="AI5808">
        <v>96.2707890600132</v>
      </c>
      <c r="AJ5808">
        <v>61.040712983698398</v>
      </c>
      <c r="AK5808">
        <v>9.6225625851588692</v>
      </c>
      <c r="AL5808">
        <v>86.598602495732294</v>
      </c>
      <c r="AM5808">
        <v>75.215402241416299</v>
      </c>
      <c r="AN5808">
        <v>0.999999971740548</v>
      </c>
    </row>
    <row r="5809" spans="1:40" x14ac:dyDescent="0.25">
      <c r="A5809" t="str">
        <f>"20190312151140419"</f>
        <v>20190312151140419</v>
      </c>
      <c r="B5809" t="str">
        <f>"1552374700417202"</f>
        <v>1552374700417202</v>
      </c>
      <c r="C5809" t="s">
        <v>40</v>
      </c>
      <c r="D5809">
        <v>5.4727240000000004</v>
      </c>
      <c r="E5809">
        <v>0.59139249999999999</v>
      </c>
      <c r="F5809" t="s">
        <v>42</v>
      </c>
      <c r="G5809">
        <v>-301.84690000000001</v>
      </c>
      <c r="H5809" s="1">
        <v>-1.7758649999999999E-6</v>
      </c>
      <c r="I5809">
        <v>-6.7454399999999897</v>
      </c>
      <c r="J5809">
        <v>-301.83519999999999</v>
      </c>
      <c r="K5809">
        <v>1.051161</v>
      </c>
      <c r="L5809">
        <v>2.9830019999999999</v>
      </c>
      <c r="M5809">
        <v>0.47730699999999998</v>
      </c>
      <c r="N5809">
        <v>0</v>
      </c>
      <c r="O5809">
        <v>-0.87862410000000002</v>
      </c>
      <c r="P5809">
        <v>0.24124380000000001</v>
      </c>
      <c r="Q5809">
        <v>5.071635E-2</v>
      </c>
      <c r="R5809">
        <v>-0.96913870000000002</v>
      </c>
      <c r="S5809">
        <v>3.158569E-2</v>
      </c>
      <c r="T5809">
        <v>-0.328524599999999</v>
      </c>
      <c r="U5809">
        <v>-3.1126399999999999</v>
      </c>
      <c r="V5809">
        <v>0.25198019999999999</v>
      </c>
      <c r="W5809">
        <v>5.8836140000000002E-2</v>
      </c>
      <c r="X5809">
        <v>0.96594210000000003</v>
      </c>
      <c r="Y5809">
        <v>0.46828579999999997</v>
      </c>
      <c r="Z5809">
        <v>7.9803589999999994E-2</v>
      </c>
      <c r="AA5809">
        <v>0.87996580000000002</v>
      </c>
      <c r="AB5809">
        <v>26</v>
      </c>
      <c r="AC5809">
        <v>-1.17000000000189E-2</v>
      </c>
      <c r="AD5809">
        <v>-1.051162775865</v>
      </c>
      <c r="AE5809">
        <v>-9.7284419999999994</v>
      </c>
      <c r="AF5809">
        <v>4.6004833718549696</v>
      </c>
      <c r="AG5809">
        <v>-1.051162775865</v>
      </c>
      <c r="AH5809">
        <v>8.4443172326696203</v>
      </c>
      <c r="AI5809">
        <v>96.238340159559499</v>
      </c>
      <c r="AJ5809">
        <v>61.418350426867697</v>
      </c>
      <c r="AK5809">
        <v>9.6734628733478498</v>
      </c>
      <c r="AL5809">
        <v>86.626989281492499</v>
      </c>
      <c r="AM5809">
        <v>75.379386791918193</v>
      </c>
      <c r="AN5809">
        <v>0.99999992655727199</v>
      </c>
    </row>
    <row r="5810" spans="1:40" x14ac:dyDescent="0.25">
      <c r="A5810" t="str">
        <f>"20190312151140441"</f>
        <v>20190312151140441</v>
      </c>
      <c r="B5810" t="str">
        <f>"1552374700436726"</f>
        <v>1552374700436726</v>
      </c>
      <c r="C5810" t="s">
        <v>40</v>
      </c>
      <c r="D5810">
        <v>5.4899440000000004</v>
      </c>
      <c r="E5810">
        <v>0.59020189999999995</v>
      </c>
      <c r="F5810" t="s">
        <v>42</v>
      </c>
      <c r="G5810">
        <v>-301.80099999999999</v>
      </c>
      <c r="H5810" s="1">
        <v>-1.6635339999999999E-6</v>
      </c>
      <c r="I5810">
        <v>-6.9572450000000003</v>
      </c>
      <c r="J5810">
        <v>-301.72250000000003</v>
      </c>
      <c r="K5810">
        <v>1.051294</v>
      </c>
      <c r="L5810">
        <v>2.7456969999999998</v>
      </c>
      <c r="M5810">
        <v>0.46602640000000001</v>
      </c>
      <c r="N5810">
        <v>0</v>
      </c>
      <c r="O5810">
        <v>-0.88465930000000004</v>
      </c>
      <c r="P5810">
        <v>0.2316329</v>
      </c>
      <c r="Q5810">
        <v>4.9995619999999998E-2</v>
      </c>
      <c r="R5810">
        <v>-0.97151810000000005</v>
      </c>
      <c r="S5810">
        <v>1.071167E-2</v>
      </c>
      <c r="T5810">
        <v>-0.32888469999999997</v>
      </c>
      <c r="U5810">
        <v>-3.110077</v>
      </c>
      <c r="V5810">
        <v>0.24916740000000001</v>
      </c>
      <c r="W5810">
        <v>5.8258730000000002E-2</v>
      </c>
      <c r="X5810">
        <v>0.96670650000000002</v>
      </c>
      <c r="Y5810">
        <v>0.46287889999999998</v>
      </c>
      <c r="Z5810">
        <v>8.104575E-2</v>
      </c>
      <c r="AA5810">
        <v>0.88270879999999996</v>
      </c>
      <c r="AB5810">
        <v>26</v>
      </c>
      <c r="AC5810">
        <v>-7.8499999999962697E-2</v>
      </c>
      <c r="AD5810">
        <v>-1.0512956635340001</v>
      </c>
      <c r="AE5810">
        <v>-9.7029420000000002</v>
      </c>
      <c r="AF5810">
        <v>4.5384510863315697</v>
      </c>
      <c r="AG5810">
        <v>-1.0512956635340001</v>
      </c>
      <c r="AH5810">
        <v>8.4488805810592602</v>
      </c>
      <c r="AI5810">
        <v>96.255581517749505</v>
      </c>
      <c r="AJ5810">
        <v>61.756821341219997</v>
      </c>
      <c r="AK5810">
        <v>9.6481264454913696</v>
      </c>
      <c r="AL5810">
        <v>86.660129416411294</v>
      </c>
      <c r="AM5810">
        <v>75.546669165924499</v>
      </c>
      <c r="AN5810">
        <v>0.99999996499310995</v>
      </c>
    </row>
    <row r="5811" spans="1:40" x14ac:dyDescent="0.25">
      <c r="A5811" t="str">
        <f>"20190312151140464"</f>
        <v>20190312151140464</v>
      </c>
      <c r="B5811" t="str">
        <f>"1552374700457219"</f>
        <v>1552374700457219</v>
      </c>
      <c r="C5811" t="s">
        <v>40</v>
      </c>
      <c r="D5811">
        <v>5.759639</v>
      </c>
      <c r="E5811">
        <v>0.58939399999999997</v>
      </c>
      <c r="F5811" t="s">
        <v>42</v>
      </c>
      <c r="G5811">
        <v>-301.75869999999998</v>
      </c>
      <c r="H5811" s="1">
        <v>-1.501525E-6</v>
      </c>
      <c r="I5811">
        <v>-7.2761380000000004</v>
      </c>
      <c r="J5811">
        <v>-301.61250000000001</v>
      </c>
      <c r="K5811">
        <v>1.0514380000000001</v>
      </c>
      <c r="L5811">
        <v>2.506653</v>
      </c>
      <c r="M5811">
        <v>0.4548123</v>
      </c>
      <c r="N5811">
        <v>0</v>
      </c>
      <c r="O5811">
        <v>-0.89047679999999996</v>
      </c>
      <c r="P5811">
        <v>0.2217874</v>
      </c>
      <c r="Q5811">
        <v>4.920658E-2</v>
      </c>
      <c r="R5811">
        <v>-0.97385270000000002</v>
      </c>
      <c r="S5811">
        <v>-1.119995E-2</v>
      </c>
      <c r="T5811">
        <v>-0.325966799999999</v>
      </c>
      <c r="U5811">
        <v>-3.1073909999999998</v>
      </c>
      <c r="V5811">
        <v>0.24671660000000001</v>
      </c>
      <c r="W5811">
        <v>5.7603719999999997E-2</v>
      </c>
      <c r="X5811">
        <v>0.96737410000000001</v>
      </c>
      <c r="Y5811">
        <v>0.45790449999999999</v>
      </c>
      <c r="Z5811">
        <v>8.1435930000000004E-2</v>
      </c>
      <c r="AA5811">
        <v>0.88526360000000004</v>
      </c>
      <c r="AB5811">
        <v>25</v>
      </c>
      <c r="AC5811">
        <v>-0.146199999999964</v>
      </c>
      <c r="AD5811">
        <v>-1.05143950152499</v>
      </c>
      <c r="AE5811">
        <v>-9.7827909999999996</v>
      </c>
      <c r="AF5811">
        <v>4.5276817705778196</v>
      </c>
      <c r="AG5811">
        <v>-1.05143950152499</v>
      </c>
      <c r="AH5811">
        <v>8.5469961841686999</v>
      </c>
      <c r="AI5811">
        <v>96.204125282037097</v>
      </c>
      <c r="AJ5811">
        <v>62.088062439749002</v>
      </c>
      <c r="AK5811">
        <v>9.7291608586344207</v>
      </c>
      <c r="AL5811">
        <v>86.697721841806896</v>
      </c>
      <c r="AM5811">
        <v>75.6924347674139</v>
      </c>
      <c r="AN5811">
        <v>0.99999995931210295</v>
      </c>
    </row>
    <row r="5812" spans="1:40" x14ac:dyDescent="0.25">
      <c r="A5812" t="str">
        <f>"20190312151140487"</f>
        <v>20190312151140487</v>
      </c>
      <c r="B5812" t="str">
        <f>"1552374700477323"</f>
        <v>1552374700477323</v>
      </c>
      <c r="C5812" t="s">
        <v>40</v>
      </c>
      <c r="D5812">
        <v>5.4830110000000003</v>
      </c>
      <c r="E5812">
        <v>0.58814529999999998</v>
      </c>
      <c r="F5812" t="s">
        <v>42</v>
      </c>
      <c r="G5812">
        <v>-301.73079999999999</v>
      </c>
      <c r="H5812" s="1">
        <v>-1.4151020000000001E-6</v>
      </c>
      <c r="I5812">
        <v>-7.4432660000000004</v>
      </c>
      <c r="J5812">
        <v>-301.50580000000002</v>
      </c>
      <c r="K5812">
        <v>1.051588</v>
      </c>
      <c r="L5812">
        <v>2.2677610000000001</v>
      </c>
      <c r="M5812">
        <v>0.44377030000000001</v>
      </c>
      <c r="N5812">
        <v>0</v>
      </c>
      <c r="O5812">
        <v>-0.89603109999999997</v>
      </c>
      <c r="P5812">
        <v>0.2131246</v>
      </c>
      <c r="Q5812">
        <v>4.811116E-2</v>
      </c>
      <c r="R5812">
        <v>-0.97584000000000004</v>
      </c>
      <c r="S5812">
        <v>-3.6926269999999997E-2</v>
      </c>
      <c r="T5812">
        <v>-0.32817099999999999</v>
      </c>
      <c r="U5812">
        <v>-3.1055299999999999</v>
      </c>
      <c r="V5812">
        <v>0.2433314</v>
      </c>
      <c r="W5812">
        <v>5.6663020000000001E-2</v>
      </c>
      <c r="X5812">
        <v>0.96828669999999994</v>
      </c>
      <c r="Y5812">
        <v>0.45424979999999998</v>
      </c>
      <c r="Z5812">
        <v>8.2988950000000006E-2</v>
      </c>
      <c r="AA5812">
        <v>0.88700049999999997</v>
      </c>
      <c r="AB5812">
        <v>25</v>
      </c>
      <c r="AC5812">
        <v>-0.22499999999996501</v>
      </c>
      <c r="AD5812">
        <v>-1.051589415102</v>
      </c>
      <c r="AE5812">
        <v>-9.7110269999999996</v>
      </c>
      <c r="AF5812">
        <v>4.45925233273449</v>
      </c>
      <c r="AG5812">
        <v>-1.051589415102</v>
      </c>
      <c r="AH5812">
        <v>8.5027255094993901</v>
      </c>
      <c r="AI5812">
        <v>96.250572533057195</v>
      </c>
      <c r="AJ5812">
        <v>62.325247391139001</v>
      </c>
      <c r="AK5812">
        <v>9.6585253923590297</v>
      </c>
      <c r="AL5812">
        <v>86.751708304187602</v>
      </c>
      <c r="AM5812">
        <v>75.893621930318204</v>
      </c>
      <c r="AN5812">
        <v>1.00000000072918</v>
      </c>
    </row>
    <row r="5813" spans="1:40" x14ac:dyDescent="0.25">
      <c r="A5813" t="str">
        <f>"20190312151140508"</f>
        <v>20190312151140508</v>
      </c>
      <c r="B5813" t="str">
        <f>"1552374700496799"</f>
        <v>1552374700496799</v>
      </c>
      <c r="C5813" t="s">
        <v>40</v>
      </c>
      <c r="D5813">
        <v>5.4929540000000001</v>
      </c>
      <c r="E5813">
        <v>0.58683739999999995</v>
      </c>
      <c r="F5813" t="s">
        <v>42</v>
      </c>
      <c r="G5813">
        <v>-301.68419999999998</v>
      </c>
      <c r="H5813" s="1">
        <v>-1.2697070000000001E-6</v>
      </c>
      <c r="I5813">
        <v>-7.7246119999999996</v>
      </c>
      <c r="J5813">
        <v>-301.40649999999999</v>
      </c>
      <c r="K5813">
        <v>1.0517449999999999</v>
      </c>
      <c r="L5813">
        <v>2.0386660000000001</v>
      </c>
      <c r="M5813">
        <v>0.4333612</v>
      </c>
      <c r="N5813">
        <v>0</v>
      </c>
      <c r="O5813">
        <v>-0.90111180000000002</v>
      </c>
      <c r="P5813">
        <v>0.2042474</v>
      </c>
      <c r="Q5813">
        <v>4.7385509999999999E-2</v>
      </c>
      <c r="R5813">
        <v>-0.97777210000000003</v>
      </c>
      <c r="S5813">
        <v>-5.5389399999999998E-2</v>
      </c>
      <c r="T5813">
        <v>-0.32650210000000002</v>
      </c>
      <c r="U5813">
        <v>-3.1024780000000001</v>
      </c>
      <c r="V5813">
        <v>0.2408912</v>
      </c>
      <c r="W5813">
        <v>5.6066959999999999E-2</v>
      </c>
      <c r="X5813">
        <v>0.96893130000000005</v>
      </c>
      <c r="Y5813">
        <v>0.44921889999999998</v>
      </c>
      <c r="Z5813">
        <v>8.3571450000000005E-2</v>
      </c>
      <c r="AA5813">
        <v>0.88950450000000003</v>
      </c>
      <c r="AB5813">
        <v>25</v>
      </c>
      <c r="AC5813">
        <v>-0.27769999999998102</v>
      </c>
      <c r="AD5813">
        <v>-1.0517462697069999</v>
      </c>
      <c r="AE5813">
        <v>-9.7632779999999997</v>
      </c>
      <c r="AF5813">
        <v>4.4303322067383997</v>
      </c>
      <c r="AG5813">
        <v>-1.0517462697069999</v>
      </c>
      <c r="AH5813">
        <v>8.5788357724302298</v>
      </c>
      <c r="AI5813">
        <v>96.216703561918706</v>
      </c>
      <c r="AJ5813">
        <v>62.6870022033834</v>
      </c>
      <c r="AK5813">
        <v>9.7123857464700603</v>
      </c>
      <c r="AL5813">
        <v>86.785914305330806</v>
      </c>
      <c r="AM5813">
        <v>76.038448365536198</v>
      </c>
      <c r="AN5813">
        <v>0.99999996918038503</v>
      </c>
    </row>
    <row r="5814" spans="1:40" x14ac:dyDescent="0.25">
      <c r="A5814" t="str">
        <f>"20190312151140531"</f>
        <v>20190312151140531</v>
      </c>
      <c r="B5814" t="str">
        <f>"1552374700527055"</f>
        <v>1552374700527055</v>
      </c>
      <c r="C5814" t="s">
        <v>40</v>
      </c>
      <c r="D5814">
        <v>5.4366570000000003</v>
      </c>
      <c r="E5814">
        <v>0.58564189999999905</v>
      </c>
      <c r="F5814" t="s">
        <v>42</v>
      </c>
      <c r="G5814">
        <v>-301.64600000000002</v>
      </c>
      <c r="H5814" s="1">
        <v>-1.1189030000000001E-6</v>
      </c>
      <c r="I5814">
        <v>-8.0221339999999994</v>
      </c>
      <c r="J5814">
        <v>-301.30279999999999</v>
      </c>
      <c r="K5814">
        <v>1.051912</v>
      </c>
      <c r="L5814">
        <v>1.79190099999999</v>
      </c>
      <c r="M5814">
        <v>0.42236400000000002</v>
      </c>
      <c r="N5814">
        <v>0</v>
      </c>
      <c r="O5814">
        <v>-0.90631899999999999</v>
      </c>
      <c r="P5814">
        <v>0.195162</v>
      </c>
      <c r="Q5814">
        <v>4.6035420000000001E-2</v>
      </c>
      <c r="R5814">
        <v>-0.97969039999999996</v>
      </c>
      <c r="S5814">
        <v>-7.3760989999999999E-2</v>
      </c>
      <c r="T5814">
        <v>-0.32399810000000001</v>
      </c>
      <c r="U5814">
        <v>-3.0993040000000001</v>
      </c>
      <c r="V5814">
        <v>0.2380678</v>
      </c>
      <c r="W5814">
        <v>5.4861470000000002E-2</v>
      </c>
      <c r="X5814">
        <v>0.9696979</v>
      </c>
      <c r="Y5814">
        <v>0.44363419999999998</v>
      </c>
      <c r="Z5814">
        <v>8.3966550000000001E-2</v>
      </c>
      <c r="AA5814">
        <v>0.89226589999999995</v>
      </c>
      <c r="AB5814">
        <v>25</v>
      </c>
      <c r="AC5814">
        <v>-0.34319999999996698</v>
      </c>
      <c r="AD5814">
        <v>-1.051913118903</v>
      </c>
      <c r="AE5814">
        <v>-9.8140350000000005</v>
      </c>
      <c r="AF5814">
        <v>4.4060203526373396</v>
      </c>
      <c r="AG5814">
        <v>-1.051913118903</v>
      </c>
      <c r="AH5814">
        <v>8.6512731591157408</v>
      </c>
      <c r="AI5814">
        <v>96.183773693589004</v>
      </c>
      <c r="AJ5814">
        <v>63.010640132909202</v>
      </c>
      <c r="AK5814">
        <v>9.7654525666356697</v>
      </c>
      <c r="AL5814">
        <v>86.855090501157903</v>
      </c>
      <c r="AM5814">
        <v>76.206288593580993</v>
      </c>
      <c r="AN5814">
        <v>1.0000000377759</v>
      </c>
    </row>
    <row r="5815" spans="1:40" x14ac:dyDescent="0.25">
      <c r="A5815" t="str">
        <f>"20190312151140554"</f>
        <v>20190312151140554</v>
      </c>
      <c r="B5815" t="str">
        <f>"1552374700546575"</f>
        <v>1552374700546575</v>
      </c>
      <c r="C5815" t="s">
        <v>40</v>
      </c>
      <c r="D5815">
        <v>5.436096</v>
      </c>
      <c r="E5815">
        <v>0.56944319999999904</v>
      </c>
      <c r="F5815" t="s">
        <v>42</v>
      </c>
      <c r="G5815">
        <v>-301.6037</v>
      </c>
      <c r="H5815" s="1">
        <v>-1.020314E-6</v>
      </c>
      <c r="I5815">
        <v>-8.2069170000000007</v>
      </c>
      <c r="J5815">
        <v>-301.20359999999999</v>
      </c>
      <c r="K5815">
        <v>1.052095</v>
      </c>
      <c r="L5815">
        <v>1.54834</v>
      </c>
      <c r="M5815">
        <v>0.41174690000000003</v>
      </c>
      <c r="N5815">
        <v>0</v>
      </c>
      <c r="O5815">
        <v>-0.9111918</v>
      </c>
      <c r="P5815">
        <v>0.18696689999999999</v>
      </c>
      <c r="Q5815">
        <v>4.4491019999999999E-2</v>
      </c>
      <c r="R5815">
        <v>-0.98135830000000002</v>
      </c>
      <c r="S5815">
        <v>-9.3170169999999997E-2</v>
      </c>
      <c r="T5815">
        <v>-0.32571800000000001</v>
      </c>
      <c r="U5815">
        <v>-3.096069</v>
      </c>
      <c r="V5815">
        <v>0.23481340000000001</v>
      </c>
      <c r="W5815">
        <v>5.3471629999999999E-2</v>
      </c>
      <c r="X5815">
        <v>0.9705686</v>
      </c>
      <c r="Y5815">
        <v>0.43877139999999998</v>
      </c>
      <c r="Z5815">
        <v>8.5371719999999998E-2</v>
      </c>
      <c r="AA5815">
        <v>0.89453419999999895</v>
      </c>
      <c r="AB5815">
        <v>25</v>
      </c>
      <c r="AC5815">
        <v>-0.400100000000008</v>
      </c>
      <c r="AD5815">
        <v>-1.052096020314</v>
      </c>
      <c r="AE5815">
        <v>-9.7552570000000003</v>
      </c>
      <c r="AF5815">
        <v>4.3313939722864401</v>
      </c>
      <c r="AG5815">
        <v>-1.052096020314</v>
      </c>
      <c r="AH5815">
        <v>8.6248654905098903</v>
      </c>
      <c r="AI5815">
        <v>96.221237712612506</v>
      </c>
      <c r="AJ5815">
        <v>63.334268513858902</v>
      </c>
      <c r="AK5815">
        <v>9.7085624326420401</v>
      </c>
      <c r="AL5815">
        <v>86.934839364812305</v>
      </c>
      <c r="AM5815">
        <v>76.399545814117005</v>
      </c>
      <c r="AN5815">
        <v>0.999999977670188</v>
      </c>
    </row>
    <row r="5816" spans="1:40" x14ac:dyDescent="0.25">
      <c r="A5816" t="str">
        <f>"20190312151140576"</f>
        <v>20190312151140576</v>
      </c>
      <c r="B5816" t="str">
        <f>"1552374700567071"</f>
        <v>1552374700567071</v>
      </c>
      <c r="C5816" t="s">
        <v>40</v>
      </c>
      <c r="D5816">
        <v>5.5157400000000001</v>
      </c>
      <c r="E5816">
        <v>0.56826619999999906</v>
      </c>
      <c r="F5816" t="s">
        <v>42</v>
      </c>
      <c r="G5816">
        <v>-301.17680000000001</v>
      </c>
      <c r="H5816" s="1">
        <v>-5.5966250000000004E-7</v>
      </c>
      <c r="I5816">
        <v>-8.9410849999999993</v>
      </c>
      <c r="J5816">
        <v>-301.1087</v>
      </c>
      <c r="K5816">
        <v>1.0523039999999999</v>
      </c>
      <c r="L5816">
        <v>1.3085020000000001</v>
      </c>
      <c r="M5816">
        <v>0.40153860000000002</v>
      </c>
      <c r="N5816">
        <v>0</v>
      </c>
      <c r="O5816">
        <v>-0.91573689999999996</v>
      </c>
      <c r="P5816">
        <v>0.1795041</v>
      </c>
      <c r="Q5816">
        <v>4.330382E-2</v>
      </c>
      <c r="R5816">
        <v>-0.98280380000000001</v>
      </c>
      <c r="S5816">
        <v>7.8430180000000002E-3</v>
      </c>
      <c r="T5816">
        <v>-0.30786849999999999</v>
      </c>
      <c r="U5816">
        <v>-3.069458</v>
      </c>
      <c r="V5816">
        <v>0.2313105</v>
      </c>
      <c r="W5816">
        <v>5.244501E-2</v>
      </c>
      <c r="X5816">
        <v>0.97146529999999998</v>
      </c>
      <c r="Y5816">
        <v>0.39915830000000002</v>
      </c>
      <c r="Z5816">
        <v>8.3073549999999996E-2</v>
      </c>
      <c r="AA5816">
        <v>0.91311089999999995</v>
      </c>
      <c r="AB5816">
        <v>25</v>
      </c>
      <c r="AC5816">
        <v>-6.8100000000015301E-2</v>
      </c>
      <c r="AD5816">
        <v>-1.0523045596625</v>
      </c>
      <c r="AE5816">
        <v>-10.249587</v>
      </c>
      <c r="AF5816">
        <v>4.1347873651013396</v>
      </c>
      <c r="AG5816">
        <v>-1.0523045596625</v>
      </c>
      <c r="AH5816">
        <v>9.2618596592907192</v>
      </c>
      <c r="AI5816">
        <v>95.923123348880694</v>
      </c>
      <c r="AJ5816">
        <v>65.942503084621094</v>
      </c>
      <c r="AK5816">
        <v>10.197345526620399</v>
      </c>
      <c r="AL5816">
        <v>86.993742869937805</v>
      </c>
      <c r="AM5816">
        <v>76.606986626530599</v>
      </c>
      <c r="AN5816">
        <v>0.99999992779411695</v>
      </c>
    </row>
    <row r="5817" spans="1:40" x14ac:dyDescent="0.25">
      <c r="A5817" t="str">
        <f>"20190312151140599"</f>
        <v>20190312151140599</v>
      </c>
      <c r="B5817" t="str">
        <f>"1552374700587503"</f>
        <v>1552374700587503</v>
      </c>
      <c r="C5817" t="s">
        <v>40</v>
      </c>
      <c r="D5817">
        <v>5.4112809999999998</v>
      </c>
      <c r="E5817">
        <v>0.56794149999999999</v>
      </c>
      <c r="F5817" t="s">
        <v>42</v>
      </c>
      <c r="G5817">
        <v>-301.13130000000001</v>
      </c>
      <c r="H5817" s="1">
        <v>-3.5874180000000001E-7</v>
      </c>
      <c r="I5817">
        <v>-9.3405280000000008</v>
      </c>
      <c r="J5817">
        <v>-301.01620000000003</v>
      </c>
      <c r="K5817">
        <v>1.052843</v>
      </c>
      <c r="L5817">
        <v>1.0683590000000001</v>
      </c>
      <c r="M5817">
        <v>0.39079009999999997</v>
      </c>
      <c r="N5817">
        <v>0</v>
      </c>
      <c r="O5817">
        <v>-0.92036910000000005</v>
      </c>
      <c r="P5817">
        <v>0.17163789999999901</v>
      </c>
      <c r="Q5817">
        <v>4.1733659999999999E-2</v>
      </c>
      <c r="R5817">
        <v>-0.98427600000000004</v>
      </c>
      <c r="S5817">
        <v>-6.5002439999999996E-3</v>
      </c>
      <c r="T5817">
        <v>-0.30307600000000001</v>
      </c>
      <c r="U5817">
        <v>-3.0670470000000001</v>
      </c>
      <c r="V5817">
        <v>0.22765740000000001</v>
      </c>
      <c r="W5817">
        <v>5.1577379999999999E-2</v>
      </c>
      <c r="X5817">
        <v>0.97237439999999997</v>
      </c>
      <c r="Y5817">
        <v>0.3926926</v>
      </c>
      <c r="Z5817">
        <v>8.2672190000000007E-2</v>
      </c>
      <c r="AA5817">
        <v>0.91594640000000005</v>
      </c>
      <c r="AB5817">
        <v>25</v>
      </c>
      <c r="AC5817">
        <v>-0.11509999999998401</v>
      </c>
      <c r="AD5817">
        <v>-1.0528433587418</v>
      </c>
      <c r="AE5817">
        <v>-10.408887</v>
      </c>
      <c r="AF5817">
        <v>4.1317826856430599</v>
      </c>
      <c r="AG5817">
        <v>-1.0528433587418</v>
      </c>
      <c r="AH5817">
        <v>9.4394465128294502</v>
      </c>
      <c r="AI5817">
        <v>95.834063366260807</v>
      </c>
      <c r="AJ5817">
        <v>66.3603072052844</v>
      </c>
      <c r="AK5817">
        <v>10.357763164312701</v>
      </c>
      <c r="AL5817">
        <v>87.043522137273996</v>
      </c>
      <c r="AM5817">
        <v>76.822954512606699</v>
      </c>
      <c r="AN5817">
        <v>1.00000004583889</v>
      </c>
    </row>
    <row r="5818" spans="1:40" x14ac:dyDescent="0.25">
      <c r="A5818" t="str">
        <f>"20190312151140620"</f>
        <v>20190312151140620</v>
      </c>
      <c r="B5818" t="str">
        <f>"1552374700616782"</f>
        <v>1552374700616782</v>
      </c>
      <c r="C5818" t="s">
        <v>40</v>
      </c>
      <c r="D5818">
        <v>5.5712960000000002</v>
      </c>
      <c r="E5818">
        <v>0.56661609999999996</v>
      </c>
      <c r="F5818" t="s">
        <v>42</v>
      </c>
      <c r="G5818">
        <v>-301.11180000000002</v>
      </c>
      <c r="H5818" s="1">
        <v>-4.6802770000000001E-7</v>
      </c>
      <c r="I5818">
        <v>-9.0983490000000007</v>
      </c>
      <c r="J5818">
        <v>-300.92939999999999</v>
      </c>
      <c r="K5818">
        <v>1.0532900000000001</v>
      </c>
      <c r="L5818">
        <v>0.8381653</v>
      </c>
      <c r="M5818">
        <v>0.37968079999999998</v>
      </c>
      <c r="N5818">
        <v>0</v>
      </c>
      <c r="O5818">
        <v>-0.92500190000000004</v>
      </c>
      <c r="P5818">
        <v>0.1638281</v>
      </c>
      <c r="Q5818">
        <v>4.0504980000000003E-2</v>
      </c>
      <c r="R5818">
        <v>-0.98565720000000001</v>
      </c>
      <c r="S5818">
        <v>-2.8808589999999999E-2</v>
      </c>
      <c r="T5818">
        <v>-0.31755080000000002</v>
      </c>
      <c r="U5818">
        <v>-3.0664060000000002</v>
      </c>
      <c r="V5818">
        <v>0.2236407</v>
      </c>
      <c r="W5818">
        <v>5.0866399999999999E-2</v>
      </c>
      <c r="X5818">
        <v>0.97334339999999997</v>
      </c>
      <c r="Y5818">
        <v>0.38827430000000002</v>
      </c>
      <c r="Z5818">
        <v>8.7403889999999998E-2</v>
      </c>
      <c r="AA5818">
        <v>0.91738960000000003</v>
      </c>
      <c r="AB5818">
        <v>25</v>
      </c>
      <c r="AC5818">
        <v>-0.18240000000002901</v>
      </c>
      <c r="AD5818">
        <v>-1.0532904680277</v>
      </c>
      <c r="AE5818">
        <v>-9.9365143000000007</v>
      </c>
      <c r="AF5818">
        <v>3.8980602855232598</v>
      </c>
      <c r="AG5818">
        <v>-1.0532904680277</v>
      </c>
      <c r="AH5818">
        <v>9.0216796443469693</v>
      </c>
      <c r="AI5818">
        <v>96.117303635862498</v>
      </c>
      <c r="AJ5818">
        <v>66.631937653924098</v>
      </c>
      <c r="AK5818">
        <v>9.8840780250277405</v>
      </c>
      <c r="AL5818">
        <v>87.084311595022598</v>
      </c>
      <c r="AM5818">
        <v>77.059998797002805</v>
      </c>
      <c r="AN5818">
        <v>0.99999996383450396</v>
      </c>
    </row>
    <row r="5819" spans="1:40" x14ac:dyDescent="0.25">
      <c r="A5819" t="str">
        <f>"20190312151140644"</f>
        <v>20190312151140644</v>
      </c>
      <c r="B5819" t="str">
        <f>"1552374700637282"</f>
        <v>1552374700637282</v>
      </c>
      <c r="C5819" t="s">
        <v>40</v>
      </c>
      <c r="D5819">
        <v>5.4616569999999998</v>
      </c>
      <c r="E5819">
        <v>0.56529259999999903</v>
      </c>
      <c r="F5819" t="s">
        <v>42</v>
      </c>
      <c r="G5819">
        <v>-301.06529999999998</v>
      </c>
      <c r="H5819" s="1">
        <v>-5.5440829999999997E-7</v>
      </c>
      <c r="I5819">
        <v>-8.8894819999999992</v>
      </c>
      <c r="J5819">
        <v>-300.83870000000002</v>
      </c>
      <c r="K5819">
        <v>1.053051</v>
      </c>
      <c r="L5819">
        <v>0.59118649999999995</v>
      </c>
      <c r="M5819">
        <v>0.36880079999999998</v>
      </c>
      <c r="N5819">
        <v>0</v>
      </c>
      <c r="O5819">
        <v>-0.92939559999999999</v>
      </c>
      <c r="P5819">
        <v>0.15612019999999999</v>
      </c>
      <c r="Q5819">
        <v>4.0042500000000002E-2</v>
      </c>
      <c r="R5819">
        <v>-0.98692630000000003</v>
      </c>
      <c r="S5819">
        <v>-4.2816159999999999E-2</v>
      </c>
      <c r="T5819">
        <v>-0.33180979999999999</v>
      </c>
      <c r="U5819">
        <v>-3.0644230000000001</v>
      </c>
      <c r="V5819">
        <v>0.21989529999999999</v>
      </c>
      <c r="W5819">
        <v>4.9981089999999999E-2</v>
      </c>
      <c r="X5819">
        <v>0.97424219999999895</v>
      </c>
      <c r="Y5819">
        <v>0.38164100000000001</v>
      </c>
      <c r="Z5819">
        <v>9.2195959999999993E-2</v>
      </c>
      <c r="AA5819">
        <v>0.91970110000000005</v>
      </c>
      <c r="AB5819">
        <v>25</v>
      </c>
      <c r="AC5819">
        <v>-0.226599999999962</v>
      </c>
      <c r="AD5819">
        <v>-1.0530515544082999</v>
      </c>
      <c r="AE5819">
        <v>-9.4806685000000002</v>
      </c>
      <c r="AF5819">
        <v>3.6623107271172501</v>
      </c>
      <c r="AG5819">
        <v>-1.0530515544082999</v>
      </c>
      <c r="AH5819">
        <v>8.6223212327849694</v>
      </c>
      <c r="AI5819">
        <v>96.413752235574407</v>
      </c>
      <c r="AJ5819">
        <v>66.986755401032994</v>
      </c>
      <c r="AK5819">
        <v>9.4268690920970304</v>
      </c>
      <c r="AL5819">
        <v>87.135100717357403</v>
      </c>
      <c r="AM5819">
        <v>77.280953341060098</v>
      </c>
      <c r="AN5819">
        <v>0.99999995829025701</v>
      </c>
    </row>
    <row r="5820" spans="1:40" x14ac:dyDescent="0.25">
      <c r="A5820" t="str">
        <f>"20190312151140665"</f>
        <v>20190312151140665</v>
      </c>
      <c r="B5820" t="str">
        <f>"1552374700656799"</f>
        <v>1552374700656799</v>
      </c>
      <c r="C5820" t="s">
        <v>40</v>
      </c>
      <c r="D5820">
        <v>5.4689030000000001</v>
      </c>
      <c r="E5820">
        <v>0.56392739999999997</v>
      </c>
      <c r="F5820" t="s">
        <v>42</v>
      </c>
      <c r="G5820">
        <v>-301.02050000000003</v>
      </c>
      <c r="H5820" s="1">
        <v>-4.2505099999999999E-7</v>
      </c>
      <c r="I5820">
        <v>-9.1379070000000002</v>
      </c>
      <c r="J5820">
        <v>-300.7568</v>
      </c>
      <c r="K5820">
        <v>1.0527150000000001</v>
      </c>
      <c r="L5820">
        <v>0.35946660000000002</v>
      </c>
      <c r="M5820">
        <v>0.36212100000000003</v>
      </c>
      <c r="N5820">
        <v>0</v>
      </c>
      <c r="O5820">
        <v>-0.93202439999999998</v>
      </c>
      <c r="P5820">
        <v>0.15232290000000001</v>
      </c>
      <c r="Q5820">
        <v>4.0567239999999997E-2</v>
      </c>
      <c r="R5820">
        <v>-0.98749799999999999</v>
      </c>
      <c r="S5820">
        <v>-5.7220460000000001E-2</v>
      </c>
      <c r="T5820">
        <v>-0.33145059999999998</v>
      </c>
      <c r="U5820">
        <v>-3.0622560000000001</v>
      </c>
      <c r="V5820">
        <v>0.21675169999999999</v>
      </c>
      <c r="W5820">
        <v>4.9742969999999997E-2</v>
      </c>
      <c r="X5820">
        <v>0.97495860000000001</v>
      </c>
      <c r="Y5820">
        <v>0.37934059999999997</v>
      </c>
      <c r="Z5820">
        <v>9.2629009999999998E-2</v>
      </c>
      <c r="AA5820">
        <v>0.9206088</v>
      </c>
      <c r="AB5820">
        <v>25</v>
      </c>
      <c r="AC5820">
        <v>-0.26370000000002802</v>
      </c>
      <c r="AD5820">
        <v>-1.052715425051</v>
      </c>
      <c r="AE5820">
        <v>-9.4973735999999995</v>
      </c>
      <c r="AF5820">
        <v>3.6406448226921699</v>
      </c>
      <c r="AG5820">
        <v>-1.052715425051</v>
      </c>
      <c r="AH5820">
        <v>8.65095867972083</v>
      </c>
      <c r="AI5820">
        <v>96.399568595719003</v>
      </c>
      <c r="AJ5820">
        <v>67.176833472276002</v>
      </c>
      <c r="AK5820">
        <v>9.4446593675671</v>
      </c>
      <c r="AL5820">
        <v>87.148761005954</v>
      </c>
      <c r="AM5820">
        <v>77.465915155724801</v>
      </c>
      <c r="AN5820">
        <v>0.99999996711563499</v>
      </c>
    </row>
    <row r="5821" spans="1:40" x14ac:dyDescent="0.25">
      <c r="A5821" t="str">
        <f>"20190312151140688"</f>
        <v>20190312151140688</v>
      </c>
      <c r="B5821" t="str">
        <f>"1552374700677294"</f>
        <v>1552374700677294</v>
      </c>
      <c r="C5821" t="s">
        <v>40</v>
      </c>
      <c r="D5821">
        <v>5.5390459999999999</v>
      </c>
      <c r="E5821">
        <v>0.56275549999999996</v>
      </c>
      <c r="F5821" t="s">
        <v>42</v>
      </c>
      <c r="G5821">
        <v>-300.93970000000002</v>
      </c>
      <c r="H5821" s="1">
        <v>-4.0073000000000002E-7</v>
      </c>
      <c r="I5821">
        <v>-9.1438690000000005</v>
      </c>
      <c r="J5821">
        <v>-300.67380000000003</v>
      </c>
      <c r="K5821">
        <v>1.0531010000000001</v>
      </c>
      <c r="L5821">
        <v>0.11465450000000001</v>
      </c>
      <c r="M5821">
        <v>0.35693940000000002</v>
      </c>
      <c r="N5821">
        <v>0</v>
      </c>
      <c r="O5821">
        <v>-0.93403449999999999</v>
      </c>
      <c r="P5821">
        <v>0.15019660000000001</v>
      </c>
      <c r="Q5821">
        <v>4.2114520000000003E-2</v>
      </c>
      <c r="R5821">
        <v>-0.98775880000000005</v>
      </c>
      <c r="S5821">
        <v>-5.8898930000000002E-2</v>
      </c>
      <c r="T5821">
        <v>-0.33907749999999998</v>
      </c>
      <c r="U5821">
        <v>-3.0610050000000002</v>
      </c>
      <c r="V5821">
        <v>0.21347869999999999</v>
      </c>
      <c r="W5821">
        <v>5.0225869999999999E-2</v>
      </c>
      <c r="X5821">
        <v>0.97565579999999996</v>
      </c>
      <c r="Y5821">
        <v>0.37469970000000002</v>
      </c>
      <c r="Z5821">
        <v>9.5207239999999999E-2</v>
      </c>
      <c r="AA5821">
        <v>0.92224499999999998</v>
      </c>
      <c r="AB5821">
        <v>25</v>
      </c>
      <c r="AC5821">
        <v>-0.26589999999998698</v>
      </c>
      <c r="AD5821">
        <v>-1.0531014007299999</v>
      </c>
      <c r="AE5821">
        <v>-9.2585235000000008</v>
      </c>
      <c r="AF5821">
        <v>3.5080517316548301</v>
      </c>
      <c r="AG5821">
        <v>-1.0531014007299999</v>
      </c>
      <c r="AH5821">
        <v>8.4444518910011901</v>
      </c>
      <c r="AI5821">
        <v>96.569632735255794</v>
      </c>
      <c r="AJ5821">
        <v>67.440691459966999</v>
      </c>
      <c r="AK5821">
        <v>9.2045758865696605</v>
      </c>
      <c r="AL5821">
        <v>87.121058387260604</v>
      </c>
      <c r="AM5821">
        <v>77.657886751033004</v>
      </c>
      <c r="AN5821">
        <v>1.00000001672229</v>
      </c>
    </row>
    <row r="5822" spans="1:40" x14ac:dyDescent="0.25">
      <c r="A5822" t="str">
        <f>"20190312151140710"</f>
        <v>20190312151140710</v>
      </c>
      <c r="B5822" t="str">
        <f>"1552374700706574"</f>
        <v>1552374700706574</v>
      </c>
      <c r="C5822" t="s">
        <v>40</v>
      </c>
      <c r="D5822">
        <v>5.4197850000000001</v>
      </c>
      <c r="E5822">
        <v>0.5607143</v>
      </c>
      <c r="F5822" t="s">
        <v>42</v>
      </c>
      <c r="G5822">
        <v>-300.84870000000001</v>
      </c>
      <c r="H5822" s="1">
        <v>-2.4991019999999998E-7</v>
      </c>
      <c r="I5822">
        <v>-9.4117049999999995</v>
      </c>
      <c r="J5822">
        <v>-300.5951</v>
      </c>
      <c r="K5822">
        <v>1.054559</v>
      </c>
      <c r="L5822">
        <v>-0.12402340000000001</v>
      </c>
      <c r="M5822">
        <v>0.35055059999999999</v>
      </c>
      <c r="N5822">
        <v>0</v>
      </c>
      <c r="O5822">
        <v>-0.93647279999999999</v>
      </c>
      <c r="P5822">
        <v>0.14696500000000001</v>
      </c>
      <c r="Q5822">
        <v>4.2213720000000003E-2</v>
      </c>
      <c r="R5822">
        <v>-0.98824100000000004</v>
      </c>
      <c r="S5822">
        <v>-5.6182860000000001E-2</v>
      </c>
      <c r="T5822">
        <v>-0.33828390000000003</v>
      </c>
      <c r="U5822">
        <v>-3.06012</v>
      </c>
      <c r="V5822">
        <v>0.20990729999999999</v>
      </c>
      <c r="W5822">
        <v>4.903097E-2</v>
      </c>
      <c r="X5822">
        <v>0.97649109999999995</v>
      </c>
      <c r="Y5822">
        <v>0.36754009999999998</v>
      </c>
      <c r="Z5822">
        <v>9.5571409999999996E-2</v>
      </c>
      <c r="AA5822">
        <v>0.92508400000000002</v>
      </c>
      <c r="AB5822">
        <v>25</v>
      </c>
      <c r="AC5822">
        <v>-0.25360000000000499</v>
      </c>
      <c r="AD5822">
        <v>-1.0545592499101999</v>
      </c>
      <c r="AE5822">
        <v>-9.2876816000000009</v>
      </c>
      <c r="AF5822">
        <v>3.44909086505981</v>
      </c>
      <c r="AG5822">
        <v>-1.0545592499101999</v>
      </c>
      <c r="AH5822">
        <v>8.4998339830166003</v>
      </c>
      <c r="AI5822">
        <v>96.558146846560902</v>
      </c>
      <c r="AJ5822">
        <v>67.913506306415599</v>
      </c>
      <c r="AK5822">
        <v>9.2333905335935</v>
      </c>
      <c r="AL5822">
        <v>87.189605507820403</v>
      </c>
      <c r="AM5822">
        <v>77.868267058620305</v>
      </c>
      <c r="AN5822">
        <v>0.99999998949582003</v>
      </c>
    </row>
    <row r="5823" spans="1:40" x14ac:dyDescent="0.25">
      <c r="A5823" t="str">
        <f>"20190312151140732"</f>
        <v>20190312151140732</v>
      </c>
      <c r="B5823" t="str">
        <f>"1552374700727070"</f>
        <v>1552374700727070</v>
      </c>
      <c r="C5823" t="s">
        <v>40</v>
      </c>
      <c r="D5823">
        <v>5.3481189999999996</v>
      </c>
      <c r="E5823">
        <v>0.55962279999999998</v>
      </c>
      <c r="F5823" t="s">
        <v>42</v>
      </c>
      <c r="G5823">
        <v>-300.74740000000003</v>
      </c>
      <c r="H5823" s="1">
        <v>-1.4278199999999999E-7</v>
      </c>
      <c r="I5823">
        <v>-9.5813020000000009</v>
      </c>
      <c r="J5823">
        <v>-300.51490000000001</v>
      </c>
      <c r="K5823">
        <v>1.0569269999999999</v>
      </c>
      <c r="L5823">
        <v>-0.37142940000000002</v>
      </c>
      <c r="M5823">
        <v>0.3416903</v>
      </c>
      <c r="N5823">
        <v>0</v>
      </c>
      <c r="O5823">
        <v>-0.93976329999999997</v>
      </c>
      <c r="P5823">
        <v>0.14169189999999901</v>
      </c>
      <c r="Q5823">
        <v>4.2949910000000001E-2</v>
      </c>
      <c r="R5823">
        <v>-0.98897860000000004</v>
      </c>
      <c r="S5823">
        <v>-4.9224850000000001E-2</v>
      </c>
      <c r="T5823">
        <v>-0.34094429999999998</v>
      </c>
      <c r="U5823">
        <v>-3.0575869999999998</v>
      </c>
      <c r="V5823">
        <v>0.2057205</v>
      </c>
      <c r="W5823">
        <v>4.8511360000000003E-2</v>
      </c>
      <c r="X5823">
        <v>0.97740760000000004</v>
      </c>
      <c r="Y5823">
        <v>0.3566376</v>
      </c>
      <c r="Z5823">
        <v>9.7174670000000005E-2</v>
      </c>
      <c r="AA5823">
        <v>0.92917530000000004</v>
      </c>
      <c r="AB5823">
        <v>25</v>
      </c>
      <c r="AC5823">
        <v>-0.232500000000015</v>
      </c>
      <c r="AD5823">
        <v>-1.056927142782</v>
      </c>
      <c r="AE5823">
        <v>-9.20987259999999</v>
      </c>
      <c r="AF5823">
        <v>3.3218543957517301</v>
      </c>
      <c r="AG5823">
        <v>-1.056927142782</v>
      </c>
      <c r="AH5823">
        <v>8.4646470378868592</v>
      </c>
      <c r="AI5823">
        <v>96.629945427753299</v>
      </c>
      <c r="AJ5823">
        <v>68.573040151892997</v>
      </c>
      <c r="AK5823">
        <v>9.1543465680370204</v>
      </c>
      <c r="AL5823">
        <v>87.219412319294307</v>
      </c>
      <c r="AM5823">
        <v>78.114121718927194</v>
      </c>
      <c r="AN5823">
        <v>0.99999994635352796</v>
      </c>
    </row>
    <row r="5824" spans="1:40" x14ac:dyDescent="0.25">
      <c r="A5824" t="str">
        <f>"20190312151140755"</f>
        <v>20190312151140755</v>
      </c>
      <c r="B5824" t="str">
        <f>"1552374700746590"</f>
        <v>1552374700746590</v>
      </c>
      <c r="C5824" t="s">
        <v>40</v>
      </c>
      <c r="D5824">
        <v>5.3668360000000002</v>
      </c>
      <c r="E5824">
        <v>0.55860880000000002</v>
      </c>
      <c r="F5824" t="s">
        <v>42</v>
      </c>
      <c r="G5824">
        <v>-300.69130000000001</v>
      </c>
      <c r="H5824" s="1">
        <v>6.0555490000000006E-8</v>
      </c>
      <c r="I5824">
        <v>-9.9798790000000004</v>
      </c>
      <c r="J5824">
        <v>-300.43849999999998</v>
      </c>
      <c r="K5824">
        <v>1.0594209999999999</v>
      </c>
      <c r="L5824">
        <v>-0.61090089999999997</v>
      </c>
      <c r="M5824">
        <v>0.33214300000000002</v>
      </c>
      <c r="N5824">
        <v>0</v>
      </c>
      <c r="O5824">
        <v>-0.94319560000000002</v>
      </c>
      <c r="P5824">
        <v>0.134717</v>
      </c>
      <c r="Q5824">
        <v>4.4884630000000002E-2</v>
      </c>
      <c r="R5824">
        <v>-0.98986730000000001</v>
      </c>
      <c r="S5824">
        <v>-5.6091309999999998E-2</v>
      </c>
      <c r="T5824">
        <v>-0.33616580000000001</v>
      </c>
      <c r="U5824">
        <v>-3.0560610000000001</v>
      </c>
      <c r="V5824">
        <v>0.2025498</v>
      </c>
      <c r="W5824">
        <v>4.9387210000000001E-2</v>
      </c>
      <c r="X5824">
        <v>0.97802579999999995</v>
      </c>
      <c r="Y5824">
        <v>0.34925119999999998</v>
      </c>
      <c r="Z5824">
        <v>9.6585420000000005E-2</v>
      </c>
      <c r="AA5824">
        <v>0.93203800000000003</v>
      </c>
      <c r="AB5824">
        <v>25</v>
      </c>
      <c r="AC5824">
        <v>-0.252800000000036</v>
      </c>
      <c r="AD5824">
        <v>-1.05942093944451</v>
      </c>
      <c r="AE5824">
        <v>-9.3689780999999908</v>
      </c>
      <c r="AF5824">
        <v>3.3081174618671501</v>
      </c>
      <c r="AG5824">
        <v>-1.05942093944451</v>
      </c>
      <c r="AH5824">
        <v>8.6426600592248501</v>
      </c>
      <c r="AI5824">
        <v>96.530828432979703</v>
      </c>
      <c r="AJ5824">
        <v>69.054847148938904</v>
      </c>
      <c r="AK5824">
        <v>9.3145899946140602</v>
      </c>
      <c r="AL5824">
        <v>87.169169707325395</v>
      </c>
      <c r="AM5824">
        <v>78.299416149647399</v>
      </c>
      <c r="AN5824">
        <v>0.99999999172863197</v>
      </c>
    </row>
    <row r="5825" spans="1:40" x14ac:dyDescent="0.25">
      <c r="A5825" t="str">
        <f>"20190312151140779"</f>
        <v>20190312151140779</v>
      </c>
      <c r="B5825" t="str">
        <f>"1552374700767086"</f>
        <v>1552374700767086</v>
      </c>
      <c r="C5825" t="s">
        <v>40</v>
      </c>
      <c r="D5825">
        <v>5.3910359999999997</v>
      </c>
      <c r="E5825">
        <v>0.55749029999999999</v>
      </c>
      <c r="F5825" t="s">
        <v>42</v>
      </c>
      <c r="G5825">
        <v>-300.65859999999998</v>
      </c>
      <c r="H5825" s="1">
        <v>-4.3861079999999996E-6</v>
      </c>
      <c r="I5825">
        <v>-10.46772</v>
      </c>
      <c r="J5825">
        <v>-300.36059999999998</v>
      </c>
      <c r="K5825">
        <v>1.0617319999999999</v>
      </c>
      <c r="L5825">
        <v>-0.86038210000000004</v>
      </c>
      <c r="M5825">
        <v>0.322584599999999</v>
      </c>
      <c r="N5825">
        <v>0</v>
      </c>
      <c r="O5825">
        <v>-0.94651940000000001</v>
      </c>
      <c r="P5825">
        <v>0.12742339999999999</v>
      </c>
      <c r="Q5825">
        <v>4.7479059999999997E-2</v>
      </c>
      <c r="R5825">
        <v>-0.99071189999999998</v>
      </c>
      <c r="S5825">
        <v>-6.8206790000000003E-2</v>
      </c>
      <c r="T5825">
        <v>-0.32834180000000002</v>
      </c>
      <c r="U5825">
        <v>-3.0548709999999999</v>
      </c>
      <c r="V5825">
        <v>0.1997506</v>
      </c>
      <c r="W5825">
        <v>5.0800690000000003E-2</v>
      </c>
      <c r="X5825">
        <v>0.97852899999999998</v>
      </c>
      <c r="Y5825">
        <v>0.34347460000000002</v>
      </c>
      <c r="Z5825">
        <v>9.5038059999999994E-2</v>
      </c>
      <c r="AA5825">
        <v>0.93434099999999998</v>
      </c>
      <c r="AB5825">
        <v>25</v>
      </c>
      <c r="AC5825">
        <v>-0.29800000000000099</v>
      </c>
      <c r="AD5825">
        <v>-1.06173638610799</v>
      </c>
      <c r="AE5825">
        <v>-9.6073378999999992</v>
      </c>
      <c r="AF5825">
        <v>3.3405506108309799</v>
      </c>
      <c r="AG5825">
        <v>-1.06173638610799</v>
      </c>
      <c r="AH5825">
        <v>8.8891226204989806</v>
      </c>
      <c r="AI5825">
        <v>96.379614114551302</v>
      </c>
      <c r="AJ5825">
        <v>69.403676293090598</v>
      </c>
      <c r="AK5825">
        <v>9.55526365410058</v>
      </c>
      <c r="AL5825">
        <v>87.088081503560105</v>
      </c>
      <c r="AM5825">
        <v>78.462523587140296</v>
      </c>
      <c r="AN5825">
        <v>1.0000000080729099</v>
      </c>
    </row>
    <row r="5826" spans="1:40" x14ac:dyDescent="0.25">
      <c r="A5826" t="str">
        <f>"20190312151140801"</f>
        <v>20190312151140801</v>
      </c>
      <c r="B5826" t="str">
        <f>"1552374700796827"</f>
        <v>1552374700796827</v>
      </c>
      <c r="C5826" t="s">
        <v>40</v>
      </c>
      <c r="D5826">
        <v>5.3149379999999997</v>
      </c>
      <c r="E5826">
        <v>0.55649579999999998</v>
      </c>
      <c r="F5826" t="s">
        <v>42</v>
      </c>
      <c r="G5826">
        <v>-300.62720000000002</v>
      </c>
      <c r="H5826" s="1">
        <v>-4.1966019999999901E-6</v>
      </c>
      <c r="I5826">
        <v>-11.008240000000001</v>
      </c>
      <c r="J5826">
        <v>-300.28559999999999</v>
      </c>
      <c r="K5826">
        <v>1.063636</v>
      </c>
      <c r="L5826">
        <v>-1.1078490000000001</v>
      </c>
      <c r="M5826">
        <v>0.3140752</v>
      </c>
      <c r="N5826">
        <v>0</v>
      </c>
      <c r="O5826">
        <v>-0.94938579999999995</v>
      </c>
      <c r="P5826">
        <v>0.12245929999999999</v>
      </c>
      <c r="Q5826">
        <v>4.8680840000000003E-2</v>
      </c>
      <c r="R5826">
        <v>-0.99127909999999997</v>
      </c>
      <c r="S5826">
        <v>-8.0230709999999997E-2</v>
      </c>
      <c r="T5826">
        <v>-0.31950580000000001</v>
      </c>
      <c r="U5826">
        <v>-3.0537719999999999</v>
      </c>
      <c r="V5826">
        <v>0.1958056</v>
      </c>
      <c r="W5826">
        <v>5.0706870000000001E-2</v>
      </c>
      <c r="X5826">
        <v>0.9793309</v>
      </c>
      <c r="Y5826">
        <v>0.33873350000000002</v>
      </c>
      <c r="Z5826">
        <v>9.3070150000000004E-2</v>
      </c>
      <c r="AA5826">
        <v>0.93626790000000004</v>
      </c>
      <c r="AB5826">
        <v>25</v>
      </c>
      <c r="AC5826">
        <v>-0.34160000000002799</v>
      </c>
      <c r="AD5826">
        <v>-1.0636401966019999</v>
      </c>
      <c r="AE5826">
        <v>-9.9003910000000008</v>
      </c>
      <c r="AF5826">
        <v>3.3946824300399498</v>
      </c>
      <c r="AG5826">
        <v>-1.0636401966019999</v>
      </c>
      <c r="AH5826">
        <v>9.1862090710736499</v>
      </c>
      <c r="AI5826">
        <v>96.198488465268795</v>
      </c>
      <c r="AJ5826">
        <v>69.718653266250797</v>
      </c>
      <c r="AK5826">
        <v>9.8509713412498208</v>
      </c>
      <c r="AL5826">
        <v>87.093463952560299</v>
      </c>
      <c r="AM5826">
        <v>78.693475484265804</v>
      </c>
      <c r="AN5826">
        <v>1.0000000156756801</v>
      </c>
    </row>
    <row r="5827" spans="1:40" x14ac:dyDescent="0.25">
      <c r="A5827" t="str">
        <f>"20190312151140823"</f>
        <v>20190312151140823</v>
      </c>
      <c r="B5827" t="str">
        <f>"1552374700817323"</f>
        <v>1552374700817323</v>
      </c>
      <c r="C5827" t="s">
        <v>40</v>
      </c>
      <c r="D5827">
        <v>5.4066809999999998</v>
      </c>
      <c r="E5827">
        <v>0.5101618</v>
      </c>
      <c r="F5827" t="s">
        <v>42</v>
      </c>
      <c r="G5827">
        <v>-300.58</v>
      </c>
      <c r="H5827" s="1">
        <v>-4.0181590000000003E-6</v>
      </c>
      <c r="I5827">
        <v>-11.404159999999999</v>
      </c>
      <c r="J5827">
        <v>-300.21510000000001</v>
      </c>
      <c r="K5827">
        <v>1.065512</v>
      </c>
      <c r="L5827">
        <v>-1.3455509999999999</v>
      </c>
      <c r="M5827">
        <v>0.30549179999999998</v>
      </c>
      <c r="N5827">
        <v>0</v>
      </c>
      <c r="O5827">
        <v>-0.95218720000000001</v>
      </c>
      <c r="P5827">
        <v>0.11763319999999999</v>
      </c>
      <c r="Q5827">
        <v>4.9651670000000002E-2</v>
      </c>
      <c r="R5827">
        <v>-0.99181560000000002</v>
      </c>
      <c r="S5827">
        <v>-8.7280269999999993E-2</v>
      </c>
      <c r="T5827">
        <v>-0.31535039999999998</v>
      </c>
      <c r="U5827">
        <v>-3.052673</v>
      </c>
      <c r="V5827">
        <v>0.19168270000000001</v>
      </c>
      <c r="W5827">
        <v>5.0820209999999998E-2</v>
      </c>
      <c r="X5827">
        <v>0.98014029999999996</v>
      </c>
      <c r="Y5827">
        <v>0.33240710000000001</v>
      </c>
      <c r="Z5827">
        <v>9.2448080000000002E-2</v>
      </c>
      <c r="AA5827">
        <v>0.93859409999999999</v>
      </c>
      <c r="AB5827">
        <v>25</v>
      </c>
      <c r="AC5827">
        <v>-0.36489999999997702</v>
      </c>
      <c r="AD5827">
        <v>-1.065516018159</v>
      </c>
      <c r="AE5827">
        <v>-10.058608999999899</v>
      </c>
      <c r="AF5827">
        <v>3.3823950601756398</v>
      </c>
      <c r="AG5827">
        <v>-1.065516018159</v>
      </c>
      <c r="AH5827">
        <v>9.36136361660175</v>
      </c>
      <c r="AI5827">
        <v>96.110099500472501</v>
      </c>
      <c r="AJ5827">
        <v>70.134484615741997</v>
      </c>
      <c r="AK5827">
        <v>10.010546912646101</v>
      </c>
      <c r="AL5827">
        <v>87.086961560006202</v>
      </c>
      <c r="AM5827">
        <v>78.934520092802998</v>
      </c>
      <c r="AN5827">
        <v>0.99999997945391095</v>
      </c>
    </row>
    <row r="5828" spans="1:40" x14ac:dyDescent="0.25">
      <c r="A5828" t="str">
        <f>"20190312151140844"</f>
        <v>20190312151140844</v>
      </c>
      <c r="B5828" t="str">
        <f>"1552374700836843"</f>
        <v>1552374700836843</v>
      </c>
      <c r="C5828" t="s">
        <v>40</v>
      </c>
      <c r="D5828">
        <v>5.2838390000000004</v>
      </c>
      <c r="E5828">
        <v>0.49034319999999998</v>
      </c>
      <c r="F5828" t="s">
        <v>91</v>
      </c>
      <c r="G5828">
        <v>-292.03519999999997</v>
      </c>
      <c r="H5828">
        <v>3.0805720000000001</v>
      </c>
      <c r="I5828">
        <v>-91.564989999999995</v>
      </c>
      <c r="J5828">
        <v>-300.14510000000001</v>
      </c>
      <c r="K5828">
        <v>1.067207</v>
      </c>
      <c r="L5828">
        <v>-1.58606</v>
      </c>
      <c r="M5828">
        <v>0.29665979999999997</v>
      </c>
      <c r="N5828">
        <v>0</v>
      </c>
      <c r="O5828">
        <v>-0.95497790000000005</v>
      </c>
      <c r="P5828">
        <v>0.113426399999999</v>
      </c>
      <c r="Q5828">
        <v>4.9883150000000001E-2</v>
      </c>
      <c r="R5828">
        <v>-0.99229350000000005</v>
      </c>
      <c r="S5828">
        <v>0.27102659999999901</v>
      </c>
      <c r="T5828">
        <v>6.6766499999999895E-2</v>
      </c>
      <c r="U5828">
        <v>-2.9892880000000002</v>
      </c>
      <c r="V5828">
        <v>0.18676670000000001</v>
      </c>
      <c r="W5828">
        <v>5.0414460000000001E-2</v>
      </c>
      <c r="X5828">
        <v>0.98110989999999998</v>
      </c>
      <c r="Y5828">
        <v>0.2092378</v>
      </c>
      <c r="Z5828">
        <v>-2.0539620000000001E-2</v>
      </c>
      <c r="AA5828">
        <v>0.97764899999999999</v>
      </c>
      <c r="AB5828">
        <v>25</v>
      </c>
      <c r="AC5828">
        <v>8.1099000000000299</v>
      </c>
      <c r="AD5828">
        <v>2.0133649999999998</v>
      </c>
      <c r="AE5828">
        <v>-89.978930000000005</v>
      </c>
      <c r="AF5828">
        <v>18.939046434748999</v>
      </c>
      <c r="AG5828">
        <v>2.0133649999999998</v>
      </c>
      <c r="AH5828">
        <v>88.290370939083402</v>
      </c>
      <c r="AI5828">
        <v>88.722705289437499</v>
      </c>
      <c r="AJ5828">
        <v>77.893032127008595</v>
      </c>
      <c r="AK5828">
        <v>90.321263936250105</v>
      </c>
      <c r="AL5828">
        <v>87.1102392995966</v>
      </c>
      <c r="AM5828">
        <v>79.221978795027596</v>
      </c>
      <c r="AN5828">
        <v>1.00000002694199</v>
      </c>
    </row>
    <row r="5829" spans="1:40" x14ac:dyDescent="0.25">
      <c r="A5829" t="str">
        <f>"20190312151140867"</f>
        <v>20190312151140867</v>
      </c>
      <c r="B5829" t="str">
        <f>"1552374700857340"</f>
        <v>1552374700857340</v>
      </c>
      <c r="C5829" t="s">
        <v>40</v>
      </c>
      <c r="D5829">
        <v>5.3024060000000004</v>
      </c>
      <c r="E5829">
        <v>0.48015560000000002</v>
      </c>
      <c r="F5829" t="s">
        <v>91</v>
      </c>
      <c r="G5829">
        <v>-287.63990000000001</v>
      </c>
      <c r="H5829">
        <v>0.40439989999999998</v>
      </c>
      <c r="I5829">
        <v>-91.564989999999995</v>
      </c>
      <c r="J5829">
        <v>-300.07650000000001</v>
      </c>
      <c r="K5829">
        <v>1.0685830000000001</v>
      </c>
      <c r="L5829">
        <v>-1.8280639999999999</v>
      </c>
      <c r="M5829">
        <v>0.28889510000000002</v>
      </c>
      <c r="N5829">
        <v>0</v>
      </c>
      <c r="O5829">
        <v>-0.95735689999999996</v>
      </c>
      <c r="P5829">
        <v>0.109666899999999</v>
      </c>
      <c r="Q5829">
        <v>5.0082429999999997E-2</v>
      </c>
      <c r="R5829">
        <v>-0.99270610000000004</v>
      </c>
      <c r="S5829">
        <v>0.41375729999999999</v>
      </c>
      <c r="T5829">
        <v>-2.192974E-2</v>
      </c>
      <c r="U5829">
        <v>-2.977112</v>
      </c>
      <c r="V5829">
        <v>0.182585</v>
      </c>
      <c r="W5829">
        <v>5.0013950000000001E-2</v>
      </c>
      <c r="X5829">
        <v>0.98191709999999999</v>
      </c>
      <c r="Y5829">
        <v>0.15436240000000001</v>
      </c>
      <c r="Z5829">
        <v>6.8210529999999997E-3</v>
      </c>
      <c r="AA5829">
        <v>0.9879907</v>
      </c>
      <c r="AB5829">
        <v>25</v>
      </c>
      <c r="AC5829">
        <v>12.4366</v>
      </c>
      <c r="AD5829">
        <v>-0.66418310000000003</v>
      </c>
      <c r="AE5829">
        <v>-89.736925999999997</v>
      </c>
      <c r="AF5829">
        <v>14.0175917339848</v>
      </c>
      <c r="AG5829">
        <v>-0.66418310000000003</v>
      </c>
      <c r="AH5829">
        <v>89.498658214609506</v>
      </c>
      <c r="AI5829">
        <v>90.420071882755806</v>
      </c>
      <c r="AJ5829">
        <v>81.098452926028003</v>
      </c>
      <c r="AK5829">
        <v>90.592184207173702</v>
      </c>
      <c r="AL5829">
        <v>87.133215551651602</v>
      </c>
      <c r="AM5829">
        <v>79.466301216490507</v>
      </c>
      <c r="AN5829">
        <v>0.99999993434600398</v>
      </c>
    </row>
    <row r="5830" spans="1:40" x14ac:dyDescent="0.25">
      <c r="A5830" t="str">
        <f>"20190312151140888"</f>
        <v>20190312151140888</v>
      </c>
      <c r="B5830" t="str">
        <f>"1552374700876858"</f>
        <v>1552374700876858</v>
      </c>
      <c r="C5830" t="s">
        <v>40</v>
      </c>
      <c r="D5830">
        <v>5.272119</v>
      </c>
      <c r="E5830">
        <v>0.47357080000000001</v>
      </c>
      <c r="F5830" t="s">
        <v>85</v>
      </c>
      <c r="G5830">
        <v>-293.59050000000002</v>
      </c>
      <c r="H5830" s="1">
        <v>-2.6134569999999999E-6</v>
      </c>
      <c r="I5830">
        <v>-41.832410000000003</v>
      </c>
      <c r="J5830">
        <v>-300.01260000000002</v>
      </c>
      <c r="K5830">
        <v>1.0700459999999901</v>
      </c>
      <c r="L5830">
        <v>-2.0610659999999998</v>
      </c>
      <c r="M5830">
        <v>0.28335529999999998</v>
      </c>
      <c r="N5830">
        <v>0</v>
      </c>
      <c r="O5830">
        <v>-0.95901110000000001</v>
      </c>
      <c r="P5830">
        <v>0.10711950000000001</v>
      </c>
      <c r="Q5830">
        <v>4.9939360000000002E-2</v>
      </c>
      <c r="R5830">
        <v>-0.99299150000000003</v>
      </c>
      <c r="S5830">
        <v>0.4819946</v>
      </c>
      <c r="T5830">
        <v>-7.9408880000000001E-2</v>
      </c>
      <c r="U5830">
        <v>-2.9728089999999998</v>
      </c>
      <c r="V5830">
        <v>0.17950839999999901</v>
      </c>
      <c r="W5830">
        <v>4.961248E-2</v>
      </c>
      <c r="X5830">
        <v>0.98250459999999995</v>
      </c>
      <c r="Y5830">
        <v>0.12626979999999999</v>
      </c>
      <c r="Z5830">
        <v>2.4804799999999998E-2</v>
      </c>
      <c r="AA5830">
        <v>0.9916857</v>
      </c>
      <c r="AB5830">
        <v>25</v>
      </c>
      <c r="AC5830">
        <v>6.4221000000000004</v>
      </c>
      <c r="AD5830">
        <v>-1.07004861345699</v>
      </c>
      <c r="AE5830">
        <v>-39.771343999999999</v>
      </c>
      <c r="AF5830">
        <v>5.1069721579921099</v>
      </c>
      <c r="AG5830">
        <v>-1.07004861345699</v>
      </c>
      <c r="AH5830">
        <v>39.9328739305695</v>
      </c>
      <c r="AI5830">
        <v>91.522546252205601</v>
      </c>
      <c r="AJ5830">
        <v>82.712065546164396</v>
      </c>
      <c r="AK5830">
        <v>40.272330315148402</v>
      </c>
      <c r="AL5830">
        <v>87.156246801671301</v>
      </c>
      <c r="AM5830">
        <v>79.645982039247201</v>
      </c>
      <c r="AN5830">
        <v>0.99999997643173399</v>
      </c>
    </row>
    <row r="5831" spans="1:40" x14ac:dyDescent="0.25">
      <c r="A5831" t="str">
        <f>"20190312151140911"</f>
        <v>20190312151140911</v>
      </c>
      <c r="B5831" t="str">
        <f>"1552374700907115"</f>
        <v>1552374700907115</v>
      </c>
      <c r="C5831" t="s">
        <v>40</v>
      </c>
      <c r="D5831">
        <v>5.1691929999999999</v>
      </c>
      <c r="E5831">
        <v>0.46722049999999998</v>
      </c>
      <c r="F5831" t="s">
        <v>42</v>
      </c>
      <c r="G5831">
        <v>-295.31549999999999</v>
      </c>
      <c r="H5831" s="1">
        <v>-1.838667E-6</v>
      </c>
      <c r="I5831">
        <v>-28.611609999999999</v>
      </c>
      <c r="J5831">
        <v>-299.94779999999997</v>
      </c>
      <c r="K5831">
        <v>1.0721830000000001</v>
      </c>
      <c r="L5831">
        <v>-2.305847</v>
      </c>
      <c r="M5831">
        <v>0.2786478</v>
      </c>
      <c r="N5831">
        <v>0</v>
      </c>
      <c r="O5831">
        <v>-0.96038869999999998</v>
      </c>
      <c r="P5831">
        <v>0.1058143</v>
      </c>
      <c r="Q5831">
        <v>4.9150449999999998E-2</v>
      </c>
      <c r="R5831">
        <v>-0.99317069999999996</v>
      </c>
      <c r="S5831">
        <v>0.52551269999999894</v>
      </c>
      <c r="T5831">
        <v>-0.1197175</v>
      </c>
      <c r="U5831">
        <v>-2.9704899999999999</v>
      </c>
      <c r="V5831">
        <v>0.1760244</v>
      </c>
      <c r="W5831">
        <v>4.8964300000000002E-2</v>
      </c>
      <c r="X5831">
        <v>0.98316729999999997</v>
      </c>
      <c r="Y5831">
        <v>0.1072089</v>
      </c>
      <c r="Z5831">
        <v>3.7491110000000001E-2</v>
      </c>
      <c r="AA5831">
        <v>0.99352940000000001</v>
      </c>
      <c r="AB5831">
        <v>25</v>
      </c>
      <c r="AC5831">
        <v>4.6322999999999803</v>
      </c>
      <c r="AD5831">
        <v>-1.0721848386670001</v>
      </c>
      <c r="AE5831">
        <v>-26.305762999999999</v>
      </c>
      <c r="AF5831">
        <v>2.8766122339539102</v>
      </c>
      <c r="AG5831">
        <v>-1.0721848386670001</v>
      </c>
      <c r="AH5831">
        <v>26.511938003931</v>
      </c>
      <c r="AI5831">
        <v>92.302371876939603</v>
      </c>
      <c r="AJ5831">
        <v>83.807488450860305</v>
      </c>
      <c r="AK5831">
        <v>26.689086439911701</v>
      </c>
      <c r="AL5831">
        <v>87.193430085360802</v>
      </c>
      <c r="AM5831">
        <v>79.849418715378903</v>
      </c>
      <c r="AN5831">
        <v>1.0000000159295599</v>
      </c>
    </row>
    <row r="5832" spans="1:40" x14ac:dyDescent="0.25">
      <c r="A5832" t="str">
        <f>"20190312151140933"</f>
        <v>20190312151140933</v>
      </c>
      <c r="B5832" t="str">
        <f>"1552374700926635"</f>
        <v>1552374700926635</v>
      </c>
      <c r="C5832" t="s">
        <v>40</v>
      </c>
      <c r="D5832">
        <v>5.2463170000000003</v>
      </c>
      <c r="E5832">
        <v>0.46441300000000002</v>
      </c>
      <c r="F5832" t="s">
        <v>41</v>
      </c>
      <c r="G5832">
        <v>-299.79300000000001</v>
      </c>
      <c r="H5832">
        <v>1.027066</v>
      </c>
      <c r="I5832">
        <v>-3.1123129999999999</v>
      </c>
      <c r="J5832">
        <v>-299.88479999999998</v>
      </c>
      <c r="K5832">
        <v>1.0750420000000001</v>
      </c>
      <c r="L5832">
        <v>-2.5520320000000001</v>
      </c>
      <c r="M5832">
        <v>0.27330490000000002</v>
      </c>
      <c r="N5832">
        <v>0</v>
      </c>
      <c r="O5832">
        <v>-0.96192219999999995</v>
      </c>
      <c r="P5832">
        <v>0.1043284</v>
      </c>
      <c r="Q5832">
        <v>4.8133599999999999E-2</v>
      </c>
      <c r="R5832">
        <v>-0.99337750000000002</v>
      </c>
      <c r="S5832">
        <v>0.57083130000000004</v>
      </c>
      <c r="T5832">
        <v>-0.16547479999999901</v>
      </c>
      <c r="U5832">
        <v>-2.9680179999999998</v>
      </c>
      <c r="V5832">
        <v>0.17200009999999999</v>
      </c>
      <c r="W5832">
        <v>4.8315129999999998E-2</v>
      </c>
      <c r="X5832">
        <v>0.98391139999999999</v>
      </c>
      <c r="Y5832">
        <v>8.6976360000000003E-2</v>
      </c>
      <c r="Z5832">
        <v>5.1937499999999998E-2</v>
      </c>
      <c r="AA5832">
        <v>0.99485559999999995</v>
      </c>
      <c r="AB5832">
        <v>25</v>
      </c>
      <c r="AC5832">
        <v>9.1799999999977899E-2</v>
      </c>
      <c r="AD5832">
        <v>-4.7975999999999998E-2</v>
      </c>
      <c r="AE5832">
        <v>-0.56028099999999903</v>
      </c>
      <c r="AF5832">
        <v>6.4363819988616205E-2</v>
      </c>
      <c r="AG5832">
        <v>-4.7975999999999998E-2</v>
      </c>
      <c r="AH5832">
        <v>0.56003998543620404</v>
      </c>
      <c r="AI5832">
        <v>94.864442052244698</v>
      </c>
      <c r="AJ5832">
        <v>83.443921072751607</v>
      </c>
      <c r="AK5832">
        <v>0.56576424700303396</v>
      </c>
      <c r="AL5832">
        <v>87.2306688592207</v>
      </c>
      <c r="AM5832">
        <v>80.084173562566306</v>
      </c>
      <c r="AN5832">
        <v>1.00000001461844</v>
      </c>
    </row>
    <row r="5833" spans="1:40" x14ac:dyDescent="0.25">
      <c r="A5833" t="str">
        <f>"20190312151140955"</f>
        <v>20190312151140955</v>
      </c>
      <c r="B5833" t="str">
        <f>"1552374700947131"</f>
        <v>1552374700947131</v>
      </c>
      <c r="C5833" t="s">
        <v>40</v>
      </c>
      <c r="D5833">
        <v>5.2488849999999996</v>
      </c>
      <c r="E5833">
        <v>0.46262500000000001</v>
      </c>
      <c r="F5833" t="s">
        <v>41</v>
      </c>
      <c r="G5833">
        <v>-299.73169999999999</v>
      </c>
      <c r="H5833">
        <v>1.0263260000000001</v>
      </c>
      <c r="I5833">
        <v>-3.3252109999999999</v>
      </c>
      <c r="J5833">
        <v>-299.82319999999999</v>
      </c>
      <c r="K5833">
        <v>1.078373</v>
      </c>
      <c r="L5833">
        <v>-2.7976070000000002</v>
      </c>
      <c r="M5833">
        <v>0.26677499999999998</v>
      </c>
      <c r="N5833">
        <v>0</v>
      </c>
      <c r="O5833">
        <v>-0.96375279999999997</v>
      </c>
      <c r="P5833">
        <v>0.1018039</v>
      </c>
      <c r="Q5833">
        <v>4.7369639999999998E-2</v>
      </c>
      <c r="R5833">
        <v>-0.99367620000000001</v>
      </c>
      <c r="S5833">
        <v>0.58807369999999903</v>
      </c>
      <c r="T5833">
        <v>-0.18662139999999999</v>
      </c>
      <c r="U5833">
        <v>-2.967285</v>
      </c>
      <c r="V5833">
        <v>0.1677516</v>
      </c>
      <c r="W5833">
        <v>4.815034E-2</v>
      </c>
      <c r="X5833">
        <v>0.98465270000000005</v>
      </c>
      <c r="Y5833">
        <v>7.4675190000000002E-2</v>
      </c>
      <c r="Z5833">
        <v>5.8733639999999997E-2</v>
      </c>
      <c r="AA5833">
        <v>0.99547680000000005</v>
      </c>
      <c r="AB5833">
        <v>25</v>
      </c>
      <c r="AC5833">
        <v>9.1499999999996307E-2</v>
      </c>
      <c r="AD5833">
        <v>-5.2046999999999899E-2</v>
      </c>
      <c r="AE5833">
        <v>-0.52760399999999896</v>
      </c>
      <c r="AF5833">
        <v>5.2076501669172E-2</v>
      </c>
      <c r="AG5833">
        <v>-5.2046999999999899E-2</v>
      </c>
      <c r="AH5833">
        <v>0.52790558563211798</v>
      </c>
      <c r="AI5833">
        <v>95.603654522427405</v>
      </c>
      <c r="AJ5833">
        <v>84.366149323852895</v>
      </c>
      <c r="AK5833">
        <v>0.53301515886200501</v>
      </c>
      <c r="AL5833">
        <v>87.240121584013096</v>
      </c>
      <c r="AM5833">
        <v>80.331560084061294</v>
      </c>
      <c r="AN5833">
        <v>0.99999999708098197</v>
      </c>
    </row>
    <row r="5834" spans="1:40" x14ac:dyDescent="0.25">
      <c r="A5834" t="str">
        <f>"20190312151140979"</f>
        <v>20190312151140979</v>
      </c>
      <c r="B5834" t="str">
        <f>"1552374700966652"</f>
        <v>1552374700966652</v>
      </c>
      <c r="C5834" t="s">
        <v>40</v>
      </c>
      <c r="D5834">
        <v>5.2347029999999997</v>
      </c>
      <c r="E5834">
        <v>0.46078750000000002</v>
      </c>
      <c r="F5834" t="s">
        <v>41</v>
      </c>
      <c r="G5834">
        <v>-299.6739</v>
      </c>
      <c r="H5834">
        <v>1.028548</v>
      </c>
      <c r="I5834">
        <v>-3.5437430000000001</v>
      </c>
      <c r="J5834">
        <v>-299.76220000000001</v>
      </c>
      <c r="K5834">
        <v>1.081828</v>
      </c>
      <c r="L5834">
        <v>-3.0466000000000002</v>
      </c>
      <c r="M5834">
        <v>0.25951669999999999</v>
      </c>
      <c r="N5834">
        <v>0</v>
      </c>
      <c r="O5834">
        <v>-0.96573070000000005</v>
      </c>
      <c r="P5834">
        <v>9.8758390000000001E-2</v>
      </c>
      <c r="Q5834">
        <v>4.6376960000000002E-2</v>
      </c>
      <c r="R5834">
        <v>-0.99403050000000004</v>
      </c>
      <c r="S5834">
        <v>0.59472659999999999</v>
      </c>
      <c r="T5834">
        <v>-0.19787179999999999</v>
      </c>
      <c r="U5834">
        <v>-2.96759</v>
      </c>
      <c r="V5834">
        <v>0.16328129999999999</v>
      </c>
      <c r="W5834">
        <v>4.7998880000000001E-2</v>
      </c>
      <c r="X5834">
        <v>0.98541120000000004</v>
      </c>
      <c r="Y5834">
        <v>6.5088099999999996E-2</v>
      </c>
      <c r="Z5834">
        <v>6.245556E-2</v>
      </c>
      <c r="AA5834">
        <v>0.99592309999999995</v>
      </c>
      <c r="AB5834">
        <v>25</v>
      </c>
      <c r="AC5834">
        <v>8.8300000000003806E-2</v>
      </c>
      <c r="AD5834">
        <v>-5.3280000000000001E-2</v>
      </c>
      <c r="AE5834">
        <v>-0.497142999999999</v>
      </c>
      <c r="AF5834">
        <v>4.3261522467994001E-2</v>
      </c>
      <c r="AG5834">
        <v>-5.3280000000000001E-2</v>
      </c>
      <c r="AH5834">
        <v>0.49748609391103499</v>
      </c>
      <c r="AI5834">
        <v>96.090179113145197</v>
      </c>
      <c r="AJ5834">
        <v>85.030046419016102</v>
      </c>
      <c r="AK5834">
        <v>0.50219790059408598</v>
      </c>
      <c r="AL5834">
        <v>87.248809530476507</v>
      </c>
      <c r="AM5834">
        <v>80.591650823851296</v>
      </c>
      <c r="AN5834">
        <v>0.99999995424819099</v>
      </c>
    </row>
    <row r="5835" spans="1:40" x14ac:dyDescent="0.25">
      <c r="A5835" t="str">
        <f>"20190312151141003"</f>
        <v>20190312151141003</v>
      </c>
      <c r="B5835" t="str">
        <f>"1552374700997884"</f>
        <v>1552374700997884</v>
      </c>
      <c r="C5835" t="s">
        <v>40</v>
      </c>
      <c r="D5835">
        <v>5.2205570000000003</v>
      </c>
      <c r="E5835">
        <v>0.45833059999999998</v>
      </c>
      <c r="F5835" t="s">
        <v>41</v>
      </c>
      <c r="G5835">
        <v>-299.57479999999998</v>
      </c>
      <c r="H5835">
        <v>1.0151709999999901</v>
      </c>
      <c r="I5835">
        <v>-3.9754580000000002</v>
      </c>
      <c r="J5835">
        <v>-299.69819999999999</v>
      </c>
      <c r="K5835">
        <v>1.0851900000000001</v>
      </c>
      <c r="L5835">
        <v>-3.3147579999999999</v>
      </c>
      <c r="M5835">
        <v>0.25196950000000001</v>
      </c>
      <c r="N5835">
        <v>0</v>
      </c>
      <c r="O5835">
        <v>-0.96772389999999997</v>
      </c>
      <c r="P5835">
        <v>9.548769E-2</v>
      </c>
      <c r="Q5835">
        <v>4.4929990000000003E-2</v>
      </c>
      <c r="R5835">
        <v>-0.99441650000000004</v>
      </c>
      <c r="S5835">
        <v>0.60015869999999905</v>
      </c>
      <c r="T5835">
        <v>-0.21241779999999999</v>
      </c>
      <c r="U5835">
        <v>-2.9682919999999999</v>
      </c>
      <c r="V5835">
        <v>0.15877569999999999</v>
      </c>
      <c r="W5835">
        <v>4.7526400000000003E-2</v>
      </c>
      <c r="X5835">
        <v>0.98617010000000005</v>
      </c>
      <c r="Y5835">
        <v>5.5652149999999997E-2</v>
      </c>
      <c r="Z5835">
        <v>6.722707E-2</v>
      </c>
      <c r="AA5835">
        <v>0.99618439999999997</v>
      </c>
      <c r="AB5835">
        <v>25</v>
      </c>
      <c r="AC5835">
        <v>0.12340000000000299</v>
      </c>
      <c r="AD5835">
        <v>-7.0018999999999998E-2</v>
      </c>
      <c r="AE5835">
        <v>-0.66069999999999895</v>
      </c>
      <c r="AF5835">
        <v>4.6554399112781898E-2</v>
      </c>
      <c r="AG5835">
        <v>-7.0018999999999998E-2</v>
      </c>
      <c r="AH5835">
        <v>0.66327728552194498</v>
      </c>
      <c r="AI5835">
        <v>96.011441014766206</v>
      </c>
      <c r="AJ5835">
        <v>85.985082930945197</v>
      </c>
      <c r="AK5835">
        <v>0.66858561899513802</v>
      </c>
      <c r="AL5835">
        <v>87.275911626556194</v>
      </c>
      <c r="AM5835">
        <v>80.853735152026303</v>
      </c>
      <c r="AN5835">
        <v>0.99999997387072903</v>
      </c>
    </row>
    <row r="5836" spans="1:40" x14ac:dyDescent="0.25">
      <c r="A5836" t="str">
        <f>"20190312151141025"</f>
        <v>20190312151141025</v>
      </c>
      <c r="B5836" t="str">
        <f>"1552374701017403"</f>
        <v>1552374701017403</v>
      </c>
      <c r="C5836" t="s">
        <v>40</v>
      </c>
      <c r="D5836">
        <v>5.1826339999999904</v>
      </c>
      <c r="E5836">
        <v>0.45708100000000002</v>
      </c>
      <c r="F5836" t="s">
        <v>41</v>
      </c>
      <c r="G5836">
        <v>-299.51760000000002</v>
      </c>
      <c r="H5836">
        <v>1.0158879999999999</v>
      </c>
      <c r="I5836">
        <v>-4.1941490000000003</v>
      </c>
      <c r="J5836">
        <v>-299.64319999999998</v>
      </c>
      <c r="K5836">
        <v>1.087801</v>
      </c>
      <c r="L5836">
        <v>-3.5527340000000001</v>
      </c>
      <c r="M5836">
        <v>0.2457801</v>
      </c>
      <c r="N5836">
        <v>0</v>
      </c>
      <c r="O5836">
        <v>-0.96931089999999998</v>
      </c>
      <c r="P5836">
        <v>9.3663259999999998E-2</v>
      </c>
      <c r="Q5836">
        <v>4.4233630000000003E-2</v>
      </c>
      <c r="R5836">
        <v>-0.99462130000000004</v>
      </c>
      <c r="S5836">
        <v>0.61010739999999997</v>
      </c>
      <c r="T5836">
        <v>-0.23386689999999999</v>
      </c>
      <c r="U5836">
        <v>-2.968842</v>
      </c>
      <c r="V5836">
        <v>0.15426119999999999</v>
      </c>
      <c r="W5836">
        <v>4.7649280000000002E-2</v>
      </c>
      <c r="X5836">
        <v>0.98688050000000005</v>
      </c>
      <c r="Y5836">
        <v>4.6201560000000003E-2</v>
      </c>
      <c r="Z5836">
        <v>7.4141719999999994E-2</v>
      </c>
      <c r="AA5836">
        <v>0.99617690000000003</v>
      </c>
      <c r="AB5836">
        <v>25</v>
      </c>
      <c r="AC5836">
        <v>0.12559999999996299</v>
      </c>
      <c r="AD5836">
        <v>-7.1913000000000102E-2</v>
      </c>
      <c r="AE5836">
        <v>-0.64141499999999896</v>
      </c>
      <c r="AF5836">
        <v>3.54726789573774E-2</v>
      </c>
      <c r="AG5836">
        <v>-7.1913000000000102E-2</v>
      </c>
      <c r="AH5836">
        <v>0.64480394014533804</v>
      </c>
      <c r="AI5836">
        <v>96.354195171735796</v>
      </c>
      <c r="AJ5836">
        <v>86.851154232909707</v>
      </c>
      <c r="AK5836">
        <v>0.64977066088610502</v>
      </c>
      <c r="AL5836">
        <v>87.268863333939294</v>
      </c>
      <c r="AM5836">
        <v>81.115876871693104</v>
      </c>
      <c r="AN5836">
        <v>1.0000000464951</v>
      </c>
    </row>
    <row r="5837" spans="1:40" x14ac:dyDescent="0.25">
      <c r="A5837" t="str">
        <f>"20190312151141045"</f>
        <v>20190312151141045</v>
      </c>
      <c r="B5837" t="str">
        <f>"1552374701036923"</f>
        <v>1552374701036923</v>
      </c>
      <c r="C5837" t="s">
        <v>40</v>
      </c>
      <c r="D5837">
        <v>5.1850399999999999</v>
      </c>
      <c r="E5837">
        <v>0.45591789999999999</v>
      </c>
      <c r="F5837" t="s">
        <v>41</v>
      </c>
      <c r="G5837">
        <v>-299.4649</v>
      </c>
      <c r="H5837">
        <v>1.0170629999999901</v>
      </c>
      <c r="I5837">
        <v>-4.4141959999999996</v>
      </c>
      <c r="J5837">
        <v>-299.59230000000002</v>
      </c>
      <c r="K5837">
        <v>1.089996</v>
      </c>
      <c r="L5837">
        <v>-3.7792659999999998</v>
      </c>
      <c r="M5837">
        <v>0.24023620000000001</v>
      </c>
      <c r="N5837">
        <v>0</v>
      </c>
      <c r="O5837">
        <v>-0.97069609999999995</v>
      </c>
      <c r="P5837">
        <v>9.1836089999999995E-2</v>
      </c>
      <c r="Q5837">
        <v>4.3696350000000002E-2</v>
      </c>
      <c r="R5837">
        <v>-0.99481509999999995</v>
      </c>
      <c r="S5837">
        <v>0.61477660000000001</v>
      </c>
      <c r="T5837">
        <v>-0.2436247</v>
      </c>
      <c r="U5837">
        <v>-2.9691770000000002</v>
      </c>
      <c r="V5837">
        <v>0.15042710000000001</v>
      </c>
      <c r="W5837">
        <v>4.7834080000000001E-2</v>
      </c>
      <c r="X5837">
        <v>0.98746319999999999</v>
      </c>
      <c r="Y5837">
        <v>3.9062189999999997E-2</v>
      </c>
      <c r="Z5837">
        <v>7.7374120000000005E-2</v>
      </c>
      <c r="AA5837">
        <v>0.99623660000000003</v>
      </c>
      <c r="AB5837">
        <v>25</v>
      </c>
      <c r="AC5837">
        <v>0.127400000000022</v>
      </c>
      <c r="AD5837">
        <v>-7.2933000000000095E-2</v>
      </c>
      <c r="AE5837">
        <v>-0.634929999999999</v>
      </c>
      <c r="AF5837">
        <v>2.8505440693517198E-2</v>
      </c>
      <c r="AG5837">
        <v>-7.2933000000000095E-2</v>
      </c>
      <c r="AH5837">
        <v>0.63883870905826901</v>
      </c>
      <c r="AI5837">
        <v>96.506554051179194</v>
      </c>
      <c r="AJ5837">
        <v>87.445115985678697</v>
      </c>
      <c r="AK5837">
        <v>0.64361998013530197</v>
      </c>
      <c r="AL5837">
        <v>87.258262836028706</v>
      </c>
      <c r="AM5837">
        <v>81.338330342953995</v>
      </c>
      <c r="AN5837">
        <v>0.99999999148904795</v>
      </c>
    </row>
    <row r="5838" spans="1:40" x14ac:dyDescent="0.25">
      <c r="A5838" t="str">
        <f>"20190312151141068"</f>
        <v>20190312151141068</v>
      </c>
      <c r="B5838" t="str">
        <f>"1552374701057419"</f>
        <v>1552374701057419</v>
      </c>
      <c r="C5838" t="s">
        <v>40</v>
      </c>
      <c r="D5838">
        <v>5.1890589999999897</v>
      </c>
      <c r="E5838">
        <v>0.45493699999999998</v>
      </c>
      <c r="F5838" t="s">
        <v>41</v>
      </c>
      <c r="G5838">
        <v>-299.41419999999999</v>
      </c>
      <c r="H5838">
        <v>1.0175240000000001</v>
      </c>
      <c r="I5838">
        <v>-4.6343569999999996</v>
      </c>
      <c r="J5838">
        <v>-299.53710000000001</v>
      </c>
      <c r="K5838">
        <v>1.0921959999999999</v>
      </c>
      <c r="L5838">
        <v>-4.0330510000000004</v>
      </c>
      <c r="M5838">
        <v>0.2341801</v>
      </c>
      <c r="N5838">
        <v>0</v>
      </c>
      <c r="O5838">
        <v>-0.97217019999999998</v>
      </c>
      <c r="P5838">
        <v>8.903047E-2</v>
      </c>
      <c r="Q5838">
        <v>4.2676850000000002E-2</v>
      </c>
      <c r="R5838">
        <v>-0.99511439999999995</v>
      </c>
      <c r="S5838">
        <v>0.61880489999999999</v>
      </c>
      <c r="T5838">
        <v>-0.25145289999999998</v>
      </c>
      <c r="U5838">
        <v>-2.9695429999999998</v>
      </c>
      <c r="V5838">
        <v>0.14705179999999901</v>
      </c>
      <c r="W5838">
        <v>4.7576880000000002E-2</v>
      </c>
      <c r="X5838">
        <v>0.98798390000000003</v>
      </c>
      <c r="Y5838">
        <v>3.1604489999999999E-2</v>
      </c>
      <c r="Z5838">
        <v>8.0017130000000006E-2</v>
      </c>
      <c r="AA5838">
        <v>0.99629239999999997</v>
      </c>
      <c r="AB5838">
        <v>25</v>
      </c>
      <c r="AC5838">
        <v>0.122900000000015</v>
      </c>
      <c r="AD5838">
        <v>-7.4672000000000002E-2</v>
      </c>
      <c r="AE5838">
        <v>-0.60130599999999901</v>
      </c>
      <c r="AF5838">
        <v>2.1023448544847698E-2</v>
      </c>
      <c r="AG5838">
        <v>-7.4672000000000002E-2</v>
      </c>
      <c r="AH5838">
        <v>0.60441900828827599</v>
      </c>
      <c r="AI5838">
        <v>97.038616709370899</v>
      </c>
      <c r="AJ5838">
        <v>88.007889508491999</v>
      </c>
      <c r="AK5838">
        <v>0.60937691993781695</v>
      </c>
      <c r="AL5838">
        <v>87.273016101370999</v>
      </c>
      <c r="AM5838">
        <v>81.534230338753105</v>
      </c>
      <c r="AN5838">
        <v>0.99999998902649201</v>
      </c>
    </row>
    <row r="5839" spans="1:40" x14ac:dyDescent="0.25">
      <c r="A5839" t="str">
        <f>"20190312151141089"</f>
        <v>20190312151141089</v>
      </c>
      <c r="B5839" t="str">
        <f>"1552374701076940"</f>
        <v>1552374701076940</v>
      </c>
      <c r="C5839" t="s">
        <v>40</v>
      </c>
      <c r="D5839">
        <v>5.1891059999999998</v>
      </c>
      <c r="E5839">
        <v>0.4539666</v>
      </c>
      <c r="F5839" t="s">
        <v>41</v>
      </c>
      <c r="G5839">
        <v>-299.36599999999999</v>
      </c>
      <c r="H5839">
        <v>1.0199260000000001</v>
      </c>
      <c r="I5839">
        <v>-4.8560589999999904</v>
      </c>
      <c r="J5839">
        <v>-299.4864</v>
      </c>
      <c r="K5839">
        <v>1.094093</v>
      </c>
      <c r="L5839">
        <v>-4.2735289999999999</v>
      </c>
      <c r="M5839">
        <v>0.22840940000000001</v>
      </c>
      <c r="N5839">
        <v>0</v>
      </c>
      <c r="O5839">
        <v>-0.97353769999999995</v>
      </c>
      <c r="P5839">
        <v>8.5553920000000006E-2</v>
      </c>
      <c r="Q5839">
        <v>4.1033029999999998E-2</v>
      </c>
      <c r="R5839">
        <v>-0.9954885</v>
      </c>
      <c r="S5839">
        <v>0.61810299999999996</v>
      </c>
      <c r="T5839">
        <v>-0.2605053</v>
      </c>
      <c r="U5839">
        <v>-2.970612</v>
      </c>
      <c r="V5839">
        <v>0.14463500000000001</v>
      </c>
      <c r="W5839">
        <v>4.6623789999999998E-2</v>
      </c>
      <c r="X5839">
        <v>0.98838599999999999</v>
      </c>
      <c r="Y5839">
        <v>2.602405E-2</v>
      </c>
      <c r="Z5839">
        <v>8.3032510000000004E-2</v>
      </c>
      <c r="AA5839">
        <v>0.99620699999999995</v>
      </c>
      <c r="AB5839">
        <v>25</v>
      </c>
      <c r="AC5839">
        <v>0.12040000000001699</v>
      </c>
      <c r="AD5839">
        <v>-7.4166999999999803E-2</v>
      </c>
      <c r="AE5839">
        <v>-0.58252999999999899</v>
      </c>
      <c r="AF5839">
        <v>1.55993061219474E-2</v>
      </c>
      <c r="AG5839">
        <v>-7.4166999999999803E-2</v>
      </c>
      <c r="AH5839">
        <v>0.58552870274923796</v>
      </c>
      <c r="AI5839">
        <v>97.2164902678754</v>
      </c>
      <c r="AJ5839">
        <v>88.473921033203197</v>
      </c>
      <c r="AK5839">
        <v>0.59041336704354097</v>
      </c>
      <c r="AL5839">
        <v>87.327684769052496</v>
      </c>
      <c r="AM5839">
        <v>81.674738639799898</v>
      </c>
      <c r="AN5839">
        <v>0.999999973007481</v>
      </c>
    </row>
    <row r="5840" spans="1:40" x14ac:dyDescent="0.25">
      <c r="A5840" t="str">
        <f>"20190312151141112"</f>
        <v>20190312151141112</v>
      </c>
      <c r="B5840" t="str">
        <f>"1552374701107198"</f>
        <v>1552374701107198</v>
      </c>
      <c r="C5840" t="s">
        <v>40</v>
      </c>
      <c r="D5840">
        <v>5.5124060000000004</v>
      </c>
      <c r="E5840">
        <v>0.45270270000000001</v>
      </c>
      <c r="F5840" t="s">
        <v>41</v>
      </c>
      <c r="G5840">
        <v>-299.31979999999999</v>
      </c>
      <c r="H5840">
        <v>1.0209589999999999</v>
      </c>
      <c r="I5840">
        <v>-5.0775480000000002</v>
      </c>
      <c r="J5840">
        <v>-299.43540000000002</v>
      </c>
      <c r="K5840">
        <v>1.0958730000000001</v>
      </c>
      <c r="L5840">
        <v>-4.5227969999999997</v>
      </c>
      <c r="M5840">
        <v>0.22233649999999999</v>
      </c>
      <c r="N5840">
        <v>0</v>
      </c>
      <c r="O5840">
        <v>-0.97493770000000002</v>
      </c>
      <c r="P5840">
        <v>8.2210649999999996E-2</v>
      </c>
      <c r="Q5840">
        <v>3.9890519999999999E-2</v>
      </c>
      <c r="R5840">
        <v>-0.99581660000000005</v>
      </c>
      <c r="S5840">
        <v>0.61560059999999905</v>
      </c>
      <c r="T5840">
        <v>-0.27025690000000002</v>
      </c>
      <c r="U5840">
        <v>-2.971832</v>
      </c>
      <c r="V5840">
        <v>0.141782399999999</v>
      </c>
      <c r="W5840">
        <v>4.6165570000000003E-2</v>
      </c>
      <c r="X5840">
        <v>0.9888207</v>
      </c>
      <c r="Y5840">
        <v>2.0735650000000001E-2</v>
      </c>
      <c r="Z5840">
        <v>8.6281360000000001E-2</v>
      </c>
      <c r="AA5840">
        <v>0.99605500000000002</v>
      </c>
      <c r="AB5840">
        <v>25</v>
      </c>
      <c r="AC5840">
        <v>0.115600000000029</v>
      </c>
      <c r="AD5840">
        <v>-7.4913999999999897E-2</v>
      </c>
      <c r="AE5840">
        <v>-0.55475099999999999</v>
      </c>
      <c r="AF5840">
        <v>1.0456188655800201E-2</v>
      </c>
      <c r="AG5840">
        <v>-7.4913999999999897E-2</v>
      </c>
      <c r="AH5840">
        <v>0.55683572559328798</v>
      </c>
      <c r="AI5840">
        <v>97.660956672343303</v>
      </c>
      <c r="AJ5840">
        <v>88.924233751953196</v>
      </c>
      <c r="AK5840">
        <v>0.56194969932744798</v>
      </c>
      <c r="AL5840">
        <v>87.353967063232403</v>
      </c>
      <c r="AM5840">
        <v>81.8402412048233</v>
      </c>
      <c r="AN5840">
        <v>0.99999994277583504</v>
      </c>
    </row>
    <row r="5841" spans="1:40" x14ac:dyDescent="0.25">
      <c r="A5841" t="str">
        <f>"20190312151141134"</f>
        <v>20190312151141134</v>
      </c>
      <c r="B5841" t="str">
        <f>"1552374701126715"</f>
        <v>1552374701126715</v>
      </c>
      <c r="C5841" t="s">
        <v>40</v>
      </c>
      <c r="D5841">
        <v>5.1848769999999904</v>
      </c>
      <c r="E5841">
        <v>0.45194630000000002</v>
      </c>
      <c r="F5841" t="s">
        <v>41</v>
      </c>
      <c r="G5841">
        <v>-299.27460000000002</v>
      </c>
      <c r="H5841">
        <v>1.02295</v>
      </c>
      <c r="I5841">
        <v>-5.2996530000000002</v>
      </c>
      <c r="J5841">
        <v>-299.38560000000001</v>
      </c>
      <c r="K5841">
        <v>1.097456</v>
      </c>
      <c r="L5841">
        <v>-4.7740169999999997</v>
      </c>
      <c r="M5841">
        <v>0.21615319999999999</v>
      </c>
      <c r="N5841">
        <v>0</v>
      </c>
      <c r="O5841">
        <v>-0.97632249999999998</v>
      </c>
      <c r="P5841">
        <v>7.8784000000000007E-2</v>
      </c>
      <c r="Q5841">
        <v>3.8642830000000003E-2</v>
      </c>
      <c r="R5841">
        <v>-0.99614230000000004</v>
      </c>
      <c r="S5841">
        <v>0.61566160000000003</v>
      </c>
      <c r="T5841">
        <v>-0.27881719999999999</v>
      </c>
      <c r="U5841">
        <v>-2.972931</v>
      </c>
      <c r="V5841">
        <v>0.13890559999999999</v>
      </c>
      <c r="W5841">
        <v>4.5555859999999997E-2</v>
      </c>
      <c r="X5841">
        <v>0.98925730000000001</v>
      </c>
      <c r="Y5841">
        <v>1.450484E-2</v>
      </c>
      <c r="Z5841">
        <v>8.9154830000000004E-2</v>
      </c>
      <c r="AA5841">
        <v>0.99591209999999997</v>
      </c>
      <c r="AB5841">
        <v>25</v>
      </c>
      <c r="AC5841">
        <v>0.11099999999999</v>
      </c>
      <c r="AD5841">
        <v>-7.4505999999999906E-2</v>
      </c>
      <c r="AE5841">
        <v>-0.52563599999999999</v>
      </c>
      <c r="AF5841">
        <v>5.1472933101162997E-3</v>
      </c>
      <c r="AG5841">
        <v>-7.4505999999999906E-2</v>
      </c>
      <c r="AH5841">
        <v>0.52706518483000697</v>
      </c>
      <c r="AI5841">
        <v>98.045648762179994</v>
      </c>
      <c r="AJ5841">
        <v>89.440469953649597</v>
      </c>
      <c r="AK5841">
        <v>0.53233011160774102</v>
      </c>
      <c r="AL5841">
        <v>87.3889379602617</v>
      </c>
      <c r="AM5841">
        <v>82.007125013154393</v>
      </c>
      <c r="AN5841">
        <v>1.00000005384749</v>
      </c>
    </row>
    <row r="5842" spans="1:40" x14ac:dyDescent="0.25">
      <c r="A5842" t="str">
        <f>"20190312151141156"</f>
        <v>20190312151141156</v>
      </c>
      <c r="B5842" t="str">
        <f>"1552374701147211"</f>
        <v>1552374701147211</v>
      </c>
      <c r="C5842" t="s">
        <v>40</v>
      </c>
      <c r="D5842">
        <v>5.1577699999999904</v>
      </c>
      <c r="E5842">
        <v>0.45112350000000001</v>
      </c>
      <c r="F5842" t="s">
        <v>41</v>
      </c>
      <c r="G5842">
        <v>-299.23169999999999</v>
      </c>
      <c r="H5842">
        <v>1.0258100000000001</v>
      </c>
      <c r="I5842">
        <v>-5.5226290000000002</v>
      </c>
      <c r="J5842">
        <v>-299.33789999999999</v>
      </c>
      <c r="K5842">
        <v>1.0988169999999999</v>
      </c>
      <c r="L5842">
        <v>-5.022583</v>
      </c>
      <c r="M5842">
        <v>0.21001990000000001</v>
      </c>
      <c r="N5842">
        <v>0</v>
      </c>
      <c r="O5842">
        <v>-0.97765579999999996</v>
      </c>
      <c r="P5842">
        <v>7.5666720000000007E-2</v>
      </c>
      <c r="Q5842">
        <v>3.7940090000000003E-2</v>
      </c>
      <c r="R5842">
        <v>-0.99641120000000005</v>
      </c>
      <c r="S5842">
        <v>0.61145019999999894</v>
      </c>
      <c r="T5842">
        <v>-0.28490589999999999</v>
      </c>
      <c r="U5842">
        <v>-2.9743040000000001</v>
      </c>
      <c r="V5842">
        <v>0.1357815</v>
      </c>
      <c r="W5842">
        <v>4.5426290000000001E-2</v>
      </c>
      <c r="X5842">
        <v>0.98969689999999999</v>
      </c>
      <c r="Y5842">
        <v>9.7103620000000002E-3</v>
      </c>
      <c r="Z5842">
        <v>9.1246389999999997E-2</v>
      </c>
      <c r="AA5842">
        <v>0.99578100000000003</v>
      </c>
      <c r="AB5842">
        <v>25</v>
      </c>
      <c r="AC5842">
        <v>0.106200000000001</v>
      </c>
      <c r="AD5842">
        <v>-7.3006999999999794E-2</v>
      </c>
      <c r="AE5842">
        <v>-0.50004599999999999</v>
      </c>
      <c r="AF5842">
        <v>1.16877458073709E-3</v>
      </c>
      <c r="AG5842">
        <v>-7.3006999999999794E-2</v>
      </c>
      <c r="AH5842">
        <v>0.500979560283208</v>
      </c>
      <c r="AI5842">
        <v>98.291241223347896</v>
      </c>
      <c r="AJ5842">
        <v>89.866330416459903</v>
      </c>
      <c r="AK5842">
        <v>0.50627256285974798</v>
      </c>
      <c r="AL5842">
        <v>87.396369480209998</v>
      </c>
      <c r="AM5842">
        <v>82.188073227070404</v>
      </c>
      <c r="AN5842">
        <v>1.00000005871751</v>
      </c>
    </row>
    <row r="5843" spans="1:40" x14ac:dyDescent="0.25">
      <c r="A5843" t="str">
        <f>"20190312151141180"</f>
        <v>20190312151141180</v>
      </c>
      <c r="B5843" t="str">
        <f>"1552374701177467"</f>
        <v>1552374701177467</v>
      </c>
      <c r="C5843" t="s">
        <v>40</v>
      </c>
      <c r="D5843">
        <v>5.1461639999999997</v>
      </c>
      <c r="E5843">
        <v>0.45004240000000001</v>
      </c>
      <c r="F5843" t="s">
        <v>41</v>
      </c>
      <c r="G5843">
        <v>-299.19</v>
      </c>
      <c r="H5843">
        <v>1.0279959999999999</v>
      </c>
      <c r="I5843">
        <v>-5.745482</v>
      </c>
      <c r="J5843">
        <v>-299.29199999999997</v>
      </c>
      <c r="K5843">
        <v>1.09996</v>
      </c>
      <c r="L5843">
        <v>-5.2697450000000003</v>
      </c>
      <c r="M5843">
        <v>0.20393610000000001</v>
      </c>
      <c r="N5843">
        <v>0</v>
      </c>
      <c r="O5843">
        <v>-0.9789388</v>
      </c>
      <c r="P5843">
        <v>7.1936680000000003E-2</v>
      </c>
      <c r="Q5843">
        <v>3.6854360000000003E-2</v>
      </c>
      <c r="R5843">
        <v>-0.99672819999999995</v>
      </c>
      <c r="S5843">
        <v>0.60919190000000001</v>
      </c>
      <c r="T5843">
        <v>-0.29113129999999998</v>
      </c>
      <c r="U5843">
        <v>-2.975616</v>
      </c>
      <c r="V5843">
        <v>0.133324</v>
      </c>
      <c r="W5843">
        <v>4.483943E-2</v>
      </c>
      <c r="X5843">
        <v>0.99005759999999998</v>
      </c>
      <c r="Y5843">
        <v>4.343787E-3</v>
      </c>
      <c r="Z5843">
        <v>9.337471E-2</v>
      </c>
      <c r="AA5843">
        <v>0.9956216</v>
      </c>
      <c r="AB5843">
        <v>25</v>
      </c>
      <c r="AC5843">
        <v>0.102000000000032</v>
      </c>
      <c r="AD5843">
        <v>-7.1964000000000097E-2</v>
      </c>
      <c r="AE5843">
        <v>-0.47573700000000002</v>
      </c>
      <c r="AF5843">
        <v>-2.7713085336412901E-3</v>
      </c>
      <c r="AG5843">
        <v>-7.1964000000000097E-2</v>
      </c>
      <c r="AH5843">
        <v>0.47612457597727997</v>
      </c>
      <c r="AI5843">
        <v>98.594789219701894</v>
      </c>
      <c r="AJ5843">
        <v>90.333489379904805</v>
      </c>
      <c r="AK5843">
        <v>0.48154035064211698</v>
      </c>
      <c r="AL5843">
        <v>87.430028117938406</v>
      </c>
      <c r="AM5843">
        <v>82.330523347727194</v>
      </c>
      <c r="AN5843">
        <v>0.99999995738824099</v>
      </c>
    </row>
    <row r="5844" spans="1:40" x14ac:dyDescent="0.25">
      <c r="A5844" t="str">
        <f>"20190312151141201"</f>
        <v>20190312151141201</v>
      </c>
      <c r="B5844" t="str">
        <f>"1552374701196987"</f>
        <v>1552374701196987</v>
      </c>
      <c r="C5844" t="s">
        <v>40</v>
      </c>
      <c r="D5844">
        <v>5.1676820000000001</v>
      </c>
      <c r="E5844">
        <v>0.44935219999999998</v>
      </c>
      <c r="F5844" t="s">
        <v>41</v>
      </c>
      <c r="G5844">
        <v>-299.10660000000001</v>
      </c>
      <c r="H5844">
        <v>1.00844</v>
      </c>
      <c r="I5844">
        <v>-6.1792959999999999</v>
      </c>
      <c r="J5844">
        <v>-299.24709999999999</v>
      </c>
      <c r="K5844">
        <v>1.10094</v>
      </c>
      <c r="L5844">
        <v>-5.5210569999999999</v>
      </c>
      <c r="M5844">
        <v>0.19776489999999999</v>
      </c>
      <c r="N5844">
        <v>0</v>
      </c>
      <c r="O5844">
        <v>-0.98019999999999996</v>
      </c>
      <c r="P5844">
        <v>6.8606979999999998E-2</v>
      </c>
      <c r="Q5844">
        <v>3.6178290000000002E-2</v>
      </c>
      <c r="R5844">
        <v>-0.99698790000000004</v>
      </c>
      <c r="S5844">
        <v>0.60693359999999996</v>
      </c>
      <c r="T5844">
        <v>-0.29937760000000002</v>
      </c>
      <c r="U5844">
        <v>-2.977112</v>
      </c>
      <c r="V5844">
        <v>0.1303898</v>
      </c>
      <c r="W5844">
        <v>4.4616969999999999E-2</v>
      </c>
      <c r="X5844">
        <v>0.99045839999999996</v>
      </c>
      <c r="Y5844">
        <v>-1.079551E-3</v>
      </c>
      <c r="Z5844">
        <v>9.6140799999999998E-2</v>
      </c>
      <c r="AA5844">
        <v>0.99536720000000001</v>
      </c>
      <c r="AB5844">
        <v>25</v>
      </c>
      <c r="AC5844">
        <v>0.14049999999997401</v>
      </c>
      <c r="AD5844">
        <v>-9.2499999999999999E-2</v>
      </c>
      <c r="AE5844">
        <v>-0.65823900000000002</v>
      </c>
      <c r="AF5844">
        <v>-7.4020911389941699E-3</v>
      </c>
      <c r="AG5844">
        <v>-9.2499999999999999E-2</v>
      </c>
      <c r="AH5844">
        <v>0.66054857768517805</v>
      </c>
      <c r="AI5844">
        <v>97.971089955657007</v>
      </c>
      <c r="AJ5844">
        <v>90.642028224991805</v>
      </c>
      <c r="AK5844">
        <v>0.66703483000150898</v>
      </c>
      <c r="AL5844">
        <v>87.442787036323296</v>
      </c>
      <c r="AM5844">
        <v>82.500370862090193</v>
      </c>
      <c r="AN5844">
        <v>1.00000000804329</v>
      </c>
    </row>
    <row r="5845" spans="1:40" x14ac:dyDescent="0.25">
      <c r="A5845" t="str">
        <f>"20190312151141224"</f>
        <v>20190312151141224</v>
      </c>
      <c r="B5845" t="str">
        <f>"1552374701217484"</f>
        <v>1552374701217484</v>
      </c>
      <c r="C5845" t="s">
        <v>40</v>
      </c>
      <c r="D5845">
        <v>5.1646000000000001</v>
      </c>
      <c r="E5845">
        <v>0.44905139999999999</v>
      </c>
      <c r="F5845" t="s">
        <v>41</v>
      </c>
      <c r="G5845">
        <v>-299.06880000000001</v>
      </c>
      <c r="H5845">
        <v>1.0108629999999901</v>
      </c>
      <c r="I5845">
        <v>-6.4028210000000003</v>
      </c>
      <c r="J5845">
        <v>-299.20370000000003</v>
      </c>
      <c r="K5845">
        <v>1.101761</v>
      </c>
      <c r="L5845">
        <v>-5.7720640000000003</v>
      </c>
      <c r="M5845">
        <v>0.19160369999999999</v>
      </c>
      <c r="N5845">
        <v>0</v>
      </c>
      <c r="O5845">
        <v>-0.98141909999999999</v>
      </c>
      <c r="P5845">
        <v>6.4756170000000002E-2</v>
      </c>
      <c r="Q5845">
        <v>3.5689739999999998E-2</v>
      </c>
      <c r="R5845">
        <v>-0.99726269999999995</v>
      </c>
      <c r="S5845">
        <v>0.60202029999999995</v>
      </c>
      <c r="T5845">
        <v>-0.304585099999999</v>
      </c>
      <c r="U5845">
        <v>-2.9786990000000002</v>
      </c>
      <c r="V5845">
        <v>0.12799160000000001</v>
      </c>
      <c r="W5845">
        <v>4.4525500000000003E-2</v>
      </c>
      <c r="X5845">
        <v>0.99077530000000003</v>
      </c>
      <c r="Y5845">
        <v>-5.645476E-3</v>
      </c>
      <c r="Z5845">
        <v>9.7943340000000004E-2</v>
      </c>
      <c r="AA5845">
        <v>0.99517599999999995</v>
      </c>
      <c r="AB5845">
        <v>25</v>
      </c>
      <c r="AC5845">
        <v>0.13490000000001601</v>
      </c>
      <c r="AD5845">
        <v>-9.0898000000000104E-2</v>
      </c>
      <c r="AE5845">
        <v>-0.63075700000000001</v>
      </c>
      <c r="AF5845">
        <v>-1.13139789309587E-2</v>
      </c>
      <c r="AG5845">
        <v>-9.0898000000000104E-2</v>
      </c>
      <c r="AH5845">
        <v>0.63235989850067198</v>
      </c>
      <c r="AI5845">
        <v>98.178607064207895</v>
      </c>
      <c r="AJ5845">
        <v>91.025008206394205</v>
      </c>
      <c r="AK5845">
        <v>0.63895969650286299</v>
      </c>
      <c r="AL5845">
        <v>87.448033157062397</v>
      </c>
      <c r="AM5845">
        <v>82.639109760206793</v>
      </c>
      <c r="AN5845">
        <v>1.0000000324554399</v>
      </c>
    </row>
    <row r="5846" spans="1:40" x14ac:dyDescent="0.25">
      <c r="A5846" t="str">
        <f>"20190312151141246"</f>
        <v>20190312151141246</v>
      </c>
      <c r="B5846" t="str">
        <f>"1552374701237003"</f>
        <v>1552374701237003</v>
      </c>
      <c r="C5846" t="s">
        <v>40</v>
      </c>
      <c r="D5846">
        <v>5.1401059999999896</v>
      </c>
      <c r="E5846">
        <v>0.43325760000000002</v>
      </c>
      <c r="F5846" t="s">
        <v>41</v>
      </c>
      <c r="G5846">
        <v>-299.03399999999999</v>
      </c>
      <c r="H5846">
        <v>1.013385</v>
      </c>
      <c r="I5846">
        <v>-6.6267889999999996</v>
      </c>
      <c r="J5846">
        <v>-299.16309999999999</v>
      </c>
      <c r="K5846">
        <v>1.102427</v>
      </c>
      <c r="L5846">
        <v>-6.0156559999999999</v>
      </c>
      <c r="M5846">
        <v>0.18562229999999999</v>
      </c>
      <c r="N5846">
        <v>0</v>
      </c>
      <c r="O5846">
        <v>-0.98256460000000001</v>
      </c>
      <c r="P5846">
        <v>6.0402310000000001E-2</v>
      </c>
      <c r="Q5846">
        <v>3.4784719999999998E-2</v>
      </c>
      <c r="R5846">
        <v>-0.99756789999999995</v>
      </c>
      <c r="S5846">
        <v>0.59274289999999996</v>
      </c>
      <c r="T5846">
        <v>-0.307537</v>
      </c>
      <c r="U5846">
        <v>-2.9807429999999999</v>
      </c>
      <c r="V5846">
        <v>0.12628010000000001</v>
      </c>
      <c r="W5846">
        <v>4.3956719999999998E-2</v>
      </c>
      <c r="X5846">
        <v>0.99102029999999997</v>
      </c>
      <c r="Y5846">
        <v>-8.6053480000000005E-3</v>
      </c>
      <c r="Z5846">
        <v>9.9018430000000004E-2</v>
      </c>
      <c r="AA5846">
        <v>0.99504840000000006</v>
      </c>
      <c r="AB5846">
        <v>25</v>
      </c>
      <c r="AC5846">
        <v>0.129099999999994</v>
      </c>
      <c r="AD5846">
        <v>-8.9041999999999996E-2</v>
      </c>
      <c r="AE5846">
        <v>-0.61113299999999904</v>
      </c>
      <c r="AF5846">
        <v>-1.3142838740044E-2</v>
      </c>
      <c r="AG5846">
        <v>-8.9041999999999996E-2</v>
      </c>
      <c r="AH5846">
        <v>0.61203860161271195</v>
      </c>
      <c r="AI5846">
        <v>98.275680200883201</v>
      </c>
      <c r="AJ5846">
        <v>91.230173183920598</v>
      </c>
      <c r="AK5846">
        <v>0.61862142044888102</v>
      </c>
      <c r="AL5846">
        <v>87.480653823361294</v>
      </c>
      <c r="AM5846">
        <v>82.7382576840604</v>
      </c>
      <c r="AN5846">
        <v>1.00000004595062</v>
      </c>
    </row>
    <row r="5847" spans="1:40" x14ac:dyDescent="0.25">
      <c r="A5847" t="str">
        <f>"20190312151141268"</f>
        <v>20190312151141268</v>
      </c>
      <c r="B5847" t="str">
        <f>"1552374701257500"</f>
        <v>1552374701257500</v>
      </c>
      <c r="C5847" t="s">
        <v>40</v>
      </c>
      <c r="D5847">
        <v>5.1027639999999996</v>
      </c>
      <c r="E5847">
        <v>0.43337330000000002</v>
      </c>
      <c r="F5847" t="s">
        <v>41</v>
      </c>
      <c r="G5847">
        <v>-298.96839999999997</v>
      </c>
      <c r="H5847">
        <v>0.99798450000000005</v>
      </c>
      <c r="I5847">
        <v>-6.8384980000000004</v>
      </c>
      <c r="J5847">
        <v>-299.12369999999999</v>
      </c>
      <c r="K5847">
        <v>1.1029979999999999</v>
      </c>
      <c r="L5847">
        <v>-6.2620239999999896</v>
      </c>
      <c r="M5847">
        <v>0.179567</v>
      </c>
      <c r="N5847">
        <v>0</v>
      </c>
      <c r="O5847">
        <v>-0.98368610000000001</v>
      </c>
      <c r="P5847">
        <v>5.5766349999999999E-2</v>
      </c>
      <c r="Q5847">
        <v>3.4231989999999997E-2</v>
      </c>
      <c r="R5847">
        <v>-0.99785690000000005</v>
      </c>
      <c r="S5847">
        <v>0.70489499999999905</v>
      </c>
      <c r="T5847">
        <v>-0.37786579999999997</v>
      </c>
      <c r="U5847">
        <v>-2.977814</v>
      </c>
      <c r="V5847">
        <v>0.124781</v>
      </c>
      <c r="W5847">
        <v>4.3705189999999998E-2</v>
      </c>
      <c r="X5847">
        <v>0.99122120000000002</v>
      </c>
      <c r="Y5847">
        <v>-5.0133560000000001E-2</v>
      </c>
      <c r="Z5847">
        <v>0.1211271</v>
      </c>
      <c r="AA5847">
        <v>0.99137019999999998</v>
      </c>
      <c r="AB5847">
        <v>25</v>
      </c>
      <c r="AC5847">
        <v>0.15530000000001101</v>
      </c>
      <c r="AD5847">
        <v>-0.105013499999999</v>
      </c>
      <c r="AE5847">
        <v>-0.57647400000000004</v>
      </c>
      <c r="AF5847">
        <v>-4.7775517663740601E-2</v>
      </c>
      <c r="AG5847">
        <v>-0.105013499999999</v>
      </c>
      <c r="AH5847">
        <v>0.57713525855162295</v>
      </c>
      <c r="AI5847">
        <v>100.278113925117</v>
      </c>
      <c r="AJ5847">
        <v>94.732180964202897</v>
      </c>
      <c r="AK5847">
        <v>0.58855368653482898</v>
      </c>
      <c r="AL5847">
        <v>87.4950790642649</v>
      </c>
      <c r="AM5847">
        <v>82.824998754194894</v>
      </c>
      <c r="AN5847">
        <v>0.99999995446168699</v>
      </c>
    </row>
    <row r="5848" spans="1:40" x14ac:dyDescent="0.25">
      <c r="A5848" t="str">
        <f>"20190312151141290"</f>
        <v>20190312151141290</v>
      </c>
      <c r="B5848" t="str">
        <f>"1552374701286780"</f>
        <v>1552374701286780</v>
      </c>
      <c r="C5848" t="s">
        <v>40</v>
      </c>
      <c r="D5848">
        <v>5.3524139999999996</v>
      </c>
      <c r="E5848">
        <v>0.45528859999999899</v>
      </c>
      <c r="F5848" t="s">
        <v>41</v>
      </c>
      <c r="G5848">
        <v>-298.93810000000002</v>
      </c>
      <c r="H5848">
        <v>1.00125</v>
      </c>
      <c r="I5848">
        <v>-7.0635149999999998</v>
      </c>
      <c r="J5848">
        <v>-299.08589999999998</v>
      </c>
      <c r="K5848">
        <v>1.103478</v>
      </c>
      <c r="L5848">
        <v>-6.5072020000000004</v>
      </c>
      <c r="M5848">
        <v>0.17353540000000001</v>
      </c>
      <c r="N5848">
        <v>0</v>
      </c>
      <c r="O5848">
        <v>-0.98476540000000001</v>
      </c>
      <c r="P5848">
        <v>5.0733309999999997E-2</v>
      </c>
      <c r="Q5848">
        <v>3.3478149999999998E-2</v>
      </c>
      <c r="R5848">
        <v>-0.99815100000000001</v>
      </c>
      <c r="S5848">
        <v>0.69070430000000005</v>
      </c>
      <c r="T5848">
        <v>-0.37802520000000001</v>
      </c>
      <c r="U5848">
        <v>-2.980804</v>
      </c>
      <c r="V5848">
        <v>0.1237047</v>
      </c>
      <c r="W5848">
        <v>4.3213550000000003E-2</v>
      </c>
      <c r="X5848">
        <v>0.99137770000000003</v>
      </c>
      <c r="Y5848">
        <v>-5.1552239999999999E-2</v>
      </c>
      <c r="Z5848">
        <v>0.12131840000000001</v>
      </c>
      <c r="AA5848">
        <v>0.99127410000000005</v>
      </c>
      <c r="AB5848">
        <v>25</v>
      </c>
      <c r="AC5848">
        <v>0.14779999999996099</v>
      </c>
      <c r="AD5848">
        <v>-0.102228</v>
      </c>
      <c r="AE5848">
        <v>-0.55631299999999995</v>
      </c>
      <c r="AF5848">
        <v>-4.7512715710780903E-2</v>
      </c>
      <c r="AG5848">
        <v>-0.102228</v>
      </c>
      <c r="AH5848">
        <v>0.55598495940982096</v>
      </c>
      <c r="AI5848">
        <v>100.38149739674201</v>
      </c>
      <c r="AJ5848">
        <v>94.884448956047905</v>
      </c>
      <c r="AK5848">
        <v>0.56729824363217796</v>
      </c>
      <c r="AL5848">
        <v>87.523274724629402</v>
      </c>
      <c r="AM5848">
        <v>82.887361524742303</v>
      </c>
      <c r="AN5848">
        <v>1.00000000388149</v>
      </c>
    </row>
    <row r="5849" spans="1:40" x14ac:dyDescent="0.25">
      <c r="A5849" t="str">
        <f>"20190312151141314"</f>
        <v>20190312151141314</v>
      </c>
      <c r="B5849" t="str">
        <f>"1552374701307275"</f>
        <v>1552374701307275</v>
      </c>
      <c r="C5849" t="s">
        <v>40</v>
      </c>
      <c r="D5849">
        <v>5.3031439999999996</v>
      </c>
      <c r="E5849">
        <v>0.5153643</v>
      </c>
      <c r="F5849" t="s">
        <v>41</v>
      </c>
      <c r="G5849">
        <v>-298.95350000000002</v>
      </c>
      <c r="H5849">
        <v>1.011614</v>
      </c>
      <c r="I5849">
        <v>-7.2971719999999998</v>
      </c>
      <c r="J5849">
        <v>-299.04739999999998</v>
      </c>
      <c r="K5849">
        <v>1.1039060000000001</v>
      </c>
      <c r="L5849">
        <v>-6.7673649999999999</v>
      </c>
      <c r="M5849">
        <v>0.16712969999999999</v>
      </c>
      <c r="N5849">
        <v>0</v>
      </c>
      <c r="O5849">
        <v>-0.98587009999999997</v>
      </c>
      <c r="P5849">
        <v>4.5186509999999999E-2</v>
      </c>
      <c r="Q5849">
        <v>3.2520390000000003E-2</v>
      </c>
      <c r="R5849">
        <v>-0.99844940000000004</v>
      </c>
      <c r="S5849">
        <v>0.50176999999999905</v>
      </c>
      <c r="T5849">
        <v>-0.34778360000000003</v>
      </c>
      <c r="U5849">
        <v>-2.99173</v>
      </c>
      <c r="V5849">
        <v>0.12276629999999999</v>
      </c>
      <c r="W5849">
        <v>4.250135E-2</v>
      </c>
      <c r="X5849">
        <v>0.99152510000000005</v>
      </c>
      <c r="Y5849">
        <v>2.8170880000000001E-3</v>
      </c>
      <c r="Z5849">
        <v>0.11228200000000001</v>
      </c>
      <c r="AA5849">
        <v>0.99367240000000001</v>
      </c>
      <c r="AB5849">
        <v>25</v>
      </c>
      <c r="AC5849">
        <v>9.3899999999962305E-2</v>
      </c>
      <c r="AD5849">
        <v>-9.2291999999999999E-2</v>
      </c>
      <c r="AE5849">
        <v>-0.52980699999999903</v>
      </c>
      <c r="AF5849">
        <v>-3.9118824537146503E-3</v>
      </c>
      <c r="AG5849">
        <v>-9.2291999999999999E-2</v>
      </c>
      <c r="AH5849">
        <v>0.52267112633692903</v>
      </c>
      <c r="AI5849">
        <v>100.01364966713</v>
      </c>
      <c r="AJ5849">
        <v>90.4288168187135</v>
      </c>
      <c r="AK5849">
        <v>0.53077134662173098</v>
      </c>
      <c r="AL5849">
        <v>87.564118240079097</v>
      </c>
      <c r="AM5849">
        <v>82.941809053242494</v>
      </c>
      <c r="AN5849">
        <v>0.99999997654876105</v>
      </c>
    </row>
    <row r="5850" spans="1:40" x14ac:dyDescent="0.25">
      <c r="A5850" t="str">
        <f>"20190312151141335"</f>
        <v>20190312151141335</v>
      </c>
      <c r="B5850" t="str">
        <f>"1552374701326795"</f>
        <v>1552374701326795</v>
      </c>
      <c r="C5850" t="s">
        <v>40</v>
      </c>
      <c r="D5850">
        <v>5.3100699999999996</v>
      </c>
      <c r="E5850">
        <v>0.51849999999999996</v>
      </c>
      <c r="F5850" t="s">
        <v>41</v>
      </c>
      <c r="G5850">
        <v>-299.04539999999997</v>
      </c>
      <c r="H5850">
        <v>1.0409040000000001</v>
      </c>
      <c r="I5850">
        <v>-7.5583109999999998</v>
      </c>
      <c r="J5850">
        <v>-299.0138</v>
      </c>
      <c r="K5850">
        <v>1.1042289999999999</v>
      </c>
      <c r="L5850">
        <v>-7.0055539999999903</v>
      </c>
      <c r="M5850">
        <v>0.16125980000000001</v>
      </c>
      <c r="N5850">
        <v>0</v>
      </c>
      <c r="O5850">
        <v>-0.98684490000000002</v>
      </c>
      <c r="P5850">
        <v>4.0355250000000002E-2</v>
      </c>
      <c r="Q5850">
        <v>3.2232509999999999E-2</v>
      </c>
      <c r="R5850">
        <v>-0.99866529999999998</v>
      </c>
      <c r="S5850">
        <v>7.9956049999999994E-3</v>
      </c>
      <c r="T5850">
        <v>-0.23975769999999999</v>
      </c>
      <c r="U5850">
        <v>-3.0121150000000001</v>
      </c>
      <c r="V5850">
        <v>0.1216636</v>
      </c>
      <c r="W5850">
        <v>4.2415590000000003E-2</v>
      </c>
      <c r="X5850">
        <v>0.99166469999999995</v>
      </c>
      <c r="Y5850">
        <v>0.15865499999999999</v>
      </c>
      <c r="Z5850">
        <v>7.7287990000000001E-2</v>
      </c>
      <c r="AA5850">
        <v>0.98430439999999997</v>
      </c>
      <c r="AB5850">
        <v>25</v>
      </c>
      <c r="AC5850">
        <v>-3.1599999999968903E-2</v>
      </c>
      <c r="AD5850">
        <v>-6.3325000000000006E-2</v>
      </c>
      <c r="AE5850">
        <v>-0.55275700000000005</v>
      </c>
      <c r="AF5850">
        <v>0.118775955596805</v>
      </c>
      <c r="AG5850">
        <v>-6.3325000000000006E-2</v>
      </c>
      <c r="AH5850">
        <v>0.533446995169364</v>
      </c>
      <c r="AI5850">
        <v>96.609477243109097</v>
      </c>
      <c r="AJ5850">
        <v>77.447430447078901</v>
      </c>
      <c r="AK5850">
        <v>0.55016677463125496</v>
      </c>
      <c r="AL5850">
        <v>87.569036407426395</v>
      </c>
      <c r="AM5850">
        <v>83.005550532946799</v>
      </c>
      <c r="AN5850">
        <v>0.99999999553304897</v>
      </c>
    </row>
    <row r="5851" spans="1:40" x14ac:dyDescent="0.25">
      <c r="A5851" t="str">
        <f>"20190312151141358"</f>
        <v>20190312151141358</v>
      </c>
      <c r="B5851" t="str">
        <f>"1552374701347292"</f>
        <v>1552374701347292</v>
      </c>
      <c r="C5851" t="s">
        <v>40</v>
      </c>
      <c r="D5851">
        <v>5.2600980000000002</v>
      </c>
      <c r="E5851">
        <v>0.51956400000000003</v>
      </c>
      <c r="F5851" t="s">
        <v>42</v>
      </c>
      <c r="G5851">
        <v>-299.17700000000002</v>
      </c>
      <c r="H5851" s="1">
        <v>-3.32049E-6</v>
      </c>
      <c r="I5851">
        <v>-22.967379999999999</v>
      </c>
      <c r="J5851">
        <v>-298.97989999999999</v>
      </c>
      <c r="K5851">
        <v>1.104522</v>
      </c>
      <c r="L5851">
        <v>-7.2563170000000001</v>
      </c>
      <c r="M5851">
        <v>0.15507770000000001</v>
      </c>
      <c r="N5851">
        <v>0</v>
      </c>
      <c r="O5851">
        <v>-0.98783330000000003</v>
      </c>
      <c r="P5851">
        <v>3.5276139999999997E-2</v>
      </c>
      <c r="Q5851">
        <v>3.2370679999999999E-2</v>
      </c>
      <c r="R5851">
        <v>-0.99885360000000001</v>
      </c>
      <c r="S5851">
        <v>-3.0792239999999999E-2</v>
      </c>
      <c r="T5851">
        <v>-0.20836850000000001</v>
      </c>
      <c r="U5851">
        <v>-3.0119929999999999</v>
      </c>
      <c r="V5851">
        <v>0.1205</v>
      </c>
      <c r="W5851">
        <v>4.2745270000000002E-2</v>
      </c>
      <c r="X5851">
        <v>0.99179260000000002</v>
      </c>
      <c r="Y5851">
        <v>0.1651531</v>
      </c>
      <c r="Z5851">
        <v>6.7287100000000002E-2</v>
      </c>
      <c r="AA5851">
        <v>0.98397000000000001</v>
      </c>
      <c r="AB5851">
        <v>25</v>
      </c>
      <c r="AC5851">
        <v>-0.197100000000034</v>
      </c>
      <c r="AD5851">
        <v>-1.1045253204899901</v>
      </c>
      <c r="AE5851">
        <v>-15.711062999999999</v>
      </c>
      <c r="AF5851">
        <v>2.6183776574299098</v>
      </c>
      <c r="AG5851">
        <v>-1.1045253204899901</v>
      </c>
      <c r="AH5851">
        <v>15.4142292289278</v>
      </c>
      <c r="AI5851">
        <v>94.040903730199005</v>
      </c>
      <c r="AJ5851">
        <v>80.359329419119604</v>
      </c>
      <c r="AK5851">
        <v>15.67400205635</v>
      </c>
      <c r="AL5851">
        <v>87.550129960934697</v>
      </c>
      <c r="AM5851">
        <v>83.072677485388795</v>
      </c>
      <c r="AN5851">
        <v>0.999999984761066</v>
      </c>
    </row>
    <row r="5852" spans="1:40" x14ac:dyDescent="0.25">
      <c r="A5852" t="str">
        <f>"20190312151141381"</f>
        <v>20190312151141381</v>
      </c>
      <c r="B5852" t="str">
        <f>"1552374701377548"</f>
        <v>1552374701377548</v>
      </c>
      <c r="C5852" t="s">
        <v>40</v>
      </c>
      <c r="D5852">
        <v>5.2617159999999998</v>
      </c>
      <c r="E5852">
        <v>0.51962920000000001</v>
      </c>
      <c r="F5852" t="s">
        <v>42</v>
      </c>
      <c r="G5852">
        <v>-299.28800000000001</v>
      </c>
      <c r="H5852" s="1">
        <v>-2.6999939999999998E-6</v>
      </c>
      <c r="I5852">
        <v>-24.36787</v>
      </c>
      <c r="J5852">
        <v>-298.94779999999997</v>
      </c>
      <c r="K5852">
        <v>1.104759</v>
      </c>
      <c r="L5852">
        <v>-7.5067750000000002</v>
      </c>
      <c r="M5852">
        <v>0.14889910000000001</v>
      </c>
      <c r="N5852">
        <v>0</v>
      </c>
      <c r="O5852">
        <v>-0.98878169999999999</v>
      </c>
      <c r="P5852">
        <v>3.0611889999999999E-2</v>
      </c>
      <c r="Q5852">
        <v>3.2495950000000003E-2</v>
      </c>
      <c r="R5852">
        <v>-0.99900330000000004</v>
      </c>
      <c r="S5852">
        <v>-5.4229739999999999E-2</v>
      </c>
      <c r="T5852">
        <v>-0.19439790000000001</v>
      </c>
      <c r="U5852">
        <v>-3.0116580000000002</v>
      </c>
      <c r="V5852">
        <v>0.1189325</v>
      </c>
      <c r="W5852">
        <v>4.3043020000000001E-2</v>
      </c>
      <c r="X5852">
        <v>0.99196890000000004</v>
      </c>
      <c r="Y5852">
        <v>0.1666501</v>
      </c>
      <c r="Z5852">
        <v>6.2881880000000001E-2</v>
      </c>
      <c r="AA5852">
        <v>0.98400900000000002</v>
      </c>
      <c r="AB5852">
        <v>25</v>
      </c>
      <c r="AC5852">
        <v>-0.34020000000003803</v>
      </c>
      <c r="AD5852">
        <v>-1.104761699994</v>
      </c>
      <c r="AE5852">
        <v>-16.861094999999999</v>
      </c>
      <c r="AF5852">
        <v>2.8350185252652498</v>
      </c>
      <c r="AG5852">
        <v>-1.104761699994</v>
      </c>
      <c r="AH5852">
        <v>16.551421598311201</v>
      </c>
      <c r="AI5852">
        <v>93.764015342937498</v>
      </c>
      <c r="AJ5852">
        <v>80.280384998276801</v>
      </c>
      <c r="AK5852">
        <v>16.8287666029752</v>
      </c>
      <c r="AL5852">
        <v>87.533054389510099</v>
      </c>
      <c r="AM5852">
        <v>83.163135181442598</v>
      </c>
      <c r="AN5852">
        <v>0.99999996984708905</v>
      </c>
    </row>
    <row r="5853" spans="1:40" x14ac:dyDescent="0.25">
      <c r="A5853" t="str">
        <f>"20190312151141404"</f>
        <v>20190312151141404</v>
      </c>
      <c r="B5853" t="str">
        <f>"1552374701397069"</f>
        <v>1552374701397069</v>
      </c>
      <c r="C5853" t="s">
        <v>40</v>
      </c>
      <c r="D5853">
        <v>5.2339019999999996</v>
      </c>
      <c r="E5853">
        <v>0.51980389999999999</v>
      </c>
      <c r="F5853" t="s">
        <v>42</v>
      </c>
      <c r="G5853">
        <v>-299.33580000000001</v>
      </c>
      <c r="H5853" s="1">
        <v>-2.6169709999999999E-6</v>
      </c>
      <c r="I5853">
        <v>-24.541620000000002</v>
      </c>
      <c r="J5853">
        <v>-298.91489999999999</v>
      </c>
      <c r="K5853">
        <v>1.104975</v>
      </c>
      <c r="L5853">
        <v>-7.7768860000000002</v>
      </c>
      <c r="M5853">
        <v>0.14223239999999901</v>
      </c>
      <c r="N5853">
        <v>0</v>
      </c>
      <c r="O5853">
        <v>-0.98976059999999999</v>
      </c>
      <c r="P5853">
        <v>2.5297759999999999E-2</v>
      </c>
      <c r="Q5853">
        <v>3.3159069999999999E-2</v>
      </c>
      <c r="R5853">
        <v>-0.99912990000000002</v>
      </c>
      <c r="S5853">
        <v>-6.8603520000000001E-2</v>
      </c>
      <c r="T5853">
        <v>-0.19530140000000001</v>
      </c>
      <c r="U5853">
        <v>-3.011444</v>
      </c>
      <c r="V5853">
        <v>0.1175288</v>
      </c>
      <c r="W5853">
        <v>4.3869539999999999E-2</v>
      </c>
      <c r="X5853">
        <v>0.99209999999999998</v>
      </c>
      <c r="Y5853">
        <v>0.16470099999999999</v>
      </c>
      <c r="Z5853">
        <v>6.3280009999999998E-2</v>
      </c>
      <c r="AA5853">
        <v>0.98431150000000001</v>
      </c>
      <c r="AB5853">
        <v>25</v>
      </c>
      <c r="AC5853">
        <v>-0.42090000000001698</v>
      </c>
      <c r="AD5853">
        <v>-1.1049776169709999</v>
      </c>
      <c r="AE5853">
        <v>-16.764734000000001</v>
      </c>
      <c r="AF5853">
        <v>2.7891709565691598</v>
      </c>
      <c r="AG5853">
        <v>-1.1049776169709999</v>
      </c>
      <c r="AH5853">
        <v>16.4629234418321</v>
      </c>
      <c r="AI5853">
        <v>93.786092838705699</v>
      </c>
      <c r="AJ5853">
        <v>80.384179901751395</v>
      </c>
      <c r="AK5853">
        <v>16.734046086066598</v>
      </c>
      <c r="AL5853">
        <v>87.485653533123397</v>
      </c>
      <c r="AM5853">
        <v>83.243961396486</v>
      </c>
      <c r="AN5853">
        <v>0.99999998268462498</v>
      </c>
    </row>
    <row r="5854" spans="1:40" x14ac:dyDescent="0.25">
      <c r="A5854" t="str">
        <f>"20190312151141428"</f>
        <v>20190312151141428</v>
      </c>
      <c r="B5854" t="str">
        <f>"1552374701417563"</f>
        <v>1552374701417563</v>
      </c>
      <c r="C5854" t="s">
        <v>40</v>
      </c>
      <c r="D5854">
        <v>5.2296199999999997</v>
      </c>
      <c r="E5854">
        <v>0.51977479999999998</v>
      </c>
      <c r="F5854" t="s">
        <v>42</v>
      </c>
      <c r="G5854">
        <v>-299.3741</v>
      </c>
      <c r="H5854" s="1">
        <v>-2.8825419999999998E-6</v>
      </c>
      <c r="I5854">
        <v>-23.906759999999998</v>
      </c>
      <c r="J5854">
        <v>-298.8843</v>
      </c>
      <c r="K5854">
        <v>1.105154</v>
      </c>
      <c r="L5854">
        <v>-8.0424799999999994</v>
      </c>
      <c r="M5854">
        <v>0.1356754</v>
      </c>
      <c r="N5854">
        <v>0</v>
      </c>
      <c r="O5854">
        <v>-0.99067939999999999</v>
      </c>
      <c r="P5854">
        <v>2.000596E-2</v>
      </c>
      <c r="Q5854">
        <v>3.3933860000000003E-2</v>
      </c>
      <c r="R5854">
        <v>-0.99922409999999995</v>
      </c>
      <c r="S5854">
        <v>-8.5723880000000002E-2</v>
      </c>
      <c r="T5854">
        <v>-0.20631169999999999</v>
      </c>
      <c r="U5854">
        <v>-3.0116269999999998</v>
      </c>
      <c r="V5854">
        <v>0.1162188</v>
      </c>
      <c r="W5854">
        <v>4.4786550000000001E-2</v>
      </c>
      <c r="X5854">
        <v>0.99221340000000002</v>
      </c>
      <c r="Y5854">
        <v>0.1637536</v>
      </c>
      <c r="Z5854">
        <v>6.6921999999999995E-2</v>
      </c>
      <c r="AA5854">
        <v>0.98422869999999996</v>
      </c>
      <c r="AB5854">
        <v>25</v>
      </c>
      <c r="AC5854">
        <v>-0.48980000000000201</v>
      </c>
      <c r="AD5854">
        <v>-1.105156882542</v>
      </c>
      <c r="AE5854">
        <v>-15.864280000000001</v>
      </c>
      <c r="AF5854">
        <v>2.6250931958744901</v>
      </c>
      <c r="AG5854">
        <v>-1.105156882542</v>
      </c>
      <c r="AH5854">
        <v>15.575592346381899</v>
      </c>
      <c r="AI5854">
        <v>94.002327603535306</v>
      </c>
      <c r="AJ5854">
        <v>80.433337753357307</v>
      </c>
      <c r="AK5854">
        <v>15.8338739088931</v>
      </c>
      <c r="AL5854">
        <v>87.433061172353007</v>
      </c>
      <c r="AM5854">
        <v>83.319337686994402</v>
      </c>
      <c r="AN5854">
        <v>1.00000003783695</v>
      </c>
    </row>
    <row r="5855" spans="1:40" x14ac:dyDescent="0.25">
      <c r="A5855" t="str">
        <f>"20190312151141447"</f>
        <v>20190312151141447</v>
      </c>
      <c r="B5855" t="str">
        <f>"1552374701437084"</f>
        <v>1552374701437084</v>
      </c>
      <c r="C5855" t="s">
        <v>40</v>
      </c>
      <c r="D5855">
        <v>5.1809479999999999</v>
      </c>
      <c r="E5855">
        <v>0.51952410000000004</v>
      </c>
      <c r="F5855" t="s">
        <v>42</v>
      </c>
      <c r="G5855">
        <v>-299.42430000000002</v>
      </c>
      <c r="H5855" s="1">
        <v>-2.797067E-6</v>
      </c>
      <c r="I5855">
        <v>-24.085239999999999</v>
      </c>
      <c r="J5855">
        <v>-298.86130000000003</v>
      </c>
      <c r="K5855">
        <v>1.105272</v>
      </c>
      <c r="L5855">
        <v>-8.2539979999999993</v>
      </c>
      <c r="M5855">
        <v>0.13045190000000001</v>
      </c>
      <c r="N5855">
        <v>0</v>
      </c>
      <c r="O5855">
        <v>-0.99137949999999997</v>
      </c>
      <c r="P5855">
        <v>1.5793419999999999E-2</v>
      </c>
      <c r="Q5855">
        <v>3.4617429999999998E-2</v>
      </c>
      <c r="R5855">
        <v>-0.99927619999999895</v>
      </c>
      <c r="S5855">
        <v>-0.10134890000000001</v>
      </c>
      <c r="T5855">
        <v>-0.20745089999999999</v>
      </c>
      <c r="U5855">
        <v>-3.0114139999999998</v>
      </c>
      <c r="V5855">
        <v>0.115176399999999</v>
      </c>
      <c r="W5855">
        <v>4.557158E-2</v>
      </c>
      <c r="X5855">
        <v>0.99229909999999999</v>
      </c>
      <c r="Y5855">
        <v>0.1636571</v>
      </c>
      <c r="Z5855">
        <v>6.7361870000000004E-2</v>
      </c>
      <c r="AA5855">
        <v>0.98421479999999995</v>
      </c>
      <c r="AB5855">
        <v>25</v>
      </c>
      <c r="AC5855">
        <v>-0.56299999999998795</v>
      </c>
      <c r="AD5855">
        <v>-1.105274797067</v>
      </c>
      <c r="AE5855">
        <v>-15.831242</v>
      </c>
      <c r="AF5855">
        <v>2.6108477729838002</v>
      </c>
      <c r="AG5855">
        <v>-1.105274797067</v>
      </c>
      <c r="AH5855">
        <v>15.5468044139604</v>
      </c>
      <c r="AI5855">
        <v>94.010536098425007</v>
      </c>
      <c r="AJ5855">
        <v>80.467003577151104</v>
      </c>
      <c r="AK5855">
        <v>15.803204926744</v>
      </c>
      <c r="AL5855">
        <v>87.388036031304395</v>
      </c>
      <c r="AM5855">
        <v>83.3792908099378</v>
      </c>
      <c r="AN5855">
        <v>0.99999993794073105</v>
      </c>
    </row>
    <row r="5856" spans="1:40" x14ac:dyDescent="0.25">
      <c r="A5856" t="str">
        <f>"20190312151141470"</f>
        <v>20190312151141470</v>
      </c>
      <c r="B5856" t="str">
        <f>"1552374701456604"</f>
        <v>1552374701456604</v>
      </c>
      <c r="C5856" t="s">
        <v>40</v>
      </c>
      <c r="D5856">
        <v>5.2054320000000001</v>
      </c>
      <c r="E5856">
        <v>0.51931700000000003</v>
      </c>
      <c r="F5856" t="s">
        <v>42</v>
      </c>
      <c r="G5856">
        <v>-299.47219999999999</v>
      </c>
      <c r="H5856" s="1">
        <v>-2.5038920000000001E-6</v>
      </c>
      <c r="I5856">
        <v>-24.748830000000002</v>
      </c>
      <c r="J5856">
        <v>-298.83519999999999</v>
      </c>
      <c r="K5856">
        <v>1.105386</v>
      </c>
      <c r="L5856">
        <v>-8.5059199999999997</v>
      </c>
      <c r="M5856">
        <v>0.1242289</v>
      </c>
      <c r="N5856">
        <v>0</v>
      </c>
      <c r="O5856">
        <v>-0.99217739999999999</v>
      </c>
      <c r="P5856">
        <v>1.0851639999999999E-2</v>
      </c>
      <c r="Q5856">
        <v>3.4753920000000001E-2</v>
      </c>
      <c r="R5856">
        <v>-0.99933729999999998</v>
      </c>
      <c r="S5856">
        <v>-0.1115112</v>
      </c>
      <c r="T5856">
        <v>-0.20175399999999999</v>
      </c>
      <c r="U5856">
        <v>-3.0109249999999999</v>
      </c>
      <c r="V5856">
        <v>0.1138583</v>
      </c>
      <c r="W5856">
        <v>4.58188E-2</v>
      </c>
      <c r="X5856">
        <v>0.99243990000000004</v>
      </c>
      <c r="Y5856">
        <v>0.1607944</v>
      </c>
      <c r="Z5856">
        <v>6.5622849999999996E-2</v>
      </c>
      <c r="AA5856">
        <v>0.98480389999999995</v>
      </c>
      <c r="AB5856">
        <v>25</v>
      </c>
      <c r="AC5856">
        <v>-0.63700000000000001</v>
      </c>
      <c r="AD5856">
        <v>-1.1053885038919999</v>
      </c>
      <c r="AE5856">
        <v>-16.242909999999998</v>
      </c>
      <c r="AF5856">
        <v>2.6378582479991102</v>
      </c>
      <c r="AG5856">
        <v>-1.1053885038919999</v>
      </c>
      <c r="AH5856">
        <v>15.964105905630401</v>
      </c>
      <c r="AI5856">
        <v>93.908133509472194</v>
      </c>
      <c r="AJ5856">
        <v>80.617405701209904</v>
      </c>
      <c r="AK5856">
        <v>16.218287740919401</v>
      </c>
      <c r="AL5856">
        <v>87.373856758853506</v>
      </c>
      <c r="AM5856">
        <v>83.4553187263312</v>
      </c>
      <c r="AN5856">
        <v>1.00000001501217</v>
      </c>
    </row>
    <row r="5857" spans="1:40" x14ac:dyDescent="0.25">
      <c r="A5857" t="str">
        <f>"20190312151141491"</f>
        <v>20190312151141491</v>
      </c>
      <c r="B5857" t="str">
        <f>"1552374701486859"</f>
        <v>1552374701486859</v>
      </c>
      <c r="C5857" t="s">
        <v>40</v>
      </c>
      <c r="D5857">
        <v>5.1978460000000002</v>
      </c>
      <c r="E5857">
        <v>0.51899700000000004</v>
      </c>
      <c r="F5857" t="s">
        <v>42</v>
      </c>
      <c r="G5857">
        <v>-299.51870000000002</v>
      </c>
      <c r="H5857" s="1">
        <v>-2.3829889999999998E-6</v>
      </c>
      <c r="I5857">
        <v>-25.011410000000001</v>
      </c>
      <c r="J5857">
        <v>-298.81150000000002</v>
      </c>
      <c r="K5857">
        <v>1.105475</v>
      </c>
      <c r="L5857">
        <v>-8.7502139999999997</v>
      </c>
      <c r="M5857">
        <v>0.1181919</v>
      </c>
      <c r="N5857">
        <v>0</v>
      </c>
      <c r="O5857">
        <v>-0.99291359999999995</v>
      </c>
      <c r="P5857">
        <v>6.0366819999999998E-3</v>
      </c>
      <c r="Q5857">
        <v>3.4637349999999997E-2</v>
      </c>
      <c r="R5857">
        <v>-0.99938170000000004</v>
      </c>
      <c r="S5857">
        <v>-0.12466430000000001</v>
      </c>
      <c r="T5857">
        <v>-0.2016057</v>
      </c>
      <c r="U5857">
        <v>-3.010345</v>
      </c>
      <c r="V5857">
        <v>0.1126031</v>
      </c>
      <c r="W5857">
        <v>4.5798310000000002E-2</v>
      </c>
      <c r="X5857">
        <v>0.99258400000000002</v>
      </c>
      <c r="Y5857">
        <v>0.1590946</v>
      </c>
      <c r="Z5857">
        <v>6.5664819999999999E-2</v>
      </c>
      <c r="AA5857">
        <v>0.98507719999999999</v>
      </c>
      <c r="AB5857">
        <v>25</v>
      </c>
      <c r="AC5857">
        <v>-0.70720000000000005</v>
      </c>
      <c r="AD5857">
        <v>-1.1054773829889999</v>
      </c>
      <c r="AE5857">
        <v>-16.261195999999899</v>
      </c>
      <c r="AF5857">
        <v>2.6122810632911202</v>
      </c>
      <c r="AG5857">
        <v>-1.1054773829889999</v>
      </c>
      <c r="AH5857">
        <v>15.989848746361501</v>
      </c>
      <c r="AI5857">
        <v>93.903335080369999</v>
      </c>
      <c r="AJ5857">
        <v>80.721487580232804</v>
      </c>
      <c r="AK5857">
        <v>16.239499854658401</v>
      </c>
      <c r="AL5857">
        <v>87.375031865331493</v>
      </c>
      <c r="AM5857">
        <v>83.527784819751801</v>
      </c>
      <c r="AN5857">
        <v>0.99999997019223197</v>
      </c>
    </row>
    <row r="5858" spans="1:40" x14ac:dyDescent="0.25">
      <c r="A5858" t="str">
        <f>"20190312151141514"</f>
        <v>20190312151141514</v>
      </c>
      <c r="B5858" t="str">
        <f>"1552374701507355"</f>
        <v>1552374701507355</v>
      </c>
      <c r="C5858" t="s">
        <v>40</v>
      </c>
      <c r="D5858">
        <v>5.2212969999999999</v>
      </c>
      <c r="E5858">
        <v>0.51860169999999906</v>
      </c>
      <c r="F5858" t="s">
        <v>42</v>
      </c>
      <c r="G5858">
        <v>-299.54739999999998</v>
      </c>
      <c r="H5858" s="1">
        <v>-2.38417E-6</v>
      </c>
      <c r="I5858">
        <v>-24.99682</v>
      </c>
      <c r="J5858">
        <v>-298.78870000000001</v>
      </c>
      <c r="K5858">
        <v>1.1055600000000001</v>
      </c>
      <c r="L5858">
        <v>-9.0014039999999902</v>
      </c>
      <c r="M5858">
        <v>0.1119854</v>
      </c>
      <c r="N5858">
        <v>0</v>
      </c>
      <c r="O5858">
        <v>-0.99363190000000001</v>
      </c>
      <c r="P5858">
        <v>1.525556E-3</v>
      </c>
      <c r="Q5858">
        <v>3.4779600000000001E-2</v>
      </c>
      <c r="R5858">
        <v>-0.99939420000000001</v>
      </c>
      <c r="S5858">
        <v>-0.136322</v>
      </c>
      <c r="T5858">
        <v>-0.20479520000000001</v>
      </c>
      <c r="U5858">
        <v>-3.0097659999999999</v>
      </c>
      <c r="V5858">
        <v>0.1108818</v>
      </c>
      <c r="W5858">
        <v>4.6035060000000003E-2</v>
      </c>
      <c r="X5858">
        <v>0.99276690000000001</v>
      </c>
      <c r="Y5858">
        <v>0.156738299999999</v>
      </c>
      <c r="Z5858">
        <v>6.6792119999999996E-2</v>
      </c>
      <c r="AA5858">
        <v>0.98537909999999995</v>
      </c>
      <c r="AB5858">
        <v>25</v>
      </c>
      <c r="AC5858">
        <v>-0.75869999999997595</v>
      </c>
      <c r="AD5858">
        <v>-1.10556238417</v>
      </c>
      <c r="AE5858">
        <v>-15.995416000000001</v>
      </c>
      <c r="AF5858">
        <v>2.5332440429662899</v>
      </c>
      <c r="AG5858">
        <v>-1.10556238417</v>
      </c>
      <c r="AH5858">
        <v>15.7348169468066</v>
      </c>
      <c r="AI5858">
        <v>93.968188838380598</v>
      </c>
      <c r="AJ5858">
        <v>80.854084423925102</v>
      </c>
      <c r="AK5858">
        <v>15.9757334077665</v>
      </c>
      <c r="AL5858">
        <v>87.361453001413295</v>
      </c>
      <c r="AM5858">
        <v>83.627066034723498</v>
      </c>
      <c r="AN5858">
        <v>1.00000005902802</v>
      </c>
    </row>
    <row r="5859" spans="1:40" x14ac:dyDescent="0.25">
      <c r="A5859" t="str">
        <f>"20190312151141537"</f>
        <v>20190312151141537</v>
      </c>
      <c r="B5859" t="str">
        <f>"1552374701526876"</f>
        <v>1552374701526876</v>
      </c>
      <c r="C5859" t="s">
        <v>40</v>
      </c>
      <c r="D5859">
        <v>5.2300750000000003</v>
      </c>
      <c r="E5859">
        <v>0.51826970000000006</v>
      </c>
      <c r="F5859" t="s">
        <v>42</v>
      </c>
      <c r="G5859">
        <v>-299.57060000000001</v>
      </c>
      <c r="H5859" s="1">
        <v>-2.3562270000000001E-6</v>
      </c>
      <c r="I5859">
        <v>-25.052320000000002</v>
      </c>
      <c r="J5859">
        <v>-298.76729999999998</v>
      </c>
      <c r="K5859">
        <v>1.105631</v>
      </c>
      <c r="L5859">
        <v>-9.2542419999999996</v>
      </c>
      <c r="M5859">
        <v>0.10573929999999999</v>
      </c>
      <c r="N5859">
        <v>0</v>
      </c>
      <c r="O5859">
        <v>-0.99431499999999995</v>
      </c>
      <c r="P5859">
        <v>-3.2076380000000001E-3</v>
      </c>
      <c r="Q5859">
        <v>3.5051560000000002E-2</v>
      </c>
      <c r="R5859">
        <v>-0.99938039999999995</v>
      </c>
      <c r="S5859">
        <v>-0.1466064</v>
      </c>
      <c r="T5859">
        <v>-0.20727229999999999</v>
      </c>
      <c r="U5859">
        <v>-3.0092469999999998</v>
      </c>
      <c r="V5859">
        <v>0.10934629999999999</v>
      </c>
      <c r="W5859">
        <v>4.6390389999999997E-2</v>
      </c>
      <c r="X5859">
        <v>0.99292060000000004</v>
      </c>
      <c r="Y5859">
        <v>0.1538967</v>
      </c>
      <c r="Z5859">
        <v>6.7688219999999993E-2</v>
      </c>
      <c r="AA5859">
        <v>0.98576580000000003</v>
      </c>
      <c r="AB5859">
        <v>25</v>
      </c>
      <c r="AC5859">
        <v>-0.80330000000003499</v>
      </c>
      <c r="AD5859">
        <v>-1.105633356227</v>
      </c>
      <c r="AE5859">
        <v>-15.798078</v>
      </c>
      <c r="AF5859">
        <v>2.4573994937793802</v>
      </c>
      <c r="AG5859">
        <v>-1.105633356227</v>
      </c>
      <c r="AH5859">
        <v>15.5485914690111</v>
      </c>
      <c r="AI5859">
        <v>94.017655277291098</v>
      </c>
      <c r="AJ5859">
        <v>81.018893184010693</v>
      </c>
      <c r="AK5859">
        <v>15.7803654603001</v>
      </c>
      <c r="AL5859">
        <v>87.341072161175504</v>
      </c>
      <c r="AM5859">
        <v>83.715572867409406</v>
      </c>
      <c r="AN5859">
        <v>0.99999999975620102</v>
      </c>
    </row>
    <row r="5860" spans="1:40" x14ac:dyDescent="0.25">
      <c r="A5860" t="str">
        <f>"20190312151141559"</f>
        <v>20190312151141559</v>
      </c>
      <c r="B5860" t="str">
        <f>"1552374701547372"</f>
        <v>1552374701547372</v>
      </c>
      <c r="C5860" t="s">
        <v>40</v>
      </c>
      <c r="D5860">
        <v>5.2570690000000004</v>
      </c>
      <c r="E5860">
        <v>0.51779640000000005</v>
      </c>
      <c r="F5860" t="s">
        <v>42</v>
      </c>
      <c r="G5860">
        <v>-299.60109999999997</v>
      </c>
      <c r="H5860" s="1">
        <v>-2.3184729999999998E-6</v>
      </c>
      <c r="I5860">
        <v>-25.12772</v>
      </c>
      <c r="J5860">
        <v>-298.7484</v>
      </c>
      <c r="K5860">
        <v>1.1056889999999999</v>
      </c>
      <c r="L5860">
        <v>-9.4950559999999999</v>
      </c>
      <c r="M5860">
        <v>9.9794060000000004E-2</v>
      </c>
      <c r="N5860">
        <v>0</v>
      </c>
      <c r="O5860">
        <v>-0.99492879999999995</v>
      </c>
      <c r="P5860">
        <v>-7.5754689999999996E-3</v>
      </c>
      <c r="Q5860">
        <v>3.5346710000000003E-2</v>
      </c>
      <c r="R5860">
        <v>-0.99934650000000003</v>
      </c>
      <c r="S5860">
        <v>-0.15805050000000001</v>
      </c>
      <c r="T5860">
        <v>-0.20956430000000001</v>
      </c>
      <c r="U5860">
        <v>-3.0086979999999999</v>
      </c>
      <c r="V5860">
        <v>0.107752</v>
      </c>
      <c r="W5860">
        <v>4.675907E-2</v>
      </c>
      <c r="X5860">
        <v>0.9930776</v>
      </c>
      <c r="Y5860">
        <v>0.15173619999999999</v>
      </c>
      <c r="Z5860">
        <v>6.851459E-2</v>
      </c>
      <c r="AA5860">
        <v>0.98604360000000002</v>
      </c>
      <c r="AB5860">
        <v>25</v>
      </c>
      <c r="AC5860">
        <v>-0.85269999999997004</v>
      </c>
      <c r="AD5860">
        <v>-1.105691318473</v>
      </c>
      <c r="AE5860">
        <v>-15.632664</v>
      </c>
      <c r="AF5860">
        <v>2.39665875345074</v>
      </c>
      <c r="AG5860">
        <v>-1.105691318473</v>
      </c>
      <c r="AH5860">
        <v>15.392737703788599</v>
      </c>
      <c r="AI5860">
        <v>94.059864435633202</v>
      </c>
      <c r="AJ5860">
        <v>81.150070589954595</v>
      </c>
      <c r="AK5860">
        <v>15.617390962957799</v>
      </c>
      <c r="AL5860">
        <v>87.319925437284297</v>
      </c>
      <c r="AM5860">
        <v>83.8074558212992</v>
      </c>
      <c r="AN5860">
        <v>1.00000001187651</v>
      </c>
    </row>
    <row r="5861" spans="1:40" x14ac:dyDescent="0.25">
      <c r="A5861" t="str">
        <f>"20190312151141594"</f>
        <v>20190312151141594</v>
      </c>
      <c r="B5861" t="str">
        <f>"1552374701587387"</f>
        <v>1552374701587387</v>
      </c>
      <c r="C5861" t="s">
        <v>40</v>
      </c>
      <c r="D5861">
        <v>5.26654</v>
      </c>
      <c r="E5861">
        <v>0.51684399999999997</v>
      </c>
      <c r="F5861" t="s">
        <v>41</v>
      </c>
      <c r="G5861">
        <v>-298.80180000000001</v>
      </c>
      <c r="H5861">
        <v>1.0379339999999999</v>
      </c>
      <c r="I5861">
        <v>-10.45289</v>
      </c>
      <c r="J5861">
        <v>-298.72129999999999</v>
      </c>
      <c r="K5861">
        <v>1.105769</v>
      </c>
      <c r="L5861">
        <v>-9.8803409999999996</v>
      </c>
      <c r="M5861">
        <v>9.0297059999999998E-2</v>
      </c>
      <c r="N5861">
        <v>0</v>
      </c>
      <c r="O5861">
        <v>-0.99583440000000001</v>
      </c>
      <c r="P5861">
        <v>-1.37769E-2</v>
      </c>
      <c r="Q5861">
        <v>3.5693309999999999E-2</v>
      </c>
      <c r="R5861">
        <v>-0.99926789999999999</v>
      </c>
      <c r="S5861">
        <v>-0.16751099999999999</v>
      </c>
      <c r="T5861">
        <v>-0.21268129999999999</v>
      </c>
      <c r="U5861">
        <v>-3.0082089999999999</v>
      </c>
      <c r="V5861">
        <v>0.1044393</v>
      </c>
      <c r="W5861">
        <v>4.7220129999999999E-2</v>
      </c>
      <c r="X5861">
        <v>0.9934096</v>
      </c>
      <c r="Y5861">
        <v>0.1453991</v>
      </c>
      <c r="Z5861">
        <v>6.9663399999999903E-2</v>
      </c>
      <c r="AA5861">
        <v>0.9869175</v>
      </c>
      <c r="AB5861">
        <v>25</v>
      </c>
      <c r="AC5861">
        <v>-8.0500000000029104E-2</v>
      </c>
      <c r="AD5861">
        <v>-6.7835000000000006E-2</v>
      </c>
      <c r="AE5861">
        <v>-0.57254899999999997</v>
      </c>
      <c r="AF5861">
        <v>0.130084103110955</v>
      </c>
      <c r="AG5861">
        <v>-6.7835000000000006E-2</v>
      </c>
      <c r="AH5861">
        <v>0.55529645692063101</v>
      </c>
      <c r="AI5861">
        <v>96.782892466398394</v>
      </c>
      <c r="AJ5861">
        <v>76.815600629014298</v>
      </c>
      <c r="AK5861">
        <v>0.57434973332960504</v>
      </c>
      <c r="AL5861">
        <v>87.293479320956706</v>
      </c>
      <c r="AM5861">
        <v>83.9984173463492</v>
      </c>
      <c r="AN5861">
        <v>0.99999997071693303</v>
      </c>
    </row>
    <row r="5862" spans="1:40" x14ac:dyDescent="0.25">
      <c r="A5862" t="str">
        <f>"20190312151141615"</f>
        <v>20190312151141615</v>
      </c>
      <c r="B5862" t="str">
        <f>"1552374701606908"</f>
        <v>1552374701606908</v>
      </c>
      <c r="C5862" t="s">
        <v>40</v>
      </c>
      <c r="D5862">
        <v>5.2593249999999996</v>
      </c>
      <c r="E5862">
        <v>0.51648989999999995</v>
      </c>
      <c r="F5862" t="s">
        <v>42</v>
      </c>
      <c r="G5862">
        <v>-299.62920000000003</v>
      </c>
      <c r="H5862" s="1">
        <v>-2.2981909999999998E-6</v>
      </c>
      <c r="I5862">
        <v>-25.16338</v>
      </c>
      <c r="J5862">
        <v>-298.70569999999998</v>
      </c>
      <c r="K5862">
        <v>1.1058140000000001</v>
      </c>
      <c r="L5862">
        <v>-10.1275</v>
      </c>
      <c r="M5862">
        <v>8.4214230000000001E-2</v>
      </c>
      <c r="N5862">
        <v>0</v>
      </c>
      <c r="O5862">
        <v>-0.996367</v>
      </c>
      <c r="P5862">
        <v>-1.7864540000000002E-2</v>
      </c>
      <c r="Q5862">
        <v>3.6216959999999999E-2</v>
      </c>
      <c r="R5862">
        <v>-0.99918479999999998</v>
      </c>
      <c r="S5862">
        <v>-0.17868039999999999</v>
      </c>
      <c r="T5862">
        <v>-0.21760170000000001</v>
      </c>
      <c r="U5862">
        <v>-3.0075069999999999</v>
      </c>
      <c r="V5862">
        <v>0.1024385</v>
      </c>
      <c r="W5862">
        <v>4.7808360000000001E-2</v>
      </c>
      <c r="X5862">
        <v>0.99358979999999997</v>
      </c>
      <c r="Y5862">
        <v>0.14301610000000001</v>
      </c>
      <c r="Z5862">
        <v>7.1345909999999998E-2</v>
      </c>
      <c r="AA5862">
        <v>0.98714539999999995</v>
      </c>
      <c r="AB5862">
        <v>25</v>
      </c>
      <c r="AC5862">
        <v>-0.92350000000004595</v>
      </c>
      <c r="AD5862">
        <v>-1.10581629819099</v>
      </c>
      <c r="AE5862">
        <v>-15.035879999999899</v>
      </c>
      <c r="AF5862">
        <v>2.1748365035099999</v>
      </c>
      <c r="AG5862">
        <v>-1.10581629819099</v>
      </c>
      <c r="AH5862">
        <v>14.824796566802901</v>
      </c>
      <c r="AI5862">
        <v>94.220913359028202</v>
      </c>
      <c r="AJ5862">
        <v>81.654091807887696</v>
      </c>
      <c r="AK5862">
        <v>15.024224996632499</v>
      </c>
      <c r="AL5862">
        <v>87.2597381621556</v>
      </c>
      <c r="AM5862">
        <v>84.1136377543245</v>
      </c>
      <c r="AN5862">
        <v>0.99999998811608903</v>
      </c>
    </row>
    <row r="5863" spans="1:40" x14ac:dyDescent="0.25">
      <c r="A5863" t="str">
        <f>"20190312151141638"</f>
        <v>20190312151141638</v>
      </c>
      <c r="B5863" t="str">
        <f>"1552374701627404"</f>
        <v>1552374701627404</v>
      </c>
      <c r="C5863" t="s">
        <v>40</v>
      </c>
      <c r="D5863">
        <v>5.2764379999999997</v>
      </c>
      <c r="E5863">
        <v>0.51599240000000002</v>
      </c>
      <c r="F5863" t="s">
        <v>42</v>
      </c>
      <c r="G5863">
        <v>-299.6567</v>
      </c>
      <c r="H5863" s="1">
        <v>-2.2241520000000002E-6</v>
      </c>
      <c r="I5863">
        <v>-25.324619999999999</v>
      </c>
      <c r="J5863">
        <v>-298.69170000000003</v>
      </c>
      <c r="K5863">
        <v>1.1058600000000001</v>
      </c>
      <c r="L5863">
        <v>-10.374599999999999</v>
      </c>
      <c r="M5863">
        <v>7.8148410000000001E-2</v>
      </c>
      <c r="N5863">
        <v>0</v>
      </c>
      <c r="O5863">
        <v>-0.99686090000000005</v>
      </c>
      <c r="P5863">
        <v>-2.1961020000000001E-2</v>
      </c>
      <c r="Q5863">
        <v>3.6239590000000002E-2</v>
      </c>
      <c r="R5863">
        <v>-0.99910239999999995</v>
      </c>
      <c r="S5863">
        <v>-0.18817139999999999</v>
      </c>
      <c r="T5863">
        <v>-0.21880530000000001</v>
      </c>
      <c r="U5863">
        <v>-3.0070190000000001</v>
      </c>
      <c r="V5863">
        <v>0.1004626</v>
      </c>
      <c r="W5863">
        <v>4.7890759999999997E-2</v>
      </c>
      <c r="X5863">
        <v>0.99378759999999999</v>
      </c>
      <c r="Y5863">
        <v>0.14010359999999999</v>
      </c>
      <c r="Z5863">
        <v>7.1812050000000002E-2</v>
      </c>
      <c r="AA5863">
        <v>0.98752930000000005</v>
      </c>
      <c r="AB5863">
        <v>25</v>
      </c>
      <c r="AC5863">
        <v>-0.96499999999997499</v>
      </c>
      <c r="AD5863">
        <v>-1.105862224152</v>
      </c>
      <c r="AE5863">
        <v>-14.95002</v>
      </c>
      <c r="AF5863">
        <v>2.1189168826538598</v>
      </c>
      <c r="AG5863">
        <v>-1.105862224152</v>
      </c>
      <c r="AH5863">
        <v>14.748508349695699</v>
      </c>
      <c r="AI5863">
        <v>94.244665814536006</v>
      </c>
      <c r="AJ5863">
        <v>81.824266024628898</v>
      </c>
      <c r="AK5863">
        <v>14.940924956489299</v>
      </c>
      <c r="AL5863">
        <v>87.255011680993107</v>
      </c>
      <c r="AM5863">
        <v>84.227544600216603</v>
      </c>
      <c r="AN5863">
        <v>1.0000000264029401</v>
      </c>
    </row>
    <row r="5864" spans="1:40" x14ac:dyDescent="0.25">
      <c r="A5864" t="str">
        <f>"20190312151141659"</f>
        <v>20190312151141659</v>
      </c>
      <c r="B5864" t="str">
        <f>"1552374701656684"</f>
        <v>1552374701656684</v>
      </c>
      <c r="C5864" t="s">
        <v>40</v>
      </c>
      <c r="D5864">
        <v>5.2701449999999896</v>
      </c>
      <c r="E5864">
        <v>0.51534880000000005</v>
      </c>
      <c r="F5864" t="s">
        <v>42</v>
      </c>
      <c r="G5864">
        <v>-299.6705</v>
      </c>
      <c r="H5864" s="1">
        <v>-2.2056769999999999E-6</v>
      </c>
      <c r="I5864">
        <v>-25.361969999999999</v>
      </c>
      <c r="J5864">
        <v>-298.67939999999999</v>
      </c>
      <c r="K5864">
        <v>1.1059060000000001</v>
      </c>
      <c r="L5864">
        <v>-10.61572</v>
      </c>
      <c r="M5864">
        <v>7.2251330000000002E-2</v>
      </c>
      <c r="N5864">
        <v>0</v>
      </c>
      <c r="O5864">
        <v>-0.99730479999999999</v>
      </c>
      <c r="P5864">
        <v>-2.60384E-2</v>
      </c>
      <c r="Q5864">
        <v>3.6003470000000003E-2</v>
      </c>
      <c r="R5864">
        <v>-0.99901229999999996</v>
      </c>
      <c r="S5864">
        <v>-0.1963501</v>
      </c>
      <c r="T5864">
        <v>-0.2218339</v>
      </c>
      <c r="U5864">
        <v>-3.0064389999999999</v>
      </c>
      <c r="V5864">
        <v>9.8636379999999996E-2</v>
      </c>
      <c r="W5864">
        <v>4.7707869999999999E-2</v>
      </c>
      <c r="X5864">
        <v>0.99397930000000001</v>
      </c>
      <c r="Y5864">
        <v>0.13692960000000001</v>
      </c>
      <c r="Z5864">
        <v>7.2873740000000006E-2</v>
      </c>
      <c r="AA5864">
        <v>0.98789660000000001</v>
      </c>
      <c r="AB5864">
        <v>25</v>
      </c>
      <c r="AC5864">
        <v>-0.99110000000001697</v>
      </c>
      <c r="AD5864">
        <v>-1.105908205677</v>
      </c>
      <c r="AE5864">
        <v>-14.74625</v>
      </c>
      <c r="AF5864">
        <v>2.0425955706335999</v>
      </c>
      <c r="AG5864">
        <v>-1.105908205677</v>
      </c>
      <c r="AH5864">
        <v>14.5545971091171</v>
      </c>
      <c r="AI5864">
        <v>94.303171442139103</v>
      </c>
      <c r="AJ5864">
        <v>82.011271238963303</v>
      </c>
      <c r="AK5864">
        <v>14.7387762936167</v>
      </c>
      <c r="AL5864">
        <v>87.265502459429797</v>
      </c>
      <c r="AM5864">
        <v>84.332873415748494</v>
      </c>
      <c r="AN5864">
        <v>1.0000000125739601</v>
      </c>
    </row>
    <row r="5865" spans="1:40" x14ac:dyDescent="0.25">
      <c r="A5865" t="str">
        <f>"20190312151141682"</f>
        <v>20190312151141682</v>
      </c>
      <c r="B5865" t="str">
        <f>"1552374701677183"</f>
        <v>1552374701677183</v>
      </c>
      <c r="C5865" t="s">
        <v>40</v>
      </c>
      <c r="D5865">
        <v>5.4456730000000002</v>
      </c>
      <c r="E5865">
        <v>0.51528560000000001</v>
      </c>
      <c r="F5865" t="s">
        <v>41</v>
      </c>
      <c r="G5865">
        <v>-298.74340000000001</v>
      </c>
      <c r="H5865">
        <v>1.0349159999999999</v>
      </c>
      <c r="I5865">
        <v>-11.558020000000001</v>
      </c>
      <c r="J5865">
        <v>-298.66829999999999</v>
      </c>
      <c r="K5865">
        <v>1.1059559999999999</v>
      </c>
      <c r="L5865">
        <v>-10.866910000000001</v>
      </c>
      <c r="M5865">
        <v>6.6138080000000002E-2</v>
      </c>
      <c r="N5865">
        <v>0</v>
      </c>
      <c r="O5865">
        <v>-0.99772870000000002</v>
      </c>
      <c r="P5865">
        <v>-2.970859E-2</v>
      </c>
      <c r="Q5865">
        <v>3.6033700000000002E-2</v>
      </c>
      <c r="R5865">
        <v>-0.99890900000000005</v>
      </c>
      <c r="S5865">
        <v>-0.20379639999999999</v>
      </c>
      <c r="T5865">
        <v>-0.22616710000000001</v>
      </c>
      <c r="U5865">
        <v>-3.005798</v>
      </c>
      <c r="V5865">
        <v>9.6192920000000001E-2</v>
      </c>
      <c r="W5865">
        <v>4.7796459999999999E-2</v>
      </c>
      <c r="X5865">
        <v>0.9942145</v>
      </c>
      <c r="Y5865">
        <v>0.13330110000000001</v>
      </c>
      <c r="Z5865">
        <v>7.4365150000000005E-2</v>
      </c>
      <c r="AA5865">
        <v>0.98828170000000004</v>
      </c>
      <c r="AB5865">
        <v>25</v>
      </c>
      <c r="AC5865">
        <v>-7.5100000000020303E-2</v>
      </c>
      <c r="AD5865">
        <v>-7.1039999999999895E-2</v>
      </c>
      <c r="AE5865">
        <v>-0.691109999999998</v>
      </c>
      <c r="AF5865">
        <v>0.11940108757685799</v>
      </c>
      <c r="AG5865">
        <v>-7.1039999999999895E-2</v>
      </c>
      <c r="AH5865">
        <v>0.67755368004136995</v>
      </c>
      <c r="AI5865">
        <v>95.895282287989801</v>
      </c>
      <c r="AJ5865">
        <v>80.005733380230396</v>
      </c>
      <c r="AK5865">
        <v>0.69165185653776695</v>
      </c>
      <c r="AL5865">
        <v>87.260420865401301</v>
      </c>
      <c r="AM5865">
        <v>84.473680899395902</v>
      </c>
      <c r="AN5865">
        <v>1.00000002572845</v>
      </c>
    </row>
    <row r="5866" spans="1:40" x14ac:dyDescent="0.25">
      <c r="A5866" t="str">
        <f>"20190312151141704"</f>
        <v>20190312151141704</v>
      </c>
      <c r="B5866" t="str">
        <f>"1552374701696700"</f>
        <v>1552374701696700</v>
      </c>
      <c r="C5866" t="s">
        <v>40</v>
      </c>
      <c r="D5866">
        <v>5.3654549999999999</v>
      </c>
      <c r="E5866">
        <v>0.5387284</v>
      </c>
      <c r="F5866" t="s">
        <v>41</v>
      </c>
      <c r="G5866">
        <v>-298.73349999999999</v>
      </c>
      <c r="H5866">
        <v>1.037231</v>
      </c>
      <c r="I5866">
        <v>-11.781219999999999</v>
      </c>
      <c r="J5866">
        <v>-298.65859999999998</v>
      </c>
      <c r="K5866">
        <v>1.1060000000000001</v>
      </c>
      <c r="L5866">
        <v>-11.118259999999999</v>
      </c>
      <c r="M5866">
        <v>6.0046799999999997E-2</v>
      </c>
      <c r="N5866">
        <v>0</v>
      </c>
      <c r="O5866">
        <v>-0.99811340000000004</v>
      </c>
      <c r="P5866">
        <v>-3.3717499999999997E-2</v>
      </c>
      <c r="Q5866">
        <v>3.623142E-2</v>
      </c>
      <c r="R5866">
        <v>-0.99877419999999995</v>
      </c>
      <c r="S5866">
        <v>-0.214447</v>
      </c>
      <c r="T5866">
        <v>-0.2259227</v>
      </c>
      <c r="U5866">
        <v>-3.0050349999999999</v>
      </c>
      <c r="V5866">
        <v>9.4112100000000004E-2</v>
      </c>
      <c r="W5866">
        <v>4.8044129999999997E-2</v>
      </c>
      <c r="X5866">
        <v>0.99440170000000006</v>
      </c>
      <c r="Y5866">
        <v>0.13075439999999999</v>
      </c>
      <c r="Z5866">
        <v>7.4350849999999996E-2</v>
      </c>
      <c r="AA5866">
        <v>0.98862289999999997</v>
      </c>
      <c r="AB5866">
        <v>25</v>
      </c>
      <c r="AC5866">
        <v>-7.4900000000013706E-2</v>
      </c>
      <c r="AD5866">
        <v>-6.8768999999999803E-2</v>
      </c>
      <c r="AE5866">
        <v>-0.662959999999998</v>
      </c>
      <c r="AF5866">
        <v>0.113372210791304</v>
      </c>
      <c r="AG5866">
        <v>-6.8768999999999803E-2</v>
      </c>
      <c r="AH5866">
        <v>0.65035604765595301</v>
      </c>
      <c r="AI5866">
        <v>95.947029377419497</v>
      </c>
      <c r="AJ5866">
        <v>80.111378892083195</v>
      </c>
      <c r="AK5866">
        <v>0.66373595824196596</v>
      </c>
      <c r="AL5866">
        <v>87.246214119838399</v>
      </c>
      <c r="AM5866">
        <v>84.593520362240696</v>
      </c>
      <c r="AN5866">
        <v>1.0000000333783701</v>
      </c>
    </row>
    <row r="5867" spans="1:40" x14ac:dyDescent="0.25">
      <c r="A5867" t="str">
        <f>"20190312151141726"</f>
        <v>20190312151141726</v>
      </c>
      <c r="B5867" t="str">
        <f>"1552374701717196"</f>
        <v>1552374701717196</v>
      </c>
      <c r="C5867" t="s">
        <v>40</v>
      </c>
      <c r="D5867">
        <v>5.3574950000000001</v>
      </c>
      <c r="E5867">
        <v>0.54152919999999904</v>
      </c>
      <c r="F5867" t="s">
        <v>42</v>
      </c>
      <c r="G5867">
        <v>-301.15089999999998</v>
      </c>
      <c r="H5867" s="1">
        <v>-8.2650469999999899E-7</v>
      </c>
      <c r="I5867">
        <v>-29.1981</v>
      </c>
      <c r="J5867">
        <v>-298.65039999999999</v>
      </c>
      <c r="K5867">
        <v>1.106044</v>
      </c>
      <c r="L5867">
        <v>-11.36697</v>
      </c>
      <c r="M5867">
        <v>5.4050979999999998E-2</v>
      </c>
      <c r="N5867">
        <v>0</v>
      </c>
      <c r="O5867">
        <v>-0.99845609999999996</v>
      </c>
      <c r="P5867">
        <v>-3.7261269999999999E-2</v>
      </c>
      <c r="Q5867">
        <v>3.570682E-2</v>
      </c>
      <c r="R5867">
        <v>-0.99866779999999999</v>
      </c>
      <c r="S5867">
        <v>-0.41305540000000002</v>
      </c>
      <c r="T5867">
        <v>-0.18329719999999999</v>
      </c>
      <c r="U5867">
        <v>-2.9963679999999999</v>
      </c>
      <c r="V5867">
        <v>9.1659539999999998E-2</v>
      </c>
      <c r="W5867">
        <v>4.7571170000000003E-2</v>
      </c>
      <c r="X5867">
        <v>0.99465349999999997</v>
      </c>
      <c r="Y5867">
        <v>0.18966189999999999</v>
      </c>
      <c r="Z5867">
        <v>6.008757E-2</v>
      </c>
      <c r="AA5867">
        <v>0.98000909999999997</v>
      </c>
      <c r="AB5867">
        <v>25</v>
      </c>
      <c r="AC5867">
        <v>-2.5004999999999802</v>
      </c>
      <c r="AD5867">
        <v>-1.10604482650469</v>
      </c>
      <c r="AE5867">
        <v>-17.831129999999899</v>
      </c>
      <c r="AF5867">
        <v>3.4477036748449801</v>
      </c>
      <c r="AG5867">
        <v>-1.10604482650469</v>
      </c>
      <c r="AH5867">
        <v>17.603469696292301</v>
      </c>
      <c r="AI5867">
        <v>93.528368318316794</v>
      </c>
      <c r="AJ5867">
        <v>78.918680083702895</v>
      </c>
      <c r="AK5867">
        <v>17.971982114838099</v>
      </c>
      <c r="AL5867">
        <v>87.273343760060996</v>
      </c>
      <c r="AM5867">
        <v>84.734936138382693</v>
      </c>
      <c r="AN5867">
        <v>1.0000000362752099</v>
      </c>
    </row>
    <row r="5868" spans="1:40" x14ac:dyDescent="0.25">
      <c r="A5868" t="str">
        <f>"20190312151141749"</f>
        <v>20190312151141749</v>
      </c>
      <c r="B5868" t="str">
        <f>"1552374701737693"</f>
        <v>1552374701737693</v>
      </c>
      <c r="C5868" t="s">
        <v>40</v>
      </c>
      <c r="D5868">
        <v>5.3651929999999997</v>
      </c>
      <c r="E5868">
        <v>0.5421473</v>
      </c>
      <c r="F5868" t="s">
        <v>42</v>
      </c>
      <c r="G5868">
        <v>-301.57619999999997</v>
      </c>
      <c r="H5868" s="1">
        <v>-4.3634840000000002E-6</v>
      </c>
      <c r="I5868">
        <v>-31.01249</v>
      </c>
      <c r="J5868">
        <v>-298.64370000000002</v>
      </c>
      <c r="K5868">
        <v>1.1060840000000001</v>
      </c>
      <c r="L5868">
        <v>-11.61392</v>
      </c>
      <c r="M5868">
        <v>4.8138760000000003E-2</v>
      </c>
      <c r="N5868">
        <v>0</v>
      </c>
      <c r="O5868">
        <v>-0.99875829999999999</v>
      </c>
      <c r="P5868">
        <v>-4.0484600000000003E-2</v>
      </c>
      <c r="Q5868">
        <v>3.6023510000000002E-2</v>
      </c>
      <c r="R5868">
        <v>-0.99853069999999999</v>
      </c>
      <c r="S5868">
        <v>-0.4458008</v>
      </c>
      <c r="T5868">
        <v>-0.1685297</v>
      </c>
      <c r="U5868">
        <v>-2.9934080000000001</v>
      </c>
      <c r="V5868">
        <v>8.8978810000000005E-2</v>
      </c>
      <c r="W5868">
        <v>4.7938389999999997E-2</v>
      </c>
      <c r="X5868">
        <v>0.99487919999999996</v>
      </c>
      <c r="Y5868">
        <v>0.19452349999999999</v>
      </c>
      <c r="Z5868">
        <v>5.5272559999999998E-2</v>
      </c>
      <c r="AA5868">
        <v>0.97933939999999997</v>
      </c>
      <c r="AB5868">
        <v>25</v>
      </c>
      <c r="AC5868">
        <v>-2.9324999999999402</v>
      </c>
      <c r="AD5868">
        <v>-1.106088363484</v>
      </c>
      <c r="AE5868">
        <v>-19.398569999999999</v>
      </c>
      <c r="AF5868">
        <v>3.85075982098388</v>
      </c>
      <c r="AG5868">
        <v>-1.106088363484</v>
      </c>
      <c r="AH5868">
        <v>19.173953089471599</v>
      </c>
      <c r="AI5868">
        <v>93.237069350275405</v>
      </c>
      <c r="AJ5868">
        <v>78.644190925288797</v>
      </c>
      <c r="AK5868">
        <v>19.5880642163537</v>
      </c>
      <c r="AL5868">
        <v>87.252279390587503</v>
      </c>
      <c r="AM5868">
        <v>84.889246868995002</v>
      </c>
      <c r="AN5868">
        <v>0.999999970228723</v>
      </c>
    </row>
    <row r="5869" spans="1:40" x14ac:dyDescent="0.25">
      <c r="A5869" t="str">
        <f>"20190312151141770"</f>
        <v>20190312151141770</v>
      </c>
      <c r="B5869" t="str">
        <f>"1552374701766972"</f>
        <v>1552374701766972</v>
      </c>
      <c r="C5869" t="s">
        <v>40</v>
      </c>
      <c r="D5869">
        <v>5.4020419999999998</v>
      </c>
      <c r="E5869">
        <v>0.54269330000000005</v>
      </c>
      <c r="F5869" t="s">
        <v>42</v>
      </c>
      <c r="G5869">
        <v>-301.76280000000003</v>
      </c>
      <c r="H5869" s="1">
        <v>-4.1053910000000001E-6</v>
      </c>
      <c r="I5869">
        <v>-31.86816</v>
      </c>
      <c r="J5869">
        <v>-298.63850000000002</v>
      </c>
      <c r="K5869">
        <v>1.106128</v>
      </c>
      <c r="L5869">
        <v>-11.85812</v>
      </c>
      <c r="M5869">
        <v>4.2340830000000003E-2</v>
      </c>
      <c r="N5869">
        <v>0</v>
      </c>
      <c r="O5869">
        <v>-0.99902060000000004</v>
      </c>
      <c r="P5869">
        <v>-4.3695810000000002E-2</v>
      </c>
      <c r="Q5869">
        <v>3.6197670000000001E-2</v>
      </c>
      <c r="R5869">
        <v>-0.99838910000000003</v>
      </c>
      <c r="S5869">
        <v>-0.46069339999999998</v>
      </c>
      <c r="T5869">
        <v>-0.16337389999999999</v>
      </c>
      <c r="U5869">
        <v>-2.991638</v>
      </c>
      <c r="V5869">
        <v>8.6399719999999999E-2</v>
      </c>
      <c r="W5869">
        <v>4.8158909999999999E-2</v>
      </c>
      <c r="X5869">
        <v>0.99509590000000003</v>
      </c>
      <c r="Y5869">
        <v>0.19369439999999999</v>
      </c>
      <c r="Z5869">
        <v>5.362397E-2</v>
      </c>
      <c r="AA5869">
        <v>0.97959529999999995</v>
      </c>
      <c r="AB5869">
        <v>25</v>
      </c>
      <c r="AC5869">
        <v>-3.1242999999999999</v>
      </c>
      <c r="AD5869">
        <v>-1.106132105391</v>
      </c>
      <c r="AE5869">
        <v>-20.01004</v>
      </c>
      <c r="AF5869">
        <v>3.95700552640265</v>
      </c>
      <c r="AG5869">
        <v>-1.106132105391</v>
      </c>
      <c r="AH5869">
        <v>19.800729990611099</v>
      </c>
      <c r="AI5869">
        <v>93.135531342774897</v>
      </c>
      <c r="AJ5869">
        <v>78.698805610104202</v>
      </c>
      <c r="AK5869">
        <v>20.222520345684998</v>
      </c>
      <c r="AL5869">
        <v>87.239630055542193</v>
      </c>
      <c r="AM5869">
        <v>85.037708814765097</v>
      </c>
      <c r="AN5869">
        <v>1.0000000212126301</v>
      </c>
    </row>
    <row r="5870" spans="1:40" x14ac:dyDescent="0.25">
      <c r="A5870" t="str">
        <f>"20190312151141794"</f>
        <v>20190312151141794</v>
      </c>
      <c r="B5870" t="str">
        <f>"1552374701787467"</f>
        <v>1552374701787467</v>
      </c>
      <c r="C5870" t="s">
        <v>40</v>
      </c>
      <c r="D5870">
        <v>5.5149109999999997</v>
      </c>
      <c r="E5870">
        <v>0.54305099999999995</v>
      </c>
      <c r="F5870" t="s">
        <v>42</v>
      </c>
      <c r="G5870">
        <v>-302.27050000000003</v>
      </c>
      <c r="H5870" s="1">
        <v>-3.0326450000000002E-6</v>
      </c>
      <c r="I5870">
        <v>-34.749920000000003</v>
      </c>
      <c r="J5870">
        <v>-298.6345</v>
      </c>
      <c r="K5870">
        <v>1.106179</v>
      </c>
      <c r="L5870">
        <v>-12.11356</v>
      </c>
      <c r="M5870">
        <v>3.6331769999999999E-2</v>
      </c>
      <c r="N5870">
        <v>0</v>
      </c>
      <c r="O5870">
        <v>-0.99925719999999996</v>
      </c>
      <c r="P5870">
        <v>-4.6834170000000001E-2</v>
      </c>
      <c r="Q5870">
        <v>3.6489960000000002E-2</v>
      </c>
      <c r="R5870">
        <v>-0.99823640000000002</v>
      </c>
      <c r="S5870">
        <v>-0.47427370000000002</v>
      </c>
      <c r="T5870">
        <v>-0.14444389999999999</v>
      </c>
      <c r="U5870">
        <v>-2.9893190000000001</v>
      </c>
      <c r="V5870">
        <v>8.3538849999999998E-2</v>
      </c>
      <c r="W5870">
        <v>4.8499929999999997E-2</v>
      </c>
      <c r="X5870">
        <v>0.99532359999999998</v>
      </c>
      <c r="Y5870">
        <v>0.19230149999999999</v>
      </c>
      <c r="Z5870">
        <v>4.7469200000000003E-2</v>
      </c>
      <c r="AA5870">
        <v>0.98018709999999998</v>
      </c>
      <c r="AB5870">
        <v>25</v>
      </c>
      <c r="AC5870">
        <v>-3.6360000000000201</v>
      </c>
      <c r="AD5870">
        <v>-1.106182032645</v>
      </c>
      <c r="AE5870">
        <v>-22.63636</v>
      </c>
      <c r="AF5870">
        <v>4.4457364289279502</v>
      </c>
      <c r="AG5870">
        <v>-1.106182032645</v>
      </c>
      <c r="AH5870">
        <v>22.437066644297499</v>
      </c>
      <c r="AI5870">
        <v>92.768743465092996</v>
      </c>
      <c r="AJ5870">
        <v>78.792437672093499</v>
      </c>
      <c r="AK5870">
        <v>22.900003726757099</v>
      </c>
      <c r="AL5870">
        <v>87.220068202596195</v>
      </c>
      <c r="AM5870">
        <v>85.202332664797297</v>
      </c>
      <c r="AN5870">
        <v>1.0000000256931401</v>
      </c>
    </row>
    <row r="5871" spans="1:40" x14ac:dyDescent="0.25">
      <c r="A5871" t="str">
        <f>"20190312151141816"</f>
        <v>20190312151141816</v>
      </c>
      <c r="B5871" t="str">
        <f>"1552374701806987"</f>
        <v>1552374701806987</v>
      </c>
      <c r="C5871" t="s">
        <v>40</v>
      </c>
      <c r="D5871">
        <v>5.411753</v>
      </c>
      <c r="E5871">
        <v>0.543369199999999</v>
      </c>
      <c r="F5871" t="s">
        <v>42</v>
      </c>
      <c r="G5871">
        <v>-302.0086</v>
      </c>
      <c r="H5871" s="1">
        <v>-3.7846539999999999E-6</v>
      </c>
      <c r="I5871">
        <v>-32.834560000000003</v>
      </c>
      <c r="J5871">
        <v>-298.63200000000001</v>
      </c>
      <c r="K5871">
        <v>1.1062299999999901</v>
      </c>
      <c r="L5871">
        <v>-12.367459999999999</v>
      </c>
      <c r="M5871">
        <v>3.0424380000000001E-2</v>
      </c>
      <c r="N5871">
        <v>0</v>
      </c>
      <c r="O5871">
        <v>-0.99945439999999997</v>
      </c>
      <c r="P5871">
        <v>-5.0215049999999997E-2</v>
      </c>
      <c r="Q5871">
        <v>3.6789410000000002E-2</v>
      </c>
      <c r="R5871">
        <v>-0.99806099999999998</v>
      </c>
      <c r="S5871">
        <v>-0.4866028</v>
      </c>
      <c r="T5871">
        <v>-0.159529799999999</v>
      </c>
      <c r="U5871">
        <v>-2.9883120000000001</v>
      </c>
      <c r="V5871">
        <v>8.1021800000000005E-2</v>
      </c>
      <c r="W5871">
        <v>4.8842839999999998E-2</v>
      </c>
      <c r="X5871">
        <v>0.99551489999999998</v>
      </c>
      <c r="Y5871">
        <v>0.19045390000000001</v>
      </c>
      <c r="Z5871">
        <v>5.2439319999999998E-2</v>
      </c>
      <c r="AA5871">
        <v>0.98029460000000002</v>
      </c>
      <c r="AB5871">
        <v>25</v>
      </c>
      <c r="AC5871">
        <v>-3.3765999999999901</v>
      </c>
      <c r="AD5871">
        <v>-1.10623378465399</v>
      </c>
      <c r="AE5871">
        <v>-20.467099999999899</v>
      </c>
      <c r="AF5871">
        <v>3.9864497220806601</v>
      </c>
      <c r="AG5871">
        <v>-1.10623378465399</v>
      </c>
      <c r="AH5871">
        <v>20.297160480329602</v>
      </c>
      <c r="AI5871">
        <v>93.061271664890697</v>
      </c>
      <c r="AJ5871">
        <v>78.888298114565998</v>
      </c>
      <c r="AK5871">
        <v>20.714493914581698</v>
      </c>
      <c r="AL5871">
        <v>87.200397622329803</v>
      </c>
      <c r="AM5871">
        <v>85.347133404326797</v>
      </c>
      <c r="AN5871">
        <v>1.0000000356082499</v>
      </c>
    </row>
    <row r="5872" spans="1:40" x14ac:dyDescent="0.25">
      <c r="A5872" t="str">
        <f>"20190312151141840"</f>
        <v>20190312151141840</v>
      </c>
      <c r="B5872" t="str">
        <f>"1552374701827484"</f>
        <v>1552374701827484</v>
      </c>
      <c r="C5872" t="s">
        <v>40</v>
      </c>
      <c r="D5872">
        <v>5.3698790000000001</v>
      </c>
      <c r="E5872">
        <v>0.54273340000000003</v>
      </c>
      <c r="F5872" t="s">
        <v>42</v>
      </c>
      <c r="G5872">
        <v>-301.98039999999997</v>
      </c>
      <c r="H5872" s="1">
        <v>-3.9603549999999996E-6</v>
      </c>
      <c r="I5872">
        <v>-32.407490000000003</v>
      </c>
      <c r="J5872">
        <v>-298.6309</v>
      </c>
      <c r="K5872">
        <v>1.106287</v>
      </c>
      <c r="L5872">
        <v>-12.6142</v>
      </c>
      <c r="M5872">
        <v>2.4761129999999999E-2</v>
      </c>
      <c r="N5872">
        <v>0</v>
      </c>
      <c r="O5872">
        <v>-0.99961060000000002</v>
      </c>
      <c r="P5872">
        <v>-5.3248360000000002E-2</v>
      </c>
      <c r="Q5872">
        <v>3.6476210000000002E-2</v>
      </c>
      <c r="R5872">
        <v>-0.99791510000000005</v>
      </c>
      <c r="S5872">
        <v>-0.499054</v>
      </c>
      <c r="T5872">
        <v>-0.1648743</v>
      </c>
      <c r="U5872">
        <v>-2.9867859999999999</v>
      </c>
      <c r="V5872">
        <v>7.839641E-2</v>
      </c>
      <c r="W5872">
        <v>4.8571839999999998E-2</v>
      </c>
      <c r="X5872">
        <v>0.99573829999999997</v>
      </c>
      <c r="Y5872">
        <v>0.18893389999999999</v>
      </c>
      <c r="Z5872">
        <v>5.4220869999999997E-2</v>
      </c>
      <c r="AA5872">
        <v>0.98049180000000002</v>
      </c>
      <c r="AB5872">
        <v>25</v>
      </c>
      <c r="AC5872">
        <v>-3.3494999999999702</v>
      </c>
      <c r="AD5872">
        <v>-1.106290960355</v>
      </c>
      <c r="AE5872">
        <v>-19.793289999999999</v>
      </c>
      <c r="AF5872">
        <v>3.8269951819999601</v>
      </c>
      <c r="AG5872">
        <v>-1.106290960355</v>
      </c>
      <c r="AH5872">
        <v>19.644615889718501</v>
      </c>
      <c r="AI5872">
        <v>93.163866800343897</v>
      </c>
      <c r="AJ5872">
        <v>78.976201340825298</v>
      </c>
      <c r="AK5872">
        <v>20.044468196153101</v>
      </c>
      <c r="AL5872">
        <v>87.215943106124001</v>
      </c>
      <c r="AM5872">
        <v>85.4982783249026</v>
      </c>
      <c r="AN5872">
        <v>0.99999999141438101</v>
      </c>
    </row>
    <row r="5873" spans="1:40" x14ac:dyDescent="0.25">
      <c r="A5873" t="str">
        <f>"20190312151141860"</f>
        <v>20190312151141860</v>
      </c>
      <c r="B5873" t="str">
        <f>"1552374701847004"</f>
        <v>1552374701847004</v>
      </c>
      <c r="C5873" t="s">
        <v>40</v>
      </c>
      <c r="D5873">
        <v>5.3459989999999999</v>
      </c>
      <c r="E5873">
        <v>0.54328269999999901</v>
      </c>
      <c r="F5873" t="s">
        <v>42</v>
      </c>
      <c r="G5873">
        <v>-301.96319999999997</v>
      </c>
      <c r="H5873" s="1">
        <v>-3.960286E-6</v>
      </c>
      <c r="I5873">
        <v>-32.396990000000002</v>
      </c>
      <c r="J5873">
        <v>-298.6311</v>
      </c>
      <c r="K5873">
        <v>1.1063449999999999</v>
      </c>
      <c r="L5873">
        <v>-12.84854</v>
      </c>
      <c r="M5873">
        <v>1.9458050000000001E-2</v>
      </c>
      <c r="N5873">
        <v>0</v>
      </c>
      <c r="O5873">
        <v>-0.99972799999999995</v>
      </c>
      <c r="P5873">
        <v>-5.5915579999999999E-2</v>
      </c>
      <c r="Q5873">
        <v>3.5989300000000002E-2</v>
      </c>
      <c r="R5873">
        <v>-0.99778679999999997</v>
      </c>
      <c r="S5873">
        <v>-0.50289919999999999</v>
      </c>
      <c r="T5873">
        <v>-0.16695679999999999</v>
      </c>
      <c r="U5873">
        <v>-2.985535</v>
      </c>
      <c r="V5873">
        <v>7.5763339999999998E-2</v>
      </c>
      <c r="W5873">
        <v>4.812462E-2</v>
      </c>
      <c r="X5873">
        <v>0.99596379999999995</v>
      </c>
      <c r="Y5873">
        <v>0.1850118</v>
      </c>
      <c r="Z5873">
        <v>5.495092E-2</v>
      </c>
      <c r="AA5873">
        <v>0.98119880000000004</v>
      </c>
      <c r="AB5873">
        <v>25</v>
      </c>
      <c r="AC5873">
        <v>-3.3320999999999601</v>
      </c>
      <c r="AD5873">
        <v>-1.1063489602859999</v>
      </c>
      <c r="AE5873">
        <v>-19.548449999999999</v>
      </c>
      <c r="AF5873">
        <v>3.70035752546198</v>
      </c>
      <c r="AG5873">
        <v>-1.1063489602859999</v>
      </c>
      <c r="AH5873">
        <v>19.419462098406001</v>
      </c>
      <c r="AI5873">
        <v>93.203171326007507</v>
      </c>
      <c r="AJ5873">
        <v>79.211680997789998</v>
      </c>
      <c r="AK5873">
        <v>19.799802070465098</v>
      </c>
      <c r="AL5873">
        <v>87.241596885900606</v>
      </c>
      <c r="AM5873">
        <v>85.649866618261498</v>
      </c>
      <c r="AN5873">
        <v>0.999999976824269</v>
      </c>
    </row>
    <row r="5874" spans="1:40" x14ac:dyDescent="0.25">
      <c r="A5874" t="str">
        <f>"20190312151141883"</f>
        <v>20190312151141883</v>
      </c>
      <c r="B5874" t="str">
        <f>"1552374701877263"</f>
        <v>1552374701877263</v>
      </c>
      <c r="C5874" t="s">
        <v>40</v>
      </c>
      <c r="D5874">
        <v>5.4502560000000004</v>
      </c>
      <c r="E5874">
        <v>0.54445949999999999</v>
      </c>
      <c r="F5874" t="s">
        <v>41</v>
      </c>
      <c r="G5874">
        <v>-298.79090000000002</v>
      </c>
      <c r="H5874">
        <v>1.0201519999999999</v>
      </c>
      <c r="I5874">
        <v>-13.77216</v>
      </c>
      <c r="J5874">
        <v>-298.6327</v>
      </c>
      <c r="K5874">
        <v>1.1064039999999999</v>
      </c>
      <c r="L5874">
        <v>-13.100949999999999</v>
      </c>
      <c r="M5874">
        <v>1.381958E-2</v>
      </c>
      <c r="N5874">
        <v>0</v>
      </c>
      <c r="O5874">
        <v>-0.99982170000000004</v>
      </c>
      <c r="P5874">
        <v>-5.8980150000000002E-2</v>
      </c>
      <c r="Q5874">
        <v>3.5667169999999998E-2</v>
      </c>
      <c r="R5874">
        <v>-0.99762189999999995</v>
      </c>
      <c r="S5874">
        <v>-0.51638790000000001</v>
      </c>
      <c r="T5874">
        <v>-0.27852300000000002</v>
      </c>
      <c r="U5874">
        <v>-2.987762</v>
      </c>
      <c r="V5874">
        <v>7.3194490000000001E-2</v>
      </c>
      <c r="W5874">
        <v>4.7839800000000002E-2</v>
      </c>
      <c r="X5874">
        <v>0.99616959999999999</v>
      </c>
      <c r="Y5874">
        <v>0.18319930000000001</v>
      </c>
      <c r="Z5874">
        <v>9.1348509999999994E-2</v>
      </c>
      <c r="AA5874">
        <v>0.97882250000000004</v>
      </c>
      <c r="AB5874">
        <v>25</v>
      </c>
      <c r="AC5874">
        <v>-0.15820000000002199</v>
      </c>
      <c r="AD5874">
        <v>-8.6252000000000204E-2</v>
      </c>
      <c r="AE5874">
        <v>-0.67121000000000197</v>
      </c>
      <c r="AF5874">
        <v>0.16488211681981299</v>
      </c>
      <c r="AG5874">
        <v>-8.6252000000000204E-2</v>
      </c>
      <c r="AH5874">
        <v>0.65865558188851803</v>
      </c>
      <c r="AI5874">
        <v>97.239610135965506</v>
      </c>
      <c r="AJ5874">
        <v>75.945891710544899</v>
      </c>
      <c r="AK5874">
        <v>0.68443604193809404</v>
      </c>
      <c r="AL5874">
        <v>87.257934685749603</v>
      </c>
      <c r="AM5874">
        <v>85.797690685458093</v>
      </c>
      <c r="AN5874">
        <v>0.99999997589727896</v>
      </c>
    </row>
    <row r="5875" spans="1:40" x14ac:dyDescent="0.25">
      <c r="A5875" t="str">
        <f>"20190312151141905"</f>
        <v>20190312151141905</v>
      </c>
      <c r="B5875" t="str">
        <f>"1552374701896780"</f>
        <v>1552374701896780</v>
      </c>
      <c r="C5875" t="s">
        <v>40</v>
      </c>
      <c r="D5875">
        <v>5.5113190000000003</v>
      </c>
      <c r="E5875">
        <v>0.54469899999999905</v>
      </c>
      <c r="F5875" t="s">
        <v>41</v>
      </c>
      <c r="G5875">
        <v>-298.79289999999997</v>
      </c>
      <c r="H5875">
        <v>1.023914</v>
      </c>
      <c r="I5875">
        <v>-13.995050000000001</v>
      </c>
      <c r="J5875">
        <v>-298.6354</v>
      </c>
      <c r="K5875">
        <v>1.1064609999999999</v>
      </c>
      <c r="L5875">
        <v>-13.34436</v>
      </c>
      <c r="M5875">
        <v>8.4574590000000005E-3</v>
      </c>
      <c r="N5875">
        <v>0</v>
      </c>
      <c r="O5875">
        <v>-0.99988140000000003</v>
      </c>
      <c r="P5875">
        <v>-6.2384519999999999E-2</v>
      </c>
      <c r="Q5875">
        <v>3.5695089999999999E-2</v>
      </c>
      <c r="R5875">
        <v>-0.99741389999999996</v>
      </c>
      <c r="S5875">
        <v>-0.53478999999999999</v>
      </c>
      <c r="T5875">
        <v>-0.275275299999999</v>
      </c>
      <c r="U5875">
        <v>-2.985382</v>
      </c>
      <c r="V5875">
        <v>7.1244660000000001E-2</v>
      </c>
      <c r="W5875">
        <v>4.7896960000000002E-2</v>
      </c>
      <c r="X5875">
        <v>0.99630819999999998</v>
      </c>
      <c r="Y5875">
        <v>0.1839277</v>
      </c>
      <c r="Z5875">
        <v>9.0317120000000001E-2</v>
      </c>
      <c r="AA5875">
        <v>0.97878160000000003</v>
      </c>
      <c r="AB5875">
        <v>25</v>
      </c>
      <c r="AC5875">
        <v>-0.15749999999997</v>
      </c>
      <c r="AD5875">
        <v>-8.2547000000000106E-2</v>
      </c>
      <c r="AE5875">
        <v>-0.65068999999999999</v>
      </c>
      <c r="AF5875">
        <v>0.16055706903536601</v>
      </c>
      <c r="AG5875">
        <v>-8.2547000000000106E-2</v>
      </c>
      <c r="AH5875">
        <v>0.63961061254613705</v>
      </c>
      <c r="AI5875">
        <v>97.134869501023601</v>
      </c>
      <c r="AJ5875">
        <v>75.908596158266704</v>
      </c>
      <c r="AK5875">
        <v>0.66460086917477901</v>
      </c>
      <c r="AL5875">
        <v>87.254655897465796</v>
      </c>
      <c r="AM5875">
        <v>85.909818049657602</v>
      </c>
      <c r="AN5875">
        <v>0.99999997487149805</v>
      </c>
    </row>
    <row r="5876" spans="1:40" x14ac:dyDescent="0.25">
      <c r="A5876" t="str">
        <f>"20190312151141927"</f>
        <v>20190312151141927</v>
      </c>
      <c r="B5876" t="str">
        <f>"1552374701917276"</f>
        <v>1552374701917276</v>
      </c>
      <c r="C5876" t="s">
        <v>40</v>
      </c>
      <c r="D5876">
        <v>5.5711550000000001</v>
      </c>
      <c r="E5876">
        <v>0.56677909999999998</v>
      </c>
      <c r="F5876" t="s">
        <v>41</v>
      </c>
      <c r="G5876">
        <v>-298.79509999999999</v>
      </c>
      <c r="H5876">
        <v>1.0245919999999999</v>
      </c>
      <c r="I5876">
        <v>-14.21509</v>
      </c>
      <c r="J5876">
        <v>-298.63940000000002</v>
      </c>
      <c r="K5876">
        <v>1.106528</v>
      </c>
      <c r="L5876">
        <v>-13.591710000000001</v>
      </c>
      <c r="M5876">
        <v>3.0946620000000002E-3</v>
      </c>
      <c r="N5876">
        <v>0</v>
      </c>
      <c r="O5876">
        <v>-0.99991260000000004</v>
      </c>
      <c r="P5876">
        <v>-6.5745919999999999E-2</v>
      </c>
      <c r="Q5876">
        <v>3.5632049999999998E-2</v>
      </c>
      <c r="R5876">
        <v>-0.99719999999999998</v>
      </c>
      <c r="S5876">
        <v>-0.54672240000000005</v>
      </c>
      <c r="T5876">
        <v>-0.2801555</v>
      </c>
      <c r="U5876">
        <v>-2.9836119999999999</v>
      </c>
      <c r="V5876">
        <v>6.9250679999999995E-2</v>
      </c>
      <c r="W5876">
        <v>4.7861710000000002E-2</v>
      </c>
      <c r="X5876">
        <v>0.99645050000000002</v>
      </c>
      <c r="Y5876">
        <v>0.18252060000000001</v>
      </c>
      <c r="Z5876">
        <v>9.1942179999999998E-2</v>
      </c>
      <c r="AA5876">
        <v>0.97889369999999998</v>
      </c>
      <c r="AB5876">
        <v>25</v>
      </c>
      <c r="AC5876">
        <v>-0.155699999999967</v>
      </c>
      <c r="AD5876">
        <v>-8.1935999999999995E-2</v>
      </c>
      <c r="AE5876">
        <v>-0.62337999999999905</v>
      </c>
      <c r="AF5876">
        <v>0.15510629286467001</v>
      </c>
      <c r="AG5876">
        <v>-8.1935999999999995E-2</v>
      </c>
      <c r="AH5876">
        <v>0.61292796716189402</v>
      </c>
      <c r="AI5876">
        <v>97.384065553577003</v>
      </c>
      <c r="AJ5876">
        <v>75.798974428604595</v>
      </c>
      <c r="AK5876">
        <v>0.63753600926648202</v>
      </c>
      <c r="AL5876">
        <v>87.2566779602151</v>
      </c>
      <c r="AM5876">
        <v>86.0244867329247</v>
      </c>
      <c r="AN5876">
        <v>0.99999999945741802</v>
      </c>
    </row>
    <row r="5877" spans="1:40" x14ac:dyDescent="0.25">
      <c r="A5877" t="str">
        <f>"20190312151141950"</f>
        <v>20190312151141950</v>
      </c>
      <c r="B5877" t="str">
        <f>"1552374701947532"</f>
        <v>1552374701947532</v>
      </c>
      <c r="C5877" t="s">
        <v>40</v>
      </c>
      <c r="D5877">
        <v>5.5542239999999996</v>
      </c>
      <c r="E5877">
        <v>0.5733473</v>
      </c>
      <c r="F5877" t="s">
        <v>42</v>
      </c>
      <c r="G5877">
        <v>-301.37610000000001</v>
      </c>
      <c r="H5877" s="1">
        <v>-2.8224049999999998E-6</v>
      </c>
      <c r="I5877">
        <v>-24.685279999999999</v>
      </c>
      <c r="J5877">
        <v>-298.6447</v>
      </c>
      <c r="K5877">
        <v>1.1066</v>
      </c>
      <c r="L5877">
        <v>-13.84296</v>
      </c>
      <c r="M5877">
        <v>-2.2542009999999999E-3</v>
      </c>
      <c r="N5877">
        <v>0</v>
      </c>
      <c r="O5877">
        <v>-0.99991470000000005</v>
      </c>
      <c r="P5877">
        <v>-6.9053089999999998E-2</v>
      </c>
      <c r="Q5877">
        <v>3.567592E-2</v>
      </c>
      <c r="R5877">
        <v>-0.9969751</v>
      </c>
      <c r="S5877">
        <v>-0.73284910000000003</v>
      </c>
      <c r="T5877">
        <v>-0.2963133</v>
      </c>
      <c r="U5877">
        <v>-2.9707029999999999</v>
      </c>
      <c r="V5877">
        <v>6.7216899999999996E-2</v>
      </c>
      <c r="W5877">
        <v>4.7933150000000001E-2</v>
      </c>
      <c r="X5877">
        <v>0.99658630000000004</v>
      </c>
      <c r="Y5877">
        <v>0.23620669999999999</v>
      </c>
      <c r="Z5877">
        <v>9.6416849999999998E-2</v>
      </c>
      <c r="AA5877">
        <v>0.96690759999999998</v>
      </c>
      <c r="AB5877">
        <v>25</v>
      </c>
      <c r="AC5877">
        <v>-2.7313999999999998</v>
      </c>
      <c r="AD5877">
        <v>-1.106602822405</v>
      </c>
      <c r="AE5877">
        <v>-10.842320000000001</v>
      </c>
      <c r="AF5877">
        <v>2.6806921655463398</v>
      </c>
      <c r="AG5877">
        <v>-1.106602822405</v>
      </c>
      <c r="AH5877">
        <v>10.7432173731844</v>
      </c>
      <c r="AI5877">
        <v>95.707217878789393</v>
      </c>
      <c r="AJ5877">
        <v>75.989419913326103</v>
      </c>
      <c r="AK5877">
        <v>11.127776050068</v>
      </c>
      <c r="AL5877">
        <v>87.252579981695405</v>
      </c>
      <c r="AM5877">
        <v>86.141407273014494</v>
      </c>
      <c r="AN5877">
        <v>0.99999997593111101</v>
      </c>
    </row>
    <row r="5878" spans="1:40" x14ac:dyDescent="0.25">
      <c r="A5878" t="str">
        <f>"20190312151141971"</f>
        <v>20190312151141971</v>
      </c>
      <c r="B5878" t="str">
        <f>"1552374701967052"</f>
        <v>1552374701967052</v>
      </c>
      <c r="C5878" t="s">
        <v>40</v>
      </c>
      <c r="D5878">
        <v>5.4906560000000004</v>
      </c>
      <c r="E5878">
        <v>0.57441830000000005</v>
      </c>
      <c r="F5878" t="s">
        <v>42</v>
      </c>
      <c r="G5878">
        <v>-301.76339999999999</v>
      </c>
      <c r="H5878" s="1">
        <v>-2.5899139999999999E-6</v>
      </c>
      <c r="I5878">
        <v>-25.467449999999999</v>
      </c>
      <c r="J5878">
        <v>-298.65109999999999</v>
      </c>
      <c r="K5878">
        <v>1.10667</v>
      </c>
      <c r="L5878">
        <v>-14.0853</v>
      </c>
      <c r="M5878">
        <v>-7.3136159999999898E-3</v>
      </c>
      <c r="N5878">
        <v>0</v>
      </c>
      <c r="O5878">
        <v>-0.99989059999999996</v>
      </c>
      <c r="P5878">
        <v>-7.1509039999999996E-2</v>
      </c>
      <c r="Q5878">
        <v>3.6020650000000001E-2</v>
      </c>
      <c r="R5878">
        <v>-0.99678929999999999</v>
      </c>
      <c r="S5878">
        <v>-0.79522709999999996</v>
      </c>
      <c r="T5878">
        <v>-0.2821709</v>
      </c>
      <c r="U5878">
        <v>-2.9641109999999999</v>
      </c>
      <c r="V5878">
        <v>6.4622449999999998E-2</v>
      </c>
      <c r="W5878">
        <v>4.8308940000000002E-2</v>
      </c>
      <c r="X5878">
        <v>0.99673979999999995</v>
      </c>
      <c r="Y5878">
        <v>0.25096059999999998</v>
      </c>
      <c r="Z5878">
        <v>9.1641310000000004E-2</v>
      </c>
      <c r="AA5878">
        <v>0.9636496</v>
      </c>
      <c r="AB5878">
        <v>25</v>
      </c>
      <c r="AC5878">
        <v>-3.1122999999999998</v>
      </c>
      <c r="AD5878">
        <v>-1.106672589914</v>
      </c>
      <c r="AE5878">
        <v>-11.382149999999999</v>
      </c>
      <c r="AF5878">
        <v>3.0025553333353598</v>
      </c>
      <c r="AG5878">
        <v>-1.106672589914</v>
      </c>
      <c r="AH5878">
        <v>11.3051716184805</v>
      </c>
      <c r="AI5878">
        <v>95.4047126704844</v>
      </c>
      <c r="AJ5878">
        <v>75.126121120476895</v>
      </c>
      <c r="AK5878">
        <v>11.749339048402099</v>
      </c>
      <c r="AL5878">
        <v>87.2310239546606</v>
      </c>
      <c r="AM5878">
        <v>86.290487412825598</v>
      </c>
      <c r="AN5878">
        <v>1.0000000218159799</v>
      </c>
    </row>
    <row r="5879" spans="1:40" x14ac:dyDescent="0.25">
      <c r="A5879" t="str">
        <f>"20190312151141995"</f>
        <v>20190312151141995</v>
      </c>
      <c r="B5879" t="str">
        <f>"1552374701987548"</f>
        <v>1552374701987548</v>
      </c>
      <c r="C5879" t="s">
        <v>40</v>
      </c>
      <c r="D5879">
        <v>5.6341749999999999</v>
      </c>
      <c r="E5879">
        <v>0.57616210000000001</v>
      </c>
      <c r="F5879" t="s">
        <v>42</v>
      </c>
      <c r="G5879">
        <v>-301.90710000000001</v>
      </c>
      <c r="H5879" s="1">
        <v>-2.4127589999999999E-6</v>
      </c>
      <c r="I5879">
        <v>-25.96951</v>
      </c>
      <c r="J5879">
        <v>-298.65879999999999</v>
      </c>
      <c r="K5879">
        <v>1.106757</v>
      </c>
      <c r="L5879">
        <v>-14.33722</v>
      </c>
      <c r="M5879">
        <v>-1.246164E-2</v>
      </c>
      <c r="N5879">
        <v>0</v>
      </c>
      <c r="O5879">
        <v>-0.9998397</v>
      </c>
      <c r="P5879">
        <v>-7.4378710000000001E-2</v>
      </c>
      <c r="Q5879">
        <v>3.6558380000000001E-2</v>
      </c>
      <c r="R5879">
        <v>-0.99655990000000005</v>
      </c>
      <c r="S5879">
        <v>-0.81137079999999995</v>
      </c>
      <c r="T5879">
        <v>-0.2757715</v>
      </c>
      <c r="U5879">
        <v>-2.9614259999999999</v>
      </c>
      <c r="V5879">
        <v>6.2353600000000002E-2</v>
      </c>
      <c r="W5879">
        <v>4.8874750000000002E-2</v>
      </c>
      <c r="X5879">
        <v>0.99685670000000004</v>
      </c>
      <c r="Y5879">
        <v>0.25113960000000002</v>
      </c>
      <c r="Z5879">
        <v>8.9586970000000002E-2</v>
      </c>
      <c r="AA5879">
        <v>0.96379619999999999</v>
      </c>
      <c r="AB5879">
        <v>25</v>
      </c>
      <c r="AC5879">
        <v>-3.2483000000000199</v>
      </c>
      <c r="AD5879">
        <v>-1.1067594127589999</v>
      </c>
      <c r="AE5879">
        <v>-11.632289999999999</v>
      </c>
      <c r="AF5879">
        <v>3.0772363309936099</v>
      </c>
      <c r="AG5879">
        <v>-1.1067594127589999</v>
      </c>
      <c r="AH5879">
        <v>11.574667388474699</v>
      </c>
      <c r="AI5879">
        <v>95.279655241539302</v>
      </c>
      <c r="AJ5879">
        <v>75.111763541001395</v>
      </c>
      <c r="AK5879">
        <v>12.0277689114955</v>
      </c>
      <c r="AL5879">
        <v>87.198567018194694</v>
      </c>
      <c r="AM5879">
        <v>86.420799773420697</v>
      </c>
      <c r="AN5879">
        <v>0.99999999647770599</v>
      </c>
    </row>
    <row r="5880" spans="1:40" x14ac:dyDescent="0.25">
      <c r="A5880" t="str">
        <f>"20190312151142019"</f>
        <v>20190312151142019</v>
      </c>
      <c r="B5880" t="str">
        <f>"1552374702007068"</f>
        <v>1552374702007068</v>
      </c>
      <c r="C5880" t="s">
        <v>40</v>
      </c>
      <c r="D5880">
        <v>5.5248710000000001</v>
      </c>
      <c r="E5880">
        <v>0.5759649</v>
      </c>
      <c r="F5880" t="s">
        <v>42</v>
      </c>
      <c r="G5880">
        <v>-301.88529999999997</v>
      </c>
      <c r="H5880" s="1">
        <v>-2.4846369999999999E-6</v>
      </c>
      <c r="I5880">
        <v>-25.788450000000001</v>
      </c>
      <c r="J5880">
        <v>-298.66820000000001</v>
      </c>
      <c r="K5880">
        <v>1.106857</v>
      </c>
      <c r="L5880">
        <v>-14.601319999999999</v>
      </c>
      <c r="M5880">
        <v>-1.7719269999999999E-2</v>
      </c>
      <c r="N5880">
        <v>0</v>
      </c>
      <c r="O5880">
        <v>-0.99976050000000005</v>
      </c>
      <c r="P5880">
        <v>-7.7516180000000004E-2</v>
      </c>
      <c r="Q5880">
        <v>3.6928519999999999E-2</v>
      </c>
      <c r="R5880">
        <v>-0.9963071</v>
      </c>
      <c r="S5880">
        <v>-0.83361819999999898</v>
      </c>
      <c r="T5880">
        <v>-0.28594989999999998</v>
      </c>
      <c r="U5880">
        <v>-2.958618</v>
      </c>
      <c r="V5880">
        <v>6.0240410000000001E-2</v>
      </c>
      <c r="W5880">
        <v>4.9271000000000002E-2</v>
      </c>
      <c r="X5880">
        <v>0.99696709999999999</v>
      </c>
      <c r="Y5880">
        <v>0.25293070000000001</v>
      </c>
      <c r="Z5880">
        <v>9.2824760000000006E-2</v>
      </c>
      <c r="AA5880">
        <v>0.96302109999999996</v>
      </c>
      <c r="AB5880">
        <v>24</v>
      </c>
      <c r="AC5880">
        <v>-3.2170999999999501</v>
      </c>
      <c r="AD5880">
        <v>-1.1068594846369999</v>
      </c>
      <c r="AE5880">
        <v>-11.18713</v>
      </c>
      <c r="AF5880">
        <v>2.9913048216423301</v>
      </c>
      <c r="AG5880">
        <v>-1.1068594846369999</v>
      </c>
      <c r="AH5880">
        <v>11.141645515592501</v>
      </c>
      <c r="AI5880">
        <v>95.480555039490994</v>
      </c>
      <c r="AJ5880">
        <v>74.971648005871799</v>
      </c>
      <c r="AK5880">
        <v>11.589189240401399</v>
      </c>
      <c r="AL5880">
        <v>87.175836100043398</v>
      </c>
      <c r="AM5880">
        <v>86.542182883645495</v>
      </c>
      <c r="AN5880">
        <v>0.99999996846018802</v>
      </c>
    </row>
    <row r="5881" spans="1:40" x14ac:dyDescent="0.25">
      <c r="A5881" t="str">
        <f>"20190312151142040"</f>
        <v>20190312151142040</v>
      </c>
      <c r="B5881" t="str">
        <f>"1552374702037324"</f>
        <v>1552374702037324</v>
      </c>
      <c r="C5881" t="s">
        <v>40</v>
      </c>
      <c r="D5881">
        <v>5.5371269999999999</v>
      </c>
      <c r="E5881">
        <v>0.57541450000000005</v>
      </c>
      <c r="F5881" t="s">
        <v>42</v>
      </c>
      <c r="G5881">
        <v>-301.99220000000003</v>
      </c>
      <c r="H5881" s="1">
        <v>-2.3010789999999999E-6</v>
      </c>
      <c r="I5881">
        <v>-26.28265</v>
      </c>
      <c r="J5881">
        <v>-298.67759999999998</v>
      </c>
      <c r="K5881">
        <v>1.1069450000000001</v>
      </c>
      <c r="L5881">
        <v>-14.83704</v>
      </c>
      <c r="M5881">
        <v>-2.2274430000000001E-2</v>
      </c>
      <c r="N5881">
        <v>0</v>
      </c>
      <c r="O5881">
        <v>-0.99966940000000004</v>
      </c>
      <c r="P5881">
        <v>-8.040746E-2</v>
      </c>
      <c r="Q5881">
        <v>3.7418720000000003E-2</v>
      </c>
      <c r="R5881">
        <v>-0.99605949999999999</v>
      </c>
      <c r="S5881">
        <v>-0.84118649999999995</v>
      </c>
      <c r="T5881">
        <v>-0.28009970000000001</v>
      </c>
      <c r="U5881">
        <v>-2.9560550000000001</v>
      </c>
      <c r="V5881">
        <v>5.8583400000000001E-2</v>
      </c>
      <c r="W5881">
        <v>4.9781539999999999E-2</v>
      </c>
      <c r="X5881">
        <v>0.9970405</v>
      </c>
      <c r="Y5881">
        <v>0.25107010000000002</v>
      </c>
      <c r="Z5881">
        <v>9.0996380000000002E-2</v>
      </c>
      <c r="AA5881">
        <v>0.96368220000000004</v>
      </c>
      <c r="AB5881">
        <v>24</v>
      </c>
      <c r="AC5881">
        <v>-3.31460000000004</v>
      </c>
      <c r="AD5881">
        <v>-1.1069473010789901</v>
      </c>
      <c r="AE5881">
        <v>-11.44561</v>
      </c>
      <c r="AF5881">
        <v>3.03264095290697</v>
      </c>
      <c r="AG5881">
        <v>-1.1069473010789901</v>
      </c>
      <c r="AH5881">
        <v>11.4180710985258</v>
      </c>
      <c r="AI5881">
        <v>95.352892913222604</v>
      </c>
      <c r="AJ5881">
        <v>75.125650048169604</v>
      </c>
      <c r="AK5881">
        <v>11.8656896591645</v>
      </c>
      <c r="AL5881">
        <v>87.146548424793394</v>
      </c>
      <c r="AM5881">
        <v>86.637321376976402</v>
      </c>
      <c r="AN5881">
        <v>0.99999998756028996</v>
      </c>
    </row>
    <row r="5882" spans="1:40" x14ac:dyDescent="0.25">
      <c r="A5882" t="str">
        <f>"20190312151142063"</f>
        <v>20190312151142063</v>
      </c>
      <c r="B5882" t="str">
        <f>"1552374702056844"</f>
        <v>1552374702056844</v>
      </c>
      <c r="C5882" t="s">
        <v>40</v>
      </c>
      <c r="D5882">
        <v>5.5085230000000003</v>
      </c>
      <c r="E5882">
        <v>0.57516099999999903</v>
      </c>
      <c r="F5882" t="s">
        <v>85</v>
      </c>
      <c r="G5882">
        <v>-307.84269999999998</v>
      </c>
      <c r="H5882" s="1">
        <v>-4.7892139999999998E-6</v>
      </c>
      <c r="I5882">
        <v>-46.866570000000003</v>
      </c>
      <c r="J5882">
        <v>-298.68869999999998</v>
      </c>
      <c r="K5882">
        <v>1.1070409999999999</v>
      </c>
      <c r="L5882">
        <v>-15.089969999999999</v>
      </c>
      <c r="M5882">
        <v>-2.7042119999999999E-2</v>
      </c>
      <c r="N5882">
        <v>0</v>
      </c>
      <c r="O5882">
        <v>-0.99955190000000005</v>
      </c>
      <c r="P5882">
        <v>-8.4064449999999999E-2</v>
      </c>
      <c r="Q5882">
        <v>3.6647069999999997E-2</v>
      </c>
      <c r="R5882">
        <v>-0.99578619999999995</v>
      </c>
      <c r="S5882">
        <v>-0.84344479999999999</v>
      </c>
      <c r="T5882">
        <v>-0.1018699</v>
      </c>
      <c r="U5882">
        <v>-2.9476010000000001</v>
      </c>
      <c r="V5882">
        <v>5.7470970000000003E-2</v>
      </c>
      <c r="W5882">
        <v>4.90243E-2</v>
      </c>
      <c r="X5882">
        <v>0.9971428</v>
      </c>
      <c r="Y5882">
        <v>0.24885109999999999</v>
      </c>
      <c r="Z5882">
        <v>3.3309850000000002E-2</v>
      </c>
      <c r="AA5882">
        <v>0.96796879999999996</v>
      </c>
      <c r="AB5882">
        <v>24</v>
      </c>
      <c r="AC5882">
        <v>-9.1539999999999893</v>
      </c>
      <c r="AD5882">
        <v>-1.107045789214</v>
      </c>
      <c r="AE5882">
        <v>-31.776599999999998</v>
      </c>
      <c r="AF5882">
        <v>8.2819926586185808</v>
      </c>
      <c r="AG5882">
        <v>-1.107045789214</v>
      </c>
      <c r="AH5882">
        <v>31.976704563096</v>
      </c>
      <c r="AI5882">
        <v>91.919522505233004</v>
      </c>
      <c r="AJ5882">
        <v>75.479420738542004</v>
      </c>
      <c r="AK5882">
        <v>33.050364407860201</v>
      </c>
      <c r="AL5882">
        <v>87.189988241868903</v>
      </c>
      <c r="AM5882">
        <v>86.7013700096863</v>
      </c>
      <c r="AN5882">
        <v>1.0000000289875299</v>
      </c>
    </row>
    <row r="5883" spans="1:40" x14ac:dyDescent="0.25">
      <c r="A5883" t="str">
        <f>"20190312151142085"</f>
        <v>20190312151142085</v>
      </c>
      <c r="B5883" t="str">
        <f>"1552374702077340"</f>
        <v>1552374702077340</v>
      </c>
      <c r="C5883" t="s">
        <v>40</v>
      </c>
      <c r="D5883">
        <v>5.5187339999999896</v>
      </c>
      <c r="E5883">
        <v>0.57368390000000002</v>
      </c>
      <c r="F5883" t="s">
        <v>85</v>
      </c>
      <c r="G5883">
        <v>-307.52140000000003</v>
      </c>
      <c r="H5883" s="1">
        <v>-4.3068159999999996E-6</v>
      </c>
      <c r="I5883">
        <v>-45.605809999999998</v>
      </c>
      <c r="J5883">
        <v>-298.7</v>
      </c>
      <c r="K5883">
        <v>1.1071169999999999</v>
      </c>
      <c r="L5883">
        <v>-15.32443</v>
      </c>
      <c r="M5883">
        <v>-3.135048E-2</v>
      </c>
      <c r="N5883">
        <v>0</v>
      </c>
      <c r="O5883">
        <v>-0.99942609999999998</v>
      </c>
      <c r="P5883">
        <v>-8.707028E-2</v>
      </c>
      <c r="Q5883">
        <v>3.6321730000000003E-2</v>
      </c>
      <c r="R5883">
        <v>-0.99554010000000004</v>
      </c>
      <c r="S5883">
        <v>-0.85232540000000001</v>
      </c>
      <c r="T5883">
        <v>-0.1068259</v>
      </c>
      <c r="U5883">
        <v>-2.9446720000000002</v>
      </c>
      <c r="V5883">
        <v>5.6170240000000003E-2</v>
      </c>
      <c r="W5883">
        <v>4.8713300000000001E-2</v>
      </c>
      <c r="X5883">
        <v>0.99723209999999995</v>
      </c>
      <c r="Y5883">
        <v>0.247611</v>
      </c>
      <c r="Z5883">
        <v>3.4946440000000002E-2</v>
      </c>
      <c r="AA5883">
        <v>0.96822909999999995</v>
      </c>
      <c r="AB5883">
        <v>24</v>
      </c>
      <c r="AC5883">
        <v>-8.8214000000000397</v>
      </c>
      <c r="AD5883">
        <v>-1.107121306816</v>
      </c>
      <c r="AE5883">
        <v>-30.281379999999999</v>
      </c>
      <c r="AF5883">
        <v>7.8579670072153798</v>
      </c>
      <c r="AG5883">
        <v>-1.107121306816</v>
      </c>
      <c r="AH5883">
        <v>30.505483365710798</v>
      </c>
      <c r="AI5883">
        <v>92.012846198361004</v>
      </c>
      <c r="AJ5883">
        <v>75.555094135983595</v>
      </c>
      <c r="AK5883">
        <v>31.520753139005901</v>
      </c>
      <c r="AL5883">
        <v>87.207828383309902</v>
      </c>
      <c r="AM5883">
        <v>86.776156087353101</v>
      </c>
      <c r="AN5883">
        <v>0.99999997136447805</v>
      </c>
    </row>
    <row r="5884" spans="1:40" x14ac:dyDescent="0.25">
      <c r="A5884" t="str">
        <f>"20190312151142106"</f>
        <v>20190312151142106</v>
      </c>
      <c r="B5884" t="str">
        <f>"1552374702096860"</f>
        <v>1552374702096860</v>
      </c>
      <c r="C5884" t="s">
        <v>40</v>
      </c>
      <c r="D5884">
        <v>5.5141400000000003</v>
      </c>
      <c r="E5884">
        <v>0.57391179999999997</v>
      </c>
      <c r="F5884" t="s">
        <v>42</v>
      </c>
      <c r="G5884">
        <v>-302.18979999999999</v>
      </c>
      <c r="H5884" s="1">
        <v>-1.8716720000000001E-6</v>
      </c>
      <c r="I5884">
        <v>-27.406110000000002</v>
      </c>
      <c r="J5884">
        <v>-298.71269999999998</v>
      </c>
      <c r="K5884">
        <v>1.1072</v>
      </c>
      <c r="L5884">
        <v>-15.5687</v>
      </c>
      <c r="M5884">
        <v>-3.571564E-2</v>
      </c>
      <c r="N5884">
        <v>0</v>
      </c>
      <c r="O5884">
        <v>-0.99927969999999999</v>
      </c>
      <c r="P5884">
        <v>-9.0732499999999994E-2</v>
      </c>
      <c r="Q5884">
        <v>3.6218790000000001E-2</v>
      </c>
      <c r="R5884">
        <v>-0.99521660000000001</v>
      </c>
      <c r="S5884">
        <v>-0.85174559999999999</v>
      </c>
      <c r="T5884">
        <v>-0.27021600000000001</v>
      </c>
      <c r="U5884">
        <v>-2.9487920000000001</v>
      </c>
      <c r="V5884">
        <v>5.5472639999999997E-2</v>
      </c>
      <c r="W5884">
        <v>4.8618519999999998E-2</v>
      </c>
      <c r="X5884">
        <v>0.99727580000000005</v>
      </c>
      <c r="Y5884">
        <v>0.2419326</v>
      </c>
      <c r="Z5884">
        <v>8.8027690000000006E-2</v>
      </c>
      <c r="AA5884">
        <v>0.96629169999999998</v>
      </c>
      <c r="AB5884">
        <v>24</v>
      </c>
      <c r="AC5884">
        <v>-3.4771000000000001</v>
      </c>
      <c r="AD5884">
        <v>-1.107201871672</v>
      </c>
      <c r="AE5884">
        <v>-11.837409999999901</v>
      </c>
      <c r="AF5884">
        <v>3.0276816140925198</v>
      </c>
      <c r="AG5884">
        <v>-1.107201871672</v>
      </c>
      <c r="AH5884">
        <v>11.8585478135417</v>
      </c>
      <c r="AI5884">
        <v>95.169214374622001</v>
      </c>
      <c r="AJ5884">
        <v>75.677428442840196</v>
      </c>
      <c r="AK5884">
        <v>12.288934379636199</v>
      </c>
      <c r="AL5884">
        <v>87.2132653932522</v>
      </c>
      <c r="AM5884">
        <v>86.816250595200302</v>
      </c>
      <c r="AN5884">
        <v>0.9999999977706</v>
      </c>
    </row>
    <row r="5885" spans="1:40" x14ac:dyDescent="0.25">
      <c r="A5885" t="str">
        <f>"20190312151142129"</f>
        <v>20190312151142129</v>
      </c>
      <c r="B5885" t="str">
        <f>"1552374702117356"</f>
        <v>1552374702117356</v>
      </c>
      <c r="C5885" t="s">
        <v>40</v>
      </c>
      <c r="D5885">
        <v>5.5175910000000004</v>
      </c>
      <c r="E5885">
        <v>0.57412350000000001</v>
      </c>
      <c r="F5885" t="s">
        <v>42</v>
      </c>
      <c r="G5885">
        <v>-302.25069999999999</v>
      </c>
      <c r="H5885" s="1">
        <v>-1.796457E-6</v>
      </c>
      <c r="I5885">
        <v>-27.619260000000001</v>
      </c>
      <c r="J5885">
        <v>-298.72609999999997</v>
      </c>
      <c r="K5885">
        <v>1.107286</v>
      </c>
      <c r="L5885">
        <v>-15.809139999999999</v>
      </c>
      <c r="M5885">
        <v>-3.9886949999999997E-2</v>
      </c>
      <c r="N5885">
        <v>0</v>
      </c>
      <c r="O5885">
        <v>-0.99912199999999995</v>
      </c>
      <c r="P5885">
        <v>-9.4155130000000004E-2</v>
      </c>
      <c r="Q5885">
        <v>3.6132480000000002E-2</v>
      </c>
      <c r="R5885">
        <v>-0.9949017</v>
      </c>
      <c r="S5885">
        <v>-0.86477660000000001</v>
      </c>
      <c r="T5885">
        <v>-0.27062550000000002</v>
      </c>
      <c r="U5885">
        <v>-2.9454349999999998</v>
      </c>
      <c r="V5885">
        <v>5.4728649999999997E-2</v>
      </c>
      <c r="W5885">
        <v>4.8540890000000003E-2</v>
      </c>
      <c r="X5885">
        <v>0.99732069999999995</v>
      </c>
      <c r="Y5885">
        <v>0.24211340000000001</v>
      </c>
      <c r="Z5885">
        <v>8.8179679999999996E-2</v>
      </c>
      <c r="AA5885">
        <v>0.9662326</v>
      </c>
      <c r="AB5885">
        <v>24</v>
      </c>
      <c r="AC5885">
        <v>-3.5246000000000199</v>
      </c>
      <c r="AD5885">
        <v>-1.10728779645699</v>
      </c>
      <c r="AE5885">
        <v>-11.8101199999999</v>
      </c>
      <c r="AF5885">
        <v>3.02625961784568</v>
      </c>
      <c r="AG5885">
        <v>-1.10728779645699</v>
      </c>
      <c r="AH5885">
        <v>11.8457035580783</v>
      </c>
      <c r="AI5885">
        <v>95.174994842855398</v>
      </c>
      <c r="AJ5885">
        <v>75.668994819732106</v>
      </c>
      <c r="AK5885">
        <v>12.276197551548901</v>
      </c>
      <c r="AL5885">
        <v>87.217718558928297</v>
      </c>
      <c r="AM5885">
        <v>86.859005569099196</v>
      </c>
      <c r="AN5885">
        <v>1.0000000108906499</v>
      </c>
    </row>
    <row r="5886" spans="1:40" x14ac:dyDescent="0.25">
      <c r="A5886" t="str">
        <f>"20190312151142150"</f>
        <v>20190312151142150</v>
      </c>
      <c r="B5886" t="str">
        <f>"1552374702147612"</f>
        <v>1552374702147612</v>
      </c>
      <c r="C5886" t="s">
        <v>40</v>
      </c>
      <c r="D5886">
        <v>5.5063019999999998</v>
      </c>
      <c r="E5886">
        <v>0.57269789999999998</v>
      </c>
      <c r="F5886" t="s">
        <v>42</v>
      </c>
      <c r="G5886">
        <v>-302.33510000000001</v>
      </c>
      <c r="H5886" s="1">
        <v>-1.6882509999999999E-6</v>
      </c>
      <c r="I5886">
        <v>-27.923829999999999</v>
      </c>
      <c r="J5886">
        <v>-298.74059999999997</v>
      </c>
      <c r="K5886">
        <v>1.107378</v>
      </c>
      <c r="L5886">
        <v>-16.05219</v>
      </c>
      <c r="M5886">
        <v>-4.397711E-2</v>
      </c>
      <c r="N5886">
        <v>0</v>
      </c>
      <c r="O5886">
        <v>-0.99895069999999997</v>
      </c>
      <c r="P5886">
        <v>-9.7116220000000003E-2</v>
      </c>
      <c r="Q5886">
        <v>3.609267E-2</v>
      </c>
      <c r="R5886">
        <v>-0.99461880000000003</v>
      </c>
      <c r="S5886">
        <v>-0.87649539999999904</v>
      </c>
      <c r="T5886">
        <v>-0.2689183</v>
      </c>
      <c r="U5886">
        <v>-2.9422000000000001</v>
      </c>
      <c r="V5886">
        <v>5.3602450000000003E-2</v>
      </c>
      <c r="W5886">
        <v>4.851279E-2</v>
      </c>
      <c r="X5886">
        <v>0.99738320000000003</v>
      </c>
      <c r="Y5886">
        <v>0.24198140000000001</v>
      </c>
      <c r="Z5886">
        <v>8.7650130000000007E-2</v>
      </c>
      <c r="AA5886">
        <v>0.9663138</v>
      </c>
      <c r="AB5886">
        <v>24</v>
      </c>
      <c r="AC5886">
        <v>-3.5945000000000298</v>
      </c>
      <c r="AD5886">
        <v>-1.1073796882510001</v>
      </c>
      <c r="AE5886">
        <v>-11.871639999999999</v>
      </c>
      <c r="AF5886">
        <v>3.0446319735739298</v>
      </c>
      <c r="AG5886">
        <v>-1.1073796882510001</v>
      </c>
      <c r="AH5886">
        <v>11.923209153393</v>
      </c>
      <c r="AI5886">
        <v>95.142107502048304</v>
      </c>
      <c r="AJ5886">
        <v>75.675437796139207</v>
      </c>
      <c r="AK5886">
        <v>12.355524681049101</v>
      </c>
      <c r="AL5886">
        <v>87.2193303848818</v>
      </c>
      <c r="AM5886">
        <v>86.923707550678003</v>
      </c>
      <c r="AN5886">
        <v>0.99999998054091299</v>
      </c>
    </row>
    <row r="5887" spans="1:40" x14ac:dyDescent="0.25">
      <c r="A5887" t="str">
        <f>"20190312151142172"</f>
        <v>20190312151142172</v>
      </c>
      <c r="B5887" t="str">
        <f>"1552374702167132"</f>
        <v>1552374702167132</v>
      </c>
      <c r="C5887" t="s">
        <v>40</v>
      </c>
      <c r="D5887">
        <v>5.5031720000000002</v>
      </c>
      <c r="E5887">
        <v>0.56949649999999996</v>
      </c>
      <c r="F5887" t="s">
        <v>85</v>
      </c>
      <c r="G5887">
        <v>-307.3338</v>
      </c>
      <c r="H5887" s="1">
        <v>-3.9456699999999998E-6</v>
      </c>
      <c r="I5887">
        <v>-44.977910000000001</v>
      </c>
      <c r="J5887">
        <v>-298.7561</v>
      </c>
      <c r="K5887">
        <v>1.107475</v>
      </c>
      <c r="L5887">
        <v>-16.299900000000001</v>
      </c>
      <c r="M5887">
        <v>-4.8013269999999997E-2</v>
      </c>
      <c r="N5887">
        <v>0</v>
      </c>
      <c r="O5887">
        <v>-0.99876480000000001</v>
      </c>
      <c r="P5887">
        <v>-9.8890710000000007E-2</v>
      </c>
      <c r="Q5887">
        <v>3.5945779999999997E-2</v>
      </c>
      <c r="R5887">
        <v>-0.99444900000000003</v>
      </c>
      <c r="S5887">
        <v>-0.87197880000000005</v>
      </c>
      <c r="T5887">
        <v>-0.11236939999999999</v>
      </c>
      <c r="U5887">
        <v>-2.935181</v>
      </c>
      <c r="V5887">
        <v>5.1337550000000003E-2</v>
      </c>
      <c r="W5887">
        <v>4.8385619999999997E-2</v>
      </c>
      <c r="X5887">
        <v>0.99750850000000002</v>
      </c>
      <c r="Y5887">
        <v>0.23822679999999999</v>
      </c>
      <c r="Z5887">
        <v>3.6844389999999998E-2</v>
      </c>
      <c r="AA5887">
        <v>0.9705104</v>
      </c>
      <c r="AB5887">
        <v>24</v>
      </c>
      <c r="AC5887">
        <v>-8.5776999999999894</v>
      </c>
      <c r="AD5887">
        <v>-1.10747894567</v>
      </c>
      <c r="AE5887">
        <v>-28.678009999999901</v>
      </c>
      <c r="AF5887">
        <v>7.1809382865230704</v>
      </c>
      <c r="AG5887">
        <v>-1.10747894567</v>
      </c>
      <c r="AH5887">
        <v>29.017086837653299</v>
      </c>
      <c r="AI5887">
        <v>92.121770186320902</v>
      </c>
      <c r="AJ5887">
        <v>76.100120411954293</v>
      </c>
      <c r="AK5887">
        <v>29.9129355435715</v>
      </c>
      <c r="AL5887">
        <v>87.226625198817104</v>
      </c>
      <c r="AM5887">
        <v>87.053827556119401</v>
      </c>
      <c r="AN5887">
        <v>0.999999959917517</v>
      </c>
    </row>
    <row r="5888" spans="1:40" x14ac:dyDescent="0.25">
      <c r="A5888" t="str">
        <f>"20190312151142195"</f>
        <v>20190312151142195</v>
      </c>
      <c r="B5888" t="str">
        <f>"1552374702187215"</f>
        <v>1552374702187215</v>
      </c>
      <c r="C5888" t="s">
        <v>40</v>
      </c>
      <c r="D5888">
        <v>5.567755</v>
      </c>
      <c r="E5888">
        <v>0.56925649999999905</v>
      </c>
      <c r="F5888" t="s">
        <v>42</v>
      </c>
      <c r="G5888">
        <v>-302.23849999999999</v>
      </c>
      <c r="H5888" s="1">
        <v>-1.505368E-6</v>
      </c>
      <c r="I5888">
        <v>-28.290179999999999</v>
      </c>
      <c r="J5888">
        <v>-298.77210000000002</v>
      </c>
      <c r="K5888">
        <v>1.107578</v>
      </c>
      <c r="L5888">
        <v>-16.541139999999999</v>
      </c>
      <c r="M5888">
        <v>-5.1810750000000003E-2</v>
      </c>
      <c r="N5888">
        <v>0</v>
      </c>
      <c r="O5888">
        <v>-0.99857510000000005</v>
      </c>
      <c r="P5888">
        <v>-0.10015010000000001</v>
      </c>
      <c r="Q5888">
        <v>3.5926439999999997E-2</v>
      </c>
      <c r="R5888">
        <v>-0.99432370000000003</v>
      </c>
      <c r="S5888">
        <v>-0.85433959999999998</v>
      </c>
      <c r="T5888">
        <v>-0.27170109999999997</v>
      </c>
      <c r="U5888">
        <v>-2.9416199999999999</v>
      </c>
      <c r="V5888">
        <v>4.8794509999999999E-2</v>
      </c>
      <c r="W5888">
        <v>4.8386579999999998E-2</v>
      </c>
      <c r="X5888">
        <v>0.99763610000000003</v>
      </c>
      <c r="Y5888">
        <v>0.2276736</v>
      </c>
      <c r="Z5888">
        <v>8.8763350000000005E-2</v>
      </c>
      <c r="AA5888">
        <v>0.96968330000000003</v>
      </c>
      <c r="AB5888">
        <v>24</v>
      </c>
      <c r="AC5888">
        <v>-3.4663999999999602</v>
      </c>
      <c r="AD5888">
        <v>-1.107579505368</v>
      </c>
      <c r="AE5888">
        <v>-11.7490399999999</v>
      </c>
      <c r="AF5888">
        <v>2.8298329047765698</v>
      </c>
      <c r="AG5888">
        <v>-1.107579505368</v>
      </c>
      <c r="AH5888">
        <v>11.8162689755552</v>
      </c>
      <c r="AI5888">
        <v>95.208449399645801</v>
      </c>
      <c r="AJ5888">
        <v>76.532107288662502</v>
      </c>
      <c r="AK5888">
        <v>12.200774530018</v>
      </c>
      <c r="AL5888">
        <v>87.226570176882007</v>
      </c>
      <c r="AM5888">
        <v>87.1998874405555</v>
      </c>
      <c r="AN5888">
        <v>0.99999997667672302</v>
      </c>
    </row>
    <row r="5889" spans="1:40" x14ac:dyDescent="0.25">
      <c r="A5889" t="str">
        <f>"20190312151142219"</f>
        <v>20190312151142219</v>
      </c>
      <c r="B5889" t="str">
        <f>"1552374702206728"</f>
        <v>1552374702206728</v>
      </c>
      <c r="C5889" t="s">
        <v>40</v>
      </c>
      <c r="D5889">
        <v>5.565906</v>
      </c>
      <c r="E5889">
        <v>0.5689845</v>
      </c>
      <c r="F5889" t="s">
        <v>42</v>
      </c>
      <c r="G5889">
        <v>-302.23930000000001</v>
      </c>
      <c r="H5889" s="1">
        <v>-1.43826699999999E-6</v>
      </c>
      <c r="I5889">
        <v>-28.447099999999999</v>
      </c>
      <c r="J5889">
        <v>-298.78960000000001</v>
      </c>
      <c r="K5889">
        <v>1.1076870000000001</v>
      </c>
      <c r="L5889">
        <v>-16.792390000000001</v>
      </c>
      <c r="M5889">
        <v>-5.5623989999999998E-2</v>
      </c>
      <c r="N5889">
        <v>0</v>
      </c>
      <c r="O5889">
        <v>-0.99837010000000004</v>
      </c>
      <c r="P5889">
        <v>-0.1003617</v>
      </c>
      <c r="Q5889">
        <v>3.5925369999999998E-2</v>
      </c>
      <c r="R5889">
        <v>-0.99430229999999997</v>
      </c>
      <c r="S5889">
        <v>-0.85638429999999999</v>
      </c>
      <c r="T5889">
        <v>-0.27357130000000002</v>
      </c>
      <c r="U5889">
        <v>-2.9407649999999999</v>
      </c>
      <c r="V5889">
        <v>4.5182550000000002E-2</v>
      </c>
      <c r="W5889">
        <v>4.8412299999999998E-2</v>
      </c>
      <c r="X5889">
        <v>0.99780500000000005</v>
      </c>
      <c r="Y5889">
        <v>0.224636</v>
      </c>
      <c r="Z5889">
        <v>8.9389940000000001E-2</v>
      </c>
      <c r="AA5889">
        <v>0.97033400000000003</v>
      </c>
      <c r="AB5889">
        <v>24</v>
      </c>
      <c r="AC5889">
        <v>-3.4497</v>
      </c>
      <c r="AD5889">
        <v>-1.107688438267</v>
      </c>
      <c r="AE5889">
        <v>-11.6547099999999</v>
      </c>
      <c r="AF5889">
        <v>2.7729931923821498</v>
      </c>
      <c r="AG5889">
        <v>-1.107688438267</v>
      </c>
      <c r="AH5889">
        <v>11.7311334917074</v>
      </c>
      <c r="AI5889">
        <v>95.250202959655198</v>
      </c>
      <c r="AJ5889">
        <v>76.700597879828706</v>
      </c>
      <c r="AK5889">
        <v>12.105203753821201</v>
      </c>
      <c r="AL5889">
        <v>87.225094909051293</v>
      </c>
      <c r="AM5889">
        <v>87.407306826789494</v>
      </c>
      <c r="AN5889">
        <v>1.0000000158203901</v>
      </c>
    </row>
    <row r="5890" spans="1:40" x14ac:dyDescent="0.25">
      <c r="A5890" t="str">
        <f>"20190312151142240"</f>
        <v>20190312151142240</v>
      </c>
      <c r="B5890" t="str">
        <f>"1552374702236983"</f>
        <v>1552374702236983</v>
      </c>
      <c r="C5890" t="s">
        <v>40</v>
      </c>
      <c r="D5890">
        <v>5.5416309999999998</v>
      </c>
      <c r="E5890">
        <v>0.5686755</v>
      </c>
      <c r="F5890" t="s">
        <v>42</v>
      </c>
      <c r="G5890">
        <v>-302.18130000000002</v>
      </c>
      <c r="H5890" s="1">
        <v>-1.416412E-6</v>
      </c>
      <c r="I5890">
        <v>-28.4621</v>
      </c>
      <c r="J5890">
        <v>-298.80739999999997</v>
      </c>
      <c r="K5890">
        <v>1.1077840000000001</v>
      </c>
      <c r="L5890">
        <v>-17.037379999999999</v>
      </c>
      <c r="M5890">
        <v>-5.9191130000000002E-2</v>
      </c>
      <c r="N5890">
        <v>0</v>
      </c>
      <c r="O5890">
        <v>-0.99816519999999997</v>
      </c>
      <c r="P5890">
        <v>-9.9560899999999994E-2</v>
      </c>
      <c r="Q5890">
        <v>3.7354129999999999E-2</v>
      </c>
      <c r="R5890">
        <v>-0.99433039999999995</v>
      </c>
      <c r="S5890">
        <v>-0.85479740000000004</v>
      </c>
      <c r="T5890">
        <v>-0.27916029999999997</v>
      </c>
      <c r="U5890">
        <v>-2.9410099999999999</v>
      </c>
      <c r="V5890">
        <v>4.0810909999999999E-2</v>
      </c>
      <c r="W5890">
        <v>4.9868219999999998E-2</v>
      </c>
      <c r="X5890">
        <v>0.99792159999999996</v>
      </c>
      <c r="Y5890">
        <v>0.22060250000000001</v>
      </c>
      <c r="Z5890">
        <v>9.1214610000000002E-2</v>
      </c>
      <c r="AA5890">
        <v>0.97108930000000004</v>
      </c>
      <c r="AB5890">
        <v>24</v>
      </c>
      <c r="AC5890">
        <v>-3.3739000000000399</v>
      </c>
      <c r="AD5890">
        <v>-1.107785416412</v>
      </c>
      <c r="AE5890">
        <v>-11.424719999999899</v>
      </c>
      <c r="AF5890">
        <v>2.6686087607868001</v>
      </c>
      <c r="AG5890">
        <v>-1.107785416412</v>
      </c>
      <c r="AH5890">
        <v>11.5049142900678</v>
      </c>
      <c r="AI5890">
        <v>95.358539619801505</v>
      </c>
      <c r="AJ5890">
        <v>76.940959993182204</v>
      </c>
      <c r="AK5890">
        <v>11.86219684834</v>
      </c>
      <c r="AL5890">
        <v>87.141575727982598</v>
      </c>
      <c r="AM5890">
        <v>87.658142053831895</v>
      </c>
      <c r="AN5890">
        <v>0.99999994474377596</v>
      </c>
    </row>
    <row r="5891" spans="1:40" x14ac:dyDescent="0.25">
      <c r="A5891" t="str">
        <f>"20190312151142263"</f>
        <v>20190312151142263</v>
      </c>
      <c r="B5891" t="str">
        <f>"1552374702257479"</f>
        <v>1552374702257479</v>
      </c>
      <c r="C5891" t="s">
        <v>40</v>
      </c>
      <c r="D5891">
        <v>5.5232710000000003</v>
      </c>
      <c r="E5891">
        <v>0.56856209999999996</v>
      </c>
      <c r="F5891" t="s">
        <v>42</v>
      </c>
      <c r="G5891">
        <v>-302.19900000000001</v>
      </c>
      <c r="H5891" s="1">
        <v>-1.2872829999999999E-6</v>
      </c>
      <c r="I5891">
        <v>-28.774049999999999</v>
      </c>
      <c r="J5891">
        <v>-298.82569999999998</v>
      </c>
      <c r="K5891">
        <v>1.1078629999999901</v>
      </c>
      <c r="L5891">
        <v>-17.280639999999998</v>
      </c>
      <c r="M5891">
        <v>-6.2624509999999994E-2</v>
      </c>
      <c r="N5891">
        <v>0</v>
      </c>
      <c r="O5891">
        <v>-0.9979557</v>
      </c>
      <c r="P5891">
        <v>-9.7647460000000005E-2</v>
      </c>
      <c r="Q5891">
        <v>3.9047890000000002E-2</v>
      </c>
      <c r="R5891">
        <v>-0.99445499999999998</v>
      </c>
      <c r="S5891">
        <v>-0.85028079999999995</v>
      </c>
      <c r="T5891">
        <v>-0.27772469999999999</v>
      </c>
      <c r="U5891">
        <v>-2.9424130000000002</v>
      </c>
      <c r="V5891">
        <v>3.5458080000000003E-2</v>
      </c>
      <c r="W5891">
        <v>5.1593100000000003E-2</v>
      </c>
      <c r="X5891">
        <v>0.99803850000000005</v>
      </c>
      <c r="Y5891">
        <v>0.21575759999999999</v>
      </c>
      <c r="Z5891">
        <v>9.0748300000000004E-2</v>
      </c>
      <c r="AA5891">
        <v>0.9722208</v>
      </c>
      <c r="AB5891">
        <v>24</v>
      </c>
      <c r="AC5891">
        <v>-3.3733000000000199</v>
      </c>
      <c r="AD5891">
        <v>-1.10786428728299</v>
      </c>
      <c r="AE5891">
        <v>-11.493410000000001</v>
      </c>
      <c r="AF5891">
        <v>2.62439984540607</v>
      </c>
      <c r="AG5891">
        <v>-1.10786428728299</v>
      </c>
      <c r="AH5891">
        <v>11.583029300541099</v>
      </c>
      <c r="AI5891">
        <v>95.329193618552296</v>
      </c>
      <c r="AJ5891">
        <v>77.233870702667005</v>
      </c>
      <c r="AK5891">
        <v>11.928176960659099</v>
      </c>
      <c r="AL5891">
        <v>87.042620068109599</v>
      </c>
      <c r="AM5891">
        <v>87.965264662456804</v>
      </c>
      <c r="AN5891">
        <v>0.99999998544357305</v>
      </c>
    </row>
    <row r="5892" spans="1:40" x14ac:dyDescent="0.25">
      <c r="A5892" t="str">
        <f>"20190312151142284"</f>
        <v>20190312151142284</v>
      </c>
      <c r="B5892" t="str">
        <f>"1552374702276999"</f>
        <v>1552374702276999</v>
      </c>
      <c r="C5892" t="s">
        <v>40</v>
      </c>
      <c r="D5892">
        <v>5.4883739999999896</v>
      </c>
      <c r="E5892">
        <v>0.57009699999999996</v>
      </c>
      <c r="F5892" t="s">
        <v>42</v>
      </c>
      <c r="G5892">
        <v>-302.2287</v>
      </c>
      <c r="H5892" s="1">
        <v>-1.1323510000000001E-6</v>
      </c>
      <c r="I5892">
        <v>-29.15362</v>
      </c>
      <c r="J5892">
        <v>-298.84449999999998</v>
      </c>
      <c r="K5892">
        <v>1.1079319999999999</v>
      </c>
      <c r="L5892">
        <v>-17.518650000000001</v>
      </c>
      <c r="M5892">
        <v>-6.5879489999999999E-2</v>
      </c>
      <c r="N5892">
        <v>0</v>
      </c>
      <c r="O5892">
        <v>-0.99774629999999997</v>
      </c>
      <c r="P5892">
        <v>-9.5227859999999998E-2</v>
      </c>
      <c r="Q5892">
        <v>3.968439E-2</v>
      </c>
      <c r="R5892">
        <v>-0.99466429999999995</v>
      </c>
      <c r="S5892">
        <v>-0.84396360000000004</v>
      </c>
      <c r="T5892">
        <v>-0.2747637</v>
      </c>
      <c r="U5892">
        <v>-2.9446409999999998</v>
      </c>
      <c r="V5892">
        <v>2.9767120000000001E-2</v>
      </c>
      <c r="W5892">
        <v>5.2259300000000002E-2</v>
      </c>
      <c r="X5892">
        <v>0.99818980000000002</v>
      </c>
      <c r="Y5892">
        <v>0.21047170000000001</v>
      </c>
      <c r="Z5892">
        <v>8.9774060000000003E-2</v>
      </c>
      <c r="AA5892">
        <v>0.97346920000000003</v>
      </c>
      <c r="AB5892">
        <v>24</v>
      </c>
      <c r="AC5892">
        <v>-3.3842000000000199</v>
      </c>
      <c r="AD5892">
        <v>-1.107933132351</v>
      </c>
      <c r="AE5892">
        <v>-11.634969999999999</v>
      </c>
      <c r="AF5892">
        <v>2.5886368669456301</v>
      </c>
      <c r="AG5892">
        <v>-1.107933132351</v>
      </c>
      <c r="AH5892">
        <v>11.7345520544865</v>
      </c>
      <c r="AI5892">
        <v>95.267752389188104</v>
      </c>
      <c r="AJ5892">
        <v>77.5598199453473</v>
      </c>
      <c r="AK5892">
        <v>12.0676538139824</v>
      </c>
      <c r="AL5892">
        <v>87.0043980868506</v>
      </c>
      <c r="AM5892">
        <v>88.291882927607404</v>
      </c>
      <c r="AN5892">
        <v>0.99999999634681203</v>
      </c>
    </row>
    <row r="5893" spans="1:40" x14ac:dyDescent="0.25">
      <c r="A5893" t="str">
        <f>"20190312151142307"</f>
        <v>20190312151142307</v>
      </c>
      <c r="B5893" t="str">
        <f>"1552374702297047"</f>
        <v>1552374702297047</v>
      </c>
      <c r="C5893" t="s">
        <v>40</v>
      </c>
      <c r="D5893">
        <v>5.5113370000000002</v>
      </c>
      <c r="E5893">
        <v>0.56973479999999999</v>
      </c>
      <c r="F5893" t="s">
        <v>41</v>
      </c>
      <c r="G5893">
        <v>-299.08929999999998</v>
      </c>
      <c r="H5893">
        <v>1.010276</v>
      </c>
      <c r="I5893">
        <v>-18.367100000000001</v>
      </c>
      <c r="J5893">
        <v>-298.86450000000002</v>
      </c>
      <c r="K5893">
        <v>1.1079950000000001</v>
      </c>
      <c r="L5893">
        <v>-17.764949999999999</v>
      </c>
      <c r="M5893">
        <v>-6.913424E-2</v>
      </c>
      <c r="N5893">
        <v>0</v>
      </c>
      <c r="O5893">
        <v>-0.99752589999999997</v>
      </c>
      <c r="P5893">
        <v>-9.205642E-2</v>
      </c>
      <c r="Q5893">
        <v>3.8444579999999999E-2</v>
      </c>
      <c r="R5893">
        <v>-0.99501130000000004</v>
      </c>
      <c r="S5893">
        <v>-0.84988399999999997</v>
      </c>
      <c r="T5893">
        <v>-0.33910079999999998</v>
      </c>
      <c r="U5893">
        <v>-2.948242</v>
      </c>
      <c r="V5893">
        <v>2.3305389999999999E-2</v>
      </c>
      <c r="W5893">
        <v>5.1055459999999997E-2</v>
      </c>
      <c r="X5893">
        <v>0.99842390000000003</v>
      </c>
      <c r="Y5893">
        <v>0.2081992</v>
      </c>
      <c r="Z5893">
        <v>0.1103896</v>
      </c>
      <c r="AA5893">
        <v>0.97183699999999995</v>
      </c>
      <c r="AB5893">
        <v>24</v>
      </c>
      <c r="AC5893">
        <v>-0.224799999999959</v>
      </c>
      <c r="AD5893">
        <v>-9.7719000000000097E-2</v>
      </c>
      <c r="AE5893">
        <v>-0.60215000000000096</v>
      </c>
      <c r="AF5893">
        <v>0.178503485635606</v>
      </c>
      <c r="AG5893">
        <v>-9.7719000000000097E-2</v>
      </c>
      <c r="AH5893">
        <v>0.60232921767087599</v>
      </c>
      <c r="AI5893">
        <v>98.8414086464674</v>
      </c>
      <c r="AJ5893">
        <v>73.492528254097607</v>
      </c>
      <c r="AK5893">
        <v>0.63577746405882496</v>
      </c>
      <c r="AL5893">
        <v>87.073465392042095</v>
      </c>
      <c r="AM5893">
        <v>88.662834443302899</v>
      </c>
      <c r="AN5893">
        <v>1.00000004264503</v>
      </c>
    </row>
    <row r="5894" spans="1:40" x14ac:dyDescent="0.25">
      <c r="A5894" t="str">
        <f>"20190312151142329"</f>
        <v>20190312151142329</v>
      </c>
      <c r="B5894" t="str">
        <f>"1552374702317543"</f>
        <v>1552374702317543</v>
      </c>
      <c r="C5894" t="s">
        <v>40</v>
      </c>
      <c r="D5894">
        <v>5.5825399999999998</v>
      </c>
      <c r="E5894">
        <v>0.56917600000000002</v>
      </c>
      <c r="F5894" t="s">
        <v>41</v>
      </c>
      <c r="G5894">
        <v>-299.09640000000002</v>
      </c>
      <c r="H5894">
        <v>1.00996</v>
      </c>
      <c r="I5894">
        <v>-18.581779999999998</v>
      </c>
      <c r="J5894">
        <v>-298.8845</v>
      </c>
      <c r="K5894">
        <v>1.1080719999999999</v>
      </c>
      <c r="L5894">
        <v>-18.001860000000001</v>
      </c>
      <c r="M5894">
        <v>-7.2148219999999999E-2</v>
      </c>
      <c r="N5894">
        <v>0</v>
      </c>
      <c r="O5894">
        <v>-0.99731250000000005</v>
      </c>
      <c r="P5894">
        <v>-8.8092039999999996E-2</v>
      </c>
      <c r="Q5894">
        <v>3.675672E-2</v>
      </c>
      <c r="R5894">
        <v>-0.99543400000000004</v>
      </c>
      <c r="S5894">
        <v>-0.83724979999999904</v>
      </c>
      <c r="T5894">
        <v>-0.35409629999999997</v>
      </c>
      <c r="U5894">
        <v>-2.951263</v>
      </c>
      <c r="V5894">
        <v>1.628425E-2</v>
      </c>
      <c r="W5894">
        <v>4.9409130000000002E-2</v>
      </c>
      <c r="X5894">
        <v>0.99864580000000003</v>
      </c>
      <c r="Y5894">
        <v>0.2009785</v>
      </c>
      <c r="Z5894">
        <v>0.11521099999999999</v>
      </c>
      <c r="AA5894">
        <v>0.97279700000000002</v>
      </c>
      <c r="AB5894">
        <v>24</v>
      </c>
      <c r="AC5894">
        <v>-0.21190000000001399</v>
      </c>
      <c r="AD5894">
        <v>-9.8111999999999894E-2</v>
      </c>
      <c r="AE5894">
        <v>-0.57991999999999699</v>
      </c>
      <c r="AF5894">
        <v>0.16532933101754699</v>
      </c>
      <c r="AG5894">
        <v>-9.8111999999999894E-2</v>
      </c>
      <c r="AH5894">
        <v>0.579075557377846</v>
      </c>
      <c r="AI5894">
        <v>99.253257123704302</v>
      </c>
      <c r="AJ5894">
        <v>74.065657602920197</v>
      </c>
      <c r="AK5894">
        <v>0.61015428654658499</v>
      </c>
      <c r="AL5894">
        <v>87.167912091831496</v>
      </c>
      <c r="AM5894">
        <v>89.0657987894607</v>
      </c>
      <c r="AN5894">
        <v>0.99999993639152696</v>
      </c>
    </row>
    <row r="5895" spans="1:40" x14ac:dyDescent="0.25">
      <c r="A5895" t="str">
        <f>"20190312151142351"</f>
        <v>20190312151142351</v>
      </c>
      <c r="B5895" t="str">
        <f>"1552374702346823"</f>
        <v>1552374702346823</v>
      </c>
      <c r="C5895" t="s">
        <v>40</v>
      </c>
      <c r="D5895">
        <v>5.5262529999999996</v>
      </c>
      <c r="E5895">
        <v>0.56948849999999995</v>
      </c>
      <c r="F5895" t="s">
        <v>41</v>
      </c>
      <c r="G5895">
        <v>-299.10700000000003</v>
      </c>
      <c r="H5895">
        <v>1.016408</v>
      </c>
      <c r="I5895">
        <v>-18.80237</v>
      </c>
      <c r="J5895">
        <v>-298.90559999999999</v>
      </c>
      <c r="K5895">
        <v>1.108166</v>
      </c>
      <c r="L5895">
        <v>-18.246089999999999</v>
      </c>
      <c r="M5895">
        <v>-7.5120339999999994E-2</v>
      </c>
      <c r="N5895">
        <v>0</v>
      </c>
      <c r="O5895">
        <v>-0.99709309999999995</v>
      </c>
      <c r="P5895">
        <v>-8.3129140000000004E-2</v>
      </c>
      <c r="Q5895">
        <v>3.5634939999999997E-2</v>
      </c>
      <c r="R5895">
        <v>-0.99590179999999995</v>
      </c>
      <c r="S5895">
        <v>-0.82113649999999905</v>
      </c>
      <c r="T5895">
        <v>-0.33820810000000001</v>
      </c>
      <c r="U5895">
        <v>-2.9535830000000001</v>
      </c>
      <c r="V5895">
        <v>8.3055460000000005E-3</v>
      </c>
      <c r="W5895">
        <v>4.8333229999999998E-2</v>
      </c>
      <c r="X5895">
        <v>0.99879680000000004</v>
      </c>
      <c r="Y5895">
        <v>0.19308629999999999</v>
      </c>
      <c r="Z5895">
        <v>0.1101557</v>
      </c>
      <c r="AA5895">
        <v>0.97497869999999998</v>
      </c>
      <c r="AB5895">
        <v>24</v>
      </c>
      <c r="AC5895">
        <v>-0.201400000000035</v>
      </c>
      <c r="AD5895">
        <v>-9.1758000000000006E-2</v>
      </c>
      <c r="AE5895">
        <v>-0.556280000000001</v>
      </c>
      <c r="AF5895">
        <v>0.15530365924928599</v>
      </c>
      <c r="AG5895">
        <v>-9.1758000000000006E-2</v>
      </c>
      <c r="AH5895">
        <v>0.55645286567204499</v>
      </c>
      <c r="AI5895">
        <v>99.024797971592506</v>
      </c>
      <c r="AJ5895">
        <v>74.405805136228494</v>
      </c>
      <c r="AK5895">
        <v>0.584960296819236</v>
      </c>
      <c r="AL5895">
        <v>87.229630733565799</v>
      </c>
      <c r="AM5895">
        <v>89.523564989199699</v>
      </c>
      <c r="AN5895">
        <v>1.00000006545341</v>
      </c>
    </row>
    <row r="5896" spans="1:40" x14ac:dyDescent="0.25">
      <c r="A5896" t="str">
        <f>"20190312151142375"</f>
        <v>20190312151142375</v>
      </c>
      <c r="B5896" t="str">
        <f>"1552374702367321"</f>
        <v>1552374702367321</v>
      </c>
      <c r="C5896" t="s">
        <v>40</v>
      </c>
      <c r="D5896">
        <v>5.5458800000000004</v>
      </c>
      <c r="E5896">
        <v>0.56994809999999996</v>
      </c>
      <c r="F5896" t="s">
        <v>41</v>
      </c>
      <c r="G5896">
        <v>-299.11869999999999</v>
      </c>
      <c r="H5896">
        <v>1.023833</v>
      </c>
      <c r="I5896">
        <v>-19.023620000000001</v>
      </c>
      <c r="J5896">
        <v>-298.92759999999998</v>
      </c>
      <c r="K5896">
        <v>1.1082829999999999</v>
      </c>
      <c r="L5896">
        <v>-18.493590000000001</v>
      </c>
      <c r="M5896">
        <v>-7.797366E-2</v>
      </c>
      <c r="N5896">
        <v>0</v>
      </c>
      <c r="O5896">
        <v>-0.99687389999999998</v>
      </c>
      <c r="P5896">
        <v>-7.8753340000000005E-2</v>
      </c>
      <c r="Q5896">
        <v>3.5380420000000003E-2</v>
      </c>
      <c r="R5896">
        <v>-0.99626610000000004</v>
      </c>
      <c r="S5896">
        <v>-0.80917359999999905</v>
      </c>
      <c r="T5896">
        <v>-0.32040679999999999</v>
      </c>
      <c r="U5896">
        <v>-2.9562680000000001</v>
      </c>
      <c r="V5896">
        <v>1.0399529999999999E-3</v>
      </c>
      <c r="W5896">
        <v>4.8115570000000003E-2</v>
      </c>
      <c r="X5896">
        <v>0.99884119999999998</v>
      </c>
      <c r="Y5896">
        <v>0.18654229999999999</v>
      </c>
      <c r="Z5896">
        <v>0.1044206</v>
      </c>
      <c r="AA5896">
        <v>0.97688189999999997</v>
      </c>
      <c r="AB5896">
        <v>24</v>
      </c>
      <c r="AC5896">
        <v>-0.19110000000000499</v>
      </c>
      <c r="AD5896">
        <v>-8.44499999999999E-2</v>
      </c>
      <c r="AE5896">
        <v>-0.53003</v>
      </c>
      <c r="AF5896">
        <v>0.14590839372358699</v>
      </c>
      <c r="AG5896">
        <v>-8.44499999999999E-2</v>
      </c>
      <c r="AH5896">
        <v>0.53138009738760505</v>
      </c>
      <c r="AI5896">
        <v>98.712981961512895</v>
      </c>
      <c r="AJ5896">
        <v>74.645918272689002</v>
      </c>
      <c r="AK5896">
        <v>0.55748172145699804</v>
      </c>
      <c r="AL5896">
        <v>87.2421159847691</v>
      </c>
      <c r="AM5896">
        <v>89.940345976656005</v>
      </c>
      <c r="AN5896">
        <v>0.99999996619805198</v>
      </c>
    </row>
    <row r="5897" spans="1:40" x14ac:dyDescent="0.25">
      <c r="A5897" t="str">
        <f>"20190312151142396"</f>
        <v>20190312151142396</v>
      </c>
      <c r="B5897" t="str">
        <f>"1552374702386841"</f>
        <v>1552374702386841</v>
      </c>
      <c r="C5897" t="s">
        <v>40</v>
      </c>
      <c r="D5897">
        <v>5.490469</v>
      </c>
      <c r="E5897">
        <v>0.57076110000000002</v>
      </c>
      <c r="F5897" t="s">
        <v>41</v>
      </c>
      <c r="G5897">
        <v>-299.13</v>
      </c>
      <c r="H5897">
        <v>1.0266169999999999</v>
      </c>
      <c r="I5897">
        <v>-19.241890000000001</v>
      </c>
      <c r="J5897">
        <v>-298.94929999999999</v>
      </c>
      <c r="K5897">
        <v>1.108414</v>
      </c>
      <c r="L5897">
        <v>-18.73245</v>
      </c>
      <c r="M5897">
        <v>-8.0546980000000004E-2</v>
      </c>
      <c r="N5897">
        <v>0</v>
      </c>
      <c r="O5897">
        <v>-0.99666920000000003</v>
      </c>
      <c r="P5897">
        <v>-7.3283550000000003E-2</v>
      </c>
      <c r="Q5897">
        <v>3.5426930000000002E-2</v>
      </c>
      <c r="R5897">
        <v>-0.99668179999999995</v>
      </c>
      <c r="S5897">
        <v>-0.80035400000000001</v>
      </c>
      <c r="T5897">
        <v>-0.32295679999999999</v>
      </c>
      <c r="U5897">
        <v>-2.9594420000000001</v>
      </c>
      <c r="V5897">
        <v>-7.0406590000000003E-3</v>
      </c>
      <c r="W5897">
        <v>4.8195120000000001E-2</v>
      </c>
      <c r="X5897">
        <v>0.99881319999999996</v>
      </c>
      <c r="Y5897">
        <v>0.18100450000000001</v>
      </c>
      <c r="Z5897">
        <v>0.1051974</v>
      </c>
      <c r="AA5897">
        <v>0.97783989999999998</v>
      </c>
      <c r="AB5897">
        <v>24</v>
      </c>
      <c r="AC5897">
        <v>-0.180700000000001</v>
      </c>
      <c r="AD5897">
        <v>-8.1796999999999898E-2</v>
      </c>
      <c r="AE5897">
        <v>-0.50943999999999701</v>
      </c>
      <c r="AF5897">
        <v>0.135962148784042</v>
      </c>
      <c r="AG5897">
        <v>-8.1796999999999898E-2</v>
      </c>
      <c r="AH5897">
        <v>0.51064703701288405</v>
      </c>
      <c r="AI5897">
        <v>98.799001046060098</v>
      </c>
      <c r="AJ5897">
        <v>75.090624570076898</v>
      </c>
      <c r="AK5897">
        <v>0.53473063454510605</v>
      </c>
      <c r="AL5897">
        <v>87.237553110788298</v>
      </c>
      <c r="AM5897">
        <v>90.403872680505799</v>
      </c>
      <c r="AN5897">
        <v>1.0000000744826001</v>
      </c>
    </row>
    <row r="5898" spans="1:40" x14ac:dyDescent="0.25">
      <c r="A5898" t="str">
        <f>"20190312151142420"</f>
        <v>20190312151142420</v>
      </c>
      <c r="B5898" t="str">
        <f>"1552374702407332"</f>
        <v>1552374702407332</v>
      </c>
      <c r="C5898" t="s">
        <v>40</v>
      </c>
      <c r="D5898">
        <v>5.493322</v>
      </c>
      <c r="E5898">
        <v>0.57163509999999995</v>
      </c>
      <c r="F5898" t="s">
        <v>41</v>
      </c>
      <c r="G5898">
        <v>-299.1438</v>
      </c>
      <c r="H5898">
        <v>1.028489</v>
      </c>
      <c r="I5898">
        <v>-19.459779999999999</v>
      </c>
      <c r="J5898">
        <v>-298.97230000000002</v>
      </c>
      <c r="K5898">
        <v>1.108571</v>
      </c>
      <c r="L5898">
        <v>-18.980740000000001</v>
      </c>
      <c r="M5898">
        <v>-8.2996790000000001E-2</v>
      </c>
      <c r="N5898">
        <v>0</v>
      </c>
      <c r="O5898">
        <v>-0.99646820000000003</v>
      </c>
      <c r="P5898">
        <v>-6.5859639999999997E-2</v>
      </c>
      <c r="Q5898">
        <v>3.6106909999999999E-2</v>
      </c>
      <c r="R5898">
        <v>-0.99717549999999999</v>
      </c>
      <c r="S5898">
        <v>-0.79150390000000004</v>
      </c>
      <c r="T5898">
        <v>-0.32549519999999998</v>
      </c>
      <c r="U5898">
        <v>-2.9633479999999999</v>
      </c>
      <c r="V5898">
        <v>-1.695172E-2</v>
      </c>
      <c r="W5898">
        <v>4.8907619999999999E-2</v>
      </c>
      <c r="X5898">
        <v>0.99865939999999997</v>
      </c>
      <c r="Y5898">
        <v>0.17551510000000001</v>
      </c>
      <c r="Z5898">
        <v>0.1059425</v>
      </c>
      <c r="AA5898">
        <v>0.97875979999999996</v>
      </c>
      <c r="AB5898">
        <v>24</v>
      </c>
      <c r="AC5898">
        <v>-0.17149999999998</v>
      </c>
      <c r="AD5898">
        <v>-8.0081999999999903E-2</v>
      </c>
      <c r="AE5898">
        <v>-0.47903999999999702</v>
      </c>
      <c r="AF5898">
        <v>0.12797602529818</v>
      </c>
      <c r="AG5898">
        <v>-8.0081999999999903E-2</v>
      </c>
      <c r="AH5898">
        <v>0.47973823618179501</v>
      </c>
      <c r="AI5898">
        <v>99.162236579659194</v>
      </c>
      <c r="AJ5898">
        <v>75.063472907002193</v>
      </c>
      <c r="AK5898">
        <v>0.50293117325329995</v>
      </c>
      <c r="AL5898">
        <v>87.196681339265993</v>
      </c>
      <c r="AM5898">
        <v>90.972472440005205</v>
      </c>
      <c r="AN5898">
        <v>0.99999995665668995</v>
      </c>
    </row>
    <row r="5899" spans="1:40" x14ac:dyDescent="0.25">
      <c r="A5899" t="str">
        <f>"20190312151142441"</f>
        <v>20190312151142441</v>
      </c>
      <c r="B5899" t="str">
        <f>"1552374702437588"</f>
        <v>1552374702437588</v>
      </c>
      <c r="C5899" t="s">
        <v>40</v>
      </c>
      <c r="D5899">
        <v>5.227061</v>
      </c>
      <c r="E5899">
        <v>0.52329689999999995</v>
      </c>
      <c r="F5899" t="s">
        <v>41</v>
      </c>
      <c r="G5899">
        <v>-299.20830000000001</v>
      </c>
      <c r="H5899">
        <v>1.0096480000000001</v>
      </c>
      <c r="I5899">
        <v>-19.88186</v>
      </c>
      <c r="J5899">
        <v>-298.9948</v>
      </c>
      <c r="K5899">
        <v>1.1087340000000001</v>
      </c>
      <c r="L5899">
        <v>-19.219729999999998</v>
      </c>
      <c r="M5899">
        <v>-8.5124539999999999E-2</v>
      </c>
      <c r="N5899">
        <v>0</v>
      </c>
      <c r="O5899">
        <v>-0.99628879999999997</v>
      </c>
      <c r="P5899">
        <v>-5.5010000000000003E-2</v>
      </c>
      <c r="Q5899">
        <v>3.7008649999999997E-2</v>
      </c>
      <c r="R5899">
        <v>-0.99779989999999996</v>
      </c>
      <c r="S5899">
        <v>-0.7770996</v>
      </c>
      <c r="T5899">
        <v>-0.3258606</v>
      </c>
      <c r="U5899">
        <v>-2.9689640000000002</v>
      </c>
      <c r="V5899">
        <v>-2.9963969999999999E-2</v>
      </c>
      <c r="W5899">
        <v>4.9841549999999998E-2</v>
      </c>
      <c r="X5899">
        <v>0.99830759999999996</v>
      </c>
      <c r="Y5899">
        <v>0.1685073</v>
      </c>
      <c r="Z5899">
        <v>0.1059692</v>
      </c>
      <c r="AA5899">
        <v>0.97998770000000002</v>
      </c>
      <c r="AB5899">
        <v>24</v>
      </c>
      <c r="AC5899">
        <v>-0.21350000000000999</v>
      </c>
      <c r="AD5899">
        <v>-9.9086000000000202E-2</v>
      </c>
      <c r="AE5899">
        <v>-0.662130000000001</v>
      </c>
      <c r="AF5899">
        <v>0.153248167284773</v>
      </c>
      <c r="AG5899">
        <v>-9.9086000000000202E-2</v>
      </c>
      <c r="AH5899">
        <v>0.66442384027413504</v>
      </c>
      <c r="AI5899">
        <v>98.268091269336395</v>
      </c>
      <c r="AJ5899">
        <v>77.011966943984604</v>
      </c>
      <c r="AK5899">
        <v>0.689029807553179</v>
      </c>
      <c r="AL5899">
        <v>87.143105986908395</v>
      </c>
      <c r="AM5899">
        <v>91.7192033267863</v>
      </c>
      <c r="AN5899">
        <v>1.0000000419111601</v>
      </c>
    </row>
    <row r="5900" spans="1:40" x14ac:dyDescent="0.25">
      <c r="A5900" t="str">
        <f>"20190312151142463"</f>
        <v>20190312151142463</v>
      </c>
      <c r="B5900" t="str">
        <f>"1552374702457108"</f>
        <v>1552374702457108</v>
      </c>
      <c r="C5900" t="s">
        <v>40</v>
      </c>
      <c r="D5900">
        <v>5.3851699999999996</v>
      </c>
      <c r="E5900">
        <v>0.51155289999999998</v>
      </c>
      <c r="F5900" t="s">
        <v>85</v>
      </c>
      <c r="G5900">
        <v>-301.86700000000002</v>
      </c>
      <c r="H5900" s="1">
        <v>-2.1659450000000001E-6</v>
      </c>
      <c r="I5900">
        <v>-43.375489999999999</v>
      </c>
      <c r="J5900">
        <v>-299.01749999999998</v>
      </c>
      <c r="K5900">
        <v>1.108884</v>
      </c>
      <c r="L5900">
        <v>-19.458739999999999</v>
      </c>
      <c r="M5900">
        <v>-8.7071700000000002E-2</v>
      </c>
      <c r="N5900">
        <v>0</v>
      </c>
      <c r="O5900">
        <v>-0.99612060000000002</v>
      </c>
      <c r="P5900">
        <v>-4.2043459999999998E-2</v>
      </c>
      <c r="Q5900">
        <v>3.7859820000000002E-2</v>
      </c>
      <c r="R5900">
        <v>-0.99839829999999996</v>
      </c>
      <c r="S5900">
        <v>-0.35577389999999998</v>
      </c>
      <c r="T5900">
        <v>-0.1373355</v>
      </c>
      <c r="U5900">
        <v>-2.9920960000000001</v>
      </c>
      <c r="V5900">
        <v>-4.4899229999999998E-2</v>
      </c>
      <c r="W5900">
        <v>5.0720679999999997E-2</v>
      </c>
      <c r="X5900">
        <v>0.99770309999999995</v>
      </c>
      <c r="Y5900">
        <v>3.103239E-2</v>
      </c>
      <c r="Z5900">
        <v>4.5419899999999999E-2</v>
      </c>
      <c r="AA5900">
        <v>0.99848590000000004</v>
      </c>
      <c r="AB5900">
        <v>24</v>
      </c>
      <c r="AC5900">
        <v>-2.8495000000000301</v>
      </c>
      <c r="AD5900">
        <v>-1.108886165945</v>
      </c>
      <c r="AE5900">
        <v>-23.91675</v>
      </c>
      <c r="AF5900">
        <v>0.75443583079278798</v>
      </c>
      <c r="AG5900">
        <v>-1.108886165945</v>
      </c>
      <c r="AH5900">
        <v>24.023112769826</v>
      </c>
      <c r="AI5900">
        <v>92.641547379186804</v>
      </c>
      <c r="AJ5900">
        <v>88.201241141284797</v>
      </c>
      <c r="AK5900">
        <v>24.060522627399099</v>
      </c>
      <c r="AL5900">
        <v>87.092671638564596</v>
      </c>
      <c r="AM5900">
        <v>92.576720296026707</v>
      </c>
      <c r="AN5900">
        <v>1.00000000199193</v>
      </c>
    </row>
    <row r="5901" spans="1:40" x14ac:dyDescent="0.25">
      <c r="A5901" t="str">
        <f>"20190312151142486"</f>
        <v>20190312151142486</v>
      </c>
      <c r="B5901" t="str">
        <f>"1552374702477604"</f>
        <v>1552374702477604</v>
      </c>
      <c r="C5901" t="s">
        <v>40</v>
      </c>
      <c r="D5901">
        <v>5.3297169999999996</v>
      </c>
      <c r="E5901">
        <v>0.44568380000000002</v>
      </c>
      <c r="F5901" t="s">
        <v>85</v>
      </c>
      <c r="G5901">
        <v>-300.6053</v>
      </c>
      <c r="H5901" s="1">
        <v>-3.852593E-7</v>
      </c>
      <c r="I5901">
        <v>-40.850409999999997</v>
      </c>
      <c r="J5901">
        <v>-299.04109999999997</v>
      </c>
      <c r="K5901">
        <v>1.1090100000000001</v>
      </c>
      <c r="L5901">
        <v>-19.704409999999999</v>
      </c>
      <c r="M5901">
        <v>-8.8883000000000004E-2</v>
      </c>
      <c r="N5901">
        <v>0</v>
      </c>
      <c r="O5901">
        <v>-0.99596070000000003</v>
      </c>
      <c r="P5901">
        <v>-2.870642E-2</v>
      </c>
      <c r="Q5901">
        <v>3.8716260000000002E-2</v>
      </c>
      <c r="R5901">
        <v>-0.99883840000000002</v>
      </c>
      <c r="S5901">
        <v>-0.22277830000000001</v>
      </c>
      <c r="T5901">
        <v>-0.1555812</v>
      </c>
      <c r="U5901">
        <v>-3.0013429999999999</v>
      </c>
      <c r="V5901">
        <v>-6.0050279999999998E-2</v>
      </c>
      <c r="W5901">
        <v>5.1594059999999997E-2</v>
      </c>
      <c r="X5901">
        <v>0.99686110000000006</v>
      </c>
      <c r="Y5901">
        <v>-1.5014960000000001E-2</v>
      </c>
      <c r="Z5901">
        <v>5.1387490000000001E-2</v>
      </c>
      <c r="AA5901">
        <v>0.99856590000000001</v>
      </c>
      <c r="AB5901">
        <v>24</v>
      </c>
      <c r="AC5901">
        <v>-1.56420000000002</v>
      </c>
      <c r="AD5901">
        <v>-1.1090103852593001</v>
      </c>
      <c r="AE5901">
        <v>-21.146000000000001</v>
      </c>
      <c r="AF5901">
        <v>-0.32078673380601103</v>
      </c>
      <c r="AG5901">
        <v>-1.1090103852593001</v>
      </c>
      <c r="AH5901">
        <v>21.143495031575899</v>
      </c>
      <c r="AI5901">
        <v>93.0021596355475</v>
      </c>
      <c r="AJ5901">
        <v>90.869218446865204</v>
      </c>
      <c r="AK5901">
        <v>21.1749897358529</v>
      </c>
      <c r="AL5901">
        <v>87.042565086951498</v>
      </c>
      <c r="AM5901">
        <v>93.447295595059998</v>
      </c>
      <c r="AN5901">
        <v>1.0000000179242801</v>
      </c>
    </row>
    <row r="5902" spans="1:40" x14ac:dyDescent="0.25">
      <c r="A5902" t="str">
        <f>"20190312151142508"</f>
        <v>20190312151142508</v>
      </c>
      <c r="B5902" t="str">
        <f>"1552374702497630"</f>
        <v>1552374702497630</v>
      </c>
      <c r="C5902" t="s">
        <v>40</v>
      </c>
      <c r="D5902">
        <v>5.3737649999999997</v>
      </c>
      <c r="E5902">
        <v>0.38196229999999998</v>
      </c>
      <c r="F5902" t="s">
        <v>42</v>
      </c>
      <c r="G5902">
        <v>-297.33150000000001</v>
      </c>
      <c r="H5902" s="1">
        <v>-2.8579690000000002E-6</v>
      </c>
      <c r="I5902">
        <v>-34.808609999999902</v>
      </c>
      <c r="J5902">
        <v>-299.06400000000002</v>
      </c>
      <c r="K5902">
        <v>1.109119</v>
      </c>
      <c r="L5902">
        <v>-19.940000000000001</v>
      </c>
      <c r="M5902">
        <v>-9.0431789999999998E-2</v>
      </c>
      <c r="N5902">
        <v>0</v>
      </c>
      <c r="O5902">
        <v>-0.99582119999999996</v>
      </c>
      <c r="P5902">
        <v>-1.5900560000000001E-2</v>
      </c>
      <c r="Q5902">
        <v>3.9385009999999998E-2</v>
      </c>
      <c r="R5902">
        <v>-0.99909780000000004</v>
      </c>
      <c r="S5902">
        <v>0.34204099999999998</v>
      </c>
      <c r="T5902">
        <v>-0.2218812</v>
      </c>
      <c r="U5902">
        <v>-3.0219119999999999</v>
      </c>
      <c r="V5902">
        <v>-7.4390540000000005E-2</v>
      </c>
      <c r="W5902">
        <v>5.2268340000000003E-2</v>
      </c>
      <c r="X5902">
        <v>0.99585840000000003</v>
      </c>
      <c r="Y5902">
        <v>-0.20157929999999999</v>
      </c>
      <c r="Z5902">
        <v>7.1796399999999996E-2</v>
      </c>
      <c r="AA5902">
        <v>0.97683730000000002</v>
      </c>
      <c r="AB5902">
        <v>24</v>
      </c>
      <c r="AC5902">
        <v>1.7325000000000099</v>
      </c>
      <c r="AD5902">
        <v>-1.1091218579690001</v>
      </c>
      <c r="AE5902">
        <v>-14.868609999999901</v>
      </c>
      <c r="AF5902">
        <v>-3.05334187654333</v>
      </c>
      <c r="AG5902">
        <v>-1.1091218579690001</v>
      </c>
      <c r="AH5902">
        <v>14.570999730627401</v>
      </c>
      <c r="AI5902">
        <v>94.260683474463207</v>
      </c>
      <c r="AJ5902">
        <v>101.83504092061099</v>
      </c>
      <c r="AK5902">
        <v>14.928733404439299</v>
      </c>
      <c r="AL5902">
        <v>87.003879262161206</v>
      </c>
      <c r="AM5902">
        <v>94.272055639762698</v>
      </c>
      <c r="AN5902">
        <v>0.99999994232920197</v>
      </c>
    </row>
    <row r="5903" spans="1:40" x14ac:dyDescent="0.25">
      <c r="A5903" t="str">
        <f>"20190312151142530"</f>
        <v>20190312151142530</v>
      </c>
      <c r="B5903" t="str">
        <f>"1552374702526909"</f>
        <v>1552374702526909</v>
      </c>
      <c r="C5903" t="s">
        <v>40</v>
      </c>
      <c r="D5903">
        <v>5.393643</v>
      </c>
      <c r="E5903">
        <v>0.37245260000000002</v>
      </c>
      <c r="F5903" t="s">
        <v>42</v>
      </c>
      <c r="G5903">
        <v>-296.9597</v>
      </c>
      <c r="H5903" s="1">
        <v>-1.9226270000000001E-6</v>
      </c>
      <c r="I5903">
        <v>-27.14264</v>
      </c>
      <c r="J5903">
        <v>-299.0874</v>
      </c>
      <c r="K5903">
        <v>1.1092409999999999</v>
      </c>
      <c r="L5903">
        <v>-20.179110000000001</v>
      </c>
      <c r="M5903">
        <v>-9.181541E-2</v>
      </c>
      <c r="N5903">
        <v>0</v>
      </c>
      <c r="O5903">
        <v>-0.99569470000000004</v>
      </c>
      <c r="P5903">
        <v>-4.994315E-3</v>
      </c>
      <c r="Q5903">
        <v>3.9491709999999999E-2</v>
      </c>
      <c r="R5903">
        <v>-0.99920770000000003</v>
      </c>
      <c r="S5903">
        <v>0.88674929999999996</v>
      </c>
      <c r="T5903">
        <v>-0.46739259999999999</v>
      </c>
      <c r="U5903">
        <v>-3.0352480000000002</v>
      </c>
      <c r="V5903">
        <v>-8.665979E-2</v>
      </c>
      <c r="W5903">
        <v>5.2366919999999997E-2</v>
      </c>
      <c r="X5903">
        <v>0.99486070000000004</v>
      </c>
      <c r="Y5903">
        <v>-0.36445129999999998</v>
      </c>
      <c r="Z5903">
        <v>0.14306179999999999</v>
      </c>
      <c r="AA5903">
        <v>0.92016770000000003</v>
      </c>
      <c r="AB5903">
        <v>24</v>
      </c>
      <c r="AC5903">
        <v>2.1276999999999999</v>
      </c>
      <c r="AD5903">
        <v>-1.109242922627</v>
      </c>
      <c r="AE5903">
        <v>-6.9635300000000004</v>
      </c>
      <c r="AF5903">
        <v>-2.6955646645982201</v>
      </c>
      <c r="AG5903">
        <v>-1.109242922627</v>
      </c>
      <c r="AH5903">
        <v>6.5858969205223499</v>
      </c>
      <c r="AI5903">
        <v>98.859742156335898</v>
      </c>
      <c r="AJ5903">
        <v>112.258965438095</v>
      </c>
      <c r="AK5903">
        <v>7.2021196164861303</v>
      </c>
      <c r="AL5903">
        <v>86.998223510225301</v>
      </c>
      <c r="AM5903">
        <v>94.978323918308703</v>
      </c>
      <c r="AN5903">
        <v>1.00000001295881</v>
      </c>
    </row>
    <row r="5904" spans="1:40" x14ac:dyDescent="0.25">
      <c r="A5904" t="str">
        <f>"20190312151142563"</f>
        <v>20190312151142563</v>
      </c>
      <c r="B5904" t="str">
        <f>"1552374702557168"</f>
        <v>1552374702557168</v>
      </c>
      <c r="C5904" t="s">
        <v>40</v>
      </c>
      <c r="D5904">
        <v>5.3379190000000003</v>
      </c>
      <c r="E5904">
        <v>0.37229689999999999</v>
      </c>
      <c r="F5904" t="s">
        <v>42</v>
      </c>
      <c r="G5904">
        <v>-296.8648</v>
      </c>
      <c r="H5904" s="1">
        <v>-2.028271E-6</v>
      </c>
      <c r="I5904">
        <v>-26.93563</v>
      </c>
      <c r="J5904">
        <v>-299.12310000000002</v>
      </c>
      <c r="K5904">
        <v>1.109451</v>
      </c>
      <c r="L5904">
        <v>-20.541350000000001</v>
      </c>
      <c r="M5904">
        <v>-9.3565609999999994E-2</v>
      </c>
      <c r="N5904">
        <v>0</v>
      </c>
      <c r="O5904">
        <v>-0.99553159999999896</v>
      </c>
      <c r="P5904">
        <v>8.1494840000000002E-3</v>
      </c>
      <c r="Q5904">
        <v>3.9606519999999999E-2</v>
      </c>
      <c r="R5904">
        <v>-0.99918229999999997</v>
      </c>
      <c r="S5904">
        <v>0.99575809999999998</v>
      </c>
      <c r="T5904">
        <v>-0.49695539999999999</v>
      </c>
      <c r="U5904">
        <v>-3.0270079999999999</v>
      </c>
      <c r="V5904">
        <v>-0.10151830000000001</v>
      </c>
      <c r="W5904">
        <v>5.2444539999999998E-2</v>
      </c>
      <c r="X5904">
        <v>0.99345030000000001</v>
      </c>
      <c r="Y5904">
        <v>-0.39638440000000003</v>
      </c>
      <c r="Z5904">
        <v>0.15042329999999901</v>
      </c>
      <c r="AA5904">
        <v>0.90567779999999998</v>
      </c>
      <c r="AB5904">
        <v>24</v>
      </c>
      <c r="AC5904">
        <v>2.2583000000000202</v>
      </c>
      <c r="AD5904">
        <v>-1.109453028271</v>
      </c>
      <c r="AE5904">
        <v>-6.3942799999999904</v>
      </c>
      <c r="AF5904">
        <v>-2.7725153067878598</v>
      </c>
      <c r="AG5904">
        <v>-1.109453028271</v>
      </c>
      <c r="AH5904">
        <v>5.9944597356761502</v>
      </c>
      <c r="AI5904">
        <v>99.535663063288297</v>
      </c>
      <c r="AJ5904">
        <v>114.821152965983</v>
      </c>
      <c r="AK5904">
        <v>6.6971094265328599</v>
      </c>
      <c r="AL5904">
        <v>86.993769893225803</v>
      </c>
      <c r="AM5904">
        <v>95.834665217845497</v>
      </c>
      <c r="AN5904">
        <v>0.99999994679039395</v>
      </c>
    </row>
    <row r="5905" spans="1:40" x14ac:dyDescent="0.25">
      <c r="A5905" t="str">
        <f>"20190312151142587"</f>
        <v>20190312151142587</v>
      </c>
      <c r="B5905" t="str">
        <f>"1552374702576685"</f>
        <v>1552374702576685</v>
      </c>
      <c r="C5905" t="s">
        <v>40</v>
      </c>
      <c r="D5905">
        <v>5.3636339999999896</v>
      </c>
      <c r="E5905">
        <v>0.37264039999999998</v>
      </c>
      <c r="F5905" t="s">
        <v>42</v>
      </c>
      <c r="G5905">
        <v>-296.86090000000002</v>
      </c>
      <c r="H5905" s="1">
        <v>-1.9494980000000001E-6</v>
      </c>
      <c r="I5905">
        <v>-27.12087</v>
      </c>
      <c r="J5905">
        <v>-299.14769999999999</v>
      </c>
      <c r="K5905">
        <v>1.109594</v>
      </c>
      <c r="L5905">
        <v>-20.78989</v>
      </c>
      <c r="M5905">
        <v>-9.4540890000000002E-2</v>
      </c>
      <c r="N5905">
        <v>0</v>
      </c>
      <c r="O5905">
        <v>-0.99543959999999998</v>
      </c>
      <c r="P5905">
        <v>1.547141E-2</v>
      </c>
      <c r="Q5905">
        <v>4.0006050000000001E-2</v>
      </c>
      <c r="R5905">
        <v>-0.99907979999999996</v>
      </c>
      <c r="S5905">
        <v>1.0363770000000001</v>
      </c>
      <c r="T5905">
        <v>-0.50825429999999905</v>
      </c>
      <c r="U5905">
        <v>-3.01416</v>
      </c>
      <c r="V5905">
        <v>-0.10978839999999999</v>
      </c>
      <c r="W5905">
        <v>5.2808809999999998E-2</v>
      </c>
      <c r="X5905">
        <v>0.99255110000000002</v>
      </c>
      <c r="Y5905">
        <v>-0.40918179999999998</v>
      </c>
      <c r="Z5905">
        <v>0.153566799999999</v>
      </c>
      <c r="AA5905">
        <v>0.89943739999999905</v>
      </c>
      <c r="AB5905">
        <v>24</v>
      </c>
      <c r="AC5905">
        <v>2.2867999999999702</v>
      </c>
      <c r="AD5905">
        <v>-1.1095959494979999</v>
      </c>
      <c r="AE5905">
        <v>-6.3309800000000003</v>
      </c>
      <c r="AF5905">
        <v>-2.79908282839448</v>
      </c>
      <c r="AG5905">
        <v>-1.1095959494979999</v>
      </c>
      <c r="AH5905">
        <v>5.9253977680168202</v>
      </c>
      <c r="AI5905">
        <v>99.610158454845504</v>
      </c>
      <c r="AJ5905">
        <v>115.285456822638</v>
      </c>
      <c r="AK5905">
        <v>6.6465334243178296</v>
      </c>
      <c r="AL5905">
        <v>86.972869880628807</v>
      </c>
      <c r="AM5905">
        <v>96.311961243799999</v>
      </c>
      <c r="AN5905">
        <v>0.99999997464969204</v>
      </c>
    </row>
    <row r="5906" spans="1:40" x14ac:dyDescent="0.25">
      <c r="A5906" t="str">
        <f>"20190312151142609"</f>
        <v>20190312151142609</v>
      </c>
      <c r="B5906" t="str">
        <f>"1552374702606942"</f>
        <v>1552374702606942</v>
      </c>
      <c r="C5906" t="s">
        <v>40</v>
      </c>
      <c r="D5906">
        <v>5.3159039999999997</v>
      </c>
      <c r="E5906">
        <v>0.37362980000000001</v>
      </c>
      <c r="F5906" t="s">
        <v>42</v>
      </c>
      <c r="G5906">
        <v>-296.88490000000002</v>
      </c>
      <c r="H5906" s="1">
        <v>-1.8938599999999999E-6</v>
      </c>
      <c r="I5906">
        <v>-27.240600000000001</v>
      </c>
      <c r="J5906">
        <v>-299.17180000000002</v>
      </c>
      <c r="K5906">
        <v>1.109721</v>
      </c>
      <c r="L5906">
        <v>-21.032679999999999</v>
      </c>
      <c r="M5906">
        <v>-9.5338590000000001E-2</v>
      </c>
      <c r="N5906">
        <v>0</v>
      </c>
      <c r="O5906">
        <v>-0.99536369999999996</v>
      </c>
      <c r="P5906">
        <v>2.1492520000000001E-2</v>
      </c>
      <c r="Q5906">
        <v>4.0101440000000002E-2</v>
      </c>
      <c r="R5906">
        <v>-0.99896470000000004</v>
      </c>
      <c r="S5906">
        <v>1.05484</v>
      </c>
      <c r="T5906">
        <v>-0.51726209999999995</v>
      </c>
      <c r="U5906">
        <v>-3.0071409999999998</v>
      </c>
      <c r="V5906">
        <v>-0.1165817</v>
      </c>
      <c r="W5906">
        <v>5.2869279999999998E-2</v>
      </c>
      <c r="X5906">
        <v>0.99177289999999996</v>
      </c>
      <c r="Y5906">
        <v>-0.4153345</v>
      </c>
      <c r="Z5906">
        <v>0.15615209999999999</v>
      </c>
      <c r="AA5906">
        <v>0.89616620000000002</v>
      </c>
      <c r="AB5906">
        <v>24</v>
      </c>
      <c r="AC5906">
        <v>2.2869000000000002</v>
      </c>
      <c r="AD5906">
        <v>-1.1097228938599999</v>
      </c>
      <c r="AE5906">
        <v>-6.2079199999999997</v>
      </c>
      <c r="AF5906">
        <v>-2.7898857314699002</v>
      </c>
      <c r="AG5906">
        <v>-1.1097228938599999</v>
      </c>
      <c r="AH5906">
        <v>5.7984422274750598</v>
      </c>
      <c r="AI5906">
        <v>99.784927218864098</v>
      </c>
      <c r="AJ5906">
        <v>115.694254809252</v>
      </c>
      <c r="AK5906">
        <v>6.5296921490360003</v>
      </c>
      <c r="AL5906">
        <v>86.969400341924896</v>
      </c>
      <c r="AM5906">
        <v>96.704282973109301</v>
      </c>
      <c r="AN5906">
        <v>0.99999996935850799</v>
      </c>
    </row>
    <row r="5907" spans="1:40" x14ac:dyDescent="0.25">
      <c r="A5907" t="str">
        <f>"20190312151142631"</f>
        <v>20190312151142631</v>
      </c>
      <c r="B5907" t="str">
        <f>"1552374702627438"</f>
        <v>1552374702627438</v>
      </c>
      <c r="C5907" t="s">
        <v>40</v>
      </c>
      <c r="D5907">
        <v>5.3677479999999997</v>
      </c>
      <c r="E5907">
        <v>0.37442510000000001</v>
      </c>
      <c r="F5907" t="s">
        <v>42</v>
      </c>
      <c r="G5907">
        <v>-296.94229999999999</v>
      </c>
      <c r="H5907" s="1">
        <v>-1.84844E-6</v>
      </c>
      <c r="I5907">
        <v>-27.322790000000001</v>
      </c>
      <c r="J5907">
        <v>-299.19490000000002</v>
      </c>
      <c r="K5907">
        <v>1.109831</v>
      </c>
      <c r="L5907">
        <v>-21.266780000000001</v>
      </c>
      <c r="M5907">
        <v>-9.5946190000000001E-2</v>
      </c>
      <c r="N5907">
        <v>0</v>
      </c>
      <c r="O5907">
        <v>-0.995305</v>
      </c>
      <c r="P5907">
        <v>2.7043339999999999E-2</v>
      </c>
      <c r="Q5907">
        <v>4.0117140000000003E-2</v>
      </c>
      <c r="R5907">
        <v>-0.99882879999999996</v>
      </c>
      <c r="S5907">
        <v>1.0638729999999901</v>
      </c>
      <c r="T5907">
        <v>-0.52952909999999997</v>
      </c>
      <c r="U5907">
        <v>-3.001465</v>
      </c>
      <c r="V5907">
        <v>-0.1227128</v>
      </c>
      <c r="W5907">
        <v>5.2850229999999998E-2</v>
      </c>
      <c r="X5907">
        <v>0.99103399999999997</v>
      </c>
      <c r="Y5907">
        <v>-0.41861219999999999</v>
      </c>
      <c r="Z5907">
        <v>0.1598097</v>
      </c>
      <c r="AA5907">
        <v>0.8939937</v>
      </c>
      <c r="AB5907">
        <v>24</v>
      </c>
      <c r="AC5907">
        <v>2.2526000000000201</v>
      </c>
      <c r="AD5907">
        <v>-1.10983284844</v>
      </c>
      <c r="AE5907">
        <v>-6.0560099999999997</v>
      </c>
      <c r="AF5907">
        <v>-2.74239568924229</v>
      </c>
      <c r="AG5907">
        <v>-1.10983284844</v>
      </c>
      <c r="AH5907">
        <v>5.6453657748107604</v>
      </c>
      <c r="AI5907">
        <v>100.028033968157</v>
      </c>
      <c r="AJ5907">
        <v>115.90947145139</v>
      </c>
      <c r="AK5907">
        <v>6.3735875140501399</v>
      </c>
      <c r="AL5907">
        <v>86.970493397911298</v>
      </c>
      <c r="AM5907">
        <v>97.058606950553596</v>
      </c>
      <c r="AN5907">
        <v>0.99999998362544595</v>
      </c>
    </row>
    <row r="5908" spans="1:40" x14ac:dyDescent="0.25">
      <c r="A5908" t="str">
        <f>"20190312151142653"</f>
        <v>20190312151142653</v>
      </c>
      <c r="B5908" t="str">
        <f>"1552374702646959"</f>
        <v>1552374702646959</v>
      </c>
      <c r="C5908" t="s">
        <v>40</v>
      </c>
      <c r="D5908">
        <v>5.38584</v>
      </c>
      <c r="E5908">
        <v>0.37531629999999999</v>
      </c>
      <c r="F5908" t="s">
        <v>42</v>
      </c>
      <c r="G5908">
        <v>-296.95690000000002</v>
      </c>
      <c r="H5908" s="1">
        <v>-1.7773830000000001E-6</v>
      </c>
      <c r="I5908">
        <v>-27.508310000000002</v>
      </c>
      <c r="J5908">
        <v>-299.21879999999999</v>
      </c>
      <c r="K5908">
        <v>1.109936</v>
      </c>
      <c r="L5908">
        <v>-21.507660000000001</v>
      </c>
      <c r="M5908">
        <v>-9.6410159999999995E-2</v>
      </c>
      <c r="N5908">
        <v>0</v>
      </c>
      <c r="O5908">
        <v>-0.99526049999999999</v>
      </c>
      <c r="P5908">
        <v>3.1073150000000001E-2</v>
      </c>
      <c r="Q5908">
        <v>4.0214029999999998E-2</v>
      </c>
      <c r="R5908">
        <v>-0.99870809999999999</v>
      </c>
      <c r="S5908">
        <v>1.074219</v>
      </c>
      <c r="T5908">
        <v>-0.53269929999999999</v>
      </c>
      <c r="U5908">
        <v>-2.995819</v>
      </c>
      <c r="V5908">
        <v>-0.12718679999999999</v>
      </c>
      <c r="W5908">
        <v>5.2912130000000002E-2</v>
      </c>
      <c r="X5908">
        <v>0.99046650000000003</v>
      </c>
      <c r="Y5908">
        <v>-0.42224450000000002</v>
      </c>
      <c r="Z5908">
        <v>0.1607729</v>
      </c>
      <c r="AA5908">
        <v>0.89211079999999998</v>
      </c>
      <c r="AB5908">
        <v>24</v>
      </c>
      <c r="AC5908">
        <v>2.2618999999999598</v>
      </c>
      <c r="AD5908">
        <v>-1.1099377773829999</v>
      </c>
      <c r="AE5908">
        <v>-6.0006499999999896</v>
      </c>
      <c r="AF5908">
        <v>-2.7476208691123398</v>
      </c>
      <c r="AG5908">
        <v>-1.1099377773829999</v>
      </c>
      <c r="AH5908">
        <v>5.5872268484598004</v>
      </c>
      <c r="AI5908">
        <v>100.10775008871499</v>
      </c>
      <c r="AJ5908">
        <v>116.186495389272</v>
      </c>
      <c r="AK5908">
        <v>6.3244356401337196</v>
      </c>
      <c r="AL5908">
        <v>86.966941965445898</v>
      </c>
      <c r="AM5908">
        <v>97.317364429905098</v>
      </c>
      <c r="AN5908">
        <v>1.00000003160881</v>
      </c>
    </row>
    <row r="5909" spans="1:40" x14ac:dyDescent="0.25">
      <c r="A5909" t="str">
        <f>"20190312151142676"</f>
        <v>20190312151142676</v>
      </c>
      <c r="B5909" t="str">
        <f>"1552374702667453"</f>
        <v>1552374702667453</v>
      </c>
      <c r="C5909" t="s">
        <v>40</v>
      </c>
      <c r="D5909">
        <v>5.3687620000000003</v>
      </c>
      <c r="E5909">
        <v>0.37613600000000003</v>
      </c>
      <c r="F5909" t="s">
        <v>42</v>
      </c>
      <c r="G5909">
        <v>-296.98180000000002</v>
      </c>
      <c r="H5909" s="1">
        <v>-1.7030959999999999E-6</v>
      </c>
      <c r="I5909">
        <v>-27.707139999999999</v>
      </c>
      <c r="J5909">
        <v>-299.2423</v>
      </c>
      <c r="K5909">
        <v>1.110031</v>
      </c>
      <c r="L5909">
        <v>-21.74521</v>
      </c>
      <c r="M5909">
        <v>-9.6728969999999997E-2</v>
      </c>
      <c r="N5909">
        <v>0</v>
      </c>
      <c r="O5909">
        <v>-0.99522949999999999</v>
      </c>
      <c r="P5909">
        <v>3.4981369999999998E-2</v>
      </c>
      <c r="Q5909">
        <v>4.0884909999999997E-2</v>
      </c>
      <c r="R5909">
        <v>-0.99855139999999998</v>
      </c>
      <c r="S5909">
        <v>1.07959</v>
      </c>
      <c r="T5909">
        <v>-0.53565289999999999</v>
      </c>
      <c r="U5909">
        <v>-2.9918520000000002</v>
      </c>
      <c r="V5909">
        <v>-0.13139020000000001</v>
      </c>
      <c r="W5909">
        <v>5.3547339999999999E-2</v>
      </c>
      <c r="X5909">
        <v>0.98988350000000003</v>
      </c>
      <c r="Y5909">
        <v>-0.42427340000000002</v>
      </c>
      <c r="Z5909">
        <v>0.16169839999999999</v>
      </c>
      <c r="AA5909">
        <v>0.8909802</v>
      </c>
      <c r="AB5909">
        <v>24</v>
      </c>
      <c r="AC5909">
        <v>2.2604999999999702</v>
      </c>
      <c r="AD5909">
        <v>-1.110032703096</v>
      </c>
      <c r="AE5909">
        <v>-5.9619299999999997</v>
      </c>
      <c r="AF5909">
        <v>-2.74348554163771</v>
      </c>
      <c r="AG5909">
        <v>-1.110032703096</v>
      </c>
      <c r="AH5909">
        <v>5.5471691033620498</v>
      </c>
      <c r="AI5909">
        <v>100.168984898525</v>
      </c>
      <c r="AJ5909">
        <v>116.31580167142501</v>
      </c>
      <c r="AK5909">
        <v>6.2872864242383901</v>
      </c>
      <c r="AL5909">
        <v>86.930495416694598</v>
      </c>
      <c r="AM5909">
        <v>97.560844585760506</v>
      </c>
      <c r="AN5909">
        <v>1.0000000229246799</v>
      </c>
    </row>
    <row r="5910" spans="1:40" x14ac:dyDescent="0.25">
      <c r="A5910" t="str">
        <f>"20190312151142698"</f>
        <v>20190312151142698</v>
      </c>
      <c r="B5910" t="str">
        <f>"1552374702686974"</f>
        <v>1552374702686974</v>
      </c>
      <c r="C5910" t="s">
        <v>40</v>
      </c>
      <c r="D5910">
        <v>5.3628269999999896</v>
      </c>
      <c r="E5910">
        <v>0.37705070000000002</v>
      </c>
      <c r="F5910" t="s">
        <v>42</v>
      </c>
      <c r="G5910">
        <v>-297.00130000000001</v>
      </c>
      <c r="H5910" s="1">
        <v>-1.627621E-6</v>
      </c>
      <c r="I5910">
        <v>-27.913709999999998</v>
      </c>
      <c r="J5910">
        <v>-299.26609999999999</v>
      </c>
      <c r="K5910">
        <v>1.11012</v>
      </c>
      <c r="L5910">
        <v>-21.98611</v>
      </c>
      <c r="M5910">
        <v>-9.6938430000000006E-2</v>
      </c>
      <c r="N5910">
        <v>0</v>
      </c>
      <c r="O5910">
        <v>-0.99520929999999996</v>
      </c>
      <c r="P5910">
        <v>3.9249270000000003E-2</v>
      </c>
      <c r="Q5910">
        <v>4.1418000000000003E-2</v>
      </c>
      <c r="R5910">
        <v>-0.99837089999999995</v>
      </c>
      <c r="S5910">
        <v>1.085693</v>
      </c>
      <c r="T5910">
        <v>-0.53775699999999904</v>
      </c>
      <c r="U5910">
        <v>-2.9883419999999998</v>
      </c>
      <c r="V5910">
        <v>-0.1358396</v>
      </c>
      <c r="W5910">
        <v>5.4044910000000002E-2</v>
      </c>
      <c r="X5910">
        <v>0.98925569999999896</v>
      </c>
      <c r="Y5910">
        <v>-0.4263671</v>
      </c>
      <c r="Z5910">
        <v>0.1623455</v>
      </c>
      <c r="AA5910">
        <v>0.88986239999999905</v>
      </c>
      <c r="AB5910">
        <v>24</v>
      </c>
      <c r="AC5910">
        <v>2.2647999999999802</v>
      </c>
      <c r="AD5910">
        <v>-1.110121627621</v>
      </c>
      <c r="AE5910">
        <v>-5.9275999999999902</v>
      </c>
      <c r="AF5910">
        <v>-2.7447839436016301</v>
      </c>
      <c r="AG5910">
        <v>-1.110121627621</v>
      </c>
      <c r="AH5910">
        <v>5.5114324895111997</v>
      </c>
      <c r="AI5910">
        <v>100.22061082752199</v>
      </c>
      <c r="AJ5910">
        <v>116.474058997743</v>
      </c>
      <c r="AK5910">
        <v>6.2563645203588303</v>
      </c>
      <c r="AL5910">
        <v>86.901945481152595</v>
      </c>
      <c r="AM5910">
        <v>97.818670573404304</v>
      </c>
      <c r="AN5910">
        <v>1.00000004460377</v>
      </c>
    </row>
    <row r="5911" spans="1:40" x14ac:dyDescent="0.25">
      <c r="A5911" t="str">
        <f>"20190312151142722"</f>
        <v>20190312151142722</v>
      </c>
      <c r="B5911" t="str">
        <f>"1552374702717230"</f>
        <v>1552374702717230</v>
      </c>
      <c r="C5911" t="s">
        <v>40</v>
      </c>
      <c r="D5911">
        <v>5.3351759999999997</v>
      </c>
      <c r="E5911">
        <v>0.37846679999999999</v>
      </c>
      <c r="F5911" t="s">
        <v>42</v>
      </c>
      <c r="G5911">
        <v>-297.01080000000002</v>
      </c>
      <c r="H5911" s="1">
        <v>-1.544806E-6</v>
      </c>
      <c r="I5911">
        <v>-28.149640000000002</v>
      </c>
      <c r="J5911">
        <v>-299.2903</v>
      </c>
      <c r="K5911">
        <v>1.11019</v>
      </c>
      <c r="L5911">
        <v>-22.232299999999999</v>
      </c>
      <c r="M5911">
        <v>-9.7057069999999995E-2</v>
      </c>
      <c r="N5911">
        <v>0</v>
      </c>
      <c r="O5911">
        <v>-0.99519769999999996</v>
      </c>
      <c r="P5911">
        <v>4.3831830000000002E-2</v>
      </c>
      <c r="Q5911">
        <v>4.2390230000000001E-2</v>
      </c>
      <c r="R5911">
        <v>-0.99813960000000002</v>
      </c>
      <c r="S5911">
        <v>1.09198</v>
      </c>
      <c r="T5911">
        <v>-0.53749799999999903</v>
      </c>
      <c r="U5911">
        <v>-2.9842529999999998</v>
      </c>
      <c r="V5911">
        <v>-0.14050460000000001</v>
      </c>
      <c r="W5911">
        <v>5.4985270000000003E-2</v>
      </c>
      <c r="X5911">
        <v>0.98855199999999999</v>
      </c>
      <c r="Y5911">
        <v>-0.42851929999999999</v>
      </c>
      <c r="Z5911">
        <v>0.16232650000000001</v>
      </c>
      <c r="AA5911">
        <v>0.88883140000000005</v>
      </c>
      <c r="AB5911">
        <v>24</v>
      </c>
      <c r="AC5911">
        <v>2.2794999999999801</v>
      </c>
      <c r="AD5911">
        <v>-1.110191544806</v>
      </c>
      <c r="AE5911">
        <v>-5.9173400000000003</v>
      </c>
      <c r="AF5911">
        <v>-2.7585489345537599</v>
      </c>
      <c r="AG5911">
        <v>-1.110191544806</v>
      </c>
      <c r="AH5911">
        <v>5.4995695655501597</v>
      </c>
      <c r="AI5911">
        <v>100.228489683494</v>
      </c>
      <c r="AJ5911">
        <v>116.638050162638</v>
      </c>
      <c r="AK5911">
        <v>6.2519903148367098</v>
      </c>
      <c r="AL5911">
        <v>86.847986409097999</v>
      </c>
      <c r="AM5911">
        <v>98.089366052436901</v>
      </c>
      <c r="AN5911">
        <v>0.99999998962106595</v>
      </c>
    </row>
    <row r="5912" spans="1:40" x14ac:dyDescent="0.25">
      <c r="A5912" t="str">
        <f>"20190312151142743"</f>
        <v>20190312151142743</v>
      </c>
      <c r="B5912" t="str">
        <f>"1552374702736750"</f>
        <v>1552374702736750</v>
      </c>
      <c r="C5912" t="s">
        <v>40</v>
      </c>
      <c r="D5912">
        <v>5.3230829999999996</v>
      </c>
      <c r="E5912">
        <v>0.37924859999999999</v>
      </c>
      <c r="F5912" t="s">
        <v>42</v>
      </c>
      <c r="G5912">
        <v>-297.01920000000001</v>
      </c>
      <c r="H5912" s="1">
        <v>-1.4551630000000001E-6</v>
      </c>
      <c r="I5912">
        <v>-28.406469999999999</v>
      </c>
      <c r="J5912">
        <v>-299.31310000000002</v>
      </c>
      <c r="K5912">
        <v>1.1102320000000001</v>
      </c>
      <c r="L5912">
        <v>-22.465479999999999</v>
      </c>
      <c r="M5912">
        <v>-9.7115549999999995E-2</v>
      </c>
      <c r="N5912">
        <v>0</v>
      </c>
      <c r="O5912">
        <v>-0.99519199999999997</v>
      </c>
      <c r="P5912">
        <v>4.893078E-2</v>
      </c>
      <c r="Q5912">
        <v>4.3451450000000003E-2</v>
      </c>
      <c r="R5912">
        <v>-0.99785670000000004</v>
      </c>
      <c r="S5912">
        <v>1.096222</v>
      </c>
      <c r="T5912">
        <v>-0.53588150000000001</v>
      </c>
      <c r="U5912">
        <v>-2.9802249999999999</v>
      </c>
      <c r="V5912">
        <v>-0.14561489999999999</v>
      </c>
      <c r="W5912">
        <v>5.6022679999999998E-2</v>
      </c>
      <c r="X5912">
        <v>0.98775389999999996</v>
      </c>
      <c r="Y5912">
        <v>-0.43009540000000002</v>
      </c>
      <c r="Z5912">
        <v>0.161948799999999</v>
      </c>
      <c r="AA5912">
        <v>0.88813880000000001</v>
      </c>
      <c r="AB5912">
        <v>24</v>
      </c>
      <c r="AC5912">
        <v>2.2938999999999998</v>
      </c>
      <c r="AD5912">
        <v>-1.110233455163</v>
      </c>
      <c r="AE5912">
        <v>-5.9409900000000002</v>
      </c>
      <c r="AF5912">
        <v>-2.7757051252939098</v>
      </c>
      <c r="AG5912">
        <v>-1.110233455163</v>
      </c>
      <c r="AH5912">
        <v>5.5222786735223401</v>
      </c>
      <c r="AI5912">
        <v>100.183511414246</v>
      </c>
      <c r="AJ5912">
        <v>116.685824132561</v>
      </c>
      <c r="AK5912">
        <v>6.2795476760341398</v>
      </c>
      <c r="AL5912">
        <v>86.788455466332707</v>
      </c>
      <c r="AM5912">
        <v>98.386153392417</v>
      </c>
      <c r="AN5912">
        <v>1.0000000033708001</v>
      </c>
    </row>
    <row r="5913" spans="1:40" x14ac:dyDescent="0.25">
      <c r="A5913" t="str">
        <f>"20190312151142765"</f>
        <v>20190312151142765</v>
      </c>
      <c r="B5913" t="str">
        <f>"1552374702757246"</f>
        <v>1552374702757246</v>
      </c>
      <c r="C5913" t="s">
        <v>40</v>
      </c>
      <c r="D5913">
        <v>5.2773399999999997</v>
      </c>
      <c r="E5913">
        <v>0.38002069999999999</v>
      </c>
      <c r="F5913" t="s">
        <v>42</v>
      </c>
      <c r="G5913">
        <v>-297.00670000000002</v>
      </c>
      <c r="H5913" s="1">
        <v>-1.369724E-6</v>
      </c>
      <c r="I5913">
        <v>-28.667310000000001</v>
      </c>
      <c r="J5913">
        <v>-299.33600000000001</v>
      </c>
      <c r="K5913">
        <v>1.1102430000000001</v>
      </c>
      <c r="L5913">
        <v>-22.699860000000001</v>
      </c>
      <c r="M5913">
        <v>-9.7143960000000001E-2</v>
      </c>
      <c r="N5913">
        <v>0</v>
      </c>
      <c r="O5913">
        <v>-0.9951892</v>
      </c>
      <c r="P5913">
        <v>5.536365E-2</v>
      </c>
      <c r="Q5913">
        <v>4.4170590000000003E-2</v>
      </c>
      <c r="R5913">
        <v>-0.99748899999999996</v>
      </c>
      <c r="S5913">
        <v>1.106506</v>
      </c>
      <c r="T5913">
        <v>-0.53264309999999904</v>
      </c>
      <c r="U5913">
        <v>-2.9753720000000001</v>
      </c>
      <c r="V5913">
        <v>-0.15201129999999999</v>
      </c>
      <c r="W5913">
        <v>5.6723000000000003E-2</v>
      </c>
      <c r="X5913">
        <v>0.98674980000000001</v>
      </c>
      <c r="Y5913">
        <v>-0.43334060000000002</v>
      </c>
      <c r="Z5913">
        <v>0.1610135</v>
      </c>
      <c r="AA5913">
        <v>0.88673029999999997</v>
      </c>
      <c r="AB5913">
        <v>24</v>
      </c>
      <c r="AC5913">
        <v>2.3292999999999799</v>
      </c>
      <c r="AD5913">
        <v>-1.1102443697239901</v>
      </c>
      <c r="AE5913">
        <v>-5.9674499999999897</v>
      </c>
      <c r="AF5913">
        <v>-2.8135175075565102</v>
      </c>
      <c r="AG5913">
        <v>-1.1102443697239901</v>
      </c>
      <c r="AH5913">
        <v>5.54632517432933</v>
      </c>
      <c r="AI5913">
        <v>100.121859908899</v>
      </c>
      <c r="AJ5913">
        <v>116.89758573060899</v>
      </c>
      <c r="AK5913">
        <v>6.3174556797202897</v>
      </c>
      <c r="AL5913">
        <v>86.748266330610505</v>
      </c>
      <c r="AM5913">
        <v>98.757712808677297</v>
      </c>
      <c r="AN5913">
        <v>1.00000005092836</v>
      </c>
    </row>
    <row r="5914" spans="1:40" x14ac:dyDescent="0.25">
      <c r="A5914" t="str">
        <f>"20190312151142787"</f>
        <v>20190312151142787</v>
      </c>
      <c r="B5914" t="str">
        <f>"1552374702776766"</f>
        <v>1552374702776766</v>
      </c>
      <c r="C5914" t="s">
        <v>40</v>
      </c>
      <c r="D5914">
        <v>5.2630549999999996</v>
      </c>
      <c r="E5914">
        <v>0.38072030000000001</v>
      </c>
      <c r="F5914" t="s">
        <v>42</v>
      </c>
      <c r="G5914">
        <v>-297.0009</v>
      </c>
      <c r="H5914" s="1">
        <v>-1.294436E-6</v>
      </c>
      <c r="I5914">
        <v>-28.893070000000002</v>
      </c>
      <c r="J5914">
        <v>-299.35919999999999</v>
      </c>
      <c r="K5914">
        <v>1.110239</v>
      </c>
      <c r="L5914">
        <v>-22.936800000000002</v>
      </c>
      <c r="M5914">
        <v>-9.7168069999999995E-2</v>
      </c>
      <c r="N5914">
        <v>0</v>
      </c>
      <c r="O5914">
        <v>-0.99518700000000004</v>
      </c>
      <c r="P5914">
        <v>6.2107750000000003E-2</v>
      </c>
      <c r="Q5914">
        <v>4.4336889999999997E-2</v>
      </c>
      <c r="R5914">
        <v>-0.99708430000000003</v>
      </c>
      <c r="S5914">
        <v>1.1194459999999999</v>
      </c>
      <c r="T5914">
        <v>-0.53224539999999998</v>
      </c>
      <c r="U5914">
        <v>-2.9689939999999999</v>
      </c>
      <c r="V5914">
        <v>-0.1587075</v>
      </c>
      <c r="W5914">
        <v>5.6875820000000001E-2</v>
      </c>
      <c r="X5914">
        <v>0.98568610000000001</v>
      </c>
      <c r="Y5914">
        <v>-0.43737209999999899</v>
      </c>
      <c r="Z5914">
        <v>0.16092779999999901</v>
      </c>
      <c r="AA5914">
        <v>0.88476440000000001</v>
      </c>
      <c r="AB5914">
        <v>24</v>
      </c>
      <c r="AC5914">
        <v>2.3582999999999799</v>
      </c>
      <c r="AD5914">
        <v>-1.1102402944359999</v>
      </c>
      <c r="AE5914">
        <v>-5.95627</v>
      </c>
      <c r="AF5914">
        <v>-2.8406240243848799</v>
      </c>
      <c r="AG5914">
        <v>-1.1102402944359999</v>
      </c>
      <c r="AH5914">
        <v>5.5327300712123302</v>
      </c>
      <c r="AI5914">
        <v>100.121484834526</v>
      </c>
      <c r="AJ5914">
        <v>117.17695095241</v>
      </c>
      <c r="AK5914">
        <v>6.3176641569649004</v>
      </c>
      <c r="AL5914">
        <v>86.739496093490303</v>
      </c>
      <c r="AM5914">
        <v>99.146815864665598</v>
      </c>
      <c r="AN5914">
        <v>1.00000000859506</v>
      </c>
    </row>
    <row r="5915" spans="1:40" x14ac:dyDescent="0.25">
      <c r="A5915" t="str">
        <f>"20190312151142809"</f>
        <v>20190312151142809</v>
      </c>
      <c r="B5915" t="str">
        <f>"1552374702807021"</f>
        <v>1552374702807021</v>
      </c>
      <c r="C5915" t="s">
        <v>40</v>
      </c>
      <c r="D5915">
        <v>5.2459199999999999</v>
      </c>
      <c r="E5915">
        <v>0.38183349999999999</v>
      </c>
      <c r="F5915" t="s">
        <v>42</v>
      </c>
      <c r="G5915">
        <v>-297.00040000000001</v>
      </c>
      <c r="H5915" s="1">
        <v>-1.2246699999999999E-6</v>
      </c>
      <c r="I5915">
        <v>-29.098490000000002</v>
      </c>
      <c r="J5915">
        <v>-299.38279999999997</v>
      </c>
      <c r="K5915">
        <v>1.1102190000000001</v>
      </c>
      <c r="L5915">
        <v>-23.178100000000001</v>
      </c>
      <c r="M5915">
        <v>-9.7215850000000006E-2</v>
      </c>
      <c r="N5915">
        <v>0</v>
      </c>
      <c r="O5915">
        <v>-0.99518220000000002</v>
      </c>
      <c r="P5915">
        <v>6.8470690000000001E-2</v>
      </c>
      <c r="Q5915">
        <v>4.355784E-2</v>
      </c>
      <c r="R5915">
        <v>-0.99670219999999998</v>
      </c>
      <c r="S5915">
        <v>1.13385</v>
      </c>
      <c r="T5915">
        <v>-0.53368450000000001</v>
      </c>
      <c r="U5915">
        <v>-2.961884</v>
      </c>
      <c r="V5915">
        <v>-0.16504969999999999</v>
      </c>
      <c r="W5915">
        <v>5.6085530000000001E-2</v>
      </c>
      <c r="X5915">
        <v>0.98468929999999999</v>
      </c>
      <c r="Y5915">
        <v>-0.44184079999999898</v>
      </c>
      <c r="Z5915">
        <v>0.16138129999999901</v>
      </c>
      <c r="AA5915">
        <v>0.88245839999999998</v>
      </c>
      <c r="AB5915">
        <v>24</v>
      </c>
      <c r="AC5915">
        <v>2.3823999999999601</v>
      </c>
      <c r="AD5915">
        <v>-1.1102202246699999</v>
      </c>
      <c r="AE5915">
        <v>-5.9203900000000003</v>
      </c>
      <c r="AF5915">
        <v>-2.8601538116484999</v>
      </c>
      <c r="AG5915">
        <v>-1.1102202246699999</v>
      </c>
      <c r="AH5915">
        <v>5.4944290638938202</v>
      </c>
      <c r="AI5915">
        <v>100.161392522857</v>
      </c>
      <c r="AJ5915">
        <v>117.499467349188</v>
      </c>
      <c r="AK5915">
        <v>6.2929976570562101</v>
      </c>
      <c r="AL5915">
        <v>86.784848757398805</v>
      </c>
      <c r="AM5915">
        <v>99.5152378000722</v>
      </c>
      <c r="AN5915">
        <v>1.0000000038399799</v>
      </c>
    </row>
    <row r="5916" spans="1:40" x14ac:dyDescent="0.25">
      <c r="A5916" t="str">
        <f>"20190312151142833"</f>
        <v>20190312151142833</v>
      </c>
      <c r="B5916" t="str">
        <f>"1552374702827517"</f>
        <v>1552374702827517</v>
      </c>
      <c r="C5916" t="s">
        <v>40</v>
      </c>
      <c r="D5916">
        <v>5.1980810000000002</v>
      </c>
      <c r="E5916">
        <v>0.3825886</v>
      </c>
      <c r="F5916" t="s">
        <v>42</v>
      </c>
      <c r="G5916">
        <v>-297.02789999999999</v>
      </c>
      <c r="H5916" s="1">
        <v>-1.161437E-6</v>
      </c>
      <c r="I5916">
        <v>-29.26277</v>
      </c>
      <c r="J5916">
        <v>-299.40660000000003</v>
      </c>
      <c r="K5916">
        <v>1.1102069999999999</v>
      </c>
      <c r="L5916">
        <v>-23.421569999999999</v>
      </c>
      <c r="M5916">
        <v>-9.7293640000000001E-2</v>
      </c>
      <c r="N5916">
        <v>0</v>
      </c>
      <c r="O5916">
        <v>-0.99517429999999996</v>
      </c>
      <c r="P5916">
        <v>7.4381310000000006E-2</v>
      </c>
      <c r="Q5916">
        <v>4.2962599999999997E-2</v>
      </c>
      <c r="R5916">
        <v>-0.99630399999999997</v>
      </c>
      <c r="S5916">
        <v>1.1435850000000001</v>
      </c>
      <c r="T5916">
        <v>-0.53916119999999901</v>
      </c>
      <c r="U5916">
        <v>-2.9549259999999999</v>
      </c>
      <c r="V5916">
        <v>-0.17096910000000001</v>
      </c>
      <c r="W5916">
        <v>5.5481370000000002E-2</v>
      </c>
      <c r="X5916">
        <v>0.98371310000000001</v>
      </c>
      <c r="Y5916">
        <v>-0.44502700000000001</v>
      </c>
      <c r="Z5916">
        <v>0.16310529999999901</v>
      </c>
      <c r="AA5916">
        <v>0.88053819999999905</v>
      </c>
      <c r="AB5916">
        <v>24</v>
      </c>
      <c r="AC5916">
        <v>2.37870000000003</v>
      </c>
      <c r="AD5916">
        <v>-1.1102081614370001</v>
      </c>
      <c r="AE5916">
        <v>-5.84119999999999</v>
      </c>
      <c r="AF5916">
        <v>-2.8475363999525398</v>
      </c>
      <c r="AG5916">
        <v>-1.1102081614370001</v>
      </c>
      <c r="AH5916">
        <v>5.4142648058123397</v>
      </c>
      <c r="AI5916">
        <v>100.28627281009101</v>
      </c>
      <c r="AJ5916">
        <v>117.741328948594</v>
      </c>
      <c r="AK5916">
        <v>6.2173377822211098</v>
      </c>
      <c r="AL5916">
        <v>86.819518673638598</v>
      </c>
      <c r="AM5916">
        <v>99.859506670130003</v>
      </c>
      <c r="AN5916">
        <v>1.0000000393417401</v>
      </c>
    </row>
    <row r="5917" spans="1:40" x14ac:dyDescent="0.25">
      <c r="A5917" t="str">
        <f>"20190312151142856"</f>
        <v>20190312151142856</v>
      </c>
      <c r="B5917" t="str">
        <f>"1552374702847038"</f>
        <v>1552374702847038</v>
      </c>
      <c r="C5917" t="s">
        <v>40</v>
      </c>
      <c r="D5917">
        <v>5.202896</v>
      </c>
      <c r="E5917">
        <v>0.3832969</v>
      </c>
      <c r="F5917" t="s">
        <v>42</v>
      </c>
      <c r="G5917">
        <v>-297.0403</v>
      </c>
      <c r="H5917" s="1">
        <v>-1.089918E-6</v>
      </c>
      <c r="I5917">
        <v>-29.463229999999999</v>
      </c>
      <c r="J5917">
        <v>-299.43119999999999</v>
      </c>
      <c r="K5917">
        <v>1.110193</v>
      </c>
      <c r="L5917">
        <v>-23.672000000000001</v>
      </c>
      <c r="M5917">
        <v>-9.7386050000000002E-2</v>
      </c>
      <c r="N5917">
        <v>0</v>
      </c>
      <c r="O5917">
        <v>-0.99516559999999998</v>
      </c>
      <c r="P5917">
        <v>7.9137509999999994E-2</v>
      </c>
      <c r="Q5917">
        <v>4.248743E-2</v>
      </c>
      <c r="R5917">
        <v>-0.99595789999999995</v>
      </c>
      <c r="S5917">
        <v>1.1547240000000001</v>
      </c>
      <c r="T5917">
        <v>-0.54177109999999995</v>
      </c>
      <c r="U5917">
        <v>-2.9482729999999999</v>
      </c>
      <c r="V5917">
        <v>-0.17575760000000001</v>
      </c>
      <c r="W5917">
        <v>5.5003360000000001E-2</v>
      </c>
      <c r="X5917">
        <v>0.98289570000000004</v>
      </c>
      <c r="Y5917">
        <v>-0.4486098</v>
      </c>
      <c r="Z5917">
        <v>0.16394059999999999</v>
      </c>
      <c r="AA5917">
        <v>0.87856290000000004</v>
      </c>
      <c r="AB5917">
        <v>24</v>
      </c>
      <c r="AC5917">
        <v>2.3908999999999798</v>
      </c>
      <c r="AD5917">
        <v>-1.1101940899180001</v>
      </c>
      <c r="AE5917">
        <v>-5.7912299999999997</v>
      </c>
      <c r="AF5917">
        <v>-2.85395475789716</v>
      </c>
      <c r="AG5917">
        <v>-1.1101940899180001</v>
      </c>
      <c r="AH5917">
        <v>5.36246674382748</v>
      </c>
      <c r="AI5917">
        <v>100.357028002665</v>
      </c>
      <c r="AJ5917">
        <v>118.022324000732</v>
      </c>
      <c r="AK5917">
        <v>6.1752439835255402</v>
      </c>
      <c r="AL5917">
        <v>86.846948485986104</v>
      </c>
      <c r="AM5917">
        <v>100.138257879325</v>
      </c>
      <c r="AN5917">
        <v>1.0000000303237599</v>
      </c>
    </row>
    <row r="5918" spans="1:40" x14ac:dyDescent="0.25">
      <c r="A5918" t="str">
        <f>"20190312151142877"</f>
        <v>20190312151142877</v>
      </c>
      <c r="B5918" t="str">
        <f>"1552374702867535"</f>
        <v>1552374702867535</v>
      </c>
      <c r="C5918" t="s">
        <v>40</v>
      </c>
      <c r="D5918">
        <v>5.1519170000000001</v>
      </c>
      <c r="E5918">
        <v>0.39753529999999998</v>
      </c>
      <c r="F5918" t="s">
        <v>42</v>
      </c>
      <c r="G5918">
        <v>-297.0668</v>
      </c>
      <c r="H5918" s="1">
        <v>-1.017908E-6</v>
      </c>
      <c r="I5918">
        <v>-29.654160000000001</v>
      </c>
      <c r="J5918">
        <v>-299.45339999999999</v>
      </c>
      <c r="K5918">
        <v>1.1101780000000001</v>
      </c>
      <c r="L5918">
        <v>-23.898350000000001</v>
      </c>
      <c r="M5918">
        <v>-9.7468819999999998E-2</v>
      </c>
      <c r="N5918">
        <v>0</v>
      </c>
      <c r="O5918">
        <v>-0.99515750000000003</v>
      </c>
      <c r="P5918">
        <v>8.2434270000000004E-2</v>
      </c>
      <c r="Q5918">
        <v>4.3026200000000001E-2</v>
      </c>
      <c r="R5918">
        <v>-0.99566730000000003</v>
      </c>
      <c r="S5918">
        <v>1.163208</v>
      </c>
      <c r="T5918">
        <v>-0.54618330000000004</v>
      </c>
      <c r="U5918">
        <v>-2.9430540000000001</v>
      </c>
      <c r="V5918">
        <v>-0.1790892</v>
      </c>
      <c r="W5918">
        <v>5.5541840000000002E-2</v>
      </c>
      <c r="X5918">
        <v>0.98226380000000002</v>
      </c>
      <c r="Y5918">
        <v>-0.45131729999999998</v>
      </c>
      <c r="Z5918">
        <v>0.1652942</v>
      </c>
      <c r="AA5918">
        <v>0.87692109999999901</v>
      </c>
      <c r="AB5918">
        <v>24</v>
      </c>
      <c r="AC5918">
        <v>2.3865999999999801</v>
      </c>
      <c r="AD5918">
        <v>-1.110179017908</v>
      </c>
      <c r="AE5918">
        <v>-5.7558099999999897</v>
      </c>
      <c r="AF5918">
        <v>-2.8459478653518402</v>
      </c>
      <c r="AG5918">
        <v>-1.110179017908</v>
      </c>
      <c r="AH5918">
        <v>5.32666800299305</v>
      </c>
      <c r="AI5918">
        <v>100.41619944244</v>
      </c>
      <c r="AJ5918">
        <v>118.114829958927</v>
      </c>
      <c r="AK5918">
        <v>6.1404648617359499</v>
      </c>
      <c r="AL5918">
        <v>86.816048538435894</v>
      </c>
      <c r="AM5918">
        <v>100.332837689172</v>
      </c>
      <c r="AN5918">
        <v>1.00000000516883</v>
      </c>
    </row>
    <row r="5919" spans="1:40" x14ac:dyDescent="0.25">
      <c r="A5919" t="str">
        <f>"20190312151142899"</f>
        <v>20190312151142899</v>
      </c>
      <c r="B5919" t="str">
        <f>"1552374702896813"</f>
        <v>1552374702896813</v>
      </c>
      <c r="C5919" t="s">
        <v>40</v>
      </c>
      <c r="D5919">
        <v>5.1368839999999896</v>
      </c>
      <c r="E5919">
        <v>0.39764539999999998</v>
      </c>
      <c r="F5919" t="s">
        <v>42</v>
      </c>
      <c r="G5919">
        <v>-297.38200000000001</v>
      </c>
      <c r="H5919" s="1">
        <v>-9.315115E-7</v>
      </c>
      <c r="I5919">
        <v>-29.66159</v>
      </c>
      <c r="J5919">
        <v>-299.47629999999998</v>
      </c>
      <c r="K5919">
        <v>1.1101890000000001</v>
      </c>
      <c r="L5919">
        <v>-24.13205</v>
      </c>
      <c r="M5919">
        <v>-9.754351E-2</v>
      </c>
      <c r="N5919">
        <v>0</v>
      </c>
      <c r="O5919">
        <v>-0.99515030000000004</v>
      </c>
      <c r="P5919">
        <v>8.4340769999999995E-2</v>
      </c>
      <c r="Q5919">
        <v>4.4032559999999998E-2</v>
      </c>
      <c r="R5919">
        <v>-0.99546420000000002</v>
      </c>
      <c r="S5919">
        <v>1.060211</v>
      </c>
      <c r="T5919">
        <v>-0.56822799999999996</v>
      </c>
      <c r="U5919">
        <v>-2.9498289999999998</v>
      </c>
      <c r="V5919">
        <v>-0.18103929999999999</v>
      </c>
      <c r="W5919">
        <v>5.6543999999999997E-2</v>
      </c>
      <c r="X5919">
        <v>0.98184910000000003</v>
      </c>
      <c r="Y5919">
        <v>-0.42318509999999998</v>
      </c>
      <c r="Z5919">
        <v>0.17363709999999999</v>
      </c>
      <c r="AA5919">
        <v>0.88924939999999997</v>
      </c>
      <c r="AB5919">
        <v>24</v>
      </c>
      <c r="AC5919">
        <v>2.0942999999999699</v>
      </c>
      <c r="AD5919">
        <v>-1.11018993151149</v>
      </c>
      <c r="AE5919">
        <v>-5.5295399999999999</v>
      </c>
      <c r="AF5919">
        <v>-2.53438021617028</v>
      </c>
      <c r="AG5919">
        <v>-1.11018993151149</v>
      </c>
      <c r="AH5919">
        <v>5.1184237694453998</v>
      </c>
      <c r="AI5919">
        <v>100.999853823354</v>
      </c>
      <c r="AJ5919">
        <v>116.34224681369</v>
      </c>
      <c r="AK5919">
        <v>5.8184075697538198</v>
      </c>
      <c r="AL5919">
        <v>86.758538770273802</v>
      </c>
      <c r="AM5919">
        <v>100.447203036053</v>
      </c>
      <c r="AN5919">
        <v>1.0000000536256399</v>
      </c>
    </row>
    <row r="5920" spans="1:40" x14ac:dyDescent="0.25">
      <c r="A5920" t="str">
        <f>"20190312151142922"</f>
        <v>20190312151142922</v>
      </c>
      <c r="B5920" t="str">
        <f>"1552374702917310"</f>
        <v>1552374702917310</v>
      </c>
      <c r="C5920" t="s">
        <v>40</v>
      </c>
      <c r="D5920">
        <v>5.1588799999999999</v>
      </c>
      <c r="E5920">
        <v>0.39813999999999999</v>
      </c>
      <c r="F5920" t="s">
        <v>42</v>
      </c>
      <c r="G5920">
        <v>-297.39670000000001</v>
      </c>
      <c r="H5920" s="1">
        <v>-8.5127639999999995E-7</v>
      </c>
      <c r="I5920">
        <v>-29.885819999999999</v>
      </c>
      <c r="J5920">
        <v>-299.49959999999999</v>
      </c>
      <c r="K5920">
        <v>1.110217</v>
      </c>
      <c r="L5920">
        <v>-24.368649999999999</v>
      </c>
      <c r="M5920">
        <v>-9.758957E-2</v>
      </c>
      <c r="N5920">
        <v>0</v>
      </c>
      <c r="O5920">
        <v>-0.99514559999999996</v>
      </c>
      <c r="P5920">
        <v>8.6192439999999995E-2</v>
      </c>
      <c r="Q5920">
        <v>4.5955120000000002E-2</v>
      </c>
      <c r="R5920">
        <v>-0.99521800000000005</v>
      </c>
      <c r="S5920">
        <v>1.065704</v>
      </c>
      <c r="T5920">
        <v>-0.56892159999999903</v>
      </c>
      <c r="U5920">
        <v>-2.948547</v>
      </c>
      <c r="V5920">
        <v>-0.1829065</v>
      </c>
      <c r="W5920">
        <v>5.8451999999999997E-2</v>
      </c>
      <c r="X5920">
        <v>0.98139109999999996</v>
      </c>
      <c r="Y5920">
        <v>-0.42480560000000001</v>
      </c>
      <c r="Z5920">
        <v>0.17378779999999999</v>
      </c>
      <c r="AA5920">
        <v>0.88844699999999999</v>
      </c>
      <c r="AB5920">
        <v>24</v>
      </c>
      <c r="AC5920">
        <v>2.1028999999999698</v>
      </c>
      <c r="AD5920">
        <v>-1.1102178512764</v>
      </c>
      <c r="AE5920">
        <v>-5.5171700000000001</v>
      </c>
      <c r="AF5920">
        <v>-2.5414645401198301</v>
      </c>
      <c r="AG5920">
        <v>-1.1102178512764</v>
      </c>
      <c r="AH5920">
        <v>5.10509374614925</v>
      </c>
      <c r="AI5920">
        <v>101.016662756353</v>
      </c>
      <c r="AJ5920">
        <v>116.465460902126</v>
      </c>
      <c r="AK5920">
        <v>5.8097855246946404</v>
      </c>
      <c r="AL5920">
        <v>86.649036932954203</v>
      </c>
      <c r="AM5920">
        <v>100.55735896549101</v>
      </c>
      <c r="AN5920">
        <v>0.99999995760272897</v>
      </c>
    </row>
    <row r="5921" spans="1:40" x14ac:dyDescent="0.25">
      <c r="A5921" t="str">
        <f>"20190312151142943"</f>
        <v>20190312151142943</v>
      </c>
      <c r="B5921" t="str">
        <f>"1552374702936830"</f>
        <v>1552374702936830</v>
      </c>
      <c r="C5921" t="s">
        <v>40</v>
      </c>
      <c r="D5921">
        <v>5.1554669999999998</v>
      </c>
      <c r="E5921">
        <v>0.39814060000000001</v>
      </c>
      <c r="F5921" t="s">
        <v>42</v>
      </c>
      <c r="G5921">
        <v>-297.3852</v>
      </c>
      <c r="H5921" s="1">
        <v>-7.440838E-7</v>
      </c>
      <c r="I5921">
        <v>-30.20984</v>
      </c>
      <c r="J5921">
        <v>-299.52269999999999</v>
      </c>
      <c r="K5921">
        <v>1.110252</v>
      </c>
      <c r="L5921">
        <v>-24.604399999999998</v>
      </c>
      <c r="M5921">
        <v>-9.7587969999999996E-2</v>
      </c>
      <c r="N5921">
        <v>0</v>
      </c>
      <c r="O5921">
        <v>-0.99514590000000003</v>
      </c>
      <c r="P5921">
        <v>8.7233850000000002E-2</v>
      </c>
      <c r="Q5921">
        <v>4.6373659999999997E-2</v>
      </c>
      <c r="R5921">
        <v>-0.99510790000000005</v>
      </c>
      <c r="S5921">
        <v>1.067078</v>
      </c>
      <c r="T5921">
        <v>-0.56029469999999904</v>
      </c>
      <c r="U5921">
        <v>-2.9478759999999999</v>
      </c>
      <c r="V5921">
        <v>-0.1839353</v>
      </c>
      <c r="W5921">
        <v>5.885137E-2</v>
      </c>
      <c r="X5921">
        <v>0.98117489999999996</v>
      </c>
      <c r="Y5921">
        <v>-0.42538930000000003</v>
      </c>
      <c r="Z5921">
        <v>0.17123820000000001</v>
      </c>
      <c r="AA5921">
        <v>0.88866270000000003</v>
      </c>
      <c r="AB5921">
        <v>24</v>
      </c>
      <c r="AC5921">
        <v>2.1374999999999802</v>
      </c>
      <c r="AD5921">
        <v>-1.1102527440837999</v>
      </c>
      <c r="AE5921">
        <v>-5.6054399999999998</v>
      </c>
      <c r="AF5921">
        <v>-2.5857992468106601</v>
      </c>
      <c r="AG5921">
        <v>-1.1102527440837999</v>
      </c>
      <c r="AH5921">
        <v>5.1922340459285898</v>
      </c>
      <c r="AI5921">
        <v>100.835742692842</v>
      </c>
      <c r="AJ5921">
        <v>116.47389430061</v>
      </c>
      <c r="AK5921">
        <v>5.9057864241989098</v>
      </c>
      <c r="AL5921">
        <v>86.626115168253406</v>
      </c>
      <c r="AM5921">
        <v>100.617681201447</v>
      </c>
      <c r="AN5921">
        <v>0.99999993136348597</v>
      </c>
    </row>
    <row r="5922" spans="1:40" x14ac:dyDescent="0.25">
      <c r="A5922" t="str">
        <f>"20190312151142966"</f>
        <v>20190312151142966</v>
      </c>
      <c r="B5922" t="str">
        <f>"1552374702957325"</f>
        <v>1552374702957325</v>
      </c>
      <c r="C5922" t="s">
        <v>40</v>
      </c>
      <c r="D5922">
        <v>5.1351190000000004</v>
      </c>
      <c r="E5922">
        <v>0.39860909999999999</v>
      </c>
      <c r="F5922" t="s">
        <v>42</v>
      </c>
      <c r="G5922">
        <v>-297.428</v>
      </c>
      <c r="H5922" s="1">
        <v>-6.7643819999999902E-7</v>
      </c>
      <c r="I5922">
        <v>-30.375170000000001</v>
      </c>
      <c r="J5922">
        <v>-299.54640000000001</v>
      </c>
      <c r="K5922">
        <v>1.1103160000000001</v>
      </c>
      <c r="L5922">
        <v>-24.84573</v>
      </c>
      <c r="M5922">
        <v>-9.7461880000000001E-2</v>
      </c>
      <c r="N5922">
        <v>0</v>
      </c>
      <c r="O5922">
        <v>-0.99515810000000005</v>
      </c>
      <c r="P5922">
        <v>8.8023480000000001E-2</v>
      </c>
      <c r="Q5922">
        <v>4.6014800000000002E-2</v>
      </c>
      <c r="R5922">
        <v>-0.99505500000000002</v>
      </c>
      <c r="S5922">
        <v>1.069885</v>
      </c>
      <c r="T5922">
        <v>-0.56705499999999998</v>
      </c>
      <c r="U5922">
        <v>-2.9473880000000001</v>
      </c>
      <c r="V5922">
        <v>-0.1846016</v>
      </c>
      <c r="W5922">
        <v>5.8458660000000003E-2</v>
      </c>
      <c r="X5922">
        <v>0.98107330000000004</v>
      </c>
      <c r="Y5922">
        <v>-0.4259501</v>
      </c>
      <c r="Z5922">
        <v>0.1732136</v>
      </c>
      <c r="AA5922">
        <v>0.88801099999999999</v>
      </c>
      <c r="AB5922">
        <v>24</v>
      </c>
      <c r="AC5922">
        <v>2.1183999999999998</v>
      </c>
      <c r="AD5922">
        <v>-1.1103166764382</v>
      </c>
      <c r="AE5922">
        <v>-5.5294400000000001</v>
      </c>
      <c r="AF5922">
        <v>-2.5573491095893099</v>
      </c>
      <c r="AG5922">
        <v>-1.1103166764382</v>
      </c>
      <c r="AH5922">
        <v>5.1167257831748696</v>
      </c>
      <c r="AI5922">
        <v>100.98473544366399</v>
      </c>
      <c r="AJ5922">
        <v>116.55596880126301</v>
      </c>
      <c r="AK5922">
        <v>5.8269820945752402</v>
      </c>
      <c r="AL5922">
        <v>86.648654807553598</v>
      </c>
      <c r="AM5922">
        <v>100.656342460524</v>
      </c>
      <c r="AN5922">
        <v>0.99999999281222196</v>
      </c>
    </row>
    <row r="5923" spans="1:40" x14ac:dyDescent="0.25">
      <c r="A5923" t="str">
        <f>"20190312151142988"</f>
        <v>20190312151142988</v>
      </c>
      <c r="B5923" t="str">
        <f>"1552374702976845"</f>
        <v>1552374702976845</v>
      </c>
      <c r="C5923" t="s">
        <v>40</v>
      </c>
      <c r="D5923">
        <v>5.1261519999999896</v>
      </c>
      <c r="E5923">
        <v>0.39914820000000001</v>
      </c>
      <c r="F5923" t="s">
        <v>42</v>
      </c>
      <c r="G5923">
        <v>-297.45499999999998</v>
      </c>
      <c r="H5923" s="1">
        <v>-4.6367190000000003E-6</v>
      </c>
      <c r="I5923">
        <v>-30.611239999999999</v>
      </c>
      <c r="J5923">
        <v>-299.56950000000001</v>
      </c>
      <c r="K5923">
        <v>1.1104350000000001</v>
      </c>
      <c r="L5923">
        <v>-25.084810000000001</v>
      </c>
      <c r="M5923">
        <v>-9.7130460000000002E-2</v>
      </c>
      <c r="N5923">
        <v>0</v>
      </c>
      <c r="O5923">
        <v>-0.99519069999999998</v>
      </c>
      <c r="P5923">
        <v>8.7684209999999999E-2</v>
      </c>
      <c r="Q5923">
        <v>4.499438E-2</v>
      </c>
      <c r="R5923">
        <v>-0.99513209999999996</v>
      </c>
      <c r="S5923">
        <v>1.068848</v>
      </c>
      <c r="T5923">
        <v>-0.56745480000000004</v>
      </c>
      <c r="U5923">
        <v>-2.9465940000000002</v>
      </c>
      <c r="V5923">
        <v>-0.1839614</v>
      </c>
      <c r="W5923">
        <v>5.7384249999999998E-2</v>
      </c>
      <c r="X5923">
        <v>0.98125700000000005</v>
      </c>
      <c r="Y5923">
        <v>-0.42543809999999899</v>
      </c>
      <c r="Z5923">
        <v>0.17341489999999901</v>
      </c>
      <c r="AA5923">
        <v>0.88821719999999904</v>
      </c>
      <c r="AB5923">
        <v>24</v>
      </c>
      <c r="AC5923">
        <v>2.11450000000002</v>
      </c>
      <c r="AD5923">
        <v>-1.1104396367189999</v>
      </c>
      <c r="AE5923">
        <v>-5.5264300000000004</v>
      </c>
      <c r="AF5923">
        <v>-2.55147023572423</v>
      </c>
      <c r="AG5923">
        <v>-1.1104396367189999</v>
      </c>
      <c r="AH5923">
        <v>5.1147636050960097</v>
      </c>
      <c r="AI5923">
        <v>100.994139016289</v>
      </c>
      <c r="AJ5923">
        <v>116.51204940876799</v>
      </c>
      <c r="AK5923">
        <v>5.8227041215055797</v>
      </c>
      <c r="AL5923">
        <v>86.710317596451205</v>
      </c>
      <c r="AM5923">
        <v>100.618285281993</v>
      </c>
      <c r="AN5923">
        <v>1.0000000244435101</v>
      </c>
    </row>
    <row r="5924" spans="1:40" x14ac:dyDescent="0.25">
      <c r="A5924" t="str">
        <f>"20190312151143011"</f>
        <v>20190312151143011</v>
      </c>
      <c r="B5924" t="str">
        <f>"1552374703007102"</f>
        <v>1552374703007102</v>
      </c>
      <c r="C5924" t="s">
        <v>40</v>
      </c>
      <c r="D5924">
        <v>5.1909199999999904</v>
      </c>
      <c r="E5924">
        <v>0.3990089</v>
      </c>
      <c r="F5924" t="s">
        <v>42</v>
      </c>
      <c r="G5924">
        <v>-297.48570000000001</v>
      </c>
      <c r="H5924" s="1">
        <v>-4.5285330000000002E-6</v>
      </c>
      <c r="I5924">
        <v>-30.850719999999999</v>
      </c>
      <c r="J5924">
        <v>-299.5915</v>
      </c>
      <c r="K5924">
        <v>1.1106009999999999</v>
      </c>
      <c r="L5924">
        <v>-25.315799999999999</v>
      </c>
      <c r="M5924">
        <v>-9.6541470000000004E-2</v>
      </c>
      <c r="N5924">
        <v>0</v>
      </c>
      <c r="O5924">
        <v>-0.99524800000000002</v>
      </c>
      <c r="P5924">
        <v>8.6982619999999997E-2</v>
      </c>
      <c r="Q5924">
        <v>4.3395089999999997E-2</v>
      </c>
      <c r="R5924">
        <v>-0.99526440000000005</v>
      </c>
      <c r="S5924">
        <v>1.0648799999999901</v>
      </c>
      <c r="T5924">
        <v>-0.56745780000000001</v>
      </c>
      <c r="U5924">
        <v>-2.9465029999999999</v>
      </c>
      <c r="V5924">
        <v>-0.18271899999999999</v>
      </c>
      <c r="W5924">
        <v>5.5708939999999998E-2</v>
      </c>
      <c r="X5924">
        <v>0.98158559999999995</v>
      </c>
      <c r="Y5924">
        <v>-0.42384850000000002</v>
      </c>
      <c r="Z5924">
        <v>0.17354249999999999</v>
      </c>
      <c r="AA5924">
        <v>0.88895190000000002</v>
      </c>
      <c r="AB5924">
        <v>24</v>
      </c>
      <c r="AC5924">
        <v>2.1057999999999799</v>
      </c>
      <c r="AD5924">
        <v>-1.1106055285330001</v>
      </c>
      <c r="AE5924">
        <v>-5.5349199999999996</v>
      </c>
      <c r="AF5924">
        <v>-2.5409850223866202</v>
      </c>
      <c r="AG5924">
        <v>-1.1106055285330001</v>
      </c>
      <c r="AH5924">
        <v>5.1254793300163497</v>
      </c>
      <c r="AI5924">
        <v>100.986503860672</v>
      </c>
      <c r="AJ5924">
        <v>116.370171582336</v>
      </c>
      <c r="AK5924">
        <v>5.8275713540398701</v>
      </c>
      <c r="AL5924">
        <v>86.8064595652001</v>
      </c>
      <c r="AM5924">
        <v>100.544736455224</v>
      </c>
      <c r="AN5924">
        <v>1.00000000454214</v>
      </c>
    </row>
    <row r="5925" spans="1:40" x14ac:dyDescent="0.25">
      <c r="A5925" t="str">
        <f>"20190312151143033"</f>
        <v>20190312151143033</v>
      </c>
      <c r="B5925" t="str">
        <f>"1552374703027597"</f>
        <v>1552374703027597</v>
      </c>
      <c r="C5925" t="s">
        <v>40</v>
      </c>
      <c r="D5925">
        <v>5.1725839999999996</v>
      </c>
      <c r="E5925">
        <v>0.39872930000000001</v>
      </c>
      <c r="F5925" t="s">
        <v>42</v>
      </c>
      <c r="G5925">
        <v>-297.54059999999998</v>
      </c>
      <c r="H5925" s="1">
        <v>-4.4599170000000001E-6</v>
      </c>
      <c r="I5925">
        <v>-30.98798</v>
      </c>
      <c r="J5925">
        <v>-299.61410000000001</v>
      </c>
      <c r="K5925">
        <v>1.110846</v>
      </c>
      <c r="L5925">
        <v>-25.558070000000001</v>
      </c>
      <c r="M5925">
        <v>-9.557649E-2</v>
      </c>
      <c r="N5925">
        <v>0</v>
      </c>
      <c r="O5925">
        <v>-0.99534109999999998</v>
      </c>
      <c r="P5925">
        <v>8.6891990000000002E-2</v>
      </c>
      <c r="Q5925">
        <v>4.1539329999999999E-2</v>
      </c>
      <c r="R5925">
        <v>-0.99535149999999994</v>
      </c>
      <c r="S5925">
        <v>1.0653379999999999</v>
      </c>
      <c r="T5925">
        <v>-0.57688490000000003</v>
      </c>
      <c r="U5925">
        <v>-2.9463200000000001</v>
      </c>
      <c r="V5925">
        <v>-0.18171570000000001</v>
      </c>
      <c r="W5925">
        <v>5.3750659999999999E-2</v>
      </c>
      <c r="X5925">
        <v>0.981881</v>
      </c>
      <c r="Y5925">
        <v>-0.42293819999999999</v>
      </c>
      <c r="Z5925">
        <v>0.1763969</v>
      </c>
      <c r="AA5925">
        <v>0.88882359999999905</v>
      </c>
      <c r="AB5925">
        <v>24</v>
      </c>
      <c r="AC5925">
        <v>2.0735000000000201</v>
      </c>
      <c r="AD5925">
        <v>-1.1108504599169999</v>
      </c>
      <c r="AE5925">
        <v>-5.4299099999999996</v>
      </c>
      <c r="AF5925">
        <v>-2.49199570888198</v>
      </c>
      <c r="AG5925">
        <v>-1.1108504599169999</v>
      </c>
      <c r="AH5925">
        <v>5.0233681330640199</v>
      </c>
      <c r="AI5925">
        <v>101.205228531526</v>
      </c>
      <c r="AJ5925">
        <v>116.385119730613</v>
      </c>
      <c r="AK5925">
        <v>5.7164900732588597</v>
      </c>
      <c r="AL5925">
        <v>86.918829209367104</v>
      </c>
      <c r="AM5925">
        <v>100.48503871507999</v>
      </c>
      <c r="AN5925">
        <v>1.00000001361896</v>
      </c>
    </row>
    <row r="5926" spans="1:40" x14ac:dyDescent="0.25">
      <c r="A5926" t="str">
        <f>"20190312151143055"</f>
        <v>20190312151143055</v>
      </c>
      <c r="B5926" t="str">
        <f>"1552374703047118"</f>
        <v>1552374703047118</v>
      </c>
      <c r="C5926" t="s">
        <v>40</v>
      </c>
      <c r="D5926">
        <v>5.1923629999999896</v>
      </c>
      <c r="E5926">
        <v>0.39849869999999998</v>
      </c>
      <c r="F5926" t="s">
        <v>42</v>
      </c>
      <c r="G5926">
        <v>-297.5779</v>
      </c>
      <c r="H5926" s="1">
        <v>-4.3755510000000002E-6</v>
      </c>
      <c r="I5926">
        <v>-31.169180000000001</v>
      </c>
      <c r="J5926">
        <v>-299.63600000000002</v>
      </c>
      <c r="K5926">
        <v>1.1111249999999999</v>
      </c>
      <c r="L5926">
        <v>-25.799499999999998</v>
      </c>
      <c r="M5926">
        <v>-9.4214779999999998E-2</v>
      </c>
      <c r="N5926">
        <v>0</v>
      </c>
      <c r="O5926">
        <v>-0.99547090000000005</v>
      </c>
      <c r="P5926">
        <v>8.7673470000000003E-2</v>
      </c>
      <c r="Q5926">
        <v>3.9645930000000003E-2</v>
      </c>
      <c r="R5926">
        <v>-0.99536029999999998</v>
      </c>
      <c r="S5926">
        <v>1.068695</v>
      </c>
      <c r="T5926">
        <v>-0.5830398</v>
      </c>
      <c r="U5926">
        <v>-2.9450379999999998</v>
      </c>
      <c r="V5926">
        <v>-0.18118339999999999</v>
      </c>
      <c r="W5926">
        <v>5.1741210000000003E-2</v>
      </c>
      <c r="X5926">
        <v>0.9820873</v>
      </c>
      <c r="Y5926">
        <v>-0.42260399999999998</v>
      </c>
      <c r="Z5926">
        <v>0.17830170000000001</v>
      </c>
      <c r="AA5926">
        <v>0.88860249999999996</v>
      </c>
      <c r="AB5926">
        <v>24</v>
      </c>
      <c r="AC5926">
        <v>2.0580999999999601</v>
      </c>
      <c r="AD5926">
        <v>-1.1111293755510001</v>
      </c>
      <c r="AE5926">
        <v>-5.36967999999999</v>
      </c>
      <c r="AF5926">
        <v>-2.4629365062451098</v>
      </c>
      <c r="AG5926">
        <v>-1.1111293755510001</v>
      </c>
      <c r="AH5926">
        <v>4.9664543274993598</v>
      </c>
      <c r="AI5926">
        <v>101.333834546693</v>
      </c>
      <c r="AJ5926">
        <v>116.37747786196699</v>
      </c>
      <c r="AK5926">
        <v>5.6538777233102904</v>
      </c>
      <c r="AL5926">
        <v>87.034122746227894</v>
      </c>
      <c r="AM5926">
        <v>100.452855301699</v>
      </c>
      <c r="AN5926">
        <v>1.0000000210345501</v>
      </c>
    </row>
    <row r="5927" spans="1:40" x14ac:dyDescent="0.25">
      <c r="A5927" t="str">
        <f>"20190312151143077"</f>
        <v>20190312151143077</v>
      </c>
      <c r="B5927" t="str">
        <f>"1552374703067614"</f>
        <v>1552374703067614</v>
      </c>
      <c r="C5927" t="s">
        <v>40</v>
      </c>
      <c r="D5927">
        <v>5.4952030000000001</v>
      </c>
      <c r="E5927">
        <v>0.3984953</v>
      </c>
      <c r="F5927" t="s">
        <v>42</v>
      </c>
      <c r="G5927">
        <v>-297.62189999999998</v>
      </c>
      <c r="H5927" s="1">
        <v>-4.3013300000000002E-6</v>
      </c>
      <c r="I5927">
        <v>-31.324000000000002</v>
      </c>
      <c r="J5927">
        <v>-299.6558</v>
      </c>
      <c r="K5927">
        <v>1.1113959999999901</v>
      </c>
      <c r="L5927">
        <v>-26.026949999999999</v>
      </c>
      <c r="M5927">
        <v>-9.2538419999999996E-2</v>
      </c>
      <c r="N5927">
        <v>0</v>
      </c>
      <c r="O5927">
        <v>-0.99562790000000001</v>
      </c>
      <c r="P5927">
        <v>8.9384939999999996E-2</v>
      </c>
      <c r="Q5927">
        <v>3.8753919999999997E-2</v>
      </c>
      <c r="R5927">
        <v>-0.99524299999999999</v>
      </c>
      <c r="S5927">
        <v>1.072937</v>
      </c>
      <c r="T5927">
        <v>-0.59192939999999905</v>
      </c>
      <c r="U5927">
        <v>-2.9430540000000001</v>
      </c>
      <c r="V5927">
        <v>-0.1812532</v>
      </c>
      <c r="W5927">
        <v>5.0735919999999997E-2</v>
      </c>
      <c r="X5927">
        <v>0.98212679999999997</v>
      </c>
      <c r="Y5927">
        <v>-0.42223260000000001</v>
      </c>
      <c r="Z5927">
        <v>0.18105180000000001</v>
      </c>
      <c r="AA5927">
        <v>0.88822289999999904</v>
      </c>
      <c r="AB5927">
        <v>24</v>
      </c>
      <c r="AC5927">
        <v>2.0339000000000098</v>
      </c>
      <c r="AD5927">
        <v>-1.11140030132999</v>
      </c>
      <c r="AE5927">
        <v>-5.2970499999999996</v>
      </c>
      <c r="AF5927">
        <v>-2.4224519515035001</v>
      </c>
      <c r="AG5927">
        <v>-1.11140030132999</v>
      </c>
      <c r="AH5927">
        <v>4.8981653763394899</v>
      </c>
      <c r="AI5927">
        <v>101.496413841934</v>
      </c>
      <c r="AJ5927">
        <v>116.31530139604099</v>
      </c>
      <c r="AK5927">
        <v>5.5763346511046601</v>
      </c>
      <c r="AL5927">
        <v>87.091797184588302</v>
      </c>
      <c r="AM5927">
        <v>100.456382118842</v>
      </c>
      <c r="AN5927">
        <v>0.99999995368336203</v>
      </c>
    </row>
    <row r="5928" spans="1:40" x14ac:dyDescent="0.25">
      <c r="A5928" t="str">
        <f>"20190312151143100"</f>
        <v>20190312151143100</v>
      </c>
      <c r="B5928" t="str">
        <f>"1552374703096894"</f>
        <v>1552374703096894</v>
      </c>
      <c r="C5928" t="s">
        <v>40</v>
      </c>
      <c r="D5928">
        <v>5.6032219999999997</v>
      </c>
      <c r="E5928">
        <v>0.43969540000000001</v>
      </c>
      <c r="F5928" t="s">
        <v>42</v>
      </c>
      <c r="G5928">
        <v>-297.63830000000002</v>
      </c>
      <c r="H5928" s="1">
        <v>-4.2100210000000003E-6</v>
      </c>
      <c r="I5928">
        <v>-31.530080000000002</v>
      </c>
      <c r="J5928">
        <v>-299.6755</v>
      </c>
      <c r="K5928">
        <v>1.111656</v>
      </c>
      <c r="L5928">
        <v>-26.263850000000001</v>
      </c>
      <c r="M5928">
        <v>-9.037539E-2</v>
      </c>
      <c r="N5928">
        <v>0</v>
      </c>
      <c r="O5928">
        <v>-0.99582649999999995</v>
      </c>
      <c r="P5928">
        <v>9.1316739999999993E-2</v>
      </c>
      <c r="Q5928">
        <v>3.9098910000000001E-2</v>
      </c>
      <c r="R5928">
        <v>-0.9950542</v>
      </c>
      <c r="S5928">
        <v>1.0780639999999999</v>
      </c>
      <c r="T5928">
        <v>-0.59388549999999996</v>
      </c>
      <c r="U5928">
        <v>-2.9406430000000001</v>
      </c>
      <c r="V5928">
        <v>-0.181059</v>
      </c>
      <c r="W5928">
        <v>5.0973560000000001E-2</v>
      </c>
      <c r="X5928">
        <v>0.98215039999999998</v>
      </c>
      <c r="Y5928">
        <v>-0.42182500000000001</v>
      </c>
      <c r="Z5928">
        <v>0.1817878</v>
      </c>
      <c r="AA5928">
        <v>0.88826620000000001</v>
      </c>
      <c r="AB5928">
        <v>24</v>
      </c>
      <c r="AC5928">
        <v>2.0371999999999799</v>
      </c>
      <c r="AD5928">
        <v>-1.111660210021</v>
      </c>
      <c r="AE5928">
        <v>-5.2662299999999904</v>
      </c>
      <c r="AF5928">
        <v>-2.4113740260128602</v>
      </c>
      <c r="AG5928">
        <v>-1.111660210021</v>
      </c>
      <c r="AH5928">
        <v>4.8717219312469098</v>
      </c>
      <c r="AI5928">
        <v>101.55793579411301</v>
      </c>
      <c r="AJ5928">
        <v>116.334197747003</v>
      </c>
      <c r="AK5928">
        <v>5.5483499971852499</v>
      </c>
      <c r="AL5928">
        <v>87.078164017020001</v>
      </c>
      <c r="AM5928">
        <v>100.44518009261201</v>
      </c>
      <c r="AN5928">
        <v>1.0000000367601101</v>
      </c>
    </row>
    <row r="5929" spans="1:40" x14ac:dyDescent="0.25">
      <c r="A5929" t="str">
        <f>"20190312151143122"</f>
        <v>20190312151143122</v>
      </c>
      <c r="B5929" t="str">
        <f>"1552374703117389"</f>
        <v>1552374703117389</v>
      </c>
      <c r="C5929" t="s">
        <v>40</v>
      </c>
      <c r="D5929">
        <v>5.3641079999999999</v>
      </c>
      <c r="E5929">
        <v>0.45011590000000001</v>
      </c>
      <c r="F5929" t="s">
        <v>42</v>
      </c>
      <c r="G5929">
        <v>-297.92669999999998</v>
      </c>
      <c r="H5929" s="1">
        <v>-3.4765940000000001E-6</v>
      </c>
      <c r="I5929">
        <v>-33.120469999999997</v>
      </c>
      <c r="J5929">
        <v>-299.6943</v>
      </c>
      <c r="K5929">
        <v>1.1118749999999999</v>
      </c>
      <c r="L5929">
        <v>-26.499849999999999</v>
      </c>
      <c r="M5929">
        <v>-8.7874679999999997E-2</v>
      </c>
      <c r="N5929">
        <v>0</v>
      </c>
      <c r="O5929">
        <v>-0.99605010000000005</v>
      </c>
      <c r="P5929">
        <v>9.397672E-2</v>
      </c>
      <c r="Q5929">
        <v>3.8807210000000002E-2</v>
      </c>
      <c r="R5929">
        <v>-0.99481790000000003</v>
      </c>
      <c r="S5929">
        <v>0.75610350000000004</v>
      </c>
      <c r="T5929">
        <v>-0.48061930000000003</v>
      </c>
      <c r="U5929">
        <v>-2.9644170000000001</v>
      </c>
      <c r="V5929">
        <v>-0.18124660000000001</v>
      </c>
      <c r="W5929">
        <v>5.0590200000000002E-2</v>
      </c>
      <c r="X5929">
        <v>0.9821356</v>
      </c>
      <c r="Y5929">
        <v>-0.32842329999999997</v>
      </c>
      <c r="Z5929">
        <v>0.15228520000000001</v>
      </c>
      <c r="AA5929">
        <v>0.93217340000000004</v>
      </c>
      <c r="AB5929">
        <v>24</v>
      </c>
      <c r="AC5929">
        <v>1.7676000000000101</v>
      </c>
      <c r="AD5929">
        <v>-1.111878476594</v>
      </c>
      <c r="AE5929">
        <v>-6.6206199999999997</v>
      </c>
      <c r="AF5929">
        <v>-2.2824999179790701</v>
      </c>
      <c r="AG5929">
        <v>-1.111878476594</v>
      </c>
      <c r="AH5929">
        <v>6.2744714698789901</v>
      </c>
      <c r="AI5929">
        <v>99.454717437562195</v>
      </c>
      <c r="AJ5929">
        <v>109.990154539416</v>
      </c>
      <c r="AK5929">
        <v>6.7686831694660397</v>
      </c>
      <c r="AL5929">
        <v>87.100157247118801</v>
      </c>
      <c r="AM5929">
        <v>100.45591814618901</v>
      </c>
      <c r="AN5929">
        <v>1.0000000175674699</v>
      </c>
    </row>
    <row r="5930" spans="1:40" x14ac:dyDescent="0.25">
      <c r="A5930" t="str">
        <f>"20190312151143144"</f>
        <v>20190312151143144</v>
      </c>
      <c r="B5930" t="str">
        <f>"1552374703136910"</f>
        <v>1552374703136910</v>
      </c>
      <c r="C5930" t="s">
        <v>40</v>
      </c>
      <c r="D5930">
        <v>5.2709510000000002</v>
      </c>
      <c r="E5930">
        <v>0.46002949999999998</v>
      </c>
      <c r="F5930" t="s">
        <v>42</v>
      </c>
      <c r="G5930">
        <v>-297.96690000000001</v>
      </c>
      <c r="H5930" s="1">
        <v>-3.0828579999999999E-6</v>
      </c>
      <c r="I5930">
        <v>-34.021630000000002</v>
      </c>
      <c r="J5930">
        <v>-299.71190000000001</v>
      </c>
      <c r="K5930">
        <v>1.112028</v>
      </c>
      <c r="L5930">
        <v>-26.732790000000001</v>
      </c>
      <c r="M5930">
        <v>-8.5157540000000004E-2</v>
      </c>
      <c r="N5930">
        <v>0</v>
      </c>
      <c r="O5930">
        <v>-0.99628620000000001</v>
      </c>
      <c r="P5930">
        <v>9.7620819999999997E-2</v>
      </c>
      <c r="Q5930">
        <v>3.8004320000000001E-2</v>
      </c>
      <c r="R5930">
        <v>-0.99449829999999995</v>
      </c>
      <c r="S5930">
        <v>0.68167109999999997</v>
      </c>
      <c r="T5930">
        <v>-0.43878509999999998</v>
      </c>
      <c r="U5930">
        <v>-2.968353</v>
      </c>
      <c r="V5930">
        <v>-0.18218599999999999</v>
      </c>
      <c r="W5930">
        <v>4.9714389999999997E-2</v>
      </c>
      <c r="X5930">
        <v>0.9820065</v>
      </c>
      <c r="Y5930">
        <v>-0.30377209999999899</v>
      </c>
      <c r="Z5930">
        <v>0.1401867</v>
      </c>
      <c r="AA5930">
        <v>0.94237479999999996</v>
      </c>
      <c r="AB5930">
        <v>24</v>
      </c>
      <c r="AC5930">
        <v>1.7450000000000001</v>
      </c>
      <c r="AD5930">
        <v>-1.112031082858</v>
      </c>
      <c r="AE5930">
        <v>-7.2888399999999898</v>
      </c>
      <c r="AF5930">
        <v>-2.3085874180927899</v>
      </c>
      <c r="AG5930">
        <v>-1.112031082858</v>
      </c>
      <c r="AH5930">
        <v>6.9605135821339399</v>
      </c>
      <c r="AI5930">
        <v>98.6226313166853</v>
      </c>
      <c r="AJ5930">
        <v>108.34908888657</v>
      </c>
      <c r="AK5930">
        <v>7.4172055602692897</v>
      </c>
      <c r="AL5930">
        <v>87.1504006776225</v>
      </c>
      <c r="AM5930">
        <v>100.51025762892699</v>
      </c>
      <c r="AN5930">
        <v>1.0000000126056601</v>
      </c>
    </row>
    <row r="5931" spans="1:40" x14ac:dyDescent="0.25">
      <c r="A5931" t="str">
        <f>"20190312151143167"</f>
        <v>20190312151143167</v>
      </c>
      <c r="B5931" t="str">
        <f>"1552374703157406"</f>
        <v>1552374703157406</v>
      </c>
      <c r="C5931" t="s">
        <v>40</v>
      </c>
      <c r="D5931">
        <v>5.3198780000000001</v>
      </c>
      <c r="E5931">
        <v>0.46461669999999999</v>
      </c>
      <c r="F5931" t="s">
        <v>42</v>
      </c>
      <c r="G5931">
        <v>-298.12490000000003</v>
      </c>
      <c r="H5931" s="1">
        <v>-2.8852459999999999E-6</v>
      </c>
      <c r="I5931">
        <v>-34.416939999999997</v>
      </c>
      <c r="J5931">
        <v>-299.7294</v>
      </c>
      <c r="K5931">
        <v>1.112147</v>
      </c>
      <c r="L5931">
        <v>-26.976199999999999</v>
      </c>
      <c r="M5931">
        <v>-8.211765E-2</v>
      </c>
      <c r="N5931">
        <v>0</v>
      </c>
      <c r="O5931">
        <v>-0.99654109999999996</v>
      </c>
      <c r="P5931">
        <v>0.1014302</v>
      </c>
      <c r="Q5931">
        <v>3.7136669999999997E-2</v>
      </c>
      <c r="R5931">
        <v>-0.99414919999999996</v>
      </c>
      <c r="S5931">
        <v>0.61395259999999996</v>
      </c>
      <c r="T5931">
        <v>-0.43021290000000001</v>
      </c>
      <c r="U5931">
        <v>-2.9727779999999999</v>
      </c>
      <c r="V5931">
        <v>-0.1829664</v>
      </c>
      <c r="W5931">
        <v>4.8792349999999998E-2</v>
      </c>
      <c r="X5931">
        <v>0.98190759999999999</v>
      </c>
      <c r="Y5931">
        <v>-0.28003660000000002</v>
      </c>
      <c r="Z5931">
        <v>0.13820009999999999</v>
      </c>
      <c r="AA5931">
        <v>0.94998959999999999</v>
      </c>
      <c r="AB5931">
        <v>24</v>
      </c>
      <c r="AC5931">
        <v>1.6044999999999701</v>
      </c>
      <c r="AD5931">
        <v>-1.1121498852459999</v>
      </c>
      <c r="AE5931">
        <v>-7.4407399999999999</v>
      </c>
      <c r="AF5931">
        <v>-2.1639500739738202</v>
      </c>
      <c r="AG5931">
        <v>-1.1121498852459999</v>
      </c>
      <c r="AH5931">
        <v>7.1315927749258998</v>
      </c>
      <c r="AI5931">
        <v>98.487522712284701</v>
      </c>
      <c r="AJ5931">
        <v>106.87945135029599</v>
      </c>
      <c r="AK5931">
        <v>7.5351956044471198</v>
      </c>
      <c r="AL5931">
        <v>87.203293744393903</v>
      </c>
      <c r="AM5931">
        <v>100.555308370738</v>
      </c>
      <c r="AN5931">
        <v>0.99999996594261997</v>
      </c>
    </row>
    <row r="5932" spans="1:40" x14ac:dyDescent="0.25">
      <c r="A5932" t="str">
        <f>"20190312151143189"</f>
        <v>20190312151143189</v>
      </c>
      <c r="B5932" t="str">
        <f>"1552374703176926"</f>
        <v>1552374703176926</v>
      </c>
      <c r="C5932" t="s">
        <v>40</v>
      </c>
      <c r="D5932">
        <v>5.2673189999999996</v>
      </c>
      <c r="E5932">
        <v>0.46666370000000001</v>
      </c>
      <c r="F5932" t="s">
        <v>42</v>
      </c>
      <c r="G5932">
        <v>-298.25319999999999</v>
      </c>
      <c r="H5932" s="1">
        <v>-2.8601509999999999E-6</v>
      </c>
      <c r="I5932">
        <v>-34.422420000000002</v>
      </c>
      <c r="J5932">
        <v>-299.74489999999997</v>
      </c>
      <c r="K5932">
        <v>1.1122179999999999</v>
      </c>
      <c r="L5932">
        <v>-27.203189999999999</v>
      </c>
      <c r="M5932">
        <v>-7.9150689999999996E-2</v>
      </c>
      <c r="N5932">
        <v>0</v>
      </c>
      <c r="O5932">
        <v>-0.99678120000000003</v>
      </c>
      <c r="P5932">
        <v>0.104744699999999</v>
      </c>
      <c r="Q5932">
        <v>3.5569499999999997E-2</v>
      </c>
      <c r="R5932">
        <v>-0.99386280000000005</v>
      </c>
      <c r="S5932">
        <v>0.58963009999999905</v>
      </c>
      <c r="T5932">
        <v>-0.44420310000000002</v>
      </c>
      <c r="U5932">
        <v>-2.974091</v>
      </c>
      <c r="V5932">
        <v>-0.18332419999999999</v>
      </c>
      <c r="W5932">
        <v>4.7191080000000003E-2</v>
      </c>
      <c r="X5932">
        <v>0.98191919999999999</v>
      </c>
      <c r="Y5932">
        <v>-0.2694879</v>
      </c>
      <c r="Z5932">
        <v>0.14292489999999999</v>
      </c>
      <c r="AA5932">
        <v>0.95233860000000004</v>
      </c>
      <c r="AB5932">
        <v>24</v>
      </c>
      <c r="AC5932">
        <v>1.49169999999998</v>
      </c>
      <c r="AD5932">
        <v>-1.112220860151</v>
      </c>
      <c r="AE5932">
        <v>-7.2192299999999996</v>
      </c>
      <c r="AF5932">
        <v>-2.0126571900307799</v>
      </c>
      <c r="AG5932">
        <v>-1.112220860151</v>
      </c>
      <c r="AH5932">
        <v>6.9209520076615796</v>
      </c>
      <c r="AI5932">
        <v>98.772175298014204</v>
      </c>
      <c r="AJ5932">
        <v>106.21476926827</v>
      </c>
      <c r="AK5932">
        <v>7.2929692786061002</v>
      </c>
      <c r="AL5932">
        <v>87.295145802675606</v>
      </c>
      <c r="AM5932">
        <v>100.575362495522</v>
      </c>
      <c r="AN5932">
        <v>1.0000000378329199</v>
      </c>
    </row>
    <row r="5933" spans="1:40" x14ac:dyDescent="0.25">
      <c r="A5933" t="str">
        <f>"20190312151143212"</f>
        <v>20190312151143212</v>
      </c>
      <c r="B5933" t="str">
        <f>"1552374703207185"</f>
        <v>1552374703207185</v>
      </c>
      <c r="C5933" t="s">
        <v>40</v>
      </c>
      <c r="D5933">
        <v>5.6771739999999999</v>
      </c>
      <c r="E5933">
        <v>0.4680667</v>
      </c>
      <c r="F5933" t="s">
        <v>42</v>
      </c>
      <c r="G5933">
        <v>-298.28620000000001</v>
      </c>
      <c r="H5933" s="1">
        <v>-2.7674840000000002E-6</v>
      </c>
      <c r="I5933">
        <v>-34.624789999999997</v>
      </c>
      <c r="J5933">
        <v>-299.76069999999999</v>
      </c>
      <c r="K5933">
        <v>1.112271</v>
      </c>
      <c r="L5933">
        <v>-27.448029999999999</v>
      </c>
      <c r="M5933">
        <v>-7.5860049999999998E-2</v>
      </c>
      <c r="N5933">
        <v>0</v>
      </c>
      <c r="O5933">
        <v>-0.9970369</v>
      </c>
      <c r="P5933">
        <v>0.10903549999999999</v>
      </c>
      <c r="Q5933">
        <v>3.4580220000000002E-2</v>
      </c>
      <c r="R5933">
        <v>-0.99343649999999994</v>
      </c>
      <c r="S5933">
        <v>0.58432010000000001</v>
      </c>
      <c r="T5933">
        <v>-0.4455268</v>
      </c>
      <c r="U5933">
        <v>-2.9729000000000001</v>
      </c>
      <c r="V5933">
        <v>-0.18432780000000001</v>
      </c>
      <c r="W5933">
        <v>4.617653E-2</v>
      </c>
      <c r="X5933">
        <v>0.98177950000000003</v>
      </c>
      <c r="Y5933">
        <v>-0.26472659999999998</v>
      </c>
      <c r="Z5933">
        <v>0.14357429999999999</v>
      </c>
      <c r="AA5933">
        <v>0.95357550000000002</v>
      </c>
      <c r="AB5933">
        <v>24</v>
      </c>
      <c r="AC5933">
        <v>1.4744999999999699</v>
      </c>
      <c r="AD5933">
        <v>-1.112273767484</v>
      </c>
      <c r="AE5933">
        <v>-7.1767599999999998</v>
      </c>
      <c r="AF5933">
        <v>-1.9693372401101299</v>
      </c>
      <c r="AG5933">
        <v>-1.112273767484</v>
      </c>
      <c r="AH5933">
        <v>6.8855226207925302</v>
      </c>
      <c r="AI5933">
        <v>98.828104821964402</v>
      </c>
      <c r="AJ5933">
        <v>105.961127703494</v>
      </c>
      <c r="AK5933">
        <v>7.2474729292742603</v>
      </c>
      <c r="AL5933">
        <v>87.353338577835103</v>
      </c>
      <c r="AM5933">
        <v>100.63341877356</v>
      </c>
      <c r="AN5933">
        <v>0.99999999819796503</v>
      </c>
    </row>
    <row r="5934" spans="1:40" x14ac:dyDescent="0.25">
      <c r="A5934" t="str">
        <f>"20190312151143235"</f>
        <v>20190312151143235</v>
      </c>
      <c r="B5934" t="str">
        <f>"1552374703227678"</f>
        <v>1552374703227678</v>
      </c>
      <c r="C5934" t="s">
        <v>40</v>
      </c>
      <c r="D5934">
        <v>5.2816890000000001</v>
      </c>
      <c r="E5934">
        <v>0.46896589999999999</v>
      </c>
      <c r="F5934" t="s">
        <v>42</v>
      </c>
      <c r="G5934">
        <v>-298.2885</v>
      </c>
      <c r="H5934" s="1">
        <v>-2.6495089999999998E-6</v>
      </c>
      <c r="I5934">
        <v>-34.89884</v>
      </c>
      <c r="J5934">
        <v>-299.77539999999999</v>
      </c>
      <c r="K5934">
        <v>1.1123019999999999</v>
      </c>
      <c r="L5934">
        <v>-27.68796</v>
      </c>
      <c r="M5934">
        <v>-7.2592589999999999E-2</v>
      </c>
      <c r="N5934">
        <v>0</v>
      </c>
      <c r="O5934">
        <v>-0.9972801</v>
      </c>
      <c r="P5934">
        <v>0.1126067</v>
      </c>
      <c r="Q5934">
        <v>3.3505479999999997E-2</v>
      </c>
      <c r="R5934">
        <v>-0.99307529999999999</v>
      </c>
      <c r="S5934">
        <v>0.58703609999999995</v>
      </c>
      <c r="T5934">
        <v>-0.44349149999999998</v>
      </c>
      <c r="U5934">
        <v>-2.970825</v>
      </c>
      <c r="V5934">
        <v>-0.18464120000000001</v>
      </c>
      <c r="W5934">
        <v>4.509809E-2</v>
      </c>
      <c r="X5934">
        <v>0.98177080000000005</v>
      </c>
      <c r="Y5934">
        <v>-0.26254759999999999</v>
      </c>
      <c r="Z5934">
        <v>0.143113299999999</v>
      </c>
      <c r="AA5934">
        <v>0.95424699999999996</v>
      </c>
      <c r="AB5934">
        <v>24</v>
      </c>
      <c r="AC5934">
        <v>1.4868999999999899</v>
      </c>
      <c r="AD5934">
        <v>-1.1123046495090001</v>
      </c>
      <c r="AE5934">
        <v>-7.2108800000000004</v>
      </c>
      <c r="AF5934">
        <v>-1.9617021069093099</v>
      </c>
      <c r="AG5934">
        <v>-1.1123046495090001</v>
      </c>
      <c r="AH5934">
        <v>6.9258321692853499</v>
      </c>
      <c r="AI5934">
        <v>98.784063742217896</v>
      </c>
      <c r="AJ5934">
        <v>105.814468793443</v>
      </c>
      <c r="AK5934">
        <v>7.2837248730769302</v>
      </c>
      <c r="AL5934">
        <v>87.415193241518693</v>
      </c>
      <c r="AM5934">
        <v>100.651176967599</v>
      </c>
      <c r="AN5934">
        <v>1.00000005709586</v>
      </c>
    </row>
    <row r="5935" spans="1:40" x14ac:dyDescent="0.25">
      <c r="A5935" t="str">
        <f>"20190312151143257"</f>
        <v>20190312151143257</v>
      </c>
      <c r="B5935" t="str">
        <f>"1552374703247198"</f>
        <v>1552374703247198</v>
      </c>
      <c r="C5935" t="s">
        <v>40</v>
      </c>
      <c r="D5935">
        <v>5.2829459999999999</v>
      </c>
      <c r="E5935">
        <v>0.46942050000000002</v>
      </c>
      <c r="F5935" t="s">
        <v>42</v>
      </c>
      <c r="G5935">
        <v>-298.27170000000001</v>
      </c>
      <c r="H5935" s="1">
        <v>-2.512719E-6</v>
      </c>
      <c r="I5935">
        <v>-35.224620000000002</v>
      </c>
      <c r="J5935">
        <v>-299.78870000000001</v>
      </c>
      <c r="K5935">
        <v>1.112306</v>
      </c>
      <c r="L5935">
        <v>-27.920259999999999</v>
      </c>
      <c r="M5935">
        <v>-6.9417699999999999E-2</v>
      </c>
      <c r="N5935">
        <v>0</v>
      </c>
      <c r="O5935">
        <v>-0.9975058</v>
      </c>
      <c r="P5935">
        <v>0.1153797</v>
      </c>
      <c r="Q5935">
        <v>3.2374930000000003E-2</v>
      </c>
      <c r="R5935">
        <v>-0.99279390000000001</v>
      </c>
      <c r="S5935">
        <v>0.59225459999999996</v>
      </c>
      <c r="T5935">
        <v>-0.43811830000000002</v>
      </c>
      <c r="U5935">
        <v>-2.9685670000000002</v>
      </c>
      <c r="V5935">
        <v>-0.1842558</v>
      </c>
      <c r="W5935">
        <v>4.3979119999999997E-2</v>
      </c>
      <c r="X5935">
        <v>0.98189389999999999</v>
      </c>
      <c r="Y5935">
        <v>-0.26127450000000002</v>
      </c>
      <c r="Z5935">
        <v>0.141569899999999</v>
      </c>
      <c r="AA5935">
        <v>0.95482650000000002</v>
      </c>
      <c r="AB5935">
        <v>24</v>
      </c>
      <c r="AC5935">
        <v>1.5169999999999899</v>
      </c>
      <c r="AD5935">
        <v>-1.112308512719</v>
      </c>
      <c r="AE5935">
        <v>-7.30436</v>
      </c>
      <c r="AF5935">
        <v>-1.9764949998870101</v>
      </c>
      <c r="AG5935">
        <v>-1.112308512719</v>
      </c>
      <c r="AH5935">
        <v>7.0252475973297503</v>
      </c>
      <c r="AI5935">
        <v>98.665931406757693</v>
      </c>
      <c r="AJ5935">
        <v>105.713505827726</v>
      </c>
      <c r="AK5935">
        <v>7.3822670309216596</v>
      </c>
      <c r="AL5935">
        <v>87.479369031751801</v>
      </c>
      <c r="AM5935">
        <v>100.628149727367</v>
      </c>
      <c r="AN5935">
        <v>0.99999999684341201</v>
      </c>
    </row>
    <row r="5936" spans="1:40" x14ac:dyDescent="0.25">
      <c r="A5936" t="str">
        <f>"20190312151143280"</f>
        <v>20190312151143280</v>
      </c>
      <c r="B5936" t="str">
        <f>"1552374703277454"</f>
        <v>1552374703277454</v>
      </c>
      <c r="C5936" t="s">
        <v>40</v>
      </c>
      <c r="D5936">
        <v>6.028092</v>
      </c>
      <c r="E5936">
        <v>0.47029690000000002</v>
      </c>
      <c r="F5936" t="s">
        <v>42</v>
      </c>
      <c r="G5936">
        <v>-298.26010000000002</v>
      </c>
      <c r="H5936" s="1">
        <v>-2.39267E-6</v>
      </c>
      <c r="I5936">
        <v>-35.509259999999998</v>
      </c>
      <c r="J5936">
        <v>-299.80169999999998</v>
      </c>
      <c r="K5936">
        <v>1.1122860000000001</v>
      </c>
      <c r="L5936">
        <v>-28.161380000000001</v>
      </c>
      <c r="M5936">
        <v>-6.6129770000000004E-2</v>
      </c>
      <c r="N5936">
        <v>0</v>
      </c>
      <c r="O5936">
        <v>-0.99772919999999998</v>
      </c>
      <c r="P5936">
        <v>0.11878030000000001</v>
      </c>
      <c r="Q5936">
        <v>3.1102729999999999E-2</v>
      </c>
      <c r="R5936">
        <v>-0.99243380000000003</v>
      </c>
      <c r="S5936">
        <v>0.59753420000000002</v>
      </c>
      <c r="T5936">
        <v>-0.43479859999999998</v>
      </c>
      <c r="U5936">
        <v>-2.9665219999999999</v>
      </c>
      <c r="V5936">
        <v>-0.18437909999999999</v>
      </c>
      <c r="W5936">
        <v>4.272049E-2</v>
      </c>
      <c r="X5936">
        <v>0.98192630000000003</v>
      </c>
      <c r="Y5936">
        <v>-0.25988139999999998</v>
      </c>
      <c r="Z5936">
        <v>0.14066389999999901</v>
      </c>
      <c r="AA5936">
        <v>0.95534039999999998</v>
      </c>
      <c r="AB5936">
        <v>24</v>
      </c>
      <c r="AC5936">
        <v>1.5415999999999599</v>
      </c>
      <c r="AD5936">
        <v>-1.11228839267</v>
      </c>
      <c r="AE5936">
        <v>-7.34788</v>
      </c>
      <c r="AF5936">
        <v>-1.98070489251238</v>
      </c>
      <c r="AG5936">
        <v>-1.11228839267</v>
      </c>
      <c r="AH5936">
        <v>7.0745636461288397</v>
      </c>
      <c r="AI5936">
        <v>98.609289992297505</v>
      </c>
      <c r="AJ5936">
        <v>105.64094774721001</v>
      </c>
      <c r="AK5936">
        <v>7.43033162939708</v>
      </c>
      <c r="AL5936">
        <v>87.551551026307393</v>
      </c>
      <c r="AM5936">
        <v>100.63475675458</v>
      </c>
      <c r="AN5936">
        <v>0.99999997570716903</v>
      </c>
    </row>
    <row r="5937" spans="1:40" x14ac:dyDescent="0.25">
      <c r="A5937" t="str">
        <f>"20190312151143300"</f>
        <v>20190312151143300</v>
      </c>
      <c r="B5937" t="str">
        <f>"1552374703296974"</f>
        <v>1552374703296974</v>
      </c>
      <c r="C5937" t="s">
        <v>40</v>
      </c>
      <c r="D5937">
        <v>5.3192649999999997</v>
      </c>
      <c r="E5937">
        <v>0.4705664</v>
      </c>
      <c r="F5937" t="s">
        <v>42</v>
      </c>
      <c r="G5937">
        <v>-298.24869999999999</v>
      </c>
      <c r="H5937" s="1">
        <v>-2.259947E-6</v>
      </c>
      <c r="I5937">
        <v>-35.823360000000001</v>
      </c>
      <c r="J5937">
        <v>-299.81299999999999</v>
      </c>
      <c r="K5937">
        <v>1.1122540000000001</v>
      </c>
      <c r="L5937">
        <v>-28.38382</v>
      </c>
      <c r="M5937">
        <v>-6.3109419999999999E-2</v>
      </c>
      <c r="N5937">
        <v>0</v>
      </c>
      <c r="O5937">
        <v>-0.99792460000000005</v>
      </c>
      <c r="P5937">
        <v>0.1223451</v>
      </c>
      <c r="Q5937">
        <v>2.9772960000000001E-2</v>
      </c>
      <c r="R5937">
        <v>-0.99204119999999996</v>
      </c>
      <c r="S5937">
        <v>0.60086059999999997</v>
      </c>
      <c r="T5937">
        <v>-0.43034820000000001</v>
      </c>
      <c r="U5937">
        <v>-2.9644469999999998</v>
      </c>
      <c r="V5937">
        <v>-0.1849287</v>
      </c>
      <c r="W5937">
        <v>4.1404150000000001E-2</v>
      </c>
      <c r="X5937">
        <v>0.98187939999999996</v>
      </c>
      <c r="Y5937">
        <v>-0.25815579999999999</v>
      </c>
      <c r="Z5937">
        <v>0.1394068</v>
      </c>
      <c r="AA5937">
        <v>0.95599230000000002</v>
      </c>
      <c r="AB5937">
        <v>24</v>
      </c>
      <c r="AC5937">
        <v>1.5643</v>
      </c>
      <c r="AD5937">
        <v>-1.1122562599470001</v>
      </c>
      <c r="AE5937">
        <v>-7.43954</v>
      </c>
      <c r="AF5937">
        <v>-1.9881667088775401</v>
      </c>
      <c r="AG5937">
        <v>-1.1122562599470001</v>
      </c>
      <c r="AH5937">
        <v>7.1724466208311002</v>
      </c>
      <c r="AI5937">
        <v>98.499299953214305</v>
      </c>
      <c r="AJ5937">
        <v>105.49311024635</v>
      </c>
      <c r="AK5937">
        <v>7.5255505698089404</v>
      </c>
      <c r="AL5937">
        <v>87.627038724575797</v>
      </c>
      <c r="AM5937">
        <v>100.666228532679</v>
      </c>
      <c r="AN5937">
        <v>1.00000004193263</v>
      </c>
    </row>
    <row r="5938" spans="1:40" x14ac:dyDescent="0.25">
      <c r="A5938" t="str">
        <f>"20190312151143323"</f>
        <v>20190312151143323</v>
      </c>
      <c r="B5938" t="str">
        <f>"1552374703317470"</f>
        <v>1552374703317470</v>
      </c>
      <c r="C5938" t="s">
        <v>40</v>
      </c>
      <c r="D5938">
        <v>5.3260069999999997</v>
      </c>
      <c r="E5938">
        <v>0.47100110000000001</v>
      </c>
      <c r="F5938" t="s">
        <v>42</v>
      </c>
      <c r="G5938">
        <v>-298.2491</v>
      </c>
      <c r="H5938" s="1">
        <v>-2.1880180000000001E-6</v>
      </c>
      <c r="I5938">
        <v>-35.990879999999997</v>
      </c>
      <c r="J5938">
        <v>-299.82409999999999</v>
      </c>
      <c r="K5938">
        <v>1.11222</v>
      </c>
      <c r="L5938">
        <v>-28.618069999999999</v>
      </c>
      <c r="M5938">
        <v>-5.994534E-2</v>
      </c>
      <c r="N5938">
        <v>0</v>
      </c>
      <c r="O5938">
        <v>-0.99811950000000005</v>
      </c>
      <c r="P5938">
        <v>0.12527969999999999</v>
      </c>
      <c r="Q5938">
        <v>2.8087330000000001E-2</v>
      </c>
      <c r="R5938">
        <v>-0.99172380000000004</v>
      </c>
      <c r="S5938">
        <v>0.60894780000000004</v>
      </c>
      <c r="T5938">
        <v>-0.43308160000000001</v>
      </c>
      <c r="U5938">
        <v>-2.9619749999999998</v>
      </c>
      <c r="V5938">
        <v>-0.18471280000000001</v>
      </c>
      <c r="W5938">
        <v>3.9740409999999997E-2</v>
      </c>
      <c r="X5938">
        <v>0.98198869999999905</v>
      </c>
      <c r="Y5938">
        <v>-0.25772800000000001</v>
      </c>
      <c r="Z5938">
        <v>0.14039960000000001</v>
      </c>
      <c r="AA5938">
        <v>0.95596250000000005</v>
      </c>
      <c r="AB5938">
        <v>24</v>
      </c>
      <c r="AC5938">
        <v>1.57499999999998</v>
      </c>
      <c r="AD5938">
        <v>-1.1122221880180001</v>
      </c>
      <c r="AE5938">
        <v>-7.3728099999999896</v>
      </c>
      <c r="AF5938">
        <v>-1.97126652394619</v>
      </c>
      <c r="AG5938">
        <v>-1.1122221880180001</v>
      </c>
      <c r="AH5938">
        <v>7.1103776932042404</v>
      </c>
      <c r="AI5938">
        <v>98.572043692384398</v>
      </c>
      <c r="AJ5938">
        <v>105.495392667853</v>
      </c>
      <c r="AK5938">
        <v>7.4619301017878001</v>
      </c>
      <c r="AL5938">
        <v>87.722442386465801</v>
      </c>
      <c r="AM5938">
        <v>100.652902480327</v>
      </c>
      <c r="AN5938">
        <v>0.99999996279924797</v>
      </c>
    </row>
    <row r="5939" spans="1:40" x14ac:dyDescent="0.25">
      <c r="A5939" t="str">
        <f>"20190312151143345"</f>
        <v>20190312151143345</v>
      </c>
      <c r="B5939" t="str">
        <f>"1552374703336990"</f>
        <v>1552374703336990</v>
      </c>
      <c r="C5939" t="s">
        <v>40</v>
      </c>
      <c r="D5939">
        <v>5.3317670000000001</v>
      </c>
      <c r="E5939">
        <v>0.47126309999999899</v>
      </c>
      <c r="F5939" t="s">
        <v>42</v>
      </c>
      <c r="G5939">
        <v>-298.26319999999998</v>
      </c>
      <c r="H5939" s="1">
        <v>-2.124961E-6</v>
      </c>
      <c r="I5939">
        <v>-36.131999999999998</v>
      </c>
      <c r="J5939">
        <v>-299.83460000000002</v>
      </c>
      <c r="K5939">
        <v>1.1121890000000001</v>
      </c>
      <c r="L5939">
        <v>-28.85266</v>
      </c>
      <c r="M5939">
        <v>-5.6794039999999997E-2</v>
      </c>
      <c r="N5939">
        <v>0</v>
      </c>
      <c r="O5939">
        <v>-0.99830370000000002</v>
      </c>
      <c r="P5939">
        <v>0.128634</v>
      </c>
      <c r="Q5939">
        <v>2.6907509999999999E-2</v>
      </c>
      <c r="R5939">
        <v>-0.99132719999999996</v>
      </c>
      <c r="S5939">
        <v>0.61483759999999998</v>
      </c>
      <c r="T5939">
        <v>-0.43811060000000002</v>
      </c>
      <c r="U5939">
        <v>-2.959778</v>
      </c>
      <c r="V5939">
        <v>-0.18492810000000001</v>
      </c>
      <c r="W5939">
        <v>3.8578769999999998E-2</v>
      </c>
      <c r="X5939">
        <v>0.98199449999999999</v>
      </c>
      <c r="Y5939">
        <v>-0.25659409999999999</v>
      </c>
      <c r="Z5939">
        <v>0.14213129999999999</v>
      </c>
      <c r="AA5939">
        <v>0.95601159999999996</v>
      </c>
      <c r="AB5939">
        <v>24</v>
      </c>
      <c r="AC5939">
        <v>1.5714000000000301</v>
      </c>
      <c r="AD5939">
        <v>-1.1121911249609999</v>
      </c>
      <c r="AE5939">
        <v>-7.2793400000000004</v>
      </c>
      <c r="AF5939">
        <v>-1.9390701411233799</v>
      </c>
      <c r="AG5939">
        <v>-1.1121911249609999</v>
      </c>
      <c r="AH5939">
        <v>7.0217186711300803</v>
      </c>
      <c r="AI5939">
        <v>98.680784144039606</v>
      </c>
      <c r="AJ5939">
        <v>105.43766157941501</v>
      </c>
      <c r="AK5939">
        <v>7.3689548246094603</v>
      </c>
      <c r="AL5939">
        <v>87.7890505482289</v>
      </c>
      <c r="AM5939">
        <v>100.66497321050799</v>
      </c>
      <c r="AN5939">
        <v>0.99999996084728504</v>
      </c>
    </row>
    <row r="5940" spans="1:40" x14ac:dyDescent="0.25">
      <c r="A5940" t="str">
        <f>"20190312151143368"</f>
        <v>20190312151143368</v>
      </c>
      <c r="B5940" t="str">
        <f>"1552374703357486"</f>
        <v>1552374703357486</v>
      </c>
      <c r="C5940" t="s">
        <v>40</v>
      </c>
      <c r="D5940">
        <v>5.3117150000000004</v>
      </c>
      <c r="E5940">
        <v>0.47138259999999998</v>
      </c>
      <c r="F5940" t="s">
        <v>42</v>
      </c>
      <c r="G5940">
        <v>-298.26679999999999</v>
      </c>
      <c r="H5940" s="1">
        <v>-2.0537849999999999E-6</v>
      </c>
      <c r="I5940">
        <v>-36.296430000000001</v>
      </c>
      <c r="J5940">
        <v>-299.84440000000001</v>
      </c>
      <c r="K5940">
        <v>1.112163</v>
      </c>
      <c r="L5940">
        <v>-29.08954</v>
      </c>
      <c r="M5940">
        <v>-5.3626710000000001E-2</v>
      </c>
      <c r="N5940">
        <v>0</v>
      </c>
      <c r="O5940">
        <v>-0.99847870000000005</v>
      </c>
      <c r="P5940">
        <v>0.1318404</v>
      </c>
      <c r="Q5940">
        <v>2.614207E-2</v>
      </c>
      <c r="R5940">
        <v>-0.99092619999999998</v>
      </c>
      <c r="S5940">
        <v>0.62286379999999997</v>
      </c>
      <c r="T5940">
        <v>-0.4418764</v>
      </c>
      <c r="U5940">
        <v>-2.9574280000000002</v>
      </c>
      <c r="V5940">
        <v>-0.18498539999999999</v>
      </c>
      <c r="W5940">
        <v>3.7830210000000003E-2</v>
      </c>
      <c r="X5940">
        <v>0.98201289999999997</v>
      </c>
      <c r="Y5940">
        <v>-0.25612819999999997</v>
      </c>
      <c r="Z5940">
        <v>0.14344509999999999</v>
      </c>
      <c r="AA5940">
        <v>0.95594029999999997</v>
      </c>
      <c r="AB5940">
        <v>24</v>
      </c>
      <c r="AC5940">
        <v>1.5776000000000101</v>
      </c>
      <c r="AD5940">
        <v>-1.1121650537850001</v>
      </c>
      <c r="AE5940">
        <v>-7.2068899999999898</v>
      </c>
      <c r="AF5940">
        <v>-1.9182497438461701</v>
      </c>
      <c r="AG5940">
        <v>-1.1121650537850001</v>
      </c>
      <c r="AH5940">
        <v>6.9538784161154297</v>
      </c>
      <c r="AI5940">
        <v>98.764624587583597</v>
      </c>
      <c r="AJ5940">
        <v>105.421690097202</v>
      </c>
      <c r="AK5940">
        <v>7.2988367712083102</v>
      </c>
      <c r="AL5940">
        <v>87.831971362867407</v>
      </c>
      <c r="AM5940">
        <v>100.668006614679</v>
      </c>
      <c r="AN5940">
        <v>1.0000000293841</v>
      </c>
    </row>
    <row r="5941" spans="1:40" x14ac:dyDescent="0.25">
      <c r="A5941" t="str">
        <f>"20190312151143390"</f>
        <v>20190312151143390</v>
      </c>
      <c r="B5941" t="str">
        <f>"1552374703386766"</f>
        <v>1552374703386766</v>
      </c>
      <c r="C5941" t="s">
        <v>40</v>
      </c>
      <c r="D5941">
        <v>5.3547459999999996</v>
      </c>
      <c r="E5941">
        <v>0.47158480000000003</v>
      </c>
      <c r="F5941" t="s">
        <v>42</v>
      </c>
      <c r="G5941">
        <v>-298.25259999999997</v>
      </c>
      <c r="H5941" s="1">
        <v>-1.9527930000000002E-6</v>
      </c>
      <c r="I5941">
        <v>-36.537730000000003</v>
      </c>
      <c r="J5941">
        <v>-299.85320000000002</v>
      </c>
      <c r="K5941">
        <v>1.1121449999999999</v>
      </c>
      <c r="L5941">
        <v>-29.31992</v>
      </c>
      <c r="M5941">
        <v>-5.0554340000000003E-2</v>
      </c>
      <c r="N5941">
        <v>0</v>
      </c>
      <c r="O5941">
        <v>-0.99863880000000005</v>
      </c>
      <c r="P5941">
        <v>0.13430629999999999</v>
      </c>
      <c r="Q5941">
        <v>2.5676859999999999E-2</v>
      </c>
      <c r="R5941">
        <v>-0.99060729999999997</v>
      </c>
      <c r="S5941">
        <v>0.63153079999999995</v>
      </c>
      <c r="T5941">
        <v>-0.4412527</v>
      </c>
      <c r="U5941">
        <v>-2.9550779999999999</v>
      </c>
      <c r="V5941">
        <v>-0.18440409999999999</v>
      </c>
      <c r="W5941">
        <v>3.7382770000000003E-2</v>
      </c>
      <c r="X5941">
        <v>0.98213930000000005</v>
      </c>
      <c r="Y5941">
        <v>-0.25599569999999999</v>
      </c>
      <c r="Z5941">
        <v>0.1433516</v>
      </c>
      <c r="AA5941">
        <v>0.9559898</v>
      </c>
      <c r="AB5941">
        <v>24</v>
      </c>
      <c r="AC5941">
        <v>1.60060000000004</v>
      </c>
      <c r="AD5941">
        <v>-1.1121469527929999</v>
      </c>
      <c r="AE5941">
        <v>-7.2178099999999903</v>
      </c>
      <c r="AF5941">
        <v>-1.92002644053671</v>
      </c>
      <c r="AG5941">
        <v>-1.1121469527929999</v>
      </c>
      <c r="AH5941">
        <v>6.9699327132756297</v>
      </c>
      <c r="AI5941">
        <v>98.745448007195606</v>
      </c>
      <c r="AJ5941">
        <v>105.401429683874</v>
      </c>
      <c r="AK5941">
        <v>7.31459735081547</v>
      </c>
      <c r="AL5941">
        <v>87.857625814794801</v>
      </c>
      <c r="AM5941">
        <v>100.633911736069</v>
      </c>
      <c r="AN5941">
        <v>0.99999997409708596</v>
      </c>
    </row>
    <row r="5942" spans="1:40" x14ac:dyDescent="0.25">
      <c r="A5942" t="str">
        <f>"20190312151143413"</f>
        <v>20190312151143413</v>
      </c>
      <c r="B5942" t="str">
        <f>"1552374703407262"</f>
        <v>1552374703407262</v>
      </c>
      <c r="C5942" t="s">
        <v>40</v>
      </c>
      <c r="D5942">
        <v>5.3445099999999996</v>
      </c>
      <c r="E5942">
        <v>0.4716147</v>
      </c>
      <c r="F5942" t="s">
        <v>42</v>
      </c>
      <c r="G5942">
        <v>-298.2448</v>
      </c>
      <c r="H5942" s="1">
        <v>-1.8560230000000001E-6</v>
      </c>
      <c r="I5942">
        <v>-36.766500000000001</v>
      </c>
      <c r="J5942">
        <v>-299.86149999999998</v>
      </c>
      <c r="K5942">
        <v>1.112128</v>
      </c>
      <c r="L5942">
        <v>-29.554690000000001</v>
      </c>
      <c r="M5942">
        <v>-4.7418450000000001E-2</v>
      </c>
      <c r="N5942">
        <v>0</v>
      </c>
      <c r="O5942">
        <v>-0.99879260000000003</v>
      </c>
      <c r="P5942">
        <v>0.13631309999999999</v>
      </c>
      <c r="Q5942">
        <v>2.4528990000000001E-2</v>
      </c>
      <c r="R5942">
        <v>-0.99036199999999996</v>
      </c>
      <c r="S5942">
        <v>0.63787839999999996</v>
      </c>
      <c r="T5942">
        <v>-0.44108989999999998</v>
      </c>
      <c r="U5942">
        <v>-2.9533999999999998</v>
      </c>
      <c r="V5942">
        <v>-0.18330450000000001</v>
      </c>
      <c r="W5942">
        <v>3.6252489999999998E-2</v>
      </c>
      <c r="X5942">
        <v>0.98238749999999997</v>
      </c>
      <c r="Y5942">
        <v>-0.25503670000000001</v>
      </c>
      <c r="Z5942">
        <v>0.14339879999999999</v>
      </c>
      <c r="AA5942">
        <v>0.95623899999999995</v>
      </c>
      <c r="AB5942">
        <v>24</v>
      </c>
      <c r="AC5942">
        <v>1.61669999999998</v>
      </c>
      <c r="AD5942">
        <v>-1.112129856023</v>
      </c>
      <c r="AE5942">
        <v>-7.2118099999999998</v>
      </c>
      <c r="AF5942">
        <v>-1.91355411190631</v>
      </c>
      <c r="AG5942">
        <v>-1.112129856023</v>
      </c>
      <c r="AH5942">
        <v>6.9692263927165898</v>
      </c>
      <c r="AI5942">
        <v>98.748171712236001</v>
      </c>
      <c r="AJ5942">
        <v>105.353447870029</v>
      </c>
      <c r="AK5942">
        <v>7.3122252884323</v>
      </c>
      <c r="AL5942">
        <v>87.922430066863697</v>
      </c>
      <c r="AM5942">
        <v>100.569324601579</v>
      </c>
      <c r="AN5942">
        <v>0.99999999145384999</v>
      </c>
    </row>
    <row r="5943" spans="1:40" x14ac:dyDescent="0.25">
      <c r="A5943" t="str">
        <f>"20190312151143435"</f>
        <v>20190312151143435</v>
      </c>
      <c r="B5943" t="str">
        <f>"1552374703426782"</f>
        <v>1552374703426782</v>
      </c>
      <c r="C5943" t="s">
        <v>40</v>
      </c>
      <c r="D5943">
        <v>5.3109060000000001</v>
      </c>
      <c r="E5943">
        <v>0.47191620000000001</v>
      </c>
      <c r="F5943" t="s">
        <v>42</v>
      </c>
      <c r="G5943">
        <v>-298.24930000000001</v>
      </c>
      <c r="H5943" s="1">
        <v>-1.7772600000000001E-6</v>
      </c>
      <c r="I5943">
        <v>-36.948279999999997</v>
      </c>
      <c r="J5943">
        <v>-299.8691</v>
      </c>
      <c r="K5943">
        <v>1.112134</v>
      </c>
      <c r="L5943">
        <v>-29.794709999999998</v>
      </c>
      <c r="M5943">
        <v>-4.4191540000000001E-2</v>
      </c>
      <c r="N5943">
        <v>0</v>
      </c>
      <c r="O5943">
        <v>-0.99894050000000001</v>
      </c>
      <c r="P5943">
        <v>0.1385981</v>
      </c>
      <c r="Q5943">
        <v>2.3433659999999999E-2</v>
      </c>
      <c r="R5943">
        <v>-0.99007149999999999</v>
      </c>
      <c r="S5943">
        <v>0.64361569999999901</v>
      </c>
      <c r="T5943">
        <v>-0.44397350000000002</v>
      </c>
      <c r="U5943">
        <v>-2.9515989999999999</v>
      </c>
      <c r="V5943">
        <v>-0.1823939</v>
      </c>
      <c r="W5943">
        <v>3.5167900000000002E-2</v>
      </c>
      <c r="X5943">
        <v>0.98259640000000004</v>
      </c>
      <c r="Y5943">
        <v>-0.25377889999999997</v>
      </c>
      <c r="Z5943">
        <v>0.14442859999999999</v>
      </c>
      <c r="AA5943">
        <v>0.95641860000000001</v>
      </c>
      <c r="AB5943">
        <v>24</v>
      </c>
      <c r="AC5943">
        <v>1.6197999999999899</v>
      </c>
      <c r="AD5943">
        <v>-1.11213577726</v>
      </c>
      <c r="AE5943">
        <v>-7.1535699999999904</v>
      </c>
      <c r="AF5943">
        <v>-1.89089733859368</v>
      </c>
      <c r="AG5943">
        <v>-1.11213577726</v>
      </c>
      <c r="AH5943">
        <v>6.9159885436385604</v>
      </c>
      <c r="AI5943">
        <v>98.817076586666104</v>
      </c>
      <c r="AJ5943">
        <v>105.291497841498</v>
      </c>
      <c r="AK5943">
        <v>7.2555658819903401</v>
      </c>
      <c r="AL5943">
        <v>87.984612178951807</v>
      </c>
      <c r="AM5943">
        <v>100.515807713743</v>
      </c>
      <c r="AN5943">
        <v>1.00000000062029</v>
      </c>
    </row>
    <row r="5944" spans="1:40" x14ac:dyDescent="0.25">
      <c r="A5944" t="str">
        <f>"20190312151143458"</f>
        <v>20190312151143458</v>
      </c>
      <c r="B5944" t="str">
        <f>"1552374703447279"</f>
        <v>1552374703447279</v>
      </c>
      <c r="C5944" t="s">
        <v>40</v>
      </c>
      <c r="D5944">
        <v>5.3270860000000004</v>
      </c>
      <c r="E5944">
        <v>0.47202529999999998</v>
      </c>
      <c r="F5944" t="s">
        <v>42</v>
      </c>
      <c r="G5944">
        <v>-298.2448</v>
      </c>
      <c r="H5944" s="1">
        <v>-1.675089E-6</v>
      </c>
      <c r="I5944">
        <v>-37.188290000000002</v>
      </c>
      <c r="J5944">
        <v>-299.87610000000001</v>
      </c>
      <c r="K5944">
        <v>1.1121559999999999</v>
      </c>
      <c r="L5944">
        <v>-30.036290000000001</v>
      </c>
      <c r="M5944">
        <v>-4.0902500000000001E-2</v>
      </c>
      <c r="N5944">
        <v>0</v>
      </c>
      <c r="O5944">
        <v>-0.99908079999999999</v>
      </c>
      <c r="P5944">
        <v>0.1414714</v>
      </c>
      <c r="Q5944">
        <v>2.2942750000000001E-2</v>
      </c>
      <c r="R5944">
        <v>-0.98967689999999997</v>
      </c>
      <c r="S5944">
        <v>0.64807130000000002</v>
      </c>
      <c r="T5944">
        <v>-0.44371500000000003</v>
      </c>
      <c r="U5944">
        <v>-2.9498600000000001</v>
      </c>
      <c r="V5944">
        <v>-0.18201039999999999</v>
      </c>
      <c r="W5944">
        <v>3.4682289999999998E-2</v>
      </c>
      <c r="X5944">
        <v>0.98268480000000002</v>
      </c>
      <c r="Y5944">
        <v>-0.25209160000000003</v>
      </c>
      <c r="Z5944">
        <v>0.14446870000000001</v>
      </c>
      <c r="AA5944">
        <v>0.95685869999999995</v>
      </c>
      <c r="AB5944">
        <v>24</v>
      </c>
      <c r="AC5944">
        <v>1.63130000000001</v>
      </c>
      <c r="AD5944">
        <v>-1.1121576750890001</v>
      </c>
      <c r="AE5944">
        <v>-7.1520000000000001</v>
      </c>
      <c r="AF5944">
        <v>-1.87929700984714</v>
      </c>
      <c r="AG5944">
        <v>-1.1121576750890001</v>
      </c>
      <c r="AH5944">
        <v>6.9202202035317804</v>
      </c>
      <c r="AI5944">
        <v>98.815997189506604</v>
      </c>
      <c r="AJ5944">
        <v>105.193174558751</v>
      </c>
      <c r="AK5944">
        <v>7.2565900814948296</v>
      </c>
      <c r="AL5944">
        <v>88.012452628704693</v>
      </c>
      <c r="AM5944">
        <v>100.493265878122</v>
      </c>
      <c r="AN5944">
        <v>1.00000003154942</v>
      </c>
    </row>
    <row r="5945" spans="1:40" x14ac:dyDescent="0.25">
      <c r="A5945" t="str">
        <f>"20190312151143481"</f>
        <v>20190312151143481</v>
      </c>
      <c r="B5945" t="str">
        <f>"1552374703477536"</f>
        <v>1552374703477536</v>
      </c>
      <c r="C5945" t="s">
        <v>40</v>
      </c>
      <c r="D5945">
        <v>5.4873989999999999</v>
      </c>
      <c r="E5945">
        <v>0.47205999999999998</v>
      </c>
      <c r="F5945" t="s">
        <v>42</v>
      </c>
      <c r="G5945">
        <v>-298.2371</v>
      </c>
      <c r="H5945" s="1">
        <v>-1.5829299999999999E-6</v>
      </c>
      <c r="I5945">
        <v>-37.406300000000002</v>
      </c>
      <c r="J5945">
        <v>-299.88189999999997</v>
      </c>
      <c r="K5945">
        <v>1.112193</v>
      </c>
      <c r="L5945">
        <v>-30.27008</v>
      </c>
      <c r="M5945">
        <v>-3.7655139999999997E-2</v>
      </c>
      <c r="N5945">
        <v>0</v>
      </c>
      <c r="O5945">
        <v>-0.99920790000000004</v>
      </c>
      <c r="P5945">
        <v>0.14413489999999901</v>
      </c>
      <c r="Q5945">
        <v>2.3395579999999999E-2</v>
      </c>
      <c r="R5945">
        <v>-0.98928179999999999</v>
      </c>
      <c r="S5945">
        <v>0.65557860000000001</v>
      </c>
      <c r="T5945">
        <v>-0.44484770000000001</v>
      </c>
      <c r="U5945">
        <v>-2.9479060000000001</v>
      </c>
      <c r="V5945">
        <v>-0.18146619999999999</v>
      </c>
      <c r="W5945">
        <v>3.5145500000000003E-2</v>
      </c>
      <c r="X5945">
        <v>0.982769</v>
      </c>
      <c r="Y5945">
        <v>-0.25139080000000003</v>
      </c>
      <c r="Z5945">
        <v>0.14492449999999901</v>
      </c>
      <c r="AA5945">
        <v>0.95697410000000005</v>
      </c>
      <c r="AB5945">
        <v>24</v>
      </c>
      <c r="AC5945">
        <v>1.6447999999999701</v>
      </c>
      <c r="AD5945">
        <v>-1.11219458293</v>
      </c>
      <c r="AE5945">
        <v>-7.1362199999999998</v>
      </c>
      <c r="AF5945">
        <v>-1.8692572858889001</v>
      </c>
      <c r="AG5945">
        <v>-1.11219458293</v>
      </c>
      <c r="AH5945">
        <v>6.9098450990015401</v>
      </c>
      <c r="AI5945">
        <v>98.831608051208704</v>
      </c>
      <c r="AJ5945">
        <v>105.137387181024</v>
      </c>
      <c r="AK5945">
        <v>7.24410511266528</v>
      </c>
      <c r="AL5945">
        <v>87.985896493036194</v>
      </c>
      <c r="AM5945">
        <v>100.461708867361</v>
      </c>
      <c r="AN5945">
        <v>1.00000004763684</v>
      </c>
    </row>
    <row r="5946" spans="1:40" x14ac:dyDescent="0.25">
      <c r="A5946" t="str">
        <f>"20190312151143502"</f>
        <v>20190312151143502</v>
      </c>
      <c r="B5946" t="str">
        <f>"1552374703497054"</f>
        <v>1552374703497054</v>
      </c>
      <c r="C5946" t="s">
        <v>40</v>
      </c>
      <c r="D5946">
        <v>5.3402989999999999</v>
      </c>
      <c r="E5946">
        <v>0.43233749999999999</v>
      </c>
      <c r="F5946" t="s">
        <v>42</v>
      </c>
      <c r="G5946">
        <v>-298.2176</v>
      </c>
      <c r="H5946" s="1">
        <v>-1.476164E-6</v>
      </c>
      <c r="I5946">
        <v>-37.663229999999999</v>
      </c>
      <c r="J5946">
        <v>-299.88679999999999</v>
      </c>
      <c r="K5946">
        <v>1.112242</v>
      </c>
      <c r="L5946">
        <v>-30.49823</v>
      </c>
      <c r="M5946">
        <v>-3.4428420000000001E-2</v>
      </c>
      <c r="N5946">
        <v>0</v>
      </c>
      <c r="O5946">
        <v>-0.99932379999999998</v>
      </c>
      <c r="P5946">
        <v>0.1469702</v>
      </c>
      <c r="Q5946">
        <v>2.442656E-2</v>
      </c>
      <c r="R5946">
        <v>-0.98883949999999998</v>
      </c>
      <c r="S5946">
        <v>0.663269</v>
      </c>
      <c r="T5946">
        <v>-0.44323659999999998</v>
      </c>
      <c r="U5946">
        <v>-2.9463499999999998</v>
      </c>
      <c r="V5946">
        <v>-0.18111740000000001</v>
      </c>
      <c r="W5946">
        <v>3.618768E-2</v>
      </c>
      <c r="X5946">
        <v>0.98279550000000004</v>
      </c>
      <c r="Y5946">
        <v>-0.2507683</v>
      </c>
      <c r="Z5946">
        <v>0.14448179999999999</v>
      </c>
      <c r="AA5946">
        <v>0.95720439999999996</v>
      </c>
      <c r="AB5946">
        <v>24</v>
      </c>
      <c r="AC5946">
        <v>1.66919999999998</v>
      </c>
      <c r="AD5946">
        <v>-1.1122434761640001</v>
      </c>
      <c r="AE5946">
        <v>-7.1649999999999903</v>
      </c>
      <c r="AF5946">
        <v>-1.8721199079267199</v>
      </c>
      <c r="AG5946">
        <v>-1.1122434761640001</v>
      </c>
      <c r="AH5946">
        <v>6.9445491956013798</v>
      </c>
      <c r="AI5946">
        <v>98.790591035287804</v>
      </c>
      <c r="AJ5946">
        <v>105.087207724321</v>
      </c>
      <c r="AK5946">
        <v>7.2779586444313296</v>
      </c>
      <c r="AL5946">
        <v>87.926145919916394</v>
      </c>
      <c r="AM5946">
        <v>100.441767558168</v>
      </c>
      <c r="AN5946">
        <v>1.00000002779339</v>
      </c>
    </row>
    <row r="5947" spans="1:40" x14ac:dyDescent="0.25">
      <c r="A5947" t="str">
        <f>"20190312151143525"</f>
        <v>20190312151143525</v>
      </c>
      <c r="B5947" t="str">
        <f>"1552374703517550"</f>
        <v>1552374703517550</v>
      </c>
      <c r="C5947" t="s">
        <v>40</v>
      </c>
      <c r="D5947">
        <v>5.3611500000000003</v>
      </c>
      <c r="E5947">
        <v>0.41790569999999999</v>
      </c>
      <c r="F5947" t="s">
        <v>42</v>
      </c>
      <c r="G5947">
        <v>-297.26740000000001</v>
      </c>
      <c r="H5947" s="1">
        <v>-1.458897E-6</v>
      </c>
      <c r="I5947">
        <v>-38.201430000000002</v>
      </c>
      <c r="J5947">
        <v>-299.89100000000002</v>
      </c>
      <c r="K5947">
        <v>1.1123000000000001</v>
      </c>
      <c r="L5947">
        <v>-30.729610000000001</v>
      </c>
      <c r="M5947">
        <v>-3.1076349999999999E-2</v>
      </c>
      <c r="N5947">
        <v>0</v>
      </c>
      <c r="O5947">
        <v>-0.99943329999999997</v>
      </c>
      <c r="P5947">
        <v>0.14983740000000001</v>
      </c>
      <c r="Q5947">
        <v>2.599974E-2</v>
      </c>
      <c r="R5947">
        <v>-0.98836869999999999</v>
      </c>
      <c r="S5947">
        <v>0.98535159999999999</v>
      </c>
      <c r="T5947">
        <v>-0.41839579999999998</v>
      </c>
      <c r="U5947">
        <v>-2.8977360000000001</v>
      </c>
      <c r="V5947">
        <v>-0.18068219999999999</v>
      </c>
      <c r="W5947">
        <v>3.777399E-2</v>
      </c>
      <c r="X5947">
        <v>0.98281589999999996</v>
      </c>
      <c r="Y5947">
        <v>-0.34826659999999998</v>
      </c>
      <c r="Z5947">
        <v>0.13461519999999999</v>
      </c>
      <c r="AA5947">
        <v>0.92767940000000004</v>
      </c>
      <c r="AB5947">
        <v>24</v>
      </c>
      <c r="AC5947">
        <v>2.62359999999995</v>
      </c>
      <c r="AD5947">
        <v>-1.1123014588969999</v>
      </c>
      <c r="AE5947">
        <v>-7.4718200000000001</v>
      </c>
      <c r="AF5947">
        <v>-2.7993219341812701</v>
      </c>
      <c r="AG5947">
        <v>-1.1123014588969999</v>
      </c>
      <c r="AH5947">
        <v>7.2437617888362702</v>
      </c>
      <c r="AI5947">
        <v>98.151037403752099</v>
      </c>
      <c r="AJ5947">
        <v>111.128819429833</v>
      </c>
      <c r="AK5947">
        <v>7.8450941791706503</v>
      </c>
      <c r="AL5947">
        <v>87.835194798932605</v>
      </c>
      <c r="AM5947">
        <v>100.417015869742</v>
      </c>
      <c r="AN5947">
        <v>1.0000000125050801</v>
      </c>
    </row>
    <row r="5948" spans="1:40" x14ac:dyDescent="0.25">
      <c r="A5948" t="str">
        <f>"20190312151143546"</f>
        <v>20190312151143546</v>
      </c>
      <c r="B5948" t="str">
        <f>"1552374703537071"</f>
        <v>1552374703537071</v>
      </c>
      <c r="C5948" t="s">
        <v>40</v>
      </c>
      <c r="D5948">
        <v>5.293838</v>
      </c>
      <c r="E5948">
        <v>0.41119050000000001</v>
      </c>
      <c r="F5948" t="s">
        <v>42</v>
      </c>
      <c r="G5948">
        <v>-297.16469999999998</v>
      </c>
      <c r="H5948" s="1">
        <v>-1.6199820000000001E-6</v>
      </c>
      <c r="I5948">
        <v>-37.80836</v>
      </c>
      <c r="J5948">
        <v>-299.89420000000001</v>
      </c>
      <c r="K5948">
        <v>1.112365</v>
      </c>
      <c r="L5948">
        <v>-30.958130000000001</v>
      </c>
      <c r="M5948">
        <v>-2.7668149999999999E-2</v>
      </c>
      <c r="N5948">
        <v>0</v>
      </c>
      <c r="O5948">
        <v>-0.99953309999999995</v>
      </c>
      <c r="P5948">
        <v>0.15247349999999901</v>
      </c>
      <c r="Q5948">
        <v>2.667336E-2</v>
      </c>
      <c r="R5948">
        <v>-0.98794769999999998</v>
      </c>
      <c r="S5948">
        <v>1.1088260000000001</v>
      </c>
      <c r="T5948">
        <v>-0.45239879999999999</v>
      </c>
      <c r="U5948">
        <v>-2.879089</v>
      </c>
      <c r="V5948">
        <v>-0.1799608</v>
      </c>
      <c r="W5948">
        <v>3.8459170000000001E-2</v>
      </c>
      <c r="X5948">
        <v>0.98292170000000001</v>
      </c>
      <c r="Y5948">
        <v>-0.38131199999999998</v>
      </c>
      <c r="Z5948">
        <v>0.1442272</v>
      </c>
      <c r="AA5948">
        <v>0.91312629999999995</v>
      </c>
      <c r="AB5948">
        <v>24</v>
      </c>
      <c r="AC5948">
        <v>2.72950000000003</v>
      </c>
      <c r="AD5948">
        <v>-1.1123666199819999</v>
      </c>
      <c r="AE5948">
        <v>-6.8502299999999998</v>
      </c>
      <c r="AF5948">
        <v>-2.8530801745945502</v>
      </c>
      <c r="AG5948">
        <v>-1.1123666199819999</v>
      </c>
      <c r="AH5948">
        <v>6.6214058009515302</v>
      </c>
      <c r="AI5948">
        <v>98.770588791894795</v>
      </c>
      <c r="AJ5948">
        <v>113.310600036325</v>
      </c>
      <c r="AK5948">
        <v>7.2952341128156597</v>
      </c>
      <c r="AL5948">
        <v>87.795908371712301</v>
      </c>
      <c r="AM5948">
        <v>100.37523698540799</v>
      </c>
      <c r="AN5948">
        <v>1.0000000328123</v>
      </c>
    </row>
    <row r="5949" spans="1:40" x14ac:dyDescent="0.25">
      <c r="A5949" t="str">
        <f>"20190312151143569"</f>
        <v>20190312151143569</v>
      </c>
      <c r="B5949" t="str">
        <f>"1552374703557566"</f>
        <v>1552374703557566</v>
      </c>
      <c r="C5949" t="s">
        <v>40</v>
      </c>
      <c r="D5949">
        <v>5.2951819999999996</v>
      </c>
      <c r="E5949">
        <v>0.40866059999999998</v>
      </c>
      <c r="F5949" t="s">
        <v>42</v>
      </c>
      <c r="G5949">
        <v>-297.1628</v>
      </c>
      <c r="H5949" s="1">
        <v>-1.6739509999999999E-6</v>
      </c>
      <c r="I5949">
        <v>-37.651319999999998</v>
      </c>
      <c r="J5949">
        <v>-299.89659999999998</v>
      </c>
      <c r="K5949">
        <v>1.1124400000000001</v>
      </c>
      <c r="L5949">
        <v>-31.188749999999999</v>
      </c>
      <c r="M5949">
        <v>-2.4113140000000002E-2</v>
      </c>
      <c r="N5949">
        <v>0</v>
      </c>
      <c r="O5949">
        <v>-0.99962470000000003</v>
      </c>
      <c r="P5949">
        <v>0.15534300000000001</v>
      </c>
      <c r="Q5949">
        <v>2.6300250000000001E-2</v>
      </c>
      <c r="R5949">
        <v>-0.98751080000000002</v>
      </c>
      <c r="S5949">
        <v>1.1707459999999901</v>
      </c>
      <c r="T5949">
        <v>-0.47677269999999999</v>
      </c>
      <c r="U5949">
        <v>-2.8687740000000002</v>
      </c>
      <c r="V5949">
        <v>-0.17932590000000001</v>
      </c>
      <c r="W5949">
        <v>3.8092279999999999E-2</v>
      </c>
      <c r="X5949">
        <v>0.98305200000000004</v>
      </c>
      <c r="Y5949">
        <v>-0.39570300000000003</v>
      </c>
      <c r="Z5949">
        <v>0.15127860000000001</v>
      </c>
      <c r="AA5949">
        <v>0.90583320000000001</v>
      </c>
      <c r="AB5949">
        <v>23</v>
      </c>
      <c r="AC5949">
        <v>2.7337999999999698</v>
      </c>
      <c r="AD5949">
        <v>-1.1124416739509999</v>
      </c>
      <c r="AE5949">
        <v>-6.4625700000000004</v>
      </c>
      <c r="AF5949">
        <v>-2.8180246752539602</v>
      </c>
      <c r="AG5949">
        <v>-1.1124416739509999</v>
      </c>
      <c r="AH5949">
        <v>6.2379832746106398</v>
      </c>
      <c r="AI5949">
        <v>99.230971286924103</v>
      </c>
      <c r="AJ5949">
        <v>114.311193319342</v>
      </c>
      <c r="AK5949">
        <v>6.9347836940026601</v>
      </c>
      <c r="AL5949">
        <v>87.816945001475304</v>
      </c>
      <c r="AM5949">
        <v>100.338083197857</v>
      </c>
      <c r="AN5949">
        <v>1.0000000174552</v>
      </c>
    </row>
    <row r="5950" spans="1:40" x14ac:dyDescent="0.25">
      <c r="A5950" t="str">
        <f>"20190312151143591"</f>
        <v>20190312151143591</v>
      </c>
      <c r="B5950" t="str">
        <f>"1552374703586846"</f>
        <v>1552374703586846</v>
      </c>
      <c r="C5950" t="s">
        <v>40</v>
      </c>
      <c r="D5950">
        <v>5.2900869999999998</v>
      </c>
      <c r="E5950">
        <v>0.40563979999999999</v>
      </c>
      <c r="F5950" t="s">
        <v>42</v>
      </c>
      <c r="G5950">
        <v>-297.14370000000002</v>
      </c>
      <c r="H5950" s="1">
        <v>-1.641503E-6</v>
      </c>
      <c r="I5950">
        <v>-37.761519999999997</v>
      </c>
      <c r="J5950">
        <v>-299.89800000000002</v>
      </c>
      <c r="K5950">
        <v>1.11253</v>
      </c>
      <c r="L5950">
        <v>-31.423400000000001</v>
      </c>
      <c r="M5950">
        <v>-2.036746E-2</v>
      </c>
      <c r="N5950">
        <v>0</v>
      </c>
      <c r="O5950">
        <v>-0.99970780000000004</v>
      </c>
      <c r="P5950">
        <v>0.15912689999999999</v>
      </c>
      <c r="Q5950">
        <v>2.6073519999999999E-2</v>
      </c>
      <c r="R5950">
        <v>-0.98691399999999996</v>
      </c>
      <c r="S5950">
        <v>1.1987920000000001</v>
      </c>
      <c r="T5950">
        <v>-0.48444009999999998</v>
      </c>
      <c r="U5950">
        <v>-2.8622740000000002</v>
      </c>
      <c r="V5950">
        <v>-0.17941699999999999</v>
      </c>
      <c r="W5950">
        <v>3.786262E-2</v>
      </c>
      <c r="X5950">
        <v>0.98304420000000003</v>
      </c>
      <c r="Y5950">
        <v>-0.40042630000000001</v>
      </c>
      <c r="Z5950">
        <v>0.1535503</v>
      </c>
      <c r="AA5950">
        <v>0.90337199999999995</v>
      </c>
      <c r="AB5950">
        <v>23</v>
      </c>
      <c r="AC5950">
        <v>2.7542999999999398</v>
      </c>
      <c r="AD5950">
        <v>-1.112531641503</v>
      </c>
      <c r="AE5950">
        <v>-6.33812</v>
      </c>
      <c r="AF5950">
        <v>-2.8100049290243798</v>
      </c>
      <c r="AG5950">
        <v>-1.112531641503</v>
      </c>
      <c r="AH5950">
        <v>6.1220392813567903</v>
      </c>
      <c r="AI5950">
        <v>99.378241790790099</v>
      </c>
      <c r="AJ5950">
        <v>114.65503711002999</v>
      </c>
      <c r="AK5950">
        <v>6.8273874444740796</v>
      </c>
      <c r="AL5950">
        <v>87.830112943235093</v>
      </c>
      <c r="AM5950">
        <v>100.343302050064</v>
      </c>
      <c r="AN5950">
        <v>0.99999996851795103</v>
      </c>
    </row>
    <row r="5951" spans="1:40" x14ac:dyDescent="0.25">
      <c r="A5951" t="str">
        <f>"20190312151143615"</f>
        <v>20190312151143615</v>
      </c>
      <c r="B5951" t="str">
        <f>"1552374703607342"</f>
        <v>1552374703607342</v>
      </c>
      <c r="C5951" t="s">
        <v>40</v>
      </c>
      <c r="D5951">
        <v>5.2976749999999999</v>
      </c>
      <c r="E5951">
        <v>0.40432180000000001</v>
      </c>
      <c r="F5951" t="s">
        <v>42</v>
      </c>
      <c r="G5951">
        <v>-297.185</v>
      </c>
      <c r="H5951" s="1">
        <v>-1.6533159999999999E-6</v>
      </c>
      <c r="I5951">
        <v>-37.694560000000003</v>
      </c>
      <c r="J5951">
        <v>-299.89839999999998</v>
      </c>
      <c r="K5951">
        <v>1.11263</v>
      </c>
      <c r="L5951">
        <v>-31.66159</v>
      </c>
      <c r="M5951">
        <v>-1.6422659999999999E-2</v>
      </c>
      <c r="N5951">
        <v>0</v>
      </c>
      <c r="O5951">
        <v>-0.99977959999999999</v>
      </c>
      <c r="P5951">
        <v>0.16284770000000001</v>
      </c>
      <c r="Q5951">
        <v>2.5475870000000001E-2</v>
      </c>
      <c r="R5951">
        <v>-0.98632229999999999</v>
      </c>
      <c r="S5951">
        <v>1.2347410000000001</v>
      </c>
      <c r="T5951">
        <v>-0.50632349999999904</v>
      </c>
      <c r="U5951">
        <v>-2.8540649999999999</v>
      </c>
      <c r="V5951">
        <v>-0.17925089999999999</v>
      </c>
      <c r="W5951">
        <v>3.7265560000000003E-2</v>
      </c>
      <c r="X5951">
        <v>0.98309740000000001</v>
      </c>
      <c r="Y5951">
        <v>-0.40694809999999998</v>
      </c>
      <c r="Z5951">
        <v>0.16011719999999999</v>
      </c>
      <c r="AA5951">
        <v>0.89930849999999996</v>
      </c>
      <c r="AB5951">
        <v>23</v>
      </c>
      <c r="AC5951">
        <v>2.7133999999999698</v>
      </c>
      <c r="AD5951">
        <v>-1.1126316533159999</v>
      </c>
      <c r="AE5951">
        <v>-6.03296999999999</v>
      </c>
      <c r="AF5951">
        <v>-2.7347537404490398</v>
      </c>
      <c r="AG5951">
        <v>-1.1126316533159999</v>
      </c>
      <c r="AH5951">
        <v>5.8228624726800904</v>
      </c>
      <c r="AI5951">
        <v>99.812493185200793</v>
      </c>
      <c r="AJ5951">
        <v>115.157471013387</v>
      </c>
      <c r="AK5951">
        <v>6.5285951469367998</v>
      </c>
      <c r="AL5951">
        <v>87.864346303456898</v>
      </c>
      <c r="AM5951">
        <v>100.333385705922</v>
      </c>
      <c r="AN5951">
        <v>1.00000005249984</v>
      </c>
    </row>
    <row r="5952" spans="1:40" x14ac:dyDescent="0.25">
      <c r="A5952" t="str">
        <f>"20190312151143637"</f>
        <v>20190312151143637</v>
      </c>
      <c r="B5952" t="str">
        <f>"1552374703626863"</f>
        <v>1552374703626863</v>
      </c>
      <c r="C5952" t="s">
        <v>40</v>
      </c>
      <c r="D5952">
        <v>5.2948519999999997</v>
      </c>
      <c r="E5952">
        <v>0.4033582</v>
      </c>
      <c r="F5952" t="s">
        <v>42</v>
      </c>
      <c r="G5952">
        <v>-297.2045</v>
      </c>
      <c r="H5952" s="1">
        <v>-1.62410599999999E-6</v>
      </c>
      <c r="I5952">
        <v>-37.765120000000003</v>
      </c>
      <c r="J5952">
        <v>-299.89780000000002</v>
      </c>
      <c r="K5952">
        <v>1.112733</v>
      </c>
      <c r="L5952">
        <v>-31.89395</v>
      </c>
      <c r="M5952">
        <v>-1.2424839999999999E-2</v>
      </c>
      <c r="N5952">
        <v>0</v>
      </c>
      <c r="O5952">
        <v>-0.99983690000000003</v>
      </c>
      <c r="P5952">
        <v>0.16764949999999901</v>
      </c>
      <c r="Q5952">
        <v>2.551252E-2</v>
      </c>
      <c r="R5952">
        <v>-0.98551650000000002</v>
      </c>
      <c r="S5952">
        <v>1.2568049999999999</v>
      </c>
      <c r="T5952">
        <v>-0.51908019999999999</v>
      </c>
      <c r="U5952">
        <v>-2.8475039999999998</v>
      </c>
      <c r="V5952">
        <v>-0.1801169</v>
      </c>
      <c r="W5952">
        <v>3.7291770000000002E-2</v>
      </c>
      <c r="X5952">
        <v>0.98293810000000004</v>
      </c>
      <c r="Y5952">
        <v>-0.40964790000000001</v>
      </c>
      <c r="Z5952">
        <v>0.16404549999999901</v>
      </c>
      <c r="AA5952">
        <v>0.89737269999999902</v>
      </c>
      <c r="AB5952">
        <v>23</v>
      </c>
      <c r="AC5952">
        <v>2.6933000000000198</v>
      </c>
      <c r="AD5952">
        <v>-1.1127346241060001</v>
      </c>
      <c r="AE5952">
        <v>-5.8711700000000002</v>
      </c>
      <c r="AF5952">
        <v>-2.6863296075307899</v>
      </c>
      <c r="AG5952">
        <v>-1.1127346241060001</v>
      </c>
      <c r="AH5952">
        <v>5.6690213063252397</v>
      </c>
      <c r="AI5952">
        <v>100.05831261471801</v>
      </c>
      <c r="AJ5952">
        <v>115.354460793299</v>
      </c>
      <c r="AK5952">
        <v>6.3712124180214298</v>
      </c>
      <c r="AL5952">
        <v>87.862843512227897</v>
      </c>
      <c r="AM5952">
        <v>100.383871399022</v>
      </c>
      <c r="AN5952">
        <v>1.00000004110347</v>
      </c>
    </row>
    <row r="5953" spans="1:40" x14ac:dyDescent="0.25">
      <c r="A5953" t="str">
        <f>"20190312151143660"</f>
        <v>20190312151143660</v>
      </c>
      <c r="B5953" t="str">
        <f>"1552374703647358"</f>
        <v>1552374703647358</v>
      </c>
      <c r="C5953" t="s">
        <v>40</v>
      </c>
      <c r="D5953">
        <v>5.2952349999999999</v>
      </c>
      <c r="E5953">
        <v>0.4029585</v>
      </c>
      <c r="F5953" t="s">
        <v>42</v>
      </c>
      <c r="G5953">
        <v>-297.19569999999999</v>
      </c>
      <c r="H5953" s="1">
        <v>-1.581354E-6</v>
      </c>
      <c r="I5953">
        <v>-37.897620000000003</v>
      </c>
      <c r="J5953">
        <v>-299.89600000000002</v>
      </c>
      <c r="K5953">
        <v>1.1128370000000001</v>
      </c>
      <c r="L5953">
        <v>-32.12677</v>
      </c>
      <c r="M5953">
        <v>-8.2551029999999997E-3</v>
      </c>
      <c r="N5953">
        <v>0</v>
      </c>
      <c r="O5953">
        <v>-0.99987969999999904</v>
      </c>
      <c r="P5953">
        <v>0.1727243</v>
      </c>
      <c r="Q5953">
        <v>2.6191519999999999E-2</v>
      </c>
      <c r="R5953">
        <v>-0.98462209999999994</v>
      </c>
      <c r="S5953">
        <v>1.2783199999999999</v>
      </c>
      <c r="T5953">
        <v>-0.52642230000000001</v>
      </c>
      <c r="U5953">
        <v>-2.840271</v>
      </c>
      <c r="V5953">
        <v>-0.18109520000000001</v>
      </c>
      <c r="W5953">
        <v>3.7955049999999997E-2</v>
      </c>
      <c r="X5953">
        <v>0.98273290000000002</v>
      </c>
      <c r="Y5953">
        <v>-0.41220879999999999</v>
      </c>
      <c r="Z5953">
        <v>0.16634499999999999</v>
      </c>
      <c r="AA5953">
        <v>0.89577530000000005</v>
      </c>
      <c r="AB5953">
        <v>23</v>
      </c>
      <c r="AC5953">
        <v>2.7002999999999702</v>
      </c>
      <c r="AD5953">
        <v>-1.112838581354</v>
      </c>
      <c r="AE5953">
        <v>-5.7708500000000003</v>
      </c>
      <c r="AF5953">
        <v>-2.6665041019854701</v>
      </c>
      <c r="AG5953">
        <v>-1.112838581354</v>
      </c>
      <c r="AH5953">
        <v>5.5781866220643197</v>
      </c>
      <c r="AI5953">
        <v>100.203465655107</v>
      </c>
      <c r="AJ5953">
        <v>115.548894023508</v>
      </c>
      <c r="AK5953">
        <v>6.2821031370579004</v>
      </c>
      <c r="AL5953">
        <v>87.824813364202399</v>
      </c>
      <c r="AM5953">
        <v>100.44116626524701</v>
      </c>
      <c r="AN5953">
        <v>1.00000000501297</v>
      </c>
    </row>
    <row r="5954" spans="1:40" x14ac:dyDescent="0.25">
      <c r="A5954" t="str">
        <f>"20190312151143682"</f>
        <v>20190312151143682</v>
      </c>
      <c r="B5954" t="str">
        <f>"1552374703677615"</f>
        <v>1552374703677615</v>
      </c>
      <c r="C5954" t="s">
        <v>40</v>
      </c>
      <c r="D5954">
        <v>5.3269929999999999</v>
      </c>
      <c r="E5954">
        <v>0.40263379999999999</v>
      </c>
      <c r="F5954" t="s">
        <v>42</v>
      </c>
      <c r="G5954">
        <v>-297.12090000000001</v>
      </c>
      <c r="H5954" s="1">
        <v>-1.501119E-6</v>
      </c>
      <c r="I5954">
        <v>-38.19191</v>
      </c>
      <c r="J5954">
        <v>-299.89299999999997</v>
      </c>
      <c r="K5954">
        <v>1.112933</v>
      </c>
      <c r="L5954">
        <v>-32.359409999999997</v>
      </c>
      <c r="M5954">
        <v>-3.9316780000000001E-3</v>
      </c>
      <c r="N5954">
        <v>0</v>
      </c>
      <c r="O5954">
        <v>-0.9999053</v>
      </c>
      <c r="P5954">
        <v>0.17821719999999999</v>
      </c>
      <c r="Q5954">
        <v>2.6432279999999999E-2</v>
      </c>
      <c r="R5954">
        <v>-0.98363579999999995</v>
      </c>
      <c r="S5954">
        <v>1.2963559999999901</v>
      </c>
      <c r="T5954">
        <v>-0.51985340000000002</v>
      </c>
      <c r="U5954">
        <v>-2.8332820000000001</v>
      </c>
      <c r="V5954">
        <v>-0.1823418</v>
      </c>
      <c r="W5954">
        <v>3.8175189999999998E-2</v>
      </c>
      <c r="X5954">
        <v>0.98249379999999997</v>
      </c>
      <c r="Y5954">
        <v>-0.41396959999999999</v>
      </c>
      <c r="Z5954">
        <v>0.164428399999999</v>
      </c>
      <c r="AA5954">
        <v>0.89531700000000003</v>
      </c>
      <c r="AB5954">
        <v>23</v>
      </c>
      <c r="AC5954">
        <v>2.77209999999996</v>
      </c>
      <c r="AD5954">
        <v>-1.1129345011189999</v>
      </c>
      <c r="AE5954">
        <v>-5.8324999999999996</v>
      </c>
      <c r="AF5954">
        <v>-2.7143910097149999</v>
      </c>
      <c r="AG5954">
        <v>-1.1129345011189999</v>
      </c>
      <c r="AH5954">
        <v>5.65363440664943</v>
      </c>
      <c r="AI5954">
        <v>100.062921877195</v>
      </c>
      <c r="AJ5954">
        <v>115.646330511063</v>
      </c>
      <c r="AK5954">
        <v>6.3694680909360697</v>
      </c>
      <c r="AL5954">
        <v>87.812191051458797</v>
      </c>
      <c r="AM5954">
        <v>100.513944256145</v>
      </c>
      <c r="AN5954">
        <v>0.99999997209860703</v>
      </c>
    </row>
    <row r="5955" spans="1:40" x14ac:dyDescent="0.25">
      <c r="A5955" t="str">
        <f>"20190312151143705"</f>
        <v>20190312151143705</v>
      </c>
      <c r="B5955" t="str">
        <f>"1552374703697135"</f>
        <v>1552374703697135</v>
      </c>
      <c r="C5955" t="s">
        <v>40</v>
      </c>
      <c r="D5955">
        <v>5.3208419999999998</v>
      </c>
      <c r="E5955">
        <v>0.40220590000000001</v>
      </c>
      <c r="F5955" t="s">
        <v>42</v>
      </c>
      <c r="G5955">
        <v>-297.07709999999997</v>
      </c>
      <c r="H5955" s="1">
        <v>-1.4393060000000001E-6</v>
      </c>
      <c r="I5955">
        <v>-38.407820000000001</v>
      </c>
      <c r="J5955">
        <v>-299.88850000000002</v>
      </c>
      <c r="K5955">
        <v>1.113024</v>
      </c>
      <c r="L5955">
        <v>-32.607640000000004</v>
      </c>
      <c r="M5955">
        <v>8.1708289999999999E-4</v>
      </c>
      <c r="N5955">
        <v>0</v>
      </c>
      <c r="O5955">
        <v>-0.99991240000000003</v>
      </c>
      <c r="P5955">
        <v>0.18433859999999999</v>
      </c>
      <c r="Q5955">
        <v>2.668618E-2</v>
      </c>
      <c r="R5955">
        <v>-0.9825007</v>
      </c>
      <c r="S5955">
        <v>1.3154600000000001</v>
      </c>
      <c r="T5955">
        <v>-0.51990990000000004</v>
      </c>
      <c r="U5955">
        <v>-2.8255309999999998</v>
      </c>
      <c r="V5955">
        <v>-0.18380350000000001</v>
      </c>
      <c r="W5955">
        <v>3.841058E-2</v>
      </c>
      <c r="X5955">
        <v>0.98221219999999998</v>
      </c>
      <c r="Y5955">
        <v>-0.4155681</v>
      </c>
      <c r="Z5955">
        <v>0.16456799999999999</v>
      </c>
      <c r="AA5955">
        <v>0.89455049999999903</v>
      </c>
      <c r="AB5955">
        <v>23</v>
      </c>
      <c r="AC5955">
        <v>2.8114000000000399</v>
      </c>
      <c r="AD5955">
        <v>-1.113025439306</v>
      </c>
      <c r="AE5955">
        <v>-5.8001799999999903</v>
      </c>
      <c r="AF5955">
        <v>-2.72539329673377</v>
      </c>
      <c r="AG5955">
        <v>-1.113025439306</v>
      </c>
      <c r="AH5955">
        <v>5.6344661832873504</v>
      </c>
      <c r="AI5955">
        <v>100.08340022436499</v>
      </c>
      <c r="AJ5955">
        <v>115.813070606045</v>
      </c>
      <c r="AK5955">
        <v>6.35718518064657</v>
      </c>
      <c r="AL5955">
        <v>87.798694255375494</v>
      </c>
      <c r="AM5955">
        <v>100.59929455044001</v>
      </c>
      <c r="AN5955">
        <v>0.99999995254851204</v>
      </c>
    </row>
    <row r="5956" spans="1:40" x14ac:dyDescent="0.25">
      <c r="A5956" t="str">
        <f>"20190312151143726"</f>
        <v>20190312151143726</v>
      </c>
      <c r="B5956" t="str">
        <f>"1552374703717630"</f>
        <v>1552374703717630</v>
      </c>
      <c r="C5956" t="s">
        <v>40</v>
      </c>
      <c r="D5956">
        <v>5.2911910000000004</v>
      </c>
      <c r="E5956">
        <v>0.40194980000000002</v>
      </c>
      <c r="F5956" t="s">
        <v>42</v>
      </c>
      <c r="G5956">
        <v>-297.05180000000001</v>
      </c>
      <c r="H5956" s="1">
        <v>-1.3855189999999901E-6</v>
      </c>
      <c r="I5956">
        <v>-38.585610000000003</v>
      </c>
      <c r="J5956">
        <v>-299.8836</v>
      </c>
      <c r="K5956">
        <v>1.1130899999999999</v>
      </c>
      <c r="L5956">
        <v>-32.822690000000001</v>
      </c>
      <c r="M5956">
        <v>5.0344150000000004E-3</v>
      </c>
      <c r="N5956">
        <v>0</v>
      </c>
      <c r="O5956">
        <v>-0.99989969999999995</v>
      </c>
      <c r="P5956">
        <v>0.19035949999999999</v>
      </c>
      <c r="Q5956">
        <v>2.7606249999999999E-2</v>
      </c>
      <c r="R5956">
        <v>-0.98132620000000004</v>
      </c>
      <c r="S5956">
        <v>1.33667</v>
      </c>
      <c r="T5956">
        <v>-0.52447159999999904</v>
      </c>
      <c r="U5956">
        <v>-2.8168950000000001</v>
      </c>
      <c r="V5956">
        <v>-0.18569630000000001</v>
      </c>
      <c r="W5956">
        <v>3.9309690000000001E-2</v>
      </c>
      <c r="X5956">
        <v>0.98182060000000004</v>
      </c>
      <c r="Y5956">
        <v>-0.41819869999999998</v>
      </c>
      <c r="Z5956">
        <v>0.16606270000000001</v>
      </c>
      <c r="AA5956">
        <v>0.89304699999999904</v>
      </c>
      <c r="AB5956">
        <v>23</v>
      </c>
      <c r="AC5956">
        <v>2.8317999999999799</v>
      </c>
      <c r="AD5956">
        <v>-1.1130913855190001</v>
      </c>
      <c r="AE5956">
        <v>-5.7629199999999896</v>
      </c>
      <c r="AF5956">
        <v>-2.7209830423388799</v>
      </c>
      <c r="AG5956">
        <v>-1.1130913855190001</v>
      </c>
      <c r="AH5956">
        <v>5.6085671143021596</v>
      </c>
      <c r="AI5956">
        <v>100.12395741349199</v>
      </c>
      <c r="AJ5956">
        <v>115.880232623982</v>
      </c>
      <c r="AK5956">
        <v>6.3323570828597502</v>
      </c>
      <c r="AL5956">
        <v>87.747140274420801</v>
      </c>
      <c r="AM5956">
        <v>100.710106360398</v>
      </c>
      <c r="AN5956">
        <v>1.00000002907297</v>
      </c>
    </row>
    <row r="5957" spans="1:40" x14ac:dyDescent="0.25">
      <c r="A5957" t="str">
        <f>"20190312151143748"</f>
        <v>20190312151143748</v>
      </c>
      <c r="B5957" t="str">
        <f>"1552374703737151"</f>
        <v>1552374703737151</v>
      </c>
      <c r="C5957" t="s">
        <v>40</v>
      </c>
      <c r="D5957">
        <v>5.2930529999999996</v>
      </c>
      <c r="E5957">
        <v>0.40166000000000002</v>
      </c>
      <c r="F5957" t="s">
        <v>42</v>
      </c>
      <c r="G5957">
        <v>-297.00959999999998</v>
      </c>
      <c r="H5957" s="1">
        <v>-1.3323740000000001E-6</v>
      </c>
      <c r="I5957">
        <v>-38.774819999999998</v>
      </c>
      <c r="J5957">
        <v>-299.87729999999999</v>
      </c>
      <c r="K5957">
        <v>1.113154</v>
      </c>
      <c r="L5957">
        <v>-33.04663</v>
      </c>
      <c r="M5957">
        <v>9.5285349999999994E-3</v>
      </c>
      <c r="N5957">
        <v>0</v>
      </c>
      <c r="O5957">
        <v>-0.99986660000000005</v>
      </c>
      <c r="P5957">
        <v>0.19676460000000001</v>
      </c>
      <c r="Q5957">
        <v>2.8640249999999999E-2</v>
      </c>
      <c r="R5957">
        <v>-0.98003240000000003</v>
      </c>
      <c r="S5957">
        <v>1.3562320000000001</v>
      </c>
      <c r="T5957">
        <v>-0.52526139999999999</v>
      </c>
      <c r="U5957">
        <v>-2.8087770000000001</v>
      </c>
      <c r="V5957">
        <v>-0.18770990000000001</v>
      </c>
      <c r="W5957">
        <v>4.032264E-2</v>
      </c>
      <c r="X5957">
        <v>0.9813965</v>
      </c>
      <c r="Y5957">
        <v>-0.42016130000000002</v>
      </c>
      <c r="Z5957">
        <v>0.1664089</v>
      </c>
      <c r="AA5957">
        <v>0.89206090000000005</v>
      </c>
      <c r="AB5957">
        <v>23</v>
      </c>
      <c r="AC5957">
        <v>2.8677000000000099</v>
      </c>
      <c r="AD5957">
        <v>-1.113155332374</v>
      </c>
      <c r="AE5957">
        <v>-5.7281899999999899</v>
      </c>
      <c r="AF5957">
        <v>-2.7305328351623199</v>
      </c>
      <c r="AG5957">
        <v>-1.113155332374</v>
      </c>
      <c r="AH5957">
        <v>5.5865659144060302</v>
      </c>
      <c r="AI5957">
        <v>100.149399254548</v>
      </c>
      <c r="AJ5957">
        <v>116.047889751754</v>
      </c>
      <c r="AK5957">
        <v>6.3170121951675497</v>
      </c>
      <c r="AL5957">
        <v>87.689056401298203</v>
      </c>
      <c r="AM5957">
        <v>100.82807916576201</v>
      </c>
      <c r="AN5957">
        <v>1.00000000603341</v>
      </c>
    </row>
    <row r="5958" spans="1:40" x14ac:dyDescent="0.25">
      <c r="A5958" t="str">
        <f>"20190312151143771"</f>
        <v>20190312151143771</v>
      </c>
      <c r="B5958" t="str">
        <f>"1552374703767407"</f>
        <v>1552374703767407</v>
      </c>
      <c r="C5958" t="s">
        <v>40</v>
      </c>
      <c r="D5958">
        <v>5.5691230000000003</v>
      </c>
      <c r="E5958">
        <v>0.40143469999999998</v>
      </c>
      <c r="F5958" t="s">
        <v>42</v>
      </c>
      <c r="G5958">
        <v>-296.95569999999998</v>
      </c>
      <c r="H5958" s="1">
        <v>-1.2746240000000001E-6</v>
      </c>
      <c r="I5958">
        <v>-38.986620000000002</v>
      </c>
      <c r="J5958">
        <v>-299.86970000000002</v>
      </c>
      <c r="K5958">
        <v>1.1132169999999999</v>
      </c>
      <c r="L5958">
        <v>-33.280940000000001</v>
      </c>
      <c r="M5958">
        <v>1.433633E-2</v>
      </c>
      <c r="N5958">
        <v>0</v>
      </c>
      <c r="O5958">
        <v>-0.9998089</v>
      </c>
      <c r="P5958">
        <v>0.20361650000000001</v>
      </c>
      <c r="Q5958">
        <v>2.9033469999999999E-2</v>
      </c>
      <c r="R5958">
        <v>-0.97862009999999999</v>
      </c>
      <c r="S5958">
        <v>1.377167</v>
      </c>
      <c r="T5958">
        <v>-0.52471269999999903</v>
      </c>
      <c r="U5958">
        <v>-2.799957</v>
      </c>
      <c r="V5958">
        <v>-0.18986629999999999</v>
      </c>
      <c r="W5958">
        <v>4.0691409999999997E-2</v>
      </c>
      <c r="X5958">
        <v>0.98096640000000002</v>
      </c>
      <c r="Y5958">
        <v>-0.42230380000000001</v>
      </c>
      <c r="Z5958">
        <v>0.1663461</v>
      </c>
      <c r="AA5958">
        <v>0.89106030000000003</v>
      </c>
      <c r="AB5958">
        <v>23</v>
      </c>
      <c r="AC5958">
        <v>2.9140000000000401</v>
      </c>
      <c r="AD5958">
        <v>-1.11321827462399</v>
      </c>
      <c r="AE5958">
        <v>-5.7056800000000001</v>
      </c>
      <c r="AF5958">
        <v>-2.7489006878821298</v>
      </c>
      <c r="AG5958">
        <v>-1.11321827462399</v>
      </c>
      <c r="AH5958">
        <v>5.5784502489611301</v>
      </c>
      <c r="AI5958">
        <v>100.148671855473</v>
      </c>
      <c r="AJ5958">
        <v>116.232759050426</v>
      </c>
      <c r="AK5958">
        <v>6.3178174315922</v>
      </c>
      <c r="AL5958">
        <v>87.667910160947201</v>
      </c>
      <c r="AM5958">
        <v>100.95416597832801</v>
      </c>
      <c r="AN5958">
        <v>1.0000000403262099</v>
      </c>
    </row>
    <row r="5959" spans="1:40" x14ac:dyDescent="0.25">
      <c r="A5959" t="str">
        <f>"20190312151143792"</f>
        <v>20190312151143792</v>
      </c>
      <c r="B5959" t="str">
        <f>"1552374703786926"</f>
        <v>1552374703786926</v>
      </c>
      <c r="C5959" t="s">
        <v>40</v>
      </c>
      <c r="D5959">
        <v>5.3199209999999999</v>
      </c>
      <c r="E5959">
        <v>0.40132190000000001</v>
      </c>
      <c r="F5959" t="s">
        <v>42</v>
      </c>
      <c r="G5959">
        <v>-296.90159999999997</v>
      </c>
      <c r="H5959" s="1">
        <v>-1.2157150000000001E-6</v>
      </c>
      <c r="I5959">
        <v>-39.202089999999998</v>
      </c>
      <c r="J5959">
        <v>-299.8614</v>
      </c>
      <c r="K5959">
        <v>1.1132660000000001</v>
      </c>
      <c r="L5959">
        <v>-33.500889999999998</v>
      </c>
      <c r="M5959">
        <v>1.8937699999999998E-2</v>
      </c>
      <c r="N5959">
        <v>0</v>
      </c>
      <c r="O5959">
        <v>-0.99973210000000001</v>
      </c>
      <c r="P5959">
        <v>0.2099973</v>
      </c>
      <c r="Q5959">
        <v>2.928969E-2</v>
      </c>
      <c r="R5959">
        <v>-0.9772632</v>
      </c>
      <c r="S5959">
        <v>1.3986209999999999</v>
      </c>
      <c r="T5959">
        <v>-0.52455879999999999</v>
      </c>
      <c r="U5959">
        <v>-2.7900999999999998</v>
      </c>
      <c r="V5959">
        <v>-0.19176000000000001</v>
      </c>
      <c r="W5959">
        <v>4.0923439999999998E-2</v>
      </c>
      <c r="X5959">
        <v>0.98058829999999997</v>
      </c>
      <c r="Y5959">
        <v>-0.4248786</v>
      </c>
      <c r="Z5959">
        <v>0.1664243</v>
      </c>
      <c r="AA5959">
        <v>0.88982079999999997</v>
      </c>
      <c r="AB5959">
        <v>23</v>
      </c>
      <c r="AC5959">
        <v>2.95980000000002</v>
      </c>
      <c r="AD5959">
        <v>-1.1132672157150001</v>
      </c>
      <c r="AE5959">
        <v>-5.7012</v>
      </c>
      <c r="AF5959">
        <v>-2.7681507475987601</v>
      </c>
      <c r="AG5959">
        <v>-1.1132672157150001</v>
      </c>
      <c r="AH5959">
        <v>5.5883873943713098</v>
      </c>
      <c r="AI5959">
        <v>100.121321108475</v>
      </c>
      <c r="AJ5959">
        <v>116.351045852412</v>
      </c>
      <c r="AK5959">
        <v>6.3349898282937804</v>
      </c>
      <c r="AL5959">
        <v>87.6546046905937</v>
      </c>
      <c r="AM5959">
        <v>101.064899468262</v>
      </c>
      <c r="AN5959">
        <v>1.0000000198191601</v>
      </c>
    </row>
    <row r="5960" spans="1:40" x14ac:dyDescent="0.25">
      <c r="A5960" t="str">
        <f>"20190312151143815"</f>
        <v>20190312151143815</v>
      </c>
      <c r="B5960" t="str">
        <f>"1552374703807422"</f>
        <v>1552374703807422</v>
      </c>
      <c r="C5960" t="s">
        <v>40</v>
      </c>
      <c r="D5960">
        <v>5.2858330000000002</v>
      </c>
      <c r="E5960">
        <v>0.40134750000000002</v>
      </c>
      <c r="F5960" t="s">
        <v>42</v>
      </c>
      <c r="G5960">
        <v>-296.86919999999998</v>
      </c>
      <c r="H5960" s="1">
        <v>-1.167638E-6</v>
      </c>
      <c r="I5960">
        <v>-39.368650000000002</v>
      </c>
      <c r="J5960">
        <v>-299.85140000000001</v>
      </c>
      <c r="K5960">
        <v>1.1133169999999999</v>
      </c>
      <c r="L5960">
        <v>-33.731290000000001</v>
      </c>
      <c r="M5960">
        <v>2.384354E-2</v>
      </c>
      <c r="N5960">
        <v>0</v>
      </c>
      <c r="O5960">
        <v>-0.99962700000000004</v>
      </c>
      <c r="P5960">
        <v>0.2160627</v>
      </c>
      <c r="Q5960">
        <v>2.962683E-2</v>
      </c>
      <c r="R5960">
        <v>-0.97593019999999997</v>
      </c>
      <c r="S5960">
        <v>1.4180600000000001</v>
      </c>
      <c r="T5960">
        <v>-0.52760549999999995</v>
      </c>
      <c r="U5960">
        <v>-2.7808839999999999</v>
      </c>
      <c r="V5960">
        <v>-0.19304640000000001</v>
      </c>
      <c r="W5960">
        <v>4.124075E-2</v>
      </c>
      <c r="X5960">
        <v>0.98032249999999999</v>
      </c>
      <c r="Y5960">
        <v>-0.42650070000000001</v>
      </c>
      <c r="Z5960">
        <v>0.16750619999999999</v>
      </c>
      <c r="AA5960">
        <v>0.88884129999999995</v>
      </c>
      <c r="AB5960">
        <v>23</v>
      </c>
      <c r="AC5960">
        <v>2.9822000000000299</v>
      </c>
      <c r="AD5960">
        <v>-1.113318167638</v>
      </c>
      <c r="AE5960">
        <v>-5.6373600000000001</v>
      </c>
      <c r="AF5960">
        <v>-2.7627340668809302</v>
      </c>
      <c r="AG5960">
        <v>-1.113318167638</v>
      </c>
      <c r="AH5960">
        <v>5.5381017211586103</v>
      </c>
      <c r="AI5960">
        <v>100.19773891548699</v>
      </c>
      <c r="AJ5960">
        <v>116.51274578612001</v>
      </c>
      <c r="AK5960">
        <v>6.2883024371126703</v>
      </c>
      <c r="AL5960">
        <v>87.636408659473403</v>
      </c>
      <c r="AM5960">
        <v>101.140221518072</v>
      </c>
      <c r="AN5960">
        <v>0.99999995800988495</v>
      </c>
    </row>
    <row r="5961" spans="1:40" x14ac:dyDescent="0.25">
      <c r="A5961" t="str">
        <f>"20190312151143837"</f>
        <v>20190312151143837</v>
      </c>
      <c r="B5961" t="str">
        <f>"1552374703826942"</f>
        <v>1552374703826942</v>
      </c>
      <c r="C5961" t="s">
        <v>40</v>
      </c>
      <c r="D5961">
        <v>5.3007090000000003</v>
      </c>
      <c r="E5961">
        <v>0.40135290000000001</v>
      </c>
      <c r="F5961" t="s">
        <v>42</v>
      </c>
      <c r="G5961">
        <v>-296.83370000000002</v>
      </c>
      <c r="H5961" s="1">
        <v>-1.1125590000000001E-6</v>
      </c>
      <c r="I5961">
        <v>-39.558230000000002</v>
      </c>
      <c r="J5961">
        <v>-299.84010000000001</v>
      </c>
      <c r="K5961">
        <v>1.1133729999999999</v>
      </c>
      <c r="L5961">
        <v>-33.965850000000003</v>
      </c>
      <c r="M5961">
        <v>2.8923170000000002E-2</v>
      </c>
      <c r="N5961">
        <v>0</v>
      </c>
      <c r="O5961">
        <v>-0.99949270000000001</v>
      </c>
      <c r="P5961">
        <v>0.22226000000000001</v>
      </c>
      <c r="Q5961">
        <v>2.9550420000000001E-2</v>
      </c>
      <c r="R5961">
        <v>-0.97453990000000001</v>
      </c>
      <c r="S5961">
        <v>1.4356990000000001</v>
      </c>
      <c r="T5961">
        <v>-0.5296708</v>
      </c>
      <c r="U5961">
        <v>-2.7722169999999999</v>
      </c>
      <c r="V5961">
        <v>-0.19429930000000001</v>
      </c>
      <c r="W5961">
        <v>4.1144020000000003E-2</v>
      </c>
      <c r="X5961">
        <v>0.98007909999999998</v>
      </c>
      <c r="Y5961">
        <v>-0.42745519999999998</v>
      </c>
      <c r="Z5961">
        <v>0.16829769999999999</v>
      </c>
      <c r="AA5961">
        <v>0.8882331</v>
      </c>
      <c r="AB5961">
        <v>23</v>
      </c>
      <c r="AC5961">
        <v>3.0063999999999802</v>
      </c>
      <c r="AD5961">
        <v>-1.113374112559</v>
      </c>
      <c r="AE5961">
        <v>-5.5923799999999897</v>
      </c>
      <c r="AF5961">
        <v>-2.7585546078776</v>
      </c>
      <c r="AG5961">
        <v>-1.113374112559</v>
      </c>
      <c r="AH5961">
        <v>5.5076459497902404</v>
      </c>
      <c r="AI5961">
        <v>100.245417724429</v>
      </c>
      <c r="AJ5961">
        <v>116.60441600625499</v>
      </c>
      <c r="AK5961">
        <v>6.2596636768599803</v>
      </c>
      <c r="AL5961">
        <v>87.641955794481206</v>
      </c>
      <c r="AM5961">
        <v>101.21341122763</v>
      </c>
      <c r="AN5961">
        <v>1.0000000453095199</v>
      </c>
    </row>
    <row r="5962" spans="1:40" x14ac:dyDescent="0.25">
      <c r="A5962" t="str">
        <f>"20190312151143861"</f>
        <v>20190312151143861</v>
      </c>
      <c r="B5962" t="str">
        <f>"1552374703857199"</f>
        <v>1552374703857199</v>
      </c>
      <c r="C5962" t="s">
        <v>40</v>
      </c>
      <c r="D5962">
        <v>5.3184019999999999</v>
      </c>
      <c r="E5962">
        <v>0.40151540000000002</v>
      </c>
      <c r="F5962" t="s">
        <v>42</v>
      </c>
      <c r="G5962">
        <v>-296.79880000000003</v>
      </c>
      <c r="H5962" s="1">
        <v>-1.057476E-6</v>
      </c>
      <c r="I5962">
        <v>-39.747419999999998</v>
      </c>
      <c r="J5962">
        <v>-299.82760000000002</v>
      </c>
      <c r="K5962">
        <v>1.113415</v>
      </c>
      <c r="L5962">
        <v>-34.194459999999999</v>
      </c>
      <c r="M5962">
        <v>3.3964889999999998E-2</v>
      </c>
      <c r="N5962">
        <v>0</v>
      </c>
      <c r="O5962">
        <v>-0.9993339</v>
      </c>
      <c r="P5962">
        <v>0.22838249999999999</v>
      </c>
      <c r="Q5962">
        <v>2.918927E-2</v>
      </c>
      <c r="R5962">
        <v>-0.97313400000000005</v>
      </c>
      <c r="S5962">
        <v>1.45343</v>
      </c>
      <c r="T5962">
        <v>-0.53208520000000004</v>
      </c>
      <c r="U5962">
        <v>-2.7630309999999998</v>
      </c>
      <c r="V5962">
        <v>-0.19551869999999999</v>
      </c>
      <c r="W5962">
        <v>4.0763830000000001E-2</v>
      </c>
      <c r="X5962">
        <v>0.97985239999999996</v>
      </c>
      <c r="Y5962">
        <v>-0.4285215</v>
      </c>
      <c r="Z5962">
        <v>0.1692092</v>
      </c>
      <c r="AA5962">
        <v>0.88754580000000005</v>
      </c>
      <c r="AB5962">
        <v>23</v>
      </c>
      <c r="AC5962">
        <v>3.02879999999998</v>
      </c>
      <c r="AD5962">
        <v>-1.1134160574759999</v>
      </c>
      <c r="AE5962">
        <v>-5.5529599999999899</v>
      </c>
      <c r="AF5962">
        <v>-2.7531230135226101</v>
      </c>
      <c r="AG5962">
        <v>-1.1134160574759999</v>
      </c>
      <c r="AH5962">
        <v>5.4827521865798303</v>
      </c>
      <c r="AI5962">
        <v>100.286144977321</v>
      </c>
      <c r="AJ5962">
        <v>116.663172989801</v>
      </c>
      <c r="AK5962">
        <v>6.2353791531934197</v>
      </c>
      <c r="AL5962">
        <v>87.663757234760894</v>
      </c>
      <c r="AM5962">
        <v>101.284528941369</v>
      </c>
      <c r="AN5962">
        <v>0.99999998883585905</v>
      </c>
    </row>
    <row r="5963" spans="1:40" x14ac:dyDescent="0.25">
      <c r="A5963" t="str">
        <f>"20190312151143883"</f>
        <v>20190312151143883</v>
      </c>
      <c r="B5963" t="str">
        <f>"1552374703876718"</f>
        <v>1552374703876718</v>
      </c>
      <c r="C5963" t="s">
        <v>40</v>
      </c>
      <c r="D5963">
        <v>5.2767480000000004</v>
      </c>
      <c r="E5963">
        <v>0.40172419999999998</v>
      </c>
      <c r="F5963" t="s">
        <v>42</v>
      </c>
      <c r="G5963">
        <v>-296.77190000000002</v>
      </c>
      <c r="H5963" s="1">
        <v>-1.0053440000000001E-6</v>
      </c>
      <c r="I5963">
        <v>-39.921669999999999</v>
      </c>
      <c r="J5963">
        <v>-299.81310000000002</v>
      </c>
      <c r="K5963">
        <v>1.1134550000000001</v>
      </c>
      <c r="L5963">
        <v>-34.436549999999997</v>
      </c>
      <c r="M5963">
        <v>3.9391290000000002E-2</v>
      </c>
      <c r="N5963">
        <v>0</v>
      </c>
      <c r="O5963">
        <v>-0.99913439999999998</v>
      </c>
      <c r="P5963">
        <v>0.23481769999999999</v>
      </c>
      <c r="Q5963">
        <v>2.8631449999999999E-2</v>
      </c>
      <c r="R5963">
        <v>-0.97161750000000002</v>
      </c>
      <c r="S5963">
        <v>1.4694210000000001</v>
      </c>
      <c r="T5963">
        <v>-0.53540559999999904</v>
      </c>
      <c r="U5963">
        <v>-2.7540279999999999</v>
      </c>
      <c r="V5963">
        <v>-0.19668140000000001</v>
      </c>
      <c r="W5963">
        <v>4.018828E-2</v>
      </c>
      <c r="X5963">
        <v>0.9796435</v>
      </c>
      <c r="Y5963">
        <v>-0.4287512</v>
      </c>
      <c r="Z5963">
        <v>0.17043620000000001</v>
      </c>
      <c r="AA5963">
        <v>0.88720010000000005</v>
      </c>
      <c r="AB5963">
        <v>23</v>
      </c>
      <c r="AC5963">
        <v>3.0411999999999999</v>
      </c>
      <c r="AD5963">
        <v>-1.1134560053439999</v>
      </c>
      <c r="AE5963">
        <v>-5.4851200000000002</v>
      </c>
      <c r="AF5963">
        <v>-2.7365040920290302</v>
      </c>
      <c r="AG5963">
        <v>-1.1134560053439999</v>
      </c>
      <c r="AH5963">
        <v>5.4295399214324496</v>
      </c>
      <c r="AI5963">
        <v>100.377550659829</v>
      </c>
      <c r="AJ5963">
        <v>116.74823856474799</v>
      </c>
      <c r="AK5963">
        <v>6.1812735483844197</v>
      </c>
      <c r="AL5963">
        <v>87.696760960288799</v>
      </c>
      <c r="AM5963">
        <v>101.352255713638</v>
      </c>
      <c r="AN5963">
        <v>1.00000002902378</v>
      </c>
    </row>
    <row r="5964" spans="1:40" x14ac:dyDescent="0.25">
      <c r="A5964" t="str">
        <f>"20190312151143906"</f>
        <v>20190312151143906</v>
      </c>
      <c r="B5964" t="str">
        <f>"1552374703897214"</f>
        <v>1552374703897214</v>
      </c>
      <c r="C5964" t="s">
        <v>40</v>
      </c>
      <c r="D5964">
        <v>5.3067699999999904</v>
      </c>
      <c r="E5964">
        <v>0.40194940000000001</v>
      </c>
      <c r="F5964" t="s">
        <v>42</v>
      </c>
      <c r="G5964">
        <v>-296.7457</v>
      </c>
      <c r="H5964" s="1">
        <v>-9.5086639999999995E-7</v>
      </c>
      <c r="I5964">
        <v>-40.102209999999999</v>
      </c>
      <c r="J5964">
        <v>-299.79750000000001</v>
      </c>
      <c r="K5964">
        <v>1.1134850000000001</v>
      </c>
      <c r="L5964">
        <v>-34.674320000000002</v>
      </c>
      <c r="M5964">
        <v>4.4788290000000001E-2</v>
      </c>
      <c r="N5964">
        <v>0</v>
      </c>
      <c r="O5964">
        <v>-0.99890699999999999</v>
      </c>
      <c r="P5964">
        <v>0.2408913</v>
      </c>
      <c r="Q5964">
        <v>2.794982E-2</v>
      </c>
      <c r="R5964">
        <v>-0.9701497</v>
      </c>
      <c r="S5964">
        <v>1.48584</v>
      </c>
      <c r="T5964">
        <v>-0.53935859999999902</v>
      </c>
      <c r="U5964">
        <v>-2.7444459999999999</v>
      </c>
      <c r="V5964">
        <v>-0.197515</v>
      </c>
      <c r="W5964">
        <v>3.949503E-2</v>
      </c>
      <c r="X5964">
        <v>0.97950389999999998</v>
      </c>
      <c r="Y5964">
        <v>-0.42917309999999997</v>
      </c>
      <c r="Z5964">
        <v>0.17186679999999999</v>
      </c>
      <c r="AA5964">
        <v>0.88671990000000001</v>
      </c>
      <c r="AB5964">
        <v>23</v>
      </c>
      <c r="AC5964">
        <v>3.0518000000000098</v>
      </c>
      <c r="AD5964">
        <v>-1.1134859508663999</v>
      </c>
      <c r="AE5964">
        <v>-5.4278899999999899</v>
      </c>
      <c r="AF5964">
        <v>-2.7186791916331101</v>
      </c>
      <c r="AG5964">
        <v>-1.1134859508663999</v>
      </c>
      <c r="AH5964">
        <v>5.38689265257445</v>
      </c>
      <c r="AI5964">
        <v>100.45537680221901</v>
      </c>
      <c r="AJ5964">
        <v>116.779353011691</v>
      </c>
      <c r="AK5964">
        <v>6.1359335035637699</v>
      </c>
      <c r="AL5964">
        <v>87.736512668600596</v>
      </c>
      <c r="AM5964">
        <v>101.400695270466</v>
      </c>
      <c r="AN5964">
        <v>0.99999996136745395</v>
      </c>
    </row>
    <row r="5965" spans="1:40" x14ac:dyDescent="0.25">
      <c r="A5965" t="str">
        <f>"20190312151143927"</f>
        <v>20190312151143927</v>
      </c>
      <c r="B5965" t="str">
        <f>"1552374703917711"</f>
        <v>1552374703917711</v>
      </c>
      <c r="C5965" t="s">
        <v>40</v>
      </c>
      <c r="D5965">
        <v>5.3036370000000002</v>
      </c>
      <c r="E5965">
        <v>0.40220509999999998</v>
      </c>
      <c r="F5965" t="s">
        <v>42</v>
      </c>
      <c r="G5965">
        <v>-296.72730000000001</v>
      </c>
      <c r="H5965" s="1">
        <v>-8.9810289999999996E-7</v>
      </c>
      <c r="I5965">
        <v>-40.271630000000002</v>
      </c>
      <c r="J5965">
        <v>-299.78300000000002</v>
      </c>
      <c r="K5965">
        <v>1.1134999999999999</v>
      </c>
      <c r="L5965">
        <v>-34.878809999999902</v>
      </c>
      <c r="M5965">
        <v>4.9482020000000002E-2</v>
      </c>
      <c r="N5965">
        <v>0</v>
      </c>
      <c r="O5965">
        <v>-0.9986853</v>
      </c>
      <c r="P5965">
        <v>0.24629860000000001</v>
      </c>
      <c r="Q5965">
        <v>2.7889270000000001E-2</v>
      </c>
      <c r="R5965">
        <v>-0.96879249999999995</v>
      </c>
      <c r="S5965">
        <v>1.500397</v>
      </c>
      <c r="T5965">
        <v>-0.54416119999999901</v>
      </c>
      <c r="U5965">
        <v>-2.7354129999999999</v>
      </c>
      <c r="V5965">
        <v>-0.19837679999999999</v>
      </c>
      <c r="W5965">
        <v>3.9423090000000001E-2</v>
      </c>
      <c r="X5965">
        <v>0.97933269999999994</v>
      </c>
      <c r="Y5965">
        <v>-0.42966520000000002</v>
      </c>
      <c r="Z5965">
        <v>0.17355319999999999</v>
      </c>
      <c r="AA5965">
        <v>0.88615299999999997</v>
      </c>
      <c r="AB5965">
        <v>23</v>
      </c>
      <c r="AC5965">
        <v>3.0556999999999999</v>
      </c>
      <c r="AD5965">
        <v>-1.1135008981029</v>
      </c>
      <c r="AE5965">
        <v>-5.3928200000000004</v>
      </c>
      <c r="AF5965">
        <v>-2.6980142741170399</v>
      </c>
      <c r="AG5965">
        <v>-1.1135008981029</v>
      </c>
      <c r="AH5965">
        <v>5.3643113711965196</v>
      </c>
      <c r="AI5965">
        <v>100.50567950390101</v>
      </c>
      <c r="AJ5965">
        <v>116.70039832319</v>
      </c>
      <c r="AK5965">
        <v>6.1069633829394796</v>
      </c>
      <c r="AL5965">
        <v>87.740637908608207</v>
      </c>
      <c r="AM5965">
        <v>101.45107661035</v>
      </c>
      <c r="AN5965">
        <v>1.0000000360463299</v>
      </c>
    </row>
    <row r="5966" spans="1:40" x14ac:dyDescent="0.25">
      <c r="A5966" t="str">
        <f>"20190312151143948"</f>
        <v>20190312151143948</v>
      </c>
      <c r="B5966" t="str">
        <f>"1552374703937231"</f>
        <v>1552374703937231</v>
      </c>
      <c r="C5966" t="s">
        <v>40</v>
      </c>
      <c r="D5966">
        <v>5.287128</v>
      </c>
      <c r="E5966">
        <v>0.40240759999999998</v>
      </c>
      <c r="F5966" t="s">
        <v>85</v>
      </c>
      <c r="G5966">
        <v>-296.7045</v>
      </c>
      <c r="H5966" s="1">
        <v>-8.9255879999999998E-7</v>
      </c>
      <c r="I5966">
        <v>-40.428550000000001</v>
      </c>
      <c r="J5966">
        <v>-299.7663</v>
      </c>
      <c r="K5966">
        <v>1.1135250000000001</v>
      </c>
      <c r="L5966">
        <v>-35.098019999999998</v>
      </c>
      <c r="M5966">
        <v>5.4571509999999997E-2</v>
      </c>
      <c r="N5966">
        <v>0</v>
      </c>
      <c r="O5966">
        <v>-0.99841999999999997</v>
      </c>
      <c r="P5966">
        <v>0.25217390000000001</v>
      </c>
      <c r="Q5966">
        <v>2.7164230000000001E-2</v>
      </c>
      <c r="R5966">
        <v>-0.96730050000000001</v>
      </c>
      <c r="S5966">
        <v>1.5130920000000001</v>
      </c>
      <c r="T5966">
        <v>-0.54729139999999998</v>
      </c>
      <c r="U5966">
        <v>-2.727722</v>
      </c>
      <c r="V5966">
        <v>-0.19932530000000001</v>
      </c>
      <c r="W5966">
        <v>3.8685499999999998E-2</v>
      </c>
      <c r="X5966">
        <v>0.97916950000000003</v>
      </c>
      <c r="Y5966">
        <v>-0.42919639999999998</v>
      </c>
      <c r="Z5966">
        <v>0.17470749999999999</v>
      </c>
      <c r="AA5966">
        <v>0.88615330000000003</v>
      </c>
      <c r="AB5966">
        <v>23</v>
      </c>
      <c r="AC5966">
        <v>3.0617999999999999</v>
      </c>
      <c r="AD5966">
        <v>-1.1135258925588001</v>
      </c>
      <c r="AE5966">
        <v>-5.3305300000000004</v>
      </c>
      <c r="AF5966">
        <v>-2.67843072042715</v>
      </c>
      <c r="AG5966">
        <v>-1.1135258925588001</v>
      </c>
      <c r="AH5966">
        <v>5.3152821319439401</v>
      </c>
      <c r="AI5966">
        <v>100.596658860338</v>
      </c>
      <c r="AJ5966">
        <v>116.74405125693001</v>
      </c>
      <c r="AK5966">
        <v>6.0552584734005599</v>
      </c>
      <c r="AL5966">
        <v>87.7829309465249</v>
      </c>
      <c r="AM5966">
        <v>101.506237594279</v>
      </c>
      <c r="AN5966">
        <v>1.00000002643029</v>
      </c>
    </row>
    <row r="5967" spans="1:40" x14ac:dyDescent="0.25">
      <c r="A5967" t="str">
        <f>"20190312151143971"</f>
        <v>20190312151143971</v>
      </c>
      <c r="B5967" t="str">
        <f>"1552374703967486"</f>
        <v>1552374703967486</v>
      </c>
      <c r="C5967" t="s">
        <v>40</v>
      </c>
      <c r="D5967">
        <v>5.3099619999999996</v>
      </c>
      <c r="E5967">
        <v>0.4027539</v>
      </c>
      <c r="F5967" t="s">
        <v>85</v>
      </c>
      <c r="G5967">
        <v>-296.68630000000002</v>
      </c>
      <c r="H5967" s="1">
        <v>-9.9401860000000006E-7</v>
      </c>
      <c r="I5967">
        <v>-40.580550000000002</v>
      </c>
      <c r="J5967">
        <v>-299.74759999999998</v>
      </c>
      <c r="K5967">
        <v>1.1135619999999999</v>
      </c>
      <c r="L5967">
        <v>-35.327820000000003</v>
      </c>
      <c r="M5967">
        <v>5.9972459999999998E-2</v>
      </c>
      <c r="N5967">
        <v>0</v>
      </c>
      <c r="O5967">
        <v>-0.99811000000000005</v>
      </c>
      <c r="P5967">
        <v>0.25820650000000001</v>
      </c>
      <c r="Q5967">
        <v>2.6669100000000001E-2</v>
      </c>
      <c r="R5967">
        <v>-0.96572190000000002</v>
      </c>
      <c r="S5967">
        <v>1.527344</v>
      </c>
      <c r="T5967">
        <v>-0.55218990000000001</v>
      </c>
      <c r="U5967">
        <v>-2.71875</v>
      </c>
      <c r="V5967">
        <v>-0.20013739999999999</v>
      </c>
      <c r="W5967">
        <v>3.8175670000000002E-2</v>
      </c>
      <c r="X5967">
        <v>0.9790238</v>
      </c>
      <c r="Y5967">
        <v>-0.42895899999999998</v>
      </c>
      <c r="Z5967">
        <v>0.1764328</v>
      </c>
      <c r="AA5967">
        <v>0.8859264</v>
      </c>
      <c r="AB5967">
        <v>23</v>
      </c>
      <c r="AC5967">
        <v>3.0612999999999602</v>
      </c>
      <c r="AD5967">
        <v>-1.1135629940186</v>
      </c>
      <c r="AE5967">
        <v>-5.2527299999999997</v>
      </c>
      <c r="AF5967">
        <v>-2.65177963493224</v>
      </c>
      <c r="AG5967">
        <v>-1.1135629940186</v>
      </c>
      <c r="AH5967">
        <v>5.2507326130043701</v>
      </c>
      <c r="AI5967">
        <v>100.719560400614</v>
      </c>
      <c r="AJ5967">
        <v>116.795163840683</v>
      </c>
      <c r="AK5967">
        <v>5.9868314446923199</v>
      </c>
      <c r="AL5967">
        <v>87.812163548495704</v>
      </c>
      <c r="AM5967">
        <v>101.55353208010401</v>
      </c>
      <c r="AN5967">
        <v>0.99999998081257402</v>
      </c>
    </row>
    <row r="5968" spans="1:40" x14ac:dyDescent="0.25">
      <c r="A5968" t="str">
        <f>"20190312151143994"</f>
        <v>20190312151143994</v>
      </c>
      <c r="B5968" t="str">
        <f>"1552374703987007"</f>
        <v>1552374703987007</v>
      </c>
      <c r="C5968" t="s">
        <v>40</v>
      </c>
      <c r="D5968">
        <v>5.3134569999999997</v>
      </c>
      <c r="E5968">
        <v>0.40297929999999998</v>
      </c>
      <c r="F5968" t="s">
        <v>85</v>
      </c>
      <c r="G5968">
        <v>-296.66539999999998</v>
      </c>
      <c r="H5968" s="1">
        <v>-1.104555E-6</v>
      </c>
      <c r="I5968">
        <v>-40.745710000000003</v>
      </c>
      <c r="J5968">
        <v>-299.72730000000001</v>
      </c>
      <c r="K5968">
        <v>1.1135930000000001</v>
      </c>
      <c r="L5968">
        <v>-35.560209999999998</v>
      </c>
      <c r="M5968">
        <v>6.5507640000000006E-2</v>
      </c>
      <c r="N5968">
        <v>0</v>
      </c>
      <c r="O5968">
        <v>-0.99776169999999997</v>
      </c>
      <c r="P5968">
        <v>0.26496330000000001</v>
      </c>
      <c r="Q5968">
        <v>2.615984E-2</v>
      </c>
      <c r="R5968">
        <v>-0.96390379999999998</v>
      </c>
      <c r="S5968">
        <v>1.541504</v>
      </c>
      <c r="T5968">
        <v>-0.55693959999999998</v>
      </c>
      <c r="U5968">
        <v>-2.7097169999999999</v>
      </c>
      <c r="V5968">
        <v>-0.2015623</v>
      </c>
      <c r="W5968">
        <v>3.7641519999999998E-2</v>
      </c>
      <c r="X5968">
        <v>0.97875210000000001</v>
      </c>
      <c r="Y5968">
        <v>-0.428587</v>
      </c>
      <c r="Z5968">
        <v>0.17811250000000001</v>
      </c>
      <c r="AA5968">
        <v>0.88577039999999996</v>
      </c>
      <c r="AB5968">
        <v>23</v>
      </c>
      <c r="AC5968">
        <v>3.0619000000000298</v>
      </c>
      <c r="AD5968">
        <v>-1.113594104555</v>
      </c>
      <c r="AE5968">
        <v>-5.1854999999999896</v>
      </c>
      <c r="AF5968">
        <v>-2.6258103506907702</v>
      </c>
      <c r="AG5968">
        <v>-1.113594104555</v>
      </c>
      <c r="AH5968">
        <v>5.1972332172217701</v>
      </c>
      <c r="AI5968">
        <v>100.826746366669</v>
      </c>
      <c r="AJ5968">
        <v>116.804382124349</v>
      </c>
      <c r="AK5968">
        <v>5.9284234786060797</v>
      </c>
      <c r="AL5968">
        <v>87.842790057103599</v>
      </c>
      <c r="AM5968">
        <v>101.63669546612</v>
      </c>
      <c r="AN5968">
        <v>0.99999995903180405</v>
      </c>
    </row>
    <row r="5969" spans="1:40" x14ac:dyDescent="0.25">
      <c r="A5969" t="str">
        <f>"20190312151144016"</f>
        <v>20190312151144016</v>
      </c>
      <c r="B5969" t="str">
        <f>"1552374704007688"</f>
        <v>1552374704007688</v>
      </c>
      <c r="C5969" t="s">
        <v>40</v>
      </c>
      <c r="D5969">
        <v>5.3135289999999999</v>
      </c>
      <c r="E5969">
        <v>0.4031748</v>
      </c>
      <c r="F5969" t="s">
        <v>85</v>
      </c>
      <c r="G5969">
        <v>-296.6311</v>
      </c>
      <c r="H5969" s="1">
        <v>-1.225962E-6</v>
      </c>
      <c r="I5969">
        <v>-40.922330000000002</v>
      </c>
      <c r="J5969">
        <v>-299.70639999999997</v>
      </c>
      <c r="K5969">
        <v>1.11364</v>
      </c>
      <c r="L5969">
        <v>-35.783839999999998</v>
      </c>
      <c r="M5969">
        <v>7.0912899999999904E-2</v>
      </c>
      <c r="N5969">
        <v>0</v>
      </c>
      <c r="O5969">
        <v>-0.99739219999999895</v>
      </c>
      <c r="P5969">
        <v>0.27129540000000002</v>
      </c>
      <c r="Q5969">
        <v>2.6112529999999998E-2</v>
      </c>
      <c r="R5969">
        <v>-0.9621421</v>
      </c>
      <c r="S5969">
        <v>1.5585329999999999</v>
      </c>
      <c r="T5969">
        <v>-0.56054939999999998</v>
      </c>
      <c r="U5969">
        <v>-2.6991269999999998</v>
      </c>
      <c r="V5969">
        <v>-0.20269860000000001</v>
      </c>
      <c r="W5969">
        <v>3.7568619999999997E-2</v>
      </c>
      <c r="X5969">
        <v>0.97852019999999995</v>
      </c>
      <c r="Y5969">
        <v>-0.42928860000000002</v>
      </c>
      <c r="Z5969">
        <v>0.1794299</v>
      </c>
      <c r="AA5969">
        <v>0.88516450000000002</v>
      </c>
      <c r="AB5969">
        <v>23</v>
      </c>
      <c r="AC5969">
        <v>3.0752999999999702</v>
      </c>
      <c r="AD5969">
        <v>-1.1136412259620001</v>
      </c>
      <c r="AE5969">
        <v>-5.1384899999999902</v>
      </c>
      <c r="AF5969">
        <v>-2.6127809437517402</v>
      </c>
      <c r="AG5969">
        <v>-1.1136412259620001</v>
      </c>
      <c r="AH5969">
        <v>5.1650279620096198</v>
      </c>
      <c r="AI5969">
        <v>100.89040707003301</v>
      </c>
      <c r="AJ5969">
        <v>116.833022812238</v>
      </c>
      <c r="AK5969">
        <v>5.89443253320756</v>
      </c>
      <c r="AL5969">
        <v>87.846969862499506</v>
      </c>
      <c r="AM5969">
        <v>101.70318950090901</v>
      </c>
      <c r="AN5969">
        <v>0.99999995272935105</v>
      </c>
    </row>
    <row r="5970" spans="1:40" x14ac:dyDescent="0.25">
      <c r="A5970" t="str">
        <f>"20190312151144039"</f>
        <v>20190312151144039</v>
      </c>
      <c r="B5970" t="str">
        <f>"1552374704027207"</f>
        <v>1552374704027207</v>
      </c>
      <c r="C5970" t="s">
        <v>40</v>
      </c>
      <c r="D5970">
        <v>5.3182869999999998</v>
      </c>
      <c r="E5970">
        <v>0.40328269999999999</v>
      </c>
      <c r="F5970" t="s">
        <v>85</v>
      </c>
      <c r="G5970">
        <v>-296.58780000000002</v>
      </c>
      <c r="H5970" s="1">
        <v>-1.3567099999999999E-6</v>
      </c>
      <c r="I5970">
        <v>-41.109929999999999</v>
      </c>
      <c r="J5970">
        <v>-299.68430000000001</v>
      </c>
      <c r="K5970">
        <v>1.113702</v>
      </c>
      <c r="L5970">
        <v>-36.006349999999998</v>
      </c>
      <c r="M5970">
        <v>7.6383789999999993E-2</v>
      </c>
      <c r="N5970">
        <v>0</v>
      </c>
      <c r="O5970">
        <v>-0.99698799999999999</v>
      </c>
      <c r="P5970">
        <v>0.27818700000000002</v>
      </c>
      <c r="Q5970">
        <v>2.6029070000000001E-2</v>
      </c>
      <c r="R5970">
        <v>-0.96017430000000004</v>
      </c>
      <c r="S5970">
        <v>1.574646</v>
      </c>
      <c r="T5970">
        <v>-0.56231089999999995</v>
      </c>
      <c r="U5970">
        <v>-2.6893009999999999</v>
      </c>
      <c r="V5970">
        <v>-0.20435049999999999</v>
      </c>
      <c r="W5970">
        <v>3.7449009999999998E-2</v>
      </c>
      <c r="X5970">
        <v>0.97818119999999997</v>
      </c>
      <c r="Y5970">
        <v>-0.42964869999999999</v>
      </c>
      <c r="Z5970">
        <v>0.18015210000000001</v>
      </c>
      <c r="AA5970">
        <v>0.88484309999999999</v>
      </c>
      <c r="AB5970">
        <v>23</v>
      </c>
      <c r="AC5970">
        <v>3.09649999999999</v>
      </c>
      <c r="AD5970">
        <v>-1.1137033567100001</v>
      </c>
      <c r="AE5970">
        <v>-5.10358</v>
      </c>
      <c r="AF5970">
        <v>-2.6068498239572002</v>
      </c>
      <c r="AG5970">
        <v>-1.1137033567100001</v>
      </c>
      <c r="AH5970">
        <v>5.1460918520534804</v>
      </c>
      <c r="AI5970">
        <v>100.92706577685701</v>
      </c>
      <c r="AJ5970">
        <v>116.865353202485</v>
      </c>
      <c r="AK5970">
        <v>5.8752244655999304</v>
      </c>
      <c r="AL5970">
        <v>87.853827954847304</v>
      </c>
      <c r="AM5970">
        <v>101.79987655222899</v>
      </c>
      <c r="AN5970">
        <v>1.0000000076168301</v>
      </c>
    </row>
    <row r="5971" spans="1:40" x14ac:dyDescent="0.25">
      <c r="A5971" t="str">
        <f>"20190312151144063"</f>
        <v>20190312151144063</v>
      </c>
      <c r="B5971" t="str">
        <f>"1552374704057464"</f>
        <v>1552374704057464</v>
      </c>
      <c r="C5971" t="s">
        <v>40</v>
      </c>
      <c r="D5971">
        <v>5.3377059999999998</v>
      </c>
      <c r="E5971">
        <v>0.37985780000000002</v>
      </c>
      <c r="F5971" t="s">
        <v>85</v>
      </c>
      <c r="G5971">
        <v>-296.53530000000001</v>
      </c>
      <c r="H5971" s="1">
        <v>-1.4915620000000001E-6</v>
      </c>
      <c r="I5971">
        <v>-41.30012</v>
      </c>
      <c r="J5971">
        <v>-299.65809999999999</v>
      </c>
      <c r="K5971">
        <v>1.113775</v>
      </c>
      <c r="L5971">
        <v>-36.253390000000003</v>
      </c>
      <c r="M5971">
        <v>8.2590789999999997E-2</v>
      </c>
      <c r="N5971">
        <v>0</v>
      </c>
      <c r="O5971">
        <v>-0.99649290000000001</v>
      </c>
      <c r="P5971">
        <v>0.28563240000000001</v>
      </c>
      <c r="Q5971">
        <v>2.632779E-2</v>
      </c>
      <c r="R5971">
        <v>-0.95797770000000004</v>
      </c>
      <c r="S5971">
        <v>1.5930789999999999</v>
      </c>
      <c r="T5971">
        <v>-0.56342539999999997</v>
      </c>
      <c r="U5971">
        <v>-2.678131</v>
      </c>
      <c r="V5971">
        <v>-0.2058624</v>
      </c>
      <c r="W5971">
        <v>3.7707280000000003E-2</v>
      </c>
      <c r="X5971">
        <v>0.97785420000000001</v>
      </c>
      <c r="Y5971">
        <v>-0.43012099999999998</v>
      </c>
      <c r="Z5971">
        <v>0.18068149999999999</v>
      </c>
      <c r="AA5971">
        <v>0.8845056</v>
      </c>
      <c r="AB5971">
        <v>23</v>
      </c>
      <c r="AC5971">
        <v>3.1227999999999798</v>
      </c>
      <c r="AD5971">
        <v>-1.1137764915620001</v>
      </c>
      <c r="AE5971">
        <v>-5.0467299999999904</v>
      </c>
      <c r="AF5971">
        <v>-2.6035798827970198</v>
      </c>
      <c r="AG5971">
        <v>-1.1137764915620001</v>
      </c>
      <c r="AH5971">
        <v>5.1075351441043297</v>
      </c>
      <c r="AI5971">
        <v>100.99445057097</v>
      </c>
      <c r="AJ5971">
        <v>117.010336394269</v>
      </c>
      <c r="AK5971">
        <v>5.8400378018915502</v>
      </c>
      <c r="AL5971">
        <v>87.839019701710995</v>
      </c>
      <c r="AM5971">
        <v>101.888565906563</v>
      </c>
      <c r="AN5971">
        <v>1.00000000157819</v>
      </c>
    </row>
    <row r="5972" spans="1:40" x14ac:dyDescent="0.25">
      <c r="A5972" t="str">
        <f>"20190312151144087"</f>
        <v>20190312151144087</v>
      </c>
      <c r="B5972" t="str">
        <f>"1552374704076984"</f>
        <v>1552374704076984</v>
      </c>
      <c r="C5972" t="s">
        <v>40</v>
      </c>
      <c r="D5972">
        <v>5.3346030000000004</v>
      </c>
      <c r="E5972">
        <v>0.3773533</v>
      </c>
      <c r="F5972" t="s">
        <v>85</v>
      </c>
      <c r="G5972">
        <v>-295.96300000000002</v>
      </c>
      <c r="H5972" s="1">
        <v>-1.858366E-6</v>
      </c>
      <c r="I5972">
        <v>-41.637610000000002</v>
      </c>
      <c r="J5972">
        <v>-299.63060000000002</v>
      </c>
      <c r="K5972">
        <v>1.1138410000000001</v>
      </c>
      <c r="L5972">
        <v>-36.498049999999999</v>
      </c>
      <c r="M5972">
        <v>8.8847519999999999E-2</v>
      </c>
      <c r="N5972">
        <v>0</v>
      </c>
      <c r="O5972">
        <v>-0.99595449999999996</v>
      </c>
      <c r="P5972">
        <v>0.29303469999999998</v>
      </c>
      <c r="Q5972">
        <v>2.6026130000000001E-2</v>
      </c>
      <c r="R5972">
        <v>-0.95574789999999998</v>
      </c>
      <c r="S5972">
        <v>1.7925720000000001</v>
      </c>
      <c r="T5972">
        <v>-0.54031039999999997</v>
      </c>
      <c r="U5972">
        <v>-2.6119690000000002</v>
      </c>
      <c r="V5972">
        <v>-0.2072888</v>
      </c>
      <c r="W5972">
        <v>3.7368480000000003E-2</v>
      </c>
      <c r="X5972">
        <v>0.97756580000000004</v>
      </c>
      <c r="Y5972">
        <v>-0.48202600000000001</v>
      </c>
      <c r="Z5972">
        <v>0.17134829999999901</v>
      </c>
      <c r="AA5972">
        <v>0.85923839999999996</v>
      </c>
      <c r="AB5972">
        <v>23</v>
      </c>
      <c r="AC5972">
        <v>3.6676000000000499</v>
      </c>
      <c r="AD5972">
        <v>-1.1138428583660001</v>
      </c>
      <c r="AE5972">
        <v>-5.1395599999999897</v>
      </c>
      <c r="AF5972">
        <v>-3.0999438480421699</v>
      </c>
      <c r="AG5972">
        <v>-1.1138428583660001</v>
      </c>
      <c r="AH5972">
        <v>5.2807787630976302</v>
      </c>
      <c r="AI5972">
        <v>100.30931815970401</v>
      </c>
      <c r="AJ5972">
        <v>120.413956527286</v>
      </c>
      <c r="AK5972">
        <v>6.2238992696645097</v>
      </c>
      <c r="AL5972">
        <v>87.8584451386658</v>
      </c>
      <c r="AM5972">
        <v>101.972001998023</v>
      </c>
      <c r="AN5972">
        <v>0.99999997161629495</v>
      </c>
    </row>
    <row r="5973" spans="1:40" x14ac:dyDescent="0.25">
      <c r="A5973" t="str">
        <f>"20190312151144108"</f>
        <v>20190312151144108</v>
      </c>
      <c r="B5973" t="str">
        <f>"1552374704097480"</f>
        <v>1552374704097480</v>
      </c>
      <c r="C5973" t="s">
        <v>40</v>
      </c>
      <c r="D5973">
        <v>5.3385049999999996</v>
      </c>
      <c r="E5973">
        <v>0.37661020000000001</v>
      </c>
      <c r="F5973" t="s">
        <v>85</v>
      </c>
      <c r="G5973">
        <v>-295.9554</v>
      </c>
      <c r="H5973" s="1">
        <v>-1.896171E-6</v>
      </c>
      <c r="I5973">
        <v>-41.693919999999999</v>
      </c>
      <c r="J5973">
        <v>-299.60509999999999</v>
      </c>
      <c r="K5973">
        <v>1.113896</v>
      </c>
      <c r="L5973">
        <v>-36.711759999999998</v>
      </c>
      <c r="M5973">
        <v>9.4413469999999999E-2</v>
      </c>
      <c r="N5973">
        <v>0</v>
      </c>
      <c r="O5973">
        <v>-0.99544219999999894</v>
      </c>
      <c r="P5973">
        <v>0.29960639999999999</v>
      </c>
      <c r="Q5973">
        <v>2.6228410000000001E-2</v>
      </c>
      <c r="R5973">
        <v>-0.95370250000000001</v>
      </c>
      <c r="S5973">
        <v>1.833313</v>
      </c>
      <c r="T5973">
        <v>-0.55563750000000001</v>
      </c>
      <c r="U5973">
        <v>-2.5919490000000001</v>
      </c>
      <c r="V5973">
        <v>-0.2085603</v>
      </c>
      <c r="W5973">
        <v>3.7537630000000002E-2</v>
      </c>
      <c r="X5973">
        <v>0.97728879999999996</v>
      </c>
      <c r="Y5973">
        <v>-0.48883369999999998</v>
      </c>
      <c r="Z5973">
        <v>0.175929799999999</v>
      </c>
      <c r="AA5973">
        <v>0.85445319999999902</v>
      </c>
      <c r="AB5973">
        <v>23</v>
      </c>
      <c r="AC5973">
        <v>3.64969999999999</v>
      </c>
      <c r="AD5973">
        <v>-1.113897896171</v>
      </c>
      <c r="AE5973">
        <v>-4.9821599999999897</v>
      </c>
      <c r="AF5973">
        <v>-3.0633186215796901</v>
      </c>
      <c r="AG5973">
        <v>-1.113897896171</v>
      </c>
      <c r="AH5973">
        <v>5.1373933752856296</v>
      </c>
      <c r="AI5973">
        <v>100.549235757939</v>
      </c>
      <c r="AJ5973">
        <v>120.806726652078</v>
      </c>
      <c r="AK5973">
        <v>6.0842008672330801</v>
      </c>
      <c r="AL5973">
        <v>87.848746675048403</v>
      </c>
      <c r="AM5973">
        <v>102.046613769695</v>
      </c>
      <c r="AN5973">
        <v>0.99999993550377098</v>
      </c>
    </row>
    <row r="5974" spans="1:40" x14ac:dyDescent="0.25">
      <c r="A5974" t="str">
        <f>"20190312151144128"</f>
        <v>20190312151144128</v>
      </c>
      <c r="B5974" t="str">
        <f>"1552374704117507"</f>
        <v>1552374704117507</v>
      </c>
      <c r="C5974" t="s">
        <v>40</v>
      </c>
      <c r="D5974">
        <v>5.355302</v>
      </c>
      <c r="E5974">
        <v>0.37663930000000001</v>
      </c>
      <c r="F5974" t="s">
        <v>85</v>
      </c>
      <c r="G5974">
        <v>-295.93239999999997</v>
      </c>
      <c r="H5974" s="1">
        <v>-1.9741220000000001E-6</v>
      </c>
      <c r="I5974">
        <v>-41.806919999999998</v>
      </c>
      <c r="J5974">
        <v>-299.58089999999999</v>
      </c>
      <c r="K5974">
        <v>1.113944</v>
      </c>
      <c r="L5974">
        <v>-36.904940000000003</v>
      </c>
      <c r="M5974">
        <v>9.9536059999999996E-2</v>
      </c>
      <c r="N5974">
        <v>0</v>
      </c>
      <c r="O5974">
        <v>-0.99494280000000002</v>
      </c>
      <c r="P5974">
        <v>0.30617060000000001</v>
      </c>
      <c r="Q5974">
        <v>2.652498E-2</v>
      </c>
      <c r="R5974">
        <v>-0.95160699999999998</v>
      </c>
      <c r="S5974">
        <v>1.85788</v>
      </c>
      <c r="T5974">
        <v>-0.5634865</v>
      </c>
      <c r="U5974">
        <v>-2.5774840000000001</v>
      </c>
      <c r="V5974">
        <v>-0.21027190000000001</v>
      </c>
      <c r="W5974">
        <v>3.7795910000000002E-2</v>
      </c>
      <c r="X5974">
        <v>0.97691209999999995</v>
      </c>
      <c r="Y5974">
        <v>-0.49175089999999999</v>
      </c>
      <c r="Z5974">
        <v>0.17838679999999901</v>
      </c>
      <c r="AA5974">
        <v>0.85226710000000006</v>
      </c>
      <c r="AB5974">
        <v>23</v>
      </c>
      <c r="AC5974">
        <v>3.6485000000000101</v>
      </c>
      <c r="AD5974">
        <v>-1.1139459741219999</v>
      </c>
      <c r="AE5974">
        <v>-4.9019799999999902</v>
      </c>
      <c r="AF5974">
        <v>-3.0413433237407901</v>
      </c>
      <c r="AG5974">
        <v>-1.1139459741219999</v>
      </c>
      <c r="AH5974">
        <v>5.0722661492427203</v>
      </c>
      <c r="AI5974">
        <v>100.666771512103</v>
      </c>
      <c r="AJ5974">
        <v>120.947006055222</v>
      </c>
      <c r="AK5974">
        <v>6.0181831755837196</v>
      </c>
      <c r="AL5974">
        <v>87.833938009227396</v>
      </c>
      <c r="AM5974">
        <v>102.14709804255</v>
      </c>
      <c r="AN5974">
        <v>1.0000000269343701</v>
      </c>
    </row>
    <row r="5975" spans="1:40" x14ac:dyDescent="0.25">
      <c r="A5975" t="str">
        <f>"20190312151144150"</f>
        <v>20190312151144150</v>
      </c>
      <c r="B5975" t="str">
        <f>"1552374704147763"</f>
        <v>1552374704147763</v>
      </c>
      <c r="C5975" t="s">
        <v>40</v>
      </c>
      <c r="D5975">
        <v>5.343947</v>
      </c>
      <c r="E5975">
        <v>0.37694220000000001</v>
      </c>
      <c r="F5975" t="s">
        <v>85</v>
      </c>
      <c r="G5975">
        <v>-295.9282</v>
      </c>
      <c r="H5975" s="1">
        <v>-2.0340520000000001E-6</v>
      </c>
      <c r="I5975">
        <v>-41.899439999999998</v>
      </c>
      <c r="J5975">
        <v>-299.55130000000003</v>
      </c>
      <c r="K5975">
        <v>1.1140080000000001</v>
      </c>
      <c r="L5975">
        <v>-37.130920000000003</v>
      </c>
      <c r="M5975">
        <v>0.10564610000000001</v>
      </c>
      <c r="N5975">
        <v>0</v>
      </c>
      <c r="O5975">
        <v>-0.99431250000000004</v>
      </c>
      <c r="P5975">
        <v>0.31351639999999997</v>
      </c>
      <c r="Q5975">
        <v>2.622445E-2</v>
      </c>
      <c r="R5975">
        <v>-0.94922099999999998</v>
      </c>
      <c r="S5975">
        <v>1.8758539999999999</v>
      </c>
      <c r="T5975">
        <v>-0.57207039999999998</v>
      </c>
      <c r="U5975">
        <v>-2.5649410000000001</v>
      </c>
      <c r="V5975">
        <v>-0.2118237</v>
      </c>
      <c r="W5975">
        <v>3.7452350000000002E-2</v>
      </c>
      <c r="X5975">
        <v>0.97658999999999996</v>
      </c>
      <c r="Y5975">
        <v>-0.49201319999999998</v>
      </c>
      <c r="Z5975">
        <v>0.1811798</v>
      </c>
      <c r="AA5975">
        <v>0.85152629999999996</v>
      </c>
      <c r="AB5975">
        <v>23</v>
      </c>
      <c r="AC5975">
        <v>3.62310000000002</v>
      </c>
      <c r="AD5975">
        <v>-1.1140100340519901</v>
      </c>
      <c r="AE5975">
        <v>-4.7685199999999996</v>
      </c>
      <c r="AF5975">
        <v>-2.9953545190038602</v>
      </c>
      <c r="AG5975">
        <v>-1.1140100340519901</v>
      </c>
      <c r="AH5975">
        <v>4.95323926955344</v>
      </c>
      <c r="AI5975">
        <v>100.893516449328</v>
      </c>
      <c r="AJ5975">
        <v>121.162460807313</v>
      </c>
      <c r="AK5975">
        <v>5.8947219028493398</v>
      </c>
      <c r="AL5975">
        <v>87.853636421753507</v>
      </c>
      <c r="AM5975">
        <v>102.23796608244599</v>
      </c>
      <c r="AN5975">
        <v>0.999999993251106</v>
      </c>
    </row>
    <row r="5976" spans="1:40" x14ac:dyDescent="0.25">
      <c r="A5976" t="str">
        <f>"20190312151144173"</f>
        <v>20190312151144173</v>
      </c>
      <c r="B5976" t="str">
        <f>"1552374704167286"</f>
        <v>1552374704167286</v>
      </c>
      <c r="C5976" t="s">
        <v>40</v>
      </c>
      <c r="D5976">
        <v>5.3383560000000001</v>
      </c>
      <c r="E5976">
        <v>0.37746469999999999</v>
      </c>
      <c r="F5976" t="s">
        <v>85</v>
      </c>
      <c r="G5976">
        <v>-295.92439999999999</v>
      </c>
      <c r="H5976" s="1">
        <v>-2.109007E-6</v>
      </c>
      <c r="I5976">
        <v>-42.015790000000003</v>
      </c>
      <c r="J5976">
        <v>-299.52019999999999</v>
      </c>
      <c r="K5976">
        <v>1.114077</v>
      </c>
      <c r="L5976">
        <v>-37.356319999999997</v>
      </c>
      <c r="M5976">
        <v>0.111868</v>
      </c>
      <c r="N5976">
        <v>0</v>
      </c>
      <c r="O5976">
        <v>-0.99363140000000005</v>
      </c>
      <c r="P5976">
        <v>0.3206967</v>
      </c>
      <c r="Q5976">
        <v>2.6011300000000001E-2</v>
      </c>
      <c r="R5976">
        <v>-0.94682469999999996</v>
      </c>
      <c r="S5976">
        <v>1.894012</v>
      </c>
      <c r="T5976">
        <v>-0.58176269999999997</v>
      </c>
      <c r="U5976">
        <v>-2.5509949999999999</v>
      </c>
      <c r="V5976">
        <v>-0.2131122</v>
      </c>
      <c r="W5976">
        <v>3.7196460000000001E-2</v>
      </c>
      <c r="X5976">
        <v>0.97631939999999995</v>
      </c>
      <c r="Y5976">
        <v>-0.49238229999999999</v>
      </c>
      <c r="Z5976">
        <v>0.1843611</v>
      </c>
      <c r="AA5976">
        <v>0.85062959999999999</v>
      </c>
      <c r="AB5976">
        <v>23</v>
      </c>
      <c r="AC5976">
        <v>3.5957999999999899</v>
      </c>
      <c r="AD5976">
        <v>-1.1140791090069999</v>
      </c>
      <c r="AE5976">
        <v>-4.65946999999999</v>
      </c>
      <c r="AF5976">
        <v>-2.9463635667335502</v>
      </c>
      <c r="AG5976">
        <v>-1.1140791090069999</v>
      </c>
      <c r="AH5976">
        <v>4.8584307884982101</v>
      </c>
      <c r="AI5976">
        <v>101.09330121072</v>
      </c>
      <c r="AJ5976">
        <v>121.234443072419</v>
      </c>
      <c r="AK5976">
        <v>5.7902141804192402</v>
      </c>
      <c r="AL5976">
        <v>87.868308030885899</v>
      </c>
      <c r="AM5976">
        <v>102.313452788365</v>
      </c>
      <c r="AN5976">
        <v>0.99999997862086498</v>
      </c>
    </row>
    <row r="5977" spans="1:40" x14ac:dyDescent="0.25">
      <c r="A5977" t="str">
        <f>"20190312151144194"</f>
        <v>20190312151144194</v>
      </c>
      <c r="B5977" t="str">
        <f>"1552374704186803"</f>
        <v>1552374704186803</v>
      </c>
      <c r="C5977" t="s">
        <v>40</v>
      </c>
      <c r="D5977">
        <v>5.3315320000000002</v>
      </c>
      <c r="E5977">
        <v>0.37794830000000001</v>
      </c>
      <c r="F5977" t="s">
        <v>85</v>
      </c>
      <c r="G5977">
        <v>-295.85770000000002</v>
      </c>
      <c r="H5977" s="1">
        <v>-2.2565770000000001E-6</v>
      </c>
      <c r="I5977">
        <v>-42.220010000000002</v>
      </c>
      <c r="J5977">
        <v>-299.48869999999999</v>
      </c>
      <c r="K5977">
        <v>1.11416</v>
      </c>
      <c r="L5977">
        <v>-37.57376</v>
      </c>
      <c r="M5977">
        <v>0.117995</v>
      </c>
      <c r="N5977">
        <v>0</v>
      </c>
      <c r="O5977">
        <v>-0.99292239999999998</v>
      </c>
      <c r="P5977">
        <v>0.3271635</v>
      </c>
      <c r="Q5977">
        <v>2.6001710000000001E-2</v>
      </c>
      <c r="R5977">
        <v>-0.94461019999999896</v>
      </c>
      <c r="S5977">
        <v>1.9106449999999999</v>
      </c>
      <c r="T5977">
        <v>-0.58119390000000004</v>
      </c>
      <c r="U5977">
        <v>-2.5372919999999999</v>
      </c>
      <c r="V5977">
        <v>-0.2137723</v>
      </c>
      <c r="W5977">
        <v>3.7150250000000003E-2</v>
      </c>
      <c r="X5977">
        <v>0.97617690000000001</v>
      </c>
      <c r="Y5977">
        <v>-0.49280649999999998</v>
      </c>
      <c r="Z5977">
        <v>0.18441759999999999</v>
      </c>
      <c r="AA5977">
        <v>0.85037169999999895</v>
      </c>
      <c r="AB5977">
        <v>23</v>
      </c>
      <c r="AC5977">
        <v>3.63099999999997</v>
      </c>
      <c r="AD5977">
        <v>-1.114162256577</v>
      </c>
      <c r="AE5977">
        <v>-4.6462499999999904</v>
      </c>
      <c r="AF5977">
        <v>-2.9519602913262801</v>
      </c>
      <c r="AG5977">
        <v>-1.114162256577</v>
      </c>
      <c r="AH5977">
        <v>4.8684605000846801</v>
      </c>
      <c r="AI5977">
        <v>101.072296145896</v>
      </c>
      <c r="AJ5977">
        <v>121.230263523281</v>
      </c>
      <c r="AK5977">
        <v>5.80149418136679</v>
      </c>
      <c r="AL5977">
        <v>87.870957628129403</v>
      </c>
      <c r="AM5977">
        <v>102.352171602203</v>
      </c>
      <c r="AN5977">
        <v>1.0000000387079799</v>
      </c>
    </row>
    <row r="5978" spans="1:40" x14ac:dyDescent="0.25">
      <c r="A5978" t="str">
        <f>"20190312151144218"</f>
        <v>20190312151144218</v>
      </c>
      <c r="B5978" t="str">
        <f>"1552374704207299"</f>
        <v>1552374704207299</v>
      </c>
      <c r="C5978" t="s">
        <v>40</v>
      </c>
      <c r="D5978">
        <v>5.3141369999999997</v>
      </c>
      <c r="E5978">
        <v>0.37840119999999999</v>
      </c>
      <c r="F5978" t="s">
        <v>85</v>
      </c>
      <c r="G5978">
        <v>-295.80990000000003</v>
      </c>
      <c r="H5978" s="1">
        <v>-2.3831760000000001E-6</v>
      </c>
      <c r="I5978">
        <v>-42.399180000000001</v>
      </c>
      <c r="J5978">
        <v>-299.45350000000002</v>
      </c>
      <c r="K5978">
        <v>1.1142459999999901</v>
      </c>
      <c r="L5978">
        <v>-37.805300000000003</v>
      </c>
      <c r="M5978">
        <v>0.1246597</v>
      </c>
      <c r="N5978">
        <v>0</v>
      </c>
      <c r="O5978">
        <v>-0.99210750000000003</v>
      </c>
      <c r="P5978">
        <v>0.33456760000000002</v>
      </c>
      <c r="Q5978">
        <v>2.618591E-2</v>
      </c>
      <c r="R5978">
        <v>-0.94200819999999996</v>
      </c>
      <c r="S5978">
        <v>1.9251400000000001</v>
      </c>
      <c r="T5978">
        <v>-0.58304909999999999</v>
      </c>
      <c r="U5978">
        <v>-2.5251769999999998</v>
      </c>
      <c r="V5978">
        <v>-0.21489</v>
      </c>
      <c r="W5978">
        <v>3.728795E-2</v>
      </c>
      <c r="X5978">
        <v>0.97592619999999997</v>
      </c>
      <c r="Y5978">
        <v>-0.49196509999999999</v>
      </c>
      <c r="Z5978">
        <v>0.18520310000000001</v>
      </c>
      <c r="AA5978">
        <v>0.850687999999999</v>
      </c>
      <c r="AB5978">
        <v>23</v>
      </c>
      <c r="AC5978">
        <v>3.64359999999999</v>
      </c>
      <c r="AD5978">
        <v>-1.1142483831759999</v>
      </c>
      <c r="AE5978">
        <v>-4.5938799999999897</v>
      </c>
      <c r="AF5978">
        <v>-2.9364065728137101</v>
      </c>
      <c r="AG5978">
        <v>-1.1142483831759999</v>
      </c>
      <c r="AH5978">
        <v>4.8375906987276798</v>
      </c>
      <c r="AI5978">
        <v>101.138878183876</v>
      </c>
      <c r="AJ5978">
        <v>121.257655725124</v>
      </c>
      <c r="AK5978">
        <v>5.7676959688154898</v>
      </c>
      <c r="AL5978">
        <v>87.863062501242197</v>
      </c>
      <c r="AM5978">
        <v>102.41784710032699</v>
      </c>
      <c r="AN5978">
        <v>1.0000000255808199</v>
      </c>
    </row>
    <row r="5979" spans="1:40" x14ac:dyDescent="0.25">
      <c r="A5979" t="str">
        <f>"20190312151144239"</f>
        <v>20190312151144239</v>
      </c>
      <c r="B5979" t="str">
        <f>"1552374704227795"</f>
        <v>1552374704227795</v>
      </c>
      <c r="C5979" t="s">
        <v>40</v>
      </c>
      <c r="D5979">
        <v>5.3192789999999999</v>
      </c>
      <c r="E5979">
        <v>0.378938</v>
      </c>
      <c r="F5979" t="s">
        <v>85</v>
      </c>
      <c r="G5979">
        <v>-295.74520000000001</v>
      </c>
      <c r="H5979" s="1">
        <v>-2.5273899999999999E-6</v>
      </c>
      <c r="I5979">
        <v>-42.598970000000001</v>
      </c>
      <c r="J5979">
        <v>-299.42020000000002</v>
      </c>
      <c r="K5979">
        <v>1.1143240000000001</v>
      </c>
      <c r="L5979">
        <v>-38.013550000000002</v>
      </c>
      <c r="M5979">
        <v>0.13079279999999999</v>
      </c>
      <c r="N5979">
        <v>0</v>
      </c>
      <c r="O5979">
        <v>-0.99131749999999996</v>
      </c>
      <c r="P5979">
        <v>0.34117520000000001</v>
      </c>
      <c r="Q5979">
        <v>2.5899060000000002E-2</v>
      </c>
      <c r="R5979">
        <v>-0.93964300000000001</v>
      </c>
      <c r="S5979">
        <v>1.942474</v>
      </c>
      <c r="T5979">
        <v>-0.58366390000000001</v>
      </c>
      <c r="U5979">
        <v>-2.5110169999999998</v>
      </c>
      <c r="V5979">
        <v>-0.2157116</v>
      </c>
      <c r="W5979">
        <v>3.6961550000000003E-2</v>
      </c>
      <c r="X5979">
        <v>0.97575730000000005</v>
      </c>
      <c r="Y5979">
        <v>-0.49256610000000001</v>
      </c>
      <c r="Z5979">
        <v>0.18559410000000001</v>
      </c>
      <c r="AA5979">
        <v>0.85025499999999898</v>
      </c>
      <c r="AB5979">
        <v>23</v>
      </c>
      <c r="AC5979">
        <v>3.67500000000001</v>
      </c>
      <c r="AD5979">
        <v>-1.1143265273899901</v>
      </c>
      <c r="AE5979">
        <v>-4.5854199999999903</v>
      </c>
      <c r="AF5979">
        <v>-2.9379833921696901</v>
      </c>
      <c r="AG5979">
        <v>-1.1143265273899901</v>
      </c>
      <c r="AH5979">
        <v>4.8522484958493299</v>
      </c>
      <c r="AI5979">
        <v>101.114072760497</v>
      </c>
      <c r="AJ5979">
        <v>121.19444671186599</v>
      </c>
      <c r="AK5979">
        <v>5.7808118363930596</v>
      </c>
      <c r="AL5979">
        <v>87.8817766465571</v>
      </c>
      <c r="AM5979">
        <v>102.465933885537</v>
      </c>
      <c r="AN5979">
        <v>0.99999997952812603</v>
      </c>
    </row>
    <row r="5980" spans="1:40" x14ac:dyDescent="0.25">
      <c r="A5980" t="str">
        <f>"20190312151144261"</f>
        <v>20190312151144261</v>
      </c>
      <c r="B5980" t="str">
        <f>"1552374704257075"</f>
        <v>1552374704257075</v>
      </c>
      <c r="C5980" t="s">
        <v>40</v>
      </c>
      <c r="D5980">
        <v>5.3628039999999997</v>
      </c>
      <c r="E5980">
        <v>0.37978230000000002</v>
      </c>
      <c r="F5980" t="s">
        <v>85</v>
      </c>
      <c r="G5980">
        <v>-295.7013</v>
      </c>
      <c r="H5980" s="1">
        <v>-2.6436570000000001E-6</v>
      </c>
      <c r="I5980">
        <v>-42.763509999999997</v>
      </c>
      <c r="J5980">
        <v>-299.38260000000002</v>
      </c>
      <c r="K5980">
        <v>1.1143909999999999</v>
      </c>
      <c r="L5980">
        <v>-38.238979999999998</v>
      </c>
      <c r="M5980">
        <v>0.13755319999999999</v>
      </c>
      <c r="N5980">
        <v>0</v>
      </c>
      <c r="O5980">
        <v>-0.99040189999999995</v>
      </c>
      <c r="P5980">
        <v>0.34801369999999998</v>
      </c>
      <c r="Q5980">
        <v>2.5973469999999999E-2</v>
      </c>
      <c r="R5980">
        <v>-0.93712949999999995</v>
      </c>
      <c r="S5980">
        <v>1.9562379999999999</v>
      </c>
      <c r="T5980">
        <v>-0.58615649999999997</v>
      </c>
      <c r="U5980">
        <v>-2.4985659999999998</v>
      </c>
      <c r="V5980">
        <v>-0.2161728</v>
      </c>
      <c r="W5980">
        <v>3.7003479999999998E-2</v>
      </c>
      <c r="X5980">
        <v>0.97565360000000001</v>
      </c>
      <c r="Y5980">
        <v>-0.49150929999999998</v>
      </c>
      <c r="Z5980">
        <v>0.18658710000000001</v>
      </c>
      <c r="AA5980">
        <v>0.85064910000000005</v>
      </c>
      <c r="AB5980">
        <v>23</v>
      </c>
      <c r="AC5980">
        <v>3.6813000000000198</v>
      </c>
      <c r="AD5980">
        <v>-1.1143936436570001</v>
      </c>
      <c r="AE5980">
        <v>-4.5245299999999897</v>
      </c>
      <c r="AF5980">
        <v>-2.91739325076612</v>
      </c>
      <c r="AG5980">
        <v>-1.1143936436570001</v>
      </c>
      <c r="AH5980">
        <v>4.8122832616073996</v>
      </c>
      <c r="AI5980">
        <v>101.20107659715001</v>
      </c>
      <c r="AJ5980">
        <v>121.225872884415</v>
      </c>
      <c r="AK5980">
        <v>5.7368220089685202</v>
      </c>
      <c r="AL5980">
        <v>87.879372510464904</v>
      </c>
      <c r="AM5980">
        <v>102.49303682831101</v>
      </c>
      <c r="AN5980">
        <v>0.99999994209245302</v>
      </c>
    </row>
    <row r="5981" spans="1:40" x14ac:dyDescent="0.25">
      <c r="A5981" t="str">
        <f>"20190312151144285"</f>
        <v>20190312151144285</v>
      </c>
      <c r="B5981" t="str">
        <f>"1552374704277571"</f>
        <v>1552374704277571</v>
      </c>
      <c r="C5981" t="s">
        <v>40</v>
      </c>
      <c r="D5981">
        <v>5.3406650000000004</v>
      </c>
      <c r="E5981">
        <v>0.38026189999999999</v>
      </c>
      <c r="F5981" t="s">
        <v>85</v>
      </c>
      <c r="G5981">
        <v>-295.64699999999999</v>
      </c>
      <c r="H5981" s="1">
        <v>-2.7796999999999998E-6</v>
      </c>
      <c r="I5981">
        <v>-42.954810000000002</v>
      </c>
      <c r="J5981">
        <v>-299.34219999999999</v>
      </c>
      <c r="K5981">
        <v>1.1144499999999999</v>
      </c>
      <c r="L5981">
        <v>-38.47043</v>
      </c>
      <c r="M5981">
        <v>0.14461760000000001</v>
      </c>
      <c r="N5981">
        <v>0</v>
      </c>
      <c r="O5981">
        <v>-0.98939500000000002</v>
      </c>
      <c r="P5981">
        <v>0.35506910000000003</v>
      </c>
      <c r="Q5981">
        <v>2.6728020000000002E-2</v>
      </c>
      <c r="R5981">
        <v>-0.93445809999999996</v>
      </c>
      <c r="S5981">
        <v>1.9694210000000001</v>
      </c>
      <c r="T5981">
        <v>-0.58750630000000004</v>
      </c>
      <c r="U5981">
        <v>-2.4861759999999999</v>
      </c>
      <c r="V5981">
        <v>-0.21658240000000001</v>
      </c>
      <c r="W5981">
        <v>3.7724430000000003E-2</v>
      </c>
      <c r="X5981">
        <v>0.97553520000000005</v>
      </c>
      <c r="Y5981">
        <v>-0.49009049999999998</v>
      </c>
      <c r="Z5981">
        <v>0.1872318</v>
      </c>
      <c r="AA5981">
        <v>0.85132580000000002</v>
      </c>
      <c r="AB5981">
        <v>23</v>
      </c>
      <c r="AC5981">
        <v>3.6951999999999998</v>
      </c>
      <c r="AD5981">
        <v>-1.1144527796999999</v>
      </c>
      <c r="AE5981">
        <v>-4.48437999999999</v>
      </c>
      <c r="AF5981">
        <v>-2.9010533817662201</v>
      </c>
      <c r="AG5981">
        <v>-1.1144527796999999</v>
      </c>
      <c r="AH5981">
        <v>4.7952768834741804</v>
      </c>
      <c r="AI5981">
        <v>101.24647776007799</v>
      </c>
      <c r="AJ5981">
        <v>121.173158564766</v>
      </c>
      <c r="AK5981">
        <v>5.7142625168275298</v>
      </c>
      <c r="AL5981">
        <v>87.838036370694496</v>
      </c>
      <c r="AM5981">
        <v>102.517434353082</v>
      </c>
      <c r="AN5981">
        <v>0.99999999752381197</v>
      </c>
    </row>
    <row r="5982" spans="1:40" x14ac:dyDescent="0.25">
      <c r="A5982" t="str">
        <f>"20190312151144309"</f>
        <v>20190312151144309</v>
      </c>
      <c r="B5982" t="str">
        <f>"1552374704297091"</f>
        <v>1552374704297091</v>
      </c>
      <c r="C5982" t="s">
        <v>40</v>
      </c>
      <c r="D5982">
        <v>5.2854799999999997</v>
      </c>
      <c r="E5982">
        <v>0.380718</v>
      </c>
      <c r="F5982" t="s">
        <v>85</v>
      </c>
      <c r="G5982">
        <v>-295.565</v>
      </c>
      <c r="H5982" s="1">
        <v>-2.9411180000000002E-6</v>
      </c>
      <c r="I5982">
        <v>-43.174419999999998</v>
      </c>
      <c r="J5982">
        <v>-299.2996</v>
      </c>
      <c r="K5982">
        <v>1.1145119999999999</v>
      </c>
      <c r="L5982">
        <v>-38.703400000000002</v>
      </c>
      <c r="M5982">
        <v>0.15184879999999901</v>
      </c>
      <c r="N5982">
        <v>0</v>
      </c>
      <c r="O5982">
        <v>-0.98831100000000005</v>
      </c>
      <c r="P5982">
        <v>0.36257060000000002</v>
      </c>
      <c r="Q5982">
        <v>2.6891910000000002E-2</v>
      </c>
      <c r="R5982">
        <v>-0.93156839999999996</v>
      </c>
      <c r="S5982">
        <v>1.985535</v>
      </c>
      <c r="T5982">
        <v>-0.58582659999999998</v>
      </c>
      <c r="U5982">
        <v>-2.4727169999999998</v>
      </c>
      <c r="V5982">
        <v>-0.21729999999999999</v>
      </c>
      <c r="W5982">
        <v>3.7848800000000002E-2</v>
      </c>
      <c r="X5982">
        <v>0.97537079999999998</v>
      </c>
      <c r="Y5982">
        <v>-0.48943300000000001</v>
      </c>
      <c r="Z5982">
        <v>0.1868842</v>
      </c>
      <c r="AA5982">
        <v>0.85178029999999905</v>
      </c>
      <c r="AB5982">
        <v>23</v>
      </c>
      <c r="AC5982">
        <v>3.7345999999999999</v>
      </c>
      <c r="AD5982">
        <v>-1.114514941118</v>
      </c>
      <c r="AE5982">
        <v>-4.4710199999999896</v>
      </c>
      <c r="AF5982">
        <v>-2.9059424294412799</v>
      </c>
      <c r="AG5982">
        <v>-1.114514941118</v>
      </c>
      <c r="AH5982">
        <v>4.8102490379572602</v>
      </c>
      <c r="AI5982">
        <v>101.217164411493</v>
      </c>
      <c r="AJ5982">
        <v>121.136793516689</v>
      </c>
      <c r="AK5982">
        <v>5.7293228888212502</v>
      </c>
      <c r="AL5982">
        <v>87.830905428013295</v>
      </c>
      <c r="AM5982">
        <v>102.559644277288</v>
      </c>
      <c r="AN5982">
        <v>1.0000000095770301</v>
      </c>
    </row>
    <row r="5983" spans="1:40" x14ac:dyDescent="0.25">
      <c r="A5983" t="str">
        <f>"20190312151144328"</f>
        <v>20190312151144328</v>
      </c>
      <c r="B5983" t="str">
        <f>"1552374704317119"</f>
        <v>1552374704317119</v>
      </c>
      <c r="C5983" t="s">
        <v>40</v>
      </c>
      <c r="D5983">
        <v>5.2805499999999999</v>
      </c>
      <c r="E5983">
        <v>0.381162</v>
      </c>
      <c r="F5983" t="s">
        <v>85</v>
      </c>
      <c r="G5983">
        <v>-295.4828</v>
      </c>
      <c r="H5983" s="1">
        <v>-3.0765460000000001E-6</v>
      </c>
      <c r="I5983">
        <v>-43.386670000000002</v>
      </c>
      <c r="J5983">
        <v>-299.26310000000001</v>
      </c>
      <c r="K5983">
        <v>1.1145510000000001</v>
      </c>
      <c r="L5983">
        <v>-38.895449999999997</v>
      </c>
      <c r="M5983">
        <v>0.1578966</v>
      </c>
      <c r="N5983">
        <v>0</v>
      </c>
      <c r="O5983">
        <v>-0.98736290000000004</v>
      </c>
      <c r="P5983">
        <v>0.369334</v>
      </c>
      <c r="Q5983">
        <v>2.7905059999999999E-2</v>
      </c>
      <c r="R5983">
        <v>-0.92887790000000003</v>
      </c>
      <c r="S5983">
        <v>2.0029599999999999</v>
      </c>
      <c r="T5983">
        <v>-0.58487939999999905</v>
      </c>
      <c r="U5983">
        <v>-2.457703</v>
      </c>
      <c r="V5983">
        <v>-0.2184391</v>
      </c>
      <c r="W5983">
        <v>3.8823209999999997E-2</v>
      </c>
      <c r="X5983">
        <v>0.975078</v>
      </c>
      <c r="Y5983">
        <v>-0.4903188</v>
      </c>
      <c r="Z5983">
        <v>0.18676960000000001</v>
      </c>
      <c r="AA5983">
        <v>0.85129580000000005</v>
      </c>
      <c r="AB5983">
        <v>23</v>
      </c>
      <c r="AC5983">
        <v>3.7803000000000102</v>
      </c>
      <c r="AD5983">
        <v>-1.114554076546</v>
      </c>
      <c r="AE5983">
        <v>-4.4912200000000002</v>
      </c>
      <c r="AF5983">
        <v>-2.9184558870856701</v>
      </c>
      <c r="AG5983">
        <v>-1.114554076546</v>
      </c>
      <c r="AH5983">
        <v>4.8567516024392603</v>
      </c>
      <c r="AI5983">
        <v>101.128203619827</v>
      </c>
      <c r="AJ5983">
        <v>121.00195118836101</v>
      </c>
      <c r="AK5983">
        <v>5.77474256415009</v>
      </c>
      <c r="AL5983">
        <v>87.775034741050504</v>
      </c>
      <c r="AM5983">
        <v>102.627047018559</v>
      </c>
      <c r="AN5983">
        <v>0.99999999406375695</v>
      </c>
    </row>
    <row r="5984" spans="1:40" x14ac:dyDescent="0.25">
      <c r="A5984" t="str">
        <f>"20190312151144351"</f>
        <v>20190312151144351</v>
      </c>
      <c r="B5984" t="str">
        <f>"1552374704347374"</f>
        <v>1552374704347374</v>
      </c>
      <c r="C5984" t="s">
        <v>40</v>
      </c>
      <c r="D5984">
        <v>5.3093909999999997</v>
      </c>
      <c r="E5984">
        <v>0.38190960000000002</v>
      </c>
      <c r="F5984" t="s">
        <v>85</v>
      </c>
      <c r="G5984">
        <v>-295.39659999999998</v>
      </c>
      <c r="H5984" s="1">
        <v>-3.2016859999999998E-6</v>
      </c>
      <c r="I5984">
        <v>-43.58052</v>
      </c>
      <c r="J5984">
        <v>-299.2201</v>
      </c>
      <c r="K5984">
        <v>1.1145969999999901</v>
      </c>
      <c r="L5984">
        <v>-39.11356</v>
      </c>
      <c r="M5984">
        <v>0.16485329999999901</v>
      </c>
      <c r="N5984">
        <v>0</v>
      </c>
      <c r="O5984">
        <v>-0.98622529999999997</v>
      </c>
      <c r="P5984">
        <v>0.37716840000000001</v>
      </c>
      <c r="Q5984">
        <v>2.7941219999999999E-2</v>
      </c>
      <c r="R5984">
        <v>-0.92572330000000003</v>
      </c>
      <c r="S5984">
        <v>2.0177</v>
      </c>
      <c r="T5984">
        <v>-0.58163260000000006</v>
      </c>
      <c r="U5984">
        <v>-2.4449160000000001</v>
      </c>
      <c r="V5984">
        <v>-0.21980859999999999</v>
      </c>
      <c r="W5984">
        <v>3.8817009999999999E-2</v>
      </c>
      <c r="X5984">
        <v>0.97477040000000004</v>
      </c>
      <c r="Y5984">
        <v>-0.48955460000000001</v>
      </c>
      <c r="Z5984">
        <v>0.18591299999999999</v>
      </c>
      <c r="AA5984">
        <v>0.85192289999999904</v>
      </c>
      <c r="AB5984">
        <v>23</v>
      </c>
      <c r="AC5984">
        <v>3.8235000000000201</v>
      </c>
      <c r="AD5984">
        <v>-1.1146002016859999</v>
      </c>
      <c r="AE5984">
        <v>-4.4669600000000003</v>
      </c>
      <c r="AF5984">
        <v>-2.9294509207846402</v>
      </c>
      <c r="AG5984">
        <v>-1.1146002016859999</v>
      </c>
      <c r="AH5984">
        <v>4.8615140467247899</v>
      </c>
      <c r="AI5984">
        <v>101.110012795895</v>
      </c>
      <c r="AJ5984">
        <v>121.072324442256</v>
      </c>
      <c r="AK5984">
        <v>5.7843180352904904</v>
      </c>
      <c r="AL5984">
        <v>87.775390159935597</v>
      </c>
      <c r="AM5984">
        <v>102.707529172213</v>
      </c>
      <c r="AN5984">
        <v>0.99999995680772902</v>
      </c>
    </row>
    <row r="5985" spans="1:40" x14ac:dyDescent="0.25">
      <c r="A5985" t="str">
        <f>"20190312151144373"</f>
        <v>20190312151144373</v>
      </c>
      <c r="B5985" t="str">
        <f>"1552374704366894"</f>
        <v>1552374704366894</v>
      </c>
      <c r="C5985" t="s">
        <v>40</v>
      </c>
      <c r="D5985">
        <v>5.2867800000000003</v>
      </c>
      <c r="E5985">
        <v>0.38213190000000002</v>
      </c>
      <c r="F5985" t="s">
        <v>85</v>
      </c>
      <c r="G5985">
        <v>-295.33199999999999</v>
      </c>
      <c r="H5985" s="1">
        <v>-3.3151269999999999E-6</v>
      </c>
      <c r="I5985">
        <v>-43.76173</v>
      </c>
      <c r="J5985">
        <v>-299.1748</v>
      </c>
      <c r="K5985">
        <v>1.114636</v>
      </c>
      <c r="L5985">
        <v>-39.334589999999999</v>
      </c>
      <c r="M5985">
        <v>0.17198540000000001</v>
      </c>
      <c r="N5985">
        <v>0</v>
      </c>
      <c r="O5985">
        <v>-0.98500639999999995</v>
      </c>
      <c r="P5985">
        <v>0.38559480000000002</v>
      </c>
      <c r="Q5985">
        <v>2.771384E-2</v>
      </c>
      <c r="R5985">
        <v>-0.92225210000000002</v>
      </c>
      <c r="S5985">
        <v>2.032715</v>
      </c>
      <c r="T5985">
        <v>-0.58272519999999906</v>
      </c>
      <c r="U5985">
        <v>-2.4301149999999998</v>
      </c>
      <c r="V5985">
        <v>-0.22164519999999999</v>
      </c>
      <c r="W5985">
        <v>3.8542559999999997E-2</v>
      </c>
      <c r="X5985">
        <v>0.97436540000000005</v>
      </c>
      <c r="Y5985">
        <v>-0.48886439999999998</v>
      </c>
      <c r="Z5985">
        <v>0.18646479999999999</v>
      </c>
      <c r="AA5985">
        <v>0.85219869999999898</v>
      </c>
      <c r="AB5985">
        <v>23</v>
      </c>
      <c r="AC5985">
        <v>3.8428000000000102</v>
      </c>
      <c r="AD5985">
        <v>-1.114639315127</v>
      </c>
      <c r="AE5985">
        <v>-4.4271399999999899</v>
      </c>
      <c r="AF5985">
        <v>-2.9185455235756099</v>
      </c>
      <c r="AG5985">
        <v>-1.114639315127</v>
      </c>
      <c r="AH5985">
        <v>4.8469025760295903</v>
      </c>
      <c r="AI5985">
        <v>101.14513085255</v>
      </c>
      <c r="AJ5985">
        <v>121.054102217528</v>
      </c>
      <c r="AK5985">
        <v>5.7665235070649201</v>
      </c>
      <c r="AL5985">
        <v>87.791126921427406</v>
      </c>
      <c r="AM5985">
        <v>102.81536572129799</v>
      </c>
      <c r="AN5985">
        <v>1.0000000281657699</v>
      </c>
    </row>
    <row r="5986" spans="1:40" x14ac:dyDescent="0.25">
      <c r="A5986" t="str">
        <f>"20190312151144395"</f>
        <v>20190312151144395</v>
      </c>
      <c r="B5986" t="str">
        <f>"1552374704387390"</f>
        <v>1552374704387390</v>
      </c>
      <c r="C5986" t="s">
        <v>40</v>
      </c>
      <c r="D5986">
        <v>5.3026210000000003</v>
      </c>
      <c r="E5986">
        <v>0.39009470000000002</v>
      </c>
      <c r="F5986" t="s">
        <v>85</v>
      </c>
      <c r="G5986">
        <v>-295.25130000000001</v>
      </c>
      <c r="H5986" s="1">
        <v>-3.4317850000000001E-6</v>
      </c>
      <c r="I5986">
        <v>-43.94229</v>
      </c>
      <c r="J5986">
        <v>-299.12909999999999</v>
      </c>
      <c r="K5986">
        <v>1.114671</v>
      </c>
      <c r="L5986">
        <v>-39.549010000000003</v>
      </c>
      <c r="M5986">
        <v>0.17897489999999999</v>
      </c>
      <c r="N5986">
        <v>0</v>
      </c>
      <c r="O5986">
        <v>-0.98376039999999998</v>
      </c>
      <c r="P5986">
        <v>0.39383000000000001</v>
      </c>
      <c r="Q5986">
        <v>2.765422E-2</v>
      </c>
      <c r="R5986">
        <v>-0.91876720000000001</v>
      </c>
      <c r="S5986">
        <v>2.0536799999999999</v>
      </c>
      <c r="T5986">
        <v>-0.58343529999999999</v>
      </c>
      <c r="U5986">
        <v>-2.4118040000000001</v>
      </c>
      <c r="V5986">
        <v>-0.22344649999999999</v>
      </c>
      <c r="W5986">
        <v>3.843916E-2</v>
      </c>
      <c r="X5986">
        <v>0.97395799999999999</v>
      </c>
      <c r="Y5986">
        <v>-0.49014920000000001</v>
      </c>
      <c r="Z5986">
        <v>0.18685089999999999</v>
      </c>
      <c r="AA5986">
        <v>0.85137559999999901</v>
      </c>
      <c r="AB5986">
        <v>23</v>
      </c>
      <c r="AC5986">
        <v>3.8777999999999699</v>
      </c>
      <c r="AD5986">
        <v>-1.1146744317849999</v>
      </c>
      <c r="AE5986">
        <v>-4.3932799999999999</v>
      </c>
      <c r="AF5986">
        <v>-2.9230491157754401</v>
      </c>
      <c r="AG5986">
        <v>-1.1146744317849999</v>
      </c>
      <c r="AH5986">
        <v>4.8412476477850399</v>
      </c>
      <c r="AI5986">
        <v>101.150309928402</v>
      </c>
      <c r="AJ5986">
        <v>121.122744858681</v>
      </c>
      <c r="AK5986">
        <v>5.7640605487186702</v>
      </c>
      <c r="AL5986">
        <v>87.7970557389433</v>
      </c>
      <c r="AM5986">
        <v>102.921257586797</v>
      </c>
      <c r="AN5986">
        <v>1.0000000465738701</v>
      </c>
    </row>
    <row r="5987" spans="1:40" x14ac:dyDescent="0.25">
      <c r="A5987" t="str">
        <f>"20190312151144419"</f>
        <v>20190312151144419</v>
      </c>
      <c r="B5987" t="str">
        <f>"1552374704407416"</f>
        <v>1552374704407416</v>
      </c>
      <c r="C5987" t="s">
        <v>40</v>
      </c>
      <c r="D5987">
        <v>5.3005890000000004</v>
      </c>
      <c r="E5987">
        <v>0.39076810000000001</v>
      </c>
      <c r="F5987" t="s">
        <v>85</v>
      </c>
      <c r="G5987">
        <v>-295.45650000000001</v>
      </c>
      <c r="H5987" s="1">
        <v>-3.3910170000000001E-6</v>
      </c>
      <c r="I5987">
        <v>-43.95093</v>
      </c>
      <c r="J5987">
        <v>-299.08030000000002</v>
      </c>
      <c r="K5987">
        <v>1.1147009999999999</v>
      </c>
      <c r="L5987">
        <v>-39.770290000000003</v>
      </c>
      <c r="M5987">
        <v>0.1862471</v>
      </c>
      <c r="N5987">
        <v>0</v>
      </c>
      <c r="O5987">
        <v>-0.98240950000000005</v>
      </c>
      <c r="P5987">
        <v>0.40233020000000003</v>
      </c>
      <c r="Q5987">
        <v>2.7500279999999998E-2</v>
      </c>
      <c r="R5987">
        <v>-0.91508129999999999</v>
      </c>
      <c r="S5987">
        <v>2.0179749999999999</v>
      </c>
      <c r="T5987">
        <v>-0.61246709999999904</v>
      </c>
      <c r="U5987">
        <v>-2.4186709999999998</v>
      </c>
      <c r="V5987">
        <v>-0.22527159999999999</v>
      </c>
      <c r="W5987">
        <v>3.8244760000000003E-2</v>
      </c>
      <c r="X5987">
        <v>0.97354510000000005</v>
      </c>
      <c r="Y5987">
        <v>-0.4738735</v>
      </c>
      <c r="Z5987">
        <v>0.1966598</v>
      </c>
      <c r="AA5987">
        <v>0.85835239999999902</v>
      </c>
      <c r="AB5987">
        <v>23</v>
      </c>
      <c r="AC5987">
        <v>3.6238000000000099</v>
      </c>
      <c r="AD5987">
        <v>-1.114704391017</v>
      </c>
      <c r="AE5987">
        <v>-4.1806399999999897</v>
      </c>
      <c r="AF5987">
        <v>-2.6731646752478202</v>
      </c>
      <c r="AG5987">
        <v>-1.114704391017</v>
      </c>
      <c r="AH5987">
        <v>4.5958964096623403</v>
      </c>
      <c r="AI5987">
        <v>101.84101481890301</v>
      </c>
      <c r="AJ5987">
        <v>120.184064945432</v>
      </c>
      <c r="AK5987">
        <v>5.4323695629708899</v>
      </c>
      <c r="AL5987">
        <v>87.808202150949697</v>
      </c>
      <c r="AM5987">
        <v>103.028548844882</v>
      </c>
      <c r="AN5987">
        <v>1.0000000085840099</v>
      </c>
    </row>
    <row r="5988" spans="1:40" x14ac:dyDescent="0.25">
      <c r="A5988" t="str">
        <f>"20190312151144440"</f>
        <v>20190312151144440</v>
      </c>
      <c r="B5988" t="str">
        <f>"1552374704437672"</f>
        <v>1552374704437672</v>
      </c>
      <c r="C5988" t="s">
        <v>40</v>
      </c>
      <c r="D5988">
        <v>5.301285</v>
      </c>
      <c r="E5988">
        <v>0.39202619999999999</v>
      </c>
      <c r="F5988" t="s">
        <v>85</v>
      </c>
      <c r="G5988">
        <v>-295.37369999999999</v>
      </c>
      <c r="H5988" s="1">
        <v>-3.5152720000000001E-6</v>
      </c>
      <c r="I5988">
        <v>-44.144559999999998</v>
      </c>
      <c r="J5988">
        <v>-299.0317</v>
      </c>
      <c r="K5988">
        <v>1.114719</v>
      </c>
      <c r="L5988">
        <v>-39.98218</v>
      </c>
      <c r="M5988">
        <v>0.1932614</v>
      </c>
      <c r="N5988">
        <v>0</v>
      </c>
      <c r="O5988">
        <v>-0.98105390000000003</v>
      </c>
      <c r="P5988">
        <v>0.41005550000000002</v>
      </c>
      <c r="Q5988">
        <v>2.6900150000000001E-2</v>
      </c>
      <c r="R5988">
        <v>-0.91166409999999998</v>
      </c>
      <c r="S5988">
        <v>2.0353089999999998</v>
      </c>
      <c r="T5988">
        <v>-0.61209340000000001</v>
      </c>
      <c r="U5988">
        <v>-2.4019469999999998</v>
      </c>
      <c r="V5988">
        <v>-0.2265413</v>
      </c>
      <c r="W5988">
        <v>3.7619119999999999E-2</v>
      </c>
      <c r="X5988">
        <v>0.9732748</v>
      </c>
      <c r="Y5988">
        <v>-0.47416180000000002</v>
      </c>
      <c r="Z5988">
        <v>0.196738</v>
      </c>
      <c r="AA5988">
        <v>0.85817520000000003</v>
      </c>
      <c r="AB5988">
        <v>23</v>
      </c>
      <c r="AC5988">
        <v>3.6580000000000101</v>
      </c>
      <c r="AD5988">
        <v>-1.1147225152719999</v>
      </c>
      <c r="AE5988">
        <v>-4.16237999999999</v>
      </c>
      <c r="AF5988">
        <v>-2.6762232277797202</v>
      </c>
      <c r="AG5988">
        <v>-1.1147225152719999</v>
      </c>
      <c r="AH5988">
        <v>4.6045733797622699</v>
      </c>
      <c r="AI5988">
        <v>101.821671895469</v>
      </c>
      <c r="AJ5988">
        <v>120.165574454859</v>
      </c>
      <c r="AK5988">
        <v>5.4412198136610304</v>
      </c>
      <c r="AL5988">
        <v>87.844074475367805</v>
      </c>
      <c r="AM5988">
        <v>103.10296864081</v>
      </c>
      <c r="AN5988">
        <v>0.99999999755515201</v>
      </c>
    </row>
    <row r="5989" spans="1:40" x14ac:dyDescent="0.25">
      <c r="A5989" t="str">
        <f>"20190312151144464"</f>
        <v>20190312151144464</v>
      </c>
      <c r="B5989" t="str">
        <f>"1552374704457192"</f>
        <v>1552374704457192</v>
      </c>
      <c r="C5989" t="s">
        <v>40</v>
      </c>
      <c r="D5989">
        <v>5.3116139999999996</v>
      </c>
      <c r="E5989">
        <v>0.39266230000000002</v>
      </c>
      <c r="F5989" t="s">
        <v>85</v>
      </c>
      <c r="G5989">
        <v>-295.3202</v>
      </c>
      <c r="H5989" s="1">
        <v>-3.619283E-6</v>
      </c>
      <c r="I5989">
        <v>-44.313029999999998</v>
      </c>
      <c r="J5989">
        <v>-298.97910000000002</v>
      </c>
      <c r="K5989">
        <v>1.1147210000000001</v>
      </c>
      <c r="L5989">
        <v>-40.203890000000001</v>
      </c>
      <c r="M5989">
        <v>0.20063410000000001</v>
      </c>
      <c r="N5989">
        <v>0</v>
      </c>
      <c r="O5989">
        <v>-0.97957269999999996</v>
      </c>
      <c r="P5989">
        <v>0.41822670000000001</v>
      </c>
      <c r="Q5989">
        <v>2.6416180000000001E-2</v>
      </c>
      <c r="R5989">
        <v>-0.90795859999999995</v>
      </c>
      <c r="S5989">
        <v>2.0467219999999999</v>
      </c>
      <c r="T5989">
        <v>-0.61471319999999996</v>
      </c>
      <c r="U5989">
        <v>-2.388245</v>
      </c>
      <c r="V5989">
        <v>-0.2279553</v>
      </c>
      <c r="W5989">
        <v>3.7111650000000003E-2</v>
      </c>
      <c r="X5989">
        <v>0.97296400000000005</v>
      </c>
      <c r="Y5989">
        <v>-0.4722364</v>
      </c>
      <c r="Z5989">
        <v>0.19777159999999999</v>
      </c>
      <c r="AA5989">
        <v>0.85899899999999996</v>
      </c>
      <c r="AB5989">
        <v>22</v>
      </c>
      <c r="AC5989">
        <v>3.6589000000000098</v>
      </c>
      <c r="AD5989">
        <v>-1.11472461928299</v>
      </c>
      <c r="AE5989">
        <v>-4.1091399999999902</v>
      </c>
      <c r="AF5989">
        <v>-2.6511548517330299</v>
      </c>
      <c r="AG5989">
        <v>-1.11472461928299</v>
      </c>
      <c r="AH5989">
        <v>4.5720662153595502</v>
      </c>
      <c r="AI5989">
        <v>101.910138625581</v>
      </c>
      <c r="AJ5989">
        <v>120.107698048887</v>
      </c>
      <c r="AK5989">
        <v>5.4013907933360503</v>
      </c>
      <c r="AL5989">
        <v>87.873170517284294</v>
      </c>
      <c r="AM5989">
        <v>103.185969763728</v>
      </c>
      <c r="AN5989">
        <v>0.99999991932990295</v>
      </c>
    </row>
    <row r="5990" spans="1:40" x14ac:dyDescent="0.25">
      <c r="A5990" t="str">
        <f>"20190312151144488"</f>
        <v>20190312151144488</v>
      </c>
      <c r="B5990" t="str">
        <f>"1552374704477688"</f>
        <v>1552374704477688</v>
      </c>
      <c r="C5990" t="s">
        <v>40</v>
      </c>
      <c r="D5990">
        <v>5.3071809999999999</v>
      </c>
      <c r="E5990">
        <v>0.39331569999999999</v>
      </c>
      <c r="F5990" t="s">
        <v>85</v>
      </c>
      <c r="G5990">
        <v>-295.24979999999999</v>
      </c>
      <c r="H5990" s="1">
        <v>-3.7316660000000001E-6</v>
      </c>
      <c r="I5990">
        <v>-44.490009999999998</v>
      </c>
      <c r="J5990">
        <v>-298.92</v>
      </c>
      <c r="K5990">
        <v>1.1147199999999999</v>
      </c>
      <c r="L5990">
        <v>-40.444850000000002</v>
      </c>
      <c r="M5990">
        <v>0.20867269999999999</v>
      </c>
      <c r="N5990">
        <v>0</v>
      </c>
      <c r="O5990">
        <v>-0.97789179999999998</v>
      </c>
      <c r="P5990">
        <v>0.4265582</v>
      </c>
      <c r="Q5990">
        <v>2.6214000000000001E-2</v>
      </c>
      <c r="R5990">
        <v>-0.9040802</v>
      </c>
      <c r="S5990">
        <v>2.0634769999999998</v>
      </c>
      <c r="T5990">
        <v>-0.61679640000000002</v>
      </c>
      <c r="U5990">
        <v>-2.3715820000000001</v>
      </c>
      <c r="V5990">
        <v>-0.22890769999999999</v>
      </c>
      <c r="W5990">
        <v>3.6896739999999997E-2</v>
      </c>
      <c r="X5990">
        <v>0.97274859999999996</v>
      </c>
      <c r="Y5990">
        <v>-0.47137299999999899</v>
      </c>
      <c r="Z5990">
        <v>0.198575</v>
      </c>
      <c r="AA5990">
        <v>0.85928769999999999</v>
      </c>
      <c r="AB5990">
        <v>22</v>
      </c>
      <c r="AC5990">
        <v>3.6702000000000199</v>
      </c>
      <c r="AD5990">
        <v>-1.1147237316659999</v>
      </c>
      <c r="AE5990">
        <v>-4.0451599999999903</v>
      </c>
      <c r="AF5990">
        <v>-2.6354269715518299</v>
      </c>
      <c r="AG5990">
        <v>-1.1147237316659999</v>
      </c>
      <c r="AH5990">
        <v>4.5332182105819996</v>
      </c>
      <c r="AI5990">
        <v>102.00165238184999</v>
      </c>
      <c r="AJ5990">
        <v>120.17196128886999</v>
      </c>
      <c r="AK5990">
        <v>5.36079767059665</v>
      </c>
      <c r="AL5990">
        <v>87.8854925041326</v>
      </c>
      <c r="AM5990">
        <v>103.24195293696999</v>
      </c>
      <c r="AN5990">
        <v>0.99999997167193799</v>
      </c>
    </row>
    <row r="5991" spans="1:40" x14ac:dyDescent="0.25">
      <c r="A5991" t="str">
        <f>"20190312151144510"</f>
        <v>20190312151144510</v>
      </c>
      <c r="B5991" t="str">
        <f>"1552374704507475"</f>
        <v>1552374704507475</v>
      </c>
      <c r="C5991" t="s">
        <v>40</v>
      </c>
      <c r="D5991">
        <v>5.3066459999999998</v>
      </c>
      <c r="E5991">
        <v>0.39404729999999999</v>
      </c>
      <c r="F5991" t="s">
        <v>85</v>
      </c>
      <c r="G5991">
        <v>-295.1601</v>
      </c>
      <c r="H5991" s="1">
        <v>-3.8654500000000004E-6</v>
      </c>
      <c r="I5991">
        <v>-44.698230000000002</v>
      </c>
      <c r="J5991">
        <v>-298.86579999999998</v>
      </c>
      <c r="K5991">
        <v>1.114719</v>
      </c>
      <c r="L5991">
        <v>-40.658810000000003</v>
      </c>
      <c r="M5991">
        <v>0.21582689999999999</v>
      </c>
      <c r="N5991">
        <v>0</v>
      </c>
      <c r="O5991">
        <v>-0.97633789999999998</v>
      </c>
      <c r="P5991">
        <v>0.43392229999999998</v>
      </c>
      <c r="Q5991">
        <v>2.617481E-2</v>
      </c>
      <c r="R5991">
        <v>-0.90057019999999899</v>
      </c>
      <c r="S5991">
        <v>2.0811160000000002</v>
      </c>
      <c r="T5991">
        <v>-0.61700819999999901</v>
      </c>
      <c r="U5991">
        <v>-2.354279</v>
      </c>
      <c r="V5991">
        <v>-0.2297235</v>
      </c>
      <c r="W5991">
        <v>3.6847659999999997E-2</v>
      </c>
      <c r="X5991">
        <v>0.97255809999999998</v>
      </c>
      <c r="Y5991">
        <v>-0.47167249999999999</v>
      </c>
      <c r="Z5991">
        <v>0.1987893</v>
      </c>
      <c r="AA5991">
        <v>0.85907389999999995</v>
      </c>
      <c r="AB5991">
        <v>22</v>
      </c>
      <c r="AC5991">
        <v>3.70569999999997</v>
      </c>
      <c r="AD5991">
        <v>-1.1147228654500001</v>
      </c>
      <c r="AE5991">
        <v>-4.0394199999999998</v>
      </c>
      <c r="AF5991">
        <v>-2.6373885847887899</v>
      </c>
      <c r="AG5991">
        <v>-1.1147228654500001</v>
      </c>
      <c r="AH5991">
        <v>4.5556742100614898</v>
      </c>
      <c r="AI5991">
        <v>101.956455271357</v>
      </c>
      <c r="AJ5991">
        <v>120.06757482078901</v>
      </c>
      <c r="AK5991">
        <v>5.3807613887024104</v>
      </c>
      <c r="AL5991">
        <v>87.888306442888293</v>
      </c>
      <c r="AM5991">
        <v>103.28998485583899</v>
      </c>
      <c r="AN5991">
        <v>0.99999994718766605</v>
      </c>
    </row>
    <row r="5992" spans="1:40" x14ac:dyDescent="0.25">
      <c r="A5992" t="str">
        <f>"20190312151144529"</f>
        <v>20190312151144529</v>
      </c>
      <c r="B5992" t="str">
        <f>"1552374704517236"</f>
        <v>1552374704517236</v>
      </c>
      <c r="C5992" t="s">
        <v>40</v>
      </c>
      <c r="D5992">
        <v>5.3052359999999998</v>
      </c>
      <c r="E5992">
        <v>0.3942563</v>
      </c>
      <c r="F5992" t="s">
        <v>85</v>
      </c>
      <c r="G5992">
        <v>-295.07350000000002</v>
      </c>
      <c r="H5992" s="1">
        <v>-3.9917000000000003E-6</v>
      </c>
      <c r="I5992">
        <v>-44.89396</v>
      </c>
      <c r="J5992">
        <v>-298.81869999999998</v>
      </c>
      <c r="K5992">
        <v>1.114716</v>
      </c>
      <c r="L5992">
        <v>-40.839289999999998</v>
      </c>
      <c r="M5992">
        <v>0.22187470000000001</v>
      </c>
      <c r="N5992">
        <v>0</v>
      </c>
      <c r="O5992">
        <v>-0.97498119999999999</v>
      </c>
      <c r="P5992">
        <v>0.44032900000000003</v>
      </c>
      <c r="Q5992">
        <v>2.5901750000000001E-2</v>
      </c>
      <c r="R5992">
        <v>-0.89746299999999901</v>
      </c>
      <c r="S5992">
        <v>2.0950009999999999</v>
      </c>
      <c r="T5992">
        <v>-0.6158245</v>
      </c>
      <c r="U5992">
        <v>-2.3396910000000002</v>
      </c>
      <c r="V5992">
        <v>-0.23062079999999999</v>
      </c>
      <c r="W5992">
        <v>3.6562230000000001E-2</v>
      </c>
      <c r="X5992">
        <v>0.97235660000000002</v>
      </c>
      <c r="Y5992">
        <v>-0.47175980000000001</v>
      </c>
      <c r="Z5992">
        <v>0.19856509999999999</v>
      </c>
      <c r="AA5992">
        <v>0.8590778</v>
      </c>
      <c r="AB5992">
        <v>22</v>
      </c>
      <c r="AC5992">
        <v>3.7451999999999499</v>
      </c>
      <c r="AD5992">
        <v>-1.1147199916999999</v>
      </c>
      <c r="AE5992">
        <v>-4.05466999999999</v>
      </c>
      <c r="AF5992">
        <v>-2.6442755287148301</v>
      </c>
      <c r="AG5992">
        <v>-1.1147199916999999</v>
      </c>
      <c r="AH5992">
        <v>4.5971350696472202</v>
      </c>
      <c r="AI5992">
        <v>101.870230573181</v>
      </c>
      <c r="AJ5992">
        <v>119.90754513811299</v>
      </c>
      <c r="AK5992">
        <v>5.4192660554946102</v>
      </c>
      <c r="AL5992">
        <v>87.904671629250601</v>
      </c>
      <c r="AM5992">
        <v>103.342708751035</v>
      </c>
      <c r="AN5992">
        <v>1.0000000538093801</v>
      </c>
    </row>
    <row r="5993" spans="1:40" x14ac:dyDescent="0.25">
      <c r="A5993" t="str">
        <f>"20190312151144553"</f>
        <v>20190312151144553</v>
      </c>
      <c r="B5993" t="str">
        <f>"1552374704547492"</f>
        <v>1552374704547492</v>
      </c>
      <c r="C5993" t="s">
        <v>40</v>
      </c>
      <c r="D5993">
        <v>5.3364570000000002</v>
      </c>
      <c r="E5993">
        <v>0.39478360000000001</v>
      </c>
      <c r="F5993" t="s">
        <v>85</v>
      </c>
      <c r="G5993">
        <v>-295.0172</v>
      </c>
      <c r="H5993" s="1">
        <v>-4.0783369999999999E-6</v>
      </c>
      <c r="I5993">
        <v>-45.029519999999998</v>
      </c>
      <c r="J5993">
        <v>-298.75900000000001</v>
      </c>
      <c r="K5993">
        <v>1.1147119999999999</v>
      </c>
      <c r="L5993">
        <v>-41.06174</v>
      </c>
      <c r="M5993">
        <v>0.22934550000000001</v>
      </c>
      <c r="N5993">
        <v>0</v>
      </c>
      <c r="O5993">
        <v>-0.97325110000000004</v>
      </c>
      <c r="P5993">
        <v>0.4476427</v>
      </c>
      <c r="Q5993">
        <v>2.527573E-2</v>
      </c>
      <c r="R5993">
        <v>-0.89385519999999996</v>
      </c>
      <c r="S5993">
        <v>2.109772</v>
      </c>
      <c r="T5993">
        <v>-0.61864960000000002</v>
      </c>
      <c r="U5993">
        <v>-2.3254999999999999</v>
      </c>
      <c r="V5993">
        <v>-0.23109299999999999</v>
      </c>
      <c r="W5993">
        <v>3.59294E-2</v>
      </c>
      <c r="X5993">
        <v>0.97226800000000002</v>
      </c>
      <c r="Y5993">
        <v>-0.47051080000000001</v>
      </c>
      <c r="Z5993">
        <v>0.19948959999999999</v>
      </c>
      <c r="AA5993">
        <v>0.85954839999999999</v>
      </c>
      <c r="AB5993">
        <v>22</v>
      </c>
      <c r="AC5993">
        <v>3.7418000000000098</v>
      </c>
      <c r="AD5993">
        <v>-1.114716078337</v>
      </c>
      <c r="AE5993">
        <v>-3.9677799999999901</v>
      </c>
      <c r="AF5993">
        <v>-2.62241505922528</v>
      </c>
      <c r="AG5993">
        <v>-1.114716078337</v>
      </c>
      <c r="AH5993">
        <v>4.5309588729682702</v>
      </c>
      <c r="AI5993">
        <v>102.020454977703</v>
      </c>
      <c r="AJ5993">
        <v>120.06127397471199</v>
      </c>
      <c r="AK5993">
        <v>5.3524985741879902</v>
      </c>
      <c r="AL5993">
        <v>87.940953805229299</v>
      </c>
      <c r="AM5993">
        <v>103.370222798622</v>
      </c>
      <c r="AN5993">
        <v>0.99999998012867897</v>
      </c>
    </row>
    <row r="5994" spans="1:40" x14ac:dyDescent="0.25">
      <c r="A5994" t="str">
        <f>"20190312151144574"</f>
        <v>20190312151144574</v>
      </c>
      <c r="B5994" t="str">
        <f>"1552374704567011"</f>
        <v>1552374704567011</v>
      </c>
      <c r="C5994" t="s">
        <v>40</v>
      </c>
      <c r="D5994">
        <v>5.307963</v>
      </c>
      <c r="E5994">
        <v>0.39510729999999999</v>
      </c>
      <c r="F5994" t="s">
        <v>85</v>
      </c>
      <c r="G5994">
        <v>-294.94900000000001</v>
      </c>
      <c r="H5994" s="1">
        <v>-4.1883269999999999E-6</v>
      </c>
      <c r="I5994">
        <v>-45.202970000000001</v>
      </c>
      <c r="J5994">
        <v>-298.70240000000001</v>
      </c>
      <c r="K5994">
        <v>1.1147180000000001</v>
      </c>
      <c r="L5994">
        <v>-41.266629999999999</v>
      </c>
      <c r="M5994">
        <v>0.23624790000000001</v>
      </c>
      <c r="N5994">
        <v>0</v>
      </c>
      <c r="O5994">
        <v>-0.97159839999999997</v>
      </c>
      <c r="P5994">
        <v>0.4544916</v>
      </c>
      <c r="Q5994">
        <v>2.52123E-2</v>
      </c>
      <c r="R5994">
        <v>-0.89039389999999996</v>
      </c>
      <c r="S5994">
        <v>2.1249389999999999</v>
      </c>
      <c r="T5994">
        <v>-0.62170219999999998</v>
      </c>
      <c r="U5994">
        <v>-2.3096619999999999</v>
      </c>
      <c r="V5994">
        <v>-0.23165450000000001</v>
      </c>
      <c r="W5994">
        <v>3.5855539999999998E-2</v>
      </c>
      <c r="X5994">
        <v>0.97213709999999998</v>
      </c>
      <c r="Y5994">
        <v>-0.47012910000000002</v>
      </c>
      <c r="Z5994">
        <v>0.2005441</v>
      </c>
      <c r="AA5994">
        <v>0.8595119</v>
      </c>
      <c r="AB5994">
        <v>22</v>
      </c>
      <c r="AC5994">
        <v>3.7533999999999899</v>
      </c>
      <c r="AD5994">
        <v>-1.114722188327</v>
      </c>
      <c r="AE5994">
        <v>-3.93634</v>
      </c>
      <c r="AF5994">
        <v>-2.60756556106156</v>
      </c>
      <c r="AG5994">
        <v>-1.114722188327</v>
      </c>
      <c r="AH5994">
        <v>4.5217726705263397</v>
      </c>
      <c r="AI5994">
        <v>102.05490850443999</v>
      </c>
      <c r="AJ5994">
        <v>119.970710622588</v>
      </c>
      <c r="AK5994">
        <v>5.3374555545036397</v>
      </c>
      <c r="AL5994">
        <v>87.945188408400199</v>
      </c>
      <c r="AM5994">
        <v>103.403277985152</v>
      </c>
      <c r="AN5994">
        <v>0.99999998415767499</v>
      </c>
    </row>
    <row r="5995" spans="1:40" x14ac:dyDescent="0.25">
      <c r="A5995" t="str">
        <f>"20190312151144596"</f>
        <v>20190312151144596</v>
      </c>
      <c r="B5995" t="str">
        <f>"1552374704587508"</f>
        <v>1552374704587508</v>
      </c>
      <c r="C5995" t="s">
        <v>40</v>
      </c>
      <c r="D5995">
        <v>5.3111129999999998</v>
      </c>
      <c r="E5995">
        <v>0.39556469999999999</v>
      </c>
      <c r="F5995" t="s">
        <v>85</v>
      </c>
      <c r="G5995">
        <v>-294.86860000000001</v>
      </c>
      <c r="H5995" s="1">
        <v>-4.300112E-6</v>
      </c>
      <c r="I5995">
        <v>-45.374769999999998</v>
      </c>
      <c r="J5995">
        <v>-298.642</v>
      </c>
      <c r="K5995">
        <v>1.114727</v>
      </c>
      <c r="L5995">
        <v>-41.479059999999997</v>
      </c>
      <c r="M5995">
        <v>0.2434327</v>
      </c>
      <c r="N5995">
        <v>0</v>
      </c>
      <c r="O5995">
        <v>-0.9698234</v>
      </c>
      <c r="P5995">
        <v>0.46153909999999998</v>
      </c>
      <c r="Q5995">
        <v>2.5567309999999999E-2</v>
      </c>
      <c r="R5995">
        <v>-0.88675130000000002</v>
      </c>
      <c r="S5995">
        <v>2.14093</v>
      </c>
      <c r="T5995">
        <v>-0.62250039999999995</v>
      </c>
      <c r="U5995">
        <v>-2.2941280000000002</v>
      </c>
      <c r="V5995">
        <v>-0.23217679999999999</v>
      </c>
      <c r="W5995">
        <v>3.619816E-2</v>
      </c>
      <c r="X5995">
        <v>0.97199979999999997</v>
      </c>
      <c r="Y5995">
        <v>-0.4696997</v>
      </c>
      <c r="Z5995">
        <v>0.20082810000000001</v>
      </c>
      <c r="AA5995">
        <v>0.85968040000000001</v>
      </c>
      <c r="AB5995">
        <v>22</v>
      </c>
      <c r="AC5995">
        <v>3.7733999999999801</v>
      </c>
      <c r="AD5995">
        <v>-1.1147313001120001</v>
      </c>
      <c r="AE5995">
        <v>-3.8957099999999998</v>
      </c>
      <c r="AF5995">
        <v>-2.6015360996551302</v>
      </c>
      <c r="AG5995">
        <v>-1.1147313001120001</v>
      </c>
      <c r="AH5995">
        <v>4.5067637879165003</v>
      </c>
      <c r="AI5995">
        <v>102.091011043123</v>
      </c>
      <c r="AJ5995">
        <v>119.99575498103199</v>
      </c>
      <c r="AK5995">
        <v>5.3217981725478598</v>
      </c>
      <c r="AL5995">
        <v>87.925544992675796</v>
      </c>
      <c r="AM5995">
        <v>103.434232295881</v>
      </c>
      <c r="AN5995">
        <v>0.99999999222283198</v>
      </c>
    </row>
    <row r="5996" spans="1:40" x14ac:dyDescent="0.25">
      <c r="A5996" t="str">
        <f>"20190312151144619"</f>
        <v>20190312151144619</v>
      </c>
      <c r="B5996" t="str">
        <f>"1552374704607535"</f>
        <v>1552374704607535</v>
      </c>
      <c r="C5996" t="s">
        <v>40</v>
      </c>
      <c r="D5996">
        <v>5.3312619999999997</v>
      </c>
      <c r="E5996">
        <v>0.3959588</v>
      </c>
      <c r="F5996" t="s">
        <v>85</v>
      </c>
      <c r="G5996">
        <v>-294.78070000000002</v>
      </c>
      <c r="H5996" s="1">
        <v>-4.4140420000000003E-6</v>
      </c>
      <c r="I5996">
        <v>-45.559449999999998</v>
      </c>
      <c r="J5996">
        <v>-298.58010000000002</v>
      </c>
      <c r="K5996">
        <v>1.114741</v>
      </c>
      <c r="L5996">
        <v>-41.690829999999998</v>
      </c>
      <c r="M5996">
        <v>0.25063150000000001</v>
      </c>
      <c r="N5996">
        <v>0</v>
      </c>
      <c r="O5996">
        <v>-0.96798799999999996</v>
      </c>
      <c r="P5996">
        <v>0.46844039999999998</v>
      </c>
      <c r="Q5996">
        <v>2.6171300000000002E-2</v>
      </c>
      <c r="R5996">
        <v>-0.88310739999999999</v>
      </c>
      <c r="S5996">
        <v>2.1564030000000001</v>
      </c>
      <c r="T5996">
        <v>-0.62252909999999995</v>
      </c>
      <c r="U5996">
        <v>-2.2787169999999999</v>
      </c>
      <c r="V5996">
        <v>-0.23254720000000001</v>
      </c>
      <c r="W5996">
        <v>3.6790959999999998E-2</v>
      </c>
      <c r="X5996">
        <v>0.971889</v>
      </c>
      <c r="Y5996">
        <v>-0.46915479999999998</v>
      </c>
      <c r="Z5996">
        <v>0.2008644</v>
      </c>
      <c r="AA5996">
        <v>0.85996930000000005</v>
      </c>
      <c r="AB5996">
        <v>22</v>
      </c>
      <c r="AC5996">
        <v>3.7993999999999901</v>
      </c>
      <c r="AD5996">
        <v>-1.1147454140419999</v>
      </c>
      <c r="AE5996">
        <v>-3.8686199999999902</v>
      </c>
      <c r="AF5996">
        <v>-2.5985942730601601</v>
      </c>
      <c r="AG5996">
        <v>-1.1147454140419999</v>
      </c>
      <c r="AH5996">
        <v>4.5069705712999104</v>
      </c>
      <c r="AI5996">
        <v>102.094071666714</v>
      </c>
      <c r="AJ5996">
        <v>119.966556875043</v>
      </c>
      <c r="AK5996">
        <v>5.3205388133789802</v>
      </c>
      <c r="AL5996">
        <v>87.891557432918006</v>
      </c>
      <c r="AM5996">
        <v>103.456363845765</v>
      </c>
      <c r="AN5996">
        <v>1.00000000164328</v>
      </c>
    </row>
    <row r="5997" spans="1:40" x14ac:dyDescent="0.25">
      <c r="A5997" t="str">
        <f>"20190312151144641"</f>
        <v>20190312151144641</v>
      </c>
      <c r="B5997" t="str">
        <f>"1552374704637791"</f>
        <v>1552374704637791</v>
      </c>
      <c r="C5997" t="s">
        <v>40</v>
      </c>
      <c r="D5997">
        <v>5.332255</v>
      </c>
      <c r="E5997">
        <v>0.3964684</v>
      </c>
      <c r="F5997" t="s">
        <v>85</v>
      </c>
      <c r="G5997">
        <v>-294.67500000000001</v>
      </c>
      <c r="H5997" s="1">
        <v>-4.5390059999999998E-6</v>
      </c>
      <c r="I5997">
        <v>-45.758719999999997</v>
      </c>
      <c r="J5997">
        <v>-298.51690000000002</v>
      </c>
      <c r="K5997">
        <v>1.1147530000000001</v>
      </c>
      <c r="L5997">
        <v>-41.900419999999997</v>
      </c>
      <c r="M5997">
        <v>0.25779780000000002</v>
      </c>
      <c r="N5997">
        <v>0</v>
      </c>
      <c r="O5997">
        <v>-0.96610419999999997</v>
      </c>
      <c r="P5997">
        <v>0.47513309999999997</v>
      </c>
      <c r="Q5997">
        <v>2.6426999999999999E-2</v>
      </c>
      <c r="R5997">
        <v>-0.87951710000000005</v>
      </c>
      <c r="S5997">
        <v>2.172485</v>
      </c>
      <c r="T5997">
        <v>-0.6201584</v>
      </c>
      <c r="U5997">
        <v>-2.2630620000000001</v>
      </c>
      <c r="V5997">
        <v>-0.2327314</v>
      </c>
      <c r="W5997">
        <v>3.703683E-2</v>
      </c>
      <c r="X5997">
        <v>0.97183560000000002</v>
      </c>
      <c r="Y5997">
        <v>-0.46890700000000002</v>
      </c>
      <c r="Z5997">
        <v>0.2001262</v>
      </c>
      <c r="AA5997">
        <v>0.86027659999999995</v>
      </c>
      <c r="AB5997">
        <v>22</v>
      </c>
      <c r="AC5997">
        <v>3.8418999999999999</v>
      </c>
      <c r="AD5997">
        <v>-1.1147575390060001</v>
      </c>
      <c r="AE5997">
        <v>-3.8582999999999998</v>
      </c>
      <c r="AF5997">
        <v>-2.6079470991089901</v>
      </c>
      <c r="AG5997">
        <v>-1.1147575390060001</v>
      </c>
      <c r="AH5997">
        <v>4.5285634233151901</v>
      </c>
      <c r="AI5997">
        <v>102.041676476671</v>
      </c>
      <c r="AJ5997">
        <v>119.937140605952</v>
      </c>
      <c r="AK5997">
        <v>5.3434033276096597</v>
      </c>
      <c r="AL5997">
        <v>87.877460577097807</v>
      </c>
      <c r="AM5997">
        <v>103.467347514921</v>
      </c>
      <c r="AN5997">
        <v>1.0000000323748801</v>
      </c>
    </row>
    <row r="5998" spans="1:40" x14ac:dyDescent="0.25">
      <c r="A5998" t="str">
        <f>"20190312151144665"</f>
        <v>20190312151144665</v>
      </c>
      <c r="B5998" t="str">
        <f>"1552374704657310"</f>
        <v>1552374704657310</v>
      </c>
      <c r="C5998" t="s">
        <v>40</v>
      </c>
      <c r="D5998">
        <v>5.3333019999999998</v>
      </c>
      <c r="E5998">
        <v>0.39667380000000002</v>
      </c>
      <c r="F5998" t="s">
        <v>85</v>
      </c>
      <c r="G5998">
        <v>-294.58109999999999</v>
      </c>
      <c r="H5998" s="1">
        <v>-4.655381E-6</v>
      </c>
      <c r="I5998">
        <v>-45.946240000000003</v>
      </c>
      <c r="J5998">
        <v>-298.45049999999998</v>
      </c>
      <c r="K5998">
        <v>1.11477</v>
      </c>
      <c r="L5998">
        <v>-42.115079999999999</v>
      </c>
      <c r="M5998">
        <v>0.26517439999999998</v>
      </c>
      <c r="N5998">
        <v>0</v>
      </c>
      <c r="O5998">
        <v>-0.96410549999999995</v>
      </c>
      <c r="P5998">
        <v>0.48191139999999999</v>
      </c>
      <c r="Q5998">
        <v>2.715849E-2</v>
      </c>
      <c r="R5998">
        <v>-0.8757992</v>
      </c>
      <c r="S5998">
        <v>2.1870120000000002</v>
      </c>
      <c r="T5998">
        <v>-0.61942839999999999</v>
      </c>
      <c r="U5998">
        <v>-2.2481080000000002</v>
      </c>
      <c r="V5998">
        <v>-0.2328238</v>
      </c>
      <c r="W5998">
        <v>3.7760639999999998E-2</v>
      </c>
      <c r="X5998">
        <v>0.97178560000000003</v>
      </c>
      <c r="Y5998">
        <v>-0.46794229999999998</v>
      </c>
      <c r="Z5998">
        <v>0.19989009999999999</v>
      </c>
      <c r="AA5998">
        <v>0.86085650000000002</v>
      </c>
      <c r="AB5998">
        <v>22</v>
      </c>
      <c r="AC5998">
        <v>3.8693999999999802</v>
      </c>
      <c r="AD5998">
        <v>-1.1147746553810001</v>
      </c>
      <c r="AE5998">
        <v>-3.8311600000000001</v>
      </c>
      <c r="AF5998">
        <v>-2.6056233377662399</v>
      </c>
      <c r="AG5998">
        <v>-1.1147746553810001</v>
      </c>
      <c r="AH5998">
        <v>4.5302634783826097</v>
      </c>
      <c r="AI5998">
        <v>102.04115283526799</v>
      </c>
      <c r="AJ5998">
        <v>119.905762297198</v>
      </c>
      <c r="AK5998">
        <v>5.3437143162934104</v>
      </c>
      <c r="AL5998">
        <v>87.835960260064297</v>
      </c>
      <c r="AM5998">
        <v>103.47316740585001</v>
      </c>
      <c r="AN5998">
        <v>1.0000000200735</v>
      </c>
    </row>
    <row r="5999" spans="1:40" x14ac:dyDescent="0.25">
      <c r="A5999" t="str">
        <f>"20190312151144688"</f>
        <v>20190312151144688</v>
      </c>
      <c r="B5999" t="str">
        <f>"1552374704677806"</f>
        <v>1552374704677806</v>
      </c>
      <c r="C5999" t="s">
        <v>40</v>
      </c>
      <c r="D5999">
        <v>5.3343389999999999</v>
      </c>
      <c r="E5999">
        <v>0.40169650000000001</v>
      </c>
      <c r="F5999" t="s">
        <v>85</v>
      </c>
      <c r="G5999">
        <v>-294.45850000000002</v>
      </c>
      <c r="H5999" s="1">
        <v>-4.7899499999999998E-6</v>
      </c>
      <c r="I5999">
        <v>-46.15699</v>
      </c>
      <c r="J5999">
        <v>-298.3802</v>
      </c>
      <c r="K5999">
        <v>1.1147849999999999</v>
      </c>
      <c r="L5999">
        <v>-42.336150000000004</v>
      </c>
      <c r="M5999">
        <v>0.27281</v>
      </c>
      <c r="N5999">
        <v>0</v>
      </c>
      <c r="O5999">
        <v>-0.96197279999999996</v>
      </c>
      <c r="P5999">
        <v>0.48862250000000002</v>
      </c>
      <c r="Q5999">
        <v>2.795139E-2</v>
      </c>
      <c r="R5999">
        <v>-0.87204780000000004</v>
      </c>
      <c r="S5999">
        <v>2.2041629999999999</v>
      </c>
      <c r="T5999">
        <v>-0.61550830000000001</v>
      </c>
      <c r="U5999">
        <v>-2.2316889999999998</v>
      </c>
      <c r="V5999">
        <v>-0.232598</v>
      </c>
      <c r="W5999">
        <v>3.8551620000000002E-2</v>
      </c>
      <c r="X5999">
        <v>0.97180860000000002</v>
      </c>
      <c r="Y5999">
        <v>-0.46767649999999999</v>
      </c>
      <c r="Z5999">
        <v>0.19861029999999999</v>
      </c>
      <c r="AA5999">
        <v>0.86129709999999904</v>
      </c>
      <c r="AB5999">
        <v>22</v>
      </c>
      <c r="AC5999">
        <v>3.92169999999998</v>
      </c>
      <c r="AD5999">
        <v>-1.1147897899500001</v>
      </c>
      <c r="AE5999">
        <v>-3.8208399999999898</v>
      </c>
      <c r="AF5999">
        <v>-2.6217701758046301</v>
      </c>
      <c r="AG5999">
        <v>-1.1147897899500001</v>
      </c>
      <c r="AH5999">
        <v>4.5569498081832798</v>
      </c>
      <c r="AI5999">
        <v>101.971956107023</v>
      </c>
      <c r="AJ5999">
        <v>119.91330060193199</v>
      </c>
      <c r="AK5999">
        <v>5.37421870459485</v>
      </c>
      <c r="AL5999">
        <v>87.790607386639707</v>
      </c>
      <c r="AM5999">
        <v>103.46026944374999</v>
      </c>
      <c r="AN5999">
        <v>1.0000000060212899</v>
      </c>
    </row>
    <row r="6000" spans="1:40" x14ac:dyDescent="0.25">
      <c r="A6000" t="str">
        <f>"20190312151144731"</f>
        <v>20190312151144731</v>
      </c>
      <c r="B6000" t="str">
        <f>"1552374704727584"</f>
        <v>1552374704727584</v>
      </c>
      <c r="C6000" t="s">
        <v>40</v>
      </c>
      <c r="D6000">
        <v>5.327718</v>
      </c>
      <c r="E6000">
        <v>0.40326709999999999</v>
      </c>
      <c r="F6000" t="s">
        <v>85</v>
      </c>
      <c r="G6000">
        <v>-294.6918</v>
      </c>
      <c r="H6000" s="1">
        <v>-4.7091399999999998E-6</v>
      </c>
      <c r="I6000">
        <v>-46.09995</v>
      </c>
      <c r="J6000">
        <v>-298.24770000000001</v>
      </c>
      <c r="K6000">
        <v>1.1148119999999999</v>
      </c>
      <c r="L6000">
        <v>-42.736789999999999</v>
      </c>
      <c r="M6000">
        <v>0.28674769999999999</v>
      </c>
      <c r="N6000">
        <v>0</v>
      </c>
      <c r="O6000">
        <v>-0.95791059999999995</v>
      </c>
      <c r="P6000">
        <v>0.50066409999999995</v>
      </c>
      <c r="Q6000">
        <v>2.973021E-2</v>
      </c>
      <c r="R6000">
        <v>-0.86513109999999904</v>
      </c>
      <c r="S6000">
        <v>2.189667</v>
      </c>
      <c r="T6000">
        <v>-0.66182010000000002</v>
      </c>
      <c r="U6000">
        <v>-2.234467</v>
      </c>
      <c r="V6000">
        <v>-0.23199829999999999</v>
      </c>
      <c r="W6000">
        <v>4.0330270000000001E-2</v>
      </c>
      <c r="X6000">
        <v>0.97187979999999996</v>
      </c>
      <c r="Y6000">
        <v>-0.44930019999999998</v>
      </c>
      <c r="Z6000">
        <v>0.21276590000000001</v>
      </c>
      <c r="AA6000">
        <v>0.86767510000000003</v>
      </c>
      <c r="AB6000">
        <v>22</v>
      </c>
      <c r="AC6000">
        <v>3.5558999999999998</v>
      </c>
      <c r="AD6000">
        <v>-1.1148167091399901</v>
      </c>
      <c r="AE6000">
        <v>-3.3631600000000001</v>
      </c>
      <c r="AF6000">
        <v>-2.3216315351543</v>
      </c>
      <c r="AG6000">
        <v>-1.1148167091399901</v>
      </c>
      <c r="AH6000">
        <v>4.0324353802037001</v>
      </c>
      <c r="AI6000">
        <v>103.473541337966</v>
      </c>
      <c r="AJ6000">
        <v>119.930725536932</v>
      </c>
      <c r="AK6000">
        <v>4.7846968948428996</v>
      </c>
      <c r="AL6000">
        <v>87.688618965862204</v>
      </c>
      <c r="AM6000">
        <v>103.425875424458</v>
      </c>
      <c r="AN6000">
        <v>1.0000000437645999</v>
      </c>
    </row>
    <row r="6001" spans="1:40" x14ac:dyDescent="0.25">
      <c r="A6001" t="str">
        <f>"20190312151144754"</f>
        <v>20190312151144754</v>
      </c>
      <c r="B6001" t="str">
        <f>"1552374704747103"</f>
        <v>1552374704747103</v>
      </c>
      <c r="C6001" t="s">
        <v>40</v>
      </c>
      <c r="D6001">
        <v>5.3020189999999996</v>
      </c>
      <c r="E6001">
        <v>0.4042695</v>
      </c>
      <c r="F6001" t="s">
        <v>85</v>
      </c>
      <c r="G6001">
        <v>-294.50450000000001</v>
      </c>
      <c r="H6001" s="1">
        <v>-4.942519E-6</v>
      </c>
      <c r="I6001">
        <v>-46.476469999999999</v>
      </c>
      <c r="J6001">
        <v>-298.17180000000002</v>
      </c>
      <c r="K6001">
        <v>1.1148209999999901</v>
      </c>
      <c r="L6001">
        <v>-42.957889999999999</v>
      </c>
      <c r="M6001">
        <v>0.29448679999999999</v>
      </c>
      <c r="N6001">
        <v>0</v>
      </c>
      <c r="O6001">
        <v>-0.95555979999999996</v>
      </c>
      <c r="P6001">
        <v>0.50719799999999904</v>
      </c>
      <c r="Q6001">
        <v>2.9911239999999999E-2</v>
      </c>
      <c r="R6001">
        <v>-0.86131069999999998</v>
      </c>
      <c r="S6001">
        <v>2.2121580000000001</v>
      </c>
      <c r="T6001">
        <v>-0.65884509999999996</v>
      </c>
      <c r="U6001">
        <v>-2.2101139999999999</v>
      </c>
      <c r="V6001">
        <v>-0.23149700000000001</v>
      </c>
      <c r="W6001">
        <v>4.0514649999999999E-2</v>
      </c>
      <c r="X6001">
        <v>0.97199170000000001</v>
      </c>
      <c r="Y6001">
        <v>-0.45143339999999998</v>
      </c>
      <c r="Z6001">
        <v>0.2119317</v>
      </c>
      <c r="AA6001">
        <v>0.86677150000000003</v>
      </c>
      <c r="AB6001">
        <v>22</v>
      </c>
      <c r="AC6001">
        <v>3.6673000000000102</v>
      </c>
      <c r="AD6001">
        <v>-1.1148259425189999</v>
      </c>
      <c r="AE6001">
        <v>-3.51858</v>
      </c>
      <c r="AF6001">
        <v>-2.3550567642979101</v>
      </c>
      <c r="AG6001">
        <v>-1.1148259425189999</v>
      </c>
      <c r="AH6001">
        <v>4.2386410028394197</v>
      </c>
      <c r="AI6001">
        <v>102.94789574543501</v>
      </c>
      <c r="AJ6001">
        <v>119.05725049779301</v>
      </c>
      <c r="AK6001">
        <v>4.9754604607142001</v>
      </c>
      <c r="AL6001">
        <v>87.678046216444002</v>
      </c>
      <c r="AM6001">
        <v>103.39642517688701</v>
      </c>
      <c r="AN6001">
        <v>1.00000008137125</v>
      </c>
    </row>
    <row r="6002" spans="1:40" x14ac:dyDescent="0.25">
      <c r="A6002" t="str">
        <f>"20190312151144776"</f>
        <v>20190312151144776</v>
      </c>
      <c r="B6002" t="str">
        <f>"1552374704767598"</f>
        <v>1552374704767598</v>
      </c>
      <c r="C6002" t="s">
        <v>40</v>
      </c>
      <c r="D6002">
        <v>5.4273920000000002</v>
      </c>
      <c r="E6002">
        <v>0.40466809999999998</v>
      </c>
      <c r="F6002" t="s">
        <v>85</v>
      </c>
      <c r="G6002">
        <v>-294.40280000000001</v>
      </c>
      <c r="H6002" s="1">
        <v>-5.0702420000000001E-6</v>
      </c>
      <c r="I6002">
        <v>-46.682850000000002</v>
      </c>
      <c r="J6002">
        <v>-298.10169999999999</v>
      </c>
      <c r="K6002">
        <v>1.114827</v>
      </c>
      <c r="L6002">
        <v>-43.156979999999997</v>
      </c>
      <c r="M6002">
        <v>0.30147879999999999</v>
      </c>
      <c r="N6002">
        <v>0</v>
      </c>
      <c r="O6002">
        <v>-0.95337689999999997</v>
      </c>
      <c r="P6002">
        <v>0.51316790000000001</v>
      </c>
      <c r="Q6002">
        <v>2.9640900000000001E-2</v>
      </c>
      <c r="R6002">
        <v>-0.85777639999999999</v>
      </c>
      <c r="S6002">
        <v>2.2228699999999999</v>
      </c>
      <c r="T6002">
        <v>-0.65749849999999999</v>
      </c>
      <c r="U6002">
        <v>-2.1968990000000002</v>
      </c>
      <c r="V6002">
        <v>-0.2311222</v>
      </c>
      <c r="W6002">
        <v>4.0244019999999998E-2</v>
      </c>
      <c r="X6002">
        <v>0.97209199999999996</v>
      </c>
      <c r="Y6002">
        <v>-0.4496927</v>
      </c>
      <c r="Z6002">
        <v>0.21147050000000001</v>
      </c>
      <c r="AA6002">
        <v>0.86778840000000002</v>
      </c>
      <c r="AB6002">
        <v>22</v>
      </c>
      <c r="AC6002">
        <v>3.6988999999999801</v>
      </c>
      <c r="AD6002">
        <v>-1.114832070242</v>
      </c>
      <c r="AE6002">
        <v>-3.5258699999999998</v>
      </c>
      <c r="AF6002">
        <v>-2.35176635356187</v>
      </c>
      <c r="AG6002">
        <v>-1.114832070242</v>
      </c>
      <c r="AH6002">
        <v>4.2736335224569597</v>
      </c>
      <c r="AI6002">
        <v>102.873481395282</v>
      </c>
      <c r="AJ6002">
        <v>118.82384293930799</v>
      </c>
      <c r="AK6002">
        <v>5.0037584884618198</v>
      </c>
      <c r="AL6002">
        <v>87.693564535830404</v>
      </c>
      <c r="AM6002">
        <v>103.374185560889</v>
      </c>
      <c r="AN6002">
        <v>0.99999995447129897</v>
      </c>
    </row>
    <row r="6003" spans="1:40" x14ac:dyDescent="0.25">
      <c r="A6003" t="str">
        <f>"20190312151144798"</f>
        <v>20190312151144798</v>
      </c>
      <c r="B6003" t="str">
        <f>"1552374704787118"</f>
        <v>1552374704787118</v>
      </c>
      <c r="C6003" t="s">
        <v>40</v>
      </c>
      <c r="D6003">
        <v>5.240761</v>
      </c>
      <c r="E6003">
        <v>0.43006870000000003</v>
      </c>
      <c r="F6003" t="s">
        <v>85</v>
      </c>
      <c r="G6003">
        <v>-294.29250000000002</v>
      </c>
      <c r="H6003" s="1">
        <v>-5.1929309999999997E-6</v>
      </c>
      <c r="I6003">
        <v>-46.875639999999997</v>
      </c>
      <c r="J6003">
        <v>-298.02999999999997</v>
      </c>
      <c r="K6003">
        <v>1.114827</v>
      </c>
      <c r="L6003">
        <v>-43.35577</v>
      </c>
      <c r="M6003">
        <v>0.30847960000000002</v>
      </c>
      <c r="N6003">
        <v>0</v>
      </c>
      <c r="O6003">
        <v>-0.9511347</v>
      </c>
      <c r="P6003">
        <v>0.51868519999999996</v>
      </c>
      <c r="Q6003">
        <v>2.910714E-2</v>
      </c>
      <c r="R6003">
        <v>-0.85446979999999995</v>
      </c>
      <c r="S6003">
        <v>2.2356569999999998</v>
      </c>
      <c r="T6003">
        <v>-0.65430919999999904</v>
      </c>
      <c r="U6003">
        <v>-2.1825260000000002</v>
      </c>
      <c r="V6003">
        <v>-0.23022870000000001</v>
      </c>
      <c r="W6003">
        <v>3.9712299999999999E-2</v>
      </c>
      <c r="X6003">
        <v>0.97232589999999997</v>
      </c>
      <c r="Y6003">
        <v>-0.44866329999999999</v>
      </c>
      <c r="Z6003">
        <v>0.21040229999999999</v>
      </c>
      <c r="AA6003">
        <v>0.86858049999999998</v>
      </c>
      <c r="AB6003">
        <v>22</v>
      </c>
      <c r="AC6003">
        <v>3.7374999999999501</v>
      </c>
      <c r="AD6003">
        <v>-1.1148321929309899</v>
      </c>
      <c r="AE6003">
        <v>-3.5198700000000001</v>
      </c>
      <c r="AF6003">
        <v>-2.3580950535185701</v>
      </c>
      <c r="AG6003">
        <v>-1.1148321929309899</v>
      </c>
      <c r="AH6003">
        <v>4.2985403799892303</v>
      </c>
      <c r="AI6003">
        <v>102.81032472240101</v>
      </c>
      <c r="AJ6003">
        <v>118.748309948005</v>
      </c>
      <c r="AK6003">
        <v>5.0280127782476898</v>
      </c>
      <c r="AL6003">
        <v>87.724054301687204</v>
      </c>
      <c r="AM6003">
        <v>103.321238480538</v>
      </c>
      <c r="AN6003">
        <v>0.99999998844289495</v>
      </c>
    </row>
    <row r="6004" spans="1:40" x14ac:dyDescent="0.25">
      <c r="A6004" t="str">
        <f>"20190312151144820"</f>
        <v>20190312151144820</v>
      </c>
      <c r="B6004" t="str">
        <f>"1552374704817376"</f>
        <v>1552374704817376</v>
      </c>
      <c r="C6004" t="s">
        <v>40</v>
      </c>
      <c r="D6004">
        <v>5.2670240000000002</v>
      </c>
      <c r="E6004">
        <v>0.43239070000000002</v>
      </c>
      <c r="F6004" t="s">
        <v>85</v>
      </c>
      <c r="G6004">
        <v>-293.40190000000001</v>
      </c>
      <c r="H6004" s="1">
        <v>-6.0145499999999999E-6</v>
      </c>
      <c r="I6004">
        <v>-48.445149999999998</v>
      </c>
      <c r="J6004">
        <v>-297.9563</v>
      </c>
      <c r="K6004">
        <v>1.1148290000000001</v>
      </c>
      <c r="L6004">
        <v>-43.555300000000003</v>
      </c>
      <c r="M6004">
        <v>0.31551820000000003</v>
      </c>
      <c r="N6004">
        <v>0</v>
      </c>
      <c r="O6004">
        <v>-0.94882330000000004</v>
      </c>
      <c r="P6004">
        <v>0.52489010000000003</v>
      </c>
      <c r="Q6004">
        <v>2.895582E-2</v>
      </c>
      <c r="R6004">
        <v>-0.85067739999999903</v>
      </c>
      <c r="S6004">
        <v>2.0671080000000002</v>
      </c>
      <c r="T6004">
        <v>-0.49793219999999999</v>
      </c>
      <c r="U6004">
        <v>-2.2731319999999999</v>
      </c>
      <c r="V6004">
        <v>-0.23009750000000001</v>
      </c>
      <c r="W6004">
        <v>3.9553159999999997E-2</v>
      </c>
      <c r="X6004">
        <v>0.97236350000000005</v>
      </c>
      <c r="Y6004">
        <v>-0.39571440000000002</v>
      </c>
      <c r="Z6004">
        <v>0.16240839999999901</v>
      </c>
      <c r="AA6004">
        <v>0.90389909999999996</v>
      </c>
      <c r="AB6004">
        <v>22</v>
      </c>
      <c r="AC6004">
        <v>4.5543999999999798</v>
      </c>
      <c r="AD6004">
        <v>-1.1148350145499999</v>
      </c>
      <c r="AE6004">
        <v>-4.8898499999999903</v>
      </c>
      <c r="AF6004">
        <v>-2.7034901494782302</v>
      </c>
      <c r="AG6004">
        <v>-1.1148350145499999</v>
      </c>
      <c r="AH6004">
        <v>5.9125863068077402</v>
      </c>
      <c r="AI6004">
        <v>99.730301732805003</v>
      </c>
      <c r="AJ6004">
        <v>114.57192870796599</v>
      </c>
      <c r="AK6004">
        <v>6.5962408183330403</v>
      </c>
      <c r="AL6004">
        <v>87.733179647827498</v>
      </c>
      <c r="AM6004">
        <v>103.3134210405</v>
      </c>
      <c r="AN6004">
        <v>1.0000000440522401</v>
      </c>
    </row>
    <row r="6005" spans="1:40" x14ac:dyDescent="0.25">
      <c r="A6005" t="str">
        <f>"20190312151144842"</f>
        <v>20190312151144842</v>
      </c>
      <c r="B6005" t="str">
        <f>"1552374704836894"</f>
        <v>1552374704836894</v>
      </c>
      <c r="C6005" t="s">
        <v>40</v>
      </c>
      <c r="D6005">
        <v>5.247827</v>
      </c>
      <c r="E6005">
        <v>0.43309629999999999</v>
      </c>
      <c r="F6005" t="s">
        <v>85</v>
      </c>
      <c r="G6005">
        <v>-293.67</v>
      </c>
      <c r="H6005" s="1">
        <v>-5.8990189999999899E-6</v>
      </c>
      <c r="I6005">
        <v>-48.250529999999998</v>
      </c>
      <c r="J6005">
        <v>-297.87849999999997</v>
      </c>
      <c r="K6005">
        <v>1.114825</v>
      </c>
      <c r="L6005">
        <v>-43.760930000000002</v>
      </c>
      <c r="M6005">
        <v>0.32278059999999997</v>
      </c>
      <c r="N6005">
        <v>0</v>
      </c>
      <c r="O6005">
        <v>-0.94637749999999998</v>
      </c>
      <c r="P6005">
        <v>0.531282699999999</v>
      </c>
      <c r="Q6005">
        <v>2.923831E-2</v>
      </c>
      <c r="R6005">
        <v>-0.84668969999999899</v>
      </c>
      <c r="S6005">
        <v>2.0700989999999999</v>
      </c>
      <c r="T6005">
        <v>-0.53842100000000004</v>
      </c>
      <c r="U6005">
        <v>-2.2676090000000002</v>
      </c>
      <c r="V6005">
        <v>-0.22997490000000001</v>
      </c>
      <c r="W6005">
        <v>3.9830459999999998E-2</v>
      </c>
      <c r="X6005">
        <v>0.9723811</v>
      </c>
      <c r="Y6005">
        <v>-0.38891150000000002</v>
      </c>
      <c r="Z6005">
        <v>0.1750121</v>
      </c>
      <c r="AA6005">
        <v>0.9044991</v>
      </c>
      <c r="AB6005">
        <v>22</v>
      </c>
      <c r="AC6005">
        <v>4.2084999999999502</v>
      </c>
      <c r="AD6005">
        <v>-1.1148308990189999</v>
      </c>
      <c r="AE6005">
        <v>-4.4895999999999896</v>
      </c>
      <c r="AF6005">
        <v>-2.4533835220096698</v>
      </c>
      <c r="AG6005">
        <v>-1.1148308990189999</v>
      </c>
      <c r="AH6005">
        <v>5.4295877313719503</v>
      </c>
      <c r="AI6005">
        <v>100.598086304698</v>
      </c>
      <c r="AJ6005">
        <v>114.31604461601501</v>
      </c>
      <c r="AK6005">
        <v>6.0615477868396699</v>
      </c>
      <c r="AL6005">
        <v>87.717278811006295</v>
      </c>
      <c r="AM6005">
        <v>103.306347533861</v>
      </c>
      <c r="AN6005">
        <v>0.99999996190551499</v>
      </c>
    </row>
    <row r="6006" spans="1:40" x14ac:dyDescent="0.25">
      <c r="A6006" t="str">
        <f>"20190312151144865"</f>
        <v>20190312151144865</v>
      </c>
      <c r="B6006" t="str">
        <f>"1552374704857390"</f>
        <v>1552374704857390</v>
      </c>
      <c r="C6006" t="s">
        <v>40</v>
      </c>
      <c r="D6006">
        <v>5.2066080000000001</v>
      </c>
      <c r="E6006">
        <v>0.43338690000000002</v>
      </c>
      <c r="F6006" t="s">
        <v>85</v>
      </c>
      <c r="G6006">
        <v>-293.67930000000001</v>
      </c>
      <c r="H6006" s="1">
        <v>-5.918563E-6</v>
      </c>
      <c r="I6006">
        <v>-48.306019999999997</v>
      </c>
      <c r="J6006">
        <v>-297.80070000000001</v>
      </c>
      <c r="K6006">
        <v>1.1148129999999901</v>
      </c>
      <c r="L6006">
        <v>-43.962159999999997</v>
      </c>
      <c r="M6006">
        <v>0.32989550000000001</v>
      </c>
      <c r="N6006">
        <v>0</v>
      </c>
      <c r="O6006">
        <v>-0.94392129999999996</v>
      </c>
      <c r="P6006">
        <v>0.53777830000000004</v>
      </c>
      <c r="Q6006">
        <v>3.0352730000000001E-2</v>
      </c>
      <c r="R6006">
        <v>-0.84253979999999995</v>
      </c>
      <c r="S6006">
        <v>2.0833740000000001</v>
      </c>
      <c r="T6006">
        <v>-0.55311299999999997</v>
      </c>
      <c r="U6006">
        <v>-2.2550050000000001</v>
      </c>
      <c r="V6006">
        <v>-0.230157</v>
      </c>
      <c r="W6006">
        <v>4.0931530000000001E-2</v>
      </c>
      <c r="X6006">
        <v>0.9722923</v>
      </c>
      <c r="Y6006">
        <v>-0.38681650000000001</v>
      </c>
      <c r="Z6006">
        <v>0.17942949999999999</v>
      </c>
      <c r="AA6006">
        <v>0.904532</v>
      </c>
      <c r="AB6006">
        <v>22</v>
      </c>
      <c r="AC6006">
        <v>4.1213999999999897</v>
      </c>
      <c r="AD6006">
        <v>-1.11481891856299</v>
      </c>
      <c r="AE6006">
        <v>-4.3438600000000003</v>
      </c>
      <c r="AF6006">
        <v>-2.37515205710802</v>
      </c>
      <c r="AG6006">
        <v>-1.11481891856299</v>
      </c>
      <c r="AH6006">
        <v>5.2774596970237297</v>
      </c>
      <c r="AI6006">
        <v>100.90342852770399</v>
      </c>
      <c r="AJ6006">
        <v>114.230410397916</v>
      </c>
      <c r="AK6006">
        <v>5.8937042146073297</v>
      </c>
      <c r="AL6006">
        <v>87.654140675531707</v>
      </c>
      <c r="AM6006">
        <v>103.317681498786</v>
      </c>
      <c r="AN6006">
        <v>0.99999997571821497</v>
      </c>
    </row>
    <row r="6007" spans="1:40" x14ac:dyDescent="0.25">
      <c r="A6007" t="str">
        <f>"20190312151144887"</f>
        <v>20190312151144887</v>
      </c>
      <c r="B6007" t="str">
        <f>"1552374704876911"</f>
        <v>1552374704876911</v>
      </c>
      <c r="C6007" t="s">
        <v>40</v>
      </c>
      <c r="D6007">
        <v>5.2265269999999999</v>
      </c>
      <c r="E6007">
        <v>0.43379889999999999</v>
      </c>
      <c r="F6007" t="s">
        <v>85</v>
      </c>
      <c r="G6007">
        <v>-293.55869999999999</v>
      </c>
      <c r="H6007" s="1">
        <v>-6.0065890000000001E-6</v>
      </c>
      <c r="I6007">
        <v>-48.488819999999997</v>
      </c>
      <c r="J6007">
        <v>-297.71839999999997</v>
      </c>
      <c r="K6007">
        <v>1.1148009999999999</v>
      </c>
      <c r="L6007">
        <v>-44.170009999999998</v>
      </c>
      <c r="M6007">
        <v>0.33724609999999999</v>
      </c>
      <c r="N6007">
        <v>0</v>
      </c>
      <c r="O6007">
        <v>-0.94132039999999995</v>
      </c>
      <c r="P6007">
        <v>0.54541799999999996</v>
      </c>
      <c r="Q6007">
        <v>3.1104719999999999E-2</v>
      </c>
      <c r="R6007">
        <v>-0.83758690000000002</v>
      </c>
      <c r="S6007">
        <v>2.0995180000000002</v>
      </c>
      <c r="T6007">
        <v>-0.5517666</v>
      </c>
      <c r="U6007">
        <v>-2.2404169999999999</v>
      </c>
      <c r="V6007">
        <v>-0.2314338</v>
      </c>
      <c r="W6007">
        <v>4.1648560000000001E-2</v>
      </c>
      <c r="X6007">
        <v>0.97195880000000001</v>
      </c>
      <c r="Y6007">
        <v>-0.38613150000000002</v>
      </c>
      <c r="Z6007">
        <v>0.17877479999999901</v>
      </c>
      <c r="AA6007">
        <v>0.90495409999999998</v>
      </c>
      <c r="AB6007">
        <v>22</v>
      </c>
      <c r="AC6007">
        <v>4.1596999999999804</v>
      </c>
      <c r="AD6007">
        <v>-1.1148070065889999</v>
      </c>
      <c r="AE6007">
        <v>-4.31881</v>
      </c>
      <c r="AF6007">
        <v>-2.3771643438052998</v>
      </c>
      <c r="AG6007">
        <v>-1.1148070065889999</v>
      </c>
      <c r="AH6007">
        <v>5.2860101399658896</v>
      </c>
      <c r="AI6007">
        <v>100.88748068051299</v>
      </c>
      <c r="AJ6007">
        <v>114.21386052424501</v>
      </c>
      <c r="AK6007">
        <v>5.9021697856992699</v>
      </c>
      <c r="AL6007">
        <v>87.613023011251201</v>
      </c>
      <c r="AM6007">
        <v>103.393336670308</v>
      </c>
      <c r="AN6007">
        <v>1.0000000576149699</v>
      </c>
    </row>
    <row r="6008" spans="1:40" x14ac:dyDescent="0.25">
      <c r="A6008" t="str">
        <f>"20190312151144911"</f>
        <v>20190312151144911</v>
      </c>
      <c r="B6008" t="str">
        <f>"1552374704907168"</f>
        <v>1552374704907168</v>
      </c>
      <c r="C6008" t="s">
        <v>40</v>
      </c>
      <c r="D6008">
        <v>5.1989729999999996</v>
      </c>
      <c r="E6008">
        <v>0.43462830000000002</v>
      </c>
      <c r="F6008" t="s">
        <v>85</v>
      </c>
      <c r="G6008">
        <v>-293.44260000000003</v>
      </c>
      <c r="H6008" s="1">
        <v>-6.0901889999999996E-6</v>
      </c>
      <c r="I6008">
        <v>-48.661799999999999</v>
      </c>
      <c r="J6008">
        <v>-297.63249999999999</v>
      </c>
      <c r="K6008">
        <v>1.114784</v>
      </c>
      <c r="L6008">
        <v>-44.38232</v>
      </c>
      <c r="M6008">
        <v>0.3447538</v>
      </c>
      <c r="N6008">
        <v>0</v>
      </c>
      <c r="O6008">
        <v>-0.93859709999999996</v>
      </c>
      <c r="P6008">
        <v>0.55300919999999998</v>
      </c>
      <c r="Q6008">
        <v>3.1625540000000001E-2</v>
      </c>
      <c r="R6008">
        <v>-0.83257490000000001</v>
      </c>
      <c r="S6008">
        <v>2.1168520000000002</v>
      </c>
      <c r="T6008">
        <v>-0.55190930000000005</v>
      </c>
      <c r="U6008">
        <v>-2.2237550000000001</v>
      </c>
      <c r="V6008">
        <v>-0.23251759999999999</v>
      </c>
      <c r="W6008">
        <v>4.2131170000000003E-2</v>
      </c>
      <c r="X6008">
        <v>0.97167919999999997</v>
      </c>
      <c r="Y6008">
        <v>-0.38588240000000001</v>
      </c>
      <c r="Z6008">
        <v>0.17861779999999999</v>
      </c>
      <c r="AA6008">
        <v>0.90509139999999999</v>
      </c>
      <c r="AB6008">
        <v>22</v>
      </c>
      <c r="AC6008">
        <v>4.1898999999999598</v>
      </c>
      <c r="AD6008">
        <v>-1.114790090189</v>
      </c>
      <c r="AE6008">
        <v>-4.2794800000000004</v>
      </c>
      <c r="AF6008">
        <v>-2.3751895960370799</v>
      </c>
      <c r="AG6008">
        <v>-1.114790090189</v>
      </c>
      <c r="AH6008">
        <v>5.2787901496811802</v>
      </c>
      <c r="AI6008">
        <v>100.900894483765</v>
      </c>
      <c r="AJ6008">
        <v>114.22534457232901</v>
      </c>
      <c r="AK6008">
        <v>5.8949052584988504</v>
      </c>
      <c r="AL6008">
        <v>87.585346988857694</v>
      </c>
      <c r="AM6008">
        <v>103.45751273251</v>
      </c>
      <c r="AN6008">
        <v>0.999999968753984</v>
      </c>
    </row>
    <row r="6009" spans="1:40" x14ac:dyDescent="0.25">
      <c r="A6009" t="str">
        <f>"20190312151144932"</f>
        <v>20190312151144932</v>
      </c>
      <c r="B6009" t="str">
        <f>"1552374704927662"</f>
        <v>1552374704927662</v>
      </c>
      <c r="C6009" t="s">
        <v>40</v>
      </c>
      <c r="D6009">
        <v>5.2345249999999997</v>
      </c>
      <c r="E6009">
        <v>0.43515809999999999</v>
      </c>
      <c r="F6009" t="s">
        <v>85</v>
      </c>
      <c r="G6009">
        <v>-293.33850000000001</v>
      </c>
      <c r="H6009" s="1">
        <v>-6.16997499999999E-6</v>
      </c>
      <c r="I6009">
        <v>-48.829650000000001</v>
      </c>
      <c r="J6009">
        <v>-297.55459999999999</v>
      </c>
      <c r="K6009">
        <v>1.1147739999999999</v>
      </c>
      <c r="L6009">
        <v>-44.570740000000001</v>
      </c>
      <c r="M6009">
        <v>0.35141519999999998</v>
      </c>
      <c r="N6009">
        <v>0</v>
      </c>
      <c r="O6009">
        <v>-0.9361237</v>
      </c>
      <c r="P6009">
        <v>0.55952599999999997</v>
      </c>
      <c r="Q6009">
        <v>3.12886E-2</v>
      </c>
      <c r="R6009">
        <v>-0.82822189999999996</v>
      </c>
      <c r="S6009">
        <v>2.1320800000000002</v>
      </c>
      <c r="T6009">
        <v>-0.55351640000000002</v>
      </c>
      <c r="U6009">
        <v>-2.2081909999999998</v>
      </c>
      <c r="V6009">
        <v>-0.23322870000000001</v>
      </c>
      <c r="W6009">
        <v>4.1759570000000003E-2</v>
      </c>
      <c r="X6009">
        <v>0.97152479999999997</v>
      </c>
      <c r="Y6009">
        <v>-0.38570680000000002</v>
      </c>
      <c r="Z6009">
        <v>0.1789636</v>
      </c>
      <c r="AA6009">
        <v>0.90509799999999996</v>
      </c>
      <c r="AB6009">
        <v>22</v>
      </c>
      <c r="AC6009">
        <v>4.2160999999999804</v>
      </c>
      <c r="AD6009">
        <v>-1.114780169975</v>
      </c>
      <c r="AE6009">
        <v>-4.2589100000000002</v>
      </c>
      <c r="AF6009">
        <v>-2.3684109629011099</v>
      </c>
      <c r="AG6009">
        <v>-1.114780169975</v>
      </c>
      <c r="AH6009">
        <v>5.2860454511340498</v>
      </c>
      <c r="AI6009">
        <v>100.893742185826</v>
      </c>
      <c r="AJ6009">
        <v>114.13475011535201</v>
      </c>
      <c r="AK6009">
        <v>5.8986762776079402</v>
      </c>
      <c r="AL6009">
        <v>87.606656841276703</v>
      </c>
      <c r="AM6009">
        <v>103.499232255647</v>
      </c>
      <c r="AN6009">
        <v>0.999999962602656</v>
      </c>
    </row>
    <row r="6010" spans="1:40" x14ac:dyDescent="0.25">
      <c r="A6010" t="str">
        <f>"20190312151144954"</f>
        <v>20190312151144954</v>
      </c>
      <c r="B6010" t="str">
        <f>"1552374704947182"</f>
        <v>1552374704947182</v>
      </c>
      <c r="C6010" t="s">
        <v>40</v>
      </c>
      <c r="D6010">
        <v>5.1964459999999999</v>
      </c>
      <c r="E6010">
        <v>0.43571860000000001</v>
      </c>
      <c r="F6010" t="s">
        <v>85</v>
      </c>
      <c r="G6010">
        <v>-293.25979999999998</v>
      </c>
      <c r="H6010" s="1">
        <v>-6.2305849999999999E-6</v>
      </c>
      <c r="I6010">
        <v>-48.957320000000003</v>
      </c>
      <c r="J6010">
        <v>-297.4701</v>
      </c>
      <c r="K6010">
        <v>1.1147609999999999</v>
      </c>
      <c r="L6010">
        <v>-44.771090000000001</v>
      </c>
      <c r="M6010">
        <v>0.35850110000000002</v>
      </c>
      <c r="N6010">
        <v>0</v>
      </c>
      <c r="O6010">
        <v>-0.93343370000000003</v>
      </c>
      <c r="P6010">
        <v>0.56614500000000001</v>
      </c>
      <c r="Q6010">
        <v>3.111156E-2</v>
      </c>
      <c r="R6010">
        <v>-0.82371859999999997</v>
      </c>
      <c r="S6010">
        <v>2.146973</v>
      </c>
      <c r="T6010">
        <v>-0.55727550000000003</v>
      </c>
      <c r="U6010">
        <v>-2.192841</v>
      </c>
      <c r="V6010">
        <v>-0.2336445</v>
      </c>
      <c r="W6010">
        <v>4.1543740000000003E-2</v>
      </c>
      <c r="X6010">
        <v>0.97143420000000003</v>
      </c>
      <c r="Y6010">
        <v>-0.38489630000000002</v>
      </c>
      <c r="Z6010">
        <v>0.17993339999999999</v>
      </c>
      <c r="AA6010">
        <v>0.90525069999999996</v>
      </c>
      <c r="AB6010">
        <v>22</v>
      </c>
      <c r="AC6010">
        <v>4.2103000000000099</v>
      </c>
      <c r="AD6010">
        <v>-1.114767230585</v>
      </c>
      <c r="AE6010">
        <v>-4.1862300000000001</v>
      </c>
      <c r="AF6010">
        <v>-2.3467547130313502</v>
      </c>
      <c r="AG6010">
        <v>-1.114767230585</v>
      </c>
      <c r="AH6010">
        <v>5.2329713064119998</v>
      </c>
      <c r="AI6010">
        <v>100.999796383486</v>
      </c>
      <c r="AJ6010">
        <v>114.154111209509</v>
      </c>
      <c r="AK6010">
        <v>5.84242692339856</v>
      </c>
      <c r="AL6010">
        <v>87.619033866918898</v>
      </c>
      <c r="AM6010">
        <v>103.52363047800399</v>
      </c>
      <c r="AN6010">
        <v>1.00000001982153</v>
      </c>
    </row>
    <row r="6011" spans="1:40" x14ac:dyDescent="0.25">
      <c r="A6011" t="str">
        <f>"20190312151144976"</f>
        <v>20190312151144976</v>
      </c>
      <c r="B6011" t="str">
        <f>"1552374704967679"</f>
        <v>1552374704967679</v>
      </c>
      <c r="C6011" t="s">
        <v>40</v>
      </c>
      <c r="D6011">
        <v>5.1692749999999998</v>
      </c>
      <c r="E6011">
        <v>0.4363802</v>
      </c>
      <c r="F6011" t="s">
        <v>85</v>
      </c>
      <c r="G6011">
        <v>-293.1456</v>
      </c>
      <c r="H6011" s="1">
        <v>-6.3130780000000004E-6</v>
      </c>
      <c r="I6011">
        <v>-49.128169999999997</v>
      </c>
      <c r="J6011">
        <v>-297.3836</v>
      </c>
      <c r="K6011">
        <v>1.114744</v>
      </c>
      <c r="L6011">
        <v>-44.971890000000002</v>
      </c>
      <c r="M6011">
        <v>0.36560160000000003</v>
      </c>
      <c r="N6011">
        <v>0</v>
      </c>
      <c r="O6011">
        <v>-0.93067630000000001</v>
      </c>
      <c r="P6011">
        <v>0.57283719999999905</v>
      </c>
      <c r="Q6011">
        <v>3.0660090000000001E-2</v>
      </c>
      <c r="R6011">
        <v>-0.81909569999999998</v>
      </c>
      <c r="S6011">
        <v>2.1613159999999998</v>
      </c>
      <c r="T6011">
        <v>-0.55713889999999999</v>
      </c>
      <c r="U6011">
        <v>-2.1775820000000001</v>
      </c>
      <c r="V6011">
        <v>-0.23414670000000001</v>
      </c>
      <c r="W6011">
        <v>4.104588E-2</v>
      </c>
      <c r="X6011">
        <v>0.97133440000000004</v>
      </c>
      <c r="Y6011">
        <v>-0.38408199999999998</v>
      </c>
      <c r="Z6011">
        <v>0.17967659999999999</v>
      </c>
      <c r="AA6011">
        <v>0.90564750000000005</v>
      </c>
      <c r="AB6011">
        <v>22</v>
      </c>
      <c r="AC6011">
        <v>4.2380000000000004</v>
      </c>
      <c r="AD6011">
        <v>-1.1147503130780001</v>
      </c>
      <c r="AE6011">
        <v>-4.1562799999999998</v>
      </c>
      <c r="AF6011">
        <v>-2.3422717301454901</v>
      </c>
      <c r="AG6011">
        <v>-1.1147503130780001</v>
      </c>
      <c r="AH6011">
        <v>5.23347791781765</v>
      </c>
      <c r="AI6011">
        <v>101.002198624095</v>
      </c>
      <c r="AJ6011">
        <v>114.11116433266</v>
      </c>
      <c r="AK6011">
        <v>5.8410783451885999</v>
      </c>
      <c r="AL6011">
        <v>87.647583400040901</v>
      </c>
      <c r="AM6011">
        <v>103.552968506998</v>
      </c>
      <c r="AN6011">
        <v>0.99999997900461202</v>
      </c>
    </row>
    <row r="6012" spans="1:40" x14ac:dyDescent="0.25">
      <c r="A6012" t="str">
        <f>"20190312151144998"</f>
        <v>20190312151144998</v>
      </c>
      <c r="B6012" t="str">
        <f>"1552374704987198"</f>
        <v>1552374704987198</v>
      </c>
      <c r="C6012" t="s">
        <v>40</v>
      </c>
      <c r="D6012">
        <v>5.190429</v>
      </c>
      <c r="E6012">
        <v>0.43696489999999999</v>
      </c>
      <c r="F6012" t="s">
        <v>85</v>
      </c>
      <c r="G6012">
        <v>-293.04289999999997</v>
      </c>
      <c r="H6012" s="1">
        <v>-6.3906719999999997E-6</v>
      </c>
      <c r="I6012">
        <v>-49.29083</v>
      </c>
      <c r="J6012">
        <v>-297.29860000000002</v>
      </c>
      <c r="K6012">
        <v>1.1147210000000001</v>
      </c>
      <c r="L6012">
        <v>-45.16516</v>
      </c>
      <c r="M6012">
        <v>0.3724404</v>
      </c>
      <c r="N6012">
        <v>0</v>
      </c>
      <c r="O6012">
        <v>-0.92796129999999999</v>
      </c>
      <c r="P6012">
        <v>0.57891789999999999</v>
      </c>
      <c r="Q6012">
        <v>3.022743E-2</v>
      </c>
      <c r="R6012">
        <v>-0.81482540000000003</v>
      </c>
      <c r="S6012">
        <v>2.1739809999999999</v>
      </c>
      <c r="T6012">
        <v>-0.55830880000000005</v>
      </c>
      <c r="U6012">
        <v>-2.1630859999999998</v>
      </c>
      <c r="V6012">
        <v>-0.23421710000000001</v>
      </c>
      <c r="W6012">
        <v>4.0570870000000002E-2</v>
      </c>
      <c r="X6012">
        <v>0.97133740000000002</v>
      </c>
      <c r="Y6012">
        <v>-0.38294149999999999</v>
      </c>
      <c r="Z6012">
        <v>0.1798421</v>
      </c>
      <c r="AA6012">
        <v>0.9060975</v>
      </c>
      <c r="AB6012">
        <v>22</v>
      </c>
      <c r="AC6012">
        <v>4.25570000000004</v>
      </c>
      <c r="AD6012">
        <v>-1.1147273906720001</v>
      </c>
      <c r="AE6012">
        <v>-4.1256700000000004</v>
      </c>
      <c r="AF6012">
        <v>-2.3303470748016801</v>
      </c>
      <c r="AG6012">
        <v>-1.1147273906720001</v>
      </c>
      <c r="AH6012">
        <v>5.2289848533992496</v>
      </c>
      <c r="AI6012">
        <v>101.018786153031</v>
      </c>
      <c r="AJ6012">
        <v>114.020599736249</v>
      </c>
      <c r="AK6012">
        <v>5.8322737625757899</v>
      </c>
      <c r="AL6012">
        <v>87.674822196506994</v>
      </c>
      <c r="AM6012">
        <v>103.556852725607</v>
      </c>
      <c r="AN6012">
        <v>0.99999999503186299</v>
      </c>
    </row>
    <row r="6013" spans="1:40" x14ac:dyDescent="0.25">
      <c r="A6013" t="str">
        <f>"20190312151145021"</f>
        <v>20190312151145021</v>
      </c>
      <c r="B6013" t="str">
        <f>"1552374705017454"</f>
        <v>1552374705017454</v>
      </c>
      <c r="C6013" t="s">
        <v>40</v>
      </c>
      <c r="D6013">
        <v>5.2658440000000004</v>
      </c>
      <c r="E6013">
        <v>0.43812329999999999</v>
      </c>
      <c r="F6013" t="s">
        <v>85</v>
      </c>
      <c r="G6013">
        <v>-292.95679999999999</v>
      </c>
      <c r="H6013" s="1">
        <v>-6.4593189999999996E-6</v>
      </c>
      <c r="I6013">
        <v>-49.436700000000002</v>
      </c>
      <c r="J6013">
        <v>-297.20979999999997</v>
      </c>
      <c r="K6013">
        <v>1.114703</v>
      </c>
      <c r="L6013">
        <v>-45.362760000000002</v>
      </c>
      <c r="M6013">
        <v>0.37943670000000002</v>
      </c>
      <c r="N6013">
        <v>0</v>
      </c>
      <c r="O6013">
        <v>-0.92512329999999998</v>
      </c>
      <c r="P6013">
        <v>0.58541940000000003</v>
      </c>
      <c r="Q6013">
        <v>2.9237610000000001E-2</v>
      </c>
      <c r="R6013">
        <v>-0.81020340000000002</v>
      </c>
      <c r="S6013">
        <v>2.1853030000000002</v>
      </c>
      <c r="T6013">
        <v>-0.56106849999999997</v>
      </c>
      <c r="U6013">
        <v>-2.1499630000000001</v>
      </c>
      <c r="V6013">
        <v>-0.2346298</v>
      </c>
      <c r="W6013">
        <v>3.9531249999999997E-2</v>
      </c>
      <c r="X6013">
        <v>0.9712807</v>
      </c>
      <c r="Y6013">
        <v>-0.38099640000000001</v>
      </c>
      <c r="Z6013">
        <v>0.1804471</v>
      </c>
      <c r="AA6013">
        <v>0.90679690000000002</v>
      </c>
      <c r="AB6013">
        <v>22</v>
      </c>
      <c r="AC6013">
        <v>4.2529999999999797</v>
      </c>
      <c r="AD6013">
        <v>-1.1147094593189999</v>
      </c>
      <c r="AE6013">
        <v>-4.0739400000000003</v>
      </c>
      <c r="AF6013">
        <v>-2.3063321951659201</v>
      </c>
      <c r="AG6013">
        <v>-1.1147094593189999</v>
      </c>
      <c r="AH6013">
        <v>5.1969330502178002</v>
      </c>
      <c r="AI6013">
        <v>101.092409583055</v>
      </c>
      <c r="AJ6013">
        <v>113.93103390923299</v>
      </c>
      <c r="AK6013">
        <v>5.7939501638864801</v>
      </c>
      <c r="AL6013">
        <v>87.734435950121096</v>
      </c>
      <c r="AM6013">
        <v>103.580619964359</v>
      </c>
      <c r="AN6013">
        <v>1.0000000304835399</v>
      </c>
    </row>
    <row r="6014" spans="1:40" x14ac:dyDescent="0.25">
      <c r="A6014" t="str">
        <f>"20190312151145043"</f>
        <v>20190312151145043</v>
      </c>
      <c r="B6014" t="str">
        <f>"1552374705036974"</f>
        <v>1552374705036974</v>
      </c>
      <c r="C6014" t="s">
        <v>40</v>
      </c>
      <c r="D6014">
        <v>5.1093330000000003</v>
      </c>
      <c r="E6014">
        <v>0.43867070000000002</v>
      </c>
      <c r="F6014" t="s">
        <v>85</v>
      </c>
      <c r="G6014">
        <v>-292.87889999999999</v>
      </c>
      <c r="H6014" s="1">
        <v>-6.5261549999999997E-6</v>
      </c>
      <c r="I6014">
        <v>-49.581119999999999</v>
      </c>
      <c r="J6014">
        <v>-297.11950000000002</v>
      </c>
      <c r="K6014">
        <v>1.1146910000000001</v>
      </c>
      <c r="L6014">
        <v>-45.559939999999997</v>
      </c>
      <c r="M6014">
        <v>0.38641959999999997</v>
      </c>
      <c r="N6014">
        <v>0</v>
      </c>
      <c r="O6014">
        <v>-0.92222910000000002</v>
      </c>
      <c r="P6014">
        <v>0.59164539999999999</v>
      </c>
      <c r="Q6014">
        <v>2.8280300000000001E-2</v>
      </c>
      <c r="R6014">
        <v>-0.80570229999999998</v>
      </c>
      <c r="S6014">
        <v>2.1945190000000001</v>
      </c>
      <c r="T6014">
        <v>-0.56483349999999999</v>
      </c>
      <c r="U6014">
        <v>-2.1374819999999999</v>
      </c>
      <c r="V6014">
        <v>-0.23474729999999999</v>
      </c>
      <c r="W6014">
        <v>3.8530660000000001E-2</v>
      </c>
      <c r="X6014">
        <v>0.9712925</v>
      </c>
      <c r="Y6014">
        <v>-0.37842490000000001</v>
      </c>
      <c r="Z6014">
        <v>0.18138000000000001</v>
      </c>
      <c r="AA6014">
        <v>0.90768709999999997</v>
      </c>
      <c r="AB6014">
        <v>22</v>
      </c>
      <c r="AC6014">
        <v>4.2406000000000201</v>
      </c>
      <c r="AD6014">
        <v>-1.1146975261549901</v>
      </c>
      <c r="AE6014">
        <v>-4.0211799999999904</v>
      </c>
      <c r="AF6014">
        <v>-2.2743983751543899</v>
      </c>
      <c r="AG6014">
        <v>-1.1146975261549901</v>
      </c>
      <c r="AH6014">
        <v>5.1598368435664401</v>
      </c>
      <c r="AI6014">
        <v>101.182126440335</v>
      </c>
      <c r="AJ6014">
        <v>113.787348636844</v>
      </c>
      <c r="AK6014">
        <v>5.7479870212054802</v>
      </c>
      <c r="AL6014">
        <v>87.791809215814993</v>
      </c>
      <c r="AM6014">
        <v>103.5870099779</v>
      </c>
      <c r="AN6014">
        <v>1.0000000135867799</v>
      </c>
    </row>
    <row r="6015" spans="1:40" x14ac:dyDescent="0.25">
      <c r="A6015" t="str">
        <f>"20190312151145066"</f>
        <v>20190312151145066</v>
      </c>
      <c r="B6015" t="str">
        <f>"1552374705057471"</f>
        <v>1552374705057471</v>
      </c>
      <c r="C6015" t="s">
        <v>40</v>
      </c>
      <c r="D6015">
        <v>5.1361629999999998</v>
      </c>
      <c r="E6015">
        <v>0.43914239999999999</v>
      </c>
      <c r="F6015" t="s">
        <v>85</v>
      </c>
      <c r="G6015">
        <v>-292.7423</v>
      </c>
      <c r="H6015" s="1">
        <v>-6.6188979999999998E-6</v>
      </c>
      <c r="I6015">
        <v>-49.769829999999999</v>
      </c>
      <c r="J6015">
        <v>-297.0265</v>
      </c>
      <c r="K6015">
        <v>1.114673</v>
      </c>
      <c r="L6015">
        <v>-45.758850000000002</v>
      </c>
      <c r="M6015">
        <v>0.39346999999999999</v>
      </c>
      <c r="N6015">
        <v>0</v>
      </c>
      <c r="O6015">
        <v>-0.91924380000000006</v>
      </c>
      <c r="P6015">
        <v>0.59780859999999902</v>
      </c>
      <c r="Q6015">
        <v>2.7932329999999998E-2</v>
      </c>
      <c r="R6015">
        <v>-0.80115209999999903</v>
      </c>
      <c r="S6015">
        <v>2.2069399999999999</v>
      </c>
      <c r="T6015">
        <v>-0.56202810000000003</v>
      </c>
      <c r="U6015">
        <v>-2.12262</v>
      </c>
      <c r="V6015">
        <v>-0.2347514</v>
      </c>
      <c r="W6015">
        <v>3.8135160000000001E-2</v>
      </c>
      <c r="X6015">
        <v>0.97130709999999998</v>
      </c>
      <c r="Y6015">
        <v>-0.37722410000000001</v>
      </c>
      <c r="Z6015">
        <v>0.18025849999999999</v>
      </c>
      <c r="AA6015">
        <v>0.9084101</v>
      </c>
      <c r="AB6015">
        <v>22</v>
      </c>
      <c r="AC6015">
        <v>4.2841999999999896</v>
      </c>
      <c r="AD6015">
        <v>-1.1146796188979999</v>
      </c>
      <c r="AE6015">
        <v>-4.0109799999999902</v>
      </c>
      <c r="AF6015">
        <v>-2.27804644314365</v>
      </c>
      <c r="AG6015">
        <v>-1.1146796188979999</v>
      </c>
      <c r="AH6015">
        <v>5.1861446063136203</v>
      </c>
      <c r="AI6015">
        <v>101.13277846936499</v>
      </c>
      <c r="AJ6015">
        <v>113.713782955558</v>
      </c>
      <c r="AK6015">
        <v>5.7730496384061896</v>
      </c>
      <c r="AL6015">
        <v>87.8144863259689</v>
      </c>
      <c r="AM6015">
        <v>103.58704182320299</v>
      </c>
      <c r="AN6015">
        <v>0.99999999637029702</v>
      </c>
    </row>
    <row r="6016" spans="1:40" x14ac:dyDescent="0.25">
      <c r="A6016" t="str">
        <f>"20190312151145088"</f>
        <v>20190312151145088</v>
      </c>
      <c r="B6016" t="str">
        <f>"1552374705076991"</f>
        <v>1552374705076991</v>
      </c>
      <c r="C6016" t="s">
        <v>40</v>
      </c>
      <c r="D6016">
        <v>5.0900259999999999</v>
      </c>
      <c r="E6016">
        <v>0.43920520000000002</v>
      </c>
      <c r="F6016" t="s">
        <v>85</v>
      </c>
      <c r="G6016">
        <v>-292.61799999999999</v>
      </c>
      <c r="H6016" s="1">
        <v>-6.7048240000000004E-6</v>
      </c>
      <c r="I6016">
        <v>-49.945529999999998</v>
      </c>
      <c r="J6016">
        <v>-296.93180000000001</v>
      </c>
      <c r="K6016">
        <v>1.114662</v>
      </c>
      <c r="L6016">
        <v>-45.95749</v>
      </c>
      <c r="M6016">
        <v>0.40051340000000002</v>
      </c>
      <c r="N6016">
        <v>0</v>
      </c>
      <c r="O6016">
        <v>-0.91619779999999995</v>
      </c>
      <c r="P6016">
        <v>0.60399069999999899</v>
      </c>
      <c r="Q6016">
        <v>2.7408740000000001E-2</v>
      </c>
      <c r="R6016">
        <v>-0.79652000000000001</v>
      </c>
      <c r="S6016">
        <v>2.2196349999999998</v>
      </c>
      <c r="T6016">
        <v>-0.56122759999999905</v>
      </c>
      <c r="U6016">
        <v>-2.1079409999999998</v>
      </c>
      <c r="V6016">
        <v>-0.2348005</v>
      </c>
      <c r="W6016">
        <v>3.7554799999999999E-2</v>
      </c>
      <c r="X6016">
        <v>0.97131780000000001</v>
      </c>
      <c r="Y6016">
        <v>-0.37594620000000001</v>
      </c>
      <c r="Z6016">
        <v>0.1797212</v>
      </c>
      <c r="AA6016">
        <v>0.90904609999999997</v>
      </c>
      <c r="AB6016">
        <v>22</v>
      </c>
      <c r="AC6016">
        <v>4.3138000000000103</v>
      </c>
      <c r="AD6016">
        <v>-1.114668704824</v>
      </c>
      <c r="AE6016">
        <v>-3.98803999999999</v>
      </c>
      <c r="AF6016">
        <v>-2.2733891049614301</v>
      </c>
      <c r="AG6016">
        <v>-1.114668704824</v>
      </c>
      <c r="AH6016">
        <v>5.19500613487644</v>
      </c>
      <c r="AI6016">
        <v>101.120716423476</v>
      </c>
      <c r="AJ6016">
        <v>113.634690380037</v>
      </c>
      <c r="AK6016">
        <v>5.7791758136844402</v>
      </c>
      <c r="AL6016">
        <v>87.847762250402894</v>
      </c>
      <c r="AM6016">
        <v>103.589634121779</v>
      </c>
      <c r="AN6016">
        <v>0.99999995320006396</v>
      </c>
    </row>
    <row r="6017" spans="1:40" x14ac:dyDescent="0.25">
      <c r="A6017" t="str">
        <f>"20190312151145112"</f>
        <v>20190312151145112</v>
      </c>
      <c r="B6017" t="str">
        <f>"1552374705107247"</f>
        <v>1552374705107247</v>
      </c>
      <c r="C6017" t="s">
        <v>40</v>
      </c>
      <c r="D6017">
        <v>5.0827150000000003</v>
      </c>
      <c r="E6017">
        <v>0.42405900000000002</v>
      </c>
      <c r="F6017" t="s">
        <v>85</v>
      </c>
      <c r="G6017">
        <v>-292.50740000000002</v>
      </c>
      <c r="H6017" s="1">
        <v>-6.779093E-6</v>
      </c>
      <c r="I6017">
        <v>-50.096139999999998</v>
      </c>
      <c r="J6017">
        <v>-296.83580000000001</v>
      </c>
      <c r="K6017">
        <v>1.1146579999999999</v>
      </c>
      <c r="L6017">
        <v>-46.155180000000001</v>
      </c>
      <c r="M6017">
        <v>0.40752460000000001</v>
      </c>
      <c r="N6017">
        <v>0</v>
      </c>
      <c r="O6017">
        <v>-0.91310170000000002</v>
      </c>
      <c r="P6017">
        <v>0.61052229999999996</v>
      </c>
      <c r="Q6017">
        <v>2.7323460000000001E-2</v>
      </c>
      <c r="R6017">
        <v>-0.7915278</v>
      </c>
      <c r="S6017">
        <v>2.2351990000000002</v>
      </c>
      <c r="T6017">
        <v>-0.56312439999999997</v>
      </c>
      <c r="U6017">
        <v>-2.0908199999999999</v>
      </c>
      <c r="V6017">
        <v>-0.23534240000000001</v>
      </c>
      <c r="W6017">
        <v>3.7397079999999999E-2</v>
      </c>
      <c r="X6017">
        <v>0.97119279999999997</v>
      </c>
      <c r="Y6017">
        <v>-0.3756738</v>
      </c>
      <c r="Z6017">
        <v>0.1800215</v>
      </c>
      <c r="AA6017">
        <v>0.90909930000000005</v>
      </c>
      <c r="AB6017">
        <v>22</v>
      </c>
      <c r="AC6017">
        <v>4.3283999999999798</v>
      </c>
      <c r="AD6017">
        <v>-1.114664779093</v>
      </c>
      <c r="AE6017">
        <v>-3.94096</v>
      </c>
      <c r="AF6017">
        <v>-2.2643260629046802</v>
      </c>
      <c r="AG6017">
        <v>-1.114664779093</v>
      </c>
      <c r="AH6017">
        <v>5.1752284250238301</v>
      </c>
      <c r="AI6017">
        <v>101.162427064949</v>
      </c>
      <c r="AJ6017">
        <v>113.630898218827</v>
      </c>
      <c r="AK6017">
        <v>5.7578328683693503</v>
      </c>
      <c r="AL6017">
        <v>87.856805438594904</v>
      </c>
      <c r="AM6017">
        <v>103.62151858041599</v>
      </c>
      <c r="AN6017">
        <v>1.00000002080106</v>
      </c>
    </row>
    <row r="6018" spans="1:40" x14ac:dyDescent="0.25">
      <c r="A6018" t="str">
        <f>"20190312151145134"</f>
        <v>20190312151145134</v>
      </c>
      <c r="B6018" t="str">
        <f>"1552374705127743"</f>
        <v>1552374705127743</v>
      </c>
      <c r="C6018" t="s">
        <v>40</v>
      </c>
      <c r="D6018">
        <v>5.0629920000000004</v>
      </c>
      <c r="E6018">
        <v>0.4244424</v>
      </c>
      <c r="F6018" t="s">
        <v>85</v>
      </c>
      <c r="G6018">
        <v>-292.01310000000001</v>
      </c>
      <c r="H6018" s="1">
        <v>-6.9194969999999997E-6</v>
      </c>
      <c r="I6018">
        <v>-50.263129999999997</v>
      </c>
      <c r="J6018">
        <v>-296.738</v>
      </c>
      <c r="K6018">
        <v>1.11464599999999</v>
      </c>
      <c r="L6018">
        <v>-46.352539999999998</v>
      </c>
      <c r="M6018">
        <v>0.4145258</v>
      </c>
      <c r="N6018">
        <v>0</v>
      </c>
      <c r="O6018">
        <v>-0.90994569999999997</v>
      </c>
      <c r="P6018">
        <v>0.61682700000000001</v>
      </c>
      <c r="Q6018">
        <v>2.736386E-2</v>
      </c>
      <c r="R6018">
        <v>-0.78662310000000002</v>
      </c>
      <c r="S6018">
        <v>2.346619</v>
      </c>
      <c r="T6018">
        <v>-0.54237199999999997</v>
      </c>
      <c r="U6018">
        <v>-1.99884</v>
      </c>
      <c r="V6018">
        <v>-0.2356432</v>
      </c>
      <c r="W6018">
        <v>3.7365620000000002E-2</v>
      </c>
      <c r="X6018">
        <v>0.97112109999999996</v>
      </c>
      <c r="Y6018">
        <v>-0.4115471</v>
      </c>
      <c r="Z6018">
        <v>0.17355000000000001</v>
      </c>
      <c r="AA6018">
        <v>0.8947119</v>
      </c>
      <c r="AB6018">
        <v>22</v>
      </c>
      <c r="AC6018">
        <v>4.7248999999999901</v>
      </c>
      <c r="AD6018">
        <v>-1.1146529194969901</v>
      </c>
      <c r="AE6018">
        <v>-3.9105899999999898</v>
      </c>
      <c r="AF6018">
        <v>-2.5929444938768702</v>
      </c>
      <c r="AG6018">
        <v>-1.1146529194969901</v>
      </c>
      <c r="AH6018">
        <v>5.3410704838858098</v>
      </c>
      <c r="AI6018">
        <v>100.63295900766499</v>
      </c>
      <c r="AJ6018">
        <v>115.89531237549301</v>
      </c>
      <c r="AK6018">
        <v>6.04093090451346</v>
      </c>
      <c r="AL6018">
        <v>87.858609285047095</v>
      </c>
      <c r="AM6018">
        <v>103.639248256911</v>
      </c>
      <c r="AN6018">
        <v>1.0000000490647101</v>
      </c>
    </row>
    <row r="6019" spans="1:40" x14ac:dyDescent="0.25">
      <c r="A6019" t="str">
        <f>"20190312151145155"</f>
        <v>20190312151145155</v>
      </c>
      <c r="B6019" t="str">
        <f>"1552374705147263"</f>
        <v>1552374705147263</v>
      </c>
      <c r="C6019" t="s">
        <v>40</v>
      </c>
      <c r="D6019">
        <v>5.0407019999999996</v>
      </c>
      <c r="E6019">
        <v>0.42493880000000001</v>
      </c>
      <c r="F6019" t="s">
        <v>85</v>
      </c>
      <c r="G6019">
        <v>-291.88889999999998</v>
      </c>
      <c r="H6019" s="1">
        <v>-1.011443E-5</v>
      </c>
      <c r="I6019">
        <v>-50.425719999999998</v>
      </c>
      <c r="J6019">
        <v>-296.64589999999998</v>
      </c>
      <c r="K6019">
        <v>1.1146309999999999</v>
      </c>
      <c r="L6019">
        <v>-46.535159999999998</v>
      </c>
      <c r="M6019">
        <v>0.42100320000000002</v>
      </c>
      <c r="N6019">
        <v>0</v>
      </c>
      <c r="O6019">
        <v>-0.90696790000000005</v>
      </c>
      <c r="P6019">
        <v>0.62312509999999999</v>
      </c>
      <c r="Q6019">
        <v>2.7236710000000001E-2</v>
      </c>
      <c r="R6019">
        <v>-0.7816478</v>
      </c>
      <c r="S6019">
        <v>2.3598020000000002</v>
      </c>
      <c r="T6019">
        <v>-0.5424464</v>
      </c>
      <c r="U6019">
        <v>-1.982208</v>
      </c>
      <c r="V6019">
        <v>-0.23651539999999999</v>
      </c>
      <c r="W6019">
        <v>3.716502E-2</v>
      </c>
      <c r="X6019">
        <v>0.97091669999999997</v>
      </c>
      <c r="Y6019">
        <v>-0.41124450000000001</v>
      </c>
      <c r="Z6019">
        <v>0.17333200000000001</v>
      </c>
      <c r="AA6019">
        <v>0.8948933</v>
      </c>
      <c r="AB6019">
        <v>22</v>
      </c>
      <c r="AC6019">
        <v>4.7569999999999997</v>
      </c>
      <c r="AD6019">
        <v>-1.1146411144299999</v>
      </c>
      <c r="AE6019">
        <v>-3.8905599999999998</v>
      </c>
      <c r="AF6019">
        <v>-2.59147428100438</v>
      </c>
      <c r="AG6019">
        <v>-1.1146411144299999</v>
      </c>
      <c r="AH6019">
        <v>5.3555926806784502</v>
      </c>
      <c r="AI6019">
        <v>100.611145110138</v>
      </c>
      <c r="AJ6019">
        <v>115.82149881139</v>
      </c>
      <c r="AK6019">
        <v>6.0531427146913899</v>
      </c>
      <c r="AL6019">
        <v>87.870110714440401</v>
      </c>
      <c r="AM6019">
        <v>103.690609467839</v>
      </c>
      <c r="AN6019">
        <v>1.0000000057438201</v>
      </c>
    </row>
    <row r="6020" spans="1:40" x14ac:dyDescent="0.25">
      <c r="A6020" t="str">
        <f>"20190312151145178"</f>
        <v>20190312151145178</v>
      </c>
      <c r="B6020" t="str">
        <f>"1552374705167759"</f>
        <v>1552374705167759</v>
      </c>
      <c r="C6020" t="s">
        <v>40</v>
      </c>
      <c r="D6020">
        <v>5.0127009999999999</v>
      </c>
      <c r="E6020">
        <v>0.42556319999999997</v>
      </c>
      <c r="F6020" t="s">
        <v>85</v>
      </c>
      <c r="G6020">
        <v>-291.72460000000001</v>
      </c>
      <c r="H6020" s="1">
        <v>-1.015102E-5</v>
      </c>
      <c r="I6020">
        <v>-50.61327</v>
      </c>
      <c r="J6020">
        <v>-296.5453</v>
      </c>
      <c r="K6020">
        <v>1.1146229999999999</v>
      </c>
      <c r="L6020">
        <v>-46.730870000000003</v>
      </c>
      <c r="M6020">
        <v>0.42794500000000002</v>
      </c>
      <c r="N6020">
        <v>0</v>
      </c>
      <c r="O6020">
        <v>-0.90371449999999998</v>
      </c>
      <c r="P6020">
        <v>0.62979560000000001</v>
      </c>
      <c r="Q6020">
        <v>2.6756990000000001E-2</v>
      </c>
      <c r="R6020">
        <v>-0.77630010000000005</v>
      </c>
      <c r="S6020">
        <v>2.372131</v>
      </c>
      <c r="T6020">
        <v>-0.53727069999999999</v>
      </c>
      <c r="U6020">
        <v>-1.9656979999999999</v>
      </c>
      <c r="V6020">
        <v>-0.23737259999999999</v>
      </c>
      <c r="W6020">
        <v>3.6608920000000003E-2</v>
      </c>
      <c r="X6020">
        <v>0.97072860000000005</v>
      </c>
      <c r="Y6020">
        <v>-0.41050930000000002</v>
      </c>
      <c r="Z6020">
        <v>0.17145560000000001</v>
      </c>
      <c r="AA6020">
        <v>0.89559200000000005</v>
      </c>
      <c r="AB6020">
        <v>22</v>
      </c>
      <c r="AC6020">
        <v>4.82069999999998</v>
      </c>
      <c r="AD6020">
        <v>-1.1146331510199901</v>
      </c>
      <c r="AE6020">
        <v>-3.8823999999999899</v>
      </c>
      <c r="AF6020">
        <v>-2.61064344893397</v>
      </c>
      <c r="AG6020">
        <v>-1.1146331510199901</v>
      </c>
      <c r="AH6020">
        <v>5.3970131513595501</v>
      </c>
      <c r="AI6020">
        <v>100.53211617175501</v>
      </c>
      <c r="AJ6020">
        <v>115.813984857992</v>
      </c>
      <c r="AK6020">
        <v>6.0980010851723003</v>
      </c>
      <c r="AL6020">
        <v>87.901994562442795</v>
      </c>
      <c r="AM6020">
        <v>103.740912475792</v>
      </c>
      <c r="AN6020">
        <v>0.999999989556143</v>
      </c>
    </row>
    <row r="6021" spans="1:40" x14ac:dyDescent="0.25">
      <c r="A6021" t="str">
        <f>"20190312151145199"</f>
        <v>20190312151145199</v>
      </c>
      <c r="B6021" t="str">
        <f>"1552374705197039"</f>
        <v>1552374705197039</v>
      </c>
      <c r="C6021" t="s">
        <v>40</v>
      </c>
      <c r="D6021">
        <v>5.0067629999999896</v>
      </c>
      <c r="E6021">
        <v>0.42645539999999998</v>
      </c>
      <c r="F6021" t="s">
        <v>85</v>
      </c>
      <c r="G6021">
        <v>-291.59440000000001</v>
      </c>
      <c r="H6021" s="1">
        <v>-1.017827E-5</v>
      </c>
      <c r="I6021">
        <v>-50.777279999999998</v>
      </c>
      <c r="J6021">
        <v>-296.44740000000002</v>
      </c>
      <c r="K6021">
        <v>1.1146069999999999</v>
      </c>
      <c r="L6021">
        <v>-46.917850000000001</v>
      </c>
      <c r="M6021">
        <v>0.43457309999999999</v>
      </c>
      <c r="N6021">
        <v>0</v>
      </c>
      <c r="O6021">
        <v>-0.90054639999999997</v>
      </c>
      <c r="P6021">
        <v>0.63601609999999997</v>
      </c>
      <c r="Q6021">
        <v>2.6950080000000001E-2</v>
      </c>
      <c r="R6021">
        <v>-0.77120489999999997</v>
      </c>
      <c r="S6021">
        <v>2.384277</v>
      </c>
      <c r="T6021">
        <v>-0.53678459999999995</v>
      </c>
      <c r="U6021">
        <v>-1.948669</v>
      </c>
      <c r="V6021">
        <v>-0.2380486</v>
      </c>
      <c r="W6021">
        <v>3.6734719999999998E-2</v>
      </c>
      <c r="X6021">
        <v>0.97055829999999998</v>
      </c>
      <c r="Y6021">
        <v>-0.40993790000000002</v>
      </c>
      <c r="Z6021">
        <v>0.1710672</v>
      </c>
      <c r="AA6021">
        <v>0.89592799999999995</v>
      </c>
      <c r="AB6021">
        <v>22</v>
      </c>
      <c r="AC6021">
        <v>4.8529999999999998</v>
      </c>
      <c r="AD6021">
        <v>-1.1146171782699901</v>
      </c>
      <c r="AE6021">
        <v>-3.8594299999999899</v>
      </c>
      <c r="AF6021">
        <v>-2.6090567858332299</v>
      </c>
      <c r="AG6021">
        <v>-1.1146171782699901</v>
      </c>
      <c r="AH6021">
        <v>5.4102069692762003</v>
      </c>
      <c r="AI6021">
        <v>100.51278437949</v>
      </c>
      <c r="AJ6021">
        <v>115.74555570685099</v>
      </c>
      <c r="AK6021">
        <v>6.1090005906205098</v>
      </c>
      <c r="AL6021">
        <v>87.894781912538093</v>
      </c>
      <c r="AM6021">
        <v>103.780880594799</v>
      </c>
      <c r="AN6021">
        <v>0.99999999465716405</v>
      </c>
    </row>
    <row r="6022" spans="1:40" x14ac:dyDescent="0.25">
      <c r="A6022" t="str">
        <f>"20190312151145222"</f>
        <v>20190312151145222</v>
      </c>
      <c r="B6022" t="str">
        <f>"1552374705217534"</f>
        <v>1552374705217534</v>
      </c>
      <c r="C6022" t="s">
        <v>40</v>
      </c>
      <c r="D6022">
        <v>4.9771900000000002</v>
      </c>
      <c r="E6022">
        <v>0.42709750000000002</v>
      </c>
      <c r="F6022" t="s">
        <v>85</v>
      </c>
      <c r="G6022">
        <v>-291.4563</v>
      </c>
      <c r="H6022" s="1">
        <v>-1.0207510000000001E-5</v>
      </c>
      <c r="I6022">
        <v>-50.948300000000003</v>
      </c>
      <c r="J6022">
        <v>-296.34469999999999</v>
      </c>
      <c r="K6022">
        <v>1.1145969999999901</v>
      </c>
      <c r="L6022">
        <v>-47.110570000000003</v>
      </c>
      <c r="M6022">
        <v>0.44140069999999998</v>
      </c>
      <c r="N6022">
        <v>0</v>
      </c>
      <c r="O6022">
        <v>-0.89722060000000003</v>
      </c>
      <c r="P6022">
        <v>0.6417062</v>
      </c>
      <c r="Q6022">
        <v>2.7155189999999999E-2</v>
      </c>
      <c r="R6022">
        <v>-0.76646979999999998</v>
      </c>
      <c r="S6022">
        <v>2.394714</v>
      </c>
      <c r="T6022">
        <v>-0.53478380000000003</v>
      </c>
      <c r="U6022">
        <v>-1.9337770000000001</v>
      </c>
      <c r="V6022">
        <v>-0.2378644</v>
      </c>
      <c r="W6022">
        <v>3.688864E-2</v>
      </c>
      <c r="X6022">
        <v>0.97059759999999995</v>
      </c>
      <c r="Y6022">
        <v>-0.40842620000000002</v>
      </c>
      <c r="Z6022">
        <v>0.17013889999999901</v>
      </c>
      <c r="AA6022">
        <v>0.89679469999999994</v>
      </c>
      <c r="AB6022">
        <v>22</v>
      </c>
      <c r="AC6022">
        <v>4.8883999999999901</v>
      </c>
      <c r="AD6022">
        <v>-1.11460720750999</v>
      </c>
      <c r="AE6022">
        <v>-3.8377300000000001</v>
      </c>
      <c r="AF6022">
        <v>-2.6083169750456299</v>
      </c>
      <c r="AG6022">
        <v>-1.11460720750999</v>
      </c>
      <c r="AH6022">
        <v>5.4269279891291298</v>
      </c>
      <c r="AI6022">
        <v>100.487520279707</v>
      </c>
      <c r="AJ6022">
        <v>115.670100486685</v>
      </c>
      <c r="AK6022">
        <v>6.1234968823816303</v>
      </c>
      <c r="AL6022">
        <v>87.885956918580504</v>
      </c>
      <c r="AM6022">
        <v>103.770086789518</v>
      </c>
      <c r="AN6022">
        <v>0.99999997283708397</v>
      </c>
    </row>
    <row r="6023" spans="1:40" x14ac:dyDescent="0.25">
      <c r="A6023" t="str">
        <f>"20190312151145244"</f>
        <v>20190312151145244</v>
      </c>
      <c r="B6023" t="str">
        <f>"1552374705237055"</f>
        <v>1552374705237055</v>
      </c>
      <c r="C6023" t="s">
        <v>40</v>
      </c>
      <c r="D6023">
        <v>4.9349220000000003</v>
      </c>
      <c r="E6023">
        <v>0.42737180000000002</v>
      </c>
      <c r="F6023" t="s">
        <v>85</v>
      </c>
      <c r="G6023">
        <v>-291.28210000000001</v>
      </c>
      <c r="H6023" s="1">
        <v>-1.02459E-5</v>
      </c>
      <c r="I6023">
        <v>-51.150559999999999</v>
      </c>
      <c r="J6023">
        <v>-296.24119999999999</v>
      </c>
      <c r="K6023">
        <v>1.1145910000000001</v>
      </c>
      <c r="L6023">
        <v>-47.301180000000002</v>
      </c>
      <c r="M6023">
        <v>0.44814520000000002</v>
      </c>
      <c r="N6023">
        <v>0</v>
      </c>
      <c r="O6023">
        <v>-0.89387179999999999</v>
      </c>
      <c r="P6023">
        <v>0.64743809999999902</v>
      </c>
      <c r="Q6023">
        <v>2.6822080000000002E-2</v>
      </c>
      <c r="R6023">
        <v>-0.76164600000000005</v>
      </c>
      <c r="S6023">
        <v>2.4050600000000002</v>
      </c>
      <c r="T6023">
        <v>-0.52950869999999906</v>
      </c>
      <c r="U6023">
        <v>-1.9192499999999999</v>
      </c>
      <c r="V6023">
        <v>-0.23782610000000001</v>
      </c>
      <c r="W6023">
        <v>3.6506480000000001E-2</v>
      </c>
      <c r="X6023">
        <v>0.97062150000000003</v>
      </c>
      <c r="Y6023">
        <v>-0.40702739999999998</v>
      </c>
      <c r="Z6023">
        <v>0.16817950000000001</v>
      </c>
      <c r="AA6023">
        <v>0.89779969999999998</v>
      </c>
      <c r="AB6023">
        <v>22</v>
      </c>
      <c r="AC6023">
        <v>4.9590999999999701</v>
      </c>
      <c r="AD6023">
        <v>-1.1146012459000001</v>
      </c>
      <c r="AE6023">
        <v>-3.8493799999999898</v>
      </c>
      <c r="AF6023">
        <v>-2.6251801942475299</v>
      </c>
      <c r="AG6023">
        <v>-1.1146012459000001</v>
      </c>
      <c r="AH6023">
        <v>5.4906185758591803</v>
      </c>
      <c r="AI6023">
        <v>100.37837036454</v>
      </c>
      <c r="AJ6023">
        <v>115.55344398117499</v>
      </c>
      <c r="AK6023">
        <v>6.1871479160596499</v>
      </c>
      <c r="AL6023">
        <v>87.907867966657804</v>
      </c>
      <c r="AM6023">
        <v>103.76762784690401</v>
      </c>
      <c r="AN6023">
        <v>1.00000003659272</v>
      </c>
    </row>
    <row r="6024" spans="1:40" x14ac:dyDescent="0.25">
      <c r="A6024" t="str">
        <f>"20190312151145266"</f>
        <v>20190312151145266</v>
      </c>
      <c r="B6024" t="str">
        <f>"1552374705257551"</f>
        <v>1552374705257551</v>
      </c>
      <c r="C6024" t="s">
        <v>40</v>
      </c>
      <c r="D6024">
        <v>4.9503360000000001</v>
      </c>
      <c r="E6024">
        <v>0.4326875</v>
      </c>
      <c r="F6024" t="s">
        <v>85</v>
      </c>
      <c r="G6024">
        <v>-291.15350000000001</v>
      </c>
      <c r="H6024" s="1">
        <v>-1.027363E-5</v>
      </c>
      <c r="I6024">
        <v>-51.305259999999997</v>
      </c>
      <c r="J6024">
        <v>-296.137</v>
      </c>
      <c r="K6024">
        <v>1.1145830000000001</v>
      </c>
      <c r="L6024">
        <v>-47.489899999999999</v>
      </c>
      <c r="M6024">
        <v>0.45481729999999998</v>
      </c>
      <c r="N6024">
        <v>0</v>
      </c>
      <c r="O6024">
        <v>-0.89049609999999901</v>
      </c>
      <c r="P6024">
        <v>0.65280819999999995</v>
      </c>
      <c r="Q6024">
        <v>2.6127000000000001E-2</v>
      </c>
      <c r="R6024">
        <v>-0.75707269999999904</v>
      </c>
      <c r="S6024">
        <v>2.4174500000000001</v>
      </c>
      <c r="T6024">
        <v>-0.52960799999999997</v>
      </c>
      <c r="U6024">
        <v>-1.9025570000000001</v>
      </c>
      <c r="V6024">
        <v>-0.23741219999999999</v>
      </c>
      <c r="W6024">
        <v>3.5766430000000002E-2</v>
      </c>
      <c r="X6024">
        <v>0.97075029999999995</v>
      </c>
      <c r="Y6024">
        <v>-0.40630329999999998</v>
      </c>
      <c r="Z6024">
        <v>0.16788979999999901</v>
      </c>
      <c r="AA6024">
        <v>0.89818189999999998</v>
      </c>
      <c r="AB6024">
        <v>22</v>
      </c>
      <c r="AC6024">
        <v>4.9834999999999896</v>
      </c>
      <c r="AD6024">
        <v>-1.1145932736299999</v>
      </c>
      <c r="AE6024">
        <v>-3.8153599999999899</v>
      </c>
      <c r="AF6024">
        <v>-2.6200792257744299</v>
      </c>
      <c r="AG6024">
        <v>-1.1145932736299999</v>
      </c>
      <c r="AH6024">
        <v>5.49140924228562</v>
      </c>
      <c r="AI6024">
        <v>100.38077563726399</v>
      </c>
      <c r="AJ6024">
        <v>115.506896252717</v>
      </c>
      <c r="AK6024">
        <v>6.18568579716234</v>
      </c>
      <c r="AL6024">
        <v>87.950297278364005</v>
      </c>
      <c r="AM6024">
        <v>103.74282234616901</v>
      </c>
      <c r="AN6024">
        <v>0.99999996758693599</v>
      </c>
    </row>
    <row r="6025" spans="1:40" x14ac:dyDescent="0.25">
      <c r="A6025" t="str">
        <f>"20190312151145289"</f>
        <v>20190312151145289</v>
      </c>
      <c r="B6025" t="str">
        <f>"1552374705277071"</f>
        <v>1552374705277071</v>
      </c>
      <c r="C6025" t="s">
        <v>40</v>
      </c>
      <c r="D6025">
        <v>4.9354459999999998</v>
      </c>
      <c r="E6025">
        <v>0.43319849999999999</v>
      </c>
      <c r="F6025" t="s">
        <v>85</v>
      </c>
      <c r="G6025">
        <v>-290.8854</v>
      </c>
      <c r="H6025" s="1">
        <v>-1.033013E-5</v>
      </c>
      <c r="I6025">
        <v>-51.681019999999997</v>
      </c>
      <c r="J6025">
        <v>-296.03019999999998</v>
      </c>
      <c r="K6025">
        <v>1.114576</v>
      </c>
      <c r="L6025">
        <v>-47.679960000000001</v>
      </c>
      <c r="M6025">
        <v>0.46152890000000002</v>
      </c>
      <c r="N6025">
        <v>0</v>
      </c>
      <c r="O6025">
        <v>-0.88703699999999996</v>
      </c>
      <c r="P6025">
        <v>0.65805319999999901</v>
      </c>
      <c r="Q6025">
        <v>2.5731029999999998E-2</v>
      </c>
      <c r="R6025">
        <v>-0.75253190000000003</v>
      </c>
      <c r="S6025">
        <v>2.3972470000000001</v>
      </c>
      <c r="T6025">
        <v>-0.5087855</v>
      </c>
      <c r="U6025">
        <v>-1.9131469999999999</v>
      </c>
      <c r="V6025">
        <v>-0.23681640000000001</v>
      </c>
      <c r="W6025">
        <v>3.532706E-2</v>
      </c>
      <c r="X6025">
        <v>0.97091190000000005</v>
      </c>
      <c r="Y6025">
        <v>-0.39422679999999999</v>
      </c>
      <c r="Z6025">
        <v>0.16106189999999901</v>
      </c>
      <c r="AA6025">
        <v>0.90478959999999997</v>
      </c>
      <c r="AB6025">
        <v>22</v>
      </c>
      <c r="AC6025">
        <v>5.1447999999999698</v>
      </c>
      <c r="AD6025">
        <v>-1.1145863301299901</v>
      </c>
      <c r="AE6025">
        <v>-4.0010600000000096</v>
      </c>
      <c r="AF6025">
        <v>-2.6400250580718598</v>
      </c>
      <c r="AG6025">
        <v>-1.1145863301299901</v>
      </c>
      <c r="AH6025">
        <v>5.7556935310129296</v>
      </c>
      <c r="AI6025">
        <v>99.982754860715204</v>
      </c>
      <c r="AJ6025">
        <v>114.640006198732</v>
      </c>
      <c r="AK6025">
        <v>6.4296223075313002</v>
      </c>
      <c r="AL6025">
        <v>87.975487236465895</v>
      </c>
      <c r="AM6025">
        <v>103.707441100428</v>
      </c>
      <c r="AN6025">
        <v>0.99999996301940597</v>
      </c>
    </row>
    <row r="6026" spans="1:40" x14ac:dyDescent="0.25">
      <c r="A6026" t="str">
        <f>"20190312151145314"</f>
        <v>20190312151145314</v>
      </c>
      <c r="B6026" t="str">
        <f>"1552374705307327"</f>
        <v>1552374705307327</v>
      </c>
      <c r="C6026" t="s">
        <v>40</v>
      </c>
      <c r="D6026">
        <v>4.9695099999999996</v>
      </c>
      <c r="E6026">
        <v>0.43414239999999998</v>
      </c>
      <c r="F6026" t="s">
        <v>85</v>
      </c>
      <c r="G6026">
        <v>-290.75990000000002</v>
      </c>
      <c r="H6026" s="1">
        <v>-1.03602E-5</v>
      </c>
      <c r="I6026">
        <v>-51.8369</v>
      </c>
      <c r="J6026">
        <v>-295.9153</v>
      </c>
      <c r="K6026">
        <v>1.114565</v>
      </c>
      <c r="L6026">
        <v>-47.880740000000003</v>
      </c>
      <c r="M6026">
        <v>0.4686092</v>
      </c>
      <c r="N6026">
        <v>0</v>
      </c>
      <c r="O6026">
        <v>-0.88331780000000004</v>
      </c>
      <c r="P6026">
        <v>0.66330959999999894</v>
      </c>
      <c r="Q6026">
        <v>2.577229E-2</v>
      </c>
      <c r="R6026">
        <v>-0.74790129999999999</v>
      </c>
      <c r="S6026">
        <v>2.4073790000000002</v>
      </c>
      <c r="T6026">
        <v>-0.50912009999999996</v>
      </c>
      <c r="U6026">
        <v>-1.8988039999999999</v>
      </c>
      <c r="V6026">
        <v>-0.2358529</v>
      </c>
      <c r="W6026">
        <v>3.5326099999999999E-2</v>
      </c>
      <c r="X6026">
        <v>0.97114650000000002</v>
      </c>
      <c r="Y6026">
        <v>-0.3920863</v>
      </c>
      <c r="Z6026">
        <v>0.1607586</v>
      </c>
      <c r="AA6026">
        <v>0.90577319999999995</v>
      </c>
      <c r="AB6026">
        <v>22</v>
      </c>
      <c r="AC6026">
        <v>5.1553999999999798</v>
      </c>
      <c r="AD6026">
        <v>-1.1145753601999999</v>
      </c>
      <c r="AE6026">
        <v>-3.9561599999999899</v>
      </c>
      <c r="AF6026">
        <v>-2.6230108051365502</v>
      </c>
      <c r="AG6026">
        <v>-1.1145753601999999</v>
      </c>
      <c r="AH6026">
        <v>5.7419591887343904</v>
      </c>
      <c r="AI6026">
        <v>100.012980082437</v>
      </c>
      <c r="AJ6026">
        <v>114.551612801346</v>
      </c>
      <c r="AK6026">
        <v>6.4103478253928898</v>
      </c>
      <c r="AL6026">
        <v>87.975542398518996</v>
      </c>
      <c r="AM6026">
        <v>103.65058826095</v>
      </c>
      <c r="AN6026">
        <v>1.0000000241209299</v>
      </c>
    </row>
    <row r="6027" spans="1:40" x14ac:dyDescent="0.25">
      <c r="A6027" t="str">
        <f>"20190312151145333"</f>
        <v>20190312151145333</v>
      </c>
      <c r="B6027" t="str">
        <f>"1552374705326846"</f>
        <v>1552374705326846</v>
      </c>
      <c r="C6027" t="s">
        <v>40</v>
      </c>
      <c r="D6027">
        <v>4.9544379999999997</v>
      </c>
      <c r="E6027">
        <v>0.43476740000000003</v>
      </c>
      <c r="F6027" t="s">
        <v>85</v>
      </c>
      <c r="G6027">
        <v>-290.64780000000002</v>
      </c>
      <c r="H6027" s="1">
        <v>-1.0385089999999999E-5</v>
      </c>
      <c r="I6027">
        <v>-51.995559999999998</v>
      </c>
      <c r="J6027">
        <v>-295.81369999999998</v>
      </c>
      <c r="K6027">
        <v>1.11456</v>
      </c>
      <c r="L6027">
        <v>-48.055509999999998</v>
      </c>
      <c r="M6027">
        <v>0.4747673</v>
      </c>
      <c r="N6027">
        <v>0</v>
      </c>
      <c r="O6027">
        <v>-0.88002409999999998</v>
      </c>
      <c r="P6027">
        <v>0.66773590000000005</v>
      </c>
      <c r="Q6027">
        <v>2.6337849999999999E-2</v>
      </c>
      <c r="R6027">
        <v>-0.74393240000000005</v>
      </c>
      <c r="S6027">
        <v>2.4152830000000001</v>
      </c>
      <c r="T6027">
        <v>-0.51106039999999997</v>
      </c>
      <c r="U6027">
        <v>-1.886749</v>
      </c>
      <c r="V6027">
        <v>-0.2348471</v>
      </c>
      <c r="W6027">
        <v>3.5859830000000002E-2</v>
      </c>
      <c r="X6027">
        <v>0.97137059999999997</v>
      </c>
      <c r="Y6027">
        <v>-0.38986480000000001</v>
      </c>
      <c r="Z6027">
        <v>0.16099349999999901</v>
      </c>
      <c r="AA6027">
        <v>0.90668990000000005</v>
      </c>
      <c r="AB6027">
        <v>22</v>
      </c>
      <c r="AC6027">
        <v>5.1658999999999597</v>
      </c>
      <c r="AD6027">
        <v>-1.1145703850899999</v>
      </c>
      <c r="AE6027">
        <v>-3.9400499999999998</v>
      </c>
      <c r="AF6027">
        <v>-2.5992193511022301</v>
      </c>
      <c r="AG6027">
        <v>-1.1145703850899999</v>
      </c>
      <c r="AH6027">
        <v>5.7511365046476399</v>
      </c>
      <c r="AI6027">
        <v>100.015247321259</v>
      </c>
      <c r="AJ6027">
        <v>114.320533370436</v>
      </c>
      <c r="AK6027">
        <v>6.4088828569068603</v>
      </c>
      <c r="AL6027">
        <v>87.944942412281407</v>
      </c>
      <c r="AM6027">
        <v>103.59151974385701</v>
      </c>
      <c r="AN6027">
        <v>0.99999996516519796</v>
      </c>
    </row>
    <row r="6028" spans="1:40" x14ac:dyDescent="0.25">
      <c r="A6028" t="str">
        <f>"20190312151145356"</f>
        <v>20190312151145356</v>
      </c>
      <c r="B6028" t="str">
        <f>"1552374705347343"</f>
        <v>1552374705347343</v>
      </c>
      <c r="C6028" t="s">
        <v>40</v>
      </c>
      <c r="D6028">
        <v>4.9282459999999997</v>
      </c>
      <c r="E6028">
        <v>0.43541990000000003</v>
      </c>
      <c r="F6028" t="s">
        <v>85</v>
      </c>
      <c r="G6028">
        <v>-290.49059999999997</v>
      </c>
      <c r="H6028" s="1">
        <v>-1.0424319999999999E-5</v>
      </c>
      <c r="I6028">
        <v>-52.175109999999997</v>
      </c>
      <c r="J6028">
        <v>-295.70389999999998</v>
      </c>
      <c r="K6028">
        <v>1.114552</v>
      </c>
      <c r="L6028">
        <v>-48.241120000000002</v>
      </c>
      <c r="M6028">
        <v>0.48130319999999999</v>
      </c>
      <c r="N6028">
        <v>0</v>
      </c>
      <c r="O6028">
        <v>-0.87646729999999995</v>
      </c>
      <c r="P6028">
        <v>0.67262549999999999</v>
      </c>
      <c r="Q6028">
        <v>2.6615690000000001E-2</v>
      </c>
      <c r="R6028">
        <v>-0.7395043</v>
      </c>
      <c r="S6028">
        <v>2.42334</v>
      </c>
      <c r="T6028">
        <v>-0.5074109</v>
      </c>
      <c r="U6028">
        <v>-1.8754580000000001</v>
      </c>
      <c r="V6028">
        <v>-0.2340293</v>
      </c>
      <c r="W6028">
        <v>3.6105239999999997E-2</v>
      </c>
      <c r="X6028">
        <v>0.9715589</v>
      </c>
      <c r="Y6028">
        <v>-0.38732699999999998</v>
      </c>
      <c r="Z6028">
        <v>0.15942709999999999</v>
      </c>
      <c r="AA6028">
        <v>0.90805329999999995</v>
      </c>
      <c r="AB6028">
        <v>22</v>
      </c>
      <c r="AC6028">
        <v>5.2133000000000003</v>
      </c>
      <c r="AD6028">
        <v>-1.1145624243200001</v>
      </c>
      <c r="AE6028">
        <v>-3.9339899999999899</v>
      </c>
      <c r="AF6028">
        <v>-2.6003188269127402</v>
      </c>
      <c r="AG6028">
        <v>-1.1145624243200001</v>
      </c>
      <c r="AH6028">
        <v>5.7890488383096796</v>
      </c>
      <c r="AI6028">
        <v>99.961024976972297</v>
      </c>
      <c r="AJ6028">
        <v>114.188612125679</v>
      </c>
      <c r="AK6028">
        <v>6.4433682070511598</v>
      </c>
      <c r="AL6028">
        <v>87.930872412808895</v>
      </c>
      <c r="AM6028">
        <v>103.543408711723</v>
      </c>
      <c r="AN6028">
        <v>0.99999999889157798</v>
      </c>
    </row>
    <row r="6029" spans="1:40" x14ac:dyDescent="0.25">
      <c r="A6029" t="str">
        <f>"20190312151145378"</f>
        <v>20190312151145378</v>
      </c>
      <c r="B6029" t="str">
        <f>"1552374705366863"</f>
        <v>1552374705366863</v>
      </c>
      <c r="C6029" t="s">
        <v>40</v>
      </c>
      <c r="D6029">
        <v>4.9119869999999999</v>
      </c>
      <c r="E6029">
        <v>0.43593080000000001</v>
      </c>
      <c r="F6029" t="s">
        <v>85</v>
      </c>
      <c r="G6029">
        <v>-290.33609999999999</v>
      </c>
      <c r="H6029" s="1">
        <v>-1.04627399999999E-5</v>
      </c>
      <c r="I6029">
        <v>-52.352730000000001</v>
      </c>
      <c r="J6029">
        <v>-295.59269999999998</v>
      </c>
      <c r="K6029">
        <v>1.11454599999999</v>
      </c>
      <c r="L6029">
        <v>-48.425930000000001</v>
      </c>
      <c r="M6029">
        <v>0.48781020000000003</v>
      </c>
      <c r="N6029">
        <v>0</v>
      </c>
      <c r="O6029">
        <v>-0.8728629</v>
      </c>
      <c r="P6029">
        <v>0.67729099999999998</v>
      </c>
      <c r="Q6029">
        <v>2.674375E-2</v>
      </c>
      <c r="R6029">
        <v>-0.73522900000000002</v>
      </c>
      <c r="S6029">
        <v>2.432007</v>
      </c>
      <c r="T6029">
        <v>-0.50498529999999997</v>
      </c>
      <c r="U6029">
        <v>-1.8628849999999999</v>
      </c>
      <c r="V6029">
        <v>-0.2329512</v>
      </c>
      <c r="W6029">
        <v>3.6203880000000001E-2</v>
      </c>
      <c r="X6029">
        <v>0.97181430000000002</v>
      </c>
      <c r="Y6029">
        <v>-0.38514579999999998</v>
      </c>
      <c r="Z6029">
        <v>0.1582578</v>
      </c>
      <c r="AA6029">
        <v>0.90918489999999996</v>
      </c>
      <c r="AB6029">
        <v>22</v>
      </c>
      <c r="AC6029">
        <v>5.2565999999999899</v>
      </c>
      <c r="AD6029">
        <v>-1.11455646273999</v>
      </c>
      <c r="AE6029">
        <v>-3.9268000000000001</v>
      </c>
      <c r="AF6029">
        <v>-2.5979964893633598</v>
      </c>
      <c r="AG6029">
        <v>-1.11455646273999</v>
      </c>
      <c r="AH6029">
        <v>5.8241809369572604</v>
      </c>
      <c r="AI6029">
        <v>99.913336140413705</v>
      </c>
      <c r="AJ6029">
        <v>114.04025025505599</v>
      </c>
      <c r="AK6029">
        <v>6.4740177211524701</v>
      </c>
      <c r="AL6029">
        <v>87.925217078803399</v>
      </c>
      <c r="AM6029">
        <v>103.479887279377</v>
      </c>
      <c r="AN6029">
        <v>1.0000000080964899</v>
      </c>
    </row>
    <row r="6030" spans="1:40" x14ac:dyDescent="0.25">
      <c r="A6030" t="str">
        <f>"20190312151145401"</f>
        <v>20190312151145401</v>
      </c>
      <c r="B6030" t="str">
        <f>"1552374705397119"</f>
        <v>1552374705397119</v>
      </c>
      <c r="C6030" t="s">
        <v>40</v>
      </c>
      <c r="D6030">
        <v>4.9492059999999896</v>
      </c>
      <c r="E6030">
        <v>0.43630219999999997</v>
      </c>
      <c r="F6030" t="s">
        <v>85</v>
      </c>
      <c r="G6030">
        <v>-290.17950000000002</v>
      </c>
      <c r="H6030" s="1">
        <v>-1.0502129999999999E-5</v>
      </c>
      <c r="I6030">
        <v>-52.528460000000003</v>
      </c>
      <c r="J6030">
        <v>-295.47669999999999</v>
      </c>
      <c r="K6030">
        <v>1.1145430000000001</v>
      </c>
      <c r="L6030">
        <v>-48.615200000000002</v>
      </c>
      <c r="M6030">
        <v>0.4944771</v>
      </c>
      <c r="N6030">
        <v>0</v>
      </c>
      <c r="O6030">
        <v>-0.86910429999999905</v>
      </c>
      <c r="P6030">
        <v>0.68244559999999999</v>
      </c>
      <c r="Q6030">
        <v>2.70052E-2</v>
      </c>
      <c r="R6030">
        <v>-0.73043760000000002</v>
      </c>
      <c r="S6030">
        <v>2.4410099999999999</v>
      </c>
      <c r="T6030">
        <v>-0.50259379999999998</v>
      </c>
      <c r="U6030">
        <v>-1.8499760000000001</v>
      </c>
      <c r="V6030">
        <v>-0.23235520000000001</v>
      </c>
      <c r="W6030">
        <v>3.642546E-2</v>
      </c>
      <c r="X6030">
        <v>0.9719487</v>
      </c>
      <c r="Y6030">
        <v>-0.38290829999999998</v>
      </c>
      <c r="Z6030">
        <v>0.1570705</v>
      </c>
      <c r="AA6030">
        <v>0.91033520000000001</v>
      </c>
      <c r="AB6030">
        <v>22</v>
      </c>
      <c r="AC6030">
        <v>5.2971999999999699</v>
      </c>
      <c r="AD6030">
        <v>-1.1145535021299999</v>
      </c>
      <c r="AE6030">
        <v>-3.91325999999999</v>
      </c>
      <c r="AF6030">
        <v>-2.59469024064849</v>
      </c>
      <c r="AG6030">
        <v>-1.1145535021299999</v>
      </c>
      <c r="AH6030">
        <v>5.85319168307465</v>
      </c>
      <c r="AI6030">
        <v>99.875115308375996</v>
      </c>
      <c r="AJ6030">
        <v>113.90746743413899</v>
      </c>
      <c r="AK6030">
        <v>6.49880757007322</v>
      </c>
      <c r="AL6030">
        <v>87.912513113460605</v>
      </c>
      <c r="AM6030">
        <v>103.444861442752</v>
      </c>
      <c r="AN6030">
        <v>1.0000000142674701</v>
      </c>
    </row>
    <row r="6031" spans="1:40" x14ac:dyDescent="0.25">
      <c r="A6031" t="str">
        <f>"20190312151145423"</f>
        <v>20190312151145423</v>
      </c>
      <c r="B6031" t="str">
        <f>"1552374705417615"</f>
        <v>1552374705417615</v>
      </c>
      <c r="C6031" t="s">
        <v>40</v>
      </c>
      <c r="D6031">
        <v>5.0338269999999996</v>
      </c>
      <c r="E6031">
        <v>0.41521839999999999</v>
      </c>
      <c r="F6031" t="s">
        <v>85</v>
      </c>
      <c r="G6031">
        <v>-290.04489999999998</v>
      </c>
      <c r="H6031" s="1">
        <v>-1.0536009999999999E-5</v>
      </c>
      <c r="I6031">
        <v>-52.679380000000002</v>
      </c>
      <c r="J6031">
        <v>-295.363</v>
      </c>
      <c r="K6031">
        <v>1.1145419999999999</v>
      </c>
      <c r="L6031">
        <v>-48.797789999999999</v>
      </c>
      <c r="M6031">
        <v>0.5009074</v>
      </c>
      <c r="N6031">
        <v>0</v>
      </c>
      <c r="O6031">
        <v>-0.86541469999999898</v>
      </c>
      <c r="P6031">
        <v>0.68748069999999994</v>
      </c>
      <c r="Q6031">
        <v>2.7020559999999999E-2</v>
      </c>
      <c r="R6031">
        <v>-0.72570000000000001</v>
      </c>
      <c r="S6031">
        <v>2.4521480000000002</v>
      </c>
      <c r="T6031">
        <v>-0.50314950000000003</v>
      </c>
      <c r="U6031">
        <v>-1.8347169999999999</v>
      </c>
      <c r="V6031">
        <v>-0.23187060000000001</v>
      </c>
      <c r="W6031">
        <v>3.6404020000000002E-2</v>
      </c>
      <c r="X6031">
        <v>0.97206519999999996</v>
      </c>
      <c r="Y6031">
        <v>-0.38170140000000002</v>
      </c>
      <c r="Z6031">
        <v>0.15681539999999999</v>
      </c>
      <c r="AA6031">
        <v>0.91088579999999997</v>
      </c>
      <c r="AB6031">
        <v>22</v>
      </c>
      <c r="AC6031">
        <v>5.31810000000001</v>
      </c>
      <c r="AD6031">
        <v>-1.1145525360099999</v>
      </c>
      <c r="AE6031">
        <v>-3.8815900000000001</v>
      </c>
      <c r="AF6031">
        <v>-2.5841892906369002</v>
      </c>
      <c r="AG6031">
        <v>-1.1145525360099999</v>
      </c>
      <c r="AH6031">
        <v>5.8557061027606299</v>
      </c>
      <c r="AI6031">
        <v>99.878053385026405</v>
      </c>
      <c r="AJ6031">
        <v>113.812409875906</v>
      </c>
      <c r="AK6031">
        <v>6.4968881479733698</v>
      </c>
      <c r="AL6031">
        <v>87.913742300485495</v>
      </c>
      <c r="AM6031">
        <v>103.416285912915</v>
      </c>
      <c r="AN6031">
        <v>0.99999999043377996</v>
      </c>
    </row>
    <row r="6032" spans="1:40" x14ac:dyDescent="0.25">
      <c r="A6032" t="str">
        <f>"20190312151145445"</f>
        <v>20190312151145445</v>
      </c>
      <c r="B6032" t="str">
        <f>"1552374705437135"</f>
        <v>1552374705437135</v>
      </c>
      <c r="C6032" t="s">
        <v>40</v>
      </c>
      <c r="D6032">
        <v>5.0066850000000001</v>
      </c>
      <c r="E6032">
        <v>0.41091480000000002</v>
      </c>
      <c r="F6032" t="s">
        <v>85</v>
      </c>
      <c r="G6032">
        <v>-289.88170000000002</v>
      </c>
      <c r="H6032" s="1">
        <v>-2.6932939999999999E-6</v>
      </c>
      <c r="I6032">
        <v>-52.400790000000001</v>
      </c>
      <c r="J6032">
        <v>-295.24810000000002</v>
      </c>
      <c r="K6032">
        <v>1.114541</v>
      </c>
      <c r="L6032">
        <v>-48.979399999999998</v>
      </c>
      <c r="M6032">
        <v>0.50730509999999995</v>
      </c>
      <c r="N6032">
        <v>0</v>
      </c>
      <c r="O6032">
        <v>-0.86168040000000001</v>
      </c>
      <c r="P6032">
        <v>0.69277580000000005</v>
      </c>
      <c r="Q6032">
        <v>2.6515839999999999E-2</v>
      </c>
      <c r="R6032">
        <v>-0.72066519999999901</v>
      </c>
      <c r="S6032">
        <v>2.5884399999999999</v>
      </c>
      <c r="T6032">
        <v>-0.52632279999999998</v>
      </c>
      <c r="U6032">
        <v>-1.7014469999999999</v>
      </c>
      <c r="V6032">
        <v>-0.23177220000000001</v>
      </c>
      <c r="W6032">
        <v>3.5861730000000001E-2</v>
      </c>
      <c r="X6032">
        <v>0.9721088</v>
      </c>
      <c r="Y6032">
        <v>-0.4286817</v>
      </c>
      <c r="Z6032">
        <v>0.16397900000000001</v>
      </c>
      <c r="AA6032">
        <v>0.88844969999999901</v>
      </c>
      <c r="AB6032">
        <v>22</v>
      </c>
      <c r="AC6032">
        <v>5.3663999999999898</v>
      </c>
      <c r="AD6032">
        <v>-1.114543693294</v>
      </c>
      <c r="AE6032">
        <v>-3.4213900000000002</v>
      </c>
      <c r="AF6032">
        <v>-2.80269269600088</v>
      </c>
      <c r="AG6032">
        <v>-1.114543693294</v>
      </c>
      <c r="AH6032">
        <v>5.5022219707230002</v>
      </c>
      <c r="AI6032">
        <v>100.23146990268199</v>
      </c>
      <c r="AJ6032">
        <v>116.993142736081</v>
      </c>
      <c r="AK6032">
        <v>6.2746904790264404</v>
      </c>
      <c r="AL6032">
        <v>87.944833485451795</v>
      </c>
      <c r="AM6032">
        <v>103.410218344499</v>
      </c>
      <c r="AN6032">
        <v>0.999999967704435</v>
      </c>
    </row>
    <row r="6033" spans="1:40" x14ac:dyDescent="0.25">
      <c r="A6033" t="str">
        <f>"20190312151145468"</f>
        <v>20190312151145468</v>
      </c>
      <c r="B6033" t="str">
        <f>"1552374705457631"</f>
        <v>1552374705457631</v>
      </c>
      <c r="C6033" t="s">
        <v>40</v>
      </c>
      <c r="D6033">
        <v>5.0316049999999999</v>
      </c>
      <c r="E6033">
        <v>0.41042780000000001</v>
      </c>
      <c r="F6033" t="s">
        <v>85</v>
      </c>
      <c r="G6033">
        <v>-289.7192</v>
      </c>
      <c r="H6033" s="1">
        <v>-2.7738730000000001E-6</v>
      </c>
      <c r="I6033">
        <v>-52.471049999999998</v>
      </c>
      <c r="J6033">
        <v>-295.12950000000001</v>
      </c>
      <c r="K6033">
        <v>1.1145400000000001</v>
      </c>
      <c r="L6033">
        <v>-49.163760000000003</v>
      </c>
      <c r="M6033">
        <v>0.51380150000000002</v>
      </c>
      <c r="N6033">
        <v>0</v>
      </c>
      <c r="O6033">
        <v>-0.85782329999999996</v>
      </c>
      <c r="P6033">
        <v>0.69788509999999904</v>
      </c>
      <c r="Q6033">
        <v>2.643622E-2</v>
      </c>
      <c r="R6033">
        <v>-0.71572170000000002</v>
      </c>
      <c r="S6033">
        <v>2.625702</v>
      </c>
      <c r="T6033">
        <v>-0.52930269999999902</v>
      </c>
      <c r="U6033">
        <v>-1.6582030000000001</v>
      </c>
      <c r="V6033">
        <v>-0.2313402</v>
      </c>
      <c r="W6033">
        <v>3.5753559999999997E-2</v>
      </c>
      <c r="X6033">
        <v>0.97221570000000002</v>
      </c>
      <c r="Y6033">
        <v>-0.43794850000000002</v>
      </c>
      <c r="Z6033">
        <v>0.1645587</v>
      </c>
      <c r="AA6033">
        <v>0.88381080000000001</v>
      </c>
      <c r="AB6033">
        <v>22</v>
      </c>
      <c r="AC6033">
        <v>5.4103000000000003</v>
      </c>
      <c r="AD6033">
        <v>-1.1145427738729901</v>
      </c>
      <c r="AE6033">
        <v>-3.3072900000000001</v>
      </c>
      <c r="AF6033">
        <v>-2.8538426912977202</v>
      </c>
      <c r="AG6033">
        <v>-1.1145427738729901</v>
      </c>
      <c r="AH6033">
        <v>5.4489674130938903</v>
      </c>
      <c r="AI6033">
        <v>100.27027613283001</v>
      </c>
      <c r="AJ6033">
        <v>117.642853606263</v>
      </c>
      <c r="AK6033">
        <v>6.2512294447112602</v>
      </c>
      <c r="AL6033">
        <v>87.951035185277803</v>
      </c>
      <c r="AM6033">
        <v>103.384704623128</v>
      </c>
      <c r="AN6033">
        <v>0.999999986257601</v>
      </c>
    </row>
    <row r="6034" spans="1:40" x14ac:dyDescent="0.25">
      <c r="A6034" t="str">
        <f>"20190312151145490"</f>
        <v>20190312151145490</v>
      </c>
      <c r="B6034" t="str">
        <f>"1552374705486911"</f>
        <v>1552374705486911</v>
      </c>
      <c r="C6034" t="s">
        <v>40</v>
      </c>
      <c r="D6034">
        <v>4.9879499999999997</v>
      </c>
      <c r="E6034">
        <v>0.40954449999999998</v>
      </c>
      <c r="F6034" t="s">
        <v>85</v>
      </c>
      <c r="G6034">
        <v>-289.67320000000001</v>
      </c>
      <c r="H6034" s="1">
        <v>-2.7847729999999999E-6</v>
      </c>
      <c r="I6034">
        <v>-52.544469999999997</v>
      </c>
      <c r="J6034">
        <v>-295.0102</v>
      </c>
      <c r="K6034">
        <v>1.1145419999999999</v>
      </c>
      <c r="L6034">
        <v>-49.346159999999998</v>
      </c>
      <c r="M6034">
        <v>0.52023330000000001</v>
      </c>
      <c r="N6034">
        <v>0</v>
      </c>
      <c r="O6034">
        <v>-0.85393819999999998</v>
      </c>
      <c r="P6034">
        <v>0.7031596</v>
      </c>
      <c r="Q6034">
        <v>2.6199960000000001E-2</v>
      </c>
      <c r="R6034">
        <v>-0.71054910000000004</v>
      </c>
      <c r="S6034">
        <v>2.64093</v>
      </c>
      <c r="T6034">
        <v>-0.53945859999999901</v>
      </c>
      <c r="U6034">
        <v>-1.6363219999999901</v>
      </c>
      <c r="V6034">
        <v>-0.2312177</v>
      </c>
      <c r="W6034">
        <v>3.548718E-2</v>
      </c>
      <c r="X6034">
        <v>0.97225459999999997</v>
      </c>
      <c r="Y6034">
        <v>-0.4383396</v>
      </c>
      <c r="Z6034">
        <v>0.16719489999999901</v>
      </c>
      <c r="AA6034">
        <v>0.88312179999999996</v>
      </c>
      <c r="AB6034">
        <v>22</v>
      </c>
      <c r="AC6034">
        <v>5.3369999999999802</v>
      </c>
      <c r="AD6034">
        <v>-1.1145447847729999</v>
      </c>
      <c r="AE6034">
        <v>-3.19830999999999</v>
      </c>
      <c r="AF6034">
        <v>-2.8038439204914098</v>
      </c>
      <c r="AG6034">
        <v>-1.1145447847729999</v>
      </c>
      <c r="AH6034">
        <v>5.3368020508467904</v>
      </c>
      <c r="AI6034">
        <v>100.47450454649901</v>
      </c>
      <c r="AJ6034">
        <v>117.716494906877</v>
      </c>
      <c r="AK6034">
        <v>6.1306775268043499</v>
      </c>
      <c r="AL6034">
        <v>87.966307326518006</v>
      </c>
      <c r="AM6034">
        <v>103.37735596392299</v>
      </c>
      <c r="AN6034">
        <v>0.99999998597940098</v>
      </c>
    </row>
    <row r="6035" spans="1:40" x14ac:dyDescent="0.25">
      <c r="A6035" t="str">
        <f>"20190312151145513"</f>
        <v>20190312151145513</v>
      </c>
      <c r="B6035" t="str">
        <f>"1552374705507407"</f>
        <v>1552374705507407</v>
      </c>
      <c r="C6035" t="s">
        <v>40</v>
      </c>
      <c r="D6035">
        <v>4.9933489999999896</v>
      </c>
      <c r="E6035">
        <v>0.40997519999999998</v>
      </c>
      <c r="F6035" t="s">
        <v>85</v>
      </c>
      <c r="G6035">
        <v>-289.84460000000001</v>
      </c>
      <c r="H6035" s="1">
        <v>-2.698873E-6</v>
      </c>
      <c r="I6035">
        <v>-52.474559999999997</v>
      </c>
      <c r="J6035">
        <v>-294.88740000000001</v>
      </c>
      <c r="K6035">
        <v>1.1145370000000001</v>
      </c>
      <c r="L6035">
        <v>-49.53098</v>
      </c>
      <c r="M6035">
        <v>0.52675329999999998</v>
      </c>
      <c r="N6035">
        <v>0</v>
      </c>
      <c r="O6035">
        <v>-0.84993240000000003</v>
      </c>
      <c r="P6035">
        <v>0.70838219999999996</v>
      </c>
      <c r="Q6035">
        <v>2.6287100000000001E-2</v>
      </c>
      <c r="R6035">
        <v>-0.70533970000000001</v>
      </c>
      <c r="S6035">
        <v>2.6599729999999999</v>
      </c>
      <c r="T6035">
        <v>-0.57392049999999994</v>
      </c>
      <c r="U6035">
        <v>-1.6109309999999999</v>
      </c>
      <c r="V6035">
        <v>-0.23095199999999999</v>
      </c>
      <c r="W6035">
        <v>3.5549610000000002E-2</v>
      </c>
      <c r="X6035">
        <v>0.9723155</v>
      </c>
      <c r="Y6035">
        <v>-0.43875999999999998</v>
      </c>
      <c r="Z6035">
        <v>0.1770255</v>
      </c>
      <c r="AA6035">
        <v>0.88099470000000002</v>
      </c>
      <c r="AB6035">
        <v>22</v>
      </c>
      <c r="AC6035">
        <v>5.0427999999999997</v>
      </c>
      <c r="AD6035">
        <v>-1.1145396988730001</v>
      </c>
      <c r="AE6035">
        <v>-2.9435799999999901</v>
      </c>
      <c r="AF6035">
        <v>-2.6395295592432699</v>
      </c>
      <c r="AG6035">
        <v>-1.1145396988730001</v>
      </c>
      <c r="AH6035">
        <v>4.97719279414589</v>
      </c>
      <c r="AI6035">
        <v>101.190405983658</v>
      </c>
      <c r="AJ6035">
        <v>117.93812341433799</v>
      </c>
      <c r="AK6035">
        <v>5.74297511265552</v>
      </c>
      <c r="AL6035">
        <v>87.962728154350003</v>
      </c>
      <c r="AM6035">
        <v>103.36172835088</v>
      </c>
      <c r="AN6035">
        <v>1.0000000163077001</v>
      </c>
    </row>
    <row r="6036" spans="1:40" x14ac:dyDescent="0.25">
      <c r="A6036" t="str">
        <f>"20190312151145535"</f>
        <v>20190312151145535</v>
      </c>
      <c r="B6036" t="str">
        <f>"1552374705526927"</f>
        <v>1552374705526927</v>
      </c>
      <c r="C6036" t="s">
        <v>40</v>
      </c>
      <c r="D6036">
        <v>4.9872829999999997</v>
      </c>
      <c r="E6036">
        <v>0.41010249999999998</v>
      </c>
      <c r="F6036" t="s">
        <v>85</v>
      </c>
      <c r="G6036">
        <v>-289.77390000000003</v>
      </c>
      <c r="H6036" s="1">
        <v>-2.7167390000000002E-6</v>
      </c>
      <c r="I6036">
        <v>-52.582430000000002</v>
      </c>
      <c r="J6036">
        <v>-294.76769999999999</v>
      </c>
      <c r="K6036">
        <v>1.1145419999999999</v>
      </c>
      <c r="L6036">
        <v>-49.708100000000002</v>
      </c>
      <c r="M6036">
        <v>0.53300459999999905</v>
      </c>
      <c r="N6036">
        <v>0</v>
      </c>
      <c r="O6036">
        <v>-0.84602630000000001</v>
      </c>
      <c r="P6036">
        <v>0.71352280000000001</v>
      </c>
      <c r="Q6036">
        <v>2.6364829999999999E-2</v>
      </c>
      <c r="R6036">
        <v>-0.70013559999999997</v>
      </c>
      <c r="S6036">
        <v>2.6700740000000001</v>
      </c>
      <c r="T6036">
        <v>-0.58197080000000001</v>
      </c>
      <c r="U6036">
        <v>-1.593353</v>
      </c>
      <c r="V6036">
        <v>-0.23089960000000001</v>
      </c>
      <c r="W6036">
        <v>3.5602499999999898E-2</v>
      </c>
      <c r="X6036">
        <v>0.97232600000000002</v>
      </c>
      <c r="Y6036">
        <v>-0.43752799999999997</v>
      </c>
      <c r="Z6036">
        <v>0.1789529</v>
      </c>
      <c r="AA6036">
        <v>0.88121799999999995</v>
      </c>
      <c r="AB6036">
        <v>22</v>
      </c>
      <c r="AC6036">
        <v>4.9937999999999603</v>
      </c>
      <c r="AD6036">
        <v>-1.1145447167389999</v>
      </c>
      <c r="AE6036">
        <v>-2.8743300000000001</v>
      </c>
      <c r="AF6036">
        <v>-2.59592162532237</v>
      </c>
      <c r="AG6036">
        <v>-1.1145447167389999</v>
      </c>
      <c r="AH6036">
        <v>4.9101297134295896</v>
      </c>
      <c r="AI6036">
        <v>101.346845865444</v>
      </c>
      <c r="AJ6036">
        <v>117.864825052898</v>
      </c>
      <c r="AK6036">
        <v>5.6648382865825404</v>
      </c>
      <c r="AL6036">
        <v>87.959695841648397</v>
      </c>
      <c r="AM6036">
        <v>103.35866635177</v>
      </c>
      <c r="AN6036">
        <v>1.0000000067812</v>
      </c>
    </row>
    <row r="6037" spans="1:40" x14ac:dyDescent="0.25">
      <c r="A6037" t="str">
        <f>"20190312151145557"</f>
        <v>20190312151145557</v>
      </c>
      <c r="B6037" t="str">
        <f>"1552374705547423"</f>
        <v>1552374705547423</v>
      </c>
      <c r="C6037" t="s">
        <v>40</v>
      </c>
      <c r="D6037">
        <v>5.0316320000000001</v>
      </c>
      <c r="E6037">
        <v>0.41057349999999998</v>
      </c>
      <c r="F6037" t="s">
        <v>85</v>
      </c>
      <c r="G6037">
        <v>-289.64069999999998</v>
      </c>
      <c r="H6037" s="1">
        <v>-2.7651890000000001E-6</v>
      </c>
      <c r="I6037">
        <v>-52.719059999999999</v>
      </c>
      <c r="J6037">
        <v>-294.64400000000001</v>
      </c>
      <c r="K6037">
        <v>1.1145449999999999</v>
      </c>
      <c r="L6037">
        <v>-49.888370000000002</v>
      </c>
      <c r="M6037">
        <v>0.53936770000000001</v>
      </c>
      <c r="N6037">
        <v>0</v>
      </c>
      <c r="O6037">
        <v>-0.84198430000000002</v>
      </c>
      <c r="P6037">
        <v>0.71908530000000004</v>
      </c>
      <c r="Q6037">
        <v>2.627678E-2</v>
      </c>
      <c r="R6037">
        <v>-0.69442519999999996</v>
      </c>
      <c r="S6037">
        <v>2.6810610000000001</v>
      </c>
      <c r="T6037">
        <v>-0.58283019999999996</v>
      </c>
      <c r="U6037">
        <v>-1.574524</v>
      </c>
      <c r="V6037">
        <v>-0.23132330000000001</v>
      </c>
      <c r="W6037">
        <v>3.548718E-2</v>
      </c>
      <c r="X6037">
        <v>0.97222949999999997</v>
      </c>
      <c r="Y6037">
        <v>-0.43696170000000001</v>
      </c>
      <c r="Z6037">
        <v>0.17872150000000001</v>
      </c>
      <c r="AA6037">
        <v>0.88154589999999999</v>
      </c>
      <c r="AB6037">
        <v>22</v>
      </c>
      <c r="AC6037">
        <v>5.0033000000000198</v>
      </c>
      <c r="AD6037">
        <v>-1.1145477651889999</v>
      </c>
      <c r="AE6037">
        <v>-2.8306899999999899</v>
      </c>
      <c r="AF6037">
        <v>-2.58879713858967</v>
      </c>
      <c r="AG6037">
        <v>-1.1145477651889999</v>
      </c>
      <c r="AH6037">
        <v>4.8982542377100398</v>
      </c>
      <c r="AI6037">
        <v>101.374460172493</v>
      </c>
      <c r="AJ6037">
        <v>117.857089724772</v>
      </c>
      <c r="AK6037">
        <v>5.6512814407798002</v>
      </c>
      <c r="AL6037">
        <v>87.966307364949301</v>
      </c>
      <c r="AM6037">
        <v>103.383578883098</v>
      </c>
      <c r="AN6037">
        <v>1.0000000048687401</v>
      </c>
    </row>
    <row r="6038" spans="1:40" x14ac:dyDescent="0.25">
      <c r="A6038" t="str">
        <f>"20190312151145580"</f>
        <v>20190312151145580</v>
      </c>
      <c r="B6038" t="str">
        <f>"1552374705577679"</f>
        <v>1552374705577679</v>
      </c>
      <c r="C6038" t="s">
        <v>40</v>
      </c>
      <c r="D6038">
        <v>4.9900500000000001</v>
      </c>
      <c r="E6038">
        <v>0.41101339999999997</v>
      </c>
      <c r="F6038" t="s">
        <v>85</v>
      </c>
      <c r="G6038">
        <v>-289.55720000000002</v>
      </c>
      <c r="H6038" s="1">
        <v>-2.7903179999999999E-6</v>
      </c>
      <c r="I6038">
        <v>-52.8283699999999</v>
      </c>
      <c r="J6038">
        <v>-294.5204</v>
      </c>
      <c r="K6038">
        <v>1.1145480000000001</v>
      </c>
      <c r="L6038">
        <v>-50.065460000000002</v>
      </c>
      <c r="M6038">
        <v>0.54562489999999997</v>
      </c>
      <c r="N6038">
        <v>0</v>
      </c>
      <c r="O6038">
        <v>-0.83794329999999995</v>
      </c>
      <c r="P6038">
        <v>0.72432450000000004</v>
      </c>
      <c r="Q6038">
        <v>2.6485410000000001E-2</v>
      </c>
      <c r="R6038">
        <v>-0.68895069999999903</v>
      </c>
      <c r="S6038">
        <v>2.691376</v>
      </c>
      <c r="T6038">
        <v>-0.58969069999999901</v>
      </c>
      <c r="U6038">
        <v>-1.5555110000000001</v>
      </c>
      <c r="V6038">
        <v>-0.23145160000000001</v>
      </c>
      <c r="W6038">
        <v>3.5674940000000002E-2</v>
      </c>
      <c r="X6038">
        <v>0.9721921</v>
      </c>
      <c r="Y6038">
        <v>-0.43609740000000002</v>
      </c>
      <c r="Z6038">
        <v>0.18028140000000001</v>
      </c>
      <c r="AA6038">
        <v>0.8816562</v>
      </c>
      <c r="AB6038">
        <v>22</v>
      </c>
      <c r="AC6038">
        <v>4.9631999999999703</v>
      </c>
      <c r="AD6038">
        <v>-1.1145507903180001</v>
      </c>
      <c r="AE6038">
        <v>-2.76290999999999</v>
      </c>
      <c r="AF6038">
        <v>-2.5532631505655501</v>
      </c>
      <c r="AG6038">
        <v>-1.1145507903180001</v>
      </c>
      <c r="AH6038">
        <v>4.8373412894531604</v>
      </c>
      <c r="AI6038">
        <v>101.517114658644</v>
      </c>
      <c r="AJ6038">
        <v>117.82615216021701</v>
      </c>
      <c r="AK6038">
        <v>5.5822259835018198</v>
      </c>
      <c r="AL6038">
        <v>87.9555427075354</v>
      </c>
      <c r="AM6038">
        <v>103.391231171111</v>
      </c>
      <c r="AN6038">
        <v>1.0000000118944801</v>
      </c>
    </row>
    <row r="6039" spans="1:40" x14ac:dyDescent="0.25">
      <c r="A6039" t="str">
        <f>"20190312151145602"</f>
        <v>20190312151145602</v>
      </c>
      <c r="B6039" t="str">
        <f>"1552374705597199"</f>
        <v>1552374705597199</v>
      </c>
      <c r="C6039" t="s">
        <v>40</v>
      </c>
      <c r="D6039">
        <v>4.9965449999999896</v>
      </c>
      <c r="E6039">
        <v>0.41137580000000001</v>
      </c>
      <c r="F6039" t="s">
        <v>85</v>
      </c>
      <c r="G6039">
        <v>-289.37979999999999</v>
      </c>
      <c r="H6039" s="1">
        <v>-2.8589740000000002E-6</v>
      </c>
      <c r="I6039">
        <v>-52.991930000000004</v>
      </c>
      <c r="J6039">
        <v>-294.3929</v>
      </c>
      <c r="K6039">
        <v>1.114552</v>
      </c>
      <c r="L6039">
        <v>-50.245179999999998</v>
      </c>
      <c r="M6039">
        <v>0.55197659999999904</v>
      </c>
      <c r="N6039">
        <v>0</v>
      </c>
      <c r="O6039">
        <v>-0.83377299999999999</v>
      </c>
      <c r="P6039">
        <v>0.72916000000000003</v>
      </c>
      <c r="Q6039">
        <v>2.6891749999999999E-2</v>
      </c>
      <c r="R6039">
        <v>-0.6838147</v>
      </c>
      <c r="S6039">
        <v>2.7007750000000001</v>
      </c>
      <c r="T6039">
        <v>-0.58556149999999996</v>
      </c>
      <c r="U6039">
        <v>-1.537506</v>
      </c>
      <c r="V6039">
        <v>-0.2309263</v>
      </c>
      <c r="W6039">
        <v>3.6071880000000001E-2</v>
      </c>
      <c r="X6039">
        <v>0.97230240000000001</v>
      </c>
      <c r="Y6039">
        <v>-0.43532179999999998</v>
      </c>
      <c r="Z6039">
        <v>0.17855960000000001</v>
      </c>
      <c r="AA6039">
        <v>0.8823896</v>
      </c>
      <c r="AB6039">
        <v>22</v>
      </c>
      <c r="AC6039">
        <v>5.0130999999999997</v>
      </c>
      <c r="AD6039">
        <v>-1.114554858974</v>
      </c>
      <c r="AE6039">
        <v>-2.74675</v>
      </c>
      <c r="AF6039">
        <v>-2.5662762214364001</v>
      </c>
      <c r="AG6039">
        <v>-1.114554858974</v>
      </c>
      <c r="AH6039">
        <v>4.8724111855716501</v>
      </c>
      <c r="AI6039">
        <v>101.441635654988</v>
      </c>
      <c r="AJ6039">
        <v>117.775566893857</v>
      </c>
      <c r="AK6039">
        <v>5.6185760597909598</v>
      </c>
      <c r="AL6039">
        <v>87.932785144997297</v>
      </c>
      <c r="AM6039">
        <v>103.360468345697</v>
      </c>
      <c r="AN6039">
        <v>1.00000004680209</v>
      </c>
    </row>
    <row r="6040" spans="1:40" x14ac:dyDescent="0.25">
      <c r="A6040" t="str">
        <f>"20190312151145624"</f>
        <v>20190312151145624</v>
      </c>
      <c r="B6040" t="str">
        <f>"1552374705617087"</f>
        <v>1552374705617087</v>
      </c>
      <c r="C6040" t="s">
        <v>40</v>
      </c>
      <c r="D6040">
        <v>4.9964639999999996</v>
      </c>
      <c r="E6040">
        <v>0.41171380000000002</v>
      </c>
      <c r="F6040" t="s">
        <v>85</v>
      </c>
      <c r="G6040">
        <v>-289.21890000000002</v>
      </c>
      <c r="H6040" s="1">
        <v>-2.91928E-6</v>
      </c>
      <c r="I6040">
        <v>-53.148879999999998</v>
      </c>
      <c r="J6040">
        <v>-294.26710000000003</v>
      </c>
      <c r="K6040">
        <v>1.114552</v>
      </c>
      <c r="L6040">
        <v>-50.419829999999997</v>
      </c>
      <c r="M6040">
        <v>0.55815239999999999</v>
      </c>
      <c r="N6040">
        <v>0</v>
      </c>
      <c r="O6040">
        <v>-0.82965149999999999</v>
      </c>
      <c r="P6040">
        <v>0.7343383</v>
      </c>
      <c r="Q6040">
        <v>2.6932859999999999E-2</v>
      </c>
      <c r="R6040">
        <v>-0.67824890000000004</v>
      </c>
      <c r="S6040">
        <v>2.7097169999999999</v>
      </c>
      <c r="T6040">
        <v>-0.58371319999999904</v>
      </c>
      <c r="U6040">
        <v>-1.520721</v>
      </c>
      <c r="V6040">
        <v>-0.23110140000000001</v>
      </c>
      <c r="W6040">
        <v>3.6094759999999997E-2</v>
      </c>
      <c r="X6040">
        <v>0.97225989999999995</v>
      </c>
      <c r="Y6040">
        <v>-0.43422060000000001</v>
      </c>
      <c r="Z6040">
        <v>0.1774809</v>
      </c>
      <c r="AA6040">
        <v>0.88314939999999997</v>
      </c>
      <c r="AB6040">
        <v>22</v>
      </c>
      <c r="AC6040">
        <v>5.0481999999999996</v>
      </c>
      <c r="AD6040">
        <v>-1.1145549192799999</v>
      </c>
      <c r="AE6040">
        <v>-2.72905</v>
      </c>
      <c r="AF6040">
        <v>-2.56833283969674</v>
      </c>
      <c r="AG6040">
        <v>-1.1145549192799999</v>
      </c>
      <c r="AH6040">
        <v>4.8974546548501703</v>
      </c>
      <c r="AI6040">
        <v>101.39504469582999</v>
      </c>
      <c r="AJ6040">
        <v>117.67350412224199</v>
      </c>
      <c r="AK6040">
        <v>5.6412435100667002</v>
      </c>
      <c r="AL6040">
        <v>87.931473268514495</v>
      </c>
      <c r="AM6040">
        <v>103.370798732407</v>
      </c>
      <c r="AN6040">
        <v>1.0000000009647101</v>
      </c>
    </row>
    <row r="6041" spans="1:40" x14ac:dyDescent="0.25">
      <c r="A6041" t="str">
        <f>"20190312151145646"</f>
        <v>20190312151145646</v>
      </c>
      <c r="B6041" t="str">
        <f>"1552374705637584"</f>
        <v>1552374705637584</v>
      </c>
      <c r="C6041" t="s">
        <v>40</v>
      </c>
      <c r="D6041">
        <v>4.971724</v>
      </c>
      <c r="E6041">
        <v>0.41221059999999998</v>
      </c>
      <c r="F6041" t="s">
        <v>85</v>
      </c>
      <c r="G6041">
        <v>-289.08460000000002</v>
      </c>
      <c r="H6041" s="1">
        <v>-2.9688109999999999E-6</v>
      </c>
      <c r="I6041">
        <v>-53.28369</v>
      </c>
      <c r="J6041">
        <v>-294.13839999999999</v>
      </c>
      <c r="K6041">
        <v>1.1145389999999999</v>
      </c>
      <c r="L6041">
        <v>-50.595550000000003</v>
      </c>
      <c r="M6041">
        <v>0.56436850000000005</v>
      </c>
      <c r="N6041">
        <v>0</v>
      </c>
      <c r="O6041">
        <v>-0.82543599999999995</v>
      </c>
      <c r="P6041">
        <v>0.73917630000000001</v>
      </c>
      <c r="Q6041">
        <v>2.6297339999999999E-2</v>
      </c>
      <c r="R6041">
        <v>-0.67299819999999999</v>
      </c>
      <c r="S6041">
        <v>2.7189939999999999</v>
      </c>
      <c r="T6041">
        <v>-0.58475449999999995</v>
      </c>
      <c r="U6041">
        <v>-1.5025329999999999</v>
      </c>
      <c r="V6041">
        <v>-0.23073949999999999</v>
      </c>
      <c r="W6041">
        <v>3.5444290000000003E-2</v>
      </c>
      <c r="X6041">
        <v>0.97236979999999995</v>
      </c>
      <c r="Y6041">
        <v>-0.43327979999999999</v>
      </c>
      <c r="Z6041">
        <v>0.1772666</v>
      </c>
      <c r="AA6041">
        <v>0.88365439999999995</v>
      </c>
      <c r="AB6041">
        <v>22</v>
      </c>
      <c r="AC6041">
        <v>5.0537999999999599</v>
      </c>
      <c r="AD6041">
        <v>-1.1145419688110001</v>
      </c>
      <c r="AE6041">
        <v>-2.68813999999999</v>
      </c>
      <c r="AF6041">
        <v>-2.5577140392934998</v>
      </c>
      <c r="AG6041">
        <v>-1.1145419688110001</v>
      </c>
      <c r="AH6041">
        <v>4.8862195611353103</v>
      </c>
      <c r="AI6041">
        <v>101.42485202848501</v>
      </c>
      <c r="AJ6041">
        <v>117.63001509978</v>
      </c>
      <c r="AK6041">
        <v>5.6266550015672303</v>
      </c>
      <c r="AL6041">
        <v>87.968766361165905</v>
      </c>
      <c r="AM6041">
        <v>103.349155695853</v>
      </c>
      <c r="AN6041">
        <v>1.0000000212529401</v>
      </c>
    </row>
    <row r="6042" spans="1:40" x14ac:dyDescent="0.25">
      <c r="A6042" t="str">
        <f>"20190312151145668"</f>
        <v>20190312151145668</v>
      </c>
      <c r="B6042" t="str">
        <f>"1552374705657103"</f>
        <v>1552374705657103</v>
      </c>
      <c r="C6042" t="s">
        <v>40</v>
      </c>
      <c r="D6042">
        <v>4.9840859999999996</v>
      </c>
      <c r="E6042">
        <v>0.41272550000000002</v>
      </c>
      <c r="F6042" t="s">
        <v>85</v>
      </c>
      <c r="G6042">
        <v>-288.9443</v>
      </c>
      <c r="H6042" s="1">
        <v>-3.0201199999999998E-6</v>
      </c>
      <c r="I6042">
        <v>-53.426349999999999</v>
      </c>
      <c r="J6042">
        <v>-294.00959999999998</v>
      </c>
      <c r="K6042">
        <v>1.114541</v>
      </c>
      <c r="L6042">
        <v>-50.768830000000001</v>
      </c>
      <c r="M6042">
        <v>0.57049910000000004</v>
      </c>
      <c r="N6042">
        <v>0</v>
      </c>
      <c r="O6042">
        <v>-0.82121109999999897</v>
      </c>
      <c r="P6042">
        <v>0.74371100000000001</v>
      </c>
      <c r="Q6042">
        <v>2.5664099999999902E-2</v>
      </c>
      <c r="R6042">
        <v>-0.66800879999999996</v>
      </c>
      <c r="S6042">
        <v>2.7264710000000001</v>
      </c>
      <c r="T6042">
        <v>-0.58504160000000005</v>
      </c>
      <c r="U6042">
        <v>-1.4859309999999999</v>
      </c>
      <c r="V6042">
        <v>-0.23005429999999999</v>
      </c>
      <c r="W6042">
        <v>3.4799049999999998E-2</v>
      </c>
      <c r="X6042">
        <v>0.97255539999999996</v>
      </c>
      <c r="Y6042">
        <v>-0.43179780000000001</v>
      </c>
      <c r="Z6042">
        <v>0.1768255</v>
      </c>
      <c r="AA6042">
        <v>0.88446780000000003</v>
      </c>
      <c r="AB6042">
        <v>22</v>
      </c>
      <c r="AC6042">
        <v>5.0652999999999704</v>
      </c>
      <c r="AD6042">
        <v>-1.1145440201200001</v>
      </c>
      <c r="AE6042">
        <v>-2.6575199999999901</v>
      </c>
      <c r="AF6042">
        <v>-2.5470574990152799</v>
      </c>
      <c r="AG6042">
        <v>-1.1145440201200001</v>
      </c>
      <c r="AH6042">
        <v>4.8869625717548901</v>
      </c>
      <c r="AI6042">
        <v>101.433502096482</v>
      </c>
      <c r="AJ6042">
        <v>117.52827317955</v>
      </c>
      <c r="AK6042">
        <v>5.6224650691496896</v>
      </c>
      <c r="AL6042">
        <v>88.005758631050796</v>
      </c>
      <c r="AM6042">
        <v>103.308477472017</v>
      </c>
      <c r="AN6042">
        <v>0.99999998044927596</v>
      </c>
    </row>
    <row r="6043" spans="1:40" x14ac:dyDescent="0.25">
      <c r="A6043" t="str">
        <f>"20190312151145692"</f>
        <v>20190312151145692</v>
      </c>
      <c r="B6043" t="str">
        <f>"1552374705687359"</f>
        <v>1552374705687359</v>
      </c>
      <c r="C6043" t="s">
        <v>40</v>
      </c>
      <c r="D6043">
        <v>4.9491959999999997</v>
      </c>
      <c r="E6043">
        <v>0.41352860000000002</v>
      </c>
      <c r="F6043" t="s">
        <v>85</v>
      </c>
      <c r="G6043">
        <v>-288.79419999999999</v>
      </c>
      <c r="H6043" s="1">
        <v>-3.0766919999999999E-6</v>
      </c>
      <c r="I6043">
        <v>-53.571620000000003</v>
      </c>
      <c r="J6043">
        <v>-293.87189999999998</v>
      </c>
      <c r="K6043">
        <v>1.114538</v>
      </c>
      <c r="L6043">
        <v>-50.951169999999998</v>
      </c>
      <c r="M6043">
        <v>0.5769512</v>
      </c>
      <c r="N6043">
        <v>0</v>
      </c>
      <c r="O6043">
        <v>-0.81669130000000001</v>
      </c>
      <c r="P6043">
        <v>0.74818530000000005</v>
      </c>
      <c r="Q6043">
        <v>2.591019E-2</v>
      </c>
      <c r="R6043">
        <v>-0.66298380000000001</v>
      </c>
      <c r="S6043">
        <v>2.7341920000000002</v>
      </c>
      <c r="T6043">
        <v>-0.58429969999999998</v>
      </c>
      <c r="U6043">
        <v>-1.46936</v>
      </c>
      <c r="V6043">
        <v>-0.2289388</v>
      </c>
      <c r="W6043">
        <v>3.5039710000000002E-2</v>
      </c>
      <c r="X6043">
        <v>0.97280999999999995</v>
      </c>
      <c r="Y6043">
        <v>-0.43002370000000001</v>
      </c>
      <c r="Z6043">
        <v>0.17600170000000001</v>
      </c>
      <c r="AA6043">
        <v>0.88549599999999995</v>
      </c>
      <c r="AB6043">
        <v>22</v>
      </c>
      <c r="AC6043">
        <v>5.0776999999999903</v>
      </c>
      <c r="AD6043">
        <v>-1.1145410766920001</v>
      </c>
      <c r="AE6043">
        <v>-2.6204499999999902</v>
      </c>
      <c r="AF6043">
        <v>-2.5386437463666298</v>
      </c>
      <c r="AG6043">
        <v>-1.1145410766920001</v>
      </c>
      <c r="AH6043">
        <v>4.88421926022977</v>
      </c>
      <c r="AI6043">
        <v>101.446249453459</v>
      </c>
      <c r="AJ6043">
        <v>117.463809089207</v>
      </c>
      <c r="AK6043">
        <v>5.6162720433219402</v>
      </c>
      <c r="AL6043">
        <v>87.991961505000603</v>
      </c>
      <c r="AM6043">
        <v>103.242882191142</v>
      </c>
      <c r="AN6043">
        <v>1.0000000257611601</v>
      </c>
    </row>
    <row r="6044" spans="1:40" x14ac:dyDescent="0.25">
      <c r="A6044" t="str">
        <f>"20190312151145714"</f>
        <v>20190312151145714</v>
      </c>
      <c r="B6044" t="str">
        <f>"1552374705706880"</f>
        <v>1552374705706880</v>
      </c>
      <c r="C6044" t="s">
        <v>40</v>
      </c>
      <c r="D6044">
        <v>4.9931640000000002</v>
      </c>
      <c r="E6044">
        <v>0.41402489999999997</v>
      </c>
      <c r="F6044" t="s">
        <v>85</v>
      </c>
      <c r="G6044">
        <v>-288.62430000000001</v>
      </c>
      <c r="H6044" s="1">
        <v>-3.1398349999999999E-6</v>
      </c>
      <c r="I6044">
        <v>-53.739750000000001</v>
      </c>
      <c r="J6044">
        <v>-293.73939999999999</v>
      </c>
      <c r="K6044">
        <v>1.1145339999999999</v>
      </c>
      <c r="L6044">
        <v>-51.123959999999997</v>
      </c>
      <c r="M6044">
        <v>0.58306809999999998</v>
      </c>
      <c r="N6044">
        <v>0</v>
      </c>
      <c r="O6044">
        <v>-0.81233569999999999</v>
      </c>
      <c r="P6044">
        <v>0.75296619999999903</v>
      </c>
      <c r="Q6044">
        <v>2.5720110000000001E-2</v>
      </c>
      <c r="R6044">
        <v>-0.65755620000000004</v>
      </c>
      <c r="S6044">
        <v>2.7397459999999998</v>
      </c>
      <c r="T6044">
        <v>-0.58189539999999995</v>
      </c>
      <c r="U6044">
        <v>-1.455902</v>
      </c>
      <c r="V6044">
        <v>-0.22867129999999999</v>
      </c>
      <c r="W6044">
        <v>3.4836699999999998E-2</v>
      </c>
      <c r="X6044">
        <v>0.97288019999999997</v>
      </c>
      <c r="Y6044">
        <v>-0.42759970000000003</v>
      </c>
      <c r="Z6044">
        <v>0.17468320000000001</v>
      </c>
      <c r="AA6044">
        <v>0.88692969999999904</v>
      </c>
      <c r="AB6044">
        <v>22</v>
      </c>
      <c r="AC6044">
        <v>5.1150999999999804</v>
      </c>
      <c r="AD6044">
        <v>-1.1145371398349999</v>
      </c>
      <c r="AE6044">
        <v>-2.6157900000000001</v>
      </c>
      <c r="AF6044">
        <v>-2.534785921993</v>
      </c>
      <c r="AG6044">
        <v>-1.1145371398349999</v>
      </c>
      <c r="AH6044">
        <v>4.9224594807484898</v>
      </c>
      <c r="AI6044">
        <v>101.381402015082</v>
      </c>
      <c r="AJ6044">
        <v>117.24588491909699</v>
      </c>
      <c r="AK6044">
        <v>5.6478261345420497</v>
      </c>
      <c r="AL6044">
        <v>88.003600217808099</v>
      </c>
      <c r="AM6044">
        <v>103.22703212416199</v>
      </c>
      <c r="AN6044">
        <v>1.0000000213313001</v>
      </c>
    </row>
    <row r="6045" spans="1:40" x14ac:dyDescent="0.25">
      <c r="A6045" t="str">
        <f>"20190312151145737"</f>
        <v>20190312151145737</v>
      </c>
      <c r="B6045" t="str">
        <f>"1552374705727376"</f>
        <v>1552374705727376</v>
      </c>
      <c r="C6045" t="s">
        <v>40</v>
      </c>
      <c r="D6045">
        <v>5.0115080000000001</v>
      </c>
      <c r="E6045">
        <v>0.41448610000000002</v>
      </c>
      <c r="F6045" t="s">
        <v>85</v>
      </c>
      <c r="G6045">
        <v>-288.48219999999998</v>
      </c>
      <c r="H6045" s="1">
        <v>-3.192939E-6</v>
      </c>
      <c r="I6045">
        <v>-53.879309999999997</v>
      </c>
      <c r="J6045">
        <v>-293.60649999999998</v>
      </c>
      <c r="K6045">
        <v>1.1145419999999999</v>
      </c>
      <c r="L6045">
        <v>-51.294589999999999</v>
      </c>
      <c r="M6045">
        <v>0.58911049999999998</v>
      </c>
      <c r="N6045">
        <v>0</v>
      </c>
      <c r="O6045">
        <v>-0.80796489999999999</v>
      </c>
      <c r="P6045">
        <v>0.75722619999999996</v>
      </c>
      <c r="Q6045">
        <v>2.5161059999999999E-2</v>
      </c>
      <c r="R6045">
        <v>-0.65266829999999998</v>
      </c>
      <c r="S6045">
        <v>2.7468870000000001</v>
      </c>
      <c r="T6045">
        <v>-0.58234370000000002</v>
      </c>
      <c r="U6045">
        <v>-1.439667</v>
      </c>
      <c r="V6045">
        <v>-0.2277218</v>
      </c>
      <c r="W6045">
        <v>3.4276269999999998E-2</v>
      </c>
      <c r="X6045">
        <v>0.97312279999999995</v>
      </c>
      <c r="Y6045">
        <v>-0.42597780000000002</v>
      </c>
      <c r="Z6045">
        <v>0.17423369999999999</v>
      </c>
      <c r="AA6045">
        <v>0.88779809999999904</v>
      </c>
      <c r="AB6045">
        <v>22</v>
      </c>
      <c r="AC6045">
        <v>5.1242999999999999</v>
      </c>
      <c r="AD6045">
        <v>-1.114545192939</v>
      </c>
      <c r="AE6045">
        <v>-2.5847199999999901</v>
      </c>
      <c r="AF6045">
        <v>-2.5226205218482498</v>
      </c>
      <c r="AG6045">
        <v>-1.114545192939</v>
      </c>
      <c r="AH6045">
        <v>4.9218881739604301</v>
      </c>
      <c r="AI6045">
        <v>101.393641445171</v>
      </c>
      <c r="AJ6045">
        <v>117.136548640108</v>
      </c>
      <c r="AK6045">
        <v>5.6418798712242104</v>
      </c>
      <c r="AL6045">
        <v>88.035729702408403</v>
      </c>
      <c r="AM6045">
        <v>103.170859552227</v>
      </c>
      <c r="AN6045">
        <v>1.0000000323800899</v>
      </c>
    </row>
    <row r="6046" spans="1:40" x14ac:dyDescent="0.25">
      <c r="A6046" t="str">
        <f>"20190312151145759"</f>
        <v>20190312151145759</v>
      </c>
      <c r="B6046" t="str">
        <f>"1552374705746895"</f>
        <v>1552374705746895</v>
      </c>
      <c r="C6046" t="s">
        <v>40</v>
      </c>
      <c r="D6046">
        <v>4.9676179999999999</v>
      </c>
      <c r="E6046">
        <v>0.41501339999999998</v>
      </c>
      <c r="F6046" t="s">
        <v>85</v>
      </c>
      <c r="G6046">
        <v>-288.36680000000001</v>
      </c>
      <c r="H6046" s="1">
        <v>-3.2332959999999999E-6</v>
      </c>
      <c r="I6046">
        <v>-54.005110000000002</v>
      </c>
      <c r="J6046">
        <v>-293.47300000000001</v>
      </c>
      <c r="K6046">
        <v>1.1145400000000001</v>
      </c>
      <c r="L6046">
        <v>-51.463439999999999</v>
      </c>
      <c r="M6046">
        <v>0.59509239999999997</v>
      </c>
      <c r="N6046">
        <v>0</v>
      </c>
      <c r="O6046">
        <v>-0.80356909999999904</v>
      </c>
      <c r="P6046">
        <v>0.76163219999999898</v>
      </c>
      <c r="Q6046">
        <v>2.4919779999999999E-2</v>
      </c>
      <c r="R6046">
        <v>-0.64753019999999994</v>
      </c>
      <c r="S6046">
        <v>2.7535400000000001</v>
      </c>
      <c r="T6046">
        <v>-0.58570440000000001</v>
      </c>
      <c r="U6046">
        <v>-1.4244079999999999</v>
      </c>
      <c r="V6046">
        <v>-0.22708519999999999</v>
      </c>
      <c r="W6046">
        <v>3.4029419999999998E-2</v>
      </c>
      <c r="X6046">
        <v>0.97328020000000004</v>
      </c>
      <c r="Y6046">
        <v>-0.4239231</v>
      </c>
      <c r="Z6046">
        <v>0.17458560000000001</v>
      </c>
      <c r="AA6046">
        <v>0.88871199999999995</v>
      </c>
      <c r="AB6046">
        <v>22</v>
      </c>
      <c r="AC6046">
        <v>5.1062000000000003</v>
      </c>
      <c r="AD6046">
        <v>-1.1145432332959999</v>
      </c>
      <c r="AE6046">
        <v>-2.5416699999999799</v>
      </c>
      <c r="AF6046">
        <v>-2.4955530890579301</v>
      </c>
      <c r="AG6046">
        <v>-1.1145432332959999</v>
      </c>
      <c r="AH6046">
        <v>4.8945423373414103</v>
      </c>
      <c r="AI6046">
        <v>101.467658942724</v>
      </c>
      <c r="AJ6046">
        <v>117.01541745478301</v>
      </c>
      <c r="AK6046">
        <v>5.6059376139250796</v>
      </c>
      <c r="AL6046">
        <v>88.049881394081694</v>
      </c>
      <c r="AM6046">
        <v>103.13326786611999</v>
      </c>
      <c r="AN6046">
        <v>1.0000000185983</v>
      </c>
    </row>
    <row r="6047" spans="1:40" x14ac:dyDescent="0.25">
      <c r="A6047" t="str">
        <f>"20190312151145781"</f>
        <v>20190312151145781</v>
      </c>
      <c r="B6047" t="str">
        <f>"1552374705777151"</f>
        <v>1552374705777151</v>
      </c>
      <c r="C6047" t="s">
        <v>40</v>
      </c>
      <c r="D6047">
        <v>4.9446070000000004</v>
      </c>
      <c r="E6047">
        <v>0.41572949999999997</v>
      </c>
      <c r="F6047" t="s">
        <v>85</v>
      </c>
      <c r="G6047">
        <v>-288.22230000000002</v>
      </c>
      <c r="H6047" s="1">
        <v>-3.2881849999999999E-6</v>
      </c>
      <c r="I6047">
        <v>-54.142740000000003</v>
      </c>
      <c r="J6047">
        <v>-293.33870000000002</v>
      </c>
      <c r="K6047">
        <v>1.114538</v>
      </c>
      <c r="L6047">
        <v>-51.630369999999999</v>
      </c>
      <c r="M6047">
        <v>0.60101300000000002</v>
      </c>
      <c r="N6047">
        <v>0</v>
      </c>
      <c r="O6047">
        <v>-0.7991509</v>
      </c>
      <c r="P6047">
        <v>0.7664261</v>
      </c>
      <c r="Q6047">
        <v>2.489185E-2</v>
      </c>
      <c r="R6047">
        <v>-0.64184989999999997</v>
      </c>
      <c r="S6047">
        <v>2.7604980000000001</v>
      </c>
      <c r="T6047">
        <v>-0.58596559999999998</v>
      </c>
      <c r="U6047">
        <v>-1.4086299999999901</v>
      </c>
      <c r="V6047">
        <v>-0.2271311</v>
      </c>
      <c r="W6047">
        <v>3.398176E-2</v>
      </c>
      <c r="X6047">
        <v>0.97327109999999994</v>
      </c>
      <c r="Y6047">
        <v>-0.42224430000000002</v>
      </c>
      <c r="Z6047">
        <v>0.1740411</v>
      </c>
      <c r="AA6047">
        <v>0.88961759999999901</v>
      </c>
      <c r="AB6047">
        <v>22</v>
      </c>
      <c r="AC6047">
        <v>5.1163999999999898</v>
      </c>
      <c r="AD6047">
        <v>-1.1145412881849901</v>
      </c>
      <c r="AE6047">
        <v>-2.5123700000000002</v>
      </c>
      <c r="AF6047">
        <v>-2.4840170731998699</v>
      </c>
      <c r="AG6047">
        <v>-1.1145412881849901</v>
      </c>
      <c r="AH6047">
        <v>4.8959531902534597</v>
      </c>
      <c r="AI6047">
        <v>101.475716642894</v>
      </c>
      <c r="AJ6047">
        <v>116.901472882871</v>
      </c>
      <c r="AK6047">
        <v>5.6020443361482402</v>
      </c>
      <c r="AL6047">
        <v>88.052613587387</v>
      </c>
      <c r="AM6047">
        <v>103.135948973371</v>
      </c>
      <c r="AN6047">
        <v>0.99999996534755797</v>
      </c>
    </row>
    <row r="6048" spans="1:40" x14ac:dyDescent="0.25">
      <c r="A6048" t="str">
        <f>"20190312151145803"</f>
        <v>20190312151145803</v>
      </c>
      <c r="B6048" t="str">
        <f>"1552374705797646"</f>
        <v>1552374705797646</v>
      </c>
      <c r="C6048" t="s">
        <v>40</v>
      </c>
      <c r="D6048">
        <v>4.9843999999999999</v>
      </c>
      <c r="E6048">
        <v>0.41622360000000003</v>
      </c>
      <c r="F6048" t="s">
        <v>85</v>
      </c>
      <c r="G6048">
        <v>-288.05029999999999</v>
      </c>
      <c r="H6048" s="1">
        <v>-3.3570459999999998E-6</v>
      </c>
      <c r="I6048">
        <v>-54.290979999999998</v>
      </c>
      <c r="J6048">
        <v>-293.19819999999999</v>
      </c>
      <c r="K6048">
        <v>1.114541</v>
      </c>
      <c r="L6048">
        <v>-51.802639999999997</v>
      </c>
      <c r="M6048">
        <v>0.60712250000000001</v>
      </c>
      <c r="N6048">
        <v>0</v>
      </c>
      <c r="O6048">
        <v>-0.79451969999999905</v>
      </c>
      <c r="P6048">
        <v>0.77130619999999905</v>
      </c>
      <c r="Q6048">
        <v>2.5267890000000001E-2</v>
      </c>
      <c r="R6048">
        <v>-0.63596249999999999</v>
      </c>
      <c r="S6048">
        <v>2.7672729999999999</v>
      </c>
      <c r="T6048">
        <v>-0.58320329999999998</v>
      </c>
      <c r="U6048">
        <v>-1.392212</v>
      </c>
      <c r="V6048">
        <v>-0.22711629999999999</v>
      </c>
      <c r="W6048">
        <v>3.433489E-2</v>
      </c>
      <c r="X6048">
        <v>0.97326219999999997</v>
      </c>
      <c r="Y6048">
        <v>-0.42062240000000001</v>
      </c>
      <c r="Z6048">
        <v>0.17261270000000001</v>
      </c>
      <c r="AA6048">
        <v>0.8906636</v>
      </c>
      <c r="AB6048">
        <v>22</v>
      </c>
      <c r="AC6048">
        <v>5.1478999999999902</v>
      </c>
      <c r="AD6048">
        <v>-1.1145443570460001</v>
      </c>
      <c r="AE6048">
        <v>-2.48834</v>
      </c>
      <c r="AF6048">
        <v>-2.4851357586052298</v>
      </c>
      <c r="AG6048">
        <v>-1.1145443570460001</v>
      </c>
      <c r="AH6048">
        <v>4.9160088891445</v>
      </c>
      <c r="AI6048">
        <v>101.438431897713</v>
      </c>
      <c r="AJ6048">
        <v>116.817463347722</v>
      </c>
      <c r="AK6048">
        <v>5.6200758233914598</v>
      </c>
      <c r="AL6048">
        <v>88.0323689902838</v>
      </c>
      <c r="AM6048">
        <v>103.135238654018</v>
      </c>
      <c r="AN6048">
        <v>1.00000000417292</v>
      </c>
    </row>
    <row r="6049" spans="1:40" x14ac:dyDescent="0.25">
      <c r="A6049" t="str">
        <f>"20190312151145836"</f>
        <v>20190312151145836</v>
      </c>
      <c r="B6049" t="str">
        <f>"1552374705826927"</f>
        <v>1552374705826927</v>
      </c>
      <c r="C6049" t="s">
        <v>40</v>
      </c>
      <c r="D6049">
        <v>4.9893020000000003</v>
      </c>
      <c r="E6049">
        <v>0.41691929999999999</v>
      </c>
      <c r="F6049" t="s">
        <v>85</v>
      </c>
      <c r="G6049">
        <v>-287.8802</v>
      </c>
      <c r="H6049" s="1">
        <v>-3.420924E-6</v>
      </c>
      <c r="I6049">
        <v>-54.43591</v>
      </c>
      <c r="J6049">
        <v>-292.98899999999998</v>
      </c>
      <c r="K6049">
        <v>1.11454599999999</v>
      </c>
      <c r="L6049">
        <v>-52.054319999999997</v>
      </c>
      <c r="M6049">
        <v>0.61604910000000002</v>
      </c>
      <c r="N6049">
        <v>0</v>
      </c>
      <c r="O6049">
        <v>-0.78761879999999995</v>
      </c>
      <c r="P6049">
        <v>0.77856169999999902</v>
      </c>
      <c r="Q6049">
        <v>2.5386780000000001E-2</v>
      </c>
      <c r="R6049">
        <v>-0.62705480000000002</v>
      </c>
      <c r="S6049">
        <v>2.7754210000000001</v>
      </c>
      <c r="T6049">
        <v>-0.58167899999999995</v>
      </c>
      <c r="U6049">
        <v>-1.374298</v>
      </c>
      <c r="V6049">
        <v>-0.2273203</v>
      </c>
      <c r="W6049">
        <v>3.4419720000000001E-2</v>
      </c>
      <c r="X6049">
        <v>0.97321159999999995</v>
      </c>
      <c r="Y6049">
        <v>-0.41628929999999997</v>
      </c>
      <c r="Z6049">
        <v>0.1710255</v>
      </c>
      <c r="AA6049">
        <v>0.89300249999999903</v>
      </c>
      <c r="AB6049">
        <v>22</v>
      </c>
      <c r="AC6049">
        <v>5.1088000000000298</v>
      </c>
      <c r="AD6049">
        <v>-1.1145494209239999</v>
      </c>
      <c r="AE6049">
        <v>-2.3815899999999899</v>
      </c>
      <c r="AF6049">
        <v>-2.46058525388275</v>
      </c>
      <c r="AG6049">
        <v>-1.1145494209239999</v>
      </c>
      <c r="AH6049">
        <v>4.8343926486608604</v>
      </c>
      <c r="AI6049">
        <v>101.610616551288</v>
      </c>
      <c r="AJ6049">
        <v>116.97495870138501</v>
      </c>
      <c r="AK6049">
        <v>5.5378743651994604</v>
      </c>
      <c r="AL6049">
        <v>88.027505760101405</v>
      </c>
      <c r="AM6049">
        <v>103.147287159169</v>
      </c>
      <c r="AN6049">
        <v>1.0000000271457601</v>
      </c>
    </row>
    <row r="6050" spans="1:40" x14ac:dyDescent="0.25">
      <c r="A6050" t="str">
        <f>"20190312151145859"</f>
        <v>20190312151145859</v>
      </c>
      <c r="B6050" t="str">
        <f>"1552374705847423"</f>
        <v>1552374705847423</v>
      </c>
      <c r="C6050" t="s">
        <v>40</v>
      </c>
      <c r="D6050">
        <v>5.0179960000000001</v>
      </c>
      <c r="E6050">
        <v>0.4173829</v>
      </c>
      <c r="F6050" t="s">
        <v>85</v>
      </c>
      <c r="G6050">
        <v>-287.62900000000002</v>
      </c>
      <c r="H6050" s="1">
        <v>-3.5102790000000001E-6</v>
      </c>
      <c r="I6050">
        <v>-54.644030000000001</v>
      </c>
      <c r="J6050">
        <v>-292.8501</v>
      </c>
      <c r="K6050">
        <v>1.114549</v>
      </c>
      <c r="L6050">
        <v>-52.218110000000003</v>
      </c>
      <c r="M6050">
        <v>0.62186300000000005</v>
      </c>
      <c r="N6050">
        <v>0</v>
      </c>
      <c r="O6050">
        <v>-0.78303710000000004</v>
      </c>
      <c r="P6050">
        <v>0.78315059999999903</v>
      </c>
      <c r="Q6050">
        <v>2.5610049999999999E-2</v>
      </c>
      <c r="R6050">
        <v>-0.6213052</v>
      </c>
      <c r="S6050">
        <v>2.7874759999999998</v>
      </c>
      <c r="T6050">
        <v>-0.57963160000000002</v>
      </c>
      <c r="U6050">
        <v>-1.3468020000000001</v>
      </c>
      <c r="V6050">
        <v>-0.2272787</v>
      </c>
      <c r="W6050">
        <v>3.4627020000000001E-2</v>
      </c>
      <c r="X6050">
        <v>0.97321389999999997</v>
      </c>
      <c r="Y6050">
        <v>-0.41837570000000002</v>
      </c>
      <c r="Z6050">
        <v>0.17004610000000001</v>
      </c>
      <c r="AA6050">
        <v>0.89221419999999996</v>
      </c>
      <c r="AB6050">
        <v>22</v>
      </c>
      <c r="AC6050">
        <v>5.2210999999999697</v>
      </c>
      <c r="AD6050">
        <v>-1.1145525102789999</v>
      </c>
      <c r="AE6050">
        <v>-2.4259200000000098</v>
      </c>
      <c r="AF6050">
        <v>-2.4867065345653399</v>
      </c>
      <c r="AG6050">
        <v>-1.1145525102789999</v>
      </c>
      <c r="AH6050">
        <v>4.96082787823745</v>
      </c>
      <c r="AI6050">
        <v>101.35672792301401</v>
      </c>
      <c r="AJ6050">
        <v>116.623163445109</v>
      </c>
      <c r="AK6050">
        <v>5.6600132442174704</v>
      </c>
      <c r="AL6050">
        <v>88.015621140597901</v>
      </c>
      <c r="AM6050">
        <v>103.144934744879</v>
      </c>
      <c r="AN6050">
        <v>0.99999996657048895</v>
      </c>
    </row>
    <row r="6051" spans="1:40" x14ac:dyDescent="0.25">
      <c r="A6051" t="str">
        <f>"20190312151145881"</f>
        <v>20190312151145881</v>
      </c>
      <c r="B6051" t="str">
        <f>"1552374705877679"</f>
        <v>1552374705877679</v>
      </c>
      <c r="C6051" t="s">
        <v>40</v>
      </c>
      <c r="D6051">
        <v>4.9997429999999996</v>
      </c>
      <c r="E6051">
        <v>0.41806919999999997</v>
      </c>
      <c r="F6051" t="s">
        <v>85</v>
      </c>
      <c r="G6051">
        <v>-287.46510000000001</v>
      </c>
      <c r="H6051" s="1">
        <v>-3.5687400000000001E-6</v>
      </c>
      <c r="I6051">
        <v>-54.779089999999997</v>
      </c>
      <c r="J6051">
        <v>-292.70429999999999</v>
      </c>
      <c r="K6051">
        <v>1.1145499999999999</v>
      </c>
      <c r="L6051">
        <v>-52.387479999999996</v>
      </c>
      <c r="M6051">
        <v>0.62788100000000002</v>
      </c>
      <c r="N6051">
        <v>0</v>
      </c>
      <c r="O6051">
        <v>-0.77821989999999996</v>
      </c>
      <c r="P6051">
        <v>0.78752219999999995</v>
      </c>
      <c r="Q6051">
        <v>2.528511E-2</v>
      </c>
      <c r="R6051">
        <v>-0.61576739999999996</v>
      </c>
      <c r="S6051">
        <v>2.7950439999999999</v>
      </c>
      <c r="T6051">
        <v>-0.57849839999999997</v>
      </c>
      <c r="U6051">
        <v>-1.3292539999999999</v>
      </c>
      <c r="V6051">
        <v>-0.22664319999999999</v>
      </c>
      <c r="W6051">
        <v>3.4289140000000003E-2</v>
      </c>
      <c r="X6051">
        <v>0.97337410000000002</v>
      </c>
      <c r="Y6051">
        <v>-0.41703820000000003</v>
      </c>
      <c r="Z6051">
        <v>0.16903879999999999</v>
      </c>
      <c r="AA6051">
        <v>0.89303140000000003</v>
      </c>
      <c r="AB6051">
        <v>22</v>
      </c>
      <c r="AC6051">
        <v>5.2391999999999799</v>
      </c>
      <c r="AD6051">
        <v>-1.1145535687399999</v>
      </c>
      <c r="AE6051">
        <v>-2.39161</v>
      </c>
      <c r="AF6051">
        <v>-2.4827980183612701</v>
      </c>
      <c r="AG6051">
        <v>-1.1145535687399999</v>
      </c>
      <c r="AH6051">
        <v>4.9651971343068197</v>
      </c>
      <c r="AI6051">
        <v>101.352439952054</v>
      </c>
      <c r="AJ6051">
        <v>116.56689239763701</v>
      </c>
      <c r="AK6051">
        <v>5.6621284196049704</v>
      </c>
      <c r="AL6051">
        <v>88.034991831755093</v>
      </c>
      <c r="AM6051">
        <v>103.10736784617301</v>
      </c>
      <c r="AN6051">
        <v>1.0000000118894901</v>
      </c>
    </row>
    <row r="6052" spans="1:40" x14ac:dyDescent="0.25">
      <c r="A6052" t="str">
        <f>"20190312151145905"</f>
        <v>20190312151145905</v>
      </c>
      <c r="B6052" t="str">
        <f>"1552374705897198"</f>
        <v>1552374705897198</v>
      </c>
      <c r="C6052" t="s">
        <v>40</v>
      </c>
      <c r="D6052">
        <v>4.986688</v>
      </c>
      <c r="E6052">
        <v>0.41850900000000002</v>
      </c>
      <c r="F6052" t="s">
        <v>85</v>
      </c>
      <c r="G6052">
        <v>-287.29640000000001</v>
      </c>
      <c r="H6052" s="1">
        <v>-3.6279859999999999E-6</v>
      </c>
      <c r="I6052">
        <v>-54.923000000000002</v>
      </c>
      <c r="J6052">
        <v>-292.55700000000002</v>
      </c>
      <c r="K6052">
        <v>1.114544</v>
      </c>
      <c r="L6052">
        <v>-52.55585</v>
      </c>
      <c r="M6052">
        <v>0.63386640000000005</v>
      </c>
      <c r="N6052">
        <v>0</v>
      </c>
      <c r="O6052">
        <v>-0.77335299999999996</v>
      </c>
      <c r="P6052">
        <v>0.79195470000000001</v>
      </c>
      <c r="Q6052">
        <v>2.5785800000000001E-2</v>
      </c>
      <c r="R6052">
        <v>-0.61003490000000005</v>
      </c>
      <c r="S6052">
        <v>2.8010860000000002</v>
      </c>
      <c r="T6052">
        <v>-0.57730530000000002</v>
      </c>
      <c r="U6052">
        <v>-1.3133239999999999</v>
      </c>
      <c r="V6052">
        <v>-0.22619159999999999</v>
      </c>
      <c r="W6052">
        <v>3.4769510000000003E-2</v>
      </c>
      <c r="X6052">
        <v>0.9734621</v>
      </c>
      <c r="Y6052">
        <v>-0.41509249999999998</v>
      </c>
      <c r="Z6052">
        <v>0.16799339999999999</v>
      </c>
      <c r="AA6052">
        <v>0.89413449999999906</v>
      </c>
      <c r="AB6052">
        <v>22</v>
      </c>
      <c r="AC6052">
        <v>5.2606000000000099</v>
      </c>
      <c r="AD6052">
        <v>-1.114547627986</v>
      </c>
      <c r="AE6052">
        <v>-2.3671500000000001</v>
      </c>
      <c r="AF6052">
        <v>-2.47560922957567</v>
      </c>
      <c r="AG6052">
        <v>-1.114547627986</v>
      </c>
      <c r="AH6052">
        <v>4.9796320933004798</v>
      </c>
      <c r="AI6052">
        <v>101.33307116302301</v>
      </c>
      <c r="AJ6052">
        <v>116.434130786531</v>
      </c>
      <c r="AK6052">
        <v>5.6716481958278804</v>
      </c>
      <c r="AL6052">
        <v>88.007452231049697</v>
      </c>
      <c r="AM6052">
        <v>103.081007839546</v>
      </c>
      <c r="AN6052">
        <v>1.0000000094363</v>
      </c>
    </row>
    <row r="6053" spans="1:40" x14ac:dyDescent="0.25">
      <c r="A6053" t="str">
        <f>"20190312151145926"</f>
        <v>20190312151145926</v>
      </c>
      <c r="B6053" t="str">
        <f>"1552374705917695"</f>
        <v>1552374705917695</v>
      </c>
      <c r="C6053" t="s">
        <v>40</v>
      </c>
      <c r="D6053">
        <v>4.9741989999999996</v>
      </c>
      <c r="E6053">
        <v>0.41889379999999998</v>
      </c>
      <c r="F6053" t="s">
        <v>85</v>
      </c>
      <c r="G6053">
        <v>-287.11790000000002</v>
      </c>
      <c r="H6053" s="1">
        <v>-3.6923120000000001E-6</v>
      </c>
      <c r="I6053">
        <v>-55.066470000000002</v>
      </c>
      <c r="J6053">
        <v>-292.41219999999998</v>
      </c>
      <c r="K6053">
        <v>1.1145430000000001</v>
      </c>
      <c r="L6053">
        <v>-52.718899999999998</v>
      </c>
      <c r="M6053">
        <v>0.63966250000000002</v>
      </c>
      <c r="N6053">
        <v>0</v>
      </c>
      <c r="O6053">
        <v>-0.76856630000000004</v>
      </c>
      <c r="P6053">
        <v>0.796382699999999</v>
      </c>
      <c r="Q6053">
        <v>2.6108309999999999E-2</v>
      </c>
      <c r="R6053">
        <v>-0.60422959999999903</v>
      </c>
      <c r="S6053">
        <v>2.8083499999999999</v>
      </c>
      <c r="T6053">
        <v>-0.5754688</v>
      </c>
      <c r="U6053">
        <v>-1.296295</v>
      </c>
      <c r="V6053">
        <v>-0.2259854</v>
      </c>
      <c r="W6053">
        <v>3.5071150000000002E-2</v>
      </c>
      <c r="X6053">
        <v>0.97349920000000001</v>
      </c>
      <c r="Y6053">
        <v>-0.41380060000000002</v>
      </c>
      <c r="Z6053">
        <v>0.1667785</v>
      </c>
      <c r="AA6053">
        <v>0.89496030000000004</v>
      </c>
      <c r="AB6053">
        <v>22</v>
      </c>
      <c r="AC6053">
        <v>5.2942999999999598</v>
      </c>
      <c r="AD6053">
        <v>-1.114546692312</v>
      </c>
      <c r="AE6053">
        <v>-2.3475699999999899</v>
      </c>
      <c r="AF6053">
        <v>-2.4758492539706398</v>
      </c>
      <c r="AG6053">
        <v>-1.114546692312</v>
      </c>
      <c r="AH6053">
        <v>5.0057912203944399</v>
      </c>
      <c r="AI6053">
        <v>101.286514681425</v>
      </c>
      <c r="AJ6053">
        <v>116.31686045085701</v>
      </c>
      <c r="AK6053">
        <v>5.69473349682921</v>
      </c>
      <c r="AL6053">
        <v>87.990159045475707</v>
      </c>
      <c r="AM6053">
        <v>103.069011541018</v>
      </c>
      <c r="AN6053">
        <v>1.0000000394880599</v>
      </c>
    </row>
    <row r="6054" spans="1:40" x14ac:dyDescent="0.25">
      <c r="A6054" t="str">
        <f>"20190312151145947"</f>
        <v>20190312151145947</v>
      </c>
      <c r="B6054" t="str">
        <f>"1552374705937215"</f>
        <v>1552374705937215</v>
      </c>
      <c r="C6054" t="s">
        <v>40</v>
      </c>
      <c r="D6054">
        <v>4.9740690000000001</v>
      </c>
      <c r="E6054">
        <v>0.41911369999999998</v>
      </c>
      <c r="F6054" t="s">
        <v>85</v>
      </c>
      <c r="G6054">
        <v>-286.95429999999999</v>
      </c>
      <c r="H6054" s="1">
        <v>-3.7513570000000001E-6</v>
      </c>
      <c r="I6054">
        <v>-55.197249999999997</v>
      </c>
      <c r="J6054">
        <v>-292.26819999999998</v>
      </c>
      <c r="K6054">
        <v>1.114549</v>
      </c>
      <c r="L6054">
        <v>-52.878749999999997</v>
      </c>
      <c r="M6054">
        <v>0.64534559999999996</v>
      </c>
      <c r="N6054">
        <v>0</v>
      </c>
      <c r="O6054">
        <v>-0.76380079999999995</v>
      </c>
      <c r="P6054">
        <v>0.80039269999999996</v>
      </c>
      <c r="Q6054">
        <v>2.581642E-2</v>
      </c>
      <c r="R6054">
        <v>-0.59891989999999995</v>
      </c>
      <c r="S6054">
        <v>2.8157960000000002</v>
      </c>
      <c r="T6054">
        <v>-0.57500090000000004</v>
      </c>
      <c r="U6054">
        <v>-1.2785949999999999</v>
      </c>
      <c r="V6054">
        <v>-0.22524269999999999</v>
      </c>
      <c r="W6054">
        <v>3.4768550000000002E-2</v>
      </c>
      <c r="X6054">
        <v>0.97368209999999999</v>
      </c>
      <c r="Y6054">
        <v>-0.41272370000000003</v>
      </c>
      <c r="Z6054">
        <v>0.1659658</v>
      </c>
      <c r="AA6054">
        <v>0.89560839999999997</v>
      </c>
      <c r="AB6054">
        <v>22</v>
      </c>
      <c r="AC6054">
        <v>5.3138999999999896</v>
      </c>
      <c r="AD6054">
        <v>-1.1145527513569999</v>
      </c>
      <c r="AE6054">
        <v>-2.3184999999999998</v>
      </c>
      <c r="AF6054">
        <v>-2.47136946027979</v>
      </c>
      <c r="AG6054">
        <v>-1.1145527513569999</v>
      </c>
      <c r="AH6054">
        <v>5.0151862057467103</v>
      </c>
      <c r="AI6054">
        <v>101.273904927206</v>
      </c>
      <c r="AJ6054">
        <v>116.23302726738299</v>
      </c>
      <c r="AK6054">
        <v>5.7010514401356902</v>
      </c>
      <c r="AL6054">
        <v>88.007507207439204</v>
      </c>
      <c r="AM6054">
        <v>103.02516400642099</v>
      </c>
      <c r="AN6054">
        <v>0.99999997891640102</v>
      </c>
    </row>
    <row r="6055" spans="1:40" x14ac:dyDescent="0.25">
      <c r="A6055" t="str">
        <f>"20190312151145971"</f>
        <v>20190312151145971</v>
      </c>
      <c r="B6055" t="str">
        <f>"1552374705967473"</f>
        <v>1552374705967473</v>
      </c>
      <c r="C6055" t="s">
        <v>40</v>
      </c>
      <c r="D6055">
        <v>4.9868920000000001</v>
      </c>
      <c r="E6055">
        <v>0.43200519999999998</v>
      </c>
      <c r="F6055" t="s">
        <v>85</v>
      </c>
      <c r="G6055">
        <v>-286.7978</v>
      </c>
      <c r="H6055" s="1">
        <v>-3.8080799999999999E-6</v>
      </c>
      <c r="I6055">
        <v>-55.321010000000001</v>
      </c>
      <c r="J6055">
        <v>-292.11770000000001</v>
      </c>
      <c r="K6055">
        <v>1.1145560000000001</v>
      </c>
      <c r="L6055">
        <v>-53.043300000000002</v>
      </c>
      <c r="M6055">
        <v>0.65119799999999906</v>
      </c>
      <c r="N6055">
        <v>0</v>
      </c>
      <c r="O6055">
        <v>-0.75881739999999998</v>
      </c>
      <c r="P6055">
        <v>0.80435630000000002</v>
      </c>
      <c r="Q6055">
        <v>2.582456E-2</v>
      </c>
      <c r="R6055">
        <v>-0.5935859</v>
      </c>
      <c r="S6055">
        <v>2.8234859999999999</v>
      </c>
      <c r="T6055">
        <v>-0.57525850000000001</v>
      </c>
      <c r="U6055">
        <v>-1.260529</v>
      </c>
      <c r="V6055">
        <v>-0.22423029999999999</v>
      </c>
      <c r="W6055">
        <v>3.477189E-2</v>
      </c>
      <c r="X6055">
        <v>0.97391559999999999</v>
      </c>
      <c r="Y6055">
        <v>-0.411497</v>
      </c>
      <c r="Z6055">
        <v>0.165302799999999</v>
      </c>
      <c r="AA6055">
        <v>0.89629519999999996</v>
      </c>
      <c r="AB6055">
        <v>22</v>
      </c>
      <c r="AC6055">
        <v>5.3199000000000103</v>
      </c>
      <c r="AD6055">
        <v>-1.1145598080800001</v>
      </c>
      <c r="AE6055">
        <v>-2.2777099999999901</v>
      </c>
      <c r="AF6055">
        <v>-2.4624271851223201</v>
      </c>
      <c r="AG6055">
        <v>-1.1145598080800001</v>
      </c>
      <c r="AH6055">
        <v>5.0072915766155797</v>
      </c>
      <c r="AI6055">
        <v>101.295691956692</v>
      </c>
      <c r="AJ6055">
        <v>116.18649612718799</v>
      </c>
      <c r="AK6055">
        <v>5.6902337510037402</v>
      </c>
      <c r="AL6055">
        <v>88.007315673773803</v>
      </c>
      <c r="AM6055">
        <v>102.96559891083299</v>
      </c>
      <c r="AN6055">
        <v>0.99999995384780904</v>
      </c>
    </row>
    <row r="6056" spans="1:40" x14ac:dyDescent="0.25">
      <c r="A6056" t="str">
        <f>"20190312151145993"</f>
        <v>20190312151145993</v>
      </c>
      <c r="B6056" t="str">
        <f>"1552374705986991"</f>
        <v>1552374705986991</v>
      </c>
      <c r="C6056" t="s">
        <v>40</v>
      </c>
      <c r="D6056">
        <v>4.9888879999999904</v>
      </c>
      <c r="E6056">
        <v>0.43284869999999998</v>
      </c>
      <c r="F6056" t="s">
        <v>85</v>
      </c>
      <c r="G6056">
        <v>-286.7029</v>
      </c>
      <c r="H6056" s="1">
        <v>-3.8004430000000002E-6</v>
      </c>
      <c r="I6056">
        <v>-55.632249999999999</v>
      </c>
      <c r="J6056">
        <v>-291.96679999999998</v>
      </c>
      <c r="K6056">
        <v>1.1145609999999999</v>
      </c>
      <c r="L6056">
        <v>-53.205779999999997</v>
      </c>
      <c r="M6056">
        <v>0.65698000000000001</v>
      </c>
      <c r="N6056">
        <v>0</v>
      </c>
      <c r="O6056">
        <v>-0.75381719999999997</v>
      </c>
      <c r="P6056">
        <v>0.80858180000000002</v>
      </c>
      <c r="Q6056">
        <v>2.5399379999999999E-2</v>
      </c>
      <c r="R6056">
        <v>-0.58783580000000002</v>
      </c>
      <c r="S6056">
        <v>2.7704770000000001</v>
      </c>
      <c r="T6056">
        <v>-0.57025649999999894</v>
      </c>
      <c r="U6056">
        <v>-1.3246150000000001</v>
      </c>
      <c r="V6056">
        <v>-0.22373489999999999</v>
      </c>
      <c r="W6056">
        <v>3.4335360000000002E-2</v>
      </c>
      <c r="X6056">
        <v>0.97404500000000005</v>
      </c>
      <c r="Y6056">
        <v>-0.38137349999999998</v>
      </c>
      <c r="Z6056">
        <v>0.16223389999999999</v>
      </c>
      <c r="AA6056">
        <v>0.91007389999999999</v>
      </c>
      <c r="AB6056">
        <v>22</v>
      </c>
      <c r="AC6056">
        <v>5.2638999999999703</v>
      </c>
      <c r="AD6056">
        <v>-1.114564800443</v>
      </c>
      <c r="AE6056">
        <v>-2.4264699999999899</v>
      </c>
      <c r="AF6056">
        <v>-2.2893866507423501</v>
      </c>
      <c r="AG6056">
        <v>-1.114564800443</v>
      </c>
      <c r="AH6056">
        <v>5.0992064459510802</v>
      </c>
      <c r="AI6056">
        <v>101.276934922609</v>
      </c>
      <c r="AJ6056">
        <v>114.178611737507</v>
      </c>
      <c r="AK6056">
        <v>5.6996010658126703</v>
      </c>
      <c r="AL6056">
        <v>88.032341923439205</v>
      </c>
      <c r="AM6056">
        <v>102.93625747182</v>
      </c>
      <c r="AN6056">
        <v>0.99999994222466804</v>
      </c>
    </row>
    <row r="6057" spans="1:40" x14ac:dyDescent="0.25">
      <c r="A6057" t="str">
        <f>"20190312151146015"</f>
        <v>20190312151146015</v>
      </c>
      <c r="B6057" t="str">
        <f>"1552374706007037"</f>
        <v>1552374706007037</v>
      </c>
      <c r="C6057" t="s">
        <v>40</v>
      </c>
      <c r="D6057">
        <v>4.9948360000000003</v>
      </c>
      <c r="E6057">
        <v>0.43295400000000001</v>
      </c>
      <c r="F6057" t="s">
        <v>85</v>
      </c>
      <c r="G6057">
        <v>-286.56909999999999</v>
      </c>
      <c r="H6057" s="1">
        <v>-3.8460070000000001E-6</v>
      </c>
      <c r="I6057">
        <v>-55.754300000000001</v>
      </c>
      <c r="J6057">
        <v>-291.81939999999997</v>
      </c>
      <c r="K6057">
        <v>1.1145659999999999</v>
      </c>
      <c r="L6057">
        <v>-53.36215</v>
      </c>
      <c r="M6057">
        <v>0.66254780000000002</v>
      </c>
      <c r="N6057">
        <v>0</v>
      </c>
      <c r="O6057">
        <v>-0.74892840000000005</v>
      </c>
      <c r="P6057">
        <v>0.81245789999999996</v>
      </c>
      <c r="Q6057">
        <v>2.5403519999999999E-2</v>
      </c>
      <c r="R6057">
        <v>-0.58246609999999999</v>
      </c>
      <c r="S6057">
        <v>2.7755130000000001</v>
      </c>
      <c r="T6057">
        <v>-0.573111699999999</v>
      </c>
      <c r="U6057">
        <v>-1.3104549999999999</v>
      </c>
      <c r="V6057">
        <v>-0.22296949999999999</v>
      </c>
      <c r="W6057">
        <v>3.433394E-2</v>
      </c>
      <c r="X6057">
        <v>0.97422059999999999</v>
      </c>
      <c r="Y6057">
        <v>-0.37890259999999998</v>
      </c>
      <c r="Z6057">
        <v>0.16224759999999999</v>
      </c>
      <c r="AA6057">
        <v>0.911103</v>
      </c>
      <c r="AB6057">
        <v>22</v>
      </c>
      <c r="AC6057">
        <v>5.2502999999999798</v>
      </c>
      <c r="AD6057">
        <v>-1.1145698460069999</v>
      </c>
      <c r="AE6057">
        <v>-2.39215</v>
      </c>
      <c r="AF6057">
        <v>-2.2628970943647699</v>
      </c>
      <c r="AG6057">
        <v>-1.1145698460069999</v>
      </c>
      <c r="AH6057">
        <v>5.0808724087304604</v>
      </c>
      <c r="AI6057">
        <v>101.331401307332</v>
      </c>
      <c r="AJ6057">
        <v>114.007029321518</v>
      </c>
      <c r="AK6057">
        <v>5.6725861505235002</v>
      </c>
      <c r="AL6057">
        <v>88.032423440084102</v>
      </c>
      <c r="AM6057">
        <v>102.891237409707</v>
      </c>
      <c r="AN6057">
        <v>0.99999999741526602</v>
      </c>
    </row>
    <row r="6058" spans="1:40" x14ac:dyDescent="0.25">
      <c r="A6058" t="str">
        <f>"20190312151146038"</f>
        <v>20190312151146038</v>
      </c>
      <c r="B6058" t="str">
        <f>"1552374706027528"</f>
        <v>1552374706027528</v>
      </c>
      <c r="C6058" t="s">
        <v>40</v>
      </c>
      <c r="D6058">
        <v>5.0291389999999998</v>
      </c>
      <c r="E6058">
        <v>0.43319419999999997</v>
      </c>
      <c r="F6058" t="s">
        <v>85</v>
      </c>
      <c r="G6058">
        <v>-286.43329999999997</v>
      </c>
      <c r="H6058" s="1">
        <v>-3.895E-6</v>
      </c>
      <c r="I6058">
        <v>-55.863160000000001</v>
      </c>
      <c r="J6058">
        <v>-291.66489999999999</v>
      </c>
      <c r="K6058">
        <v>1.1145769999999999</v>
      </c>
      <c r="L6058">
        <v>-53.523560000000003</v>
      </c>
      <c r="M6058">
        <v>0.66829559999999999</v>
      </c>
      <c r="N6058">
        <v>0</v>
      </c>
      <c r="O6058">
        <v>-0.74380389999999996</v>
      </c>
      <c r="P6058">
        <v>0.81639819999999996</v>
      </c>
      <c r="Q6058">
        <v>2.5354660000000001E-2</v>
      </c>
      <c r="R6058">
        <v>-0.57693219999999901</v>
      </c>
      <c r="S6058">
        <v>2.7837830000000001</v>
      </c>
      <c r="T6058">
        <v>-0.57605930000000005</v>
      </c>
      <c r="U6058">
        <v>-1.2926329999999999</v>
      </c>
      <c r="V6058">
        <v>-0.2220876</v>
      </c>
      <c r="W6058">
        <v>3.4281989999999998E-2</v>
      </c>
      <c r="X6058">
        <v>0.97442379999999995</v>
      </c>
      <c r="Y6058">
        <v>-0.37755870000000002</v>
      </c>
      <c r="Z6058">
        <v>0.16224279999999999</v>
      </c>
      <c r="AA6058">
        <v>0.91166150000000001</v>
      </c>
      <c r="AB6058">
        <v>22</v>
      </c>
      <c r="AC6058">
        <v>5.23160000000001</v>
      </c>
      <c r="AD6058">
        <v>-1.114580895</v>
      </c>
      <c r="AE6058">
        <v>-2.3395999999999999</v>
      </c>
      <c r="AF6058">
        <v>-2.2430563340290899</v>
      </c>
      <c r="AG6058">
        <v>-1.114580895</v>
      </c>
      <c r="AH6058">
        <v>5.0459551900291801</v>
      </c>
      <c r="AI6058">
        <v>101.411381767536</v>
      </c>
      <c r="AJ6058">
        <v>113.96637245630301</v>
      </c>
      <c r="AK6058">
        <v>5.6334053705471501</v>
      </c>
      <c r="AL6058">
        <v>88.035401614868306</v>
      </c>
      <c r="AM6058">
        <v>102.83935387124301</v>
      </c>
      <c r="AN6058">
        <v>0.99999994945927795</v>
      </c>
    </row>
    <row r="6059" spans="1:40" x14ac:dyDescent="0.25">
      <c r="A6059" t="str">
        <f>"20190312151146059"</f>
        <v>20190312151146059</v>
      </c>
      <c r="B6059" t="str">
        <f>"1552374706057785"</f>
        <v>1552374706057785</v>
      </c>
      <c r="C6059" t="s">
        <v>40</v>
      </c>
      <c r="D6059">
        <v>4.990748</v>
      </c>
      <c r="E6059">
        <v>0.43348740000000002</v>
      </c>
      <c r="F6059" t="s">
        <v>85</v>
      </c>
      <c r="G6059">
        <v>-286.26710000000003</v>
      </c>
      <c r="H6059" s="1">
        <v>-3.9561449999999999E-6</v>
      </c>
      <c r="I6059">
        <v>-55.989370000000001</v>
      </c>
      <c r="J6059">
        <v>-291.51580000000001</v>
      </c>
      <c r="K6059">
        <v>1.1145780000000001</v>
      </c>
      <c r="L6059">
        <v>-53.676850000000002</v>
      </c>
      <c r="M6059">
        <v>0.67376080000000005</v>
      </c>
      <c r="N6059">
        <v>0</v>
      </c>
      <c r="O6059">
        <v>-0.7388574</v>
      </c>
      <c r="P6059">
        <v>0.82039599999999901</v>
      </c>
      <c r="Q6059">
        <v>2.5347959999999999E-2</v>
      </c>
      <c r="R6059">
        <v>-0.57123359999999901</v>
      </c>
      <c r="S6059">
        <v>2.7914430000000001</v>
      </c>
      <c r="T6059">
        <v>-0.57639750000000001</v>
      </c>
      <c r="U6059">
        <v>-1.275177</v>
      </c>
      <c r="V6059">
        <v>-0.22168950000000001</v>
      </c>
      <c r="W6059">
        <v>3.4267220000000001E-2</v>
      </c>
      <c r="X6059">
        <v>0.97451500000000002</v>
      </c>
      <c r="Y6059">
        <v>-0.37647639999999999</v>
      </c>
      <c r="Z6059">
        <v>0.1615693</v>
      </c>
      <c r="AA6059">
        <v>0.9122285</v>
      </c>
      <c r="AB6059">
        <v>22</v>
      </c>
      <c r="AC6059">
        <v>5.2486999999999799</v>
      </c>
      <c r="AD6059">
        <v>-1.1145819561450001</v>
      </c>
      <c r="AE6059">
        <v>-2.3125199999999899</v>
      </c>
      <c r="AF6059">
        <v>-2.2356859565632599</v>
      </c>
      <c r="AG6059">
        <v>-1.1145819561450001</v>
      </c>
      <c r="AH6059">
        <v>5.0544729326667301</v>
      </c>
      <c r="AI6059">
        <v>101.40174352083299</v>
      </c>
      <c r="AJ6059">
        <v>113.860684291467</v>
      </c>
      <c r="AK6059">
        <v>5.6381097240474896</v>
      </c>
      <c r="AL6059">
        <v>88.036248433047703</v>
      </c>
      <c r="AM6059">
        <v>102.815939801531</v>
      </c>
      <c r="AN6059">
        <v>0.99999998100088905</v>
      </c>
    </row>
    <row r="6060" spans="1:40" x14ac:dyDescent="0.25">
      <c r="A6060" t="str">
        <f>"20190312151146082"</f>
        <v>20190312151146082</v>
      </c>
      <c r="B6060" t="str">
        <f>"1552374706077320"</f>
        <v>1552374706077320</v>
      </c>
      <c r="C6060" t="s">
        <v>40</v>
      </c>
      <c r="D6060">
        <v>5.014672</v>
      </c>
      <c r="E6060">
        <v>0.43378299999999997</v>
      </c>
      <c r="F6060" t="s">
        <v>85</v>
      </c>
      <c r="G6060">
        <v>-286.10359999999997</v>
      </c>
      <c r="H6060" s="1">
        <v>-4.0172670000000002E-6</v>
      </c>
      <c r="I6060">
        <v>-56.108289999999997</v>
      </c>
      <c r="J6060">
        <v>-291.35849999999999</v>
      </c>
      <c r="K6060">
        <v>1.1145860000000001</v>
      </c>
      <c r="L6060">
        <v>-53.836239999999997</v>
      </c>
      <c r="M6060">
        <v>0.67944720000000003</v>
      </c>
      <c r="N6060">
        <v>0</v>
      </c>
      <c r="O6060">
        <v>-0.73363179999999995</v>
      </c>
      <c r="P6060">
        <v>0.82448049999999995</v>
      </c>
      <c r="Q6060">
        <v>2.583802E-2</v>
      </c>
      <c r="R6060">
        <v>-0.56530019999999903</v>
      </c>
      <c r="S6060">
        <v>2.7990110000000001</v>
      </c>
      <c r="T6060">
        <v>-0.57641739999999997</v>
      </c>
      <c r="U6060">
        <v>-1.2574459999999901</v>
      </c>
      <c r="V6060">
        <v>-0.2211881</v>
      </c>
      <c r="W6060">
        <v>3.4751869999999997E-2</v>
      </c>
      <c r="X6060">
        <v>0.97461180000000003</v>
      </c>
      <c r="Y6060">
        <v>-0.37515749999999998</v>
      </c>
      <c r="Z6060">
        <v>0.16075039999999999</v>
      </c>
      <c r="AA6060">
        <v>0.91291630000000001</v>
      </c>
      <c r="AB6060">
        <v>22</v>
      </c>
      <c r="AC6060">
        <v>5.2549000000000197</v>
      </c>
      <c r="AD6060">
        <v>-1.114590017267</v>
      </c>
      <c r="AE6060">
        <v>-2.2720500000000001</v>
      </c>
      <c r="AF6060">
        <v>-2.2271648923957001</v>
      </c>
      <c r="AG6060">
        <v>-1.114590017267</v>
      </c>
      <c r="AH6060">
        <v>5.0463596658516998</v>
      </c>
      <c r="AI6060">
        <v>101.423692214014</v>
      </c>
      <c r="AJ6060">
        <v>113.813828981906</v>
      </c>
      <c r="AK6060">
        <v>5.6274612607859096</v>
      </c>
      <c r="AL6060">
        <v>88.008463549599298</v>
      </c>
      <c r="AM6060">
        <v>102.786679442587</v>
      </c>
      <c r="AN6060">
        <v>1.0000000143746699</v>
      </c>
    </row>
    <row r="6061" spans="1:40" x14ac:dyDescent="0.25">
      <c r="A6061" t="str">
        <f>"20190312151146105"</f>
        <v>20190312151146105</v>
      </c>
      <c r="B6061" t="str">
        <f>"1552374706097801"</f>
        <v>1552374706097801</v>
      </c>
      <c r="C6061" t="s">
        <v>40</v>
      </c>
      <c r="D6061">
        <v>4.9909679999999996</v>
      </c>
      <c r="E6061">
        <v>0.43407230000000002</v>
      </c>
      <c r="F6061" t="s">
        <v>85</v>
      </c>
      <c r="G6061">
        <v>-285.91379999999998</v>
      </c>
      <c r="H6061" s="1">
        <v>-4.0892270000000003E-6</v>
      </c>
      <c r="I6061">
        <v>-56.240499999999997</v>
      </c>
      <c r="J6061">
        <v>-291.2</v>
      </c>
      <c r="K6061">
        <v>1.114601</v>
      </c>
      <c r="L6061">
        <v>-53.994289999999999</v>
      </c>
      <c r="M6061">
        <v>0.68509200000000003</v>
      </c>
      <c r="N6061">
        <v>0</v>
      </c>
      <c r="O6061">
        <v>-0.72836369999999995</v>
      </c>
      <c r="P6061">
        <v>0.82861600000000002</v>
      </c>
      <c r="Q6061">
        <v>2.6720629999999999E-2</v>
      </c>
      <c r="R6061">
        <v>-0.55917939999999999</v>
      </c>
      <c r="S6061">
        <v>2.806854</v>
      </c>
      <c r="T6061">
        <v>-0.57459189999999905</v>
      </c>
      <c r="U6061">
        <v>-1.239441</v>
      </c>
      <c r="V6061">
        <v>-0.22086939999999999</v>
      </c>
      <c r="W6061">
        <v>3.5627760000000001E-2</v>
      </c>
      <c r="X6061">
        <v>0.97465239999999997</v>
      </c>
      <c r="Y6061">
        <v>-0.37404929999999997</v>
      </c>
      <c r="Z6061">
        <v>0.15942200000000001</v>
      </c>
      <c r="AA6061">
        <v>0.91360370000000002</v>
      </c>
      <c r="AB6061">
        <v>22</v>
      </c>
      <c r="AC6061">
        <v>5.2862</v>
      </c>
      <c r="AD6061">
        <v>-1.1146050892270001</v>
      </c>
      <c r="AE6061">
        <v>-2.2462099999999898</v>
      </c>
      <c r="AF6061">
        <v>-2.22767998655234</v>
      </c>
      <c r="AG6061">
        <v>-1.1146050892270001</v>
      </c>
      <c r="AH6061">
        <v>5.0671242954994797</v>
      </c>
      <c r="AI6061">
        <v>101.385232258527</v>
      </c>
      <c r="AJ6061">
        <v>113.731921920598</v>
      </c>
      <c r="AK6061">
        <v>5.6462953565552798</v>
      </c>
      <c r="AL6061">
        <v>87.958247546115203</v>
      </c>
      <c r="AM6061">
        <v>102.768345633309</v>
      </c>
      <c r="AN6061">
        <v>0.99999996498236798</v>
      </c>
    </row>
    <row r="6062" spans="1:40" x14ac:dyDescent="0.25">
      <c r="A6062" t="str">
        <f>"20190312151146128"</f>
        <v>20190312151146128</v>
      </c>
      <c r="B6062" t="str">
        <f>"1552374706117320"</f>
        <v>1552374706117320</v>
      </c>
      <c r="C6062" t="s">
        <v>40</v>
      </c>
      <c r="D6062">
        <v>4.9940959999999999</v>
      </c>
      <c r="E6062">
        <v>0.43432799999999999</v>
      </c>
      <c r="F6062" t="s">
        <v>85</v>
      </c>
      <c r="G6062">
        <v>-285.7226</v>
      </c>
      <c r="H6062" s="1">
        <v>-4.1625070000000004E-6</v>
      </c>
      <c r="I6062">
        <v>-56.369459999999997</v>
      </c>
      <c r="J6062">
        <v>-291.0401</v>
      </c>
      <c r="K6062">
        <v>1.1146130000000001</v>
      </c>
      <c r="L6062">
        <v>-54.151400000000002</v>
      </c>
      <c r="M6062">
        <v>0.69070830000000005</v>
      </c>
      <c r="N6062">
        <v>0</v>
      </c>
      <c r="O6062">
        <v>-0.7230396</v>
      </c>
      <c r="P6062">
        <v>0.83274749999999997</v>
      </c>
      <c r="Q6062">
        <v>2.7363459999999999E-2</v>
      </c>
      <c r="R6062">
        <v>-0.55297609999999997</v>
      </c>
      <c r="S6062">
        <v>2.8151860000000002</v>
      </c>
      <c r="T6062">
        <v>-0.57285850000000005</v>
      </c>
      <c r="U6062">
        <v>-1.220734</v>
      </c>
      <c r="V6062">
        <v>-0.22059709999999999</v>
      </c>
      <c r="W6062">
        <v>3.6263919999999998E-2</v>
      </c>
      <c r="X6062">
        <v>0.97469059999999996</v>
      </c>
      <c r="Y6062">
        <v>-0.37317149999999999</v>
      </c>
      <c r="Z6062">
        <v>0.15811239999999999</v>
      </c>
      <c r="AA6062">
        <v>0.91419010000000001</v>
      </c>
      <c r="AB6062">
        <v>22</v>
      </c>
      <c r="AC6062">
        <v>5.3174999999999901</v>
      </c>
      <c r="AD6062">
        <v>-1.1146171625069901</v>
      </c>
      <c r="AE6062">
        <v>-2.2180599999999902</v>
      </c>
      <c r="AF6062">
        <v>-2.2294487683665398</v>
      </c>
      <c r="AG6062">
        <v>-1.1146171625069901</v>
      </c>
      <c r="AH6062">
        <v>5.0865757516946397</v>
      </c>
      <c r="AI6062">
        <v>101.348368442672</v>
      </c>
      <c r="AJ6062">
        <v>113.66786385520599</v>
      </c>
      <c r="AK6062">
        <v>5.6644563823419301</v>
      </c>
      <c r="AL6062">
        <v>87.921774677875305</v>
      </c>
      <c r="AM6062">
        <v>102.75263573832</v>
      </c>
      <c r="AN6062">
        <v>0.99999995907526695</v>
      </c>
    </row>
    <row r="6063" spans="1:40" x14ac:dyDescent="0.25">
      <c r="A6063" t="str">
        <f>"20190312151146149"</f>
        <v>20190312151146149</v>
      </c>
      <c r="B6063" t="str">
        <f>"1552374706137817"</f>
        <v>1552374706137817</v>
      </c>
      <c r="C6063" t="s">
        <v>40</v>
      </c>
      <c r="D6063">
        <v>5.0275679999999996</v>
      </c>
      <c r="E6063">
        <v>0.43462430000000002</v>
      </c>
      <c r="F6063" t="s">
        <v>85</v>
      </c>
      <c r="G6063">
        <v>-285.52010000000001</v>
      </c>
      <c r="H6063" s="1">
        <v>-4.2411169999999998E-6</v>
      </c>
      <c r="I6063">
        <v>-56.500140000000002</v>
      </c>
      <c r="J6063">
        <v>-290.88749999999999</v>
      </c>
      <c r="K6063">
        <v>1.1146259999999999</v>
      </c>
      <c r="L6063">
        <v>-54.299100000000003</v>
      </c>
      <c r="M6063">
        <v>0.69599730000000004</v>
      </c>
      <c r="N6063">
        <v>0</v>
      </c>
      <c r="O6063">
        <v>-0.71795010000000004</v>
      </c>
      <c r="P6063">
        <v>0.83675370000000004</v>
      </c>
      <c r="Q6063">
        <v>2.714857E-2</v>
      </c>
      <c r="R6063">
        <v>-0.54690640000000001</v>
      </c>
      <c r="S6063">
        <v>2.8234859999999999</v>
      </c>
      <c r="T6063">
        <v>-0.57012680000000004</v>
      </c>
      <c r="U6063">
        <v>-1.2013849999999999</v>
      </c>
      <c r="V6063">
        <v>-0.22053339999999999</v>
      </c>
      <c r="W6063">
        <v>3.6039960000000003E-2</v>
      </c>
      <c r="X6063">
        <v>0.97471339999999995</v>
      </c>
      <c r="Y6063">
        <v>-0.37287619999999999</v>
      </c>
      <c r="Z6063">
        <v>0.1566187</v>
      </c>
      <c r="AA6063">
        <v>0.91456760000000004</v>
      </c>
      <c r="AB6063">
        <v>22</v>
      </c>
      <c r="AC6063">
        <v>5.3673999999999698</v>
      </c>
      <c r="AD6063">
        <v>-1.1146302411169999</v>
      </c>
      <c r="AE6063">
        <v>-2.2010399999999901</v>
      </c>
      <c r="AF6063">
        <v>-2.23910290522584</v>
      </c>
      <c r="AG6063">
        <v>-1.1146302411169999</v>
      </c>
      <c r="AH6063">
        <v>5.1270168294660303</v>
      </c>
      <c r="AI6063">
        <v>101.267624788367</v>
      </c>
      <c r="AJ6063">
        <v>113.592157510986</v>
      </c>
      <c r="AK6063">
        <v>5.7045844690241303</v>
      </c>
      <c r="AL6063">
        <v>87.934615193184698</v>
      </c>
      <c r="AM6063">
        <v>102.74878516164399</v>
      </c>
      <c r="AN6063">
        <v>1.00000003568596</v>
      </c>
    </row>
    <row r="6064" spans="1:40" x14ac:dyDescent="0.25">
      <c r="A6064" t="str">
        <f>"20190312151146171"</f>
        <v>20190312151146171</v>
      </c>
      <c r="B6064" t="str">
        <f>"1552374706167100"</f>
        <v>1552374706167100</v>
      </c>
      <c r="C6064" t="s">
        <v>40</v>
      </c>
      <c r="D6064">
        <v>5.0142230000000003</v>
      </c>
      <c r="E6064">
        <v>0.44315929999999998</v>
      </c>
      <c r="F6064" t="s">
        <v>85</v>
      </c>
      <c r="G6064">
        <v>-285.33839999999998</v>
      </c>
      <c r="H6064" s="1">
        <v>-4.3116929999999998E-6</v>
      </c>
      <c r="I6064">
        <v>-56.617240000000002</v>
      </c>
      <c r="J6064">
        <v>-290.7303</v>
      </c>
      <c r="K6064">
        <v>1.1146419999999999</v>
      </c>
      <c r="L6064">
        <v>-54.44894</v>
      </c>
      <c r="M6064">
        <v>0.70137349999999998</v>
      </c>
      <c r="N6064">
        <v>0</v>
      </c>
      <c r="O6064">
        <v>-0.71269890000000002</v>
      </c>
      <c r="P6064">
        <v>0.8406093</v>
      </c>
      <c r="Q6064">
        <v>2.7151580000000002E-2</v>
      </c>
      <c r="R6064">
        <v>-0.54096119999999903</v>
      </c>
      <c r="S6064">
        <v>2.8308110000000002</v>
      </c>
      <c r="T6064">
        <v>-0.56862279999999998</v>
      </c>
      <c r="U6064">
        <v>-1.1825870000000001</v>
      </c>
      <c r="V6064">
        <v>-0.22011790000000001</v>
      </c>
      <c r="W6064">
        <v>3.6037569999999998E-2</v>
      </c>
      <c r="X6064">
        <v>0.97480739999999999</v>
      </c>
      <c r="Y6064">
        <v>-0.37209360000000002</v>
      </c>
      <c r="Z6064">
        <v>0.1554247</v>
      </c>
      <c r="AA6064">
        <v>0.91508990000000001</v>
      </c>
      <c r="AB6064">
        <v>22</v>
      </c>
      <c r="AC6064">
        <v>5.3919000000000201</v>
      </c>
      <c r="AD6064">
        <v>-1.1146463116930001</v>
      </c>
      <c r="AE6064">
        <v>-2.1682999999999999</v>
      </c>
      <c r="AF6064">
        <v>-2.2397764864013698</v>
      </c>
      <c r="AG6064">
        <v>-1.1146463116930001</v>
      </c>
      <c r="AH6064">
        <v>5.1384165877823298</v>
      </c>
      <c r="AI6064">
        <v>101.246787801615</v>
      </c>
      <c r="AJ6064">
        <v>113.551831440401</v>
      </c>
      <c r="AK6064">
        <v>5.7150993113684301</v>
      </c>
      <c r="AL6064">
        <v>87.934752210918504</v>
      </c>
      <c r="AM6064">
        <v>102.72436127792</v>
      </c>
      <c r="AN6064">
        <v>1.00000003172333</v>
      </c>
    </row>
    <row r="6065" spans="1:40" x14ac:dyDescent="0.25">
      <c r="A6065" t="str">
        <f>"20190312151146194"</f>
        <v>20190312151146194</v>
      </c>
      <c r="B6065" t="str">
        <f>"1552374706187592"</f>
        <v>1552374706187592</v>
      </c>
      <c r="C6065" t="s">
        <v>40</v>
      </c>
      <c r="D6065">
        <v>5.0090529999999998</v>
      </c>
      <c r="E6065">
        <v>0.44328230000000002</v>
      </c>
      <c r="F6065" t="s">
        <v>85</v>
      </c>
      <c r="G6065">
        <v>-284.57799999999997</v>
      </c>
      <c r="H6065" s="1">
        <v>-4.5880890000000001E-6</v>
      </c>
      <c r="I6065">
        <v>-57.134369999999997</v>
      </c>
      <c r="J6065">
        <v>-290.56119999999999</v>
      </c>
      <c r="K6065">
        <v>1.1146579999999999</v>
      </c>
      <c r="L6065">
        <v>-54.607729999999997</v>
      </c>
      <c r="M6065">
        <v>0.70708789999999999</v>
      </c>
      <c r="N6065">
        <v>0</v>
      </c>
      <c r="O6065">
        <v>-0.70703009999999999</v>
      </c>
      <c r="P6065">
        <v>0.84456209999999898</v>
      </c>
      <c r="Q6065">
        <v>2.7152579999999999E-2</v>
      </c>
      <c r="R6065">
        <v>-0.5347691</v>
      </c>
      <c r="S6065">
        <v>2.7990110000000001</v>
      </c>
      <c r="T6065">
        <v>-0.50711200000000001</v>
      </c>
      <c r="U6065">
        <v>-1.221741</v>
      </c>
      <c r="V6065">
        <v>-0.2194364</v>
      </c>
      <c r="W6065">
        <v>3.6035669999999999E-2</v>
      </c>
      <c r="X6065">
        <v>0.97496110000000002</v>
      </c>
      <c r="Y6065">
        <v>-0.35322540000000002</v>
      </c>
      <c r="Z6065">
        <v>0.13757220000000001</v>
      </c>
      <c r="AA6065">
        <v>0.92536790000000002</v>
      </c>
      <c r="AB6065">
        <v>22</v>
      </c>
      <c r="AC6065">
        <v>5.9832000000000098</v>
      </c>
      <c r="AD6065">
        <v>-1.114662588089</v>
      </c>
      <c r="AE6065">
        <v>-2.5266399999999898</v>
      </c>
      <c r="AF6065">
        <v>-2.3739861754418699</v>
      </c>
      <c r="AG6065">
        <v>-1.114662588089</v>
      </c>
      <c r="AH6065">
        <v>5.8452944745417801</v>
      </c>
      <c r="AI6065">
        <v>100.019538918782</v>
      </c>
      <c r="AJ6065">
        <v>112.10385564004</v>
      </c>
      <c r="AK6065">
        <v>6.4066957583908302</v>
      </c>
      <c r="AL6065">
        <v>87.934861129420199</v>
      </c>
      <c r="AM6065">
        <v>102.684307447314</v>
      </c>
      <c r="AN6065">
        <v>1.0000000248352501</v>
      </c>
    </row>
    <row r="6066" spans="1:40" x14ac:dyDescent="0.25">
      <c r="A6066" t="str">
        <f>"20190312151146216"</f>
        <v>20190312151146216</v>
      </c>
      <c r="B6066" t="str">
        <f>"1552374706207667"</f>
        <v>1552374706207667</v>
      </c>
      <c r="C6066" t="s">
        <v>40</v>
      </c>
      <c r="D6066">
        <v>5.0058769999999999</v>
      </c>
      <c r="E6066">
        <v>0.44381660000000001</v>
      </c>
      <c r="F6066" t="s">
        <v>85</v>
      </c>
      <c r="G6066">
        <v>-284.39510000000001</v>
      </c>
      <c r="H6066" s="1">
        <v>-4.6531530000000004E-6</v>
      </c>
      <c r="I6066">
        <v>-57.247599999999998</v>
      </c>
      <c r="J6066">
        <v>-290.40300000000002</v>
      </c>
      <c r="K6066">
        <v>1.114676</v>
      </c>
      <c r="L6066">
        <v>-54.753970000000002</v>
      </c>
      <c r="M6066">
        <v>0.71236940000000004</v>
      </c>
      <c r="N6066">
        <v>0</v>
      </c>
      <c r="O6066">
        <v>-0.70170840000000001</v>
      </c>
      <c r="P6066">
        <v>0.8482634</v>
      </c>
      <c r="Q6066">
        <v>2.7160940000000001E-2</v>
      </c>
      <c r="R6066">
        <v>-0.52887799999999996</v>
      </c>
      <c r="S6066">
        <v>2.8073730000000001</v>
      </c>
      <c r="T6066">
        <v>-0.50749440000000001</v>
      </c>
      <c r="U6066">
        <v>-1.2019040000000001</v>
      </c>
      <c r="V6066">
        <v>-0.21891330000000001</v>
      </c>
      <c r="W6066">
        <v>3.6038529999999999E-2</v>
      </c>
      <c r="X6066">
        <v>0.97507849999999996</v>
      </c>
      <c r="Y6066">
        <v>-0.35279470000000002</v>
      </c>
      <c r="Z6066">
        <v>0.1369446</v>
      </c>
      <c r="AA6066">
        <v>0.92562520000000004</v>
      </c>
      <c r="AB6066">
        <v>22</v>
      </c>
      <c r="AC6066">
        <v>6.0079000000000002</v>
      </c>
      <c r="AD6066">
        <v>-1.114680653153</v>
      </c>
      <c r="AE6066">
        <v>-2.49363</v>
      </c>
      <c r="AF6066">
        <v>-2.36997917337384</v>
      </c>
      <c r="AG6066">
        <v>-1.114680653153</v>
      </c>
      <c r="AH6066">
        <v>5.85803298252321</v>
      </c>
      <c r="AI6066">
        <v>100.00369640434199</v>
      </c>
      <c r="AJ6066">
        <v>112.02673482409401</v>
      </c>
      <c r="AK6066">
        <v>6.4168422658710504</v>
      </c>
      <c r="AL6066">
        <v>87.934696991746193</v>
      </c>
      <c r="AM6066">
        <v>102.653570512554</v>
      </c>
      <c r="AN6066">
        <v>0.99999994486184896</v>
      </c>
    </row>
    <row r="6067" spans="1:40" x14ac:dyDescent="0.25">
      <c r="A6067" t="str">
        <f>"20190312151146238"</f>
        <v>20190312151146238</v>
      </c>
      <c r="B6067" t="str">
        <f>"1552374706227179"</f>
        <v>1552374706227179</v>
      </c>
      <c r="C6067" t="s">
        <v>40</v>
      </c>
      <c r="D6067">
        <v>5.0183</v>
      </c>
      <c r="E6067">
        <v>0.44396659999999999</v>
      </c>
      <c r="F6067" t="s">
        <v>85</v>
      </c>
      <c r="G6067">
        <v>-284.24189999999999</v>
      </c>
      <c r="H6067" s="1">
        <v>-4.7060380000000001E-6</v>
      </c>
      <c r="I6067">
        <v>-57.351430000000001</v>
      </c>
      <c r="J6067">
        <v>-290.24299999999999</v>
      </c>
      <c r="K6067">
        <v>1.114695</v>
      </c>
      <c r="L6067">
        <v>-54.8996</v>
      </c>
      <c r="M6067">
        <v>0.71764740000000005</v>
      </c>
      <c r="N6067">
        <v>0</v>
      </c>
      <c r="O6067">
        <v>-0.69630959999999997</v>
      </c>
      <c r="P6067">
        <v>0.85205509999999995</v>
      </c>
      <c r="Q6067">
        <v>2.698704E-2</v>
      </c>
      <c r="R6067">
        <v>-0.52275629999999995</v>
      </c>
      <c r="S6067">
        <v>2.8134459999999999</v>
      </c>
      <c r="T6067">
        <v>-0.50901770000000002</v>
      </c>
      <c r="U6067">
        <v>-1.1861269999999999</v>
      </c>
      <c r="V6067">
        <v>-0.2185753</v>
      </c>
      <c r="W6067">
        <v>3.5857920000000001E-2</v>
      </c>
      <c r="X6067">
        <v>0.97516099999999994</v>
      </c>
      <c r="Y6067">
        <v>-0.3508714</v>
      </c>
      <c r="Z6067">
        <v>0.13652149999999999</v>
      </c>
      <c r="AA6067">
        <v>0.92641839999999998</v>
      </c>
      <c r="AB6067">
        <v>22</v>
      </c>
      <c r="AC6067">
        <v>6.0011000000000001</v>
      </c>
      <c r="AD6067">
        <v>-1.1146997060379999</v>
      </c>
      <c r="AE6067">
        <v>-2.4518300000000002</v>
      </c>
      <c r="AF6067">
        <v>-2.3497615330178299</v>
      </c>
      <c r="AG6067">
        <v>-1.1146997060379999</v>
      </c>
      <c r="AH6067">
        <v>5.8415929670813602</v>
      </c>
      <c r="AI6067">
        <v>100.03936844384801</v>
      </c>
      <c r="AJ6067">
        <v>111.912294832481</v>
      </c>
      <c r="AK6067">
        <v>6.3943837146159703</v>
      </c>
      <c r="AL6067">
        <v>87.945051915376595</v>
      </c>
      <c r="AM6067">
        <v>102.63362661112799</v>
      </c>
      <c r="AN6067">
        <v>0.99999996405890701</v>
      </c>
    </row>
    <row r="6068" spans="1:40" x14ac:dyDescent="0.25">
      <c r="A6068" t="str">
        <f>"20190312151146261"</f>
        <v>20190312151146261</v>
      </c>
      <c r="B6068" t="str">
        <f>"1552374706257435"</f>
        <v>1552374706257435</v>
      </c>
      <c r="C6068" t="s">
        <v>40</v>
      </c>
      <c r="D6068">
        <v>5.0567609999999998</v>
      </c>
      <c r="E6068">
        <v>0.44458550000000002</v>
      </c>
      <c r="F6068" t="s">
        <v>85</v>
      </c>
      <c r="G6068">
        <v>-284.06310000000002</v>
      </c>
      <c r="H6068" s="1">
        <v>-4.7707750000000001E-6</v>
      </c>
      <c r="I6068">
        <v>-57.455640000000002</v>
      </c>
      <c r="J6068">
        <v>-290.07600000000002</v>
      </c>
      <c r="K6068">
        <v>1.1147100000000001</v>
      </c>
      <c r="L6068">
        <v>-55.048949999999998</v>
      </c>
      <c r="M6068">
        <v>0.72308809999999901</v>
      </c>
      <c r="N6068">
        <v>0</v>
      </c>
      <c r="O6068">
        <v>-0.69065769999999904</v>
      </c>
      <c r="P6068">
        <v>0.85599459999999905</v>
      </c>
      <c r="Q6068">
        <v>2.6269239999999999E-2</v>
      </c>
      <c r="R6068">
        <v>-0.51631689999999997</v>
      </c>
      <c r="S6068">
        <v>2.8211360000000001</v>
      </c>
      <c r="T6068">
        <v>-0.5088625</v>
      </c>
      <c r="U6068">
        <v>-1.1668400000000001</v>
      </c>
      <c r="V6068">
        <v>-0.2182866</v>
      </c>
      <c r="W6068">
        <v>3.5132629999999998E-2</v>
      </c>
      <c r="X6068">
        <v>0.97525209999999996</v>
      </c>
      <c r="Y6068">
        <v>-0.34992030000000002</v>
      </c>
      <c r="Z6068">
        <v>0.1356694</v>
      </c>
      <c r="AA6068">
        <v>0.92690320000000004</v>
      </c>
      <c r="AB6068">
        <v>22</v>
      </c>
      <c r="AC6068">
        <v>6.0128999999999397</v>
      </c>
      <c r="AD6068">
        <v>-1.114714770775</v>
      </c>
      <c r="AE6068">
        <v>-2.4066900000000002</v>
      </c>
      <c r="AF6068">
        <v>-2.34335373034786</v>
      </c>
      <c r="AG6068">
        <v>-1.114714770775</v>
      </c>
      <c r="AH6068">
        <v>5.8375388263712704</v>
      </c>
      <c r="AI6068">
        <v>100.04911850284699</v>
      </c>
      <c r="AJ6068">
        <v>111.87192636540399</v>
      </c>
      <c r="AK6068">
        <v>6.3883296154089697</v>
      </c>
      <c r="AL6068">
        <v>87.986634249391798</v>
      </c>
      <c r="AM6068">
        <v>102.616333512148</v>
      </c>
      <c r="AN6068">
        <v>0.99999999999234301</v>
      </c>
    </row>
    <row r="6069" spans="1:40" x14ac:dyDescent="0.25">
      <c r="A6069" t="str">
        <f>"20190312151146283"</f>
        <v>20190312151146283</v>
      </c>
      <c r="B6069" t="str">
        <f>"1552374706276955"</f>
        <v>1552374706276955</v>
      </c>
      <c r="C6069" t="s">
        <v>40</v>
      </c>
      <c r="D6069">
        <v>5.1633180000000003</v>
      </c>
      <c r="E6069">
        <v>0.44458550000000002</v>
      </c>
      <c r="F6069" t="s">
        <v>85</v>
      </c>
      <c r="G6069">
        <v>-283.858</v>
      </c>
      <c r="H6069" s="1">
        <v>-4.8445430000000001E-6</v>
      </c>
      <c r="I6069">
        <v>-57.5779</v>
      </c>
      <c r="J6069">
        <v>-289.90839999999997</v>
      </c>
      <c r="K6069">
        <v>1.1147309999999999</v>
      </c>
      <c r="L6069">
        <v>-55.196620000000003</v>
      </c>
      <c r="M6069">
        <v>0.72848299999999999</v>
      </c>
      <c r="N6069">
        <v>0</v>
      </c>
      <c r="O6069">
        <v>-0.6849653</v>
      </c>
      <c r="P6069">
        <v>0.86005929999999997</v>
      </c>
      <c r="Q6069">
        <v>2.5760950000000001E-2</v>
      </c>
      <c r="R6069">
        <v>-0.50954379999999999</v>
      </c>
      <c r="S6069">
        <v>2.8267820000000001</v>
      </c>
      <c r="T6069">
        <v>-0.50676199999999905</v>
      </c>
      <c r="U6069">
        <v>-1.149689</v>
      </c>
      <c r="V6069">
        <v>-0.2183426</v>
      </c>
      <c r="W6069">
        <v>3.4614150000000003E-2</v>
      </c>
      <c r="X6069">
        <v>0.97525810000000002</v>
      </c>
      <c r="Y6069">
        <v>-0.34822819999999999</v>
      </c>
      <c r="Z6069">
        <v>0.13429360000000001</v>
      </c>
      <c r="AA6069">
        <v>0.92774049999999997</v>
      </c>
      <c r="AB6069">
        <v>22</v>
      </c>
      <c r="AC6069">
        <v>6.0503999999999598</v>
      </c>
      <c r="AD6069">
        <v>-1.114735844543</v>
      </c>
      <c r="AE6069">
        <v>-2.3812799999999998</v>
      </c>
      <c r="AF6069">
        <v>-2.3409492776819598</v>
      </c>
      <c r="AG6069">
        <v>-1.114735844543</v>
      </c>
      <c r="AH6069">
        <v>5.8666812257611296</v>
      </c>
      <c r="AI6069">
        <v>100.008524240529</v>
      </c>
      <c r="AJ6069">
        <v>111.753208264253</v>
      </c>
      <c r="AK6069">
        <v>6.4140960492096504</v>
      </c>
      <c r="AL6069">
        <v>88.016359037990597</v>
      </c>
      <c r="AM6069">
        <v>102.6193913482</v>
      </c>
      <c r="AN6069">
        <v>0.99999999598529599</v>
      </c>
    </row>
    <row r="6070" spans="1:40" x14ac:dyDescent="0.25">
      <c r="A6070" t="str">
        <f>"20190312151146306"</f>
        <v>20190312151146306</v>
      </c>
      <c r="B6070" t="str">
        <f>"1552374706297451"</f>
        <v>1552374706297451</v>
      </c>
      <c r="C6070" t="s">
        <v>40</v>
      </c>
      <c r="D6070">
        <v>5.1500760000000003</v>
      </c>
      <c r="E6070">
        <v>0.45397959999999898</v>
      </c>
      <c r="F6070" t="s">
        <v>85</v>
      </c>
      <c r="G6070">
        <v>-283.69189999999998</v>
      </c>
      <c r="H6070" s="1">
        <v>-4.9058230000000001E-6</v>
      </c>
      <c r="I6070">
        <v>-57.668340000000001</v>
      </c>
      <c r="J6070">
        <v>-289.74090000000001</v>
      </c>
      <c r="K6070">
        <v>1.114749</v>
      </c>
      <c r="L6070">
        <v>-55.341830000000002</v>
      </c>
      <c r="M6070">
        <v>0.7338074</v>
      </c>
      <c r="N6070">
        <v>0</v>
      </c>
      <c r="O6070">
        <v>-0.67925780000000002</v>
      </c>
      <c r="P6070">
        <v>0.86409380000000002</v>
      </c>
      <c r="Q6070">
        <v>2.5416810000000001E-2</v>
      </c>
      <c r="R6070">
        <v>-0.50268859999999904</v>
      </c>
      <c r="S6070">
        <v>2.8354490000000001</v>
      </c>
      <c r="T6070">
        <v>-0.50844469999999997</v>
      </c>
      <c r="U6070">
        <v>-1.1273799999999901</v>
      </c>
      <c r="V6070">
        <v>-0.21848899999999999</v>
      </c>
      <c r="W6070">
        <v>3.4259589999999999E-2</v>
      </c>
      <c r="X6070">
        <v>0.97523780000000004</v>
      </c>
      <c r="Y6070">
        <v>-0.34819</v>
      </c>
      <c r="Z6070">
        <v>0.13396449999999999</v>
      </c>
      <c r="AA6070">
        <v>0.92780240000000003</v>
      </c>
      <c r="AB6070">
        <v>22</v>
      </c>
      <c r="AC6070">
        <v>6.0490000000000297</v>
      </c>
      <c r="AD6070">
        <v>-1.114753905823</v>
      </c>
      <c r="AE6070">
        <v>-2.3265099999999901</v>
      </c>
      <c r="AF6070">
        <v>-2.3327671463752702</v>
      </c>
      <c r="AG6070">
        <v>-1.114753905823</v>
      </c>
      <c r="AH6070">
        <v>5.8465369564622902</v>
      </c>
      <c r="AI6070">
        <v>100.04255075281699</v>
      </c>
      <c r="AJ6070">
        <v>111.751990254162</v>
      </c>
      <c r="AK6070">
        <v>6.3926890439810098</v>
      </c>
      <c r="AL6070">
        <v>88.036685824457095</v>
      </c>
      <c r="AM6070">
        <v>102.627835882946</v>
      </c>
      <c r="AN6070">
        <v>0.99999996458840301</v>
      </c>
    </row>
    <row r="6071" spans="1:40" x14ac:dyDescent="0.25">
      <c r="A6071" t="str">
        <f>"20190312151146328"</f>
        <v>20190312151146328</v>
      </c>
      <c r="B6071" t="str">
        <f>"1552374706316971"</f>
        <v>1552374706316971</v>
      </c>
      <c r="C6071" t="s">
        <v>40</v>
      </c>
      <c r="D6071">
        <v>5.0456260000000004</v>
      </c>
      <c r="E6071">
        <v>0.45206800000000003</v>
      </c>
      <c r="F6071" t="s">
        <v>85</v>
      </c>
      <c r="G6071">
        <v>-282.4708</v>
      </c>
      <c r="H6071" s="1">
        <v>-5.3471760000000004E-6</v>
      </c>
      <c r="I6071">
        <v>-58.384360000000001</v>
      </c>
      <c r="J6071">
        <v>-289.5711</v>
      </c>
      <c r="K6071">
        <v>1.114762</v>
      </c>
      <c r="L6071">
        <v>-55.486789999999999</v>
      </c>
      <c r="M6071">
        <v>0.73913999999999902</v>
      </c>
      <c r="N6071">
        <v>0</v>
      </c>
      <c r="O6071">
        <v>-0.67345140000000003</v>
      </c>
      <c r="P6071">
        <v>0.86816879999999996</v>
      </c>
      <c r="Q6071">
        <v>2.563555E-2</v>
      </c>
      <c r="R6071">
        <v>-0.49560650000000001</v>
      </c>
      <c r="S6071">
        <v>2.8022459999999998</v>
      </c>
      <c r="T6071">
        <v>-0.42967699999999998</v>
      </c>
      <c r="U6071">
        <v>-1.1727289999999999</v>
      </c>
      <c r="V6071">
        <v>-0.21877440000000001</v>
      </c>
      <c r="W6071">
        <v>3.446689E-2</v>
      </c>
      <c r="X6071">
        <v>0.97516659999999999</v>
      </c>
      <c r="Y6071">
        <v>-0.32755519999999999</v>
      </c>
      <c r="Z6071">
        <v>0.1121417</v>
      </c>
      <c r="AA6071">
        <v>0.93815340000000003</v>
      </c>
      <c r="AB6071">
        <v>22</v>
      </c>
      <c r="AC6071">
        <v>7.1002999999999998</v>
      </c>
      <c r="AD6071">
        <v>-1.114767347176</v>
      </c>
      <c r="AE6071">
        <v>-2.89757</v>
      </c>
      <c r="AF6071">
        <v>-2.5855410997714601</v>
      </c>
      <c r="AG6071">
        <v>-1.114767347176</v>
      </c>
      <c r="AH6071">
        <v>7.0509823807774001</v>
      </c>
      <c r="AI6071">
        <v>98.443109704005906</v>
      </c>
      <c r="AJ6071">
        <v>110.137599142089</v>
      </c>
      <c r="AK6071">
        <v>7.5923699561448297</v>
      </c>
      <c r="AL6071">
        <v>88.0248015611878</v>
      </c>
      <c r="AM6071">
        <v>102.644694405862</v>
      </c>
      <c r="AN6071">
        <v>1.00000005117859</v>
      </c>
    </row>
    <row r="6072" spans="1:40" x14ac:dyDescent="0.25">
      <c r="A6072" t="str">
        <f>"20190312151146351"</f>
        <v>20190312151146351</v>
      </c>
      <c r="B6072" t="str">
        <f>"1552374706347228"</f>
        <v>1552374706347228</v>
      </c>
      <c r="C6072" t="s">
        <v>40</v>
      </c>
      <c r="D6072">
        <v>5.2344039999999996</v>
      </c>
      <c r="E6072">
        <v>0.45273550000000001</v>
      </c>
      <c r="F6072" t="s">
        <v>85</v>
      </c>
      <c r="G6072">
        <v>-282.34980000000002</v>
      </c>
      <c r="H6072" s="1">
        <v>-5.4011580000000002E-6</v>
      </c>
      <c r="I6072">
        <v>-58.397799999999997</v>
      </c>
      <c r="J6072">
        <v>-289.39940000000001</v>
      </c>
      <c r="K6072">
        <v>1.114781</v>
      </c>
      <c r="L6072">
        <v>-55.631010000000003</v>
      </c>
      <c r="M6072">
        <v>0.7444596</v>
      </c>
      <c r="N6072">
        <v>0</v>
      </c>
      <c r="O6072">
        <v>-0.66756610000000005</v>
      </c>
      <c r="P6072">
        <v>0.87243419999999905</v>
      </c>
      <c r="Q6072">
        <v>2.586256E-2</v>
      </c>
      <c r="R6072">
        <v>-0.48804690000000001</v>
      </c>
      <c r="S6072">
        <v>2.81955</v>
      </c>
      <c r="T6072">
        <v>-0.43525760000000002</v>
      </c>
      <c r="U6072">
        <v>-1.1365970000000001</v>
      </c>
      <c r="V6072">
        <v>-0.2195069</v>
      </c>
      <c r="W6072">
        <v>3.4676579999999999E-2</v>
      </c>
      <c r="X6072">
        <v>0.97499449999999999</v>
      </c>
      <c r="Y6072">
        <v>-0.33222639999999998</v>
      </c>
      <c r="Z6072">
        <v>0.1130617</v>
      </c>
      <c r="AA6072">
        <v>0.93639879999999998</v>
      </c>
      <c r="AB6072">
        <v>22</v>
      </c>
      <c r="AC6072">
        <v>7.0495999999999901</v>
      </c>
      <c r="AD6072">
        <v>-1.114786401158</v>
      </c>
      <c r="AE6072">
        <v>-2.7667899999999999</v>
      </c>
      <c r="AF6072">
        <v>-2.5903597957986602</v>
      </c>
      <c r="AG6072">
        <v>-1.114786401158</v>
      </c>
      <c r="AH6072">
        <v>6.9451450613371097</v>
      </c>
      <c r="AI6072">
        <v>98.552784845960701</v>
      </c>
      <c r="AJ6072">
        <v>110.45421676968699</v>
      </c>
      <c r="AK6072">
        <v>7.4958490189512297</v>
      </c>
      <c r="AL6072">
        <v>88.012779941045494</v>
      </c>
      <c r="AM6072">
        <v>102.68783013305401</v>
      </c>
      <c r="AN6072">
        <v>1.0000000096891699</v>
      </c>
    </row>
    <row r="6073" spans="1:40" x14ac:dyDescent="0.25">
      <c r="A6073" t="str">
        <f>"20190312151146373"</f>
        <v>20190312151146373</v>
      </c>
      <c r="B6073" t="str">
        <f>"1552374706367723"</f>
        <v>1552374706367723</v>
      </c>
      <c r="C6073" t="s">
        <v>40</v>
      </c>
      <c r="D6073">
        <v>5.0481920000000002</v>
      </c>
      <c r="E6073">
        <v>0.45363759999999997</v>
      </c>
      <c r="F6073" t="s">
        <v>85</v>
      </c>
      <c r="G6073">
        <v>-282.15379999999999</v>
      </c>
      <c r="H6073" s="1">
        <v>-5.4752989999999997E-6</v>
      </c>
      <c r="I6073">
        <v>-58.494039999999998</v>
      </c>
      <c r="J6073">
        <v>-289.22789999999998</v>
      </c>
      <c r="K6073">
        <v>1.1147959999999999</v>
      </c>
      <c r="L6073">
        <v>-55.772770000000001</v>
      </c>
      <c r="M6073">
        <v>0.74970040000000004</v>
      </c>
      <c r="N6073">
        <v>0</v>
      </c>
      <c r="O6073">
        <v>-0.66167489999999995</v>
      </c>
      <c r="P6073">
        <v>0.87670079999999995</v>
      </c>
      <c r="Q6073">
        <v>2.598259E-2</v>
      </c>
      <c r="R6073">
        <v>-0.48033409999999899</v>
      </c>
      <c r="S6073">
        <v>2.8266909999999998</v>
      </c>
      <c r="T6073">
        <v>-0.43490659999999998</v>
      </c>
      <c r="U6073">
        <v>-1.116943</v>
      </c>
      <c r="V6073">
        <v>-0.2204178</v>
      </c>
      <c r="W6073">
        <v>3.4778080000000003E-2</v>
      </c>
      <c r="X6073">
        <v>0.97478540000000002</v>
      </c>
      <c r="Y6073">
        <v>-0.33130710000000002</v>
      </c>
      <c r="Z6073">
        <v>0.1122365</v>
      </c>
      <c r="AA6073">
        <v>0.93682370000000004</v>
      </c>
      <c r="AB6073">
        <v>23</v>
      </c>
      <c r="AC6073">
        <v>7.0740999999999801</v>
      </c>
      <c r="AD6073">
        <v>-1.1148014752990001</v>
      </c>
      <c r="AE6073">
        <v>-2.7212700000000098</v>
      </c>
      <c r="AF6073">
        <v>-2.5848774078443699</v>
      </c>
      <c r="AG6073">
        <v>-1.1148014752990001</v>
      </c>
      <c r="AH6073">
        <v>6.9540949019800999</v>
      </c>
      <c r="AI6073">
        <v>98.545545178166904</v>
      </c>
      <c r="AJ6073">
        <v>110.390392288782</v>
      </c>
      <c r="AK6073">
        <v>7.5022536246556397</v>
      </c>
      <c r="AL6073">
        <v>88.006960987420598</v>
      </c>
      <c r="AM6073">
        <v>102.741410238008</v>
      </c>
      <c r="AN6073">
        <v>1.00000004872924</v>
      </c>
    </row>
    <row r="6074" spans="1:40" x14ac:dyDescent="0.25">
      <c r="A6074" t="str">
        <f>"20190312151146395"</f>
        <v>20190312151146395</v>
      </c>
      <c r="B6074" t="str">
        <f>"1552374706387247"</f>
        <v>1552374706387247</v>
      </c>
      <c r="C6074" t="s">
        <v>40</v>
      </c>
      <c r="D6074">
        <v>5.0421269999999998</v>
      </c>
      <c r="E6074">
        <v>0.45424629999999999</v>
      </c>
      <c r="F6074" t="s">
        <v>85</v>
      </c>
      <c r="G6074">
        <v>-281.82830000000001</v>
      </c>
      <c r="H6074" s="1">
        <v>-5.6004760000000002E-6</v>
      </c>
      <c r="I6074">
        <v>-58.642650000000003</v>
      </c>
      <c r="J6074">
        <v>-289.06029999999998</v>
      </c>
      <c r="K6074">
        <v>1.1148070000000001</v>
      </c>
      <c r="L6074">
        <v>-55.909059999999997</v>
      </c>
      <c r="M6074">
        <v>0.75474719999999995</v>
      </c>
      <c r="N6074">
        <v>0</v>
      </c>
      <c r="O6074">
        <v>-0.65591250000000001</v>
      </c>
      <c r="P6074">
        <v>0.88084859999999898</v>
      </c>
      <c r="Q6074">
        <v>2.5404429999999999E-2</v>
      </c>
      <c r="R6074">
        <v>-0.47271619999999998</v>
      </c>
      <c r="S6074">
        <v>2.8326720000000001</v>
      </c>
      <c r="T6074">
        <v>-0.42676229999999998</v>
      </c>
      <c r="U6074">
        <v>-1.098633</v>
      </c>
      <c r="V6074">
        <v>-0.22140580000000001</v>
      </c>
      <c r="W6074">
        <v>3.4181919999999998E-2</v>
      </c>
      <c r="X6074">
        <v>0.97458250000000002</v>
      </c>
      <c r="Y6074">
        <v>-0.33038529999999999</v>
      </c>
      <c r="Z6074">
        <v>0.1094676</v>
      </c>
      <c r="AA6074">
        <v>0.93747659999999999</v>
      </c>
      <c r="AB6074">
        <v>23</v>
      </c>
      <c r="AC6074">
        <v>7.23199999999997</v>
      </c>
      <c r="AD6074">
        <v>-1.1148126004759999</v>
      </c>
      <c r="AE6074">
        <v>-2.73359</v>
      </c>
      <c r="AF6074">
        <v>-2.6259730449675902</v>
      </c>
      <c r="AG6074">
        <v>-1.1148126004759999</v>
      </c>
      <c r="AH6074">
        <v>7.1041125474183699</v>
      </c>
      <c r="AI6074">
        <v>98.373305161134397</v>
      </c>
      <c r="AJ6074">
        <v>110.28639187534201</v>
      </c>
      <c r="AK6074">
        <v>7.6555180525855704</v>
      </c>
      <c r="AL6074">
        <v>88.041138646812897</v>
      </c>
      <c r="AM6074">
        <v>102.799222284051</v>
      </c>
      <c r="AN6074">
        <v>0.99999999061738798</v>
      </c>
    </row>
    <row r="6075" spans="1:40" x14ac:dyDescent="0.25">
      <c r="A6075" t="str">
        <f>"20190312151146407"</f>
        <v>20190312151146407</v>
      </c>
      <c r="B6075" t="str">
        <f>"1552374706397004"</f>
        <v>1552374706397004</v>
      </c>
      <c r="C6075" t="s">
        <v>40</v>
      </c>
      <c r="D6075">
        <v>5.0224979999999997</v>
      </c>
      <c r="E6075">
        <v>0.45460479999999998</v>
      </c>
      <c r="F6075" t="s">
        <v>85</v>
      </c>
      <c r="G6075">
        <v>-281.6198</v>
      </c>
      <c r="H6075" s="1">
        <v>-5.6809439999999996E-6</v>
      </c>
      <c r="I6075">
        <v>-58.736260000000001</v>
      </c>
      <c r="J6075">
        <v>-288.96159999999998</v>
      </c>
      <c r="K6075">
        <v>1.1148119999999999</v>
      </c>
      <c r="L6075">
        <v>-55.988280000000003</v>
      </c>
      <c r="M6075">
        <v>0.75768570000000002</v>
      </c>
      <c r="N6075">
        <v>0</v>
      </c>
      <c r="O6075">
        <v>-0.65251579999999998</v>
      </c>
      <c r="P6075">
        <v>0.8831059</v>
      </c>
      <c r="Q6075">
        <v>2.5189039999999999E-2</v>
      </c>
      <c r="R6075">
        <v>-0.46849679999999999</v>
      </c>
      <c r="S6075">
        <v>2.8391419999999998</v>
      </c>
      <c r="T6075">
        <v>-0.42538730000000002</v>
      </c>
      <c r="U6075">
        <v>-1.0787960000000001</v>
      </c>
      <c r="V6075">
        <v>-0.22169269999999999</v>
      </c>
      <c r="W6075">
        <v>3.396031E-2</v>
      </c>
      <c r="X6075">
        <v>0.97452499999999997</v>
      </c>
      <c r="Y6075">
        <v>-0.33264179999999999</v>
      </c>
      <c r="Z6075">
        <v>0.108886999999999</v>
      </c>
      <c r="AA6075">
        <v>0.93674599999999997</v>
      </c>
      <c r="AB6075">
        <v>23</v>
      </c>
      <c r="AC6075">
        <v>7.3417999999999699</v>
      </c>
      <c r="AD6075">
        <v>-1.114817680944</v>
      </c>
      <c r="AE6075">
        <v>-2.7479799999999899</v>
      </c>
      <c r="AF6075">
        <v>-2.65502434569084</v>
      </c>
      <c r="AG6075">
        <v>-1.114817680944</v>
      </c>
      <c r="AH6075">
        <v>7.2105513236265502</v>
      </c>
      <c r="AI6075">
        <v>98.255226928137105</v>
      </c>
      <c r="AJ6075">
        <v>110.21440209828801</v>
      </c>
      <c r="AK6075">
        <v>7.7642786611899197</v>
      </c>
      <c r="AL6075">
        <v>88.0538432924604</v>
      </c>
      <c r="AM6075">
        <v>102.81599151690099</v>
      </c>
      <c r="AN6075">
        <v>0.99999996575679195</v>
      </c>
    </row>
    <row r="6076" spans="1:40" x14ac:dyDescent="0.25">
      <c r="A6076" t="str">
        <f>"20190312151146420"</f>
        <v>20190312151146420</v>
      </c>
      <c r="B6076" t="str">
        <f>"1552374706417499"</f>
        <v>1552374706417499</v>
      </c>
      <c r="C6076" t="s">
        <v>40</v>
      </c>
      <c r="D6076">
        <v>5.0610900000000001</v>
      </c>
      <c r="E6076">
        <v>0.45505630000000002</v>
      </c>
      <c r="F6076" t="s">
        <v>85</v>
      </c>
      <c r="G6076">
        <v>-281.49299999999999</v>
      </c>
      <c r="H6076" s="1">
        <v>-5.7297920000000004E-6</v>
      </c>
      <c r="I6076">
        <v>-58.793619999999997</v>
      </c>
      <c r="J6076">
        <v>-288.86160000000001</v>
      </c>
      <c r="K6076">
        <v>1.1148149999999999</v>
      </c>
      <c r="L6076">
        <v>-56.067959999999999</v>
      </c>
      <c r="M6076">
        <v>0.76063959999999997</v>
      </c>
      <c r="N6076">
        <v>0</v>
      </c>
      <c r="O6076">
        <v>-0.64906980000000003</v>
      </c>
      <c r="P6076">
        <v>0.88517179999999995</v>
      </c>
      <c r="Q6076">
        <v>2.514241E-2</v>
      </c>
      <c r="R6076">
        <v>-0.46458480000000002</v>
      </c>
      <c r="S6076">
        <v>2.842743</v>
      </c>
      <c r="T6076">
        <v>-0.42432690000000001</v>
      </c>
      <c r="U6076">
        <v>-1.06778</v>
      </c>
      <c r="V6076">
        <v>-0.22158249999999999</v>
      </c>
      <c r="W6076">
        <v>3.3914079999999999E-2</v>
      </c>
      <c r="X6076">
        <v>0.97455170000000002</v>
      </c>
      <c r="Y6076">
        <v>-0.33201039999999998</v>
      </c>
      <c r="Z6076">
        <v>0.108194899999999</v>
      </c>
      <c r="AA6076">
        <v>0.93705020000000006</v>
      </c>
      <c r="AB6076">
        <v>23</v>
      </c>
      <c r="AC6076">
        <v>7.3686000000000096</v>
      </c>
      <c r="AD6076">
        <v>-1.1148207297920001</v>
      </c>
      <c r="AE6076">
        <v>-2.7256599999999902</v>
      </c>
      <c r="AF6076">
        <v>-2.6561930838310599</v>
      </c>
      <c r="AG6076">
        <v>-1.1148207297920001</v>
      </c>
      <c r="AH6076">
        <v>7.2289405939691997</v>
      </c>
      <c r="AI6076">
        <v>98.236577035330399</v>
      </c>
      <c r="AJ6076">
        <v>110.175289527495</v>
      </c>
      <c r="AK6076">
        <v>7.78175873882644</v>
      </c>
      <c r="AL6076">
        <v>88.056493655197499</v>
      </c>
      <c r="AM6076">
        <v>102.809491739824</v>
      </c>
      <c r="AN6076">
        <v>0.99999999255069305</v>
      </c>
    </row>
    <row r="6077" spans="1:40" x14ac:dyDescent="0.25">
      <c r="A6077" t="str">
        <f>"20190312151146434"</f>
        <v>20190312151146434</v>
      </c>
      <c r="B6077" t="str">
        <f>"1552374706427260"</f>
        <v>1552374706427260</v>
      </c>
      <c r="C6077" t="s">
        <v>40</v>
      </c>
      <c r="D6077">
        <v>5.0321119999999997</v>
      </c>
      <c r="E6077">
        <v>0.4553335</v>
      </c>
      <c r="F6077" t="s">
        <v>85</v>
      </c>
      <c r="G6077">
        <v>-281.3664</v>
      </c>
      <c r="H6077" s="1">
        <v>-5.77772299999999E-6</v>
      </c>
      <c r="I6077">
        <v>-58.855719999999998</v>
      </c>
      <c r="J6077">
        <v>-288.75650000000002</v>
      </c>
      <c r="K6077">
        <v>1.1148199999999999</v>
      </c>
      <c r="L6077">
        <v>-56.150790000000001</v>
      </c>
      <c r="M6077">
        <v>0.76371509999999998</v>
      </c>
      <c r="N6077">
        <v>0</v>
      </c>
      <c r="O6077">
        <v>-0.64544860000000004</v>
      </c>
      <c r="P6077">
        <v>0.88734669999999904</v>
      </c>
      <c r="Q6077">
        <v>2.4867650000000002E-2</v>
      </c>
      <c r="R6077">
        <v>-0.46043190000000001</v>
      </c>
      <c r="S6077">
        <v>2.8456730000000001</v>
      </c>
      <c r="T6077">
        <v>-0.42325639999999998</v>
      </c>
      <c r="U6077">
        <v>-1.058411</v>
      </c>
      <c r="V6077">
        <v>-0.22152040000000001</v>
      </c>
      <c r="W6077">
        <v>3.363911E-2</v>
      </c>
      <c r="X6077">
        <v>0.97457530000000003</v>
      </c>
      <c r="Y6077">
        <v>-0.33063779999999998</v>
      </c>
      <c r="Z6077">
        <v>0.10743800000000001</v>
      </c>
      <c r="AA6077">
        <v>0.93762239999999997</v>
      </c>
      <c r="AB6077">
        <v>23</v>
      </c>
      <c r="AC6077">
        <v>7.3901000000000101</v>
      </c>
      <c r="AD6077">
        <v>-1.114825777723</v>
      </c>
      <c r="AE6077">
        <v>-2.7049299999999898</v>
      </c>
      <c r="AF6077">
        <v>-2.6511134023055001</v>
      </c>
      <c r="AG6077">
        <v>-1.114825777723</v>
      </c>
      <c r="AH6077">
        <v>7.2449307026632104</v>
      </c>
      <c r="AI6077">
        <v>98.222646504183302</v>
      </c>
      <c r="AJ6077">
        <v>110.098920778806</v>
      </c>
      <c r="AK6077">
        <v>7.7948867646009798</v>
      </c>
      <c r="AL6077">
        <v>88.072257181360698</v>
      </c>
      <c r="AM6077">
        <v>102.805720296196</v>
      </c>
      <c r="AN6077">
        <v>0.99999994635391898</v>
      </c>
    </row>
    <row r="6078" spans="1:40" x14ac:dyDescent="0.25">
      <c r="A6078" t="str">
        <f>"20190312151146445"</f>
        <v>20190312151146445</v>
      </c>
      <c r="B6078" t="str">
        <f>"1552374706437021"</f>
        <v>1552374706437021</v>
      </c>
      <c r="C6078" t="s">
        <v>40</v>
      </c>
      <c r="D6078">
        <v>4.9955819999999997</v>
      </c>
      <c r="E6078">
        <v>0.45563179999999998</v>
      </c>
      <c r="F6078" t="s">
        <v>85</v>
      </c>
      <c r="G6078">
        <v>-281.30900000000003</v>
      </c>
      <c r="H6078" s="1">
        <v>-5.7991570000000002E-6</v>
      </c>
      <c r="I6078">
        <v>-58.885570000000001</v>
      </c>
      <c r="J6078">
        <v>-288.6626</v>
      </c>
      <c r="K6078">
        <v>1.114824</v>
      </c>
      <c r="L6078">
        <v>-56.224060000000001</v>
      </c>
      <c r="M6078">
        <v>0.76643709999999998</v>
      </c>
      <c r="N6078">
        <v>0</v>
      </c>
      <c r="O6078">
        <v>-0.64221410000000001</v>
      </c>
      <c r="P6078">
        <v>0.88930039999999999</v>
      </c>
      <c r="Q6078">
        <v>2.4748559999999999E-2</v>
      </c>
      <c r="R6078">
        <v>-0.4566539</v>
      </c>
      <c r="S6078">
        <v>2.8498230000000002</v>
      </c>
      <c r="T6078">
        <v>-0.4265929</v>
      </c>
      <c r="U6078">
        <v>-1.046478</v>
      </c>
      <c r="V6078">
        <v>-0.22154589999999999</v>
      </c>
      <c r="W6078">
        <v>3.3518539999999999E-2</v>
      </c>
      <c r="X6078">
        <v>0.97457369999999999</v>
      </c>
      <c r="Y6078">
        <v>-0.33045469999999999</v>
      </c>
      <c r="Z6078">
        <v>0.1078877</v>
      </c>
      <c r="AA6078">
        <v>0.93763529999999995</v>
      </c>
      <c r="AB6078">
        <v>23</v>
      </c>
      <c r="AC6078">
        <v>7.3535999999999699</v>
      </c>
      <c r="AD6078">
        <v>-1.114829799157</v>
      </c>
      <c r="AE6078">
        <v>-2.6615099999999998</v>
      </c>
      <c r="AF6078">
        <v>-2.62945251531265</v>
      </c>
      <c r="AG6078">
        <v>-1.114829799157</v>
      </c>
      <c r="AH6078">
        <v>7.1995225116100103</v>
      </c>
      <c r="AI6078">
        <v>98.275665236162496</v>
      </c>
      <c r="AJ6078">
        <v>110.063505798045</v>
      </c>
      <c r="AK6078">
        <v>7.7453205489864496</v>
      </c>
      <c r="AL6078">
        <v>88.079169310892993</v>
      </c>
      <c r="AM6078">
        <v>102.80716612983601</v>
      </c>
      <c r="AN6078">
        <v>0.99999998753111496</v>
      </c>
    </row>
    <row r="6079" spans="1:40" x14ac:dyDescent="0.25">
      <c r="A6079" t="str">
        <f>"20190312151146459"</f>
        <v>20190312151146459</v>
      </c>
      <c r="B6079" t="str">
        <f>"1552374706447756"</f>
        <v>1552374706447756</v>
      </c>
      <c r="C6079" t="s">
        <v>40</v>
      </c>
      <c r="D6079">
        <v>4.9921939999999996</v>
      </c>
      <c r="E6079">
        <v>0.4559397</v>
      </c>
      <c r="F6079" t="s">
        <v>85</v>
      </c>
      <c r="G6079">
        <v>-281.25189999999998</v>
      </c>
      <c r="H6079" s="1">
        <v>-5.8203669999999999E-6</v>
      </c>
      <c r="I6079">
        <v>-58.915649999999999</v>
      </c>
      <c r="J6079">
        <v>-288.55880000000002</v>
      </c>
      <c r="K6079">
        <v>1.11483</v>
      </c>
      <c r="L6079">
        <v>-56.30453</v>
      </c>
      <c r="M6079">
        <v>0.76942189999999999</v>
      </c>
      <c r="N6079">
        <v>0</v>
      </c>
      <c r="O6079">
        <v>-0.6386347</v>
      </c>
      <c r="P6079">
        <v>0.89141559999999898</v>
      </c>
      <c r="Q6079">
        <v>2.448842E-2</v>
      </c>
      <c r="R6079">
        <v>-0.45252510000000001</v>
      </c>
      <c r="S6079">
        <v>2.8532410000000001</v>
      </c>
      <c r="T6079">
        <v>-0.4292318</v>
      </c>
      <c r="U6079">
        <v>-1.036316</v>
      </c>
      <c r="V6079">
        <v>-0.2215251</v>
      </c>
      <c r="W6079">
        <v>3.3258330000000003E-2</v>
      </c>
      <c r="X6079">
        <v>0.97458739999999999</v>
      </c>
      <c r="Y6079">
        <v>-0.32930900000000002</v>
      </c>
      <c r="Z6079">
        <v>0.1080595</v>
      </c>
      <c r="AA6079">
        <v>0.93801849999999998</v>
      </c>
      <c r="AB6079">
        <v>23</v>
      </c>
      <c r="AC6079">
        <v>7.3069000000000397</v>
      </c>
      <c r="AD6079">
        <v>-1.1148358203669999</v>
      </c>
      <c r="AE6079">
        <v>-2.6111199999999899</v>
      </c>
      <c r="AF6079">
        <v>-2.6038179310028</v>
      </c>
      <c r="AG6079">
        <v>-1.1148358203669999</v>
      </c>
      <c r="AH6079">
        <v>7.1426921906638796</v>
      </c>
      <c r="AI6079">
        <v>98.342440549186094</v>
      </c>
      <c r="AJ6079">
        <v>110.028969257832</v>
      </c>
      <c r="AK6079">
        <v>7.6837997406723098</v>
      </c>
      <c r="AL6079">
        <v>88.094086669419994</v>
      </c>
      <c r="AM6079">
        <v>102.805829286256</v>
      </c>
      <c r="AN6079">
        <v>1.0000000433415701</v>
      </c>
    </row>
    <row r="6080" spans="1:40" x14ac:dyDescent="0.25">
      <c r="A6080" t="str">
        <f>"20190312151146473"</f>
        <v>20190312151146473</v>
      </c>
      <c r="B6080" t="str">
        <f>"1552374706467279"</f>
        <v>1552374706467279</v>
      </c>
      <c r="C6080" t="s">
        <v>40</v>
      </c>
      <c r="D6080">
        <v>5.1327360000000004</v>
      </c>
      <c r="E6080">
        <v>0.45627699999999999</v>
      </c>
      <c r="F6080" t="s">
        <v>85</v>
      </c>
      <c r="G6080">
        <v>-281.21080000000001</v>
      </c>
      <c r="H6080" s="1">
        <v>-5.8348810000000004E-6</v>
      </c>
      <c r="I6080">
        <v>-58.941879999999998</v>
      </c>
      <c r="J6080">
        <v>-288.4468</v>
      </c>
      <c r="K6080">
        <v>1.1148340000000001</v>
      </c>
      <c r="L6080">
        <v>-56.39029</v>
      </c>
      <c r="M6080">
        <v>0.7726094</v>
      </c>
      <c r="N6080">
        <v>0</v>
      </c>
      <c r="O6080">
        <v>-0.63477479999999997</v>
      </c>
      <c r="P6080">
        <v>0.89359270000000002</v>
      </c>
      <c r="Q6080">
        <v>2.3918849999999998E-2</v>
      </c>
      <c r="R6080">
        <v>-0.44824069999999999</v>
      </c>
      <c r="S6080">
        <v>2.8568120000000001</v>
      </c>
      <c r="T6080">
        <v>-0.43343110000000001</v>
      </c>
      <c r="U6080">
        <v>-1.02536</v>
      </c>
      <c r="V6080">
        <v>-0.2213271</v>
      </c>
      <c r="W6080">
        <v>3.2691669999999999E-2</v>
      </c>
      <c r="X6080">
        <v>0.9746515</v>
      </c>
      <c r="Y6080">
        <v>-0.32802730000000002</v>
      </c>
      <c r="Z6080">
        <v>0.108571</v>
      </c>
      <c r="AA6080">
        <v>0.93840849999999998</v>
      </c>
      <c r="AB6080">
        <v>23</v>
      </c>
      <c r="AC6080">
        <v>7.23599999999999</v>
      </c>
      <c r="AD6080">
        <v>-1.114839834881</v>
      </c>
      <c r="AE6080">
        <v>-2.55159</v>
      </c>
      <c r="AF6080">
        <v>-2.5678142978625198</v>
      </c>
      <c r="AG6080">
        <v>-1.114839834881</v>
      </c>
      <c r="AH6080">
        <v>7.0616896606299902</v>
      </c>
      <c r="AI6080">
        <v>98.439245816458694</v>
      </c>
      <c r="AJ6080">
        <v>109.982584464217</v>
      </c>
      <c r="AK6080">
        <v>7.5963148294941796</v>
      </c>
      <c r="AL6080">
        <v>88.126571458063395</v>
      </c>
      <c r="AM6080">
        <v>102.79394650912501</v>
      </c>
      <c r="AN6080">
        <v>0.99999998846702398</v>
      </c>
    </row>
    <row r="6081" spans="1:40" x14ac:dyDescent="0.25">
      <c r="A6081" t="str">
        <f>"20190312151146495"</f>
        <v>20190312151146495</v>
      </c>
      <c r="B6081" t="str">
        <f>"1552374706487771"</f>
        <v>1552374706487771</v>
      </c>
      <c r="C6081" t="s">
        <v>40</v>
      </c>
      <c r="D6081">
        <v>4.9867429999999997</v>
      </c>
      <c r="E6081">
        <v>0.4636324</v>
      </c>
      <c r="F6081" t="s">
        <v>85</v>
      </c>
      <c r="G6081">
        <v>-281.17230000000001</v>
      </c>
      <c r="H6081" s="1">
        <v>-5.8478360000000003E-6</v>
      </c>
      <c r="I6081">
        <v>-58.969709999999999</v>
      </c>
      <c r="J6081">
        <v>-288.27080000000001</v>
      </c>
      <c r="K6081">
        <v>1.1148359999999999</v>
      </c>
      <c r="L6081">
        <v>-56.523409999999998</v>
      </c>
      <c r="M6081">
        <v>0.77755589999999997</v>
      </c>
      <c r="N6081">
        <v>0</v>
      </c>
      <c r="O6081">
        <v>-0.62870619999999999</v>
      </c>
      <c r="P6081">
        <v>0.89709819999999996</v>
      </c>
      <c r="Q6081">
        <v>2.3832309999999999E-2</v>
      </c>
      <c r="R6081">
        <v>-0.44118889999999999</v>
      </c>
      <c r="S6081">
        <v>2.8602289999999999</v>
      </c>
      <c r="T6081">
        <v>-0.43833879999999997</v>
      </c>
      <c r="U6081">
        <v>-1.0141910000000001</v>
      </c>
      <c r="V6081">
        <v>-0.2213733</v>
      </c>
      <c r="W6081">
        <v>3.2603510000000002E-2</v>
      </c>
      <c r="X6081">
        <v>0.97464399999999995</v>
      </c>
      <c r="Y6081">
        <v>-0.32413819999999999</v>
      </c>
      <c r="Z6081">
        <v>0.1088194</v>
      </c>
      <c r="AA6081">
        <v>0.93973019999999996</v>
      </c>
      <c r="AB6081">
        <v>23</v>
      </c>
      <c r="AC6081">
        <v>7.0984999999999996</v>
      </c>
      <c r="AD6081">
        <v>-1.114841847836</v>
      </c>
      <c r="AE6081">
        <v>-2.4462999999999999</v>
      </c>
      <c r="AF6081">
        <v>-2.5056661752589</v>
      </c>
      <c r="AG6081">
        <v>-1.114841847836</v>
      </c>
      <c r="AH6081">
        <v>6.9057101302258799</v>
      </c>
      <c r="AI6081">
        <v>98.629185902104993</v>
      </c>
      <c r="AJ6081">
        <v>109.94278441434101</v>
      </c>
      <c r="AK6081">
        <v>7.4303477529808299</v>
      </c>
      <c r="AL6081">
        <v>88.131625419747905</v>
      </c>
      <c r="AM6081">
        <v>102.79662443760201</v>
      </c>
      <c r="AN6081">
        <v>1.0000000267766</v>
      </c>
    </row>
    <row r="6082" spans="1:40" x14ac:dyDescent="0.25">
      <c r="A6082" t="str">
        <f>"20190312151146510"</f>
        <v>20190312151146510</v>
      </c>
      <c r="B6082" t="str">
        <f>"1552374706507292"</f>
        <v>1552374706507292</v>
      </c>
      <c r="C6082" t="s">
        <v>40</v>
      </c>
      <c r="D6082">
        <v>4.9764999999999997</v>
      </c>
      <c r="E6082">
        <v>0.46296579999999898</v>
      </c>
      <c r="F6082" t="s">
        <v>85</v>
      </c>
      <c r="G6082">
        <v>-281.7439</v>
      </c>
      <c r="H6082" s="1">
        <v>-5.5910999999999997E-6</v>
      </c>
      <c r="I6082">
        <v>-58.916310000000003</v>
      </c>
      <c r="J6082">
        <v>-288.15429999999998</v>
      </c>
      <c r="K6082">
        <v>1.1148389999999999</v>
      </c>
      <c r="L6082">
        <v>-56.610169999999997</v>
      </c>
      <c r="M6082">
        <v>0.78078380000000003</v>
      </c>
      <c r="N6082">
        <v>0</v>
      </c>
      <c r="O6082">
        <v>-0.62469269999999999</v>
      </c>
      <c r="P6082">
        <v>0.89942350000000004</v>
      </c>
      <c r="Q6082">
        <v>2.3781509999999999E-2</v>
      </c>
      <c r="R6082">
        <v>-0.43643090000000001</v>
      </c>
      <c r="S6082">
        <v>2.844147</v>
      </c>
      <c r="T6082">
        <v>-0.48580099999999998</v>
      </c>
      <c r="U6082">
        <v>-1.0427249999999999</v>
      </c>
      <c r="V6082">
        <v>-0.22151589999999999</v>
      </c>
      <c r="W6082">
        <v>3.2550610000000001E-2</v>
      </c>
      <c r="X6082">
        <v>0.97461339999999996</v>
      </c>
      <c r="Y6082">
        <v>-0.30745400000000001</v>
      </c>
      <c r="Z6082">
        <v>0.1189612</v>
      </c>
      <c r="AA6082">
        <v>0.94409759999999998</v>
      </c>
      <c r="AB6082">
        <v>23</v>
      </c>
      <c r="AC6082">
        <v>6.4103999999999797</v>
      </c>
      <c r="AD6082">
        <v>-1.1148445911</v>
      </c>
      <c r="AE6082">
        <v>-2.3061399999999899</v>
      </c>
      <c r="AF6082">
        <v>-2.14659798363799</v>
      </c>
      <c r="AG6082">
        <v>-1.1148445911</v>
      </c>
      <c r="AH6082">
        <v>6.27807864536629</v>
      </c>
      <c r="AI6082">
        <v>99.538131897228496</v>
      </c>
      <c r="AJ6082">
        <v>108.876562394806</v>
      </c>
      <c r="AK6082">
        <v>6.7279293131741396</v>
      </c>
      <c r="AL6082">
        <v>88.134658033914903</v>
      </c>
      <c r="AM6082">
        <v>102.804984642299</v>
      </c>
      <c r="AN6082">
        <v>1.00000005781186</v>
      </c>
    </row>
    <row r="6083" spans="1:40" x14ac:dyDescent="0.25">
      <c r="A6083" t="str">
        <f>"20190312151146530"</f>
        <v>20190312151146530</v>
      </c>
      <c r="B6083" t="str">
        <f>"1552374706527788"</f>
        <v>1552374706527788</v>
      </c>
      <c r="C6083" t="s">
        <v>40</v>
      </c>
      <c r="D6083">
        <v>4.8875149999999996</v>
      </c>
      <c r="E6083">
        <v>0.44235020000000003</v>
      </c>
      <c r="F6083" t="s">
        <v>85</v>
      </c>
      <c r="G6083">
        <v>-281.53370000000001</v>
      </c>
      <c r="H6083" s="1">
        <v>-5.676699E-6</v>
      </c>
      <c r="I6083">
        <v>-58.985430000000001</v>
      </c>
      <c r="J6083">
        <v>-287.99610000000001</v>
      </c>
      <c r="K6083">
        <v>1.1148450000000001</v>
      </c>
      <c r="L6083">
        <v>-56.726680000000002</v>
      </c>
      <c r="M6083">
        <v>0.78511660000000005</v>
      </c>
      <c r="N6083">
        <v>0</v>
      </c>
      <c r="O6083">
        <v>-0.61923859999999997</v>
      </c>
      <c r="P6083">
        <v>0.90254259999999997</v>
      </c>
      <c r="Q6083">
        <v>2.3953840000000001E-2</v>
      </c>
      <c r="R6083">
        <v>-0.42993379999999998</v>
      </c>
      <c r="S6083">
        <v>2.851715</v>
      </c>
      <c r="T6083">
        <v>-0.48020030000000002</v>
      </c>
      <c r="U6083">
        <v>-1.023102</v>
      </c>
      <c r="V6083">
        <v>-0.22175400000000001</v>
      </c>
      <c r="W6083">
        <v>3.2719320000000003E-2</v>
      </c>
      <c r="X6083">
        <v>0.97455349999999996</v>
      </c>
      <c r="Y6083">
        <v>-0.3076854</v>
      </c>
      <c r="Z6083">
        <v>0.11686489999999999</v>
      </c>
      <c r="AA6083">
        <v>0.94428400000000001</v>
      </c>
      <c r="AB6083">
        <v>23</v>
      </c>
      <c r="AC6083">
        <v>6.4623999999999997</v>
      </c>
      <c r="AD6083">
        <v>-1.1148506766990001</v>
      </c>
      <c r="AE6083">
        <v>-2.25875</v>
      </c>
      <c r="AF6083">
        <v>-2.1709604763784101</v>
      </c>
      <c r="AG6083">
        <v>-1.1148506766990001</v>
      </c>
      <c r="AH6083">
        <v>6.3056494815543997</v>
      </c>
      <c r="AI6083">
        <v>99.490462458491606</v>
      </c>
      <c r="AJ6083">
        <v>108.997979222528</v>
      </c>
      <c r="AK6083">
        <v>6.7614478335309798</v>
      </c>
      <c r="AL6083">
        <v>88.124986323485601</v>
      </c>
      <c r="AM6083">
        <v>102.819055672856</v>
      </c>
      <c r="AN6083">
        <v>0.999999957389755</v>
      </c>
    </row>
    <row r="6084" spans="1:40" x14ac:dyDescent="0.25">
      <c r="A6084" t="str">
        <f>"20190312151146552"</f>
        <v>20190312151146552</v>
      </c>
      <c r="B6084" t="str">
        <f>"1552374706547307"</f>
        <v>1552374706547307</v>
      </c>
      <c r="C6084" t="s">
        <v>40</v>
      </c>
      <c r="D6084">
        <v>4.9526599999999998</v>
      </c>
      <c r="E6084">
        <v>0.44082199999999999</v>
      </c>
      <c r="F6084" t="s">
        <v>85</v>
      </c>
      <c r="G6084">
        <v>-282.2595</v>
      </c>
      <c r="H6084" s="1">
        <v>-5.4446719999999998E-6</v>
      </c>
      <c r="I6084">
        <v>-58.389629999999997</v>
      </c>
      <c r="J6084">
        <v>-287.81900000000002</v>
      </c>
      <c r="K6084">
        <v>1.114852</v>
      </c>
      <c r="L6084">
        <v>-56.85519</v>
      </c>
      <c r="M6084">
        <v>0.78989549999999997</v>
      </c>
      <c r="N6084">
        <v>0</v>
      </c>
      <c r="O6084">
        <v>-0.61313090000000003</v>
      </c>
      <c r="P6084">
        <v>0.90578250000000005</v>
      </c>
      <c r="Q6084">
        <v>2.3868009999999999E-2</v>
      </c>
      <c r="R6084">
        <v>-0.42307090000000003</v>
      </c>
      <c r="S6084">
        <v>2.933929</v>
      </c>
      <c r="T6084">
        <v>-0.57017769999999901</v>
      </c>
      <c r="U6084">
        <v>-0.85049439999999998</v>
      </c>
      <c r="V6084">
        <v>-0.22159380000000001</v>
      </c>
      <c r="W6084">
        <v>3.2634490000000002E-2</v>
      </c>
      <c r="X6084">
        <v>0.97459280000000004</v>
      </c>
      <c r="Y6084">
        <v>-0.3542033</v>
      </c>
      <c r="Z6084">
        <v>0.1399822</v>
      </c>
      <c r="AA6084">
        <v>0.92463240000000002</v>
      </c>
      <c r="AB6084">
        <v>23</v>
      </c>
      <c r="AC6084">
        <v>5.5595000000000097</v>
      </c>
      <c r="AD6084">
        <v>-1.1148574446720001</v>
      </c>
      <c r="AE6084">
        <v>-1.53444</v>
      </c>
      <c r="AF6084">
        <v>-2.1176727754587898</v>
      </c>
      <c r="AG6084">
        <v>-1.1148574446720001</v>
      </c>
      <c r="AH6084">
        <v>5.1405147858280804</v>
      </c>
      <c r="AI6084">
        <v>101.338988033945</v>
      </c>
      <c r="AJ6084">
        <v>112.38957126860301</v>
      </c>
      <c r="AK6084">
        <v>5.6703031108730899</v>
      </c>
      <c r="AL6084">
        <v>88.129849352696198</v>
      </c>
      <c r="AM6084">
        <v>102.809601031882</v>
      </c>
      <c r="AN6084">
        <v>0.99999997397391904</v>
      </c>
    </row>
    <row r="6085" spans="1:40" x14ac:dyDescent="0.25">
      <c r="A6085" t="str">
        <f>"20190312151146563"</f>
        <v>20190312151146563</v>
      </c>
      <c r="B6085" t="str">
        <f>"1552374706557068"</f>
        <v>1552374706557068</v>
      </c>
      <c r="C6085" t="s">
        <v>40</v>
      </c>
      <c r="D6085">
        <v>4.8776010000000003</v>
      </c>
      <c r="E6085">
        <v>0.44025599999999998</v>
      </c>
      <c r="F6085" t="s">
        <v>85</v>
      </c>
      <c r="G6085">
        <v>-281.69170000000003</v>
      </c>
      <c r="H6085" s="1">
        <v>-5.6791859999999998E-6</v>
      </c>
      <c r="I6085">
        <v>-58.557899999999997</v>
      </c>
      <c r="J6085">
        <v>-287.72059999999999</v>
      </c>
      <c r="K6085">
        <v>1.1148549999999999</v>
      </c>
      <c r="L6085">
        <v>-56.925690000000003</v>
      </c>
      <c r="M6085">
        <v>0.79251839999999996</v>
      </c>
      <c r="N6085">
        <v>0</v>
      </c>
      <c r="O6085">
        <v>-0.60973650000000001</v>
      </c>
      <c r="P6085">
        <v>0.9075339</v>
      </c>
      <c r="Q6085">
        <v>2.4198029999999999E-2</v>
      </c>
      <c r="R6085">
        <v>-0.41928090000000001</v>
      </c>
      <c r="S6085">
        <v>2.9440309999999998</v>
      </c>
      <c r="T6085">
        <v>-0.5356668</v>
      </c>
      <c r="U6085">
        <v>-0.81811519999999904</v>
      </c>
      <c r="V6085">
        <v>-0.22148499999999999</v>
      </c>
      <c r="W6085">
        <v>3.2965710000000002E-2</v>
      </c>
      <c r="X6085">
        <v>0.97460639999999998</v>
      </c>
      <c r="Y6085">
        <v>-0.36213849999999997</v>
      </c>
      <c r="Z6085">
        <v>0.13173940000000001</v>
      </c>
      <c r="AA6085">
        <v>0.92276780000000003</v>
      </c>
      <c r="AB6085">
        <v>23</v>
      </c>
      <c r="AC6085">
        <v>6.0288999999999602</v>
      </c>
      <c r="AD6085">
        <v>-1.1148606791859901</v>
      </c>
      <c r="AE6085">
        <v>-1.6322099999999899</v>
      </c>
      <c r="AF6085">
        <v>-2.3090786806830801</v>
      </c>
      <c r="AG6085">
        <v>-1.1148606791859901</v>
      </c>
      <c r="AH6085">
        <v>5.5953566891531397</v>
      </c>
      <c r="AI6085">
        <v>100.435812432887</v>
      </c>
      <c r="AJ6085">
        <v>112.42484570075</v>
      </c>
      <c r="AK6085">
        <v>6.1548984692219699</v>
      </c>
      <c r="AL6085">
        <v>88.1108616559046</v>
      </c>
      <c r="AM6085">
        <v>102.803346233471</v>
      </c>
      <c r="AN6085">
        <v>0.99999998909088095</v>
      </c>
    </row>
    <row r="6086" spans="1:40" x14ac:dyDescent="0.25">
      <c r="A6086" t="str">
        <f>"20190312151146575"</f>
        <v>20190312151146575</v>
      </c>
      <c r="B6086" t="str">
        <f>"1552374706567804"</f>
        <v>1552374706567804</v>
      </c>
      <c r="C6086" t="s">
        <v>40</v>
      </c>
      <c r="D6086">
        <v>4.9003930000000002</v>
      </c>
      <c r="E6086">
        <v>0.43977919999999998</v>
      </c>
      <c r="F6086" t="s">
        <v>85</v>
      </c>
      <c r="G6086">
        <v>-281.49669999999998</v>
      </c>
      <c r="H6086" s="1">
        <v>-5.7593309999999999E-6</v>
      </c>
      <c r="I6086">
        <v>-58.6179699999999</v>
      </c>
      <c r="J6086">
        <v>-287.62110000000001</v>
      </c>
      <c r="K6086">
        <v>1.1148610000000001</v>
      </c>
      <c r="L6086">
        <v>-56.996400000000001</v>
      </c>
      <c r="M6086">
        <v>0.79514830000000003</v>
      </c>
      <c r="N6086">
        <v>0</v>
      </c>
      <c r="O6086">
        <v>-0.60630299999999904</v>
      </c>
      <c r="P6086">
        <v>0.90922990000000004</v>
      </c>
      <c r="Q6086">
        <v>2.4269059999999999E-2</v>
      </c>
      <c r="R6086">
        <v>-0.41558630000000002</v>
      </c>
      <c r="S6086">
        <v>2.9492799999999999</v>
      </c>
      <c r="T6086">
        <v>-0.52829300000000001</v>
      </c>
      <c r="U6086">
        <v>-0.80191040000000002</v>
      </c>
      <c r="V6086">
        <v>-0.22123390000000001</v>
      </c>
      <c r="W6086">
        <v>3.3039579999999999E-2</v>
      </c>
      <c r="X6086">
        <v>0.97466090000000005</v>
      </c>
      <c r="Y6086">
        <v>-0.36364730000000001</v>
      </c>
      <c r="Z6086">
        <v>0.1295414</v>
      </c>
      <c r="AA6086">
        <v>0.92248560000000002</v>
      </c>
      <c r="AB6086">
        <v>23</v>
      </c>
      <c r="AC6086">
        <v>6.1244000000000298</v>
      </c>
      <c r="AD6086">
        <v>-1.114866759331</v>
      </c>
      <c r="AE6086">
        <v>-1.62156999999999</v>
      </c>
      <c r="AF6086">
        <v>-2.3512092969688201</v>
      </c>
      <c r="AG6086">
        <v>-1.114866759331</v>
      </c>
      <c r="AH6086">
        <v>5.6775524345479997</v>
      </c>
      <c r="AI6086">
        <v>100.28289490588099</v>
      </c>
      <c r="AJ6086">
        <v>112.495607516484</v>
      </c>
      <c r="AK6086">
        <v>6.2454555235191398</v>
      </c>
      <c r="AL6086">
        <v>88.106626856928003</v>
      </c>
      <c r="AM6086">
        <v>102.788616943032</v>
      </c>
      <c r="AN6086">
        <v>0.99999996117229695</v>
      </c>
    </row>
    <row r="6087" spans="1:40" x14ac:dyDescent="0.25">
      <c r="A6087" t="str">
        <f>"20190312151146596"</f>
        <v>20190312151146596</v>
      </c>
      <c r="B6087" t="str">
        <f>"1552374706587327"</f>
        <v>1552374706587327</v>
      </c>
      <c r="C6087" t="s">
        <v>40</v>
      </c>
      <c r="D6087">
        <v>4.8999410000000001</v>
      </c>
      <c r="E6087">
        <v>0.43925940000000002</v>
      </c>
      <c r="F6087" t="s">
        <v>85</v>
      </c>
      <c r="G6087">
        <v>-281.34890000000001</v>
      </c>
      <c r="H6087" s="1">
        <v>-5.8196309999999999E-6</v>
      </c>
      <c r="I6087">
        <v>-58.666150000000002</v>
      </c>
      <c r="J6087">
        <v>-287.4572</v>
      </c>
      <c r="K6087">
        <v>1.1148640000000001</v>
      </c>
      <c r="L6087">
        <v>-57.111359999999998</v>
      </c>
      <c r="M6087">
        <v>0.79942899999999995</v>
      </c>
      <c r="N6087">
        <v>0</v>
      </c>
      <c r="O6087">
        <v>-0.60064740000000005</v>
      </c>
      <c r="P6087">
        <v>0.91181270000000003</v>
      </c>
      <c r="Q6087">
        <v>2.466602E-2</v>
      </c>
      <c r="R6087">
        <v>-0.40986499999999998</v>
      </c>
      <c r="S6087">
        <v>2.9540709999999999</v>
      </c>
      <c r="T6087">
        <v>-0.52507320000000002</v>
      </c>
      <c r="U6087">
        <v>-0.78640750000000004</v>
      </c>
      <c r="V6087">
        <v>-0.22044259999999999</v>
      </c>
      <c r="W6087">
        <v>3.3447049999999999E-2</v>
      </c>
      <c r="X6087">
        <v>0.97482630000000003</v>
      </c>
      <c r="Y6087">
        <v>-0.36220229999999998</v>
      </c>
      <c r="Z6087">
        <v>0.12781099999999901</v>
      </c>
      <c r="AA6087">
        <v>0.92329510000000004</v>
      </c>
      <c r="AB6087">
        <v>23</v>
      </c>
      <c r="AC6087">
        <v>6.1082999999999803</v>
      </c>
      <c r="AD6087">
        <v>-1.1148698196309901</v>
      </c>
      <c r="AE6087">
        <v>-1.5547899999999999</v>
      </c>
      <c r="AF6087">
        <v>-2.35255427073831</v>
      </c>
      <c r="AG6087">
        <v>-1.1148698196309901</v>
      </c>
      <c r="AH6087">
        <v>5.6409480303769897</v>
      </c>
      <c r="AI6087">
        <v>100.337719552782</v>
      </c>
      <c r="AJ6087">
        <v>112.638549893876</v>
      </c>
      <c r="AK6087">
        <v>6.2127080241153401</v>
      </c>
      <c r="AL6087">
        <v>88.083267669975299</v>
      </c>
      <c r="AM6087">
        <v>102.742279830806</v>
      </c>
      <c r="AN6087">
        <v>0.99999998011007596</v>
      </c>
    </row>
    <row r="6088" spans="1:40" x14ac:dyDescent="0.25">
      <c r="A6088" t="str">
        <f>"20190312151146607"</f>
        <v>20190312151146607</v>
      </c>
      <c r="B6088" t="str">
        <f>"1552374706597084"</f>
        <v>1552374706597084</v>
      </c>
      <c r="C6088" t="s">
        <v>40</v>
      </c>
      <c r="D6088">
        <v>4.870025</v>
      </c>
      <c r="E6088">
        <v>0.43936249999999999</v>
      </c>
      <c r="F6088" t="s">
        <v>85</v>
      </c>
      <c r="G6088">
        <v>-281.24009999999998</v>
      </c>
      <c r="H6088" s="1">
        <v>-5.8616819999999899E-6</v>
      </c>
      <c r="I6088">
        <v>-58.71454</v>
      </c>
      <c r="J6088">
        <v>-287.36419999999998</v>
      </c>
      <c r="K6088">
        <v>1.1148670000000001</v>
      </c>
      <c r="L6088">
        <v>-57.175629999999998</v>
      </c>
      <c r="M6088">
        <v>0.80182889999999996</v>
      </c>
      <c r="N6088">
        <v>0</v>
      </c>
      <c r="O6088">
        <v>-0.59743990000000002</v>
      </c>
      <c r="P6088">
        <v>0.91346369999999999</v>
      </c>
      <c r="Q6088">
        <v>2.5112559999999999E-2</v>
      </c>
      <c r="R6088">
        <v>-0.40614440000000002</v>
      </c>
      <c r="S6088">
        <v>2.9612729999999998</v>
      </c>
      <c r="T6088">
        <v>-0.53102309999999997</v>
      </c>
      <c r="U6088">
        <v>-0.76361080000000003</v>
      </c>
      <c r="V6088">
        <v>-0.2205095</v>
      </c>
      <c r="W6088">
        <v>3.3891690000000002E-2</v>
      </c>
      <c r="X6088">
        <v>0.97479579999999999</v>
      </c>
      <c r="Y6088">
        <v>-0.36541439999999997</v>
      </c>
      <c r="Z6088">
        <v>0.1289631</v>
      </c>
      <c r="AA6088">
        <v>0.92186809999999997</v>
      </c>
      <c r="AB6088">
        <v>23</v>
      </c>
      <c r="AC6088">
        <v>6.1240999999999897</v>
      </c>
      <c r="AD6088">
        <v>-1.1148728616820001</v>
      </c>
      <c r="AE6088">
        <v>-1.53890999999999</v>
      </c>
      <c r="AF6088">
        <v>-2.3516955239831998</v>
      </c>
      <c r="AG6088">
        <v>-1.1148728616820001</v>
      </c>
      <c r="AH6088">
        <v>5.6540319654278699</v>
      </c>
      <c r="AI6088">
        <v>100.318340743007</v>
      </c>
      <c r="AJ6088">
        <v>112.58401244549</v>
      </c>
      <c r="AK6088">
        <v>6.2242662861832798</v>
      </c>
      <c r="AL6088">
        <v>88.057777199787907</v>
      </c>
      <c r="AM6088">
        <v>102.746406331919</v>
      </c>
      <c r="AN6088">
        <v>0.99999996896947196</v>
      </c>
    </row>
    <row r="6089" spans="1:40" x14ac:dyDescent="0.25">
      <c r="A6089" t="str">
        <f>"20190312151146619"</f>
        <v>20190312151146619</v>
      </c>
      <c r="B6089" t="str">
        <f>"1552374706607820"</f>
        <v>1552374706607820</v>
      </c>
      <c r="C6089" t="s">
        <v>40</v>
      </c>
      <c r="D6089">
        <v>4.8831389999999999</v>
      </c>
      <c r="E6089">
        <v>0.43959160000000003</v>
      </c>
      <c r="F6089" t="s">
        <v>85</v>
      </c>
      <c r="G6089">
        <v>-281.09399999999999</v>
      </c>
      <c r="H6089" s="1">
        <v>-5.9203909999999996E-6</v>
      </c>
      <c r="I6089">
        <v>-58.767099999999999</v>
      </c>
      <c r="J6089">
        <v>-287.26609999999999</v>
      </c>
      <c r="K6089">
        <v>1.114873</v>
      </c>
      <c r="L6089">
        <v>-57.243160000000003</v>
      </c>
      <c r="M6089">
        <v>0.80434159999999999</v>
      </c>
      <c r="N6089">
        <v>0</v>
      </c>
      <c r="O6089">
        <v>-0.59405299999999905</v>
      </c>
      <c r="P6089">
        <v>0.91497680000000003</v>
      </c>
      <c r="Q6089">
        <v>2.5229140000000001E-2</v>
      </c>
      <c r="R6089">
        <v>-0.40271750000000001</v>
      </c>
      <c r="S6089">
        <v>2.964172</v>
      </c>
      <c r="T6089">
        <v>-0.52704300000000004</v>
      </c>
      <c r="U6089">
        <v>-0.75234990000000002</v>
      </c>
      <c r="V6089">
        <v>-0.22005169999999999</v>
      </c>
      <c r="W6089">
        <v>3.4014170000000003E-2</v>
      </c>
      <c r="X6089">
        <v>0.97489499999999996</v>
      </c>
      <c r="Y6089">
        <v>-0.3652435</v>
      </c>
      <c r="Z6089">
        <v>0.12750549999999999</v>
      </c>
      <c r="AA6089">
        <v>0.92213860000000003</v>
      </c>
      <c r="AB6089">
        <v>23</v>
      </c>
      <c r="AC6089">
        <v>6.1721000000000004</v>
      </c>
      <c r="AD6089">
        <v>-1.1148789203909999</v>
      </c>
      <c r="AE6089">
        <v>-1.5239400000000001</v>
      </c>
      <c r="AF6089">
        <v>-2.3681245174621099</v>
      </c>
      <c r="AG6089">
        <v>-1.1148789203909999</v>
      </c>
      <c r="AH6089">
        <v>5.6950359251704104</v>
      </c>
      <c r="AI6089">
        <v>100.24607365215201</v>
      </c>
      <c r="AJ6089">
        <v>112.57864410880801</v>
      </c>
      <c r="AK6089">
        <v>6.2677270941162497</v>
      </c>
      <c r="AL6089">
        <v>88.050755600629401</v>
      </c>
      <c r="AM6089">
        <v>102.719553152834</v>
      </c>
      <c r="AN6089">
        <v>0.99999998772933896</v>
      </c>
    </row>
    <row r="6090" spans="1:40" x14ac:dyDescent="0.25">
      <c r="A6090" t="str">
        <f>"20190312151146641"</f>
        <v>20190312151146641</v>
      </c>
      <c r="B6090" t="str">
        <f>"1552374706637100"</f>
        <v>1552374706637100</v>
      </c>
      <c r="C6090" t="s">
        <v>40</v>
      </c>
      <c r="D6090">
        <v>4.9301830000000004</v>
      </c>
      <c r="E6090">
        <v>0.43995309999999999</v>
      </c>
      <c r="F6090" t="s">
        <v>85</v>
      </c>
      <c r="G6090">
        <v>-280.99889999999999</v>
      </c>
      <c r="H6090" s="1">
        <v>-5.9566109999999999E-6</v>
      </c>
      <c r="I6090">
        <v>-58.812370000000001</v>
      </c>
      <c r="J6090">
        <v>-287.0881</v>
      </c>
      <c r="K6090">
        <v>1.114878</v>
      </c>
      <c r="L6090">
        <v>-57.36383</v>
      </c>
      <c r="M6090">
        <v>0.80884500000000004</v>
      </c>
      <c r="N6090">
        <v>0</v>
      </c>
      <c r="O6090">
        <v>-0.58790640000000005</v>
      </c>
      <c r="P6090">
        <v>0.91799219999999904</v>
      </c>
      <c r="Q6090">
        <v>2.6011469999999998E-2</v>
      </c>
      <c r="R6090">
        <v>-0.39574480000000001</v>
      </c>
      <c r="S6090">
        <v>2.9664000000000001</v>
      </c>
      <c r="T6090">
        <v>-0.52769390000000005</v>
      </c>
      <c r="U6090">
        <v>-0.74273679999999997</v>
      </c>
      <c r="V6090">
        <v>-0.22003639999999999</v>
      </c>
      <c r="W6090">
        <v>3.4795710000000001E-2</v>
      </c>
      <c r="X6090">
        <v>0.97487089999999998</v>
      </c>
      <c r="Y6090">
        <v>-0.36123959999999999</v>
      </c>
      <c r="Z6090">
        <v>0.1264583</v>
      </c>
      <c r="AA6090">
        <v>0.92385830000000002</v>
      </c>
      <c r="AB6090">
        <v>23</v>
      </c>
      <c r="AC6090">
        <v>6.0891999999999999</v>
      </c>
      <c r="AD6090">
        <v>-1.114883956611</v>
      </c>
      <c r="AE6090">
        <v>-1.44853999999998</v>
      </c>
      <c r="AF6090">
        <v>-2.3343368194282101</v>
      </c>
      <c r="AG6090">
        <v>-1.114883956611</v>
      </c>
      <c r="AH6090">
        <v>5.5995587336057904</v>
      </c>
      <c r="AI6090">
        <v>100.413212550602</v>
      </c>
      <c r="AJ6090">
        <v>112.63021612208399</v>
      </c>
      <c r="AK6090">
        <v>6.1682374009394003</v>
      </c>
      <c r="AL6090">
        <v>88.005950184271896</v>
      </c>
      <c r="AM6090">
        <v>102.71900173590601</v>
      </c>
      <c r="AN6090">
        <v>1.0000000152130799</v>
      </c>
    </row>
    <row r="6091" spans="1:40" x14ac:dyDescent="0.25">
      <c r="A6091" t="str">
        <f>"20190312151146652"</f>
        <v>20190312151146652</v>
      </c>
      <c r="B6091" t="str">
        <f>"1552374706647836"</f>
        <v>1552374706647836</v>
      </c>
      <c r="C6091" t="s">
        <v>40</v>
      </c>
      <c r="D6091">
        <v>4.9017119999999998</v>
      </c>
      <c r="E6091">
        <v>0.44015149999999997</v>
      </c>
      <c r="F6091" t="s">
        <v>85</v>
      </c>
      <c r="G6091">
        <v>-280.83620000000002</v>
      </c>
      <c r="H6091" s="1">
        <v>-6.0196409999999996E-6</v>
      </c>
      <c r="I6091">
        <v>-58.884149999999998</v>
      </c>
      <c r="J6091">
        <v>-286.98649999999998</v>
      </c>
      <c r="K6091">
        <v>1.114879</v>
      </c>
      <c r="L6091">
        <v>-57.431820000000002</v>
      </c>
      <c r="M6091">
        <v>0.81138319999999997</v>
      </c>
      <c r="N6091">
        <v>0</v>
      </c>
      <c r="O6091">
        <v>-0.58439830000000004</v>
      </c>
      <c r="P6091">
        <v>0.91969000000000001</v>
      </c>
      <c r="Q6091">
        <v>2.59513E-2</v>
      </c>
      <c r="R6091">
        <v>-0.39178689999999999</v>
      </c>
      <c r="S6091">
        <v>2.9714969999999998</v>
      </c>
      <c r="T6091">
        <v>-0.52989719999999996</v>
      </c>
      <c r="U6091">
        <v>-0.72259519999999899</v>
      </c>
      <c r="V6091">
        <v>-0.2200146</v>
      </c>
      <c r="W6091">
        <v>3.4735200000000001E-2</v>
      </c>
      <c r="X6091">
        <v>0.97487800000000002</v>
      </c>
      <c r="Y6091">
        <v>-0.36340470000000002</v>
      </c>
      <c r="Z6091">
        <v>0.1266245</v>
      </c>
      <c r="AA6091">
        <v>0.92298610000000003</v>
      </c>
      <c r="AB6091">
        <v>23</v>
      </c>
      <c r="AC6091">
        <v>6.1502999999999597</v>
      </c>
      <c r="AD6091">
        <v>-1.1148850196410001</v>
      </c>
      <c r="AE6091">
        <v>-1.4523299999999999</v>
      </c>
      <c r="AF6091">
        <v>-2.3430662832214399</v>
      </c>
      <c r="AG6091">
        <v>-1.1148850196410001</v>
      </c>
      <c r="AH6091">
        <v>5.6631245816880602</v>
      </c>
      <c r="AI6091">
        <v>100.31006154069</v>
      </c>
      <c r="AJ6091">
        <v>112.476880771023</v>
      </c>
      <c r="AK6091">
        <v>6.2292783083041501</v>
      </c>
      <c r="AL6091">
        <v>88.009419291497096</v>
      </c>
      <c r="AM6091">
        <v>102.717692982809</v>
      </c>
      <c r="AN6091">
        <v>1.0000000366080899</v>
      </c>
    </row>
    <row r="6092" spans="1:40" x14ac:dyDescent="0.25">
      <c r="A6092" t="str">
        <f>"20190312151146665"</f>
        <v>20190312151146665</v>
      </c>
      <c r="B6092" t="str">
        <f>"1552374706657596"</f>
        <v>1552374706657596</v>
      </c>
      <c r="C6092" t="s">
        <v>40</v>
      </c>
      <c r="D6092">
        <v>4.973751</v>
      </c>
      <c r="E6092">
        <v>0.44014799999999998</v>
      </c>
      <c r="F6092" t="s">
        <v>85</v>
      </c>
      <c r="G6092">
        <v>-280.72129999999999</v>
      </c>
      <c r="H6092" s="1">
        <v>-6.0650049999999999E-6</v>
      </c>
      <c r="I6092">
        <v>-58.93009</v>
      </c>
      <c r="J6092">
        <v>-286.8877</v>
      </c>
      <c r="K6092">
        <v>1.1148769999999999</v>
      </c>
      <c r="L6092">
        <v>-57.49738</v>
      </c>
      <c r="M6092">
        <v>0.81383190000000005</v>
      </c>
      <c r="N6092">
        <v>0</v>
      </c>
      <c r="O6092">
        <v>-0.58098359999999905</v>
      </c>
      <c r="P6092">
        <v>0.9213865</v>
      </c>
      <c r="Q6092">
        <v>2.5929020000000001E-2</v>
      </c>
      <c r="R6092">
        <v>-0.38778170000000001</v>
      </c>
      <c r="S6092">
        <v>2.973938</v>
      </c>
      <c r="T6092">
        <v>-0.52920259999999997</v>
      </c>
      <c r="U6092">
        <v>-0.71118159999999997</v>
      </c>
      <c r="V6092">
        <v>-0.22015979999999999</v>
      </c>
      <c r="W6092">
        <v>3.4709940000000002E-2</v>
      </c>
      <c r="X6092">
        <v>0.97484610000000005</v>
      </c>
      <c r="Y6092">
        <v>-0.36310300000000001</v>
      </c>
      <c r="Z6092">
        <v>0.1259469</v>
      </c>
      <c r="AA6092">
        <v>0.9231975</v>
      </c>
      <c r="AB6092">
        <v>23</v>
      </c>
      <c r="AC6092">
        <v>6.1664000000000003</v>
      </c>
      <c r="AD6092">
        <v>-1.1148830650049999</v>
      </c>
      <c r="AE6092">
        <v>-1.4327099999999899</v>
      </c>
      <c r="AF6092">
        <v>-2.34405688650806</v>
      </c>
      <c r="AG6092">
        <v>-1.1148830650049999</v>
      </c>
      <c r="AH6092">
        <v>5.6751793859142596</v>
      </c>
      <c r="AI6092">
        <v>100.29111617892001</v>
      </c>
      <c r="AJ6092">
        <v>112.44241746871801</v>
      </c>
      <c r="AK6092">
        <v>6.2406111878666897</v>
      </c>
      <c r="AL6092">
        <v>88.010867419219096</v>
      </c>
      <c r="AM6092">
        <v>102.726215734901</v>
      </c>
      <c r="AN6092">
        <v>1.00000001807802</v>
      </c>
    </row>
    <row r="6093" spans="1:40" x14ac:dyDescent="0.25">
      <c r="A6093" t="str">
        <f>"20190312151146685"</f>
        <v>20190312151146685</v>
      </c>
      <c r="B6093" t="str">
        <f>"1552374706677116"</f>
        <v>1552374706677116</v>
      </c>
      <c r="C6093" t="s">
        <v>40</v>
      </c>
      <c r="D6093">
        <v>4.8923860000000001</v>
      </c>
      <c r="E6093">
        <v>0.44050499999999998</v>
      </c>
      <c r="F6093" t="s">
        <v>85</v>
      </c>
      <c r="G6093">
        <v>-280.59429999999998</v>
      </c>
      <c r="H6093" s="1">
        <v>-6.1073949999999998E-6</v>
      </c>
      <c r="I6093">
        <v>-58.973529999999997</v>
      </c>
      <c r="J6093">
        <v>-286.71230000000003</v>
      </c>
      <c r="K6093">
        <v>1.114878</v>
      </c>
      <c r="L6093">
        <v>-57.61224</v>
      </c>
      <c r="M6093">
        <v>0.81812209999999996</v>
      </c>
      <c r="N6093">
        <v>0</v>
      </c>
      <c r="O6093">
        <v>-0.5749263</v>
      </c>
      <c r="P6093">
        <v>0.92415650000000005</v>
      </c>
      <c r="Q6093">
        <v>2.546139E-2</v>
      </c>
      <c r="R6093">
        <v>-0.38116499999999998</v>
      </c>
      <c r="S6093">
        <v>2.9769589999999999</v>
      </c>
      <c r="T6093">
        <v>-0.5273774</v>
      </c>
      <c r="U6093">
        <v>-0.69827269999999997</v>
      </c>
      <c r="V6093">
        <v>-0.2199161</v>
      </c>
      <c r="W6093">
        <v>3.4245299999999999E-2</v>
      </c>
      <c r="X6093">
        <v>0.97491749999999999</v>
      </c>
      <c r="Y6093">
        <v>-0.36040800000000001</v>
      </c>
      <c r="Z6093">
        <v>0.1244184</v>
      </c>
      <c r="AA6093">
        <v>0.9244599</v>
      </c>
      <c r="AB6093">
        <v>23</v>
      </c>
      <c r="AC6093">
        <v>6.1180000000000501</v>
      </c>
      <c r="AD6093">
        <v>-1.114884107395</v>
      </c>
      <c r="AE6093">
        <v>-1.3612899999999999</v>
      </c>
      <c r="AF6093">
        <v>-2.3301326685582202</v>
      </c>
      <c r="AG6093">
        <v>-1.114884107395</v>
      </c>
      <c r="AH6093">
        <v>5.61077377014837</v>
      </c>
      <c r="AI6093">
        <v>100.39856157338799</v>
      </c>
      <c r="AJ6093">
        <v>112.552923015527</v>
      </c>
      <c r="AK6093">
        <v>6.1768330984242299</v>
      </c>
      <c r="AL6093">
        <v>88.037505095505196</v>
      </c>
      <c r="AM6093">
        <v>102.711686048565</v>
      </c>
      <c r="AN6093">
        <v>0.99999998170877402</v>
      </c>
    </row>
    <row r="6094" spans="1:40" x14ac:dyDescent="0.25">
      <c r="A6094" t="str">
        <f>"20190312151146700"</f>
        <v>20190312151146700</v>
      </c>
      <c r="B6094" t="str">
        <f>"1552374706697612"</f>
        <v>1552374706697612</v>
      </c>
      <c r="C6094" t="s">
        <v>40</v>
      </c>
      <c r="D6094">
        <v>4.9387749999999997</v>
      </c>
      <c r="E6094">
        <v>0.44070910000000002</v>
      </c>
      <c r="F6094" t="s">
        <v>85</v>
      </c>
      <c r="G6094">
        <v>-280.35410000000002</v>
      </c>
      <c r="H6094" s="1">
        <v>-6.1779099999999996E-6</v>
      </c>
      <c r="I6094">
        <v>-59.061610000000002</v>
      </c>
      <c r="J6094">
        <v>-286.58960000000002</v>
      </c>
      <c r="K6094">
        <v>1.1148709999999999</v>
      </c>
      <c r="L6094">
        <v>-57.691589999999998</v>
      </c>
      <c r="M6094">
        <v>0.82108269999999905</v>
      </c>
      <c r="N6094">
        <v>0</v>
      </c>
      <c r="O6094">
        <v>-0.57069019999999904</v>
      </c>
      <c r="P6094">
        <v>0.92602470000000003</v>
      </c>
      <c r="Q6094">
        <v>2.5193960000000001E-2</v>
      </c>
      <c r="R6094">
        <v>-0.37662099999999998</v>
      </c>
      <c r="S6094">
        <v>2.9803769999999998</v>
      </c>
      <c r="T6094">
        <v>-0.52259449999999996</v>
      </c>
      <c r="U6094">
        <v>-0.67938229999999999</v>
      </c>
      <c r="V6094">
        <v>-0.21966649999999999</v>
      </c>
      <c r="W6094">
        <v>3.398176E-2</v>
      </c>
      <c r="X6094">
        <v>0.97498300000000004</v>
      </c>
      <c r="Y6094">
        <v>-0.36165589999999997</v>
      </c>
      <c r="Z6094">
        <v>0.1228225</v>
      </c>
      <c r="AA6094">
        <v>0.9241859</v>
      </c>
      <c r="AB6094">
        <v>23</v>
      </c>
      <c r="AC6094">
        <v>6.2355</v>
      </c>
      <c r="AD6094">
        <v>-1.11487717791</v>
      </c>
      <c r="AE6094">
        <v>-1.37001999999998</v>
      </c>
      <c r="AF6094">
        <v>-2.3617805529717599</v>
      </c>
      <c r="AG6094">
        <v>-1.11487717791</v>
      </c>
      <c r="AH6094">
        <v>5.7274571393732296</v>
      </c>
      <c r="AI6094">
        <v>100.201489945296</v>
      </c>
      <c r="AJ6094">
        <v>112.40934624614</v>
      </c>
      <c r="AK6094">
        <v>6.2948172162166598</v>
      </c>
      <c r="AL6094">
        <v>88.052613636897703</v>
      </c>
      <c r="AM6094">
        <v>102.696901203742</v>
      </c>
      <c r="AN6094">
        <v>0.99999999076197299</v>
      </c>
    </row>
    <row r="6095" spans="1:40" x14ac:dyDescent="0.25">
      <c r="A6095" t="str">
        <f>"20190312151146720"</f>
        <v>20190312151146720</v>
      </c>
      <c r="B6095" t="str">
        <f>"1552374706707372"</f>
        <v>1552374706707372</v>
      </c>
      <c r="C6095" t="s">
        <v>40</v>
      </c>
      <c r="D6095">
        <v>4.9453620000000003</v>
      </c>
      <c r="E6095">
        <v>0.44083600000000001</v>
      </c>
      <c r="F6095" t="s">
        <v>85</v>
      </c>
      <c r="G6095">
        <v>-280.3272</v>
      </c>
      <c r="H6095" s="1">
        <v>-6.1839089999999998E-6</v>
      </c>
      <c r="I6095">
        <v>-59.088299999999997</v>
      </c>
      <c r="J6095">
        <v>-286.42340000000002</v>
      </c>
      <c r="K6095">
        <v>1.114865</v>
      </c>
      <c r="L6095">
        <v>-57.797609999999999</v>
      </c>
      <c r="M6095">
        <v>0.82503669999999996</v>
      </c>
      <c r="N6095">
        <v>0</v>
      </c>
      <c r="O6095">
        <v>-0.56495890000000004</v>
      </c>
      <c r="P6095">
        <v>0.92849119999999996</v>
      </c>
      <c r="Q6095">
        <v>2.495319E-2</v>
      </c>
      <c r="R6095">
        <v>-0.37051499999999998</v>
      </c>
      <c r="S6095">
        <v>2.9834589999999999</v>
      </c>
      <c r="T6095">
        <v>-0.53113619999999995</v>
      </c>
      <c r="U6095">
        <v>-0.66540529999999998</v>
      </c>
      <c r="V6095">
        <v>-0.2192982</v>
      </c>
      <c r="W6095">
        <v>3.3748720000000003E-2</v>
      </c>
      <c r="X6095">
        <v>0.975074</v>
      </c>
      <c r="Y6095">
        <v>-0.3592147</v>
      </c>
      <c r="Z6095">
        <v>0.1237511</v>
      </c>
      <c r="AA6095">
        <v>0.9250138</v>
      </c>
      <c r="AB6095">
        <v>23</v>
      </c>
      <c r="AC6095">
        <v>6.0961999999999996</v>
      </c>
      <c r="AD6095">
        <v>-1.114871183909</v>
      </c>
      <c r="AE6095">
        <v>-1.2906899999999899</v>
      </c>
      <c r="AF6095">
        <v>-2.3055951376079502</v>
      </c>
      <c r="AG6095">
        <v>-1.114871183909</v>
      </c>
      <c r="AH6095">
        <v>5.5805333428577502</v>
      </c>
      <c r="AI6095">
        <v>100.46131432385999</v>
      </c>
      <c r="AJ6095">
        <v>112.44794751518999</v>
      </c>
      <c r="AK6095">
        <v>6.1401188169301104</v>
      </c>
      <c r="AL6095">
        <v>88.065973509179599</v>
      </c>
      <c r="AM6095">
        <v>102.675156816246</v>
      </c>
      <c r="AN6095">
        <v>0.99999999105043902</v>
      </c>
    </row>
    <row r="6096" spans="1:40" x14ac:dyDescent="0.25">
      <c r="A6096" t="str">
        <f>"20190312151146742"</f>
        <v>20190312151146742</v>
      </c>
      <c r="B6096" t="str">
        <f>"1552374706737629"</f>
        <v>1552374706737629</v>
      </c>
      <c r="C6096" t="s">
        <v>40</v>
      </c>
      <c r="D6096">
        <v>5.0119600000000002</v>
      </c>
      <c r="E6096">
        <v>0.44114140000000002</v>
      </c>
      <c r="F6096" t="s">
        <v>85</v>
      </c>
      <c r="G6096">
        <v>-280.18090000000001</v>
      </c>
      <c r="H6096" s="1">
        <v>-6.2261339999999899E-6</v>
      </c>
      <c r="I6096">
        <v>-59.148290000000003</v>
      </c>
      <c r="J6096">
        <v>-286.23340000000002</v>
      </c>
      <c r="K6096">
        <v>1.1148480000000001</v>
      </c>
      <c r="L6096">
        <v>-57.91675</v>
      </c>
      <c r="M6096">
        <v>0.82947289999999996</v>
      </c>
      <c r="N6096">
        <v>0</v>
      </c>
      <c r="O6096">
        <v>-0.55842510000000001</v>
      </c>
      <c r="P6096">
        <v>0.93148580000000003</v>
      </c>
      <c r="Q6096">
        <v>2.4262949999999998E-2</v>
      </c>
      <c r="R6096">
        <v>-0.3629676</v>
      </c>
      <c r="S6096">
        <v>2.987457</v>
      </c>
      <c r="T6096">
        <v>-0.53354049999999997</v>
      </c>
      <c r="U6096">
        <v>-0.64639279999999999</v>
      </c>
      <c r="V6096">
        <v>-0.21951200000000001</v>
      </c>
      <c r="W6096">
        <v>3.3060550000000001E-2</v>
      </c>
      <c r="X6096">
        <v>0.97504950000000001</v>
      </c>
      <c r="Y6096">
        <v>-0.35773749999999999</v>
      </c>
      <c r="Z6096">
        <v>0.123209</v>
      </c>
      <c r="AA6096">
        <v>0.92565839999999999</v>
      </c>
      <c r="AB6096">
        <v>23</v>
      </c>
      <c r="AC6096">
        <v>6.0525000000000002</v>
      </c>
      <c r="AD6096">
        <v>-1.114854226134</v>
      </c>
      <c r="AE6096">
        <v>-1.2315400000000001</v>
      </c>
      <c r="AF6096">
        <v>-2.2840844522231101</v>
      </c>
      <c r="AG6096">
        <v>-1.114854226134</v>
      </c>
      <c r="AH6096">
        <v>5.5283826980329298</v>
      </c>
      <c r="AI6096">
        <v>100.557609568755</v>
      </c>
      <c r="AJ6096">
        <v>112.448260309812</v>
      </c>
      <c r="AK6096">
        <v>6.0846492903310399</v>
      </c>
      <c r="AL6096">
        <v>88.105424824411102</v>
      </c>
      <c r="AM6096">
        <v>102.68742284222</v>
      </c>
      <c r="AN6096">
        <v>1.0000000227802699</v>
      </c>
    </row>
    <row r="6097" spans="1:40" x14ac:dyDescent="0.25">
      <c r="A6097" t="str">
        <f>"20190312151146763"</f>
        <v>20190312151146763</v>
      </c>
      <c r="B6097" t="str">
        <f>"1552374706757149"</f>
        <v>1552374706757149</v>
      </c>
      <c r="C6097" t="s">
        <v>40</v>
      </c>
      <c r="D6097">
        <v>5.0096590000000001</v>
      </c>
      <c r="E6097">
        <v>0.44149660000000002</v>
      </c>
      <c r="F6097" t="s">
        <v>85</v>
      </c>
      <c r="G6097">
        <v>-280.07049999999998</v>
      </c>
      <c r="H6097" s="1">
        <v>-6.256779E-6</v>
      </c>
      <c r="I6097">
        <v>-59.204459999999997</v>
      </c>
      <c r="J6097">
        <v>-286.04649999999998</v>
      </c>
      <c r="K6097">
        <v>1.11483</v>
      </c>
      <c r="L6097">
        <v>-58.031979999999997</v>
      </c>
      <c r="M6097">
        <v>0.83374740000000003</v>
      </c>
      <c r="N6097">
        <v>0</v>
      </c>
      <c r="O6097">
        <v>-0.55202299999999904</v>
      </c>
      <c r="P6097">
        <v>0.93443080000000001</v>
      </c>
      <c r="Q6097">
        <v>2.4200409999999999E-2</v>
      </c>
      <c r="R6097">
        <v>-0.35532160000000002</v>
      </c>
      <c r="S6097">
        <v>2.9912109999999998</v>
      </c>
      <c r="T6097">
        <v>-0.54110349999999996</v>
      </c>
      <c r="U6097">
        <v>-0.625</v>
      </c>
      <c r="V6097">
        <v>-0.21999460000000001</v>
      </c>
      <c r="W6097">
        <v>3.2999069999999998E-2</v>
      </c>
      <c r="X6097">
        <v>0.9749428</v>
      </c>
      <c r="Y6097">
        <v>-0.35687980000000002</v>
      </c>
      <c r="Z6097">
        <v>0.1239085</v>
      </c>
      <c r="AA6097">
        <v>0.92589600000000005</v>
      </c>
      <c r="AB6097">
        <v>23</v>
      </c>
      <c r="AC6097">
        <v>5.9759999999999902</v>
      </c>
      <c r="AD6097">
        <v>-1.114836256779</v>
      </c>
      <c r="AE6097">
        <v>-1.17247999999999</v>
      </c>
      <c r="AF6097">
        <v>-2.2462202505356901</v>
      </c>
      <c r="AG6097">
        <v>-1.114836256779</v>
      </c>
      <c r="AH6097">
        <v>5.4475364268522899</v>
      </c>
      <c r="AI6097">
        <v>100.713548693242</v>
      </c>
      <c r="AJ6097">
        <v>112.408160666312</v>
      </c>
      <c r="AK6097">
        <v>5.9970007849947997</v>
      </c>
      <c r="AL6097">
        <v>88.108949273345999</v>
      </c>
      <c r="AM6097">
        <v>102.71575676990101</v>
      </c>
      <c r="AN6097">
        <v>1.0000000129609301</v>
      </c>
    </row>
    <row r="6098" spans="1:40" x14ac:dyDescent="0.25">
      <c r="A6098" t="str">
        <f>"20190312151146776"</f>
        <v>20190312151146776</v>
      </c>
      <c r="B6098" t="str">
        <f>"1552374706767885"</f>
        <v>1552374706767885</v>
      </c>
      <c r="C6098" t="s">
        <v>40</v>
      </c>
      <c r="D6098">
        <v>4.943657</v>
      </c>
      <c r="E6098">
        <v>0.44179429999999997</v>
      </c>
      <c r="F6098" t="s">
        <v>42</v>
      </c>
      <c r="G6098">
        <v>-279.87920000000003</v>
      </c>
      <c r="H6098" s="1">
        <v>-3.6374079999999999E-6</v>
      </c>
      <c r="I6098">
        <v>-59.275539999999999</v>
      </c>
      <c r="J6098">
        <v>-285.93529999999998</v>
      </c>
      <c r="K6098">
        <v>1.1148119999999999</v>
      </c>
      <c r="L6098">
        <v>-58.099760000000003</v>
      </c>
      <c r="M6098">
        <v>0.83625119999999897</v>
      </c>
      <c r="N6098">
        <v>0</v>
      </c>
      <c r="O6098">
        <v>-0.54822249999999995</v>
      </c>
      <c r="P6098">
        <v>0.93614629999999999</v>
      </c>
      <c r="Q6098">
        <v>2.41111E-2</v>
      </c>
      <c r="R6098">
        <v>-0.35078310000000001</v>
      </c>
      <c r="S6098">
        <v>2.994904</v>
      </c>
      <c r="T6098">
        <v>-0.54137299999999999</v>
      </c>
      <c r="U6098">
        <v>-0.60388180000000002</v>
      </c>
      <c r="V6098">
        <v>-0.2202876</v>
      </c>
      <c r="W6098">
        <v>3.2911860000000001E-2</v>
      </c>
      <c r="X6098">
        <v>0.97487959999999996</v>
      </c>
      <c r="Y6098">
        <v>-0.35913830000000002</v>
      </c>
      <c r="Z6098">
        <v>0.1235974</v>
      </c>
      <c r="AA6098">
        <v>0.925064</v>
      </c>
      <c r="AB6098">
        <v>23</v>
      </c>
      <c r="AC6098">
        <v>6.0560999999999501</v>
      </c>
      <c r="AD6098">
        <v>-1.1148156374079901</v>
      </c>
      <c r="AE6098">
        <v>-1.17578</v>
      </c>
      <c r="AF6098">
        <v>-2.2631000462100799</v>
      </c>
      <c r="AG6098">
        <v>-1.1148156374079901</v>
      </c>
      <c r="AH6098">
        <v>5.5288530364949002</v>
      </c>
      <c r="AI6098">
        <v>100.570287274202</v>
      </c>
      <c r="AJ6098">
        <v>112.260532503899</v>
      </c>
      <c r="AK6098">
        <v>6.0772240063802503</v>
      </c>
      <c r="AL6098">
        <v>88.113948778180898</v>
      </c>
      <c r="AM6098">
        <v>102.732939063093</v>
      </c>
      <c r="AN6098">
        <v>1.0000000258692801</v>
      </c>
    </row>
    <row r="6099" spans="1:40" x14ac:dyDescent="0.25">
      <c r="A6099" t="str">
        <f>"20190312151146798"</f>
        <v>20190312151146798</v>
      </c>
      <c r="B6099" t="str">
        <f>"1552374706787404"</f>
        <v>1552374706787404</v>
      </c>
      <c r="C6099" t="s">
        <v>40</v>
      </c>
      <c r="D6099">
        <v>4.9593970000000001</v>
      </c>
      <c r="E6099">
        <v>0.44229230000000003</v>
      </c>
      <c r="F6099" t="s">
        <v>42</v>
      </c>
      <c r="G6099">
        <v>-279.74700000000001</v>
      </c>
      <c r="H6099" s="1">
        <v>-3.5705200000000001E-6</v>
      </c>
      <c r="I6099">
        <v>-59.32161</v>
      </c>
      <c r="J6099">
        <v>-285.7604</v>
      </c>
      <c r="K6099">
        <v>1.1147819999999999</v>
      </c>
      <c r="L6099">
        <v>-58.204900000000002</v>
      </c>
      <c r="M6099">
        <v>0.84011800000000003</v>
      </c>
      <c r="N6099">
        <v>0</v>
      </c>
      <c r="O6099">
        <v>-0.54227819999999904</v>
      </c>
      <c r="P6099">
        <v>0.93853430000000004</v>
      </c>
      <c r="Q6099">
        <v>2.2905249999999999E-2</v>
      </c>
      <c r="R6099">
        <v>-0.3444255</v>
      </c>
      <c r="S6099">
        <v>2.996826</v>
      </c>
      <c r="T6099">
        <v>-0.53987169999999995</v>
      </c>
      <c r="U6099">
        <v>-0.59170529999999999</v>
      </c>
      <c r="V6099">
        <v>-0.2199864</v>
      </c>
      <c r="W6099">
        <v>3.1721819999999998E-2</v>
      </c>
      <c r="X6099">
        <v>0.97498700000000005</v>
      </c>
      <c r="Y6099">
        <v>-0.35645579999999999</v>
      </c>
      <c r="Z6099">
        <v>0.12214990000000001</v>
      </c>
      <c r="AA6099">
        <v>0.92629300000000003</v>
      </c>
      <c r="AB6099">
        <v>23</v>
      </c>
      <c r="AC6099">
        <v>6.0133999999999901</v>
      </c>
      <c r="AD6099">
        <v>-1.11478557052</v>
      </c>
      <c r="AE6099">
        <v>-1.1167099999999901</v>
      </c>
      <c r="AF6099">
        <v>-2.2482360834100801</v>
      </c>
      <c r="AG6099">
        <v>-1.11478557052</v>
      </c>
      <c r="AH6099">
        <v>5.4759977844020096</v>
      </c>
      <c r="AI6099">
        <v>100.665177500368</v>
      </c>
      <c r="AJ6099">
        <v>112.321185402615</v>
      </c>
      <c r="AK6099">
        <v>6.0236088924964699</v>
      </c>
      <c r="AL6099">
        <v>88.182168581505294</v>
      </c>
      <c r="AM6099">
        <v>102.71474052188699</v>
      </c>
      <c r="AN6099">
        <v>0.99999997010903496</v>
      </c>
    </row>
    <row r="6100" spans="1:40" x14ac:dyDescent="0.25">
      <c r="A6100" t="str">
        <f>"20190312151146820"</f>
        <v>20190312151146820</v>
      </c>
      <c r="B6100" t="str">
        <f>"1552374706817660"</f>
        <v>1552374706817660</v>
      </c>
      <c r="C6100" t="s">
        <v>40</v>
      </c>
      <c r="D6100">
        <v>5.0174699999999897</v>
      </c>
      <c r="E6100">
        <v>0.44332589999999999</v>
      </c>
      <c r="F6100" t="s">
        <v>42</v>
      </c>
      <c r="G6100">
        <v>-279.57279999999997</v>
      </c>
      <c r="H6100" s="1">
        <v>-3.4804810000000001E-6</v>
      </c>
      <c r="I6100">
        <v>-59.3908699999999</v>
      </c>
      <c r="J6100">
        <v>-285.56709999999998</v>
      </c>
      <c r="K6100">
        <v>1.114733</v>
      </c>
      <c r="L6100">
        <v>-58.319090000000003</v>
      </c>
      <c r="M6100">
        <v>0.84427759999999996</v>
      </c>
      <c r="N6100">
        <v>0</v>
      </c>
      <c r="O6100">
        <v>-0.53577940000000002</v>
      </c>
      <c r="P6100">
        <v>0.94107839999999998</v>
      </c>
      <c r="Q6100">
        <v>2.2026799999999999E-2</v>
      </c>
      <c r="R6100">
        <v>-0.3374702</v>
      </c>
      <c r="S6100">
        <v>2.9987180000000002</v>
      </c>
      <c r="T6100">
        <v>-0.540265</v>
      </c>
      <c r="U6100">
        <v>-0.5747681</v>
      </c>
      <c r="V6100">
        <v>-0.21967619999999999</v>
      </c>
      <c r="W6100">
        <v>3.0867269999999999E-2</v>
      </c>
      <c r="X6100">
        <v>0.97508439999999996</v>
      </c>
      <c r="Y6100">
        <v>-0.35450799999999999</v>
      </c>
      <c r="Z6100">
        <v>0.1211315</v>
      </c>
      <c r="AA6100">
        <v>0.92717380000000005</v>
      </c>
      <c r="AB6100">
        <v>23</v>
      </c>
      <c r="AC6100">
        <v>5.9943000000000097</v>
      </c>
      <c r="AD6100">
        <v>-1.114736480481</v>
      </c>
      <c r="AE6100">
        <v>-1.07177999999998</v>
      </c>
      <c r="AF6100">
        <v>-2.2320971256386302</v>
      </c>
      <c r="AG6100">
        <v>-1.114736480481</v>
      </c>
      <c r="AH6100">
        <v>5.4527410455198497</v>
      </c>
      <c r="AI6100">
        <v>100.713594115493</v>
      </c>
      <c r="AJ6100">
        <v>112.26189732490801</v>
      </c>
      <c r="AK6100">
        <v>5.9964389356263998</v>
      </c>
      <c r="AL6100">
        <v>88.231154746216006</v>
      </c>
      <c r="AM6100">
        <v>102.696166077781</v>
      </c>
      <c r="AN6100">
        <v>1.00000000416352</v>
      </c>
    </row>
    <row r="6101" spans="1:40" x14ac:dyDescent="0.25">
      <c r="A6101" t="str">
        <f>"20190312151146842"</f>
        <v>20190312151146842</v>
      </c>
      <c r="B6101" t="str">
        <f>"1552374706837183"</f>
        <v>1552374706837183</v>
      </c>
      <c r="C6101" t="s">
        <v>40</v>
      </c>
      <c r="D6101">
        <v>4.9791349999999897</v>
      </c>
      <c r="E6101">
        <v>0.44396340000000001</v>
      </c>
      <c r="F6101" t="s">
        <v>42</v>
      </c>
      <c r="G6101">
        <v>-279.4171</v>
      </c>
      <c r="H6101" s="1">
        <v>-3.396668E-6</v>
      </c>
      <c r="I6101">
        <v>-59.467869999999998</v>
      </c>
      <c r="J6101">
        <v>-285.37540000000001</v>
      </c>
      <c r="K6101">
        <v>1.114679</v>
      </c>
      <c r="L6101">
        <v>-58.430540000000001</v>
      </c>
      <c r="M6101">
        <v>0.84829120000000002</v>
      </c>
      <c r="N6101">
        <v>0</v>
      </c>
      <c r="O6101">
        <v>-0.52940209999999999</v>
      </c>
      <c r="P6101">
        <v>0.94342979999999999</v>
      </c>
      <c r="Q6101">
        <v>2.1874190000000002E-2</v>
      </c>
      <c r="R6101">
        <v>-0.33085019999999998</v>
      </c>
      <c r="S6101">
        <v>2.999603</v>
      </c>
      <c r="T6101">
        <v>-0.54369999999999996</v>
      </c>
      <c r="U6101">
        <v>-0.56030269999999904</v>
      </c>
      <c r="V6101">
        <v>-0.21917529999999999</v>
      </c>
      <c r="W6101">
        <v>3.074383E-2</v>
      </c>
      <c r="X6101">
        <v>0.97520099999999998</v>
      </c>
      <c r="Y6101">
        <v>-0.35180099999999997</v>
      </c>
      <c r="Z6101">
        <v>0.1207437</v>
      </c>
      <c r="AA6101">
        <v>0.92825480000000005</v>
      </c>
      <c r="AB6101">
        <v>23</v>
      </c>
      <c r="AC6101">
        <v>5.9583000000000004</v>
      </c>
      <c r="AD6101">
        <v>-1.114682396668</v>
      </c>
      <c r="AE6101">
        <v>-1.0373299999999901</v>
      </c>
      <c r="AF6101">
        <v>-2.1998062905262898</v>
      </c>
      <c r="AG6101">
        <v>-1.114682396668</v>
      </c>
      <c r="AH6101">
        <v>5.4198093162127803</v>
      </c>
      <c r="AI6101">
        <v>100.789435453552</v>
      </c>
      <c r="AJ6101">
        <v>112.09137750599299</v>
      </c>
      <c r="AK6101">
        <v>5.9544938983416102</v>
      </c>
      <c r="AL6101">
        <v>88.2382306754712</v>
      </c>
      <c r="AM6101">
        <v>102.666686120411</v>
      </c>
      <c r="AN6101">
        <v>0.99999999280707896</v>
      </c>
    </row>
    <row r="6102" spans="1:40" x14ac:dyDescent="0.25">
      <c r="A6102" t="str">
        <f>"20190312151146865"</f>
        <v>20190312151146865</v>
      </c>
      <c r="B6102" t="str">
        <f>"1552374706857676"</f>
        <v>1552374706857676</v>
      </c>
      <c r="C6102" t="s">
        <v>40</v>
      </c>
      <c r="D6102">
        <v>4.9915620000000001</v>
      </c>
      <c r="E6102">
        <v>0.44474340000000001</v>
      </c>
      <c r="F6102" t="s">
        <v>42</v>
      </c>
      <c r="G6102">
        <v>-279.20769999999999</v>
      </c>
      <c r="H6102" s="1">
        <v>-3.2888429999999999E-6</v>
      </c>
      <c r="I6102">
        <v>-59.549210000000002</v>
      </c>
      <c r="J6102">
        <v>-285.17860000000002</v>
      </c>
      <c r="K6102">
        <v>1.1146149999999999</v>
      </c>
      <c r="L6102">
        <v>-58.543059999999997</v>
      </c>
      <c r="M6102">
        <v>0.8523037</v>
      </c>
      <c r="N6102">
        <v>0</v>
      </c>
      <c r="O6102">
        <v>-0.52291779999999999</v>
      </c>
      <c r="P6102">
        <v>0.94543239999999995</v>
      </c>
      <c r="Q6102">
        <v>2.1062279999999999E-2</v>
      </c>
      <c r="R6102">
        <v>-0.3251366</v>
      </c>
      <c r="S6102">
        <v>3.0015559999999999</v>
      </c>
      <c r="T6102">
        <v>-0.54246539999999999</v>
      </c>
      <c r="U6102">
        <v>-0.54440310000000003</v>
      </c>
      <c r="V6102">
        <v>-0.21763389999999999</v>
      </c>
      <c r="W6102">
        <v>2.9975990000000001E-2</v>
      </c>
      <c r="X6102">
        <v>0.97557000000000005</v>
      </c>
      <c r="Y6102">
        <v>-0.34972049999999999</v>
      </c>
      <c r="Z6102">
        <v>0.119329</v>
      </c>
      <c r="AA6102">
        <v>0.92922340000000003</v>
      </c>
      <c r="AB6102">
        <v>23</v>
      </c>
      <c r="AC6102">
        <v>5.9709000000000199</v>
      </c>
      <c r="AD6102">
        <v>-1.1146182888429901</v>
      </c>
      <c r="AE6102">
        <v>-1.0061499999999901</v>
      </c>
      <c r="AF6102">
        <v>-2.1906662274114601</v>
      </c>
      <c r="AG6102">
        <v>-1.1146182888429901</v>
      </c>
      <c r="AH6102">
        <v>5.4314859329823797</v>
      </c>
      <c r="AI6102">
        <v>100.775523976489</v>
      </c>
      <c r="AJ6102">
        <v>111.965562749198</v>
      </c>
      <c r="AK6102">
        <v>5.9617473856185796</v>
      </c>
      <c r="AL6102">
        <v>88.282244883252702</v>
      </c>
      <c r="AM6102">
        <v>102.575842922783</v>
      </c>
      <c r="AN6102">
        <v>0.999999949652843</v>
      </c>
    </row>
    <row r="6103" spans="1:40" x14ac:dyDescent="0.25">
      <c r="A6103" t="str">
        <f>"20190312151146886"</f>
        <v>20190312151146886</v>
      </c>
      <c r="B6103" t="str">
        <f>"1552374706877197"</f>
        <v>1552374706877197</v>
      </c>
      <c r="C6103" t="s">
        <v>40</v>
      </c>
      <c r="D6103">
        <v>4.9812099999999999</v>
      </c>
      <c r="E6103">
        <v>0.44536530000000002</v>
      </c>
      <c r="F6103" t="s">
        <v>42</v>
      </c>
      <c r="G6103">
        <v>-279.01659999999998</v>
      </c>
      <c r="H6103" s="1">
        <v>-3.1879079999999998E-6</v>
      </c>
      <c r="I6103">
        <v>-59.634979999999999</v>
      </c>
      <c r="J6103">
        <v>-284.9803</v>
      </c>
      <c r="K6103">
        <v>1.1145609999999999</v>
      </c>
      <c r="L6103">
        <v>-58.6545699999999</v>
      </c>
      <c r="M6103">
        <v>0.85623369999999999</v>
      </c>
      <c r="N6103">
        <v>0</v>
      </c>
      <c r="O6103">
        <v>-0.51645770000000002</v>
      </c>
      <c r="P6103">
        <v>0.94739629999999997</v>
      </c>
      <c r="Q6103">
        <v>1.9777449999999999E-2</v>
      </c>
      <c r="R6103">
        <v>-0.3194514</v>
      </c>
      <c r="S6103">
        <v>3.0022579999999999</v>
      </c>
      <c r="T6103">
        <v>-0.54307119999999998</v>
      </c>
      <c r="U6103">
        <v>-0.53201290000000001</v>
      </c>
      <c r="V6103">
        <v>-0.2161129</v>
      </c>
      <c r="W6103">
        <v>2.8735320000000002E-2</v>
      </c>
      <c r="X6103">
        <v>0.97594539999999996</v>
      </c>
      <c r="Y6103">
        <v>-0.3465065</v>
      </c>
      <c r="Z6103">
        <v>0.1182383</v>
      </c>
      <c r="AA6103">
        <v>0.930566</v>
      </c>
      <c r="AB6103">
        <v>23</v>
      </c>
      <c r="AC6103">
        <v>5.96370000000001</v>
      </c>
      <c r="AD6103">
        <v>-1.1145641879079999</v>
      </c>
      <c r="AE6103">
        <v>-0.98041000000001299</v>
      </c>
      <c r="AF6103">
        <v>-2.1669924892502199</v>
      </c>
      <c r="AG6103">
        <v>-1.1145641879079999</v>
      </c>
      <c r="AH6103">
        <v>5.4284242747467299</v>
      </c>
      <c r="AI6103">
        <v>100.795998869917</v>
      </c>
      <c r="AJ6103">
        <v>111.761570342029</v>
      </c>
      <c r="AK6103">
        <v>5.9502856976865797</v>
      </c>
      <c r="AL6103">
        <v>88.353360718551301</v>
      </c>
      <c r="AM6103">
        <v>102.486066544393</v>
      </c>
      <c r="AN6103">
        <v>0.99999996397153501</v>
      </c>
    </row>
    <row r="6104" spans="1:40" x14ac:dyDescent="0.25">
      <c r="A6104" t="str">
        <f>"20190312151146909"</f>
        <v>20190312151146909</v>
      </c>
      <c r="B6104" t="str">
        <f>"1552374706897692"</f>
        <v>1552374706897692</v>
      </c>
      <c r="C6104" t="s">
        <v>40</v>
      </c>
      <c r="D6104">
        <v>4.9770820000000002</v>
      </c>
      <c r="E6104">
        <v>0.44603490000000001</v>
      </c>
      <c r="F6104" t="s">
        <v>42</v>
      </c>
      <c r="G6104">
        <v>-278.86279999999999</v>
      </c>
      <c r="H6104" s="1">
        <v>-3.105478E-6</v>
      </c>
      <c r="I6104">
        <v>-59.709380000000003</v>
      </c>
      <c r="J6104">
        <v>-284.78289999999998</v>
      </c>
      <c r="K6104">
        <v>1.114517</v>
      </c>
      <c r="L6104">
        <v>-58.763759999999998</v>
      </c>
      <c r="M6104">
        <v>0.86003799999999997</v>
      </c>
      <c r="N6104">
        <v>0</v>
      </c>
      <c r="O6104">
        <v>-0.51009740000000003</v>
      </c>
      <c r="P6104">
        <v>0.9493374</v>
      </c>
      <c r="Q6104">
        <v>1.9372049999999998E-2</v>
      </c>
      <c r="R6104">
        <v>-0.31366159999999998</v>
      </c>
      <c r="S6104">
        <v>3.0033569999999998</v>
      </c>
      <c r="T6104">
        <v>-0.5471897</v>
      </c>
      <c r="U6104">
        <v>-0.5178528</v>
      </c>
      <c r="V6104">
        <v>-0.2148333</v>
      </c>
      <c r="W6104">
        <v>2.8373079999999998E-2</v>
      </c>
      <c r="X6104">
        <v>0.97623850000000001</v>
      </c>
      <c r="Y6104">
        <v>-0.34381850000000003</v>
      </c>
      <c r="Z6104">
        <v>0.1179386</v>
      </c>
      <c r="AA6104">
        <v>0.9316004</v>
      </c>
      <c r="AB6104">
        <v>23</v>
      </c>
      <c r="AC6104">
        <v>5.9200999999999899</v>
      </c>
      <c r="AD6104">
        <v>-1.1145201054780001</v>
      </c>
      <c r="AE6104">
        <v>-0.94562000000000501</v>
      </c>
      <c r="AF6104">
        <v>-2.1329911559740999</v>
      </c>
      <c r="AG6104">
        <v>-1.1145201054780001</v>
      </c>
      <c r="AH6104">
        <v>5.3880347775536501</v>
      </c>
      <c r="AI6104">
        <v>100.886682374157</v>
      </c>
      <c r="AJ6104">
        <v>111.59740091118999</v>
      </c>
      <c r="AK6104">
        <v>5.9010782998623297</v>
      </c>
      <c r="AL6104">
        <v>88.374124057204099</v>
      </c>
      <c r="AM6104">
        <v>102.41082379955</v>
      </c>
      <c r="AN6104">
        <v>0.99999999366991299</v>
      </c>
    </row>
    <row r="6105" spans="1:40" x14ac:dyDescent="0.25">
      <c r="A6105" t="str">
        <f>"20190312151146931"</f>
        <v>20190312151146931</v>
      </c>
      <c r="B6105" t="str">
        <f>"1552374706926972"</f>
        <v>1552374706926972</v>
      </c>
      <c r="C6105" t="s">
        <v>40</v>
      </c>
      <c r="D6105">
        <v>4.9817609999999997</v>
      </c>
      <c r="E6105">
        <v>0.44700830000000003</v>
      </c>
      <c r="F6105" t="s">
        <v>42</v>
      </c>
      <c r="G6105">
        <v>-278.67829999999998</v>
      </c>
      <c r="H6105" s="1">
        <v>-3.00905E-6</v>
      </c>
      <c r="I6105">
        <v>-59.787559999999999</v>
      </c>
      <c r="J6105">
        <v>-284.58429999999998</v>
      </c>
      <c r="K6105">
        <v>1.114476</v>
      </c>
      <c r="L6105">
        <v>-58.871830000000003</v>
      </c>
      <c r="M6105">
        <v>0.86376209999999898</v>
      </c>
      <c r="N6105">
        <v>0</v>
      </c>
      <c r="O6105">
        <v>-0.50376560000000004</v>
      </c>
      <c r="P6105">
        <v>0.95136019999999999</v>
      </c>
      <c r="Q6105">
        <v>1.891263E-2</v>
      </c>
      <c r="R6105">
        <v>-0.30749989999999999</v>
      </c>
      <c r="S6105">
        <v>3.004791</v>
      </c>
      <c r="T6105">
        <v>-0.54858960000000001</v>
      </c>
      <c r="U6105">
        <v>-0.50393679999999996</v>
      </c>
      <c r="V6105">
        <v>-0.21398719999999999</v>
      </c>
      <c r="W6105">
        <v>2.7952189999999998E-2</v>
      </c>
      <c r="X6105">
        <v>0.97643639999999998</v>
      </c>
      <c r="Y6105">
        <v>-0.34126529999999999</v>
      </c>
      <c r="Z6105">
        <v>0.1170457</v>
      </c>
      <c r="AA6105">
        <v>0.93265120000000001</v>
      </c>
      <c r="AB6105">
        <v>23</v>
      </c>
      <c r="AC6105">
        <v>5.9059999999999997</v>
      </c>
      <c r="AD6105">
        <v>-1.1144790090500001</v>
      </c>
      <c r="AE6105">
        <v>-0.91572999999999605</v>
      </c>
      <c r="AF6105">
        <v>-2.1110088100368198</v>
      </c>
      <c r="AG6105">
        <v>-1.1144790090500001</v>
      </c>
      <c r="AH6105">
        <v>5.3761255267348496</v>
      </c>
      <c r="AI6105">
        <v>100.921504015134</v>
      </c>
      <c r="AJ6105">
        <v>111.438129209916</v>
      </c>
      <c r="AK6105">
        <v>5.8822739936929302</v>
      </c>
      <c r="AL6105">
        <v>88.398248769138405</v>
      </c>
      <c r="AM6105">
        <v>102.361022279427</v>
      </c>
      <c r="AN6105">
        <v>0.99999994496729605</v>
      </c>
    </row>
    <row r="6106" spans="1:40" x14ac:dyDescent="0.25">
      <c r="A6106" t="str">
        <f>"20190312151146954"</f>
        <v>20190312151146954</v>
      </c>
      <c r="B6106" t="str">
        <f>"1552374706947468"</f>
        <v>1552374706947468</v>
      </c>
      <c r="C6106" t="s">
        <v>40</v>
      </c>
      <c r="D6106">
        <v>4.9826949999999997</v>
      </c>
      <c r="E6106">
        <v>0.44755990000000001</v>
      </c>
      <c r="F6106" t="s">
        <v>42</v>
      </c>
      <c r="G6106">
        <v>-278.46480000000003</v>
      </c>
      <c r="H6106" s="1">
        <v>-2.898375E-6</v>
      </c>
      <c r="I6106">
        <v>-59.873820000000002</v>
      </c>
      <c r="J6106">
        <v>-284.38850000000002</v>
      </c>
      <c r="K6106">
        <v>1.1144400000000001</v>
      </c>
      <c r="L6106">
        <v>-58.976619999999997</v>
      </c>
      <c r="M6106">
        <v>0.86734049999999996</v>
      </c>
      <c r="N6106">
        <v>0</v>
      </c>
      <c r="O6106">
        <v>-0.49757889999999999</v>
      </c>
      <c r="P6106">
        <v>0.95342199999999999</v>
      </c>
      <c r="Q6106">
        <v>1.8874680000000001E-2</v>
      </c>
      <c r="R6106">
        <v>-0.30104880000000001</v>
      </c>
      <c r="S6106">
        <v>3.005188</v>
      </c>
      <c r="T6106">
        <v>-0.54730649999999903</v>
      </c>
      <c r="U6106">
        <v>-0.49206539999999999</v>
      </c>
      <c r="V6106">
        <v>-0.21361939999999999</v>
      </c>
      <c r="W6106">
        <v>2.7940280000000001E-2</v>
      </c>
      <c r="X6106">
        <v>0.97651730000000003</v>
      </c>
      <c r="Y6106">
        <v>-0.3383507</v>
      </c>
      <c r="Z6106">
        <v>0.1156016</v>
      </c>
      <c r="AA6106">
        <v>0.93389239999999996</v>
      </c>
      <c r="AB6106">
        <v>23</v>
      </c>
      <c r="AC6106">
        <v>5.9236999999999904</v>
      </c>
      <c r="AD6106">
        <v>-1.1144428983750001</v>
      </c>
      <c r="AE6106">
        <v>-0.897199999999997</v>
      </c>
      <c r="AF6106">
        <v>-2.0969233348572098</v>
      </c>
      <c r="AG6106">
        <v>-1.1144428983750001</v>
      </c>
      <c r="AH6106">
        <v>5.3979027766801799</v>
      </c>
      <c r="AI6106">
        <v>100.893251717965</v>
      </c>
      <c r="AJ6106">
        <v>111.22965527995601</v>
      </c>
      <c r="AK6106">
        <v>5.89715396038621</v>
      </c>
      <c r="AL6106">
        <v>88.398931472232405</v>
      </c>
      <c r="AM6106">
        <v>102.339436716568</v>
      </c>
      <c r="AN6106">
        <v>0.99999997225106296</v>
      </c>
    </row>
    <row r="6107" spans="1:40" x14ac:dyDescent="0.25">
      <c r="A6107" t="str">
        <f>"20190312151146976"</f>
        <v>20190312151146976</v>
      </c>
      <c r="B6107" t="str">
        <f>"1552374706966988"</f>
        <v>1552374706966988</v>
      </c>
      <c r="C6107" t="s">
        <v>40</v>
      </c>
      <c r="D6107">
        <v>5.0100689999999997</v>
      </c>
      <c r="E6107">
        <v>0.4480768</v>
      </c>
      <c r="F6107" t="s">
        <v>42</v>
      </c>
      <c r="G6107">
        <v>-278.27179999999998</v>
      </c>
      <c r="H6107" s="1">
        <v>-2.799788E-6</v>
      </c>
      <c r="I6107">
        <v>-59.945250000000001</v>
      </c>
      <c r="J6107">
        <v>-284.1832</v>
      </c>
      <c r="K6107">
        <v>1.1144149999999999</v>
      </c>
      <c r="L6107">
        <v>-59.084690000000002</v>
      </c>
      <c r="M6107">
        <v>0.87100339999999998</v>
      </c>
      <c r="N6107">
        <v>0</v>
      </c>
      <c r="O6107">
        <v>-0.49113879999999999</v>
      </c>
      <c r="P6107">
        <v>0.95545170000000001</v>
      </c>
      <c r="Q6107">
        <v>1.937941E-2</v>
      </c>
      <c r="R6107">
        <v>-0.29451080000000002</v>
      </c>
      <c r="S6107">
        <v>3.0070800000000002</v>
      </c>
      <c r="T6107">
        <v>-0.54788419999999904</v>
      </c>
      <c r="U6107">
        <v>-0.47619630000000002</v>
      </c>
      <c r="V6107">
        <v>-0.21307190000000001</v>
      </c>
      <c r="W6107">
        <v>2.8470309999999999E-2</v>
      </c>
      <c r="X6107">
        <v>0.97662159999999998</v>
      </c>
      <c r="Y6107">
        <v>-0.33638780000000001</v>
      </c>
      <c r="Z6107">
        <v>0.11454830000000001</v>
      </c>
      <c r="AA6107">
        <v>0.93473090000000003</v>
      </c>
      <c r="AB6107">
        <v>23</v>
      </c>
      <c r="AC6107">
        <v>5.9114000000000102</v>
      </c>
      <c r="AD6107">
        <v>-1.114417799788</v>
      </c>
      <c r="AE6107">
        <v>-0.86055999999999899</v>
      </c>
      <c r="AF6107">
        <v>-2.0814733912124801</v>
      </c>
      <c r="AG6107">
        <v>-1.114417799788</v>
      </c>
      <c r="AH6107">
        <v>5.3844895761419496</v>
      </c>
      <c r="AI6107">
        <v>100.92632612069301</v>
      </c>
      <c r="AJ6107">
        <v>111.134925486985</v>
      </c>
      <c r="AK6107">
        <v>5.8793865756889296</v>
      </c>
      <c r="AL6107">
        <v>88.368550900689399</v>
      </c>
      <c r="AM6107">
        <v>102.307501926546</v>
      </c>
      <c r="AN6107">
        <v>0.99999997135383201</v>
      </c>
    </row>
    <row r="6108" spans="1:40" x14ac:dyDescent="0.25">
      <c r="A6108" t="str">
        <f>"20190312151146999"</f>
        <v>20190312151146999</v>
      </c>
      <c r="B6108" t="str">
        <f>"1552374706987484"</f>
        <v>1552374706987484</v>
      </c>
      <c r="C6108" t="s">
        <v>40</v>
      </c>
      <c r="D6108">
        <v>4.9872389999999998</v>
      </c>
      <c r="E6108">
        <v>0.44855640000000002</v>
      </c>
      <c r="F6108" t="s">
        <v>42</v>
      </c>
      <c r="G6108">
        <v>-278.05509999999998</v>
      </c>
      <c r="H6108" s="1">
        <v>-2.6902609999999999E-6</v>
      </c>
      <c r="I6108">
        <v>-60.020200000000003</v>
      </c>
      <c r="J6108">
        <v>-283.99110000000002</v>
      </c>
      <c r="K6108">
        <v>1.114406</v>
      </c>
      <c r="L6108">
        <v>-59.184109999999997</v>
      </c>
      <c r="M6108">
        <v>0.87435699999999905</v>
      </c>
      <c r="N6108">
        <v>0</v>
      </c>
      <c r="O6108">
        <v>-0.48514350000000001</v>
      </c>
      <c r="P6108">
        <v>0.95736500000000002</v>
      </c>
      <c r="Q6108">
        <v>1.9575700000000001E-2</v>
      </c>
      <c r="R6108">
        <v>-0.28821720000000001</v>
      </c>
      <c r="S6108">
        <v>3.009369</v>
      </c>
      <c r="T6108">
        <v>-0.54726470000000005</v>
      </c>
      <c r="U6108">
        <v>-0.45941159999999998</v>
      </c>
      <c r="V6108">
        <v>-0.2127879</v>
      </c>
      <c r="W6108">
        <v>2.868337E-2</v>
      </c>
      <c r="X6108">
        <v>0.97667729999999997</v>
      </c>
      <c r="Y6108">
        <v>-0.33526739999999999</v>
      </c>
      <c r="Z6108">
        <v>0.11337659999999999</v>
      </c>
      <c r="AA6108">
        <v>0.9352762</v>
      </c>
      <c r="AB6108">
        <v>23</v>
      </c>
      <c r="AC6108">
        <v>5.9360000000000301</v>
      </c>
      <c r="AD6108">
        <v>-1.114408690261</v>
      </c>
      <c r="AE6108">
        <v>-0.836090000000005</v>
      </c>
      <c r="AF6108">
        <v>-2.0771314159312202</v>
      </c>
      <c r="AG6108">
        <v>-1.114408690261</v>
      </c>
      <c r="AH6108">
        <v>5.4092445574958496</v>
      </c>
      <c r="AI6108">
        <v>100.886596105404</v>
      </c>
      <c r="AJ6108">
        <v>111.00661871062201</v>
      </c>
      <c r="AK6108">
        <v>5.9005345800847699</v>
      </c>
      <c r="AL6108">
        <v>88.356338500045098</v>
      </c>
      <c r="AM6108">
        <v>102.290916801089</v>
      </c>
      <c r="AN6108">
        <v>0.99999998721812799</v>
      </c>
    </row>
    <row r="6109" spans="1:40" x14ac:dyDescent="0.25">
      <c r="A6109" t="str">
        <f>"20190312151147020"</f>
        <v>20190312151147020</v>
      </c>
      <c r="B6109" t="str">
        <f>"1552374707017740"</f>
        <v>1552374707017740</v>
      </c>
      <c r="C6109" t="s">
        <v>40</v>
      </c>
      <c r="D6109">
        <v>5.0838769999999904</v>
      </c>
      <c r="E6109">
        <v>0.44925979999999999</v>
      </c>
      <c r="F6109" t="s">
        <v>42</v>
      </c>
      <c r="G6109">
        <v>-277.8272</v>
      </c>
      <c r="H6109" s="1">
        <v>-2.5768769999999998E-6</v>
      </c>
      <c r="I6109">
        <v>-60.090850000000003</v>
      </c>
      <c r="J6109">
        <v>-283.7894</v>
      </c>
      <c r="K6109">
        <v>1.1143959999999999</v>
      </c>
      <c r="L6109">
        <v>-59.286560000000001</v>
      </c>
      <c r="M6109">
        <v>0.87780650000000005</v>
      </c>
      <c r="N6109">
        <v>0</v>
      </c>
      <c r="O6109">
        <v>-0.47887370000000001</v>
      </c>
      <c r="P6109">
        <v>0.95925859999999996</v>
      </c>
      <c r="Q6109">
        <v>2.0327810000000002E-2</v>
      </c>
      <c r="R6109">
        <v>-0.28179759999999998</v>
      </c>
      <c r="S6109">
        <v>3.0113829999999999</v>
      </c>
      <c r="T6109">
        <v>-0.5444502</v>
      </c>
      <c r="U6109">
        <v>-0.44299319999999998</v>
      </c>
      <c r="V6109">
        <v>-0.21234069999999999</v>
      </c>
      <c r="W6109">
        <v>2.9450750000000001E-2</v>
      </c>
      <c r="X6109">
        <v>0.97675179999999995</v>
      </c>
      <c r="Y6109">
        <v>-0.33385989999999999</v>
      </c>
      <c r="Z6109">
        <v>0.1116974</v>
      </c>
      <c r="AA6109">
        <v>0.93598150000000002</v>
      </c>
      <c r="AB6109">
        <v>23</v>
      </c>
      <c r="AC6109">
        <v>5.9621999999999904</v>
      </c>
      <c r="AD6109">
        <v>-1.1143985768769999</v>
      </c>
      <c r="AE6109">
        <v>-0.80429000000000805</v>
      </c>
      <c r="AF6109">
        <v>-2.07797772614212</v>
      </c>
      <c r="AG6109">
        <v>-1.1143985768769999</v>
      </c>
      <c r="AH6109">
        <v>5.4327871191377799</v>
      </c>
      <c r="AI6109">
        <v>100.84577936276099</v>
      </c>
      <c r="AJ6109">
        <v>110.931269731512</v>
      </c>
      <c r="AK6109">
        <v>5.9224193958514704</v>
      </c>
      <c r="AL6109">
        <v>88.312352297532897</v>
      </c>
      <c r="AM6109">
        <v>102.264961491124</v>
      </c>
      <c r="AN6109">
        <v>0.99999999917764604</v>
      </c>
    </row>
    <row r="6110" spans="1:40" x14ac:dyDescent="0.25">
      <c r="A6110" t="str">
        <f>"20190312151147043"</f>
        <v>20190312151147043</v>
      </c>
      <c r="B6110" t="str">
        <f>"1552374707037260"</f>
        <v>1552374707037260</v>
      </c>
      <c r="C6110" t="s">
        <v>40</v>
      </c>
      <c r="D6110">
        <v>5.033855</v>
      </c>
      <c r="E6110">
        <v>0.44974039999999998</v>
      </c>
      <c r="F6110" t="s">
        <v>42</v>
      </c>
      <c r="G6110">
        <v>-277.58030000000002</v>
      </c>
      <c r="H6110" s="1">
        <v>-2.4536399999999999E-6</v>
      </c>
      <c r="I6110">
        <v>-60.169020000000003</v>
      </c>
      <c r="J6110">
        <v>-283.58580000000001</v>
      </c>
      <c r="K6110">
        <v>1.1144019999999999</v>
      </c>
      <c r="L6110">
        <v>-59.388280000000002</v>
      </c>
      <c r="M6110">
        <v>0.88122690000000004</v>
      </c>
      <c r="N6110">
        <v>0</v>
      </c>
      <c r="O6110">
        <v>-0.47255000000000003</v>
      </c>
      <c r="P6110">
        <v>0.9612617</v>
      </c>
      <c r="Q6110">
        <v>2.1284609999999999E-2</v>
      </c>
      <c r="R6110">
        <v>-0.27481460000000002</v>
      </c>
      <c r="S6110">
        <v>3.0130620000000001</v>
      </c>
      <c r="T6110">
        <v>-0.54077240000000004</v>
      </c>
      <c r="U6110">
        <v>-0.42822270000000001</v>
      </c>
      <c r="V6110">
        <v>-0.21242069999999999</v>
      </c>
      <c r="W6110">
        <v>3.041162E-2</v>
      </c>
      <c r="X6110">
        <v>0.97670500000000005</v>
      </c>
      <c r="Y6110">
        <v>-0.3319491</v>
      </c>
      <c r="Z6110">
        <v>0.1098025</v>
      </c>
      <c r="AA6110">
        <v>0.93688479999999996</v>
      </c>
      <c r="AB6110">
        <v>23</v>
      </c>
      <c r="AC6110">
        <v>6.0054999999999801</v>
      </c>
      <c r="AD6110">
        <v>-1.11440445364</v>
      </c>
      <c r="AE6110">
        <v>-0.78073999999999399</v>
      </c>
      <c r="AF6110">
        <v>-2.0796164377444901</v>
      </c>
      <c r="AG6110">
        <v>-1.11440445364</v>
      </c>
      <c r="AH6110">
        <v>5.4761008097525998</v>
      </c>
      <c r="AI6110">
        <v>100.771599725073</v>
      </c>
      <c r="AJ6110">
        <v>110.79488749742499</v>
      </c>
      <c r="AK6110">
        <v>5.9627495245903797</v>
      </c>
      <c r="AL6110">
        <v>88.257273891372293</v>
      </c>
      <c r="AM6110">
        <v>102.270012497016</v>
      </c>
      <c r="AN6110">
        <v>1.0000000387222501</v>
      </c>
    </row>
    <row r="6111" spans="1:40" x14ac:dyDescent="0.25">
      <c r="A6111" t="str">
        <f>"20190312151147065"</f>
        <v>20190312151147065</v>
      </c>
      <c r="B6111" t="str">
        <f>"1552374707057756"</f>
        <v>1552374707057756</v>
      </c>
      <c r="C6111" t="s">
        <v>40</v>
      </c>
      <c r="D6111">
        <v>5.3245389999999997</v>
      </c>
      <c r="E6111">
        <v>0.4502041</v>
      </c>
      <c r="F6111" t="s">
        <v>42</v>
      </c>
      <c r="G6111">
        <v>-277.32929999999999</v>
      </c>
      <c r="H6111" s="1">
        <v>-2.3305169999999998E-6</v>
      </c>
      <c r="I6111">
        <v>-60.238919999999901</v>
      </c>
      <c r="J6111">
        <v>-283.38470000000001</v>
      </c>
      <c r="K6111">
        <v>1.114409</v>
      </c>
      <c r="L6111">
        <v>-59.486910000000002</v>
      </c>
      <c r="M6111">
        <v>0.88454509999999897</v>
      </c>
      <c r="N6111">
        <v>0</v>
      </c>
      <c r="O6111">
        <v>-0.46630899999999997</v>
      </c>
      <c r="P6111">
        <v>0.96310260000000003</v>
      </c>
      <c r="Q6111">
        <v>2.186975E-2</v>
      </c>
      <c r="R6111">
        <v>-0.26824490000000001</v>
      </c>
      <c r="S6111">
        <v>3.0155639999999999</v>
      </c>
      <c r="T6111">
        <v>-0.53713239999999995</v>
      </c>
      <c r="U6111">
        <v>-0.41000370000000003</v>
      </c>
      <c r="V6111">
        <v>-0.21218590000000001</v>
      </c>
      <c r="W6111">
        <v>3.100263E-2</v>
      </c>
      <c r="X6111">
        <v>0.97673739999999998</v>
      </c>
      <c r="Y6111">
        <v>-0.3312195</v>
      </c>
      <c r="Z6111">
        <v>0.1080257</v>
      </c>
      <c r="AA6111">
        <v>0.93734949999999995</v>
      </c>
      <c r="AB6111">
        <v>23</v>
      </c>
      <c r="AC6111">
        <v>6.0554000000000103</v>
      </c>
      <c r="AD6111">
        <v>-1.114411330517</v>
      </c>
      <c r="AE6111">
        <v>-0.75200999999999796</v>
      </c>
      <c r="AF6111">
        <v>-2.0889702181307999</v>
      </c>
      <c r="AG6111">
        <v>-1.114411330517</v>
      </c>
      <c r="AH6111">
        <v>5.5231089528929296</v>
      </c>
      <c r="AI6111">
        <v>100.687426295888</v>
      </c>
      <c r="AJ6111">
        <v>110.717801569787</v>
      </c>
      <c r="AK6111">
        <v>6.0091964264240998</v>
      </c>
      <c r="AL6111">
        <v>88.223395439914398</v>
      </c>
      <c r="AM6111">
        <v>102.256465727907</v>
      </c>
      <c r="AN6111">
        <v>0.99999998389224298</v>
      </c>
    </row>
    <row r="6112" spans="1:40" x14ac:dyDescent="0.25">
      <c r="A6112" t="str">
        <f>"20190312151147088"</f>
        <v>20190312151147088</v>
      </c>
      <c r="B6112" t="str">
        <f>"1552374707077277"</f>
        <v>1552374707077277</v>
      </c>
      <c r="C6112" t="s">
        <v>40</v>
      </c>
      <c r="D6112">
        <v>5.2551379999999996</v>
      </c>
      <c r="E6112">
        <v>0.45063740000000002</v>
      </c>
      <c r="F6112" t="s">
        <v>42</v>
      </c>
      <c r="G6112">
        <v>-277.0804</v>
      </c>
      <c r="H6112" s="1">
        <v>-2.2084809999999998E-6</v>
      </c>
      <c r="I6112">
        <v>-60.308039999999998</v>
      </c>
      <c r="J6112">
        <v>-283.17959999999999</v>
      </c>
      <c r="K6112">
        <v>1.114419</v>
      </c>
      <c r="L6112">
        <v>-59.585819999999998</v>
      </c>
      <c r="M6112">
        <v>0.88787469999999902</v>
      </c>
      <c r="N6112">
        <v>0</v>
      </c>
      <c r="O6112">
        <v>-0.45993709999999999</v>
      </c>
      <c r="P6112">
        <v>0.96481530000000004</v>
      </c>
      <c r="Q6112">
        <v>2.1967440000000001E-2</v>
      </c>
      <c r="R6112">
        <v>-0.26200849999999998</v>
      </c>
      <c r="S6112">
        <v>3.0175480000000001</v>
      </c>
      <c r="T6112">
        <v>-0.53341380000000005</v>
      </c>
      <c r="U6112">
        <v>-0.39303589999999999</v>
      </c>
      <c r="V6112">
        <v>-0.21148230000000001</v>
      </c>
      <c r="W6112">
        <v>3.111177E-2</v>
      </c>
      <c r="X6112">
        <v>0.97688649999999999</v>
      </c>
      <c r="Y6112">
        <v>-0.32998090000000002</v>
      </c>
      <c r="Z6112">
        <v>0.10618950000000001</v>
      </c>
      <c r="AA6112">
        <v>0.93799600000000005</v>
      </c>
      <c r="AB6112">
        <v>23</v>
      </c>
      <c r="AC6112">
        <v>6.09919999999999</v>
      </c>
      <c r="AD6112">
        <v>-1.1144212084809999</v>
      </c>
      <c r="AE6112">
        <v>-0.72222000000000697</v>
      </c>
      <c r="AF6112">
        <v>-2.0951746178050001</v>
      </c>
      <c r="AG6112">
        <v>-1.1144212084809999</v>
      </c>
      <c r="AH6112">
        <v>5.5646842908209404</v>
      </c>
      <c r="AI6112">
        <v>100.615350005472</v>
      </c>
      <c r="AJ6112">
        <v>110.63199602688</v>
      </c>
      <c r="AK6112">
        <v>6.0495787097545799</v>
      </c>
      <c r="AL6112">
        <v>88.217139135085205</v>
      </c>
      <c r="AM6112">
        <v>102.215237775997</v>
      </c>
      <c r="AN6112">
        <v>0.99999996966403604</v>
      </c>
    </row>
    <row r="6113" spans="1:40" x14ac:dyDescent="0.25">
      <c r="A6113" t="str">
        <f>"20190312151147110"</f>
        <v>20190312151147110</v>
      </c>
      <c r="B6113" t="str">
        <f>"1552374707107532"</f>
        <v>1552374707107532</v>
      </c>
      <c r="C6113" t="s">
        <v>40</v>
      </c>
      <c r="D6113">
        <v>4.9324700000000004</v>
      </c>
      <c r="E6113">
        <v>0.45092660000000001</v>
      </c>
      <c r="F6113" t="s">
        <v>42</v>
      </c>
      <c r="G6113">
        <v>-276.839</v>
      </c>
      <c r="H6113" s="1">
        <v>-2.0897839999999999E-6</v>
      </c>
      <c r="I6113">
        <v>-60.376350000000002</v>
      </c>
      <c r="J6113">
        <v>-282.97129999999999</v>
      </c>
      <c r="K6113">
        <v>1.114433</v>
      </c>
      <c r="L6113">
        <v>-59.68439</v>
      </c>
      <c r="M6113">
        <v>0.8912002</v>
      </c>
      <c r="N6113">
        <v>0</v>
      </c>
      <c r="O6113">
        <v>-0.45345999999999997</v>
      </c>
      <c r="P6113">
        <v>0.96640760000000003</v>
      </c>
      <c r="Q6113">
        <v>2.163402E-2</v>
      </c>
      <c r="R6113">
        <v>-0.25610309999999997</v>
      </c>
      <c r="S6113">
        <v>3.0192570000000001</v>
      </c>
      <c r="T6113">
        <v>-0.53065969999999996</v>
      </c>
      <c r="U6113">
        <v>-0.3764343</v>
      </c>
      <c r="V6113">
        <v>-0.21034430000000001</v>
      </c>
      <c r="W6113">
        <v>3.0801019999999998E-2</v>
      </c>
      <c r="X6113">
        <v>0.97714199999999996</v>
      </c>
      <c r="Y6113">
        <v>-0.32849469999999997</v>
      </c>
      <c r="Z6113">
        <v>0.10451920000000001</v>
      </c>
      <c r="AA6113">
        <v>0.93870500000000001</v>
      </c>
      <c r="AB6113">
        <v>23</v>
      </c>
      <c r="AC6113">
        <v>6.1322999999999803</v>
      </c>
      <c r="AD6113">
        <v>-1.1144350897840001</v>
      </c>
      <c r="AE6113">
        <v>-0.69196000000000102</v>
      </c>
      <c r="AF6113">
        <v>-2.0958760647432499</v>
      </c>
      <c r="AG6113">
        <v>-1.1144350897840001</v>
      </c>
      <c r="AH6113">
        <v>5.59675929141686</v>
      </c>
      <c r="AI6113">
        <v>100.562917214904</v>
      </c>
      <c r="AJ6113">
        <v>110.52993493046201</v>
      </c>
      <c r="AK6113">
        <v>6.07934014627957</v>
      </c>
      <c r="AL6113">
        <v>88.234952315407696</v>
      </c>
      <c r="AM6113">
        <v>102.148382245421</v>
      </c>
      <c r="AN6113">
        <v>0.99999995776976403</v>
      </c>
    </row>
    <row r="6114" spans="1:40" x14ac:dyDescent="0.25">
      <c r="A6114" t="str">
        <f>"20190312151147133"</f>
        <v>20190312151147133</v>
      </c>
      <c r="B6114" t="str">
        <f>"1552374707127053"</f>
        <v>1552374707127053</v>
      </c>
      <c r="C6114" t="s">
        <v>40</v>
      </c>
      <c r="D6114">
        <v>4.9546979999999996</v>
      </c>
      <c r="E6114">
        <v>0.45088230000000001</v>
      </c>
      <c r="F6114" t="s">
        <v>42</v>
      </c>
      <c r="G6114">
        <v>-276.57029999999997</v>
      </c>
      <c r="H6114" s="1">
        <v>-1.987201E-6</v>
      </c>
      <c r="I6114">
        <v>-60.447830000000003</v>
      </c>
      <c r="J6114">
        <v>-282.7604</v>
      </c>
      <c r="K6114">
        <v>1.1144459999999901</v>
      </c>
      <c r="L6114">
        <v>-59.782350000000001</v>
      </c>
      <c r="M6114">
        <v>0.89451059999999905</v>
      </c>
      <c r="N6114">
        <v>0</v>
      </c>
      <c r="O6114">
        <v>-0.44689380000000001</v>
      </c>
      <c r="P6114">
        <v>0.96812659999999995</v>
      </c>
      <c r="Q6114">
        <v>2.1409640000000001E-2</v>
      </c>
      <c r="R6114">
        <v>-0.24954499999999999</v>
      </c>
      <c r="S6114">
        <v>3.0205380000000002</v>
      </c>
      <c r="T6114">
        <v>-0.52589240000000004</v>
      </c>
      <c r="U6114">
        <v>-0.36026000000000002</v>
      </c>
      <c r="V6114">
        <v>-0.2097842</v>
      </c>
      <c r="W6114">
        <v>3.059417E-2</v>
      </c>
      <c r="X6114">
        <v>0.9772689</v>
      </c>
      <c r="Y6114">
        <v>-0.32687660000000002</v>
      </c>
      <c r="Z6114">
        <v>0.1024554</v>
      </c>
      <c r="AA6114">
        <v>0.93949700000000003</v>
      </c>
      <c r="AB6114">
        <v>23</v>
      </c>
      <c r="AC6114">
        <v>6.1901000000000197</v>
      </c>
      <c r="AD6114">
        <v>-1.11444798720099</v>
      </c>
      <c r="AE6114">
        <v>-0.66548000000000196</v>
      </c>
      <c r="AF6114">
        <v>-2.1037754810210898</v>
      </c>
      <c r="AG6114">
        <v>-1.11444798720099</v>
      </c>
      <c r="AH6114">
        <v>5.6537447197612796</v>
      </c>
      <c r="AI6114">
        <v>100.466899719062</v>
      </c>
      <c r="AJ6114">
        <v>110.410385914464</v>
      </c>
      <c r="AK6114">
        <v>6.1345492863738897</v>
      </c>
      <c r="AL6114">
        <v>88.246809537050098</v>
      </c>
      <c r="AM6114">
        <v>102.115464020025</v>
      </c>
      <c r="AN6114">
        <v>0.99999995835741795</v>
      </c>
    </row>
    <row r="6115" spans="1:40" x14ac:dyDescent="0.25">
      <c r="A6115" t="str">
        <f>"20190312151147154"</f>
        <v>20190312151147154</v>
      </c>
      <c r="B6115" t="str">
        <f>"1552374707147548"</f>
        <v>1552374707147548</v>
      </c>
      <c r="C6115" t="s">
        <v>40</v>
      </c>
      <c r="D6115">
        <v>4.9924390000000001</v>
      </c>
      <c r="E6115">
        <v>0.45096930000000002</v>
      </c>
      <c r="F6115" t="s">
        <v>42</v>
      </c>
      <c r="G6115">
        <v>-276.31290000000001</v>
      </c>
      <c r="H6115" s="1">
        <v>-1.8900290000000001E-6</v>
      </c>
      <c r="I6115">
        <v>-60.507440000000003</v>
      </c>
      <c r="J6115">
        <v>-282.56319999999999</v>
      </c>
      <c r="K6115">
        <v>1.114452</v>
      </c>
      <c r="L6115">
        <v>-59.872190000000003</v>
      </c>
      <c r="M6115">
        <v>0.89755689999999999</v>
      </c>
      <c r="N6115">
        <v>0</v>
      </c>
      <c r="O6115">
        <v>-0.44074340000000001</v>
      </c>
      <c r="P6115">
        <v>0.96955690000000005</v>
      </c>
      <c r="Q6115">
        <v>2.1050019999999999E-2</v>
      </c>
      <c r="R6115">
        <v>-0.24396080000000001</v>
      </c>
      <c r="S6115">
        <v>3.022675</v>
      </c>
      <c r="T6115">
        <v>-0.52247209999999999</v>
      </c>
      <c r="U6115">
        <v>-0.3399353</v>
      </c>
      <c r="V6115">
        <v>-0.20870929999999999</v>
      </c>
      <c r="W6115">
        <v>3.0256720000000001E-2</v>
      </c>
      <c r="X6115">
        <v>0.97750959999999998</v>
      </c>
      <c r="Y6115">
        <v>-0.32694079999999998</v>
      </c>
      <c r="Z6115">
        <v>0.10085429999999999</v>
      </c>
      <c r="AA6115">
        <v>0.93964789999999998</v>
      </c>
      <c r="AB6115">
        <v>23</v>
      </c>
      <c r="AC6115">
        <v>6.2502999999999798</v>
      </c>
      <c r="AD6115">
        <v>-1.114453890029</v>
      </c>
      <c r="AE6115">
        <v>-0.63524999999999898</v>
      </c>
      <c r="AF6115">
        <v>-2.1181039721877002</v>
      </c>
      <c r="AG6115">
        <v>-1.114453890029</v>
      </c>
      <c r="AH6115">
        <v>5.7106854453827598</v>
      </c>
      <c r="AI6115">
        <v>100.368838732328</v>
      </c>
      <c r="AJ6115">
        <v>110.34991199691299</v>
      </c>
      <c r="AK6115">
        <v>6.1919544706097902</v>
      </c>
      <c r="AL6115">
        <v>88.266153077470705</v>
      </c>
      <c r="AM6115">
        <v>102.052325115036</v>
      </c>
      <c r="AN6115">
        <v>1.0000000295519</v>
      </c>
    </row>
    <row r="6116" spans="1:40" x14ac:dyDescent="0.25">
      <c r="A6116" t="str">
        <f>"20190312151147177"</f>
        <v>20190312151147177</v>
      </c>
      <c r="B6116" t="str">
        <f>"1552374707167069"</f>
        <v>1552374707167069</v>
      </c>
      <c r="C6116" t="s">
        <v>40</v>
      </c>
      <c r="D6116">
        <v>4.9497070000000001</v>
      </c>
      <c r="E6116">
        <v>0.45101639999999998</v>
      </c>
      <c r="F6116" t="s">
        <v>42</v>
      </c>
      <c r="G6116">
        <v>-276.07679999999999</v>
      </c>
      <c r="H6116" s="1">
        <v>-1.802082E-6</v>
      </c>
      <c r="I6116">
        <v>-60.567459999999997</v>
      </c>
      <c r="J6116">
        <v>-282.34820000000002</v>
      </c>
      <c r="K6116">
        <v>1.1144609999999999</v>
      </c>
      <c r="L6116">
        <v>-59.968380000000003</v>
      </c>
      <c r="M6116">
        <v>0.90082070000000003</v>
      </c>
      <c r="N6116">
        <v>0</v>
      </c>
      <c r="O6116">
        <v>-0.43403320000000001</v>
      </c>
      <c r="P6116">
        <v>0.97128360000000002</v>
      </c>
      <c r="Q6116">
        <v>2.076364E-2</v>
      </c>
      <c r="R6116">
        <v>-0.23701729999999999</v>
      </c>
      <c r="S6116">
        <v>3.023895</v>
      </c>
      <c r="T6116">
        <v>-0.51955039999999997</v>
      </c>
      <c r="U6116">
        <v>-0.3241272</v>
      </c>
      <c r="V6116">
        <v>-0.20840890000000001</v>
      </c>
      <c r="W6116">
        <v>2.998172E-2</v>
      </c>
      <c r="X6116">
        <v>0.97758210000000001</v>
      </c>
      <c r="Y6116">
        <v>-0.3250342</v>
      </c>
      <c r="Z6116">
        <v>9.9115120000000001E-2</v>
      </c>
      <c r="AA6116">
        <v>0.94049400000000005</v>
      </c>
      <c r="AB6116">
        <v>23</v>
      </c>
      <c r="AC6116">
        <v>6.2714000000000203</v>
      </c>
      <c r="AD6116">
        <v>-1.114462802082</v>
      </c>
      <c r="AE6116">
        <v>-0.59907999999999295</v>
      </c>
      <c r="AF6116">
        <v>-2.1162563975564801</v>
      </c>
      <c r="AG6116">
        <v>-1.114462802082</v>
      </c>
      <c r="AH6116">
        <v>5.7305043500402197</v>
      </c>
      <c r="AI6116">
        <v>100.339117384063</v>
      </c>
      <c r="AJ6116">
        <v>110.26902219771399</v>
      </c>
      <c r="AK6116">
        <v>6.2096093744496503</v>
      </c>
      <c r="AL6116">
        <v>88.281916461784306</v>
      </c>
      <c r="AM6116">
        <v>102.034617528654</v>
      </c>
      <c r="AN6116">
        <v>0.99999996768688804</v>
      </c>
    </row>
    <row r="6117" spans="1:40" x14ac:dyDescent="0.25">
      <c r="A6117" t="str">
        <f>"20190312151147199"</f>
        <v>20190312151147199</v>
      </c>
      <c r="B6117" t="str">
        <f>"1552374707187567"</f>
        <v>1552374707187567</v>
      </c>
      <c r="C6117" t="s">
        <v>40</v>
      </c>
      <c r="D6117">
        <v>4.9641539999999997</v>
      </c>
      <c r="E6117">
        <v>0.45100800000000002</v>
      </c>
      <c r="F6117" t="s">
        <v>42</v>
      </c>
      <c r="G6117">
        <v>-275.83449999999999</v>
      </c>
      <c r="H6117" s="1">
        <v>-1.7100079999999999E-6</v>
      </c>
      <c r="I6117">
        <v>-60.62086</v>
      </c>
      <c r="J6117">
        <v>-282.15039999999999</v>
      </c>
      <c r="K6117">
        <v>1.1144670000000001</v>
      </c>
      <c r="L6117">
        <v>-60.055079999999997</v>
      </c>
      <c r="M6117">
        <v>0.90377180000000001</v>
      </c>
      <c r="N6117">
        <v>0</v>
      </c>
      <c r="O6117">
        <v>-0.42785390000000001</v>
      </c>
      <c r="P6117">
        <v>0.97293870000000005</v>
      </c>
      <c r="Q6117">
        <v>2.051685E-2</v>
      </c>
      <c r="R6117">
        <v>-0.23015169999999999</v>
      </c>
      <c r="S6117">
        <v>3.0258479999999999</v>
      </c>
      <c r="T6117">
        <v>-0.51770729999999998</v>
      </c>
      <c r="U6117">
        <v>-0.3031006</v>
      </c>
      <c r="V6117">
        <v>-0.20861840000000001</v>
      </c>
      <c r="W6117">
        <v>2.973959E-2</v>
      </c>
      <c r="X6117">
        <v>0.97754479999999999</v>
      </c>
      <c r="Y6117">
        <v>-0.32525710000000002</v>
      </c>
      <c r="Z6117">
        <v>9.783712E-2</v>
      </c>
      <c r="AA6117">
        <v>0.94055069999999996</v>
      </c>
      <c r="AB6117">
        <v>23</v>
      </c>
      <c r="AC6117">
        <v>6.3158999999999903</v>
      </c>
      <c r="AD6117">
        <v>-1.114468710008</v>
      </c>
      <c r="AE6117">
        <v>-0.56577999999999595</v>
      </c>
      <c r="AF6117">
        <v>-2.1254457380492902</v>
      </c>
      <c r="AG6117">
        <v>-1.114468710008</v>
      </c>
      <c r="AH6117">
        <v>5.7723157588125504</v>
      </c>
      <c r="AI6117">
        <v>100.269410956762</v>
      </c>
      <c r="AJ6117">
        <v>110.214398108984</v>
      </c>
      <c r="AK6117">
        <v>6.2513350022546703</v>
      </c>
      <c r="AL6117">
        <v>88.295795662022698</v>
      </c>
      <c r="AM6117">
        <v>102.046808170484</v>
      </c>
      <c r="AN6117">
        <v>0.99999995801948305</v>
      </c>
    </row>
    <row r="6118" spans="1:40" x14ac:dyDescent="0.25">
      <c r="A6118" t="str">
        <f>"20190312151147221"</f>
        <v>20190312151147221</v>
      </c>
      <c r="B6118" t="str">
        <f>"1552374707217820"</f>
        <v>1552374707217820</v>
      </c>
      <c r="C6118" t="s">
        <v>40</v>
      </c>
      <c r="D6118">
        <v>4.9220470000000001</v>
      </c>
      <c r="E6118">
        <v>0.4512005</v>
      </c>
      <c r="F6118" t="s">
        <v>42</v>
      </c>
      <c r="G6118">
        <v>-275.61610000000002</v>
      </c>
      <c r="H6118" s="1">
        <v>-1.625893E-6</v>
      </c>
      <c r="I6118">
        <v>-60.66386</v>
      </c>
      <c r="J6118">
        <v>-281.93939999999998</v>
      </c>
      <c r="K6118">
        <v>1.1144719999999999</v>
      </c>
      <c r="L6118">
        <v>-60.145719999999997</v>
      </c>
      <c r="M6118">
        <v>0.90686230000000001</v>
      </c>
      <c r="N6118">
        <v>0</v>
      </c>
      <c r="O6118">
        <v>-0.42126350000000001</v>
      </c>
      <c r="P6118">
        <v>0.97471980000000003</v>
      </c>
      <c r="Q6118">
        <v>2.0484269999999999E-2</v>
      </c>
      <c r="R6118">
        <v>-0.22248989999999999</v>
      </c>
      <c r="S6118">
        <v>3.0276179999999999</v>
      </c>
      <c r="T6118">
        <v>-0.51638700000000004</v>
      </c>
      <c r="U6118">
        <v>-0.28207399999999999</v>
      </c>
      <c r="V6118">
        <v>-0.20919370000000001</v>
      </c>
      <c r="W6118">
        <v>2.9706219999999998E-2</v>
      </c>
      <c r="X6118">
        <v>0.97742289999999998</v>
      </c>
      <c r="Y6118">
        <v>-0.32505849999999997</v>
      </c>
      <c r="Z6118">
        <v>9.6562540000000002E-2</v>
      </c>
      <c r="AA6118">
        <v>0.94075109999999995</v>
      </c>
      <c r="AB6118">
        <v>23</v>
      </c>
      <c r="AC6118">
        <v>6.3232999999999597</v>
      </c>
      <c r="AD6118">
        <v>-1.1144736258929999</v>
      </c>
      <c r="AE6118">
        <v>-0.51814000000000204</v>
      </c>
      <c r="AF6118">
        <v>-2.1283711239357102</v>
      </c>
      <c r="AG6118">
        <v>-1.1144736258929999</v>
      </c>
      <c r="AH6118">
        <v>5.7748547016980298</v>
      </c>
      <c r="AI6118">
        <v>100.263913072609</v>
      </c>
      <c r="AJ6118">
        <v>110.231787310941</v>
      </c>
      <c r="AK6118">
        <v>6.2546752057751398</v>
      </c>
      <c r="AL6118">
        <v>88.297708529566194</v>
      </c>
      <c r="AM6118">
        <v>102.080517107075</v>
      </c>
      <c r="AN6118">
        <v>0.99999999453539401</v>
      </c>
    </row>
    <row r="6119" spans="1:40" x14ac:dyDescent="0.25">
      <c r="A6119" t="str">
        <f>"20190312151147244"</f>
        <v>20190312151147244</v>
      </c>
      <c r="B6119" t="str">
        <f>"1552374707237343"</f>
        <v>1552374707237343</v>
      </c>
      <c r="C6119" t="s">
        <v>40</v>
      </c>
      <c r="D6119">
        <v>4.9494680000000004</v>
      </c>
      <c r="E6119">
        <v>0.45134459999999998</v>
      </c>
      <c r="F6119" t="s">
        <v>42</v>
      </c>
      <c r="G6119">
        <v>-275.33730000000003</v>
      </c>
      <c r="H6119" s="1">
        <v>-1.517374E-6</v>
      </c>
      <c r="I6119">
        <v>-60.713839999999998</v>
      </c>
      <c r="J6119">
        <v>-281.73090000000002</v>
      </c>
      <c r="K6119">
        <v>1.114479</v>
      </c>
      <c r="L6119">
        <v>-60.233550000000001</v>
      </c>
      <c r="M6119">
        <v>0.9098617</v>
      </c>
      <c r="N6119">
        <v>0</v>
      </c>
      <c r="O6119">
        <v>-0.41474549999999999</v>
      </c>
      <c r="P6119">
        <v>0.97635950000000005</v>
      </c>
      <c r="Q6119">
        <v>2.0328010000000001E-2</v>
      </c>
      <c r="R6119">
        <v>-0.21519569999999999</v>
      </c>
      <c r="S6119">
        <v>3.0290530000000002</v>
      </c>
      <c r="T6119">
        <v>-0.5113181</v>
      </c>
      <c r="U6119">
        <v>-0.26065060000000001</v>
      </c>
      <c r="V6119">
        <v>-0.2094887</v>
      </c>
      <c r="W6119">
        <v>2.955323E-2</v>
      </c>
      <c r="X6119">
        <v>0.97736440000000002</v>
      </c>
      <c r="Y6119">
        <v>-0.32521149999999999</v>
      </c>
      <c r="Z6119">
        <v>9.4654539999999995E-2</v>
      </c>
      <c r="AA6119">
        <v>0.94089219999999896</v>
      </c>
      <c r="AB6119">
        <v>23</v>
      </c>
      <c r="AC6119">
        <v>6.3935999999999904</v>
      </c>
      <c r="AD6119">
        <v>-1.114480517374</v>
      </c>
      <c r="AE6119">
        <v>-0.48029000000000299</v>
      </c>
      <c r="AF6119">
        <v>-2.1499142270032201</v>
      </c>
      <c r="AG6119">
        <v>-1.114480517374</v>
      </c>
      <c r="AH6119">
        <v>5.8404407653195101</v>
      </c>
      <c r="AI6119">
        <v>100.152575838677</v>
      </c>
      <c r="AJ6119">
        <v>110.20907574128501</v>
      </c>
      <c r="AK6119">
        <v>6.3225743443856102</v>
      </c>
      <c r="AL6119">
        <v>88.306478137607698</v>
      </c>
      <c r="AM6119">
        <v>102.09775406667799</v>
      </c>
      <c r="AN6119">
        <v>1.0000000396092401</v>
      </c>
    </row>
    <row r="6120" spans="1:40" x14ac:dyDescent="0.25">
      <c r="A6120" t="str">
        <f>"20190312151147266"</f>
        <v>20190312151147266</v>
      </c>
      <c r="B6120" t="str">
        <f>"1552374707257836"</f>
        <v>1552374707257836</v>
      </c>
      <c r="C6120" t="s">
        <v>40</v>
      </c>
      <c r="D6120">
        <v>4.9229560000000001</v>
      </c>
      <c r="E6120">
        <v>0.45150200000000001</v>
      </c>
      <c r="F6120" t="s">
        <v>42</v>
      </c>
      <c r="G6120">
        <v>-275.08139999999997</v>
      </c>
      <c r="H6120" s="1">
        <v>-1.417433E-6</v>
      </c>
      <c r="I6120">
        <v>-60.758130000000001</v>
      </c>
      <c r="J6120">
        <v>-281.51769999999999</v>
      </c>
      <c r="K6120">
        <v>1.1144879999999999</v>
      </c>
      <c r="L6120">
        <v>-60.321530000000003</v>
      </c>
      <c r="M6120">
        <v>0.91286959999999995</v>
      </c>
      <c r="N6120">
        <v>0</v>
      </c>
      <c r="O6120">
        <v>-0.40808220000000001</v>
      </c>
      <c r="P6120">
        <v>0.97786130000000004</v>
      </c>
      <c r="Q6120">
        <v>2.0306399999999999E-2</v>
      </c>
      <c r="R6120">
        <v>-0.2082667</v>
      </c>
      <c r="S6120">
        <v>3.0305179999999998</v>
      </c>
      <c r="T6120">
        <v>-0.5079224</v>
      </c>
      <c r="U6120">
        <v>-0.2390747</v>
      </c>
      <c r="V6120">
        <v>-0.2092744</v>
      </c>
      <c r="W6120">
        <v>2.9540839999999999E-2</v>
      </c>
      <c r="X6120">
        <v>0.97741060000000002</v>
      </c>
      <c r="Y6120">
        <v>-0.32522329999999999</v>
      </c>
      <c r="Z6120">
        <v>9.3026399999999995E-2</v>
      </c>
      <c r="AA6120">
        <v>0.94105039999999995</v>
      </c>
      <c r="AB6120">
        <v>23</v>
      </c>
      <c r="AC6120">
        <v>6.4363000000000099</v>
      </c>
      <c r="AD6120">
        <v>-1.114489417433</v>
      </c>
      <c r="AE6120">
        <v>-0.43659999999999799</v>
      </c>
      <c r="AF6120">
        <v>-2.1635608084674001</v>
      </c>
      <c r="AG6120">
        <v>-1.114489417433</v>
      </c>
      <c r="AH6120">
        <v>5.87863555983445</v>
      </c>
      <c r="AI6120">
        <v>100.08827547359699</v>
      </c>
      <c r="AJ6120">
        <v>110.205528703683</v>
      </c>
      <c r="AK6120">
        <v>6.3625025012848804</v>
      </c>
      <c r="AL6120">
        <v>88.307188204786101</v>
      </c>
      <c r="AM6120">
        <v>102.085188011171</v>
      </c>
      <c r="AN6120">
        <v>0.99999995835781197</v>
      </c>
    </row>
    <row r="6121" spans="1:40" x14ac:dyDescent="0.25">
      <c r="A6121" t="str">
        <f>"20190312151147277"</f>
        <v>20190312151147277</v>
      </c>
      <c r="B6121" t="str">
        <f>"1552374707267596"</f>
        <v>1552374707267596</v>
      </c>
      <c r="C6121" t="s">
        <v>40</v>
      </c>
      <c r="D6121">
        <v>5.0153949999999998</v>
      </c>
      <c r="E6121">
        <v>0.45150200000000001</v>
      </c>
      <c r="F6121" t="s">
        <v>42</v>
      </c>
      <c r="G6121">
        <v>-274.80779999999999</v>
      </c>
      <c r="H6121" s="1">
        <v>-1.310539E-6</v>
      </c>
      <c r="I6121">
        <v>-60.805190000000003</v>
      </c>
      <c r="J6121">
        <v>-281.41570000000002</v>
      </c>
      <c r="K6121">
        <v>1.1144909999999999</v>
      </c>
      <c r="L6121">
        <v>-60.363190000000003</v>
      </c>
      <c r="M6121">
        <v>0.91428949999999998</v>
      </c>
      <c r="N6121">
        <v>0</v>
      </c>
      <c r="O6121">
        <v>-0.40489049999999999</v>
      </c>
      <c r="P6121">
        <v>0.97855840000000005</v>
      </c>
      <c r="Q6121">
        <v>2.0140379999999999E-2</v>
      </c>
      <c r="R6121">
        <v>-0.20498359999999999</v>
      </c>
      <c r="S6121">
        <v>3.0318299999999998</v>
      </c>
      <c r="T6121">
        <v>-0.50357169999999996</v>
      </c>
      <c r="U6121">
        <v>-0.21853639999999999</v>
      </c>
      <c r="V6121">
        <v>-0.20913979999999999</v>
      </c>
      <c r="W6121">
        <v>2.9379740000000001E-2</v>
      </c>
      <c r="X6121">
        <v>0.97744430000000004</v>
      </c>
      <c r="Y6121">
        <v>-0.3284591</v>
      </c>
      <c r="Z6121">
        <v>9.2029390000000003E-2</v>
      </c>
      <c r="AA6121">
        <v>0.94002399999999997</v>
      </c>
      <c r="AB6121">
        <v>23</v>
      </c>
      <c r="AC6121">
        <v>6.6079000000000203</v>
      </c>
      <c r="AD6121">
        <v>-1.1144923105390001</v>
      </c>
      <c r="AE6121">
        <v>-0.442</v>
      </c>
      <c r="AF6121">
        <v>-2.2089601062255402</v>
      </c>
      <c r="AG6121">
        <v>-1.1144923105390001</v>
      </c>
      <c r="AH6121">
        <v>6.0496028180752202</v>
      </c>
      <c r="AI6121">
        <v>99.817819821671705</v>
      </c>
      <c r="AJ6121">
        <v>110.05922818529</v>
      </c>
      <c r="AK6121">
        <v>6.5359997029995496</v>
      </c>
      <c r="AL6121">
        <v>88.316422620639102</v>
      </c>
      <c r="AM6121">
        <v>102.07723922849</v>
      </c>
      <c r="AN6121">
        <v>0.99999999233449799</v>
      </c>
    </row>
    <row r="6122" spans="1:40" x14ac:dyDescent="0.25">
      <c r="A6122" t="str">
        <f>"20190312151147289"</f>
        <v>20190312151147289</v>
      </c>
      <c r="B6122" t="str">
        <f>"1552374707277356"</f>
        <v>1552374707277356</v>
      </c>
      <c r="C6122" t="s">
        <v>40</v>
      </c>
      <c r="D6122">
        <v>4.9237250000000001</v>
      </c>
      <c r="E6122">
        <v>0.45808070000000001</v>
      </c>
      <c r="F6122" t="s">
        <v>42</v>
      </c>
      <c r="G6122">
        <v>-274.70999999999998</v>
      </c>
      <c r="H6122" s="1">
        <v>-1.272718E-6</v>
      </c>
      <c r="I6122">
        <v>-60.823770000000003</v>
      </c>
      <c r="J6122">
        <v>-281.3098</v>
      </c>
      <c r="K6122">
        <v>1.114493</v>
      </c>
      <c r="L6122">
        <v>-60.405639999999998</v>
      </c>
      <c r="M6122">
        <v>0.91574809999999995</v>
      </c>
      <c r="N6122">
        <v>0</v>
      </c>
      <c r="O6122">
        <v>-0.40158060000000001</v>
      </c>
      <c r="P6122">
        <v>0.97927229999999998</v>
      </c>
      <c r="Q6122">
        <v>2.0329739999999999E-2</v>
      </c>
      <c r="R6122">
        <v>-0.20152539999999999</v>
      </c>
      <c r="S6122">
        <v>3.0324399999999998</v>
      </c>
      <c r="T6122">
        <v>-0.50399229999999995</v>
      </c>
      <c r="U6122">
        <v>-0.20828250000000001</v>
      </c>
      <c r="V6122">
        <v>-0.20905750000000001</v>
      </c>
      <c r="W6122">
        <v>2.9572770000000002E-2</v>
      </c>
      <c r="X6122">
        <v>0.97745610000000005</v>
      </c>
      <c r="Y6122">
        <v>-0.32825549999999998</v>
      </c>
      <c r="Z6122">
        <v>9.1588740000000002E-2</v>
      </c>
      <c r="AA6122">
        <v>0.94013820000000003</v>
      </c>
      <c r="AB6122">
        <v>23</v>
      </c>
      <c r="AC6122">
        <v>6.5998000000000099</v>
      </c>
      <c r="AD6122">
        <v>-1.1144942727180001</v>
      </c>
      <c r="AE6122">
        <v>-0.41812999999999001</v>
      </c>
      <c r="AF6122">
        <v>-2.2049802169042798</v>
      </c>
      <c r="AG6122">
        <v>-1.1144942727180001</v>
      </c>
      <c r="AH6122">
        <v>6.0405318591972801</v>
      </c>
      <c r="AI6122">
        <v>99.832635799721004</v>
      </c>
      <c r="AJ6122">
        <v>110.053639710665</v>
      </c>
      <c r="AK6122">
        <v>6.5262592947903801</v>
      </c>
      <c r="AL6122">
        <v>88.305358033680093</v>
      </c>
      <c r="AM6122">
        <v>102.07248461748399</v>
      </c>
      <c r="AN6122">
        <v>1.0000000072294599</v>
      </c>
    </row>
    <row r="6123" spans="1:40" x14ac:dyDescent="0.25">
      <c r="A6123" t="str">
        <f>"20190312151147299"</f>
        <v>20190312151147299</v>
      </c>
      <c r="B6123" t="str">
        <f>"1552374707297852"</f>
        <v>1552374707297852</v>
      </c>
      <c r="C6123" t="s">
        <v>40</v>
      </c>
      <c r="D6123">
        <v>4.9161429999999999</v>
      </c>
      <c r="E6123">
        <v>0.45944390000000002</v>
      </c>
      <c r="F6123" t="s">
        <v>42</v>
      </c>
      <c r="G6123">
        <v>-270.95209999999997</v>
      </c>
      <c r="H6123" s="1">
        <v>2.356128E-7</v>
      </c>
      <c r="I6123">
        <v>-61.290590000000002</v>
      </c>
      <c r="J6123">
        <v>-281.2013</v>
      </c>
      <c r="K6123">
        <v>1.1144959999999999</v>
      </c>
      <c r="L6123">
        <v>-60.449010000000001</v>
      </c>
      <c r="M6123">
        <v>0.9172304</v>
      </c>
      <c r="N6123">
        <v>0</v>
      </c>
      <c r="O6123">
        <v>-0.39818320000000001</v>
      </c>
      <c r="P6123">
        <v>0.98000750000000003</v>
      </c>
      <c r="Q6123">
        <v>2.029166E-2</v>
      </c>
      <c r="R6123">
        <v>-0.19792360000000001</v>
      </c>
      <c r="S6123">
        <v>3.0171809999999999</v>
      </c>
      <c r="T6123">
        <v>-0.32464739999999997</v>
      </c>
      <c r="U6123">
        <v>-0.25778200000000001</v>
      </c>
      <c r="V6123">
        <v>-0.20902789999999999</v>
      </c>
      <c r="W6123">
        <v>2.9537500000000001E-2</v>
      </c>
      <c r="X6123">
        <v>0.97746350000000004</v>
      </c>
      <c r="Y6123">
        <v>-0.31472539999999999</v>
      </c>
      <c r="Z6123">
        <v>5.8399100000000002E-2</v>
      </c>
      <c r="AA6123">
        <v>0.94738449999999996</v>
      </c>
      <c r="AB6123">
        <v>23</v>
      </c>
      <c r="AC6123">
        <v>10.2492</v>
      </c>
      <c r="AD6123">
        <v>-1.11449576438719</v>
      </c>
      <c r="AE6123">
        <v>-0.84158000000000699</v>
      </c>
      <c r="AF6123">
        <v>-3.2709479539212101</v>
      </c>
      <c r="AG6123">
        <v>-1.11449576438719</v>
      </c>
      <c r="AH6123">
        <v>9.6236243651482205</v>
      </c>
      <c r="AI6123">
        <v>96.257366491722493</v>
      </c>
      <c r="AJ6123">
        <v>108.77224624298</v>
      </c>
      <c r="AK6123">
        <v>10.2252309141443</v>
      </c>
      <c r="AL6123">
        <v>88.307379744285498</v>
      </c>
      <c r="AM6123">
        <v>102.07073673105999</v>
      </c>
      <c r="AN6123">
        <v>1.0000000103584501</v>
      </c>
    </row>
    <row r="6124" spans="1:40" x14ac:dyDescent="0.25">
      <c r="A6124" t="str">
        <f>"20190312151147311"</f>
        <v>20190312151147311</v>
      </c>
      <c r="B6124" t="str">
        <f>"1552374707307613"</f>
        <v>1552374707307613</v>
      </c>
      <c r="C6124" t="s">
        <v>40</v>
      </c>
      <c r="D6124">
        <v>4.9788019999999999</v>
      </c>
      <c r="E6124">
        <v>0.46070440000000001</v>
      </c>
      <c r="F6124" t="s">
        <v>42</v>
      </c>
      <c r="G6124">
        <v>-271.5797</v>
      </c>
      <c r="H6124" s="1">
        <v>-2.8343209999999999E-8</v>
      </c>
      <c r="I6124">
        <v>-61.2667199999999</v>
      </c>
      <c r="J6124">
        <v>-281.09629999999999</v>
      </c>
      <c r="K6124">
        <v>1.1145</v>
      </c>
      <c r="L6124">
        <v>-60.490259999999999</v>
      </c>
      <c r="M6124">
        <v>0.91864760000000001</v>
      </c>
      <c r="N6124">
        <v>0</v>
      </c>
      <c r="O6124">
        <v>-0.39490219999999998</v>
      </c>
      <c r="P6124">
        <v>0.98063659999999997</v>
      </c>
      <c r="Q6124">
        <v>2.024142E-2</v>
      </c>
      <c r="R6124">
        <v>-0.19478770000000001</v>
      </c>
      <c r="S6124">
        <v>3.0166629999999999</v>
      </c>
      <c r="T6124">
        <v>-0.34943069999999998</v>
      </c>
      <c r="U6124">
        <v>-0.2563782</v>
      </c>
      <c r="V6124">
        <v>-0.20866129999999999</v>
      </c>
      <c r="W6124">
        <v>2.949508E-2</v>
      </c>
      <c r="X6124">
        <v>0.9775431</v>
      </c>
      <c r="Y6124">
        <v>-0.31117529999999999</v>
      </c>
      <c r="Z6124">
        <v>6.2287580000000002E-2</v>
      </c>
      <c r="AA6124">
        <v>0.94830910000000002</v>
      </c>
      <c r="AB6124">
        <v>23</v>
      </c>
      <c r="AC6124">
        <v>9.5165999999999809</v>
      </c>
      <c r="AD6124">
        <v>-1.1145000283432001</v>
      </c>
      <c r="AE6124">
        <v>-0.77645999999999205</v>
      </c>
      <c r="AF6124">
        <v>-3.0041155037965899</v>
      </c>
      <c r="AG6124">
        <v>-1.1145000283432001</v>
      </c>
      <c r="AH6124">
        <v>8.9280175321843505</v>
      </c>
      <c r="AI6124">
        <v>96.747500649783206</v>
      </c>
      <c r="AJ6124">
        <v>108.597150193457</v>
      </c>
      <c r="AK6124">
        <v>9.4855847119889898</v>
      </c>
      <c r="AL6124">
        <v>88.309811281779801</v>
      </c>
      <c r="AM6124">
        <v>102.049233412329</v>
      </c>
      <c r="AN6124">
        <v>1.00000000510975</v>
      </c>
    </row>
    <row r="6125" spans="1:40" x14ac:dyDescent="0.25">
      <c r="A6125" t="str">
        <f>"20190312151147324"</f>
        <v>20190312151147324</v>
      </c>
      <c r="B6125" t="str">
        <f>"1552374707317372"</f>
        <v>1552374707317372</v>
      </c>
      <c r="C6125" t="s">
        <v>40</v>
      </c>
      <c r="D6125">
        <v>4.8957490000000004</v>
      </c>
      <c r="E6125">
        <v>0.46119529999999997</v>
      </c>
      <c r="F6125" t="s">
        <v>42</v>
      </c>
      <c r="G6125">
        <v>-271.39010000000002</v>
      </c>
      <c r="H6125" s="1">
        <v>4.1873759999999998E-8</v>
      </c>
      <c r="I6125">
        <v>-61.316780000000001</v>
      </c>
      <c r="J6125">
        <v>-280.98180000000002</v>
      </c>
      <c r="K6125">
        <v>1.1145020000000001</v>
      </c>
      <c r="L6125">
        <v>-60.534910000000004</v>
      </c>
      <c r="M6125">
        <v>0.92017899999999997</v>
      </c>
      <c r="N6125">
        <v>0</v>
      </c>
      <c r="O6125">
        <v>-0.39132099999999997</v>
      </c>
      <c r="P6125">
        <v>0.98133979999999998</v>
      </c>
      <c r="Q6125">
        <v>2.0268209999999998E-2</v>
      </c>
      <c r="R6125">
        <v>-0.19121060000000001</v>
      </c>
      <c r="S6125">
        <v>3.0154420000000002</v>
      </c>
      <c r="T6125">
        <v>-0.34624329999999998</v>
      </c>
      <c r="U6125">
        <v>-0.25677489999999997</v>
      </c>
      <c r="V6125">
        <v>-0.20841779999999999</v>
      </c>
      <c r="W6125">
        <v>2.952749E-2</v>
      </c>
      <c r="X6125">
        <v>0.97759410000000002</v>
      </c>
      <c r="Y6125">
        <v>-0.30744300000000002</v>
      </c>
      <c r="Z6125">
        <v>6.1155510000000003E-2</v>
      </c>
      <c r="AA6125">
        <v>0.94959930000000004</v>
      </c>
      <c r="AB6125">
        <v>23</v>
      </c>
      <c r="AC6125">
        <v>9.5916999999999994</v>
      </c>
      <c r="AD6125">
        <v>-1.1145019581262301</v>
      </c>
      <c r="AE6125">
        <v>-0.78187000000000495</v>
      </c>
      <c r="AF6125">
        <v>-2.99402741676955</v>
      </c>
      <c r="AG6125">
        <v>-1.1145019581262301</v>
      </c>
      <c r="AH6125">
        <v>9.0118088639532701</v>
      </c>
      <c r="AI6125">
        <v>96.693813410593293</v>
      </c>
      <c r="AJ6125">
        <v>108.378230877127</v>
      </c>
      <c r="AK6125">
        <v>9.5613290805965807</v>
      </c>
      <c r="AL6125">
        <v>88.307953572407598</v>
      </c>
      <c r="AM6125">
        <v>102.03497305284699</v>
      </c>
      <c r="AN6125">
        <v>1.00000003818867</v>
      </c>
    </row>
    <row r="6126" spans="1:40" x14ac:dyDescent="0.25">
      <c r="A6126" t="str">
        <f>"20190312151147334"</f>
        <v>20190312151147334</v>
      </c>
      <c r="B6126" t="str">
        <f>"1552374707327132"</f>
        <v>1552374707327132</v>
      </c>
      <c r="C6126" t="s">
        <v>40</v>
      </c>
      <c r="D6126">
        <v>4.9013220000000004</v>
      </c>
      <c r="E6126">
        <v>0.4616499</v>
      </c>
      <c r="F6126" t="s">
        <v>42</v>
      </c>
      <c r="G6126">
        <v>-271.19580000000002</v>
      </c>
      <c r="H6126" s="1">
        <v>1.188407E-7</v>
      </c>
      <c r="I6126">
        <v>-61.34543</v>
      </c>
      <c r="J6126">
        <v>-280.86799999999999</v>
      </c>
      <c r="K6126">
        <v>1.1145039999999999</v>
      </c>
      <c r="L6126">
        <v>-60.578859999999999</v>
      </c>
      <c r="M6126">
        <v>0.92168499999999998</v>
      </c>
      <c r="N6126">
        <v>0</v>
      </c>
      <c r="O6126">
        <v>-0.3877601</v>
      </c>
      <c r="P6126">
        <v>0.98198810000000003</v>
      </c>
      <c r="Q6126">
        <v>2.0508620000000002E-2</v>
      </c>
      <c r="R6126">
        <v>-0.1878264</v>
      </c>
      <c r="S6126">
        <v>3.0154719999999999</v>
      </c>
      <c r="T6126">
        <v>-0.34342620000000001</v>
      </c>
      <c r="U6126">
        <v>-0.2497559</v>
      </c>
      <c r="V6126">
        <v>-0.20800930000000001</v>
      </c>
      <c r="W6126">
        <v>2.977581E-2</v>
      </c>
      <c r="X6126">
        <v>0.97767349999999997</v>
      </c>
      <c r="Y6126">
        <v>-0.30606270000000002</v>
      </c>
      <c r="Z6126">
        <v>6.0219120000000001E-2</v>
      </c>
      <c r="AA6126">
        <v>0.95010490000000003</v>
      </c>
      <c r="AB6126">
        <v>23</v>
      </c>
      <c r="AC6126">
        <v>9.6721999999999699</v>
      </c>
      <c r="AD6126">
        <v>-1.1145038811593</v>
      </c>
      <c r="AE6126">
        <v>-0.76657000000000797</v>
      </c>
      <c r="AF6126">
        <v>-3.0045253072809301</v>
      </c>
      <c r="AG6126">
        <v>-1.1145038811593</v>
      </c>
      <c r="AH6126">
        <v>9.0926337648553908</v>
      </c>
      <c r="AI6126">
        <v>96.638388114677099</v>
      </c>
      <c r="AJ6126">
        <v>108.28536799471701</v>
      </c>
      <c r="AK6126">
        <v>9.6408132439643808</v>
      </c>
      <c r="AL6126">
        <v>88.293719510097603</v>
      </c>
      <c r="AM6126">
        <v>102.01112302207</v>
      </c>
      <c r="AN6126">
        <v>0.99999997017494702</v>
      </c>
    </row>
    <row r="6127" spans="1:40" x14ac:dyDescent="0.25">
      <c r="A6127" t="str">
        <f>"20190312151147347"</f>
        <v>20190312151147347</v>
      </c>
      <c r="B6127" t="str">
        <f>"1552374707337869"</f>
        <v>1552374707337869</v>
      </c>
      <c r="C6127" t="s">
        <v>40</v>
      </c>
      <c r="D6127">
        <v>4.9770599999999998</v>
      </c>
      <c r="E6127">
        <v>0.46205869999999999</v>
      </c>
      <c r="F6127" t="s">
        <v>42</v>
      </c>
      <c r="G6127">
        <v>-271.21769999999998</v>
      </c>
      <c r="H6127" s="1">
        <v>1.073039E-7</v>
      </c>
      <c r="I6127">
        <v>-61.355080000000001</v>
      </c>
      <c r="J6127">
        <v>-280.75740000000002</v>
      </c>
      <c r="K6127">
        <v>1.1145080000000001</v>
      </c>
      <c r="L6127">
        <v>-60.62088</v>
      </c>
      <c r="M6127">
        <v>0.92313190000000001</v>
      </c>
      <c r="N6127">
        <v>0</v>
      </c>
      <c r="O6127">
        <v>-0.38430259999999999</v>
      </c>
      <c r="P6127">
        <v>0.98269989999999996</v>
      </c>
      <c r="Q6127">
        <v>2.018845E-2</v>
      </c>
      <c r="R6127">
        <v>-0.18410170000000001</v>
      </c>
      <c r="S6127">
        <v>3.0158999999999998</v>
      </c>
      <c r="T6127">
        <v>-0.34830519999999998</v>
      </c>
      <c r="U6127">
        <v>-0.2425842</v>
      </c>
      <c r="V6127">
        <v>-0.2080504</v>
      </c>
      <c r="W6127">
        <v>2.9458850000000002E-2</v>
      </c>
      <c r="X6127">
        <v>0.97767440000000005</v>
      </c>
      <c r="Y6127">
        <v>-0.30465979999999998</v>
      </c>
      <c r="Z6127">
        <v>6.062178E-2</v>
      </c>
      <c r="AA6127">
        <v>0.95053010000000004</v>
      </c>
      <c r="AB6127">
        <v>23</v>
      </c>
      <c r="AC6127">
        <v>9.53970000000003</v>
      </c>
      <c r="AD6127">
        <v>-1.1145078926961001</v>
      </c>
      <c r="AE6127">
        <v>-0.73420000000000096</v>
      </c>
      <c r="AF6127">
        <v>-2.94856813230016</v>
      </c>
      <c r="AG6127">
        <v>-1.1145078926961001</v>
      </c>
      <c r="AH6127">
        <v>8.9675123646706094</v>
      </c>
      <c r="AI6127">
        <v>96.733423461328002</v>
      </c>
      <c r="AJ6127">
        <v>108.201153669395</v>
      </c>
      <c r="AK6127">
        <v>9.5053910958054892</v>
      </c>
      <c r="AL6127">
        <v>88.311888022930006</v>
      </c>
      <c r="AM6127">
        <v>102.013416588637</v>
      </c>
      <c r="AN6127">
        <v>1.00000001259942</v>
      </c>
    </row>
    <row r="6128" spans="1:40" x14ac:dyDescent="0.25">
      <c r="A6128" t="str">
        <f>"20190312151147360"</f>
        <v>20190312151147360</v>
      </c>
      <c r="B6128" t="str">
        <f>"1552374707347629"</f>
        <v>1552374707347629</v>
      </c>
      <c r="C6128" t="s">
        <v>40</v>
      </c>
      <c r="D6128">
        <v>4.9522490000000001</v>
      </c>
      <c r="E6128">
        <v>0.46194030000000003</v>
      </c>
      <c r="F6128" t="s">
        <v>42</v>
      </c>
      <c r="G6128">
        <v>-271.12060000000002</v>
      </c>
      <c r="H6128" s="1">
        <v>1.4577620000000001E-7</v>
      </c>
      <c r="I6128">
        <v>-61.369439999999997</v>
      </c>
      <c r="J6128">
        <v>-280.63819999999998</v>
      </c>
      <c r="K6128">
        <v>1.1145099999999999</v>
      </c>
      <c r="L6128">
        <v>-60.665860000000002</v>
      </c>
      <c r="M6128">
        <v>0.92467480000000002</v>
      </c>
      <c r="N6128">
        <v>0</v>
      </c>
      <c r="O6128">
        <v>-0.380575</v>
      </c>
      <c r="P6128">
        <v>0.9833558</v>
      </c>
      <c r="Q6128">
        <v>2.0343960000000001E-2</v>
      </c>
      <c r="R6128">
        <v>-0.18054680000000001</v>
      </c>
      <c r="S6128">
        <v>3.0161129999999998</v>
      </c>
      <c r="T6128">
        <v>-0.34881790000000001</v>
      </c>
      <c r="U6128">
        <v>-0.2342834</v>
      </c>
      <c r="V6128">
        <v>-0.2076424</v>
      </c>
      <c r="W6128">
        <v>2.9625200000000001E-2</v>
      </c>
      <c r="X6128">
        <v>0.97775610000000002</v>
      </c>
      <c r="Y6128">
        <v>-0.30344280000000001</v>
      </c>
      <c r="Z6128">
        <v>6.0249329999999997E-2</v>
      </c>
      <c r="AA6128">
        <v>0.95094290000000004</v>
      </c>
      <c r="AB6128">
        <v>23</v>
      </c>
      <c r="AC6128">
        <v>9.5175999999999608</v>
      </c>
      <c r="AD6128">
        <v>-1.1145098542237999</v>
      </c>
      <c r="AE6128">
        <v>-0.70358000000000898</v>
      </c>
      <c r="AF6128">
        <v>-2.9318012627313301</v>
      </c>
      <c r="AG6128">
        <v>-1.1145098542237999</v>
      </c>
      <c r="AH6128">
        <v>8.9470622528684896</v>
      </c>
      <c r="AI6128">
        <v>96.750908188907204</v>
      </c>
      <c r="AJ6128">
        <v>108.143096530721</v>
      </c>
      <c r="AK6128">
        <v>9.4809025844599404</v>
      </c>
      <c r="AL6128">
        <v>88.302352695284696</v>
      </c>
      <c r="AM6128">
        <v>101.98956709684199</v>
      </c>
      <c r="AN6128">
        <v>1.00000000492</v>
      </c>
    </row>
    <row r="6129" spans="1:40" x14ac:dyDescent="0.25">
      <c r="A6129" t="str">
        <f>"20190312151147371"</f>
        <v>20190312151147371</v>
      </c>
      <c r="B6129" t="str">
        <f>"1552374707367149"</f>
        <v>1552374707367149</v>
      </c>
      <c r="C6129" t="s">
        <v>40</v>
      </c>
      <c r="D6129">
        <v>4.9952489999999896</v>
      </c>
      <c r="E6129">
        <v>0.46298119999999998</v>
      </c>
      <c r="F6129" t="s">
        <v>42</v>
      </c>
      <c r="G6129">
        <v>-271.06720000000001</v>
      </c>
      <c r="H6129" s="1">
        <v>1.683043E-7</v>
      </c>
      <c r="I6129">
        <v>-61.371189999999999</v>
      </c>
      <c r="J6129">
        <v>-280.52780000000001</v>
      </c>
      <c r="K6129">
        <v>1.1145099999999999</v>
      </c>
      <c r="L6129">
        <v>-60.706819999999901</v>
      </c>
      <c r="M6129">
        <v>0.92608769999999996</v>
      </c>
      <c r="N6129">
        <v>0</v>
      </c>
      <c r="O6129">
        <v>-0.37712380000000001</v>
      </c>
      <c r="P6129">
        <v>0.98402489999999998</v>
      </c>
      <c r="Q6129">
        <v>2.0309939999999999E-2</v>
      </c>
      <c r="R6129">
        <v>-0.1768689</v>
      </c>
      <c r="S6129">
        <v>3.017242</v>
      </c>
      <c r="T6129">
        <v>-0.35134530000000003</v>
      </c>
      <c r="U6129">
        <v>-0.2223511</v>
      </c>
      <c r="V6129">
        <v>-0.2076519</v>
      </c>
      <c r="W6129">
        <v>2.9598030000000001E-2</v>
      </c>
      <c r="X6129">
        <v>0.97775489999999998</v>
      </c>
      <c r="Y6129">
        <v>-0.30361700000000003</v>
      </c>
      <c r="Z6129">
        <v>6.0314920000000001E-2</v>
      </c>
      <c r="AA6129">
        <v>0.95088320000000004</v>
      </c>
      <c r="AB6129">
        <v>23</v>
      </c>
      <c r="AC6129">
        <v>9.4605999999999995</v>
      </c>
      <c r="AD6129">
        <v>-1.1145098316957001</v>
      </c>
      <c r="AE6129">
        <v>-0.66437000000001201</v>
      </c>
      <c r="AF6129">
        <v>-2.9125359249020102</v>
      </c>
      <c r="AG6129">
        <v>-1.1145098316957001</v>
      </c>
      <c r="AH6129">
        <v>8.8897547825772403</v>
      </c>
      <c r="AI6129">
        <v>96.794131033520898</v>
      </c>
      <c r="AJ6129">
        <v>108.14026410224901</v>
      </c>
      <c r="AK6129">
        <v>9.4208671454991997</v>
      </c>
      <c r="AL6129">
        <v>88.303910095728796</v>
      </c>
      <c r="AM6129">
        <v>101.99011405520901</v>
      </c>
      <c r="AN6129">
        <v>0.99999999971374998</v>
      </c>
    </row>
    <row r="6130" spans="1:40" x14ac:dyDescent="0.25">
      <c r="A6130" t="str">
        <f>"20190312151147382"</f>
        <v>20190312151147382</v>
      </c>
      <c r="B6130" t="str">
        <f>"1552374707377886"</f>
        <v>1552374707377886</v>
      </c>
      <c r="C6130" t="s">
        <v>40</v>
      </c>
      <c r="D6130">
        <v>4.9413210000000003</v>
      </c>
      <c r="E6130">
        <v>0.46341870000000002</v>
      </c>
      <c r="F6130" t="s">
        <v>42</v>
      </c>
      <c r="G6130">
        <v>-270.9271</v>
      </c>
      <c r="H6130" s="1">
        <v>2.2101039999999999E-7</v>
      </c>
      <c r="I6130">
        <v>-61.404490000000003</v>
      </c>
      <c r="J6130">
        <v>-280.42250000000001</v>
      </c>
      <c r="K6130">
        <v>1.114511</v>
      </c>
      <c r="L6130">
        <v>-60.745609999999999</v>
      </c>
      <c r="M6130">
        <v>0.92742309999999994</v>
      </c>
      <c r="N6130">
        <v>0</v>
      </c>
      <c r="O6130">
        <v>-0.37382739999999998</v>
      </c>
      <c r="P6130">
        <v>0.98464160000000001</v>
      </c>
      <c r="Q6130">
        <v>2.0352700000000001E-2</v>
      </c>
      <c r="R6130">
        <v>-0.17339839999999901</v>
      </c>
      <c r="S6130">
        <v>3.0165410000000001</v>
      </c>
      <c r="T6130">
        <v>-0.35017659999999901</v>
      </c>
      <c r="U6130">
        <v>-0.21920780000000001</v>
      </c>
      <c r="V6130">
        <v>-0.20762130000000001</v>
      </c>
      <c r="W6130">
        <v>2.964808E-2</v>
      </c>
      <c r="X6130">
        <v>0.97775990000000002</v>
      </c>
      <c r="Y6130">
        <v>-0.3012629</v>
      </c>
      <c r="Z6130">
        <v>5.9642340000000002E-2</v>
      </c>
      <c r="AA6130">
        <v>0.95167400000000002</v>
      </c>
      <c r="AB6130">
        <v>23</v>
      </c>
      <c r="AC6130">
        <v>9.4954000000000107</v>
      </c>
      <c r="AD6130">
        <v>-1.1145107789896</v>
      </c>
      <c r="AE6130">
        <v>-0.65888000000000302</v>
      </c>
      <c r="AF6130">
        <v>-2.89903760425966</v>
      </c>
      <c r="AG6130">
        <v>-1.1145107789896</v>
      </c>
      <c r="AH6130">
        <v>8.9307462930777799</v>
      </c>
      <c r="AI6130">
        <v>96.769199727488498</v>
      </c>
      <c r="AJ6130">
        <v>107.984111483134</v>
      </c>
      <c r="AK6130">
        <v>9.4554102321749198</v>
      </c>
      <c r="AL6130">
        <v>88.301041213064806</v>
      </c>
      <c r="AM6130">
        <v>101.98833875987199</v>
      </c>
      <c r="AN6130">
        <v>1.0000000174546899</v>
      </c>
    </row>
    <row r="6131" spans="1:40" x14ac:dyDescent="0.25">
      <c r="A6131" t="str">
        <f>"20190312151147393"</f>
        <v>20190312151147393</v>
      </c>
      <c r="B6131" t="str">
        <f>"1552374707387644"</f>
        <v>1552374707387644</v>
      </c>
      <c r="C6131" t="s">
        <v>40</v>
      </c>
      <c r="D6131">
        <v>4.8884850000000002</v>
      </c>
      <c r="E6131">
        <v>0.46371259999999997</v>
      </c>
      <c r="F6131" t="s">
        <v>42</v>
      </c>
      <c r="G6131">
        <v>-270.74200000000002</v>
      </c>
      <c r="H6131" s="1">
        <v>2.9548980000000002E-7</v>
      </c>
      <c r="I6131">
        <v>-61.42653</v>
      </c>
      <c r="J6131">
        <v>-280.3134</v>
      </c>
      <c r="K6131">
        <v>1.1145130000000001</v>
      </c>
      <c r="L6131">
        <v>-60.785339999999998</v>
      </c>
      <c r="M6131">
        <v>0.92879179999999995</v>
      </c>
      <c r="N6131">
        <v>0</v>
      </c>
      <c r="O6131">
        <v>-0.37041350000000001</v>
      </c>
      <c r="P6131">
        <v>0.98523280000000002</v>
      </c>
      <c r="Q6131">
        <v>2.035354E-2</v>
      </c>
      <c r="R6131">
        <v>-0.17000660000000001</v>
      </c>
      <c r="S6131">
        <v>3.0166019999999998</v>
      </c>
      <c r="T6131">
        <v>-0.34730109999999997</v>
      </c>
      <c r="U6131">
        <v>-0.21218870000000001</v>
      </c>
      <c r="V6131">
        <v>-0.2073923</v>
      </c>
      <c r="W6131">
        <v>2.9659040000000001E-2</v>
      </c>
      <c r="X6131">
        <v>0.97780820000000002</v>
      </c>
      <c r="Y6131">
        <v>-0.30006240000000001</v>
      </c>
      <c r="Z6131">
        <v>5.872956E-2</v>
      </c>
      <c r="AA6131">
        <v>0.95211000000000001</v>
      </c>
      <c r="AB6131">
        <v>23</v>
      </c>
      <c r="AC6131">
        <v>9.5713999999999793</v>
      </c>
      <c r="AD6131">
        <v>-1.1145127045101999</v>
      </c>
      <c r="AE6131">
        <v>-0.64119000000000104</v>
      </c>
      <c r="AF6131">
        <v>-2.9107598312968701</v>
      </c>
      <c r="AG6131">
        <v>-1.1145127045101999</v>
      </c>
      <c r="AH6131">
        <v>9.00641061407058</v>
      </c>
      <c r="AI6131">
        <v>96.715643529110693</v>
      </c>
      <c r="AJ6131">
        <v>107.910186998326</v>
      </c>
      <c r="AK6131">
        <v>9.5304823337147599</v>
      </c>
      <c r="AL6131">
        <v>88.300413031015196</v>
      </c>
      <c r="AM6131">
        <v>101.974923468749</v>
      </c>
      <c r="AN6131">
        <v>1.0000000503701201</v>
      </c>
    </row>
    <row r="6132" spans="1:40" x14ac:dyDescent="0.25">
      <c r="A6132" t="str">
        <f>"20190312151147404"</f>
        <v>20190312151147404</v>
      </c>
      <c r="B6132" t="str">
        <f>"1552374707397404"</f>
        <v>1552374707397404</v>
      </c>
      <c r="C6132" t="s">
        <v>40</v>
      </c>
      <c r="D6132">
        <v>4.9156779999999998</v>
      </c>
      <c r="E6132">
        <v>0.46401910000000002</v>
      </c>
      <c r="F6132" t="s">
        <v>42</v>
      </c>
      <c r="G6132">
        <v>-270.55279999999999</v>
      </c>
      <c r="H6132" s="1">
        <v>3.7240160000000001E-7</v>
      </c>
      <c r="I6132">
        <v>-61.445770000000003</v>
      </c>
      <c r="J6132">
        <v>-280.21140000000003</v>
      </c>
      <c r="K6132">
        <v>1.1145160000000001</v>
      </c>
      <c r="L6132">
        <v>-60.82199</v>
      </c>
      <c r="M6132">
        <v>0.9300583</v>
      </c>
      <c r="N6132">
        <v>0</v>
      </c>
      <c r="O6132">
        <v>-0.3672221</v>
      </c>
      <c r="P6132">
        <v>0.98577060000000005</v>
      </c>
      <c r="Q6132">
        <v>2.0113010000000001E-2</v>
      </c>
      <c r="R6132">
        <v>-0.16688919999999999</v>
      </c>
      <c r="S6132">
        <v>3.0168759999999999</v>
      </c>
      <c r="T6132">
        <v>-0.34448210000000001</v>
      </c>
      <c r="U6132">
        <v>-0.20413210000000001</v>
      </c>
      <c r="V6132">
        <v>-0.20712700000000001</v>
      </c>
      <c r="W6132">
        <v>2.9427869999999998E-2</v>
      </c>
      <c r="X6132">
        <v>0.97787139999999995</v>
      </c>
      <c r="Y6132">
        <v>-0.29941859999999998</v>
      </c>
      <c r="Z6132">
        <v>5.7884829999999998E-2</v>
      </c>
      <c r="AA6132">
        <v>0.95236430000000005</v>
      </c>
      <c r="AB6132">
        <v>23</v>
      </c>
      <c r="AC6132">
        <v>9.6586000000000301</v>
      </c>
      <c r="AD6132">
        <v>-1.1145156275984001</v>
      </c>
      <c r="AE6132">
        <v>-0.623779999999996</v>
      </c>
      <c r="AF6132">
        <v>-2.9280808325440999</v>
      </c>
      <c r="AG6132">
        <v>-1.1145156275984001</v>
      </c>
      <c r="AH6132">
        <v>9.0922087688900799</v>
      </c>
      <c r="AI6132">
        <v>96.655065436061193</v>
      </c>
      <c r="AJ6132">
        <v>107.85078304765401</v>
      </c>
      <c r="AK6132">
        <v>9.6168634566138493</v>
      </c>
      <c r="AL6132">
        <v>88.313663852656404</v>
      </c>
      <c r="AM6132">
        <v>101.95929560027</v>
      </c>
      <c r="AN6132">
        <v>1.0000000342998401</v>
      </c>
    </row>
    <row r="6133" spans="1:40" x14ac:dyDescent="0.25">
      <c r="A6133" t="str">
        <f>"20190312151147414"</f>
        <v>20190312151147414</v>
      </c>
      <c r="B6133" t="str">
        <f>"1552374707407165"</f>
        <v>1552374707407165</v>
      </c>
      <c r="C6133" t="s">
        <v>40</v>
      </c>
      <c r="D6133">
        <v>4.9426880000000004</v>
      </c>
      <c r="E6133">
        <v>0.46454200000000001</v>
      </c>
      <c r="F6133" t="s">
        <v>42</v>
      </c>
      <c r="G6133">
        <v>-270.5761</v>
      </c>
      <c r="H6133" s="1">
        <v>3.6139329999999999E-7</v>
      </c>
      <c r="I6133">
        <v>-61.450310000000002</v>
      </c>
      <c r="J6133">
        <v>-280.10910000000001</v>
      </c>
      <c r="K6133">
        <v>1.114519</v>
      </c>
      <c r="L6133">
        <v>-60.858460000000001</v>
      </c>
      <c r="M6133">
        <v>0.93131620000000004</v>
      </c>
      <c r="N6133">
        <v>0</v>
      </c>
      <c r="O6133">
        <v>-0.3640198</v>
      </c>
      <c r="P6133">
        <v>0.98631610000000003</v>
      </c>
      <c r="Q6133">
        <v>2.0087600000000001E-2</v>
      </c>
      <c r="R6133">
        <v>-0.1636369</v>
      </c>
      <c r="S6133">
        <v>3.01709</v>
      </c>
      <c r="T6133">
        <v>-0.34898750000000001</v>
      </c>
      <c r="U6133">
        <v>-0.1967468</v>
      </c>
      <c r="V6133">
        <v>-0.2069877</v>
      </c>
      <c r="W6133">
        <v>2.940976E-2</v>
      </c>
      <c r="X6133">
        <v>0.97790140000000003</v>
      </c>
      <c r="Y6133">
        <v>-0.29838009999999998</v>
      </c>
      <c r="Z6133">
        <v>5.8236580000000003E-2</v>
      </c>
      <c r="AA6133">
        <v>0.95266879999999998</v>
      </c>
      <c r="AB6133">
        <v>23</v>
      </c>
      <c r="AC6133">
        <v>9.5330000000000101</v>
      </c>
      <c r="AD6133">
        <v>-1.1145186386067001</v>
      </c>
      <c r="AE6133">
        <v>-0.59184999999999299</v>
      </c>
      <c r="AF6133">
        <v>-2.8799916723386501</v>
      </c>
      <c r="AG6133">
        <v>-1.1145186386067001</v>
      </c>
      <c r="AH6133">
        <v>8.9721543088119198</v>
      </c>
      <c r="AI6133">
        <v>96.745364530427196</v>
      </c>
      <c r="AJ6133">
        <v>107.796225750056</v>
      </c>
      <c r="AK6133">
        <v>9.4887331488283504</v>
      </c>
      <c r="AL6133">
        <v>88.314701862291599</v>
      </c>
      <c r="AM6133">
        <v>101.95112781940701</v>
      </c>
      <c r="AN6133">
        <v>0.99999999502825299</v>
      </c>
    </row>
    <row r="6134" spans="1:40" x14ac:dyDescent="0.25">
      <c r="A6134" t="str">
        <f>"20190312151147424"</f>
        <v>20190312151147424</v>
      </c>
      <c r="B6134" t="str">
        <f>"1552374707417900"</f>
        <v>1552374707417900</v>
      </c>
      <c r="C6134" t="s">
        <v>40</v>
      </c>
      <c r="D6134">
        <v>4.8982049999999999</v>
      </c>
      <c r="E6134">
        <v>0.46491179999999899</v>
      </c>
      <c r="F6134" t="s">
        <v>42</v>
      </c>
      <c r="G6134">
        <v>-270.49090000000001</v>
      </c>
      <c r="H6134" s="1">
        <v>3.9413050000000001E-7</v>
      </c>
      <c r="I6134">
        <v>-61.467379999999999</v>
      </c>
      <c r="J6134">
        <v>-280.01249999999999</v>
      </c>
      <c r="K6134">
        <v>1.1145210000000001</v>
      </c>
      <c r="L6134">
        <v>-60.892359999999996</v>
      </c>
      <c r="M6134">
        <v>0.93249059999999995</v>
      </c>
      <c r="N6134">
        <v>0</v>
      </c>
      <c r="O6134">
        <v>-0.36100019999999999</v>
      </c>
      <c r="P6134">
        <v>0.98681339999999995</v>
      </c>
      <c r="Q6134">
        <v>2.0277650000000001E-2</v>
      </c>
      <c r="R6134">
        <v>-0.16058710000000001</v>
      </c>
      <c r="S6134">
        <v>3.0170590000000002</v>
      </c>
      <c r="T6134">
        <v>-0.34960649999999999</v>
      </c>
      <c r="U6134">
        <v>-0.1910095</v>
      </c>
      <c r="V6134">
        <v>-0.2068429</v>
      </c>
      <c r="W6134">
        <v>2.9607080000000001E-2</v>
      </c>
      <c r="X6134">
        <v>0.97792610000000002</v>
      </c>
      <c r="Y6134">
        <v>-0.29710500000000001</v>
      </c>
      <c r="Z6134">
        <v>5.7946209999999998E-2</v>
      </c>
      <c r="AA6134">
        <v>0.95308490000000001</v>
      </c>
      <c r="AB6134">
        <v>23</v>
      </c>
      <c r="AC6134">
        <v>9.5215999999999692</v>
      </c>
      <c r="AD6134">
        <v>-1.1145206058695001</v>
      </c>
      <c r="AE6134">
        <v>-0.57502000000000897</v>
      </c>
      <c r="AF6134">
        <v>-2.8622287948979901</v>
      </c>
      <c r="AG6134">
        <v>-1.1145206058695001</v>
      </c>
      <c r="AH6134">
        <v>8.9646421799106406</v>
      </c>
      <c r="AI6134">
        <v>96.754303403850102</v>
      </c>
      <c r="AJ6134">
        <v>107.70723023180101</v>
      </c>
      <c r="AK6134">
        <v>9.4762502747175201</v>
      </c>
      <c r="AL6134">
        <v>88.303391360332299</v>
      </c>
      <c r="AM6134">
        <v>101.94271447385501</v>
      </c>
      <c r="AN6134">
        <v>1.00000001076387</v>
      </c>
    </row>
    <row r="6135" spans="1:40" x14ac:dyDescent="0.25">
      <c r="A6135" t="str">
        <f>"20190312151147435"</f>
        <v>20190312151147435</v>
      </c>
      <c r="B6135" t="str">
        <f>"1552374707427662"</f>
        <v>1552374707427662</v>
      </c>
      <c r="C6135" t="s">
        <v>40</v>
      </c>
      <c r="D6135">
        <v>4.8598499999999998</v>
      </c>
      <c r="E6135">
        <v>0.46461180000000002</v>
      </c>
      <c r="F6135" t="s">
        <v>42</v>
      </c>
      <c r="G6135">
        <v>-270.32600000000002</v>
      </c>
      <c r="H6135" s="1">
        <v>4.6091260000000002E-7</v>
      </c>
      <c r="I6135">
        <v>-61.485120000000002</v>
      </c>
      <c r="J6135">
        <v>-279.91309999999999</v>
      </c>
      <c r="K6135">
        <v>1.1145240000000001</v>
      </c>
      <c r="L6135">
        <v>-60.927120000000002</v>
      </c>
      <c r="M6135">
        <v>0.93369049999999998</v>
      </c>
      <c r="N6135">
        <v>0</v>
      </c>
      <c r="O6135">
        <v>-0.35788540000000002</v>
      </c>
      <c r="P6135">
        <v>0.98733680000000001</v>
      </c>
      <c r="Q6135">
        <v>2.0033570000000001E-2</v>
      </c>
      <c r="R6135">
        <v>-0.15736929999999999</v>
      </c>
      <c r="S6135">
        <v>3.0171510000000001</v>
      </c>
      <c r="T6135">
        <v>-0.34715119999999999</v>
      </c>
      <c r="U6135">
        <v>-0.1846313</v>
      </c>
      <c r="V6135">
        <v>-0.20676600000000001</v>
      </c>
      <c r="W6135">
        <v>2.9368289999999998E-2</v>
      </c>
      <c r="X6135">
        <v>0.97794959999999997</v>
      </c>
      <c r="Y6135">
        <v>-0.29601460000000002</v>
      </c>
      <c r="Z6135">
        <v>5.7149829999999999E-2</v>
      </c>
      <c r="AA6135">
        <v>0.95347219999999999</v>
      </c>
      <c r="AB6135">
        <v>23</v>
      </c>
      <c r="AC6135">
        <v>9.5871000000000102</v>
      </c>
      <c r="AD6135">
        <v>-1.11452353908739</v>
      </c>
      <c r="AE6135">
        <v>-0.55799999999999905</v>
      </c>
      <c r="AF6135">
        <v>-2.8716099738530998</v>
      </c>
      <c r="AG6135">
        <v>-1.11452353908739</v>
      </c>
      <c r="AH6135">
        <v>9.0300989328979497</v>
      </c>
      <c r="AI6135">
        <v>96.708260357814794</v>
      </c>
      <c r="AJ6135">
        <v>107.64088593038601</v>
      </c>
      <c r="AK6135">
        <v>9.5410163661445004</v>
      </c>
      <c r="AL6135">
        <v>88.3170790336914</v>
      </c>
      <c r="AM6135">
        <v>101.93812319119399</v>
      </c>
      <c r="AN6135">
        <v>1.00000004767684</v>
      </c>
    </row>
    <row r="6136" spans="1:40" x14ac:dyDescent="0.25">
      <c r="A6136" t="str">
        <f>"20190312151147446"</f>
        <v>20190312151147446</v>
      </c>
      <c r="B6136" t="str">
        <f>"1552374707437421"</f>
        <v>1552374707437421</v>
      </c>
      <c r="C6136" t="s">
        <v>40</v>
      </c>
      <c r="D6136">
        <v>4.8651080000000002</v>
      </c>
      <c r="E6136">
        <v>0.46429500000000001</v>
      </c>
      <c r="F6136" t="s">
        <v>42</v>
      </c>
      <c r="G6136">
        <v>-270.2473</v>
      </c>
      <c r="H6136" s="1">
        <v>4.9592360000000005E-7</v>
      </c>
      <c r="I6136">
        <v>-61.47963</v>
      </c>
      <c r="J6136">
        <v>-279.81150000000002</v>
      </c>
      <c r="K6136">
        <v>1.1145259999999999</v>
      </c>
      <c r="L6136">
        <v>-60.962040000000002</v>
      </c>
      <c r="M6136">
        <v>0.93490229999999996</v>
      </c>
      <c r="N6136">
        <v>0</v>
      </c>
      <c r="O6136">
        <v>-0.3547072</v>
      </c>
      <c r="P6136">
        <v>0.98780889999999999</v>
      </c>
      <c r="Q6136">
        <v>2.0134229999999999E-2</v>
      </c>
      <c r="R6136">
        <v>-0.15436349999999999</v>
      </c>
      <c r="S6136">
        <v>3.0180660000000001</v>
      </c>
      <c r="T6136">
        <v>-0.34800179999999997</v>
      </c>
      <c r="U6136">
        <v>-0.1725159</v>
      </c>
      <c r="V6136">
        <v>-0.20641599999999999</v>
      </c>
      <c r="W6136">
        <v>2.9477920000000001E-2</v>
      </c>
      <c r="X6136">
        <v>0.97802020000000001</v>
      </c>
      <c r="Y6136">
        <v>-0.29659639999999998</v>
      </c>
      <c r="Z6136">
        <v>5.6975480000000002E-2</v>
      </c>
      <c r="AA6136">
        <v>0.95330179999999998</v>
      </c>
      <c r="AB6136">
        <v>23</v>
      </c>
      <c r="AC6136">
        <v>9.5642000000000191</v>
      </c>
      <c r="AD6136">
        <v>-1.1145255040763999</v>
      </c>
      <c r="AE6136">
        <v>-0.51759000000000499</v>
      </c>
      <c r="AF6136">
        <v>-2.8699404027313098</v>
      </c>
      <c r="AG6136">
        <v>-1.1145255040763999</v>
      </c>
      <c r="AH6136">
        <v>9.0039152231824993</v>
      </c>
      <c r="AI6136">
        <v>96.726176899471099</v>
      </c>
      <c r="AJ6136">
        <v>107.679348395345</v>
      </c>
      <c r="AK6136">
        <v>9.5157350930300595</v>
      </c>
      <c r="AL6136">
        <v>88.310794917058601</v>
      </c>
      <c r="AM6136">
        <v>101.91765775454201</v>
      </c>
      <c r="AN6136">
        <v>1.0000000122157799</v>
      </c>
    </row>
    <row r="6137" spans="1:40" x14ac:dyDescent="0.25">
      <c r="A6137" t="str">
        <f>"20190312151147455"</f>
        <v>20190312151147455</v>
      </c>
      <c r="B6137" t="str">
        <f>"1552374707447181"</f>
        <v>1552374707447181</v>
      </c>
      <c r="C6137" t="s">
        <v>40</v>
      </c>
      <c r="D6137">
        <v>4.8835490000000004</v>
      </c>
      <c r="E6137">
        <v>0.46376820000000002</v>
      </c>
      <c r="F6137" t="s">
        <v>42</v>
      </c>
      <c r="G6137">
        <v>-270.1003</v>
      </c>
      <c r="H6137" s="1">
        <v>5.5887809999999897E-7</v>
      </c>
      <c r="I6137">
        <v>-61.480170000000001</v>
      </c>
      <c r="J6137">
        <v>-279.70920000000001</v>
      </c>
      <c r="K6137">
        <v>1.11453</v>
      </c>
      <c r="L6137">
        <v>-60.997010000000003</v>
      </c>
      <c r="M6137">
        <v>0.93611140000000004</v>
      </c>
      <c r="N6137">
        <v>0</v>
      </c>
      <c r="O6137">
        <v>-0.35150399999999998</v>
      </c>
      <c r="P6137">
        <v>0.98829049999999996</v>
      </c>
      <c r="Q6137">
        <v>2.0178809999999998E-2</v>
      </c>
      <c r="R6137">
        <v>-0.1512453</v>
      </c>
      <c r="S6137">
        <v>3.0189210000000002</v>
      </c>
      <c r="T6137">
        <v>-0.34647149999999999</v>
      </c>
      <c r="U6137">
        <v>-0.16107179999999999</v>
      </c>
      <c r="V6137">
        <v>-0.20615449999999999</v>
      </c>
      <c r="W6137">
        <v>2.9530819999999999E-2</v>
      </c>
      <c r="X6137">
        <v>0.97807370000000005</v>
      </c>
      <c r="Y6137">
        <v>-0.2970024</v>
      </c>
      <c r="Z6137">
        <v>5.6401159999999999E-2</v>
      </c>
      <c r="AA6137">
        <v>0.95320959999999999</v>
      </c>
      <c r="AB6137">
        <v>23</v>
      </c>
      <c r="AC6137">
        <v>9.6089000000000002</v>
      </c>
      <c r="AD6137">
        <v>-1.1145294411219</v>
      </c>
      <c r="AE6137">
        <v>-0.48315999999999798</v>
      </c>
      <c r="AF6137">
        <v>-2.8867416797821699</v>
      </c>
      <c r="AG6137">
        <v>-1.1145294411219</v>
      </c>
      <c r="AH6137">
        <v>9.0441086877214403</v>
      </c>
      <c r="AI6137">
        <v>96.695732750602104</v>
      </c>
      <c r="AJ6137">
        <v>107.702290693135</v>
      </c>
      <c r="AK6137">
        <v>9.5588365064079692</v>
      </c>
      <c r="AL6137">
        <v>88.307762553272497</v>
      </c>
      <c r="AM6137">
        <v>101.902358177107</v>
      </c>
      <c r="AN6137">
        <v>0.99999995491590499</v>
      </c>
    </row>
    <row r="6138" spans="1:40" x14ac:dyDescent="0.25">
      <c r="A6138" t="str">
        <f>"20190312151147467"</f>
        <v>20190312151147467</v>
      </c>
      <c r="B6138" t="str">
        <f>"1552374707457917"</f>
        <v>1552374707457917</v>
      </c>
      <c r="C6138" t="s">
        <v>40</v>
      </c>
      <c r="D6138">
        <v>4.8683719999999999</v>
      </c>
      <c r="E6138">
        <v>0.46349079999999898</v>
      </c>
      <c r="F6138" t="s">
        <v>42</v>
      </c>
      <c r="G6138">
        <v>-269.92270000000002</v>
      </c>
      <c r="H6138" s="1">
        <v>-3.458822E-6</v>
      </c>
      <c r="I6138">
        <v>-61.4754</v>
      </c>
      <c r="J6138">
        <v>-279.59859999999998</v>
      </c>
      <c r="K6138">
        <v>1.114533</v>
      </c>
      <c r="L6138">
        <v>-61.034179999999999</v>
      </c>
      <c r="M6138">
        <v>0.93740420000000002</v>
      </c>
      <c r="N6138">
        <v>0</v>
      </c>
      <c r="O6138">
        <v>-0.3480414</v>
      </c>
      <c r="P6138">
        <v>0.98881350000000001</v>
      </c>
      <c r="Q6138">
        <v>2.0245389999999999E-2</v>
      </c>
      <c r="R6138">
        <v>-0.14777709999999999</v>
      </c>
      <c r="S6138">
        <v>3.0199889999999998</v>
      </c>
      <c r="T6138">
        <v>-0.34392909999999999</v>
      </c>
      <c r="U6138">
        <v>-0.147644</v>
      </c>
      <c r="V6138">
        <v>-0.2059703</v>
      </c>
      <c r="W6138">
        <v>2.9604700000000001E-2</v>
      </c>
      <c r="X6138">
        <v>0.97811029999999999</v>
      </c>
      <c r="Y6138">
        <v>-0.29779879999999997</v>
      </c>
      <c r="Z6138">
        <v>5.565842E-2</v>
      </c>
      <c r="AA6138">
        <v>0.95300469999999904</v>
      </c>
      <c r="AB6138">
        <v>23</v>
      </c>
      <c r="AC6138">
        <v>9.6758999999999507</v>
      </c>
      <c r="AD6138">
        <v>-1.1145364588219999</v>
      </c>
      <c r="AE6138">
        <v>-0.44121999999999401</v>
      </c>
      <c r="AF6138">
        <v>-2.91561576583715</v>
      </c>
      <c r="AG6138">
        <v>-1.1145364588219999</v>
      </c>
      <c r="AH6138">
        <v>9.1039003903105602</v>
      </c>
      <c r="AI6138">
        <v>96.650138078956999</v>
      </c>
      <c r="AJ6138">
        <v>107.758187338602</v>
      </c>
      <c r="AK6138">
        <v>9.6241367991492304</v>
      </c>
      <c r="AL6138">
        <v>88.303527733333297</v>
      </c>
      <c r="AM6138">
        <v>101.89159397947201</v>
      </c>
      <c r="AN6138">
        <v>0.99999998085513397</v>
      </c>
    </row>
    <row r="6139" spans="1:40" x14ac:dyDescent="0.25">
      <c r="A6139" t="str">
        <f>"20190312151147479"</f>
        <v>20190312151147479</v>
      </c>
      <c r="B6139" t="str">
        <f>"1552374707467677"</f>
        <v>1552374707467677</v>
      </c>
      <c r="C6139" t="s">
        <v>40</v>
      </c>
      <c r="D6139">
        <v>4.8767809999999896</v>
      </c>
      <c r="E6139">
        <v>0.4629354</v>
      </c>
      <c r="F6139" t="s">
        <v>42</v>
      </c>
      <c r="G6139">
        <v>-269.71839999999997</v>
      </c>
      <c r="H6139" s="1">
        <v>-3.3893829999999999E-6</v>
      </c>
      <c r="I6139">
        <v>-61.4758</v>
      </c>
      <c r="J6139">
        <v>-279.49169999999998</v>
      </c>
      <c r="K6139">
        <v>1.1145350000000001</v>
      </c>
      <c r="L6139">
        <v>-61.069890000000001</v>
      </c>
      <c r="M6139">
        <v>0.93864009999999998</v>
      </c>
      <c r="N6139">
        <v>0</v>
      </c>
      <c r="O6139">
        <v>-0.3446939</v>
      </c>
      <c r="P6139">
        <v>0.98932140000000002</v>
      </c>
      <c r="Q6139">
        <v>2.0297740000000002E-2</v>
      </c>
      <c r="R6139">
        <v>-0.1443304</v>
      </c>
      <c r="S6139">
        <v>3.0207519999999999</v>
      </c>
      <c r="T6139">
        <v>-0.34075670000000002</v>
      </c>
      <c r="U6139">
        <v>-0.135040299999999</v>
      </c>
      <c r="V6139">
        <v>-0.20588880000000001</v>
      </c>
      <c r="W6139">
        <v>2.9662850000000001E-2</v>
      </c>
      <c r="X6139">
        <v>0.97812569999999999</v>
      </c>
      <c r="Y6139">
        <v>-0.29846549999999999</v>
      </c>
      <c r="Z6139">
        <v>5.4828349999999998E-2</v>
      </c>
      <c r="AA6139">
        <v>0.95284429999999998</v>
      </c>
      <c r="AB6139">
        <v>23</v>
      </c>
      <c r="AC6139">
        <v>9.7733000000000008</v>
      </c>
      <c r="AD6139">
        <v>-1.1145383893830001</v>
      </c>
      <c r="AE6139">
        <v>-0.40590999999999799</v>
      </c>
      <c r="AF6139">
        <v>-2.94970929943148</v>
      </c>
      <c r="AG6139">
        <v>-1.1145383893830001</v>
      </c>
      <c r="AH6139">
        <v>9.1948102561584193</v>
      </c>
      <c r="AI6139">
        <v>96.583951992575294</v>
      </c>
      <c r="AJ6139">
        <v>107.786320959129</v>
      </c>
      <c r="AK6139">
        <v>9.7204689402989697</v>
      </c>
      <c r="AL6139">
        <v>88.300194524858298</v>
      </c>
      <c r="AM6139">
        <v>101.886840676451</v>
      </c>
      <c r="AN6139">
        <v>0.99999998381802602</v>
      </c>
    </row>
    <row r="6140" spans="1:40" x14ac:dyDescent="0.25">
      <c r="A6140" t="str">
        <f>"20190312151147489"</f>
        <v>20190312151147489</v>
      </c>
      <c r="B6140" t="str">
        <f>"1552374707477436"</f>
        <v>1552374707477436</v>
      </c>
      <c r="C6140" t="s">
        <v>40</v>
      </c>
      <c r="D6140">
        <v>5.2505769999999998</v>
      </c>
      <c r="E6140">
        <v>0.46282859999999998</v>
      </c>
      <c r="F6140" t="s">
        <v>42</v>
      </c>
      <c r="G6140">
        <v>-269.70580000000001</v>
      </c>
      <c r="H6140" s="1">
        <v>-3.3820540000000002E-6</v>
      </c>
      <c r="I6140">
        <v>-61.458689999999997</v>
      </c>
      <c r="J6140">
        <v>-279.38589999999999</v>
      </c>
      <c r="K6140">
        <v>1.114538</v>
      </c>
      <c r="L6140">
        <v>-61.104550000000003</v>
      </c>
      <c r="M6140">
        <v>0.93984970000000001</v>
      </c>
      <c r="N6140">
        <v>0</v>
      </c>
      <c r="O6140">
        <v>-0.34138190000000002</v>
      </c>
      <c r="P6140">
        <v>0.98982210000000004</v>
      </c>
      <c r="Q6140">
        <v>2.048463E-2</v>
      </c>
      <c r="R6140">
        <v>-0.1408277</v>
      </c>
      <c r="S6140">
        <v>3.0219420000000001</v>
      </c>
      <c r="T6140">
        <v>-0.34417379999999997</v>
      </c>
      <c r="U6140">
        <v>-0.1200867</v>
      </c>
      <c r="V6140">
        <v>-0.20590259999999999</v>
      </c>
      <c r="W6140">
        <v>2.9853979999999999E-2</v>
      </c>
      <c r="X6140">
        <v>0.97811700000000001</v>
      </c>
      <c r="Y6140">
        <v>-0.29975950000000001</v>
      </c>
      <c r="Z6140">
        <v>5.508424E-2</v>
      </c>
      <c r="AA6140">
        <v>0.95242320000000003</v>
      </c>
      <c r="AB6140">
        <v>23</v>
      </c>
      <c r="AC6140">
        <v>9.6800999999999799</v>
      </c>
      <c r="AD6140">
        <v>-1.114541382054</v>
      </c>
      <c r="AE6140">
        <v>-0.35414000000000101</v>
      </c>
      <c r="AF6140">
        <v>-2.9331503224837499</v>
      </c>
      <c r="AG6140">
        <v>-1.114541382054</v>
      </c>
      <c r="AH6140">
        <v>9.0989260265884102</v>
      </c>
      <c r="AI6140">
        <v>96.649734214211094</v>
      </c>
      <c r="AJ6140">
        <v>107.867362441487</v>
      </c>
      <c r="AK6140">
        <v>9.6247611993194599</v>
      </c>
      <c r="AL6140">
        <v>88.289238763478096</v>
      </c>
      <c r="AM6140">
        <v>101.88771746913901</v>
      </c>
      <c r="AN6140">
        <v>1.0000000032487999</v>
      </c>
    </row>
    <row r="6141" spans="1:40" x14ac:dyDescent="0.25">
      <c r="A6141" t="str">
        <f>"20190312151147501"</f>
        <v>20190312151147501</v>
      </c>
      <c r="B6141" t="str">
        <f>"1552374707497934"</f>
        <v>1552374707497934</v>
      </c>
      <c r="C6141" t="s">
        <v>40</v>
      </c>
      <c r="D6141">
        <v>4.9278879999999896</v>
      </c>
      <c r="E6141">
        <v>0.4625302</v>
      </c>
      <c r="F6141" t="s">
        <v>42</v>
      </c>
      <c r="G6141">
        <v>-269.46080000000001</v>
      </c>
      <c r="H6141" s="1">
        <v>-3.2992499999999998E-6</v>
      </c>
      <c r="I6141">
        <v>-61.461959999999998</v>
      </c>
      <c r="J6141">
        <v>-279.27429999999998</v>
      </c>
      <c r="K6141">
        <v>1.114538</v>
      </c>
      <c r="L6141">
        <v>-61.1408699999999</v>
      </c>
      <c r="M6141">
        <v>0.94111230000000001</v>
      </c>
      <c r="N6141">
        <v>0</v>
      </c>
      <c r="O6141">
        <v>-0.33788580000000001</v>
      </c>
      <c r="P6141">
        <v>0.99029999999999996</v>
      </c>
      <c r="Q6141">
        <v>2.0533800000000001E-2</v>
      </c>
      <c r="R6141">
        <v>-0.13742099999999999</v>
      </c>
      <c r="S6141">
        <v>3.0223689999999999</v>
      </c>
      <c r="T6141">
        <v>-0.3393948</v>
      </c>
      <c r="U6141">
        <v>-0.1088562</v>
      </c>
      <c r="V6141">
        <v>-0.2056326</v>
      </c>
      <c r="W6141">
        <v>2.9910699999999998E-2</v>
      </c>
      <c r="X6141">
        <v>0.97817209999999999</v>
      </c>
      <c r="Y6141">
        <v>-0.29988730000000002</v>
      </c>
      <c r="Z6141">
        <v>5.3962219999999998E-2</v>
      </c>
      <c r="AA6141">
        <v>0.95244720000000005</v>
      </c>
      <c r="AB6141">
        <v>23</v>
      </c>
      <c r="AC6141">
        <v>9.8134999999999692</v>
      </c>
      <c r="AD6141">
        <v>-1.1145412992499999</v>
      </c>
      <c r="AE6141">
        <v>-0.32109000000000498</v>
      </c>
      <c r="AF6141">
        <v>-2.9755334319530502</v>
      </c>
      <c r="AG6141">
        <v>-1.1145412992499999</v>
      </c>
      <c r="AH6141">
        <v>9.2258811069780897</v>
      </c>
      <c r="AI6141">
        <v>96.558731193656698</v>
      </c>
      <c r="AJ6141">
        <v>107.87556202027</v>
      </c>
      <c r="AK6141">
        <v>9.7577089376809898</v>
      </c>
      <c r="AL6141">
        <v>88.285987552264999</v>
      </c>
      <c r="AM6141">
        <v>101.871921997428</v>
      </c>
      <c r="AN6141">
        <v>1.0000000366878199</v>
      </c>
    </row>
    <row r="6142" spans="1:40" x14ac:dyDescent="0.25">
      <c r="A6142" t="str">
        <f>"20190312151147512"</f>
        <v>20190312151147512</v>
      </c>
      <c r="B6142" t="str">
        <f>"1552374707507692"</f>
        <v>1552374707507692</v>
      </c>
      <c r="C6142" t="s">
        <v>40</v>
      </c>
      <c r="D6142">
        <v>4.9043999999999999</v>
      </c>
      <c r="E6142">
        <v>0.46248109999999998</v>
      </c>
      <c r="F6142" t="s">
        <v>42</v>
      </c>
      <c r="G6142">
        <v>-269.25970000000001</v>
      </c>
      <c r="H6142" s="1">
        <v>-3.2304340000000001E-6</v>
      </c>
      <c r="I6142">
        <v>-61.459769999999899</v>
      </c>
      <c r="J6142">
        <v>-279.16899999999998</v>
      </c>
      <c r="K6142">
        <v>1.114541</v>
      </c>
      <c r="L6142">
        <v>-61.174619999999997</v>
      </c>
      <c r="M6142">
        <v>0.94228990000000001</v>
      </c>
      <c r="N6142">
        <v>0</v>
      </c>
      <c r="O6142">
        <v>-0.33458690000000002</v>
      </c>
      <c r="P6142">
        <v>0.99076940000000002</v>
      </c>
      <c r="Q6142">
        <v>2.0768760000000001E-2</v>
      </c>
      <c r="R6142">
        <v>-0.1339581</v>
      </c>
      <c r="S6142">
        <v>3.02298</v>
      </c>
      <c r="T6142">
        <v>-0.33643040000000002</v>
      </c>
      <c r="U6142">
        <v>-9.6282960000000001E-2</v>
      </c>
      <c r="V6142">
        <v>-0.2056269</v>
      </c>
      <c r="W6142">
        <v>3.014996E-2</v>
      </c>
      <c r="X6142">
        <v>0.97816590000000003</v>
      </c>
      <c r="Y6142">
        <v>-0.30059609999999998</v>
      </c>
      <c r="Z6142">
        <v>5.3184910000000002E-2</v>
      </c>
      <c r="AA6142">
        <v>0.95226750000000004</v>
      </c>
      <c r="AB6142">
        <v>23</v>
      </c>
      <c r="AC6142">
        <v>9.9093000000000302</v>
      </c>
      <c r="AD6142">
        <v>-1.1145442304340001</v>
      </c>
      <c r="AE6142">
        <v>-0.28514999999999402</v>
      </c>
      <c r="AF6142">
        <v>-3.0090092987704198</v>
      </c>
      <c r="AG6142">
        <v>-1.1145442304340001</v>
      </c>
      <c r="AH6142">
        <v>9.3157557738114392</v>
      </c>
      <c r="AI6142">
        <v>96.495108365866699</v>
      </c>
      <c r="AJ6142">
        <v>107.900569015682</v>
      </c>
      <c r="AK6142">
        <v>9.8529006611749494</v>
      </c>
      <c r="AL6142">
        <v>88.272272689684002</v>
      </c>
      <c r="AM6142">
        <v>101.87167536541099</v>
      </c>
      <c r="AN6142">
        <v>0.99999998500720999</v>
      </c>
    </row>
    <row r="6143" spans="1:40" x14ac:dyDescent="0.25">
      <c r="A6143" t="str">
        <f>"20190312151147535"</f>
        <v>20190312151147535</v>
      </c>
      <c r="B6143" t="str">
        <f>"1552374707527212"</f>
        <v>1552374707527212</v>
      </c>
      <c r="C6143" t="s">
        <v>40</v>
      </c>
      <c r="D6143">
        <v>4.8848979999999997</v>
      </c>
      <c r="E6143">
        <v>0.4623989</v>
      </c>
      <c r="F6143" t="s">
        <v>42</v>
      </c>
      <c r="G6143">
        <v>-269.10300000000001</v>
      </c>
      <c r="H6143" s="1">
        <v>-3.1770700000000001E-6</v>
      </c>
      <c r="I6143">
        <v>-61.459449999999997</v>
      </c>
      <c r="J6143">
        <v>-278.9443</v>
      </c>
      <c r="K6143">
        <v>1.1145480000000001</v>
      </c>
      <c r="L6143">
        <v>-61.245449999999998</v>
      </c>
      <c r="M6143">
        <v>0.9447603</v>
      </c>
      <c r="N6143">
        <v>0</v>
      </c>
      <c r="O6143">
        <v>-0.32754680000000003</v>
      </c>
      <c r="P6143">
        <v>0.99170259999999999</v>
      </c>
      <c r="Q6143">
        <v>2.100666E-2</v>
      </c>
      <c r="R6143">
        <v>-0.126827</v>
      </c>
      <c r="S6143">
        <v>3.0234070000000002</v>
      </c>
      <c r="T6143">
        <v>-0.33476319999999998</v>
      </c>
      <c r="U6143">
        <v>-8.5571289999999994E-2</v>
      </c>
      <c r="V6143">
        <v>-0.20536650000000001</v>
      </c>
      <c r="W6143">
        <v>3.039876E-2</v>
      </c>
      <c r="X6143">
        <v>0.97821290000000005</v>
      </c>
      <c r="Y6143">
        <v>-0.29696030000000001</v>
      </c>
      <c r="Z6143">
        <v>5.1983149999999999E-2</v>
      </c>
      <c r="AA6143">
        <v>0.95347380000000004</v>
      </c>
      <c r="AB6143">
        <v>23</v>
      </c>
      <c r="AC6143">
        <v>9.8412999999999897</v>
      </c>
      <c r="AD6143">
        <v>-1.1145511770699901</v>
      </c>
      <c r="AE6143">
        <v>-0.213999999999998</v>
      </c>
      <c r="AF6143">
        <v>-2.9832750079558901</v>
      </c>
      <c r="AG6143">
        <v>-1.1145511770699901</v>
      </c>
      <c r="AH6143">
        <v>9.2498419249630892</v>
      </c>
      <c r="AI6143">
        <v>96.541943563447305</v>
      </c>
      <c r="AJ6143">
        <v>107.875639038053</v>
      </c>
      <c r="AK6143">
        <v>9.7827260891945205</v>
      </c>
      <c r="AL6143">
        <v>88.258010955012097</v>
      </c>
      <c r="AM6143">
        <v>101.856513675095</v>
      </c>
      <c r="AN6143">
        <v>0.99999998082909802</v>
      </c>
    </row>
    <row r="6144" spans="1:40" x14ac:dyDescent="0.25">
      <c r="A6144" t="str">
        <f>"20190312151147547"</f>
        <v>20190312151147547</v>
      </c>
      <c r="B6144" t="str">
        <f>"1552374707537949"</f>
        <v>1552374707537949</v>
      </c>
      <c r="C6144" t="s">
        <v>40</v>
      </c>
      <c r="D6144">
        <v>5.0065169999999997</v>
      </c>
      <c r="E6144">
        <v>0.462368</v>
      </c>
      <c r="F6144" t="s">
        <v>42</v>
      </c>
      <c r="G6144">
        <v>-268.9128</v>
      </c>
      <c r="H6144" s="1">
        <v>-3.1113409999999998E-6</v>
      </c>
      <c r="I6144">
        <v>-61.453919999999997</v>
      </c>
      <c r="J6144">
        <v>-278.82749999999999</v>
      </c>
      <c r="K6144">
        <v>1.1145499999999999</v>
      </c>
      <c r="L6144">
        <v>-61.28143</v>
      </c>
      <c r="M6144">
        <v>0.94602209999999998</v>
      </c>
      <c r="N6144">
        <v>0</v>
      </c>
      <c r="O6144">
        <v>-0.32388420000000001</v>
      </c>
      <c r="P6144">
        <v>0.99214550000000001</v>
      </c>
      <c r="Q6144">
        <v>2.121903E-2</v>
      </c>
      <c r="R6144">
        <v>-0.1232779</v>
      </c>
      <c r="S6144">
        <v>3.0241699999999998</v>
      </c>
      <c r="T6144">
        <v>-0.33599810000000002</v>
      </c>
      <c r="U6144">
        <v>-6.2866210000000006E-2</v>
      </c>
      <c r="V6144">
        <v>-0.2050778</v>
      </c>
      <c r="W6144">
        <v>3.061848E-2</v>
      </c>
      <c r="X6144">
        <v>0.97826670000000004</v>
      </c>
      <c r="Y6144">
        <v>-0.3003961</v>
      </c>
      <c r="Z6144">
        <v>5.1979520000000001E-2</v>
      </c>
      <c r="AA6144">
        <v>0.9523971</v>
      </c>
      <c r="AB6144">
        <v>23</v>
      </c>
      <c r="AC6144">
        <v>9.9146999999999803</v>
      </c>
      <c r="AD6144">
        <v>-1.1145531113410001</v>
      </c>
      <c r="AE6144">
        <v>-0.17248999999998901</v>
      </c>
      <c r="AF6144">
        <v>-3.0102220317784401</v>
      </c>
      <c r="AG6144">
        <v>-1.1145531113410001</v>
      </c>
      <c r="AH6144">
        <v>9.3183385835110908</v>
      </c>
      <c r="AI6144">
        <v>96.493298275391297</v>
      </c>
      <c r="AJ6144">
        <v>107.902676298156</v>
      </c>
      <c r="AK6144">
        <v>9.8557140418924405</v>
      </c>
      <c r="AL6144">
        <v>88.245416212417396</v>
      </c>
      <c r="AM6144">
        <v>101.839684061171</v>
      </c>
      <c r="AN6144">
        <v>1.00000006584961</v>
      </c>
    </row>
    <row r="6145" spans="1:40" x14ac:dyDescent="0.25">
      <c r="A6145" t="str">
        <f>"20190312151147559"</f>
        <v>20190312151147559</v>
      </c>
      <c r="B6145" t="str">
        <f>"1552374707547709"</f>
        <v>1552374707547709</v>
      </c>
      <c r="C6145" t="s">
        <v>40</v>
      </c>
      <c r="D6145">
        <v>4.8495350000000004</v>
      </c>
      <c r="E6145">
        <v>0.46247260000000001</v>
      </c>
      <c r="F6145" t="s">
        <v>42</v>
      </c>
      <c r="G6145">
        <v>-268.8492</v>
      </c>
      <c r="H6145" s="1">
        <v>-3.0857170000000002E-6</v>
      </c>
      <c r="I6145">
        <v>-61.451610000000002</v>
      </c>
      <c r="J6145">
        <v>-278.70940000000002</v>
      </c>
      <c r="K6145">
        <v>1.114554</v>
      </c>
      <c r="L6145">
        <v>-61.317469999999901</v>
      </c>
      <c r="M6145">
        <v>0.94728040000000002</v>
      </c>
      <c r="N6145">
        <v>0</v>
      </c>
      <c r="O6145">
        <v>-0.32018540000000001</v>
      </c>
      <c r="P6145">
        <v>0.99257150000000005</v>
      </c>
      <c r="Q6145">
        <v>2.1387239999999998E-2</v>
      </c>
      <c r="R6145">
        <v>-0.11976779999999999</v>
      </c>
      <c r="S6145">
        <v>3.0245669999999998</v>
      </c>
      <c r="T6145">
        <v>-0.33784009999999998</v>
      </c>
      <c r="U6145">
        <v>-5.160522E-2</v>
      </c>
      <c r="V6145">
        <v>-0.20471610000000001</v>
      </c>
      <c r="W6145">
        <v>3.0794820000000001E-2</v>
      </c>
      <c r="X6145">
        <v>0.97833689999999995</v>
      </c>
      <c r="Y6145">
        <v>-0.30020219999999997</v>
      </c>
      <c r="Z6145">
        <v>5.1858620000000001E-2</v>
      </c>
      <c r="AA6145">
        <v>0.95246489999999995</v>
      </c>
      <c r="AB6145">
        <v>23</v>
      </c>
      <c r="AC6145">
        <v>9.8602000000000096</v>
      </c>
      <c r="AD6145">
        <v>-1.114557085717</v>
      </c>
      <c r="AE6145">
        <v>-0.13414000000000201</v>
      </c>
      <c r="AF6145">
        <v>-2.9920154744252301</v>
      </c>
      <c r="AG6145">
        <v>-1.114557085717</v>
      </c>
      <c r="AH6145">
        <v>9.2656200925037293</v>
      </c>
      <c r="AI6145">
        <v>96.530188361887497</v>
      </c>
      <c r="AJ6145">
        <v>107.896089916235</v>
      </c>
      <c r="AK6145">
        <v>9.8003117192837692</v>
      </c>
      <c r="AL6145">
        <v>88.235307873983899</v>
      </c>
      <c r="AM6145">
        <v>101.818565808969</v>
      </c>
      <c r="AN6145">
        <v>1.00000004621982</v>
      </c>
    </row>
    <row r="6146" spans="1:40" x14ac:dyDescent="0.25">
      <c r="A6146" t="str">
        <f>"20190312151147570"</f>
        <v>20190312151147570</v>
      </c>
      <c r="B6146" t="str">
        <f>"1552374707567229"</f>
        <v>1552374707567229</v>
      </c>
      <c r="C6146" t="s">
        <v>40</v>
      </c>
      <c r="D6146">
        <v>4.9020409999999996</v>
      </c>
      <c r="E6146">
        <v>0.46257520000000002</v>
      </c>
      <c r="F6146" t="s">
        <v>42</v>
      </c>
      <c r="G6146">
        <v>-268.72730000000001</v>
      </c>
      <c r="H6146" s="1">
        <v>-3.0343189999999998E-6</v>
      </c>
      <c r="I6146">
        <v>-61.454979999999999</v>
      </c>
      <c r="J6146">
        <v>-278.60230000000001</v>
      </c>
      <c r="K6146">
        <v>1.1145560000000001</v>
      </c>
      <c r="L6146">
        <v>-61.349580000000003</v>
      </c>
      <c r="M6146">
        <v>0.94840930000000001</v>
      </c>
      <c r="N6146">
        <v>0</v>
      </c>
      <c r="O6146">
        <v>-0.31682569999999999</v>
      </c>
      <c r="P6146">
        <v>0.99297329999999995</v>
      </c>
      <c r="Q6146">
        <v>2.1490140000000001E-2</v>
      </c>
      <c r="R6146">
        <v>-0.11637160000000001</v>
      </c>
      <c r="S6146">
        <v>3.024689</v>
      </c>
      <c r="T6146">
        <v>-0.337723</v>
      </c>
      <c r="U6146">
        <v>-4.1687009999999997E-2</v>
      </c>
      <c r="V6146">
        <v>-0.20459559999999999</v>
      </c>
      <c r="W6146">
        <v>3.0902059999999999E-2</v>
      </c>
      <c r="X6146">
        <v>0.97835870000000003</v>
      </c>
      <c r="Y6146">
        <v>-0.29997119999999999</v>
      </c>
      <c r="Z6146">
        <v>5.14738E-2</v>
      </c>
      <c r="AA6146">
        <v>0.95255849999999997</v>
      </c>
      <c r="AB6146">
        <v>23</v>
      </c>
      <c r="AC6146">
        <v>9.875</v>
      </c>
      <c r="AD6146">
        <v>-1.1145590343189999</v>
      </c>
      <c r="AE6146">
        <v>-0.10540000000000301</v>
      </c>
      <c r="AF6146">
        <v>-2.9908101173708999</v>
      </c>
      <c r="AG6146">
        <v>-1.1145590343189999</v>
      </c>
      <c r="AH6146">
        <v>9.2813781714706494</v>
      </c>
      <c r="AI6146">
        <v>96.520488772112202</v>
      </c>
      <c r="AJ6146">
        <v>107.860898373119</v>
      </c>
      <c r="AK6146">
        <v>9.8148442555652498</v>
      </c>
      <c r="AL6146">
        <v>88.229160505157097</v>
      </c>
      <c r="AM6146">
        <v>101.81154885532899</v>
      </c>
      <c r="AN6146">
        <v>1.00000002135864</v>
      </c>
    </row>
    <row r="6147" spans="1:40" x14ac:dyDescent="0.25">
      <c r="A6147" t="str">
        <f>"20190312151147580"</f>
        <v>20190312151147580</v>
      </c>
      <c r="B6147" t="str">
        <f>"1552374707576989"</f>
        <v>1552374707576989</v>
      </c>
      <c r="C6147" t="s">
        <v>40</v>
      </c>
      <c r="D6147">
        <v>4.9290419999999999</v>
      </c>
      <c r="E6147">
        <v>0.46279179999999998</v>
      </c>
      <c r="F6147" t="s">
        <v>42</v>
      </c>
      <c r="G6147">
        <v>-268.63220000000001</v>
      </c>
      <c r="H6147" s="1">
        <v>-2.9936870000000001E-6</v>
      </c>
      <c r="I6147">
        <v>-61.455730000000003</v>
      </c>
      <c r="J6147">
        <v>-278.5034</v>
      </c>
      <c r="K6147">
        <v>1.114557</v>
      </c>
      <c r="L6147">
        <v>-61.378970000000002</v>
      </c>
      <c r="M6147">
        <v>0.94943860000000002</v>
      </c>
      <c r="N6147">
        <v>0</v>
      </c>
      <c r="O6147">
        <v>-0.31372689999999998</v>
      </c>
      <c r="P6147">
        <v>0.9933457</v>
      </c>
      <c r="Q6147">
        <v>2.140682E-2</v>
      </c>
      <c r="R6147">
        <v>-0.113164899999999</v>
      </c>
      <c r="S6147">
        <v>3.0247799999999998</v>
      </c>
      <c r="T6147">
        <v>-0.33814050000000001</v>
      </c>
      <c r="U6147">
        <v>-3.2226560000000001E-2</v>
      </c>
      <c r="V6147">
        <v>-0.20455970000000001</v>
      </c>
      <c r="W6147">
        <v>3.0821040000000001E-2</v>
      </c>
      <c r="X6147">
        <v>0.97836880000000004</v>
      </c>
      <c r="Y6147">
        <v>-0.2998479</v>
      </c>
      <c r="Z6147">
        <v>5.1202959999999999E-2</v>
      </c>
      <c r="AA6147">
        <v>0.95261189999999996</v>
      </c>
      <c r="AB6147">
        <v>23</v>
      </c>
      <c r="AC6147">
        <v>9.8711999999999804</v>
      </c>
      <c r="AD6147">
        <v>-1.1145599936869901</v>
      </c>
      <c r="AE6147">
        <v>-7.6760000000007197E-2</v>
      </c>
      <c r="AF6147">
        <v>-2.9861293946790899</v>
      </c>
      <c r="AG6147">
        <v>-1.1145599936869901</v>
      </c>
      <c r="AH6147">
        <v>9.27856337017203</v>
      </c>
      <c r="AI6147">
        <v>96.5232227722136</v>
      </c>
      <c r="AJ6147">
        <v>107.83978515790901</v>
      </c>
      <c r="AK6147">
        <v>9.8107569002392694</v>
      </c>
      <c r="AL6147">
        <v>88.233804886246403</v>
      </c>
      <c r="AM6147">
        <v>101.809416023125</v>
      </c>
      <c r="AN6147">
        <v>1.0000000580921</v>
      </c>
    </row>
    <row r="6148" spans="1:40" x14ac:dyDescent="0.25">
      <c r="A6148" t="str">
        <f>"20190312151147602"</f>
        <v>20190312151147602</v>
      </c>
      <c r="B6148" t="str">
        <f>"1552374707597484"</f>
        <v>1552374707597484</v>
      </c>
      <c r="C6148" t="s">
        <v>40</v>
      </c>
      <c r="D6148">
        <v>4.8947149999999997</v>
      </c>
      <c r="E6148">
        <v>0.46314929999999899</v>
      </c>
      <c r="F6148" t="s">
        <v>42</v>
      </c>
      <c r="G6148">
        <v>-268.49220000000003</v>
      </c>
      <c r="H6148" s="1">
        <v>-2.9347780000000001E-6</v>
      </c>
      <c r="I6148">
        <v>-61.459910000000001</v>
      </c>
      <c r="J6148">
        <v>-278.29000000000002</v>
      </c>
      <c r="K6148">
        <v>1.1145590000000001</v>
      </c>
      <c r="L6148">
        <v>-61.441070000000003</v>
      </c>
      <c r="M6148">
        <v>0.95162389999999997</v>
      </c>
      <c r="N6148">
        <v>0</v>
      </c>
      <c r="O6148">
        <v>-0.3070349</v>
      </c>
      <c r="P6148">
        <v>0.99405069999999995</v>
      </c>
      <c r="Q6148">
        <v>2.1317929999999999E-2</v>
      </c>
      <c r="R6148">
        <v>-0.10681259999999999</v>
      </c>
      <c r="S6148">
        <v>3.0245669999999998</v>
      </c>
      <c r="T6148">
        <v>-0.33672879999999999</v>
      </c>
      <c r="U6148">
        <v>-2.44751E-2</v>
      </c>
      <c r="V6148">
        <v>-0.20392560000000001</v>
      </c>
      <c r="W6148">
        <v>3.0745729999999999E-2</v>
      </c>
      <c r="X6148">
        <v>0.97850349999999997</v>
      </c>
      <c r="Y6148">
        <v>-0.29567149999999998</v>
      </c>
      <c r="Z6148">
        <v>5.0053380000000001E-2</v>
      </c>
      <c r="AA6148">
        <v>0.95397750000000003</v>
      </c>
      <c r="AB6148">
        <v>23</v>
      </c>
      <c r="AC6148">
        <v>9.7977999999999899</v>
      </c>
      <c r="AD6148">
        <v>-1.114561934778</v>
      </c>
      <c r="AE6148">
        <v>-1.8840000000004398E-2</v>
      </c>
      <c r="AF6148">
        <v>-2.95234487578441</v>
      </c>
      <c r="AG6148">
        <v>-1.114561934778</v>
      </c>
      <c r="AH6148">
        <v>9.2110699630335908</v>
      </c>
      <c r="AI6148">
        <v>96.573099913158302</v>
      </c>
      <c r="AJ6148">
        <v>107.771765669866</v>
      </c>
      <c r="AK6148">
        <v>9.7366523218160701</v>
      </c>
      <c r="AL6148">
        <v>88.238121818529507</v>
      </c>
      <c r="AM6148">
        <v>101.772256706703</v>
      </c>
      <c r="AN6148">
        <v>1.0000000248804199</v>
      </c>
    </row>
    <row r="6149" spans="1:40" x14ac:dyDescent="0.25">
      <c r="A6149" t="str">
        <f>"20190312151147613"</f>
        <v>20190312151147613</v>
      </c>
      <c r="B6149" t="str">
        <f>"1552374707607245"</f>
        <v>1552374707607245</v>
      </c>
      <c r="C6149" t="s">
        <v>40</v>
      </c>
      <c r="D6149">
        <v>4.9087170000000002</v>
      </c>
      <c r="E6149">
        <v>0.46339540000000001</v>
      </c>
      <c r="F6149" t="s">
        <v>42</v>
      </c>
      <c r="G6149">
        <v>-268.21870000000001</v>
      </c>
      <c r="H6149" s="1">
        <v>-2.8197279999999998E-6</v>
      </c>
      <c r="I6149">
        <v>-61.468539999999997</v>
      </c>
      <c r="J6149">
        <v>-278.18209999999999</v>
      </c>
      <c r="K6149">
        <v>1.1145620000000001</v>
      </c>
      <c r="L6149">
        <v>-61.471829999999997</v>
      </c>
      <c r="M6149">
        <v>0.95270869999999996</v>
      </c>
      <c r="N6149">
        <v>0</v>
      </c>
      <c r="O6149">
        <v>-0.30365150000000002</v>
      </c>
      <c r="P6149">
        <v>0.99439440000000001</v>
      </c>
      <c r="Q6149">
        <v>2.1088929999999999E-2</v>
      </c>
      <c r="R6149">
        <v>-0.1036098</v>
      </c>
      <c r="S6149">
        <v>3.0241699999999998</v>
      </c>
      <c r="T6149">
        <v>-0.33467709999999901</v>
      </c>
      <c r="U6149">
        <v>-8.2702639999999994E-3</v>
      </c>
      <c r="V6149">
        <v>-0.2035999</v>
      </c>
      <c r="W6149">
        <v>3.0523149999999999E-2</v>
      </c>
      <c r="X6149">
        <v>0.97857830000000001</v>
      </c>
      <c r="Y6149">
        <v>-0.29744229999999999</v>
      </c>
      <c r="Z6149">
        <v>4.9503070000000003E-2</v>
      </c>
      <c r="AA6149">
        <v>0.95345559999999996</v>
      </c>
      <c r="AB6149">
        <v>23</v>
      </c>
      <c r="AC6149">
        <v>9.9633999999999805</v>
      </c>
      <c r="AD6149">
        <v>-1.114564819728</v>
      </c>
      <c r="AE6149">
        <v>3.2899999999997901E-3</v>
      </c>
      <c r="AF6149">
        <v>-2.9913173754556701</v>
      </c>
      <c r="AG6149">
        <v>-1.114564819728</v>
      </c>
      <c r="AH6149">
        <v>9.3745790182392401</v>
      </c>
      <c r="AI6149">
        <v>96.4621113625536</v>
      </c>
      <c r="AJ6149">
        <v>107.697268554022</v>
      </c>
      <c r="AK6149">
        <v>9.9031795978508601</v>
      </c>
      <c r="AL6149">
        <v>88.250880719907897</v>
      </c>
      <c r="AM6149">
        <v>101.753104680644</v>
      </c>
      <c r="AN6149">
        <v>1.00000003559841</v>
      </c>
    </row>
    <row r="6150" spans="1:40" x14ac:dyDescent="0.25">
      <c r="A6150" t="str">
        <f>"20190312151147624"</f>
        <v>20190312151147624</v>
      </c>
      <c r="B6150" t="str">
        <f>"1552374707617005"</f>
        <v>1552374707617005</v>
      </c>
      <c r="C6150" t="s">
        <v>40</v>
      </c>
      <c r="D6150">
        <v>5.1141310000000004</v>
      </c>
      <c r="E6150">
        <v>0.46365489999999998</v>
      </c>
      <c r="F6150" t="s">
        <v>92</v>
      </c>
      <c r="G6150">
        <v>-268.1003</v>
      </c>
      <c r="H6150" s="1">
        <v>-2.770194E-6</v>
      </c>
      <c r="I6150">
        <v>-61.473289999999999</v>
      </c>
      <c r="J6150">
        <v>-278.07339999999999</v>
      </c>
      <c r="K6150">
        <v>1.114565</v>
      </c>
      <c r="L6150">
        <v>-61.502380000000002</v>
      </c>
      <c r="M6150">
        <v>0.95378819999999997</v>
      </c>
      <c r="N6150">
        <v>0</v>
      </c>
      <c r="O6150">
        <v>-0.30024410000000001</v>
      </c>
      <c r="P6150">
        <v>0.99472799999999995</v>
      </c>
      <c r="Q6150">
        <v>2.1242569999999999E-2</v>
      </c>
      <c r="R6150">
        <v>-0.100327399999999</v>
      </c>
      <c r="S6150">
        <v>3.0239560000000001</v>
      </c>
      <c r="T6150">
        <v>-0.33430490000000002</v>
      </c>
      <c r="U6150">
        <v>-4.577637E-4</v>
      </c>
      <c r="V6150">
        <v>-0.20333290000000001</v>
      </c>
      <c r="W6150">
        <v>3.0682350000000001E-2</v>
      </c>
      <c r="X6150">
        <v>0.97862879999999997</v>
      </c>
      <c r="Y6150">
        <v>-0.29652849999999997</v>
      </c>
      <c r="Z6150">
        <v>4.904319E-2</v>
      </c>
      <c r="AA6150">
        <v>0.9537639</v>
      </c>
      <c r="AB6150">
        <v>23</v>
      </c>
      <c r="AC6150">
        <v>9.9730999999999792</v>
      </c>
      <c r="AD6150">
        <v>-1.114567770194</v>
      </c>
      <c r="AE6150">
        <v>2.9089999999996501E-2</v>
      </c>
      <c r="AF6150">
        <v>-2.9850420306025298</v>
      </c>
      <c r="AG6150">
        <v>-1.114567770194</v>
      </c>
      <c r="AH6150">
        <v>9.3869246383745502</v>
      </c>
      <c r="AI6150">
        <v>96.4557152883893</v>
      </c>
      <c r="AJ6150">
        <v>107.64066398270801</v>
      </c>
      <c r="AK6150">
        <v>9.9129759106608404</v>
      </c>
      <c r="AL6150">
        <v>88.241754897896101</v>
      </c>
      <c r="AM6150">
        <v>101.73753072748799</v>
      </c>
      <c r="AN6150">
        <v>1.0000000015066799</v>
      </c>
    </row>
    <row r="6151" spans="1:40" x14ac:dyDescent="0.25">
      <c r="A6151" t="str">
        <f>"20190312151147634"</f>
        <v>20190312151147634</v>
      </c>
      <c r="B6151" t="str">
        <f>"1552374707627741"</f>
        <v>1552374707627741</v>
      </c>
      <c r="C6151" t="s">
        <v>40</v>
      </c>
      <c r="D6151">
        <v>5.2739989999999999</v>
      </c>
      <c r="E6151">
        <v>0.46390439999999999</v>
      </c>
      <c r="F6151" t="s">
        <v>92</v>
      </c>
      <c r="G6151">
        <v>-267.89839999999998</v>
      </c>
      <c r="H6151" s="1">
        <v>-2.6847770000000001E-6</v>
      </c>
      <c r="I6151">
        <v>-61.4777699999999</v>
      </c>
      <c r="J6151">
        <v>-277.96519999999998</v>
      </c>
      <c r="K6151">
        <v>1.1145640000000001</v>
      </c>
      <c r="L6151">
        <v>-61.532499999999999</v>
      </c>
      <c r="M6151">
        <v>0.95484959999999997</v>
      </c>
      <c r="N6151">
        <v>0</v>
      </c>
      <c r="O6151">
        <v>-0.29685040000000001</v>
      </c>
      <c r="P6151">
        <v>0.99502829999999998</v>
      </c>
      <c r="Q6151">
        <v>2.1548479999999998E-2</v>
      </c>
      <c r="R6151">
        <v>-9.7232750000000007E-2</v>
      </c>
      <c r="S6151">
        <v>3.0237120000000002</v>
      </c>
      <c r="T6151">
        <v>-0.33121630000000002</v>
      </c>
      <c r="U6151">
        <v>7.2937009999999997E-3</v>
      </c>
      <c r="V6151">
        <v>-0.20289750000000001</v>
      </c>
      <c r="W6151">
        <v>3.0995479999999999E-2</v>
      </c>
      <c r="X6151">
        <v>0.9787093</v>
      </c>
      <c r="Y6151">
        <v>-0.29567019999999999</v>
      </c>
      <c r="Z6151">
        <v>4.8195620000000002E-2</v>
      </c>
      <c r="AA6151">
        <v>0.95407350000000002</v>
      </c>
      <c r="AB6151">
        <v>23</v>
      </c>
      <c r="AC6151">
        <v>10.066800000000001</v>
      </c>
      <c r="AD6151">
        <v>-1.1145666847769999</v>
      </c>
      <c r="AE6151">
        <v>5.4730000000006301E-2</v>
      </c>
      <c r="AF6151">
        <v>-3.0039859671423299</v>
      </c>
      <c r="AG6151">
        <v>-1.1145666847769999</v>
      </c>
      <c r="AH6151">
        <v>9.4805039564148803</v>
      </c>
      <c r="AI6151">
        <v>96.394602404133295</v>
      </c>
      <c r="AJ6151">
        <v>107.58129005366099</v>
      </c>
      <c r="AK6151">
        <v>10.007304624782799</v>
      </c>
      <c r="AL6151">
        <v>88.223805338505201</v>
      </c>
      <c r="AM6151">
        <v>101.712155314775</v>
      </c>
      <c r="AN6151">
        <v>1.00000000459658</v>
      </c>
    </row>
    <row r="6152" spans="1:40" x14ac:dyDescent="0.25">
      <c r="A6152" t="str">
        <f>"20190312151147646"</f>
        <v>20190312151147646</v>
      </c>
      <c r="B6152" t="str">
        <f>"1552374707637502"</f>
        <v>1552374707637502</v>
      </c>
      <c r="C6152" t="s">
        <v>40</v>
      </c>
      <c r="D6152">
        <v>4.9627319999999999</v>
      </c>
      <c r="E6152">
        <v>0.46420040000000001</v>
      </c>
      <c r="F6152" t="s">
        <v>92</v>
      </c>
      <c r="G6152">
        <v>-267.67970000000003</v>
      </c>
      <c r="H6152" s="1">
        <v>-2.5922689999999999E-6</v>
      </c>
      <c r="I6152">
        <v>-61.482700000000001</v>
      </c>
      <c r="J6152">
        <v>-277.85730000000001</v>
      </c>
      <c r="K6152">
        <v>1.1145689999999999</v>
      </c>
      <c r="L6152">
        <v>-61.561950000000003</v>
      </c>
      <c r="M6152">
        <v>0.95589519999999994</v>
      </c>
      <c r="N6152">
        <v>0</v>
      </c>
      <c r="O6152">
        <v>-0.29346609999999901</v>
      </c>
      <c r="P6152">
        <v>0.99530510000000005</v>
      </c>
      <c r="Q6152">
        <v>2.1326419999999999E-2</v>
      </c>
      <c r="R6152">
        <v>-9.4410339999999995E-2</v>
      </c>
      <c r="S6152">
        <v>3.0235289999999999</v>
      </c>
      <c r="T6152">
        <v>-0.32763720000000002</v>
      </c>
      <c r="U6152">
        <v>1.461792E-2</v>
      </c>
      <c r="V6152">
        <v>-0.20220569999999999</v>
      </c>
      <c r="W6152">
        <v>3.078434E-2</v>
      </c>
      <c r="X6152">
        <v>0.97885909999999998</v>
      </c>
      <c r="Y6152">
        <v>-0.29469959999999901</v>
      </c>
      <c r="Z6152">
        <v>4.7278109999999998E-2</v>
      </c>
      <c r="AA6152">
        <v>0.95441969999999998</v>
      </c>
      <c r="AB6152">
        <v>23</v>
      </c>
      <c r="AC6152">
        <v>10.177599999999901</v>
      </c>
      <c r="AD6152">
        <v>-1.114571592269</v>
      </c>
      <c r="AE6152">
        <v>7.9250000000001805E-2</v>
      </c>
      <c r="AF6152">
        <v>-3.0264588607558198</v>
      </c>
      <c r="AG6152">
        <v>-1.114571592269</v>
      </c>
      <c r="AH6152">
        <v>9.5911322587371597</v>
      </c>
      <c r="AI6152">
        <v>96.323837159419398</v>
      </c>
      <c r="AJ6152">
        <v>107.512966350486</v>
      </c>
      <c r="AK6152">
        <v>10.1188705434316</v>
      </c>
      <c r="AL6152">
        <v>88.235908500238807</v>
      </c>
      <c r="AM6152">
        <v>101.67158182897001</v>
      </c>
      <c r="AN6152">
        <v>0.99999997917726702</v>
      </c>
    </row>
    <row r="6153" spans="1:40" x14ac:dyDescent="0.25">
      <c r="A6153" t="str">
        <f>"20190312151147657"</f>
        <v>20190312151147657</v>
      </c>
      <c r="B6153" t="str">
        <f>"1552374707647261"</f>
        <v>1552374707647261</v>
      </c>
      <c r="C6153" t="s">
        <v>40</v>
      </c>
      <c r="D6153">
        <v>5.1016539999999999</v>
      </c>
      <c r="E6153">
        <v>0.46453270000000002</v>
      </c>
      <c r="F6153" t="s">
        <v>42</v>
      </c>
      <c r="G6153">
        <v>-267.51659999999998</v>
      </c>
      <c r="H6153" s="1">
        <v>-2.5245749999999999E-6</v>
      </c>
      <c r="I6153">
        <v>-61.491210000000002</v>
      </c>
      <c r="J6153">
        <v>-277.74220000000003</v>
      </c>
      <c r="K6153">
        <v>1.1145719999999999</v>
      </c>
      <c r="L6153">
        <v>-61.593229999999998</v>
      </c>
      <c r="M6153">
        <v>0.95699749999999995</v>
      </c>
      <c r="N6153">
        <v>0</v>
      </c>
      <c r="O6153">
        <v>-0.28985139999999998</v>
      </c>
      <c r="P6153">
        <v>0.99560890000000002</v>
      </c>
      <c r="Q6153">
        <v>2.1697569999999999E-2</v>
      </c>
      <c r="R6153">
        <v>-9.1063259999999993E-2</v>
      </c>
      <c r="S6153">
        <v>3.0231020000000002</v>
      </c>
      <c r="T6153">
        <v>-0.325845099999999</v>
      </c>
      <c r="U6153">
        <v>2.0660399999999999E-2</v>
      </c>
      <c r="V6153">
        <v>-0.20179910000000001</v>
      </c>
      <c r="W6153">
        <v>3.1162289999999999E-2</v>
      </c>
      <c r="X6153">
        <v>0.97893110000000005</v>
      </c>
      <c r="Y6153">
        <v>-0.29306490000000002</v>
      </c>
      <c r="Z6153">
        <v>4.6566499999999997E-2</v>
      </c>
      <c r="AA6153">
        <v>0.95495790000000003</v>
      </c>
      <c r="AB6153">
        <v>23</v>
      </c>
      <c r="AC6153">
        <v>10.2256</v>
      </c>
      <c r="AD6153">
        <v>-1.1145745245749901</v>
      </c>
      <c r="AE6153">
        <v>0.10202000000001001</v>
      </c>
      <c r="AF6153">
        <v>-3.0258096356613402</v>
      </c>
      <c r="AG6153">
        <v>-1.1145745245749901</v>
      </c>
      <c r="AH6153">
        <v>9.6424482654790395</v>
      </c>
      <c r="AI6153">
        <v>96.293590758774201</v>
      </c>
      <c r="AJ6153">
        <v>107.421907962104</v>
      </c>
      <c r="AK6153">
        <v>10.1673304694266</v>
      </c>
      <c r="AL6153">
        <v>88.214243259043599</v>
      </c>
      <c r="AM6153">
        <v>101.647921014673</v>
      </c>
      <c r="AN6153">
        <v>1.00000003181303</v>
      </c>
    </row>
    <row r="6154" spans="1:40" x14ac:dyDescent="0.25">
      <c r="A6154" t="str">
        <f>"20190312151147668"</f>
        <v>20190312151147668</v>
      </c>
      <c r="B6154" t="str">
        <f>"1552374707657021"</f>
        <v>1552374707657021</v>
      </c>
      <c r="C6154" t="s">
        <v>40</v>
      </c>
      <c r="D6154">
        <v>4.9783619999999997</v>
      </c>
      <c r="E6154">
        <v>0.464922</v>
      </c>
      <c r="F6154" t="s">
        <v>42</v>
      </c>
      <c r="G6154">
        <v>-267.38010000000003</v>
      </c>
      <c r="H6154" s="1">
        <v>-2.4674080000000001E-6</v>
      </c>
      <c r="I6154">
        <v>-61.496510000000001</v>
      </c>
      <c r="J6154">
        <v>-277.63569999999999</v>
      </c>
      <c r="K6154">
        <v>1.114574</v>
      </c>
      <c r="L6154">
        <v>-61.621369999999999</v>
      </c>
      <c r="M6154">
        <v>0.95800269999999998</v>
      </c>
      <c r="N6154">
        <v>0</v>
      </c>
      <c r="O6154">
        <v>-0.28651179999999998</v>
      </c>
      <c r="P6154">
        <v>0.99586450000000004</v>
      </c>
      <c r="Q6154">
        <v>2.1940319999999999E-2</v>
      </c>
      <c r="R6154">
        <v>-8.8163519999999995E-2</v>
      </c>
      <c r="S6154">
        <v>3.022888</v>
      </c>
      <c r="T6154">
        <v>-0.32515100000000002</v>
      </c>
      <c r="U6154">
        <v>2.8198239999999999E-2</v>
      </c>
      <c r="V6154">
        <v>-0.20123640000000001</v>
      </c>
      <c r="W6154">
        <v>3.141393E-2</v>
      </c>
      <c r="X6154">
        <v>0.97903879999999999</v>
      </c>
      <c r="Y6154">
        <v>-0.29215200000000002</v>
      </c>
      <c r="Z6154">
        <v>4.6078099999999997E-2</v>
      </c>
      <c r="AA6154">
        <v>0.95526120000000003</v>
      </c>
      <c r="AB6154">
        <v>23</v>
      </c>
      <c r="AC6154">
        <v>10.2555999999999</v>
      </c>
      <c r="AD6154">
        <v>-1.1145764674080001</v>
      </c>
      <c r="AE6154">
        <v>0.124859999999998</v>
      </c>
      <c r="AF6154">
        <v>-3.0224892617918</v>
      </c>
      <c r="AG6154">
        <v>-1.1145764674080001</v>
      </c>
      <c r="AH6154">
        <v>9.6755489777347208</v>
      </c>
      <c r="AI6154">
        <v>96.274756739216897</v>
      </c>
      <c r="AJ6154">
        <v>107.347983299993</v>
      </c>
      <c r="AK6154">
        <v>10.1977433807627</v>
      </c>
      <c r="AL6154">
        <v>88.199818135847096</v>
      </c>
      <c r="AM6154">
        <v>101.615082544971</v>
      </c>
      <c r="AN6154">
        <v>0.99999994779422097</v>
      </c>
    </row>
    <row r="6155" spans="1:40" x14ac:dyDescent="0.25">
      <c r="A6155" t="str">
        <f>"20190312151147679"</f>
        <v>20190312151147679</v>
      </c>
      <c r="B6155" t="str">
        <f>"1552374707677516"</f>
        <v>1552374707677516</v>
      </c>
      <c r="C6155" t="s">
        <v>40</v>
      </c>
      <c r="D6155">
        <v>5.1112000000000002</v>
      </c>
      <c r="E6155">
        <v>0.46544020000000003</v>
      </c>
      <c r="F6155" t="s">
        <v>42</v>
      </c>
      <c r="G6155">
        <v>-267.26920000000001</v>
      </c>
      <c r="H6155" s="1">
        <v>-2.4221200000000002E-6</v>
      </c>
      <c r="I6155">
        <v>-61.505119999999998</v>
      </c>
      <c r="J6155">
        <v>-277.5283</v>
      </c>
      <c r="K6155">
        <v>1.1145769999999999</v>
      </c>
      <c r="L6155">
        <v>-61.649659999999997</v>
      </c>
      <c r="M6155">
        <v>0.95900439999999998</v>
      </c>
      <c r="N6155">
        <v>0</v>
      </c>
      <c r="O6155">
        <v>-0.28314050000000002</v>
      </c>
      <c r="P6155">
        <v>0.99610339999999997</v>
      </c>
      <c r="Q6155">
        <v>2.2067630000000001E-2</v>
      </c>
      <c r="R6155">
        <v>-8.5388149999999996E-2</v>
      </c>
      <c r="S6155">
        <v>3.022583</v>
      </c>
      <c r="T6155">
        <v>-0.32497979999999999</v>
      </c>
      <c r="U6155">
        <v>3.3874509999999997E-2</v>
      </c>
      <c r="V6155">
        <v>-0.2005217</v>
      </c>
      <c r="W6155">
        <v>3.1552150000000001E-2</v>
      </c>
      <c r="X6155">
        <v>0.97918110000000003</v>
      </c>
      <c r="Y6155">
        <v>-0.29061569999999998</v>
      </c>
      <c r="Z6155">
        <v>4.5627969999999997E-2</v>
      </c>
      <c r="AA6155">
        <v>0.95575140000000003</v>
      </c>
      <c r="AB6155">
        <v>23</v>
      </c>
      <c r="AC6155">
        <v>10.259099999999901</v>
      </c>
      <c r="AD6155">
        <v>-1.1145794221200001</v>
      </c>
      <c r="AE6155">
        <v>0.144539999999999</v>
      </c>
      <c r="AF6155">
        <v>-3.0080988772957902</v>
      </c>
      <c r="AG6155">
        <v>-1.1145794221200001</v>
      </c>
      <c r="AH6155">
        <v>9.6840120706159301</v>
      </c>
      <c r="AI6155">
        <v>96.272440407519497</v>
      </c>
      <c r="AJ6155">
        <v>107.256114844446</v>
      </c>
      <c r="AK6155">
        <v>10.201521255559699</v>
      </c>
      <c r="AL6155">
        <v>88.191894985246293</v>
      </c>
      <c r="AM6155">
        <v>101.573309470852</v>
      </c>
      <c r="AN6155">
        <v>1.00000005846885</v>
      </c>
    </row>
    <row r="6156" spans="1:40" x14ac:dyDescent="0.25">
      <c r="A6156" t="str">
        <f>"20190312151147691"</f>
        <v>20190312151147691</v>
      </c>
      <c r="B6156" t="str">
        <f>"1552374707687277"</f>
        <v>1552374707687277</v>
      </c>
      <c r="C6156" t="s">
        <v>40</v>
      </c>
      <c r="D6156">
        <v>4.955419</v>
      </c>
      <c r="E6156">
        <v>0.46572989999999997</v>
      </c>
      <c r="F6156" t="s">
        <v>42</v>
      </c>
      <c r="G6156">
        <v>-267.01350000000002</v>
      </c>
      <c r="H6156" s="1">
        <v>-2.315625E-6</v>
      </c>
      <c r="I6156">
        <v>-61.517189999999999</v>
      </c>
      <c r="J6156">
        <v>-277.41430000000003</v>
      </c>
      <c r="K6156">
        <v>1.114581</v>
      </c>
      <c r="L6156">
        <v>-61.679020000000001</v>
      </c>
      <c r="M6156">
        <v>0.96005300000000005</v>
      </c>
      <c r="N6156">
        <v>0</v>
      </c>
      <c r="O6156">
        <v>-0.2795646</v>
      </c>
      <c r="P6156">
        <v>0.99635180000000001</v>
      </c>
      <c r="Q6156">
        <v>2.227643E-2</v>
      </c>
      <c r="R6156">
        <v>-8.2383170000000006E-2</v>
      </c>
      <c r="S6156">
        <v>3.0220950000000002</v>
      </c>
      <c r="T6156">
        <v>-0.3203453</v>
      </c>
      <c r="U6156">
        <v>3.805542E-2</v>
      </c>
      <c r="V6156">
        <v>-0.19982639999999999</v>
      </c>
      <c r="W6156">
        <v>3.1771380000000002E-2</v>
      </c>
      <c r="X6156">
        <v>0.97931610000000002</v>
      </c>
      <c r="Y6156">
        <v>-0.28849859999999999</v>
      </c>
      <c r="Z6156">
        <v>4.4511090000000003E-2</v>
      </c>
      <c r="AA6156">
        <v>0.9564452</v>
      </c>
      <c r="AB6156">
        <v>23</v>
      </c>
      <c r="AC6156">
        <v>10.4008</v>
      </c>
      <c r="AD6156">
        <v>-1.114583315625</v>
      </c>
      <c r="AE6156">
        <v>0.16182999999999401</v>
      </c>
      <c r="AF6156">
        <v>-3.02850734006338</v>
      </c>
      <c r="AG6156">
        <v>-1.114583315625</v>
      </c>
      <c r="AH6156">
        <v>9.8279460853663494</v>
      </c>
      <c r="AI6156">
        <v>96.1855996189162</v>
      </c>
      <c r="AJ6156">
        <v>107.12681883746799</v>
      </c>
      <c r="AK6156">
        <v>10.344209826427299</v>
      </c>
      <c r="AL6156">
        <v>88.179327656380295</v>
      </c>
      <c r="AM6156">
        <v>101.532709371159</v>
      </c>
      <c r="AN6156">
        <v>1.0000000172216299</v>
      </c>
    </row>
    <row r="6157" spans="1:40" x14ac:dyDescent="0.25">
      <c r="A6157" t="str">
        <f>"20190312151147702"</f>
        <v>20190312151147702</v>
      </c>
      <c r="B6157" t="str">
        <f>"1552374707697037"</f>
        <v>1552374707697037</v>
      </c>
      <c r="C6157" t="s">
        <v>40</v>
      </c>
      <c r="D6157">
        <v>5.1557300000000001</v>
      </c>
      <c r="E6157">
        <v>0.4661882</v>
      </c>
      <c r="F6157" t="s">
        <v>42</v>
      </c>
      <c r="G6157">
        <v>-266.80149999999998</v>
      </c>
      <c r="H6157" s="1">
        <v>-2.225834E-6</v>
      </c>
      <c r="I6157">
        <v>-61.5214</v>
      </c>
      <c r="J6157">
        <v>-277.30070000000001</v>
      </c>
      <c r="K6157">
        <v>1.1145929999999999</v>
      </c>
      <c r="L6157">
        <v>-61.707920000000001</v>
      </c>
      <c r="M6157">
        <v>0.96108340000000003</v>
      </c>
      <c r="N6157">
        <v>0</v>
      </c>
      <c r="O6157">
        <v>-0.27600059999999998</v>
      </c>
      <c r="P6157">
        <v>0.99656460000000002</v>
      </c>
      <c r="Q6157">
        <v>2.2826510000000001E-2</v>
      </c>
      <c r="R6157">
        <v>-7.9610719999999996E-2</v>
      </c>
      <c r="S6157">
        <v>3.0217900000000002</v>
      </c>
      <c r="T6157">
        <v>-0.31735720000000001</v>
      </c>
      <c r="U6157">
        <v>4.4860839999999999E-2</v>
      </c>
      <c r="V6157">
        <v>-0.1989205</v>
      </c>
      <c r="W6157">
        <v>3.2334719999999997E-2</v>
      </c>
      <c r="X6157">
        <v>0.97948210000000002</v>
      </c>
      <c r="Y6157">
        <v>-0.28718739999999998</v>
      </c>
      <c r="Z6157">
        <v>4.367352E-2</v>
      </c>
      <c r="AA6157">
        <v>0.95687829999999996</v>
      </c>
      <c r="AB6157">
        <v>23</v>
      </c>
      <c r="AC6157">
        <v>10.4992</v>
      </c>
      <c r="AD6157">
        <v>-1.1145952258339999</v>
      </c>
      <c r="AE6157">
        <v>0.186519999999994</v>
      </c>
      <c r="AF6157">
        <v>-3.0429823980383799</v>
      </c>
      <c r="AG6157">
        <v>-1.1145952258339999</v>
      </c>
      <c r="AH6157">
        <v>9.9279892690522793</v>
      </c>
      <c r="AI6157">
        <v>96.126620647055603</v>
      </c>
      <c r="AJ6157">
        <v>107.04058535657499</v>
      </c>
      <c r="AK6157">
        <v>10.443516424971</v>
      </c>
      <c r="AL6157">
        <v>88.147034104237704</v>
      </c>
      <c r="AM6157">
        <v>101.479923897764</v>
      </c>
      <c r="AN6157">
        <v>1.00000004182906</v>
      </c>
    </row>
    <row r="6158" spans="1:40" x14ac:dyDescent="0.25">
      <c r="A6158" t="str">
        <f>"20190312151147713"</f>
        <v>20190312151147713</v>
      </c>
      <c r="B6158" t="str">
        <f>"1552374707707773"</f>
        <v>1552374707707773</v>
      </c>
      <c r="C6158" t="s">
        <v>40</v>
      </c>
      <c r="D6158">
        <v>4.9755900000000004</v>
      </c>
      <c r="E6158">
        <v>0.46653299999999998</v>
      </c>
      <c r="F6158" t="s">
        <v>42</v>
      </c>
      <c r="G6158">
        <v>-266.62169999999998</v>
      </c>
      <c r="H6158" s="1">
        <v>-2.1518260000000002E-6</v>
      </c>
      <c r="I6158">
        <v>-61.533230000000003</v>
      </c>
      <c r="J6158">
        <v>-277.18599999999998</v>
      </c>
      <c r="K6158">
        <v>1.114598</v>
      </c>
      <c r="L6158">
        <v>-61.736660000000001</v>
      </c>
      <c r="M6158">
        <v>0.96211060000000004</v>
      </c>
      <c r="N6158">
        <v>0</v>
      </c>
      <c r="O6158">
        <v>-0.27239819999999998</v>
      </c>
      <c r="P6158">
        <v>0.99678040000000001</v>
      </c>
      <c r="Q6158">
        <v>2.2983719999999999E-2</v>
      </c>
      <c r="R6158">
        <v>-7.6815460000000002E-2</v>
      </c>
      <c r="S6158">
        <v>3.0215450000000001</v>
      </c>
      <c r="T6158">
        <v>-0.31536570000000003</v>
      </c>
      <c r="U6158">
        <v>4.9407960000000001E-2</v>
      </c>
      <c r="V6158">
        <v>-0.19799829999999999</v>
      </c>
      <c r="W6158">
        <v>3.2505329999999999E-2</v>
      </c>
      <c r="X6158">
        <v>0.97966330000000001</v>
      </c>
      <c r="Y6158">
        <v>-0.28511009999999998</v>
      </c>
      <c r="Z6158">
        <v>4.2933249999999999E-2</v>
      </c>
      <c r="AA6158">
        <v>0.95753279999999996</v>
      </c>
      <c r="AB6158">
        <v>23</v>
      </c>
      <c r="AC6158">
        <v>10.564299999999999</v>
      </c>
      <c r="AD6158">
        <v>-1.114600151826</v>
      </c>
      <c r="AE6158">
        <v>0.203429999999997</v>
      </c>
      <c r="AF6158">
        <v>-3.0398119736817999</v>
      </c>
      <c r="AG6158">
        <v>-1.114600151826</v>
      </c>
      <c r="AH6158">
        <v>9.9980777944576094</v>
      </c>
      <c r="AI6158">
        <v>96.088180944669006</v>
      </c>
      <c r="AJ6158">
        <v>106.911350855268</v>
      </c>
      <c r="AK6158">
        <v>10.5092506829847</v>
      </c>
      <c r="AL6158">
        <v>88.137253750027398</v>
      </c>
      <c r="AM6158">
        <v>101.426048036548</v>
      </c>
      <c r="AN6158">
        <v>1.0000000523240899</v>
      </c>
    </row>
    <row r="6159" spans="1:40" x14ac:dyDescent="0.25">
      <c r="A6159" t="str">
        <f>"20190312151147726"</f>
        <v>20190312151147726</v>
      </c>
      <c r="B6159" t="str">
        <f>"1552374707717296"</f>
        <v>1552374707717296</v>
      </c>
      <c r="C6159" t="s">
        <v>40</v>
      </c>
      <c r="D6159">
        <v>4.9519209999999996</v>
      </c>
      <c r="E6159">
        <v>0.46685769999999999</v>
      </c>
      <c r="F6159" t="s">
        <v>42</v>
      </c>
      <c r="G6159">
        <v>-266.45409999999998</v>
      </c>
      <c r="H6159" s="1">
        <v>-2.081957E-6</v>
      </c>
      <c r="I6159">
        <v>-61.5409199999999</v>
      </c>
      <c r="J6159">
        <v>-277.0693</v>
      </c>
      <c r="K6159">
        <v>1.1146020000000001</v>
      </c>
      <c r="L6159">
        <v>-61.765410000000003</v>
      </c>
      <c r="M6159">
        <v>0.9631402</v>
      </c>
      <c r="N6159">
        <v>0</v>
      </c>
      <c r="O6159">
        <v>-0.26873509999999901</v>
      </c>
      <c r="P6159">
        <v>0.9969983</v>
      </c>
      <c r="Q6159">
        <v>2.3492559999999999E-2</v>
      </c>
      <c r="R6159">
        <v>-7.3774670000000001E-2</v>
      </c>
      <c r="S6159">
        <v>3.0211790000000001</v>
      </c>
      <c r="T6159">
        <v>-0.31377319999999997</v>
      </c>
      <c r="U6159">
        <v>5.5084229999999998E-2</v>
      </c>
      <c r="V6159">
        <v>-0.19726099999999999</v>
      </c>
      <c r="W6159">
        <v>3.30248E-2</v>
      </c>
      <c r="X6159">
        <v>0.97979459999999996</v>
      </c>
      <c r="Y6159">
        <v>-0.28332360000000001</v>
      </c>
      <c r="Z6159">
        <v>4.2262609999999999E-2</v>
      </c>
      <c r="AA6159">
        <v>0.95809270000000002</v>
      </c>
      <c r="AB6159">
        <v>23</v>
      </c>
      <c r="AC6159">
        <v>10.6152</v>
      </c>
      <c r="AD6159">
        <v>-1.114604081957</v>
      </c>
      <c r="AE6159">
        <v>0.22449000000000199</v>
      </c>
      <c r="AF6159">
        <v>-3.0356570644889098</v>
      </c>
      <c r="AG6159">
        <v>-1.114604081957</v>
      </c>
      <c r="AH6159">
        <v>10.0535290252851</v>
      </c>
      <c r="AI6159">
        <v>96.058359490101395</v>
      </c>
      <c r="AJ6159">
        <v>106.801659299609</v>
      </c>
      <c r="AK6159">
        <v>10.5608239231106</v>
      </c>
      <c r="AL6159">
        <v>88.107474222316199</v>
      </c>
      <c r="AM6159">
        <v>101.383127354793</v>
      </c>
      <c r="AN6159">
        <v>0.99999999886260005</v>
      </c>
    </row>
    <row r="6160" spans="1:40" x14ac:dyDescent="0.25">
      <c r="A6160" t="str">
        <f>"20190312151147749"</f>
        <v>20190312151147749</v>
      </c>
      <c r="B6160" t="str">
        <f>"1552374707737780"</f>
        <v>1552374707737780</v>
      </c>
      <c r="C6160" t="s">
        <v>40</v>
      </c>
      <c r="D6160">
        <v>5.0257149999999999</v>
      </c>
      <c r="E6160">
        <v>0.48578310000000002</v>
      </c>
      <c r="F6160" t="s">
        <v>42</v>
      </c>
      <c r="G6160">
        <v>-266.25790000000001</v>
      </c>
      <c r="H6160" s="1">
        <v>-1.998891E-6</v>
      </c>
      <c r="I6160">
        <v>-61.545050000000003</v>
      </c>
      <c r="J6160">
        <v>-276.84750000000003</v>
      </c>
      <c r="K6160">
        <v>1.1146100000000001</v>
      </c>
      <c r="L6160">
        <v>-61.818759999999997</v>
      </c>
      <c r="M6160">
        <v>0.96505529999999995</v>
      </c>
      <c r="N6160">
        <v>0</v>
      </c>
      <c r="O6160">
        <v>-0.26177479999999997</v>
      </c>
      <c r="P6160">
        <v>0.99734149999999999</v>
      </c>
      <c r="Q6160">
        <v>2.468741E-2</v>
      </c>
      <c r="R6160">
        <v>-6.8560860000000001E-2</v>
      </c>
      <c r="S6160">
        <v>3.0209350000000001</v>
      </c>
      <c r="T6160">
        <v>-0.3114421</v>
      </c>
      <c r="U6160">
        <v>6.1553959999999998E-2</v>
      </c>
      <c r="V6160">
        <v>-0.19531509999999999</v>
      </c>
      <c r="W6160">
        <v>3.4247680000000003E-2</v>
      </c>
      <c r="X6160">
        <v>0.98014239999999997</v>
      </c>
      <c r="Y6160">
        <v>-0.27855819999999998</v>
      </c>
      <c r="Z6160">
        <v>4.1013330000000001E-2</v>
      </c>
      <c r="AA6160">
        <v>0.95954320000000004</v>
      </c>
      <c r="AB6160">
        <v>23</v>
      </c>
      <c r="AC6160">
        <v>10.589600000000001</v>
      </c>
      <c r="AD6160">
        <v>-1.1146119988909999</v>
      </c>
      <c r="AE6160">
        <v>0.27370999999999401</v>
      </c>
      <c r="AF6160">
        <v>-3.00320231372883</v>
      </c>
      <c r="AG6160">
        <v>-1.1146119988909999</v>
      </c>
      <c r="AH6160">
        <v>10.037492921706299</v>
      </c>
      <c r="AI6160">
        <v>96.072578110765903</v>
      </c>
      <c r="AJ6160">
        <v>106.65710146643799</v>
      </c>
      <c r="AK6160">
        <v>10.536263483729</v>
      </c>
      <c r="AL6160">
        <v>88.037368703280293</v>
      </c>
      <c r="AM6160">
        <v>101.269829021161</v>
      </c>
      <c r="AN6160">
        <v>1.00000000807557</v>
      </c>
    </row>
    <row r="6161" spans="1:40" x14ac:dyDescent="0.25">
      <c r="A6161" t="str">
        <f>"20190312151147771"</f>
        <v>20190312151147771</v>
      </c>
      <c r="B6161" t="str">
        <f>"1552374707767059"</f>
        <v>1552374707767059</v>
      </c>
      <c r="C6161" t="s">
        <v>40</v>
      </c>
      <c r="D6161">
        <v>5.0082440000000004</v>
      </c>
      <c r="E6161">
        <v>0.4851454</v>
      </c>
      <c r="F6161" t="s">
        <v>92</v>
      </c>
      <c r="G6161">
        <v>-261.95859999999999</v>
      </c>
      <c r="H6161" s="1">
        <v>-3.2973249999999999E-7</v>
      </c>
      <c r="I6161">
        <v>-62.203539999999997</v>
      </c>
      <c r="J6161">
        <v>-276.6207</v>
      </c>
      <c r="K6161">
        <v>1.1146149999999999</v>
      </c>
      <c r="L6161">
        <v>-61.871609999999997</v>
      </c>
      <c r="M6161">
        <v>0.96695609999999999</v>
      </c>
      <c r="N6161">
        <v>0</v>
      </c>
      <c r="O6161">
        <v>-0.25466339999999998</v>
      </c>
      <c r="P6161">
        <v>0.99767269999999997</v>
      </c>
      <c r="Q6161">
        <v>2.5796739999999999E-2</v>
      </c>
      <c r="R6161">
        <v>-6.3116930000000002E-2</v>
      </c>
      <c r="S6161">
        <v>3.0082399999999998</v>
      </c>
      <c r="T6161">
        <v>-0.2252017</v>
      </c>
      <c r="U6161">
        <v>-7.7758789999999994E-2</v>
      </c>
      <c r="V6161">
        <v>-0.1934526</v>
      </c>
      <c r="W6161">
        <v>3.5384249999999999E-2</v>
      </c>
      <c r="X6161">
        <v>0.98047139999999999</v>
      </c>
      <c r="Y6161">
        <v>-0.22827230000000001</v>
      </c>
      <c r="Z6161">
        <v>2.7391740000000001E-2</v>
      </c>
      <c r="AA6161">
        <v>0.97321190000000002</v>
      </c>
      <c r="AB6161">
        <v>23</v>
      </c>
      <c r="AC6161">
        <v>14.662100000000001</v>
      </c>
      <c r="AD6161">
        <v>-1.1146153297325001</v>
      </c>
      <c r="AE6161">
        <v>-0.331930000000006</v>
      </c>
      <c r="AF6161">
        <v>-3.39357994004185</v>
      </c>
      <c r="AG6161">
        <v>-1.1146153297325001</v>
      </c>
      <c r="AH6161">
        <v>14.1812410594132</v>
      </c>
      <c r="AI6161">
        <v>94.371170927809402</v>
      </c>
      <c r="AJ6161">
        <v>103.4578387821</v>
      </c>
      <c r="AK6161">
        <v>14.6241700662949</v>
      </c>
      <c r="AL6161">
        <v>87.972208637337701</v>
      </c>
      <c r="AM6161">
        <v>101.161421454436</v>
      </c>
      <c r="AN6161">
        <v>1.0000000599063801</v>
      </c>
    </row>
    <row r="6162" spans="1:40" x14ac:dyDescent="0.25">
      <c r="A6162" t="str">
        <f>"20190312151147792"</f>
        <v>20190312151147792</v>
      </c>
      <c r="B6162" t="str">
        <f>"1552374707787555"</f>
        <v>1552374707787555</v>
      </c>
      <c r="C6162" t="s">
        <v>40</v>
      </c>
      <c r="D6162">
        <v>5.0011640000000002</v>
      </c>
      <c r="E6162">
        <v>0.4853151</v>
      </c>
      <c r="F6162" t="s">
        <v>92</v>
      </c>
      <c r="G6162">
        <v>-261.80849999999998</v>
      </c>
      <c r="H6162" s="1">
        <v>-2.5103899999999998E-7</v>
      </c>
      <c r="I6162">
        <v>-62.149729999999998</v>
      </c>
      <c r="J6162">
        <v>-276.41269999999997</v>
      </c>
      <c r="K6162">
        <v>1.114601</v>
      </c>
      <c r="L6162">
        <v>-61.918550000000003</v>
      </c>
      <c r="M6162">
        <v>0.96864499999999998</v>
      </c>
      <c r="N6162">
        <v>0</v>
      </c>
      <c r="O6162">
        <v>-0.2481622</v>
      </c>
      <c r="P6162">
        <v>0.99793080000000001</v>
      </c>
      <c r="Q6162">
        <v>2.644759E-2</v>
      </c>
      <c r="R6162">
        <v>-5.8605589999999999E-2</v>
      </c>
      <c r="S6162">
        <v>3.009277</v>
      </c>
      <c r="T6162">
        <v>-0.22644810000000001</v>
      </c>
      <c r="U6162">
        <v>-5.6518550000000001E-2</v>
      </c>
      <c r="V6162">
        <v>-0.19130059999999999</v>
      </c>
      <c r="W6162">
        <v>3.606902E-2</v>
      </c>
      <c r="X6162">
        <v>0.98086859999999998</v>
      </c>
      <c r="Y6162">
        <v>-0.2286106</v>
      </c>
      <c r="Z6162">
        <v>2.7076900000000001E-2</v>
      </c>
      <c r="AA6162">
        <v>0.97314129999999999</v>
      </c>
      <c r="AB6162">
        <v>23</v>
      </c>
      <c r="AC6162">
        <v>14.604199999999899</v>
      </c>
      <c r="AD6162">
        <v>-1.114601251039</v>
      </c>
      <c r="AE6162">
        <v>-0.231180000000001</v>
      </c>
      <c r="AF6162">
        <v>-3.3808332955057798</v>
      </c>
      <c r="AG6162">
        <v>-1.114601251039</v>
      </c>
      <c r="AH6162">
        <v>14.122426584103501</v>
      </c>
      <c r="AI6162">
        <v>94.389155906157598</v>
      </c>
      <c r="AJ6162">
        <v>103.462933488</v>
      </c>
      <c r="AK6162">
        <v>14.564178739091799</v>
      </c>
      <c r="AL6162">
        <v>87.932949128611199</v>
      </c>
      <c r="AM6162">
        <v>101.035966020475</v>
      </c>
      <c r="AN6162">
        <v>1.0000000521150301</v>
      </c>
    </row>
    <row r="6163" spans="1:40" x14ac:dyDescent="0.25">
      <c r="A6163" t="str">
        <f>"20190312151147803"</f>
        <v>20190312151147803</v>
      </c>
      <c r="B6163" t="str">
        <f>"1552374707797316"</f>
        <v>1552374707797316</v>
      </c>
      <c r="C6163" t="s">
        <v>40</v>
      </c>
      <c r="D6163">
        <v>4.9919200000000004</v>
      </c>
      <c r="E6163">
        <v>0.48561949999999998</v>
      </c>
      <c r="F6163" t="s">
        <v>42</v>
      </c>
      <c r="G6163">
        <v>-261.84230000000002</v>
      </c>
      <c r="H6163" s="1">
        <v>-2.6122930000000002E-7</v>
      </c>
      <c r="I6163">
        <v>-62.133589999999998</v>
      </c>
      <c r="J6163">
        <v>-276.30020000000002</v>
      </c>
      <c r="K6163">
        <v>1.1145910000000001</v>
      </c>
      <c r="L6163">
        <v>-61.943359999999998</v>
      </c>
      <c r="M6163">
        <v>0.96953650000000002</v>
      </c>
      <c r="N6163">
        <v>0</v>
      </c>
      <c r="O6163">
        <v>-0.24465580000000001</v>
      </c>
      <c r="P6163">
        <v>0.99808359999999996</v>
      </c>
      <c r="Q6163">
        <v>2.658131E-2</v>
      </c>
      <c r="R6163">
        <v>-5.5879810000000002E-2</v>
      </c>
      <c r="S6163">
        <v>3.009735</v>
      </c>
      <c r="T6163">
        <v>-0.23023750000000001</v>
      </c>
      <c r="U6163">
        <v>-4.4433590000000002E-2</v>
      </c>
      <c r="V6163">
        <v>-0.1904295</v>
      </c>
      <c r="W6163">
        <v>3.6218649999999998E-2</v>
      </c>
      <c r="X6163">
        <v>0.98103260000000003</v>
      </c>
      <c r="Y6163">
        <v>-0.22896240000000001</v>
      </c>
      <c r="Z6163">
        <v>2.728007E-2</v>
      </c>
      <c r="AA6163">
        <v>0.9730529</v>
      </c>
      <c r="AB6163">
        <v>23</v>
      </c>
      <c r="AC6163">
        <v>14.457899999999899</v>
      </c>
      <c r="AD6163">
        <v>-1.1145912612293001</v>
      </c>
      <c r="AE6163">
        <v>-0.19023000000000601</v>
      </c>
      <c r="AF6163">
        <v>-3.3332065909463502</v>
      </c>
      <c r="AG6163">
        <v>-1.1145912612293001</v>
      </c>
      <c r="AH6163">
        <v>13.9819218387526</v>
      </c>
      <c r="AI6163">
        <v>94.434046733884102</v>
      </c>
      <c r="AJ6163">
        <v>103.408697348144</v>
      </c>
      <c r="AK6163">
        <v>14.4168900308812</v>
      </c>
      <c r="AL6163">
        <v>87.924370400936596</v>
      </c>
      <c r="AM6163">
        <v>100.98514657439701</v>
      </c>
      <c r="AN6163">
        <v>1.00000007367041</v>
      </c>
    </row>
    <row r="6164" spans="1:40" x14ac:dyDescent="0.25">
      <c r="A6164" t="str">
        <f>"20190312151147813"</f>
        <v>20190312151147813</v>
      </c>
      <c r="B6164" t="str">
        <f>"1552374707807075"</f>
        <v>1552374707807075</v>
      </c>
      <c r="C6164" t="s">
        <v>40</v>
      </c>
      <c r="D6164">
        <v>5.0335869999999998</v>
      </c>
      <c r="E6164">
        <v>0.48606260000000001</v>
      </c>
      <c r="F6164" t="s">
        <v>42</v>
      </c>
      <c r="G6164">
        <v>-262.14960000000002</v>
      </c>
      <c r="H6164" s="1">
        <v>-3.9062090000000002E-7</v>
      </c>
      <c r="I6164">
        <v>-62.124499999999998</v>
      </c>
      <c r="J6164">
        <v>-276.1884</v>
      </c>
      <c r="K6164">
        <v>1.1145780000000001</v>
      </c>
      <c r="L6164">
        <v>-61.967590000000001</v>
      </c>
      <c r="M6164">
        <v>0.97040630000000005</v>
      </c>
      <c r="N6164">
        <v>0</v>
      </c>
      <c r="O6164">
        <v>-0.2411835</v>
      </c>
      <c r="P6164">
        <v>0.99820419999999999</v>
      </c>
      <c r="Q6164">
        <v>2.653206E-2</v>
      </c>
      <c r="R6164">
        <v>-5.3708539999999999E-2</v>
      </c>
      <c r="S6164">
        <v>3.0098880000000001</v>
      </c>
      <c r="T6164">
        <v>-0.23707710000000001</v>
      </c>
      <c r="U6164">
        <v>-3.8543699999999903E-2</v>
      </c>
      <c r="V6164">
        <v>-0.18905</v>
      </c>
      <c r="W6164">
        <v>3.6192920000000003E-2</v>
      </c>
      <c r="X6164">
        <v>0.98130019999999996</v>
      </c>
      <c r="Y6164">
        <v>-0.22731580000000001</v>
      </c>
      <c r="Z6164">
        <v>2.7756840000000001E-2</v>
      </c>
      <c r="AA6164">
        <v>0.9734254</v>
      </c>
      <c r="AB6164">
        <v>23</v>
      </c>
      <c r="AC6164">
        <v>14.038799999999901</v>
      </c>
      <c r="AD6164">
        <v>-1.1145783906208999</v>
      </c>
      <c r="AE6164">
        <v>-0.156909999999996</v>
      </c>
      <c r="AF6164">
        <v>-3.2136366230569702</v>
      </c>
      <c r="AG6164">
        <v>-1.1145783906208999</v>
      </c>
      <c r="AH6164">
        <v>13.576589712433201</v>
      </c>
      <c r="AI6164">
        <v>94.567549839135395</v>
      </c>
      <c r="AJ6164">
        <v>103.317052584104</v>
      </c>
      <c r="AK6164">
        <v>13.9961971104168</v>
      </c>
      <c r="AL6164">
        <v>87.925845344755899</v>
      </c>
      <c r="AM6164">
        <v>100.904580854635</v>
      </c>
      <c r="AN6164">
        <v>0.999999956239082</v>
      </c>
    </row>
    <row r="6165" spans="1:40" x14ac:dyDescent="0.25">
      <c r="A6165" t="str">
        <f>"20190312151147825"</f>
        <v>20190312151147825</v>
      </c>
      <c r="B6165" t="str">
        <f>"1552374707817503"</f>
        <v>1552374707817503</v>
      </c>
      <c r="C6165" t="s">
        <v>40</v>
      </c>
      <c r="D6165">
        <v>5.2124430000000004</v>
      </c>
      <c r="E6165">
        <v>0.48643589999999998</v>
      </c>
      <c r="F6165" t="s">
        <v>42</v>
      </c>
      <c r="G6165">
        <v>-262.24590000000001</v>
      </c>
      <c r="H6165" s="1">
        <v>-4.339181E-7</v>
      </c>
      <c r="I6165">
        <v>-62.131929999999997</v>
      </c>
      <c r="J6165">
        <v>-276.077</v>
      </c>
      <c r="K6165">
        <v>1.1145590000000001</v>
      </c>
      <c r="L6165">
        <v>-61.991269999999901</v>
      </c>
      <c r="M6165">
        <v>0.97125459999999997</v>
      </c>
      <c r="N6165">
        <v>0</v>
      </c>
      <c r="O6165">
        <v>-0.23774329999999999</v>
      </c>
      <c r="P6165">
        <v>0.9983168</v>
      </c>
      <c r="Q6165">
        <v>2.6329419999999999E-2</v>
      </c>
      <c r="R6165">
        <v>-5.1673910000000003E-2</v>
      </c>
      <c r="S6165">
        <v>3.0098880000000001</v>
      </c>
      <c r="T6165">
        <v>-0.24061299999999999</v>
      </c>
      <c r="U6165">
        <v>-3.549194E-2</v>
      </c>
      <c r="V6165">
        <v>-0.1875695</v>
      </c>
      <c r="W6165">
        <v>3.6016609999999998E-2</v>
      </c>
      <c r="X6165">
        <v>0.98159079999999999</v>
      </c>
      <c r="Y6165">
        <v>-0.22482750000000001</v>
      </c>
      <c r="Z6165">
        <v>2.7802790000000001E-2</v>
      </c>
      <c r="AA6165">
        <v>0.97400189999999998</v>
      </c>
      <c r="AB6165">
        <v>23</v>
      </c>
      <c r="AC6165">
        <v>13.8310999999999</v>
      </c>
      <c r="AD6165">
        <v>-1.1145594339181</v>
      </c>
      <c r="AE6165">
        <v>-0.140660000000011</v>
      </c>
      <c r="AF6165">
        <v>-3.1315263329533201</v>
      </c>
      <c r="AG6165">
        <v>-1.1145594339181</v>
      </c>
      <c r="AH6165">
        <v>13.381037321613601</v>
      </c>
      <c r="AI6165">
        <v>94.636688874404896</v>
      </c>
      <c r="AJ6165">
        <v>103.17171795022701</v>
      </c>
      <c r="AK6165">
        <v>13.7877068328324</v>
      </c>
      <c r="AL6165">
        <v>87.935953857605199</v>
      </c>
      <c r="AM6165">
        <v>100.818080183235</v>
      </c>
      <c r="AN6165">
        <v>1.00000000608539</v>
      </c>
    </row>
    <row r="6166" spans="1:40" x14ac:dyDescent="0.25">
      <c r="A6166" t="str">
        <f>"20190312151147836"</f>
        <v>20190312151147836</v>
      </c>
      <c r="B6166" t="str">
        <f>"1552374707827246"</f>
        <v>1552374707827246</v>
      </c>
      <c r="C6166" t="s">
        <v>40</v>
      </c>
      <c r="D6166">
        <v>4.995279</v>
      </c>
      <c r="E6166">
        <v>0.48672159999999898</v>
      </c>
      <c r="F6166" t="s">
        <v>42</v>
      </c>
      <c r="G6166">
        <v>-262.17829999999998</v>
      </c>
      <c r="H6166" s="1">
        <v>-4.073223E-7</v>
      </c>
      <c r="I6166">
        <v>-62.141010000000001</v>
      </c>
      <c r="J6166">
        <v>-275.96280000000002</v>
      </c>
      <c r="K6166">
        <v>1.1145350000000001</v>
      </c>
      <c r="L6166">
        <v>-62.01529</v>
      </c>
      <c r="M6166">
        <v>0.97210940000000001</v>
      </c>
      <c r="N6166">
        <v>0</v>
      </c>
      <c r="O6166">
        <v>-0.2342244</v>
      </c>
      <c r="P6166">
        <v>0.99843999999999999</v>
      </c>
      <c r="Q6166">
        <v>2.621099E-2</v>
      </c>
      <c r="R6166">
        <v>-4.9303029999999998E-2</v>
      </c>
      <c r="S6166">
        <v>3.0097049999999999</v>
      </c>
      <c r="T6166">
        <v>-0.2413517</v>
      </c>
      <c r="U6166">
        <v>-3.2440190000000001E-2</v>
      </c>
      <c r="V6166">
        <v>-0.18634319999999999</v>
      </c>
      <c r="W6166">
        <v>3.5923199999999898E-2</v>
      </c>
      <c r="X6166">
        <v>0.98182769999999997</v>
      </c>
      <c r="Y6166">
        <v>-0.22229570000000001</v>
      </c>
      <c r="Z6166">
        <v>2.7513570000000001E-2</v>
      </c>
      <c r="AA6166">
        <v>0.97459099999999999</v>
      </c>
      <c r="AB6166">
        <v>23</v>
      </c>
      <c r="AC6166">
        <v>13.7845</v>
      </c>
      <c r="AD6166">
        <v>-1.1145354073222999</v>
      </c>
      <c r="AE6166">
        <v>-0.125719999999994</v>
      </c>
      <c r="AF6166">
        <v>-3.0864975890180602</v>
      </c>
      <c r="AG6166">
        <v>-1.1145354073222999</v>
      </c>
      <c r="AH6166">
        <v>13.343221107693701</v>
      </c>
      <c r="AI6166">
        <v>94.652443725578294</v>
      </c>
      <c r="AJ6166">
        <v>103.02434481507601</v>
      </c>
      <c r="AK6166">
        <v>13.7408226125655</v>
      </c>
      <c r="AL6166">
        <v>87.941309203370693</v>
      </c>
      <c r="AM6166">
        <v>100.746473212792</v>
      </c>
      <c r="AN6166">
        <v>0.99999994848588303</v>
      </c>
    </row>
    <row r="6167" spans="1:40" x14ac:dyDescent="0.25">
      <c r="A6167" t="str">
        <f>"20190312151147847"</f>
        <v>20190312151147847</v>
      </c>
      <c r="B6167" t="str">
        <f>"1552374707837007"</f>
        <v>1552374707837007</v>
      </c>
      <c r="C6167" t="s">
        <v>40</v>
      </c>
      <c r="D6167">
        <v>5.0153280000000002</v>
      </c>
      <c r="E6167">
        <v>0.48697030000000002</v>
      </c>
      <c r="F6167" t="s">
        <v>42</v>
      </c>
      <c r="G6167">
        <v>-262.27550000000002</v>
      </c>
      <c r="H6167" s="1">
        <v>-4.488263E-7</v>
      </c>
      <c r="I6167">
        <v>-62.140129999999999</v>
      </c>
      <c r="J6167">
        <v>-275.84780000000001</v>
      </c>
      <c r="K6167">
        <v>1.1145020000000001</v>
      </c>
      <c r="L6167">
        <v>-62.038820000000001</v>
      </c>
      <c r="M6167">
        <v>0.97294619999999998</v>
      </c>
      <c r="N6167">
        <v>0</v>
      </c>
      <c r="O6167">
        <v>-0.23072380000000001</v>
      </c>
      <c r="P6167">
        <v>0.99854690000000002</v>
      </c>
      <c r="Q6167">
        <v>2.572671E-2</v>
      </c>
      <c r="R6167">
        <v>-4.7357110000000001E-2</v>
      </c>
      <c r="S6167">
        <v>3.0097659999999999</v>
      </c>
      <c r="T6167">
        <v>-0.24508179999999999</v>
      </c>
      <c r="U6167">
        <v>-2.7465819999999998E-2</v>
      </c>
      <c r="V6167">
        <v>-0.1847162</v>
      </c>
      <c r="W6167">
        <v>3.5471450000000002E-2</v>
      </c>
      <c r="X6167">
        <v>0.98215160000000001</v>
      </c>
      <c r="Y6167">
        <v>-0.22036990000000001</v>
      </c>
      <c r="Z6167">
        <v>2.7581290000000001E-2</v>
      </c>
      <c r="AA6167">
        <v>0.97502639999999996</v>
      </c>
      <c r="AB6167">
        <v>23</v>
      </c>
      <c r="AC6167">
        <v>13.572299999999901</v>
      </c>
      <c r="AD6167">
        <v>-1.1145024488263</v>
      </c>
      <c r="AE6167">
        <v>-0.101310000000012</v>
      </c>
      <c r="AF6167">
        <v>-3.01278497216523</v>
      </c>
      <c r="AG6167">
        <v>-1.1145024488263</v>
      </c>
      <c r="AH6167">
        <v>13.140829037015401</v>
      </c>
      <c r="AI6167">
        <v>94.725743990390797</v>
      </c>
      <c r="AJ6167">
        <v>102.912980249127</v>
      </c>
      <c r="AK6167">
        <v>13.5277631845406</v>
      </c>
      <c r="AL6167">
        <v>87.967209250199403</v>
      </c>
      <c r="AM6167">
        <v>100.65136758591299</v>
      </c>
      <c r="AN6167">
        <v>1.0000000318450499</v>
      </c>
    </row>
    <row r="6168" spans="1:40" x14ac:dyDescent="0.25">
      <c r="A6168" t="str">
        <f>"20190312151147858"</f>
        <v>20190312151147858</v>
      </c>
      <c r="B6168" t="str">
        <f>"1552374707847743"</f>
        <v>1552374707847743</v>
      </c>
      <c r="C6168" t="s">
        <v>40</v>
      </c>
      <c r="D6168">
        <v>5.0054999999999996</v>
      </c>
      <c r="E6168">
        <v>0.48716870000000001</v>
      </c>
      <c r="F6168" t="s">
        <v>92</v>
      </c>
      <c r="G6168">
        <v>-262.38659999999999</v>
      </c>
      <c r="H6168" s="1">
        <v>-4.9740380000000001E-7</v>
      </c>
      <c r="I6168">
        <v>-62.143709999999999</v>
      </c>
      <c r="J6168">
        <v>-275.74079999999998</v>
      </c>
      <c r="K6168">
        <v>1.1144700000000001</v>
      </c>
      <c r="L6168">
        <v>-62.060639999999999</v>
      </c>
      <c r="M6168">
        <v>0.97371240000000003</v>
      </c>
      <c r="N6168">
        <v>0</v>
      </c>
      <c r="O6168">
        <v>-0.22746830000000001</v>
      </c>
      <c r="P6168">
        <v>0.99865250000000005</v>
      </c>
      <c r="Q6168">
        <v>2.5399100000000001E-2</v>
      </c>
      <c r="R6168">
        <v>-4.5256270000000001E-2</v>
      </c>
      <c r="S6168">
        <v>3.009674</v>
      </c>
      <c r="T6168">
        <v>-0.24918029999999999</v>
      </c>
      <c r="U6168">
        <v>-2.3468019999999999E-2</v>
      </c>
      <c r="V6168">
        <v>-0.18349289999999999</v>
      </c>
      <c r="W6168">
        <v>3.5170279999999998E-2</v>
      </c>
      <c r="X6168">
        <v>0.98239169999999998</v>
      </c>
      <c r="Y6168">
        <v>-0.21837039999999999</v>
      </c>
      <c r="Z6168">
        <v>2.769667E-2</v>
      </c>
      <c r="AA6168">
        <v>0.97547289999999998</v>
      </c>
      <c r="AB6168">
        <v>23</v>
      </c>
      <c r="AC6168">
        <v>13.354199999999899</v>
      </c>
      <c r="AD6168">
        <v>-1.1144704974038</v>
      </c>
      <c r="AE6168">
        <v>-8.3069999999999297E-2</v>
      </c>
      <c r="AF6168">
        <v>-2.93653011843098</v>
      </c>
      <c r="AG6168">
        <v>-1.1144704974038</v>
      </c>
      <c r="AH6168">
        <v>12.9329026747608</v>
      </c>
      <c r="AI6168">
        <v>94.803522991823698</v>
      </c>
      <c r="AJ6168">
        <v>102.792613604371</v>
      </c>
      <c r="AK6168">
        <v>13.308840115534901</v>
      </c>
      <c r="AL6168">
        <v>87.984475774879797</v>
      </c>
      <c r="AM6168">
        <v>100.579898384852</v>
      </c>
      <c r="AN6168">
        <v>1.00000002258728</v>
      </c>
    </row>
    <row r="6169" spans="1:40" x14ac:dyDescent="0.25">
      <c r="A6169" t="str">
        <f>"20190312151147869"</f>
        <v>20190312151147869</v>
      </c>
      <c r="B6169" t="str">
        <f>"1552374707857502"</f>
        <v>1552374707857502</v>
      </c>
      <c r="C6169" t="s">
        <v>40</v>
      </c>
      <c r="D6169">
        <v>5.0423470000000004</v>
      </c>
      <c r="E6169">
        <v>0.48732219999999998</v>
      </c>
      <c r="F6169" t="s">
        <v>92</v>
      </c>
      <c r="G6169">
        <v>-262.44869999999997</v>
      </c>
      <c r="H6169" s="1">
        <v>-5.2391750000000003E-7</v>
      </c>
      <c r="I6169">
        <v>-62.143189999999997</v>
      </c>
      <c r="J6169">
        <v>-275.63119999999998</v>
      </c>
      <c r="K6169">
        <v>1.1144309999999999</v>
      </c>
      <c r="L6169">
        <v>-62.082369999999997</v>
      </c>
      <c r="M6169">
        <v>0.97447320000000004</v>
      </c>
      <c r="N6169">
        <v>0</v>
      </c>
      <c r="O6169">
        <v>-0.22418750000000001</v>
      </c>
      <c r="P6169">
        <v>0.99875440000000004</v>
      </c>
      <c r="Q6169">
        <v>2.527737E-2</v>
      </c>
      <c r="R6169">
        <v>-4.3024989999999999E-2</v>
      </c>
      <c r="S6169">
        <v>3.0096129999999999</v>
      </c>
      <c r="T6169">
        <v>-0.25234020000000001</v>
      </c>
      <c r="U6169">
        <v>-1.870728E-2</v>
      </c>
      <c r="V6169">
        <v>-0.1823748</v>
      </c>
      <c r="W6169">
        <v>3.5074500000000002E-2</v>
      </c>
      <c r="X6169">
        <v>0.98260329999999996</v>
      </c>
      <c r="Y6169">
        <v>-0.21660560000000001</v>
      </c>
      <c r="Z6169">
        <v>2.770537E-2</v>
      </c>
      <c r="AA6169">
        <v>0.97586600000000001</v>
      </c>
      <c r="AB6169">
        <v>23</v>
      </c>
      <c r="AC6169">
        <v>13.182499999999999</v>
      </c>
      <c r="AD6169">
        <v>-1.1144315239175</v>
      </c>
      <c r="AE6169">
        <v>-6.0820000000006702E-2</v>
      </c>
      <c r="AF6169">
        <v>-2.8757379592292298</v>
      </c>
      <c r="AG6169">
        <v>-1.1144315239175</v>
      </c>
      <c r="AH6169">
        <v>12.7692833496401</v>
      </c>
      <c r="AI6169">
        <v>94.866538759590796</v>
      </c>
      <c r="AJ6169">
        <v>102.691697193789</v>
      </c>
      <c r="AK6169">
        <v>13.136454000035499</v>
      </c>
      <c r="AL6169">
        <v>87.989966940632002</v>
      </c>
      <c r="AM6169">
        <v>100.51465888514799</v>
      </c>
      <c r="AN6169">
        <v>1.00000001669809</v>
      </c>
    </row>
    <row r="6170" spans="1:40" x14ac:dyDescent="0.25">
      <c r="A6170" t="str">
        <f>"20190312151147881"</f>
        <v>20190312151147881</v>
      </c>
      <c r="B6170" t="str">
        <f>"1552374707877999"</f>
        <v>1552374707877999</v>
      </c>
      <c r="C6170" t="s">
        <v>40</v>
      </c>
      <c r="D6170">
        <v>5.0190760000000001</v>
      </c>
      <c r="E6170">
        <v>0.487763</v>
      </c>
      <c r="F6170" t="s">
        <v>42</v>
      </c>
      <c r="G6170">
        <v>-262.44060000000002</v>
      </c>
      <c r="H6170" s="1">
        <v>-5.1966779999999995E-7</v>
      </c>
      <c r="I6170">
        <v>-62.140349999999998</v>
      </c>
      <c r="J6170">
        <v>-275.51580000000001</v>
      </c>
      <c r="K6170">
        <v>1.1143860000000001</v>
      </c>
      <c r="L6170">
        <v>-62.10501</v>
      </c>
      <c r="M6170">
        <v>0.97525819999999996</v>
      </c>
      <c r="N6170">
        <v>0</v>
      </c>
      <c r="O6170">
        <v>-0.22074769999999999</v>
      </c>
      <c r="P6170">
        <v>0.99883460000000002</v>
      </c>
      <c r="Q6170">
        <v>2.53584E-2</v>
      </c>
      <c r="R6170">
        <v>-4.1064969999999999E-2</v>
      </c>
      <c r="S6170">
        <v>3.0096440000000002</v>
      </c>
      <c r="T6170">
        <v>-0.25427460000000002</v>
      </c>
      <c r="U6170">
        <v>-1.324463E-2</v>
      </c>
      <c r="V6170">
        <v>-0.1808314</v>
      </c>
      <c r="W6170">
        <v>3.5186960000000003E-2</v>
      </c>
      <c r="X6170">
        <v>0.98288450000000005</v>
      </c>
      <c r="Y6170">
        <v>-0.21492720000000001</v>
      </c>
      <c r="Z6170">
        <v>2.7562610000000001E-2</v>
      </c>
      <c r="AA6170">
        <v>0.97624109999999997</v>
      </c>
      <c r="AB6170">
        <v>23</v>
      </c>
      <c r="AC6170">
        <v>13.075199999999899</v>
      </c>
      <c r="AD6170">
        <v>-1.1143865196678</v>
      </c>
      <c r="AE6170">
        <v>-3.5339999999997901E-2</v>
      </c>
      <c r="AF6170">
        <v>-2.8314893081747399</v>
      </c>
      <c r="AG6170">
        <v>-1.1143865196678</v>
      </c>
      <c r="AH6170">
        <v>12.6683803299058</v>
      </c>
      <c r="AI6170">
        <v>94.906686790582498</v>
      </c>
      <c r="AJ6170">
        <v>102.599012751974</v>
      </c>
      <c r="AK6170">
        <v>13.0287009790182</v>
      </c>
      <c r="AL6170">
        <v>87.983519502051706</v>
      </c>
      <c r="AM6170">
        <v>100.42471759385199</v>
      </c>
      <c r="AN6170">
        <v>1.0000000288601201</v>
      </c>
    </row>
    <row r="6171" spans="1:40" x14ac:dyDescent="0.25">
      <c r="A6171" t="str">
        <f>"20190312151147891"</f>
        <v>20190312151147891</v>
      </c>
      <c r="B6171" t="str">
        <f>"1552374707887758"</f>
        <v>1552374707887758</v>
      </c>
      <c r="C6171" t="s">
        <v>40</v>
      </c>
      <c r="D6171">
        <v>5.2700879999999897</v>
      </c>
      <c r="E6171">
        <v>0.488043</v>
      </c>
      <c r="F6171" t="s">
        <v>92</v>
      </c>
      <c r="G6171">
        <v>-262.4076</v>
      </c>
      <c r="H6171" s="1">
        <v>-5.0887820000000002E-7</v>
      </c>
      <c r="I6171">
        <v>-62.152920000000002</v>
      </c>
      <c r="J6171">
        <v>-275.40469999999999</v>
      </c>
      <c r="K6171">
        <v>1.114339</v>
      </c>
      <c r="L6171">
        <v>-62.126399999999997</v>
      </c>
      <c r="M6171">
        <v>0.97599239999999998</v>
      </c>
      <c r="N6171">
        <v>0</v>
      </c>
      <c r="O6171">
        <v>-0.21747929999999999</v>
      </c>
      <c r="P6171">
        <v>0.99891419999999997</v>
      </c>
      <c r="Q6171">
        <v>2.566032E-2</v>
      </c>
      <c r="R6171">
        <v>-3.8883649999999999E-2</v>
      </c>
      <c r="S6171">
        <v>3.0095519999999998</v>
      </c>
      <c r="T6171">
        <v>-0.25585560000000002</v>
      </c>
      <c r="U6171">
        <v>-1.101685E-2</v>
      </c>
      <c r="V6171">
        <v>-0.17968229999999999</v>
      </c>
      <c r="W6171">
        <v>3.5514339999999998E-2</v>
      </c>
      <c r="X6171">
        <v>0.98308340000000005</v>
      </c>
      <c r="Y6171">
        <v>-0.2123795</v>
      </c>
      <c r="Z6171">
        <v>2.7354420000000001E-2</v>
      </c>
      <c r="AA6171">
        <v>0.97680429999999996</v>
      </c>
      <c r="AB6171">
        <v>23</v>
      </c>
      <c r="AC6171">
        <v>12.9970999999999</v>
      </c>
      <c r="AD6171">
        <v>-1.1143395088782</v>
      </c>
      <c r="AE6171">
        <v>-2.6519999999997799E-2</v>
      </c>
      <c r="AF6171">
        <v>-2.7804761946032199</v>
      </c>
      <c r="AG6171">
        <v>-1.1143395088782</v>
      </c>
      <c r="AH6171">
        <v>12.5991220647664</v>
      </c>
      <c r="AI6171">
        <v>94.936250547428898</v>
      </c>
      <c r="AJ6171">
        <v>102.445017729075</v>
      </c>
      <c r="AK6171">
        <v>12.9503157186489</v>
      </c>
      <c r="AL6171">
        <v>87.964750188199204</v>
      </c>
      <c r="AM6171">
        <v>100.357861531613</v>
      </c>
      <c r="AN6171">
        <v>0.99999998431724202</v>
      </c>
    </row>
    <row r="6172" spans="1:40" x14ac:dyDescent="0.25">
      <c r="A6172" t="str">
        <f>"20190312151147903"</f>
        <v>20190312151147903</v>
      </c>
      <c r="B6172" t="str">
        <f>"1552374707897518"</f>
        <v>1552374707897518</v>
      </c>
      <c r="C6172" t="s">
        <v>40</v>
      </c>
      <c r="D6172">
        <v>5.0355410000000003</v>
      </c>
      <c r="E6172">
        <v>0.48822330000000003</v>
      </c>
      <c r="F6172" t="s">
        <v>92</v>
      </c>
      <c r="G6172">
        <v>-262.11540000000002</v>
      </c>
      <c r="H6172" s="1">
        <v>-3.8471060000000001E-7</v>
      </c>
      <c r="I6172">
        <v>-62.157330000000002</v>
      </c>
      <c r="J6172">
        <v>-275.28739999999999</v>
      </c>
      <c r="K6172">
        <v>1.114282</v>
      </c>
      <c r="L6172">
        <v>-62.148620000000001</v>
      </c>
      <c r="M6172">
        <v>0.97674720000000004</v>
      </c>
      <c r="N6172">
        <v>0</v>
      </c>
      <c r="O6172">
        <v>-0.21406439999999999</v>
      </c>
      <c r="P6172">
        <v>0.99899749999999998</v>
      </c>
      <c r="Q6172">
        <v>2.567639E-2</v>
      </c>
      <c r="R6172">
        <v>-3.6672620000000003E-2</v>
      </c>
      <c r="S6172">
        <v>3.0094910000000001</v>
      </c>
      <c r="T6172">
        <v>-0.25235380000000002</v>
      </c>
      <c r="U6172">
        <v>-7.019043E-3</v>
      </c>
      <c r="V6172">
        <v>-0.1784144</v>
      </c>
      <c r="W6172">
        <v>3.5558659999999999E-2</v>
      </c>
      <c r="X6172">
        <v>0.98331270000000004</v>
      </c>
      <c r="Y6172">
        <v>-0.21032029999999999</v>
      </c>
      <c r="Z6172">
        <v>2.661579E-2</v>
      </c>
      <c r="AA6172">
        <v>0.97727010000000003</v>
      </c>
      <c r="AB6172">
        <v>23</v>
      </c>
      <c r="AC6172">
        <v>13.171999999999899</v>
      </c>
      <c r="AD6172">
        <v>-1.1142823847106</v>
      </c>
      <c r="AE6172">
        <v>-8.7100000000077601E-3</v>
      </c>
      <c r="AF6172">
        <v>-2.7913716759787701</v>
      </c>
      <c r="AG6172">
        <v>-1.1142823847106</v>
      </c>
      <c r="AH6172">
        <v>12.777051995754899</v>
      </c>
      <c r="AI6172">
        <v>94.869847665769299</v>
      </c>
      <c r="AJ6172">
        <v>102.323644043957</v>
      </c>
      <c r="AK6172">
        <v>13.125792881519899</v>
      </c>
      <c r="AL6172">
        <v>87.962209248332897</v>
      </c>
      <c r="AM6172">
        <v>100.28399116353501</v>
      </c>
      <c r="AN6172">
        <v>0.99999999120482197</v>
      </c>
    </row>
    <row r="6173" spans="1:40" x14ac:dyDescent="0.25">
      <c r="A6173" t="str">
        <f>"20190312151147914"</f>
        <v>20190312151147914</v>
      </c>
      <c r="B6173" t="str">
        <f>"1552374707907278"</f>
        <v>1552374707907278</v>
      </c>
      <c r="C6173" t="s">
        <v>40</v>
      </c>
      <c r="D6173">
        <v>5.018999</v>
      </c>
      <c r="E6173">
        <v>0.48858249999999998</v>
      </c>
      <c r="F6173" t="s">
        <v>92</v>
      </c>
      <c r="G6173">
        <v>-261.84480000000002</v>
      </c>
      <c r="H6173" s="1">
        <v>-2.6887310000000002E-7</v>
      </c>
      <c r="I6173">
        <v>-62.158369999999998</v>
      </c>
      <c r="J6173">
        <v>-275.17739999999998</v>
      </c>
      <c r="K6173">
        <v>1.1142289999999999</v>
      </c>
      <c r="L6173">
        <v>-62.169159999999998</v>
      </c>
      <c r="M6173">
        <v>0.97743670000000005</v>
      </c>
      <c r="N6173">
        <v>0</v>
      </c>
      <c r="O6173">
        <v>-0.2108942</v>
      </c>
      <c r="P6173">
        <v>0.99906329999999999</v>
      </c>
      <c r="Q6173">
        <v>2.549129E-2</v>
      </c>
      <c r="R6173">
        <v>-3.4970870000000001E-2</v>
      </c>
      <c r="S6173">
        <v>3.0093380000000001</v>
      </c>
      <c r="T6173">
        <v>-0.249449</v>
      </c>
      <c r="U6173">
        <v>-2.1972659999999998E-3</v>
      </c>
      <c r="V6173">
        <v>-0.1768931</v>
      </c>
      <c r="W6173">
        <v>3.540426E-2</v>
      </c>
      <c r="X6173">
        <v>0.9835931</v>
      </c>
      <c r="Y6173">
        <v>-0.20876430000000001</v>
      </c>
      <c r="Z6173">
        <v>2.59905E-2</v>
      </c>
      <c r="AA6173">
        <v>0.9776205</v>
      </c>
      <c r="AB6173">
        <v>23</v>
      </c>
      <c r="AC6173">
        <v>13.3325999999999</v>
      </c>
      <c r="AD6173">
        <v>-1.1142292688730999</v>
      </c>
      <c r="AE6173">
        <v>1.0789999999999999E-2</v>
      </c>
      <c r="AF6173">
        <v>-2.8029373495904499</v>
      </c>
      <c r="AG6173">
        <v>-1.1142292688730999</v>
      </c>
      <c r="AH6173">
        <v>12.940040203662599</v>
      </c>
      <c r="AI6173">
        <v>94.810417429982905</v>
      </c>
      <c r="AJ6173">
        <v>102.222001334441</v>
      </c>
      <c r="AK6173">
        <v>13.286933623742801</v>
      </c>
      <c r="AL6173">
        <v>87.971061325524005</v>
      </c>
      <c r="AM6173">
        <v>100.19530358063599</v>
      </c>
      <c r="AN6173">
        <v>1.0000000084106799</v>
      </c>
    </row>
    <row r="6174" spans="1:40" x14ac:dyDescent="0.25">
      <c r="A6174" t="str">
        <f>"20190312151147925"</f>
        <v>20190312151147925</v>
      </c>
      <c r="B6174" t="str">
        <f>"1552374707917837"</f>
        <v>1552374707917837</v>
      </c>
      <c r="C6174" t="s">
        <v>40</v>
      </c>
      <c r="D6174">
        <v>5.0379829999999997</v>
      </c>
      <c r="E6174">
        <v>0.48886220000000002</v>
      </c>
      <c r="F6174" t="s">
        <v>42</v>
      </c>
      <c r="G6174">
        <v>-261.79050000000001</v>
      </c>
      <c r="H6174" s="1">
        <v>-2.48681E-7</v>
      </c>
      <c r="I6174">
        <v>-62.169910000000002</v>
      </c>
      <c r="J6174">
        <v>-275.06700000000001</v>
      </c>
      <c r="K6174">
        <v>1.114171</v>
      </c>
      <c r="L6174">
        <v>-62.189390000000003</v>
      </c>
      <c r="M6174">
        <v>0.97810520000000001</v>
      </c>
      <c r="N6174">
        <v>0</v>
      </c>
      <c r="O6174">
        <v>-0.20777129999999999</v>
      </c>
      <c r="P6174">
        <v>0.99912270000000003</v>
      </c>
      <c r="Q6174">
        <v>2.5410160000000001E-2</v>
      </c>
      <c r="R6174">
        <v>-3.3290800000000002E-2</v>
      </c>
      <c r="S6174">
        <v>3.0091860000000001</v>
      </c>
      <c r="T6174">
        <v>-0.25046350000000001</v>
      </c>
      <c r="U6174">
        <v>-1.8310550000000001E-4</v>
      </c>
      <c r="V6174">
        <v>-0.17540039999999901</v>
      </c>
      <c r="W6174">
        <v>3.5354219999999999E-2</v>
      </c>
      <c r="X6174">
        <v>0.98386220000000002</v>
      </c>
      <c r="Y6174">
        <v>-0.2063026</v>
      </c>
      <c r="Z6174">
        <v>2.5740140000000002E-2</v>
      </c>
      <c r="AA6174">
        <v>0.97814970000000001</v>
      </c>
      <c r="AB6174">
        <v>23</v>
      </c>
      <c r="AC6174">
        <v>13.2765</v>
      </c>
      <c r="AD6174">
        <v>-1.114171248681</v>
      </c>
      <c r="AE6174">
        <v>1.9480000000008602E-2</v>
      </c>
      <c r="AF6174">
        <v>-2.7582996895671599</v>
      </c>
      <c r="AG6174">
        <v>-1.114171248681</v>
      </c>
      <c r="AH6174">
        <v>12.8918905909459</v>
      </c>
      <c r="AI6174">
        <v>94.830672799053104</v>
      </c>
      <c r="AJ6174">
        <v>102.07670396301999</v>
      </c>
      <c r="AK6174">
        <v>13.230662786035101</v>
      </c>
      <c r="AL6174">
        <v>87.9739302357453</v>
      </c>
      <c r="AM6174">
        <v>100.108345111937</v>
      </c>
      <c r="AN6174">
        <v>1.0000000248904</v>
      </c>
    </row>
    <row r="6175" spans="1:40" x14ac:dyDescent="0.25">
      <c r="A6175" t="str">
        <f>"20190312151147949"</f>
        <v>20190312151147949</v>
      </c>
      <c r="B6175" t="str">
        <f>"1552374707937341"</f>
        <v>1552374707937341</v>
      </c>
      <c r="C6175" t="s">
        <v>40</v>
      </c>
      <c r="D6175">
        <v>5.051615</v>
      </c>
      <c r="E6175">
        <v>0.48950559999999999</v>
      </c>
      <c r="F6175" t="s">
        <v>92</v>
      </c>
      <c r="G6175">
        <v>-261.75540000000001</v>
      </c>
      <c r="H6175" s="1">
        <v>-2.3569169999999999E-7</v>
      </c>
      <c r="I6175">
        <v>-62.177709999999998</v>
      </c>
      <c r="J6175">
        <v>-274.83229999999998</v>
      </c>
      <c r="K6175">
        <v>1.1140369999999999</v>
      </c>
      <c r="L6175">
        <v>-62.231380000000001</v>
      </c>
      <c r="M6175">
        <v>0.97946350000000004</v>
      </c>
      <c r="N6175">
        <v>0</v>
      </c>
      <c r="O6175">
        <v>-0.20127249999999999</v>
      </c>
      <c r="P6175">
        <v>0.99924990000000002</v>
      </c>
      <c r="Q6175">
        <v>2.4719020000000001E-2</v>
      </c>
      <c r="R6175">
        <v>-2.9812200000000001E-2</v>
      </c>
      <c r="S6175">
        <v>3.009125</v>
      </c>
      <c r="T6175">
        <v>-0.25186130000000001</v>
      </c>
      <c r="U6175">
        <v>2.6245119999999999E-3</v>
      </c>
      <c r="V6175">
        <v>-0.17227690000000001</v>
      </c>
      <c r="W6175">
        <v>3.4732810000000003E-2</v>
      </c>
      <c r="X6175">
        <v>0.98443599999999998</v>
      </c>
      <c r="Y6175">
        <v>-0.20074239999999999</v>
      </c>
      <c r="Z6175">
        <v>2.511772E-2</v>
      </c>
      <c r="AA6175">
        <v>0.97932200000000003</v>
      </c>
      <c r="AB6175">
        <v>23</v>
      </c>
      <c r="AC6175">
        <v>13.076899999999901</v>
      </c>
      <c r="AD6175">
        <v>-1.1140372356916901</v>
      </c>
      <c r="AE6175">
        <v>5.3670000000003798E-2</v>
      </c>
      <c r="AF6175">
        <v>-2.6654327762780299</v>
      </c>
      <c r="AG6175">
        <v>-1.1140372356916901</v>
      </c>
      <c r="AH6175">
        <v>12.7062294272366</v>
      </c>
      <c r="AI6175">
        <v>94.904467005625904</v>
      </c>
      <c r="AJ6175">
        <v>101.847360242029</v>
      </c>
      <c r="AK6175">
        <v>13.0304979607434</v>
      </c>
      <c r="AL6175">
        <v>88.009556174926303</v>
      </c>
      <c r="AM6175">
        <v>99.926279389949798</v>
      </c>
      <c r="AN6175">
        <v>0.99999996823005199</v>
      </c>
    </row>
    <row r="6176" spans="1:40" x14ac:dyDescent="0.25">
      <c r="A6176" t="str">
        <f>"20190312151147961"</f>
        <v>20190312151147961</v>
      </c>
      <c r="B6176" t="str">
        <f>"1552374707957838"</f>
        <v>1552374707957838</v>
      </c>
      <c r="C6176" t="s">
        <v>40</v>
      </c>
      <c r="D6176">
        <v>5.0746079999999996</v>
      </c>
      <c r="E6176">
        <v>0.49013089999999998</v>
      </c>
      <c r="F6176" t="s">
        <v>92</v>
      </c>
      <c r="G6176">
        <v>-261.62349999999998</v>
      </c>
      <c r="H6176" s="1">
        <v>-1.8412170000000001E-7</v>
      </c>
      <c r="I6176">
        <v>-62.19661</v>
      </c>
      <c r="J6176">
        <v>-274.7115</v>
      </c>
      <c r="K6176">
        <v>1.11396299999999</v>
      </c>
      <c r="L6176">
        <v>-62.25253</v>
      </c>
      <c r="M6176">
        <v>0.98012949999999999</v>
      </c>
      <c r="N6176">
        <v>0</v>
      </c>
      <c r="O6176">
        <v>-0.1980044</v>
      </c>
      <c r="P6176">
        <v>0.99930229999999998</v>
      </c>
      <c r="Q6176">
        <v>2.486124E-2</v>
      </c>
      <c r="R6176">
        <v>-2.7867960000000001E-2</v>
      </c>
      <c r="S6176">
        <v>3.008759</v>
      </c>
      <c r="T6176">
        <v>-0.25375900000000001</v>
      </c>
      <c r="U6176">
        <v>7.9040529999999994E-3</v>
      </c>
      <c r="V6176">
        <v>-0.17090169999999999</v>
      </c>
      <c r="W6176">
        <v>3.4908649999999999E-2</v>
      </c>
      <c r="X6176">
        <v>0.98466949999999998</v>
      </c>
      <c r="Y6176">
        <v>-0.19918920000000001</v>
      </c>
      <c r="Z6176">
        <v>2.4973769999999999E-2</v>
      </c>
      <c r="AA6176">
        <v>0.97964269999999998</v>
      </c>
      <c r="AB6176">
        <v>23</v>
      </c>
      <c r="AC6176">
        <v>13.087999999999999</v>
      </c>
      <c r="AD6176">
        <v>-1.1139631841216999</v>
      </c>
      <c r="AE6176">
        <v>5.5920000000007498E-2</v>
      </c>
      <c r="AF6176">
        <v>-2.6274426680962599</v>
      </c>
      <c r="AG6176">
        <v>-1.1139631841216999</v>
      </c>
      <c r="AH6176">
        <v>12.725576531667301</v>
      </c>
      <c r="AI6176">
        <v>94.899935899322202</v>
      </c>
      <c r="AJ6176">
        <v>101.665900062548</v>
      </c>
      <c r="AK6176">
        <v>13.0416512379773</v>
      </c>
      <c r="AL6176">
        <v>87.999475264085504</v>
      </c>
      <c r="AM6176">
        <v>99.846310764476797</v>
      </c>
      <c r="AN6176">
        <v>1.00000001456898</v>
      </c>
    </row>
    <row r="6177" spans="1:40" x14ac:dyDescent="0.25">
      <c r="A6177" t="str">
        <f>"20190312151147972"</f>
        <v>20190312151147972</v>
      </c>
      <c r="B6177" t="str">
        <f>"1552374707967597"</f>
        <v>1552374707967597</v>
      </c>
      <c r="C6177" t="s">
        <v>40</v>
      </c>
      <c r="D6177">
        <v>5.081575</v>
      </c>
      <c r="E6177">
        <v>0.4904192</v>
      </c>
      <c r="F6177" t="s">
        <v>42</v>
      </c>
      <c r="G6177">
        <v>-261.5301</v>
      </c>
      <c r="H6177" s="1">
        <v>-1.4877549999999999E-7</v>
      </c>
      <c r="I6177">
        <v>-62.214359999999999</v>
      </c>
      <c r="J6177">
        <v>-274.59550000000002</v>
      </c>
      <c r="K6177">
        <v>1.1138950000000001</v>
      </c>
      <c r="L6177">
        <v>-62.27243</v>
      </c>
      <c r="M6177">
        <v>0.98074530000000004</v>
      </c>
      <c r="N6177">
        <v>0</v>
      </c>
      <c r="O6177">
        <v>-0.1949333</v>
      </c>
      <c r="P6177">
        <v>0.99935940000000001</v>
      </c>
      <c r="Q6177">
        <v>2.461296E-2</v>
      </c>
      <c r="R6177">
        <v>-2.5980260000000002E-2</v>
      </c>
      <c r="S6177">
        <v>3.008667</v>
      </c>
      <c r="T6177">
        <v>-0.25426189999999999</v>
      </c>
      <c r="U6177">
        <v>8.6975100000000003E-3</v>
      </c>
      <c r="V6177">
        <v>-0.1696703</v>
      </c>
      <c r="W6177">
        <v>3.469088E-2</v>
      </c>
      <c r="X6177">
        <v>0.98489009999999999</v>
      </c>
      <c r="Y6177">
        <v>-0.19639309999999999</v>
      </c>
      <c r="Z6177">
        <v>2.4650749999999999E-2</v>
      </c>
      <c r="AA6177">
        <v>0.98021530000000001</v>
      </c>
      <c r="AB6177">
        <v>23</v>
      </c>
      <c r="AC6177">
        <v>13.0654</v>
      </c>
      <c r="AD6177">
        <v>-1.1138951487755</v>
      </c>
      <c r="AE6177">
        <v>5.8070000000007803E-2</v>
      </c>
      <c r="AF6177">
        <v>-2.5852250008154698</v>
      </c>
      <c r="AG6177">
        <v>-1.1138951487755</v>
      </c>
      <c r="AH6177">
        <v>12.7110161339145</v>
      </c>
      <c r="AI6177">
        <v>94.908185531482204</v>
      </c>
      <c r="AJ6177">
        <v>101.496275533915</v>
      </c>
      <c r="AK6177">
        <v>13.0189892796616</v>
      </c>
      <c r="AL6177">
        <v>88.011960075944302</v>
      </c>
      <c r="AM6177">
        <v>99.774591393523195</v>
      </c>
      <c r="AN6177">
        <v>0.99999998846763705</v>
      </c>
    </row>
    <row r="6178" spans="1:40" x14ac:dyDescent="0.25">
      <c r="A6178" t="str">
        <f>"20190312151147982"</f>
        <v>20190312151147982</v>
      </c>
      <c r="B6178" t="str">
        <f>"1552374707977358"</f>
        <v>1552374707977358</v>
      </c>
      <c r="C6178" t="s">
        <v>40</v>
      </c>
      <c r="D6178">
        <v>5.0362710000000002</v>
      </c>
      <c r="E6178">
        <v>0.49066870000000001</v>
      </c>
      <c r="F6178" t="s">
        <v>92</v>
      </c>
      <c r="G6178">
        <v>-261.44819999999999</v>
      </c>
      <c r="H6178" s="1">
        <v>-1.150213E-7</v>
      </c>
      <c r="I6178">
        <v>-62.219549999999998</v>
      </c>
      <c r="J6178">
        <v>-274.49880000000002</v>
      </c>
      <c r="K6178">
        <v>1.1138330000000001</v>
      </c>
      <c r="L6178">
        <v>-62.288849999999996</v>
      </c>
      <c r="M6178">
        <v>0.98124330000000004</v>
      </c>
      <c r="N6178">
        <v>0</v>
      </c>
      <c r="O6178">
        <v>-0.19241079999999999</v>
      </c>
      <c r="P6178">
        <v>0.99938159999999998</v>
      </c>
      <c r="Q6178">
        <v>2.4778959999999999E-2</v>
      </c>
      <c r="R6178">
        <v>-2.4949550000000001E-2</v>
      </c>
      <c r="S6178">
        <v>3.0085139999999999</v>
      </c>
      <c r="T6178">
        <v>-0.25489430000000002</v>
      </c>
      <c r="U6178">
        <v>1.208496E-2</v>
      </c>
      <c r="V6178">
        <v>-0.1681483</v>
      </c>
      <c r="W6178">
        <v>3.4888170000000003E-2</v>
      </c>
      <c r="X6178">
        <v>0.98514409999999997</v>
      </c>
      <c r="Y6178">
        <v>-0.19498280000000001</v>
      </c>
      <c r="Z6178">
        <v>2.4443570000000001E-2</v>
      </c>
      <c r="AA6178">
        <v>0.98050199999999998</v>
      </c>
      <c r="AB6178">
        <v>23</v>
      </c>
      <c r="AC6178">
        <v>13.050599999999999</v>
      </c>
      <c r="AD6178">
        <v>-1.1138331150212999</v>
      </c>
      <c r="AE6178">
        <v>6.9299999999998294E-2</v>
      </c>
      <c r="AF6178">
        <v>-2.5606053508729198</v>
      </c>
      <c r="AG6178">
        <v>-1.1138331150212999</v>
      </c>
      <c r="AH6178">
        <v>12.700860746310401</v>
      </c>
      <c r="AI6178">
        <v>94.913507289779602</v>
      </c>
      <c r="AJ6178">
        <v>101.398537400389</v>
      </c>
      <c r="AK6178">
        <v>13.004198847610899</v>
      </c>
      <c r="AL6178">
        <v>88.000649300656093</v>
      </c>
      <c r="AM6178">
        <v>99.686128522353499</v>
      </c>
      <c r="AN6178">
        <v>0.99999996648182299</v>
      </c>
    </row>
    <row r="6179" spans="1:40" x14ac:dyDescent="0.25">
      <c r="A6179" t="str">
        <f>"20190312151147993"</f>
        <v>20190312151147993</v>
      </c>
      <c r="B6179" t="str">
        <f>"1552374707987118"</f>
        <v>1552374707987118</v>
      </c>
      <c r="C6179" t="s">
        <v>40</v>
      </c>
      <c r="D6179">
        <v>5.0571679999999999</v>
      </c>
      <c r="E6179">
        <v>0.4909502</v>
      </c>
      <c r="F6179" t="s">
        <v>92</v>
      </c>
      <c r="G6179">
        <v>-261.33069999999998</v>
      </c>
      <c r="H6179" s="1">
        <v>-6.7849100000000006E-8</v>
      </c>
      <c r="I6179">
        <v>-62.231610000000003</v>
      </c>
      <c r="J6179">
        <v>-274.37810000000002</v>
      </c>
      <c r="K6179">
        <v>1.1137570000000001</v>
      </c>
      <c r="L6179">
        <v>-62.308959999999999</v>
      </c>
      <c r="M6179">
        <v>0.98184439999999995</v>
      </c>
      <c r="N6179">
        <v>0</v>
      </c>
      <c r="O6179">
        <v>-0.1893205</v>
      </c>
      <c r="P6179">
        <v>0.99943079999999995</v>
      </c>
      <c r="Q6179">
        <v>2.461576E-2</v>
      </c>
      <c r="R6179">
        <v>-2.3065680000000002E-2</v>
      </c>
      <c r="S6179">
        <v>3.0084529999999998</v>
      </c>
      <c r="T6179">
        <v>-0.25447199999999998</v>
      </c>
      <c r="U6179">
        <v>1.306152E-2</v>
      </c>
      <c r="V6179">
        <v>-0.16689609999999999</v>
      </c>
      <c r="W6179">
        <v>3.4757120000000002E-2</v>
      </c>
      <c r="X6179">
        <v>0.98536170000000001</v>
      </c>
      <c r="Y6179">
        <v>-0.1922383</v>
      </c>
      <c r="Z6179">
        <v>2.4030630000000001E-2</v>
      </c>
      <c r="AA6179">
        <v>0.98105399999999998</v>
      </c>
      <c r="AB6179">
        <v>23</v>
      </c>
      <c r="AC6179">
        <v>13.0474</v>
      </c>
      <c r="AD6179">
        <v>-1.11375706784909</v>
      </c>
      <c r="AE6179">
        <v>7.7350000000002694E-2</v>
      </c>
      <c r="AF6179">
        <v>-2.5278442535167298</v>
      </c>
      <c r="AG6179">
        <v>-1.11375706784909</v>
      </c>
      <c r="AH6179">
        <v>12.7041952986532</v>
      </c>
      <c r="AI6179">
        <v>94.914367845396697</v>
      </c>
      <c r="AJ6179">
        <v>101.253569067144</v>
      </c>
      <c r="AK6179">
        <v>13.001039556994799</v>
      </c>
      <c r="AL6179">
        <v>88.008162581532503</v>
      </c>
      <c r="AM6179">
        <v>99.613263818347505</v>
      </c>
      <c r="AN6179">
        <v>1.0000000227063901</v>
      </c>
    </row>
    <row r="6180" spans="1:40" x14ac:dyDescent="0.25">
      <c r="A6180" t="str">
        <f>"20190312151148003"</f>
        <v>20190312151148003</v>
      </c>
      <c r="B6180" t="str">
        <f>"1552374707997854"</f>
        <v>1552374707997854</v>
      </c>
      <c r="C6180" t="s">
        <v>40</v>
      </c>
      <c r="D6180">
        <v>5.0981809999999896</v>
      </c>
      <c r="E6180">
        <v>0.49125600000000003</v>
      </c>
      <c r="F6180" t="s">
        <v>42</v>
      </c>
      <c r="G6180">
        <v>-261.2294</v>
      </c>
      <c r="H6180" s="1">
        <v>-2.5827720000000001E-8</v>
      </c>
      <c r="I6180">
        <v>-62.237130000000001</v>
      </c>
      <c r="J6180">
        <v>-274.27159999999998</v>
      </c>
      <c r="K6180">
        <v>1.113683</v>
      </c>
      <c r="L6180">
        <v>-62.326450000000001</v>
      </c>
      <c r="M6180">
        <v>0.98235419999999996</v>
      </c>
      <c r="N6180">
        <v>0</v>
      </c>
      <c r="O6180">
        <v>-0.18665770000000001</v>
      </c>
      <c r="P6180">
        <v>0.99946840000000003</v>
      </c>
      <c r="Q6180">
        <v>2.428988E-2</v>
      </c>
      <c r="R6180">
        <v>-2.1755750000000001E-2</v>
      </c>
      <c r="S6180">
        <v>3.008362</v>
      </c>
      <c r="T6180">
        <v>-0.25482199999999999</v>
      </c>
      <c r="U6180">
        <v>1.6418459999999999E-2</v>
      </c>
      <c r="V6180">
        <v>-0.1655083</v>
      </c>
      <c r="W6180">
        <v>3.4463559999999997E-2</v>
      </c>
      <c r="X6180">
        <v>0.98560610000000004</v>
      </c>
      <c r="Y6180">
        <v>-0.19068379999999999</v>
      </c>
      <c r="Z6180">
        <v>2.3776800000000001E-2</v>
      </c>
      <c r="AA6180">
        <v>0.98136350000000006</v>
      </c>
      <c r="AB6180">
        <v>23</v>
      </c>
      <c r="AC6180">
        <v>13.0421999999999</v>
      </c>
      <c r="AD6180">
        <v>-1.1136830258277199</v>
      </c>
      <c r="AE6180">
        <v>8.9319999999993599E-2</v>
      </c>
      <c r="AF6180">
        <v>-2.50408850489426</v>
      </c>
      <c r="AG6180">
        <v>-1.1136830258277199</v>
      </c>
      <c r="AH6180">
        <v>12.7036525563219</v>
      </c>
      <c r="AI6180">
        <v>94.915986741327998</v>
      </c>
      <c r="AJ6180">
        <v>101.150938823525</v>
      </c>
      <c r="AK6180">
        <v>12.995904639312499</v>
      </c>
      <c r="AL6180">
        <v>88.024992485681906</v>
      </c>
      <c r="AM6180">
        <v>99.532478848116995</v>
      </c>
      <c r="AN6180">
        <v>1.00000005934698</v>
      </c>
    </row>
    <row r="6181" spans="1:40" x14ac:dyDescent="0.25">
      <c r="A6181" t="str">
        <f>"20190312151148014"</f>
        <v>20190312151148014</v>
      </c>
      <c r="B6181" t="str">
        <f>"1552374708007614"</f>
        <v>1552374708007614</v>
      </c>
      <c r="C6181" t="s">
        <v>40</v>
      </c>
      <c r="D6181">
        <v>5.0760170000000002</v>
      </c>
      <c r="E6181">
        <v>0.49159760000000002</v>
      </c>
      <c r="F6181" t="s">
        <v>92</v>
      </c>
      <c r="G6181">
        <v>-261.16090000000003</v>
      </c>
      <c r="H6181" s="1">
        <v>4.5417889999999999E-10</v>
      </c>
      <c r="I6181">
        <v>-62.248699999999999</v>
      </c>
      <c r="J6181">
        <v>-274.15899999999999</v>
      </c>
      <c r="K6181">
        <v>1.113605</v>
      </c>
      <c r="L6181">
        <v>-62.344729999999998</v>
      </c>
      <c r="M6181">
        <v>0.982877</v>
      </c>
      <c r="N6181">
        <v>0</v>
      </c>
      <c r="O6181">
        <v>-0.18388589999999999</v>
      </c>
      <c r="P6181">
        <v>0.99950079999999997</v>
      </c>
      <c r="Q6181">
        <v>2.3979509999999999E-2</v>
      </c>
      <c r="R6181">
        <v>-2.0570339999999999E-2</v>
      </c>
      <c r="S6181">
        <v>3.0082089999999999</v>
      </c>
      <c r="T6181">
        <v>-0.25553110000000001</v>
      </c>
      <c r="U6181">
        <v>1.7822270000000001E-2</v>
      </c>
      <c r="V6181">
        <v>-0.1638877</v>
      </c>
      <c r="W6181">
        <v>3.418906E-2</v>
      </c>
      <c r="X6181">
        <v>0.98588640000000005</v>
      </c>
      <c r="Y6181">
        <v>-0.18838350000000001</v>
      </c>
      <c r="Z6181">
        <v>2.3514549999999999E-2</v>
      </c>
      <c r="AA6181">
        <v>0.98181399999999996</v>
      </c>
      <c r="AB6181">
        <v>23</v>
      </c>
      <c r="AC6181">
        <v>12.9980999999999</v>
      </c>
      <c r="AD6181">
        <v>-1.1136049995458199</v>
      </c>
      <c r="AE6181">
        <v>9.6030000000005999E-2</v>
      </c>
      <c r="AF6181">
        <v>-2.46662113108516</v>
      </c>
      <c r="AG6181">
        <v>-1.1136049995458199</v>
      </c>
      <c r="AH6181">
        <v>12.6657970478352</v>
      </c>
      <c r="AI6181">
        <v>94.932457028545997</v>
      </c>
      <c r="AJ6181">
        <v>101.020222396634</v>
      </c>
      <c r="AK6181">
        <v>12.9517084107187</v>
      </c>
      <c r="AL6181">
        <v>88.040729396548002</v>
      </c>
      <c r="AM6181">
        <v>99.438192635245102</v>
      </c>
      <c r="AN6181">
        <v>1.00000003186996</v>
      </c>
    </row>
    <row r="6182" spans="1:40" x14ac:dyDescent="0.25">
      <c r="A6182" t="str">
        <f>"20190312151148026"</f>
        <v>20190312151148026</v>
      </c>
      <c r="B6182" t="str">
        <f>"1552374708017374"</f>
        <v>1552374708017374</v>
      </c>
      <c r="C6182" t="s">
        <v>40</v>
      </c>
      <c r="D6182">
        <v>5.0652269999999904</v>
      </c>
      <c r="E6182">
        <v>0.49190800000000001</v>
      </c>
      <c r="F6182" t="s">
        <v>42</v>
      </c>
      <c r="G6182">
        <v>-261.12549999999999</v>
      </c>
      <c r="H6182" s="1">
        <v>1.1635389999999901E-8</v>
      </c>
      <c r="I6182">
        <v>-62.263869999999997</v>
      </c>
      <c r="J6182">
        <v>-274.05189999999999</v>
      </c>
      <c r="K6182">
        <v>1.113526</v>
      </c>
      <c r="L6182">
        <v>-62.361789999999999</v>
      </c>
      <c r="M6182">
        <v>0.98335119999999998</v>
      </c>
      <c r="N6182">
        <v>0</v>
      </c>
      <c r="O6182">
        <v>-0.18133340000000001</v>
      </c>
      <c r="P6182">
        <v>0.99953650000000005</v>
      </c>
      <c r="Q6182">
        <v>2.3241439999999999E-2</v>
      </c>
      <c r="R6182">
        <v>-1.966919E-2</v>
      </c>
      <c r="S6182">
        <v>3.008057</v>
      </c>
      <c r="T6182">
        <v>-0.25701200000000002</v>
      </c>
      <c r="U6182">
        <v>1.8646240000000001E-2</v>
      </c>
      <c r="V6182">
        <v>-0.162207399999999</v>
      </c>
      <c r="W6182">
        <v>3.3488039999999997E-2</v>
      </c>
      <c r="X6182">
        <v>0.98618830000000002</v>
      </c>
      <c r="Y6182">
        <v>-0.18610479999999999</v>
      </c>
      <c r="Z6182">
        <v>2.3339479999999999E-2</v>
      </c>
      <c r="AA6182">
        <v>0.98225269999999998</v>
      </c>
      <c r="AB6182">
        <v>23</v>
      </c>
      <c r="AC6182">
        <v>12.926399999999999</v>
      </c>
      <c r="AD6182">
        <v>-1.11352598836461</v>
      </c>
      <c r="AE6182">
        <v>9.7920000000001894E-2</v>
      </c>
      <c r="AF6182">
        <v>-2.4224715287728098</v>
      </c>
      <c r="AG6182">
        <v>-1.11352598836461</v>
      </c>
      <c r="AH6182">
        <v>12.600813000646699</v>
      </c>
      <c r="AI6182">
        <v>94.959717890576599</v>
      </c>
      <c r="AJ6182">
        <v>100.88218691438701</v>
      </c>
      <c r="AK6182">
        <v>12.879782479209201</v>
      </c>
      <c r="AL6182">
        <v>88.080917888114399</v>
      </c>
      <c r="AM6182">
        <v>99.340330336978298</v>
      </c>
      <c r="AN6182">
        <v>1.0000000262473401</v>
      </c>
    </row>
    <row r="6183" spans="1:40" x14ac:dyDescent="0.25">
      <c r="A6183" t="str">
        <f>"20190312151148036"</f>
        <v>20190312151148036</v>
      </c>
      <c r="B6183" t="str">
        <f>"1552374708027134"</f>
        <v>1552374708027134</v>
      </c>
      <c r="C6183" t="s">
        <v>40</v>
      </c>
      <c r="D6183">
        <v>5.0740069999999999</v>
      </c>
      <c r="E6183">
        <v>0.49213970000000001</v>
      </c>
      <c r="F6183" t="s">
        <v>92</v>
      </c>
      <c r="G6183">
        <v>-261.16629999999998</v>
      </c>
      <c r="H6183" s="1">
        <v>-1.0368690000000001E-8</v>
      </c>
      <c r="I6183">
        <v>-62.280659999999997</v>
      </c>
      <c r="J6183">
        <v>-273.93049999999999</v>
      </c>
      <c r="K6183">
        <v>1.113434</v>
      </c>
      <c r="L6183">
        <v>-62.380980000000001</v>
      </c>
      <c r="M6183">
        <v>0.9838751</v>
      </c>
      <c r="N6183">
        <v>0</v>
      </c>
      <c r="O6183">
        <v>-0.17847099999999999</v>
      </c>
      <c r="P6183">
        <v>0.99956869999999998</v>
      </c>
      <c r="Q6183">
        <v>2.2849689999999999E-2</v>
      </c>
      <c r="R6183">
        <v>-1.8452070000000001E-2</v>
      </c>
      <c r="S6183">
        <v>3.0078130000000001</v>
      </c>
      <c r="T6183">
        <v>-0.2599243</v>
      </c>
      <c r="U6183">
        <v>1.8920900000000001E-2</v>
      </c>
      <c r="V6183">
        <v>-0.16052829999999901</v>
      </c>
      <c r="W6183">
        <v>3.3135850000000001E-2</v>
      </c>
      <c r="X6183">
        <v>0.98647490000000004</v>
      </c>
      <c r="Y6183">
        <v>-0.18332590000000001</v>
      </c>
      <c r="Z6183">
        <v>2.324116E-2</v>
      </c>
      <c r="AA6183">
        <v>0.98277740000000002</v>
      </c>
      <c r="AB6183">
        <v>23</v>
      </c>
      <c r="AC6183">
        <v>12.764200000000001</v>
      </c>
      <c r="AD6183">
        <v>-1.1134340103686899</v>
      </c>
      <c r="AE6183">
        <v>0.10032000000001</v>
      </c>
      <c r="AF6183">
        <v>-2.3589569882633001</v>
      </c>
      <c r="AG6183">
        <v>-1.1134340103686899</v>
      </c>
      <c r="AH6183">
        <v>12.4466353408432</v>
      </c>
      <c r="AI6183">
        <v>95.022933876570505</v>
      </c>
      <c r="AJ6183">
        <v>100.731734993822</v>
      </c>
      <c r="AK6183">
        <v>12.7170415064137</v>
      </c>
      <c r="AL6183">
        <v>88.101108089493906</v>
      </c>
      <c r="AM6183">
        <v>99.242681745431796</v>
      </c>
      <c r="AN6183">
        <v>1.00000002399306</v>
      </c>
    </row>
    <row r="6184" spans="1:40" x14ac:dyDescent="0.25">
      <c r="A6184" t="str">
        <f>"20190312151148049"</f>
        <v>20190312151148049</v>
      </c>
      <c r="B6184" t="str">
        <f>"1552374708037871"</f>
        <v>1552374708037871</v>
      </c>
      <c r="C6184" t="s">
        <v>40</v>
      </c>
      <c r="D6184">
        <v>5.0766929999999997</v>
      </c>
      <c r="E6184">
        <v>0.49238530000000003</v>
      </c>
      <c r="F6184" t="s">
        <v>92</v>
      </c>
      <c r="G6184">
        <v>-261.11810000000003</v>
      </c>
      <c r="H6184" s="1">
        <v>7.0149329999999996E-9</v>
      </c>
      <c r="I6184">
        <v>-62.293030000000002</v>
      </c>
      <c r="J6184">
        <v>-273.81529999999998</v>
      </c>
      <c r="K6184">
        <v>1.1133420000000001</v>
      </c>
      <c r="L6184">
        <v>-62.398800000000001</v>
      </c>
      <c r="M6184">
        <v>0.98434169999999999</v>
      </c>
      <c r="N6184">
        <v>0</v>
      </c>
      <c r="O6184">
        <v>-0.17587920000000001</v>
      </c>
      <c r="P6184">
        <v>0.99958880000000006</v>
      </c>
      <c r="Q6184">
        <v>2.266686E-2</v>
      </c>
      <c r="R6184">
        <v>-1.756891E-2</v>
      </c>
      <c r="S6184">
        <v>3.0076290000000001</v>
      </c>
      <c r="T6184">
        <v>-0.26137129999999997</v>
      </c>
      <c r="U6184">
        <v>2.062988E-2</v>
      </c>
      <c r="V6184">
        <v>-0.15879309999999999</v>
      </c>
      <c r="W6184">
        <v>3.2993349999999998E-2</v>
      </c>
      <c r="X6184">
        <v>0.98676039999999998</v>
      </c>
      <c r="Y6184">
        <v>-0.18129790000000001</v>
      </c>
      <c r="Z6184">
        <v>2.3061499999999999E-2</v>
      </c>
      <c r="AA6184">
        <v>0.98315779999999997</v>
      </c>
      <c r="AB6184">
        <v>23</v>
      </c>
      <c r="AC6184">
        <v>12.697199999999899</v>
      </c>
      <c r="AD6184">
        <v>-1.1133419929850601</v>
      </c>
      <c r="AE6184">
        <v>0.105769999999999</v>
      </c>
      <c r="AF6184">
        <v>-2.3196152913482502</v>
      </c>
      <c r="AG6184">
        <v>-1.1133419929850601</v>
      </c>
      <c r="AH6184">
        <v>12.3854227771669</v>
      </c>
      <c r="AI6184">
        <v>95.049262441324203</v>
      </c>
      <c r="AJ6184">
        <v>100.60780547739</v>
      </c>
      <c r="AK6184">
        <v>12.6498554482794</v>
      </c>
      <c r="AL6184">
        <v>88.109277061606406</v>
      </c>
      <c r="AM6184">
        <v>99.141870587390898</v>
      </c>
      <c r="AN6184">
        <v>0.99999994837999495</v>
      </c>
    </row>
    <row r="6185" spans="1:40" x14ac:dyDescent="0.25">
      <c r="A6185" t="str">
        <f>"20190312151148059"</f>
        <v>20190312151148059</v>
      </c>
      <c r="B6185" t="str">
        <f>"1552374708047630"</f>
        <v>1552374708047630</v>
      </c>
      <c r="C6185" t="s">
        <v>40</v>
      </c>
      <c r="D6185">
        <v>5.0594089999999996</v>
      </c>
      <c r="E6185">
        <v>0.49238530000000003</v>
      </c>
      <c r="F6185" t="s">
        <v>42</v>
      </c>
      <c r="G6185">
        <v>-261.02820000000003</v>
      </c>
      <c r="H6185" s="1">
        <v>4.128049E-8</v>
      </c>
      <c r="I6185">
        <v>-62.30921</v>
      </c>
      <c r="J6185">
        <v>-273.70460000000003</v>
      </c>
      <c r="K6185">
        <v>1.113251</v>
      </c>
      <c r="L6185">
        <v>-62.415860000000002</v>
      </c>
      <c r="M6185">
        <v>0.98477950000000003</v>
      </c>
      <c r="N6185">
        <v>0</v>
      </c>
      <c r="O6185">
        <v>-0.17341199999999901</v>
      </c>
      <c r="P6185">
        <v>0.99960510000000002</v>
      </c>
      <c r="Q6185">
        <v>2.2636750000000001E-2</v>
      </c>
      <c r="R6185">
        <v>-1.665473E-2</v>
      </c>
      <c r="S6185">
        <v>3.0075379999999998</v>
      </c>
      <c r="T6185">
        <v>-0.26185930000000002</v>
      </c>
      <c r="U6185">
        <v>2.105713E-2</v>
      </c>
      <c r="V6185">
        <v>-0.15721470000000001</v>
      </c>
      <c r="W6185">
        <v>3.3000979999999999E-2</v>
      </c>
      <c r="X6185">
        <v>0.98701289999999997</v>
      </c>
      <c r="Y6185">
        <v>-0.17898629999999999</v>
      </c>
      <c r="Z6185">
        <v>2.2792730000000001E-2</v>
      </c>
      <c r="AA6185">
        <v>0.98358749999999995</v>
      </c>
      <c r="AB6185">
        <v>23</v>
      </c>
      <c r="AC6185">
        <v>12.676399999999999</v>
      </c>
      <c r="AD6185">
        <v>-1.1132509587195101</v>
      </c>
      <c r="AE6185">
        <v>0.106649999999994</v>
      </c>
      <c r="AF6185">
        <v>-2.2857971815947802</v>
      </c>
      <c r="AG6185">
        <v>-1.1132509587195101</v>
      </c>
      <c r="AH6185">
        <v>12.370422299750301</v>
      </c>
      <c r="AI6185">
        <v>95.057209381770505</v>
      </c>
      <c r="AJ6185">
        <v>100.468987396888</v>
      </c>
      <c r="AK6185">
        <v>12.628996172563999</v>
      </c>
      <c r="AL6185">
        <v>88.108839746063893</v>
      </c>
      <c r="AM6185">
        <v>99.050235153909497</v>
      </c>
      <c r="AN6185">
        <v>0.99999999567173004</v>
      </c>
    </row>
    <row r="6186" spans="1:40" x14ac:dyDescent="0.25">
      <c r="A6186" t="str">
        <f>"20190312151148070"</f>
        <v>20190312151148070</v>
      </c>
      <c r="B6186" t="str">
        <f>"1552374708067150"</f>
        <v>1552374708067150</v>
      </c>
      <c r="C6186" t="s">
        <v>40</v>
      </c>
      <c r="D6186">
        <v>5.14053</v>
      </c>
      <c r="E6186">
        <v>0.50111629999999996</v>
      </c>
      <c r="F6186" t="s">
        <v>92</v>
      </c>
      <c r="G6186">
        <v>-260.92540000000002</v>
      </c>
      <c r="H6186" s="1">
        <v>8.36583899999999E-8</v>
      </c>
      <c r="I6186">
        <v>-62.315689999999996</v>
      </c>
      <c r="J6186">
        <v>-273.59339999999997</v>
      </c>
      <c r="K6186">
        <v>1.1131519999999999</v>
      </c>
      <c r="L6186">
        <v>-62.432650000000002</v>
      </c>
      <c r="M6186">
        <v>0.98519409999999996</v>
      </c>
      <c r="N6186">
        <v>0</v>
      </c>
      <c r="O6186">
        <v>-0.171042</v>
      </c>
      <c r="P6186">
        <v>0.99961999999999995</v>
      </c>
      <c r="Q6186">
        <v>2.2539670000000001E-2</v>
      </c>
      <c r="R6186">
        <v>-1.587564E-2</v>
      </c>
      <c r="S6186">
        <v>3.0075069999999999</v>
      </c>
      <c r="T6186">
        <v>-0.26199729999999999</v>
      </c>
      <c r="U6186">
        <v>2.3559569999999998E-2</v>
      </c>
      <c r="V6186">
        <v>-0.1556005</v>
      </c>
      <c r="W6186">
        <v>3.2942840000000001E-2</v>
      </c>
      <c r="X6186">
        <v>0.9872706</v>
      </c>
      <c r="Y6186">
        <v>-0.177451</v>
      </c>
      <c r="Z6186">
        <v>2.2534579999999999E-2</v>
      </c>
      <c r="AA6186">
        <v>0.98387159999999996</v>
      </c>
      <c r="AB6186">
        <v>23</v>
      </c>
      <c r="AC6186">
        <v>12.6679999999999</v>
      </c>
      <c r="AD6186">
        <v>-1.1131519163416099</v>
      </c>
      <c r="AE6186">
        <v>0.116959999999998</v>
      </c>
      <c r="AF6186">
        <v>-2.2646602160571998</v>
      </c>
      <c r="AG6186">
        <v>-1.1131519163416099</v>
      </c>
      <c r="AH6186">
        <v>12.3658162290448</v>
      </c>
      <c r="AI6186">
        <v>95.060104760526997</v>
      </c>
      <c r="AJ6186">
        <v>100.378071577532</v>
      </c>
      <c r="AK6186">
        <v>12.620665754767201</v>
      </c>
      <c r="AL6186">
        <v>88.112172727918093</v>
      </c>
      <c r="AM6186">
        <v>98.956526229936799</v>
      </c>
      <c r="AN6186">
        <v>0.99999999196593703</v>
      </c>
    </row>
    <row r="6187" spans="1:40" x14ac:dyDescent="0.25">
      <c r="A6187" t="str">
        <f>"20190312151148082"</f>
        <v>20190312151148082</v>
      </c>
      <c r="B6187" t="str">
        <f>"1552374708077886"</f>
        <v>1552374708077886</v>
      </c>
      <c r="C6187" t="s">
        <v>40</v>
      </c>
      <c r="D6187">
        <v>5.1223169999999998</v>
      </c>
      <c r="E6187">
        <v>0.50152059999999998</v>
      </c>
      <c r="F6187" t="s">
        <v>92</v>
      </c>
      <c r="G6187">
        <v>-260.86219999999997</v>
      </c>
      <c r="H6187" s="1">
        <v>3.0180100000000002E-8</v>
      </c>
      <c r="I6187">
        <v>-62.618540000000003</v>
      </c>
      <c r="J6187">
        <v>-273.47140000000002</v>
      </c>
      <c r="K6187">
        <v>1.1130469999999999</v>
      </c>
      <c r="L6187">
        <v>-62.45093</v>
      </c>
      <c r="M6187">
        <v>0.9856336</v>
      </c>
      <c r="N6187">
        <v>0</v>
      </c>
      <c r="O6187">
        <v>-0.1684908</v>
      </c>
      <c r="P6187">
        <v>0.99963590000000002</v>
      </c>
      <c r="Q6187">
        <v>2.2376119999999999E-2</v>
      </c>
      <c r="R6187">
        <v>-1.5073599999999999E-2</v>
      </c>
      <c r="S6187">
        <v>3.0064090000000001</v>
      </c>
      <c r="T6187">
        <v>-0.26286510000000002</v>
      </c>
      <c r="U6187">
        <v>-4.3914790000000002E-2</v>
      </c>
      <c r="V6187">
        <v>-0.1538265</v>
      </c>
      <c r="W6187">
        <v>3.2821309999999999E-2</v>
      </c>
      <c r="X6187">
        <v>0.9875526</v>
      </c>
      <c r="Y6187">
        <v>-0.15286729999999901</v>
      </c>
      <c r="Z6187">
        <v>2.1316499999999999E-2</v>
      </c>
      <c r="AA6187">
        <v>0.98801680000000003</v>
      </c>
      <c r="AB6187">
        <v>23</v>
      </c>
      <c r="AC6187">
        <v>12.6092</v>
      </c>
      <c r="AD6187">
        <v>-1.1130469698198999</v>
      </c>
      <c r="AE6187">
        <v>-0.16760999999999601</v>
      </c>
      <c r="AF6187">
        <v>-1.9443190660372101</v>
      </c>
      <c r="AG6187">
        <v>-1.1130469698198999</v>
      </c>
      <c r="AH6187">
        <v>12.3608475084727</v>
      </c>
      <c r="AI6187">
        <v>95.083221247456095</v>
      </c>
      <c r="AJ6187">
        <v>98.939185436857997</v>
      </c>
      <c r="AK6187">
        <v>12.562237114276099</v>
      </c>
      <c r="AL6187">
        <v>88.119139636763293</v>
      </c>
      <c r="AM6187">
        <v>98.853551869508095</v>
      </c>
      <c r="AN6187">
        <v>0.99999998412956204</v>
      </c>
    </row>
    <row r="6188" spans="1:40" x14ac:dyDescent="0.25">
      <c r="A6188" t="str">
        <f>"20190312151148093"</f>
        <v>20190312151148093</v>
      </c>
      <c r="B6188" t="str">
        <f>"1552374708087647"</f>
        <v>1552374708087647</v>
      </c>
      <c r="C6188" t="s">
        <v>40</v>
      </c>
      <c r="D6188">
        <v>5.1004170000000002</v>
      </c>
      <c r="E6188">
        <v>0.50173540000000005</v>
      </c>
      <c r="F6188" t="s">
        <v>92</v>
      </c>
      <c r="G6188">
        <v>-260.83890000000002</v>
      </c>
      <c r="H6188" s="1">
        <v>3.473633E-8</v>
      </c>
      <c r="I6188">
        <v>-62.639099999999999</v>
      </c>
      <c r="J6188">
        <v>-273.35930000000002</v>
      </c>
      <c r="K6188">
        <v>1.112951</v>
      </c>
      <c r="L6188">
        <v>-62.467500000000001</v>
      </c>
      <c r="M6188">
        <v>0.98601910000000004</v>
      </c>
      <c r="N6188">
        <v>0</v>
      </c>
      <c r="O6188">
        <v>-0.16622190000000001</v>
      </c>
      <c r="P6188">
        <v>0.99965599999999999</v>
      </c>
      <c r="Q6188">
        <v>2.1957419999999998E-2</v>
      </c>
      <c r="R6188">
        <v>-1.435198E-2</v>
      </c>
      <c r="S6188">
        <v>3.006348</v>
      </c>
      <c r="T6188">
        <v>-0.26488840000000002</v>
      </c>
      <c r="U6188">
        <v>-4.4799800000000001E-2</v>
      </c>
      <c r="V6188">
        <v>-0.1522569</v>
      </c>
      <c r="W6188">
        <v>3.2440040000000003E-2</v>
      </c>
      <c r="X6188">
        <v>0.98780840000000003</v>
      </c>
      <c r="Y6188">
        <v>-0.1503013</v>
      </c>
      <c r="Z6188">
        <v>2.1170169999999999E-2</v>
      </c>
      <c r="AA6188">
        <v>0.9884136</v>
      </c>
      <c r="AB6188">
        <v>23</v>
      </c>
      <c r="AC6188">
        <v>12.520399999999899</v>
      </c>
      <c r="AD6188">
        <v>-1.11295096526367</v>
      </c>
      <c r="AE6188">
        <v>-0.171599999999997</v>
      </c>
      <c r="AF6188">
        <v>-1.89710702674681</v>
      </c>
      <c r="AG6188">
        <v>-1.11295096526367</v>
      </c>
      <c r="AH6188">
        <v>12.277726925366</v>
      </c>
      <c r="AI6188">
        <v>95.119168107693795</v>
      </c>
      <c r="AJ6188">
        <v>98.783658538491395</v>
      </c>
      <c r="AK6188">
        <v>12.4731813654685</v>
      </c>
      <c r="AL6188">
        <v>88.140996425913102</v>
      </c>
      <c r="AM6188">
        <v>98.7623881927735</v>
      </c>
      <c r="AN6188">
        <v>0.99999997745168501</v>
      </c>
    </row>
    <row r="6189" spans="1:40" x14ac:dyDescent="0.25">
      <c r="A6189" t="str">
        <f>"20190312151148104"</f>
        <v>20190312151148104</v>
      </c>
      <c r="B6189" t="str">
        <f>"1552374708097406"</f>
        <v>1552374708097406</v>
      </c>
      <c r="C6189" t="s">
        <v>40</v>
      </c>
      <c r="D6189">
        <v>5.1254749999999998</v>
      </c>
      <c r="E6189">
        <v>0.50195540000000005</v>
      </c>
      <c r="F6189" t="s">
        <v>92</v>
      </c>
      <c r="G6189">
        <v>-260.57569999999998</v>
      </c>
      <c r="H6189" s="1">
        <v>1.4283749999999901E-7</v>
      </c>
      <c r="I6189">
        <v>-62.657159999999998</v>
      </c>
      <c r="J6189">
        <v>-273.2482</v>
      </c>
      <c r="K6189">
        <v>1.1128549999999999</v>
      </c>
      <c r="L6189">
        <v>-62.483699999999999</v>
      </c>
      <c r="M6189">
        <v>0.98638309999999996</v>
      </c>
      <c r="N6189">
        <v>0</v>
      </c>
      <c r="O6189">
        <v>-0.164048</v>
      </c>
      <c r="P6189">
        <v>0.99967340000000005</v>
      </c>
      <c r="Q6189">
        <v>2.1462309999999998E-2</v>
      </c>
      <c r="R6189">
        <v>-1.388118E-2</v>
      </c>
      <c r="S6189">
        <v>3.0061040000000001</v>
      </c>
      <c r="T6189">
        <v>-0.26171359999999999</v>
      </c>
      <c r="U6189">
        <v>-4.4616700000000002E-2</v>
      </c>
      <c r="V6189">
        <v>-0.15053540000000001</v>
      </c>
      <c r="W6189">
        <v>3.1982990000000003E-2</v>
      </c>
      <c r="X6189">
        <v>0.9880871</v>
      </c>
      <c r="Y6189">
        <v>-0.14822589999999999</v>
      </c>
      <c r="Z6189">
        <v>2.064214E-2</v>
      </c>
      <c r="AA6189">
        <v>0.98873809999999995</v>
      </c>
      <c r="AB6189">
        <v>23</v>
      </c>
      <c r="AC6189">
        <v>12.672499999999999</v>
      </c>
      <c r="AD6189">
        <v>-1.1128548571625001</v>
      </c>
      <c r="AE6189">
        <v>-0.173459999999998</v>
      </c>
      <c r="AF6189">
        <v>-1.89333246074796</v>
      </c>
      <c r="AG6189">
        <v>-1.1128548571625001</v>
      </c>
      <c r="AH6189">
        <v>12.433386490478901</v>
      </c>
      <c r="AI6189">
        <v>95.056665696305402</v>
      </c>
      <c r="AJ6189">
        <v>98.658376020039</v>
      </c>
      <c r="AK6189">
        <v>12.6258565397226</v>
      </c>
      <c r="AL6189">
        <v>88.167197041138394</v>
      </c>
      <c r="AM6189">
        <v>98.662420948405099</v>
      </c>
      <c r="AN6189">
        <v>0.99999996774445399</v>
      </c>
    </row>
    <row r="6190" spans="1:40" x14ac:dyDescent="0.25">
      <c r="A6190" t="str">
        <f>"20190312151148114"</f>
        <v>20190312151148114</v>
      </c>
      <c r="B6190" t="str">
        <f>"1552374708107165"</f>
        <v>1552374708107165</v>
      </c>
      <c r="C6190" t="s">
        <v>40</v>
      </c>
      <c r="D6190">
        <v>5.1178489999999996</v>
      </c>
      <c r="E6190">
        <v>0.50213509999999995</v>
      </c>
      <c r="F6190" t="s">
        <v>92</v>
      </c>
      <c r="G6190">
        <v>-260.48070000000001</v>
      </c>
      <c r="H6190" s="1">
        <v>1.789002E-7</v>
      </c>
      <c r="I6190">
        <v>-62.674689999999998</v>
      </c>
      <c r="J6190">
        <v>-273.13389999999998</v>
      </c>
      <c r="K6190">
        <v>1.11276</v>
      </c>
      <c r="L6190">
        <v>-62.500269999999901</v>
      </c>
      <c r="M6190">
        <v>0.98674450000000002</v>
      </c>
      <c r="N6190">
        <v>0</v>
      </c>
      <c r="O6190">
        <v>-0.16186120000000001</v>
      </c>
      <c r="P6190">
        <v>0.9996834</v>
      </c>
      <c r="Q6190">
        <v>2.1120159999999999E-2</v>
      </c>
      <c r="R6190">
        <v>-1.368164E-2</v>
      </c>
      <c r="S6190">
        <v>3.0059809999999998</v>
      </c>
      <c r="T6190">
        <v>-0.26201149999999901</v>
      </c>
      <c r="U6190">
        <v>-4.4982910000000001E-2</v>
      </c>
      <c r="V6190">
        <v>-0.14853269999999999</v>
      </c>
      <c r="W6190">
        <v>3.1679880000000001E-2</v>
      </c>
      <c r="X6190">
        <v>0.9883999</v>
      </c>
      <c r="Y6190">
        <v>-0.14592669999999999</v>
      </c>
      <c r="Z6190">
        <v>2.037812E-2</v>
      </c>
      <c r="AA6190">
        <v>0.98908549999999995</v>
      </c>
      <c r="AB6190">
        <v>23</v>
      </c>
      <c r="AC6190">
        <v>12.653199999999901</v>
      </c>
      <c r="AD6190">
        <v>-1.1127598210998</v>
      </c>
      <c r="AE6190">
        <v>-0.17442000000001101</v>
      </c>
      <c r="AF6190">
        <v>-1.8616864863988301</v>
      </c>
      <c r="AG6190">
        <v>-1.1127598210998</v>
      </c>
      <c r="AH6190">
        <v>12.418533640429199</v>
      </c>
      <c r="AI6190">
        <v>95.064012613861706</v>
      </c>
      <c r="AJ6190">
        <v>98.525831178835404</v>
      </c>
      <c r="AK6190">
        <v>12.606509777554001</v>
      </c>
      <c r="AL6190">
        <v>88.184572774793693</v>
      </c>
      <c r="AM6190">
        <v>98.546225915035194</v>
      </c>
      <c r="AN6190">
        <v>0.99999997004305596</v>
      </c>
    </row>
    <row r="6191" spans="1:40" x14ac:dyDescent="0.25">
      <c r="A6191" t="str">
        <f>"20190312151148126"</f>
        <v>20190312151148126</v>
      </c>
      <c r="B6191" t="str">
        <f>"1552374708117902"</f>
        <v>1552374708117902</v>
      </c>
      <c r="C6191" t="s">
        <v>40</v>
      </c>
      <c r="D6191">
        <v>5.1229659999999999</v>
      </c>
      <c r="E6191">
        <v>0.50230859999999899</v>
      </c>
      <c r="F6191" t="s">
        <v>92</v>
      </c>
      <c r="G6191">
        <v>-260.45030000000003</v>
      </c>
      <c r="H6191" s="1">
        <v>1.8687840000000001E-7</v>
      </c>
      <c r="I6191">
        <v>-62.693750000000001</v>
      </c>
      <c r="J6191">
        <v>-273.01710000000003</v>
      </c>
      <c r="K6191">
        <v>1.1126609999999999</v>
      </c>
      <c r="L6191">
        <v>-62.516939999999998</v>
      </c>
      <c r="M6191">
        <v>0.98709100000000005</v>
      </c>
      <c r="N6191">
        <v>0</v>
      </c>
      <c r="O6191">
        <v>-0.1597355</v>
      </c>
      <c r="P6191">
        <v>0.99968120000000005</v>
      </c>
      <c r="Q6191">
        <v>2.137203E-2</v>
      </c>
      <c r="R6191">
        <v>-1.344658E-2</v>
      </c>
      <c r="S6191">
        <v>3.00589</v>
      </c>
      <c r="T6191">
        <v>-0.26371409999999901</v>
      </c>
      <c r="U6191">
        <v>-4.586792E-2</v>
      </c>
      <c r="V6191">
        <v>-0.146628799999999</v>
      </c>
      <c r="W6191">
        <v>3.1970119999999998E-2</v>
      </c>
      <c r="X6191">
        <v>0.98867479999999996</v>
      </c>
      <c r="Y6191">
        <v>-0.143506299999999</v>
      </c>
      <c r="Z6191">
        <v>2.022038E-2</v>
      </c>
      <c r="AA6191">
        <v>0.98944279999999996</v>
      </c>
      <c r="AB6191">
        <v>23</v>
      </c>
      <c r="AC6191">
        <v>12.566800000000001</v>
      </c>
      <c r="AD6191">
        <v>-1.1126608131216</v>
      </c>
      <c r="AE6191">
        <v>-0.176809999999996</v>
      </c>
      <c r="AF6191">
        <v>-1.81870657267314</v>
      </c>
      <c r="AG6191">
        <v>-1.1126608131216</v>
      </c>
      <c r="AH6191">
        <v>12.3369692652312</v>
      </c>
      <c r="AI6191">
        <v>95.098704312785202</v>
      </c>
      <c r="AJ6191">
        <v>98.386098006267105</v>
      </c>
      <c r="AK6191">
        <v>12.5198449804221</v>
      </c>
      <c r="AL6191">
        <v>88.167934831831403</v>
      </c>
      <c r="AM6191">
        <v>98.435954639458203</v>
      </c>
      <c r="AN6191">
        <v>0.99999997685864594</v>
      </c>
    </row>
    <row r="6192" spans="1:40" x14ac:dyDescent="0.25">
      <c r="A6192" t="str">
        <f>"20190312151148139"</f>
        <v>20190312151148139</v>
      </c>
      <c r="B6192" t="str">
        <f>"1552374708127663"</f>
        <v>1552374708127663</v>
      </c>
      <c r="C6192" t="s">
        <v>40</v>
      </c>
      <c r="D6192">
        <v>5.0978130000000004</v>
      </c>
      <c r="E6192">
        <v>0.50246349999999995</v>
      </c>
      <c r="F6192" t="s">
        <v>92</v>
      </c>
      <c r="G6192">
        <v>-260.31700000000001</v>
      </c>
      <c r="H6192" s="1">
        <v>2.3869049999999999E-7</v>
      </c>
      <c r="I6192">
        <v>-62.714010000000002</v>
      </c>
      <c r="J6192">
        <v>-272.89960000000002</v>
      </c>
      <c r="K6192">
        <v>1.112565</v>
      </c>
      <c r="L6192">
        <v>-62.533630000000002</v>
      </c>
      <c r="M6192">
        <v>0.98742940000000001</v>
      </c>
      <c r="N6192">
        <v>0</v>
      </c>
      <c r="O6192">
        <v>-0.15763089999999999</v>
      </c>
      <c r="P6192">
        <v>0.9996777</v>
      </c>
      <c r="Q6192">
        <v>2.1519699999999999E-2</v>
      </c>
      <c r="R6192">
        <v>-1.347689E-2</v>
      </c>
      <c r="S6192">
        <v>3.005951</v>
      </c>
      <c r="T6192">
        <v>-0.26335229999999998</v>
      </c>
      <c r="U6192">
        <v>-4.6661380000000002E-2</v>
      </c>
      <c r="V6192">
        <v>-0.14448349999999999</v>
      </c>
      <c r="W6192">
        <v>3.2156949999999997E-2</v>
      </c>
      <c r="X6192">
        <v>0.98898450000000004</v>
      </c>
      <c r="Y6192">
        <v>-0.1411558</v>
      </c>
      <c r="Z6192">
        <v>1.9907319999999999E-2</v>
      </c>
      <c r="AA6192">
        <v>0.98978719999999998</v>
      </c>
      <c r="AB6192">
        <v>23</v>
      </c>
      <c r="AC6192">
        <v>12.582599999999999</v>
      </c>
      <c r="AD6192">
        <v>-1.1125647613095</v>
      </c>
      <c r="AE6192">
        <v>-0.18037999999999199</v>
      </c>
      <c r="AF6192">
        <v>-1.79141367939916</v>
      </c>
      <c r="AG6192">
        <v>-1.1125647613095</v>
      </c>
      <c r="AH6192">
        <v>12.3571162816284</v>
      </c>
      <c r="AI6192">
        <v>95.091773172427907</v>
      </c>
      <c r="AJ6192">
        <v>98.248715242088494</v>
      </c>
      <c r="AK6192">
        <v>12.5357602927199</v>
      </c>
      <c r="AL6192">
        <v>88.157224697835304</v>
      </c>
      <c r="AM6192">
        <v>98.311700353906602</v>
      </c>
      <c r="AN6192">
        <v>0.99999994622289901</v>
      </c>
    </row>
    <row r="6193" spans="1:40" x14ac:dyDescent="0.25">
      <c r="A6193" t="str">
        <f>"20190312151148151"</f>
        <v>20190312151148151</v>
      </c>
      <c r="B6193" t="str">
        <f>"1552374708147183"</f>
        <v>1552374708147183</v>
      </c>
      <c r="C6193" t="s">
        <v>40</v>
      </c>
      <c r="D6193">
        <v>5.1533600000000002</v>
      </c>
      <c r="E6193">
        <v>0.50282059999999995</v>
      </c>
      <c r="F6193" t="s">
        <v>42</v>
      </c>
      <c r="G6193">
        <v>-260.20699999999999</v>
      </c>
      <c r="H6193" s="1">
        <v>2.7988479999999998E-7</v>
      </c>
      <c r="I6193">
        <v>-62.736519999999999</v>
      </c>
      <c r="J6193">
        <v>-272.76769999999999</v>
      </c>
      <c r="K6193">
        <v>1.1124590000000001</v>
      </c>
      <c r="L6193">
        <v>-62.552030000000002</v>
      </c>
      <c r="M6193">
        <v>0.98778069999999896</v>
      </c>
      <c r="N6193">
        <v>0</v>
      </c>
      <c r="O6193">
        <v>-0.15541559999999999</v>
      </c>
      <c r="P6193">
        <v>0.99967280000000003</v>
      </c>
      <c r="Q6193">
        <v>2.1819419999999999E-2</v>
      </c>
      <c r="R6193">
        <v>-1.335454E-2</v>
      </c>
      <c r="S6193">
        <v>3.0059809999999998</v>
      </c>
      <c r="T6193">
        <v>-0.26348890000000003</v>
      </c>
      <c r="U6193">
        <v>-4.8065190000000001E-2</v>
      </c>
      <c r="V6193">
        <v>-0.14237749999999999</v>
      </c>
      <c r="W6193">
        <v>3.249676E-2</v>
      </c>
      <c r="X6193">
        <v>0.98927889999999996</v>
      </c>
      <c r="Y6193">
        <v>-0.13849040000000001</v>
      </c>
      <c r="Z6193">
        <v>1.9608750000000001E-2</v>
      </c>
      <c r="AA6193">
        <v>0.99016959999999998</v>
      </c>
      <c r="AB6193">
        <v>23</v>
      </c>
      <c r="AC6193">
        <v>12.560699999999899</v>
      </c>
      <c r="AD6193">
        <v>-1.1124587201152001</v>
      </c>
      <c r="AE6193">
        <v>-0.18448999999999599</v>
      </c>
      <c r="AF6193">
        <v>-1.7562397395596601</v>
      </c>
      <c r="AG6193">
        <v>-1.1124587201152001</v>
      </c>
      <c r="AH6193">
        <v>12.3399566035371</v>
      </c>
      <c r="AI6193">
        <v>95.100223947260005</v>
      </c>
      <c r="AJ6193">
        <v>98.1000174829272</v>
      </c>
      <c r="AK6193">
        <v>12.513851181948199</v>
      </c>
      <c r="AL6193">
        <v>88.137745061625495</v>
      </c>
      <c r="AM6193">
        <v>98.189800013850601</v>
      </c>
      <c r="AN6193">
        <v>1.0000000669509701</v>
      </c>
    </row>
    <row r="6194" spans="1:40" x14ac:dyDescent="0.25">
      <c r="A6194" t="str">
        <f>"20190312151148163"</f>
        <v>20190312151148163</v>
      </c>
      <c r="B6194" t="str">
        <f>"1552374708157920"</f>
        <v>1552374708157920</v>
      </c>
      <c r="C6194" t="s">
        <v>40</v>
      </c>
      <c r="D6194">
        <v>5.1144059999999998</v>
      </c>
      <c r="E6194">
        <v>0.50264659999999906</v>
      </c>
      <c r="F6194" t="s">
        <v>93</v>
      </c>
      <c r="G6194">
        <v>-259.53489999999999</v>
      </c>
      <c r="H6194" s="1">
        <v>-3.5877840000000002E-6</v>
      </c>
      <c r="I6194">
        <v>-62.777070000000002</v>
      </c>
      <c r="J6194">
        <v>-272.64769999999999</v>
      </c>
      <c r="K6194">
        <v>1.112365</v>
      </c>
      <c r="L6194">
        <v>-62.568660000000001</v>
      </c>
      <c r="M6194">
        <v>0.98808750000000001</v>
      </c>
      <c r="N6194">
        <v>0</v>
      </c>
      <c r="O6194">
        <v>-0.153453799999999</v>
      </c>
      <c r="P6194">
        <v>0.99966719999999998</v>
      </c>
      <c r="Q6194">
        <v>2.1932900000000002E-2</v>
      </c>
      <c r="R6194">
        <v>-1.3594709999999999E-2</v>
      </c>
      <c r="S6194">
        <v>3.0058289999999999</v>
      </c>
      <c r="T6194">
        <v>-0.25269580000000003</v>
      </c>
      <c r="U6194">
        <v>-5.111694E-2</v>
      </c>
      <c r="V6194">
        <v>-0.14016679999999901</v>
      </c>
      <c r="W6194">
        <v>3.264736E-2</v>
      </c>
      <c r="X6194">
        <v>0.98958950000000001</v>
      </c>
      <c r="Y6194">
        <v>-0.1356243</v>
      </c>
      <c r="Z6194">
        <v>1.8525670000000001E-2</v>
      </c>
      <c r="AA6194">
        <v>0.99058710000000005</v>
      </c>
      <c r="AB6194">
        <v>23</v>
      </c>
      <c r="AC6194">
        <v>13.112799999999901</v>
      </c>
      <c r="AD6194">
        <v>-1.1123685877839999</v>
      </c>
      <c r="AE6194">
        <v>-0.20841000000000001</v>
      </c>
      <c r="AF6194">
        <v>-1.7935004032472299</v>
      </c>
      <c r="AG6194">
        <v>-1.1123685877839999</v>
      </c>
      <c r="AH6194">
        <v>12.8966677725158</v>
      </c>
      <c r="AI6194">
        <v>94.882937541174201</v>
      </c>
      <c r="AJ6194">
        <v>97.91717219185</v>
      </c>
      <c r="AK6194">
        <v>13.068207497824099</v>
      </c>
      <c r="AL6194">
        <v>88.129111574555097</v>
      </c>
      <c r="AM6194">
        <v>98.061824574165399</v>
      </c>
      <c r="AN6194">
        <v>0.99999998022372905</v>
      </c>
    </row>
    <row r="6195" spans="1:40" x14ac:dyDescent="0.25">
      <c r="A6195" t="str">
        <f>"20190312151148175"</f>
        <v>20190312151148175</v>
      </c>
      <c r="B6195" t="str">
        <f>"1552374708167678"</f>
        <v>1552374708167678</v>
      </c>
      <c r="C6195" t="s">
        <v>40</v>
      </c>
      <c r="D6195">
        <v>5.1382370000000002</v>
      </c>
      <c r="E6195">
        <v>0.5025404</v>
      </c>
      <c r="F6195" t="s">
        <v>93</v>
      </c>
      <c r="G6195">
        <v>-258.88069999999999</v>
      </c>
      <c r="H6195" s="1">
        <v>-3.368408E-6</v>
      </c>
      <c r="I6195">
        <v>-62.801400000000001</v>
      </c>
      <c r="J6195">
        <v>-272.51900000000001</v>
      </c>
      <c r="K6195">
        <v>1.112269</v>
      </c>
      <c r="L6195">
        <v>-62.586300000000001</v>
      </c>
      <c r="M6195">
        <v>0.98840090000000003</v>
      </c>
      <c r="N6195">
        <v>0</v>
      </c>
      <c r="O6195">
        <v>-0.15142269999999999</v>
      </c>
      <c r="P6195">
        <v>0.99967799999999996</v>
      </c>
      <c r="Q6195">
        <v>2.1473659999999999E-2</v>
      </c>
      <c r="R6195">
        <v>-1.3524059999999999E-2</v>
      </c>
      <c r="S6195">
        <v>3.005646</v>
      </c>
      <c r="T6195">
        <v>-0.2428545</v>
      </c>
      <c r="U6195">
        <v>-5.0811769999999999E-2</v>
      </c>
      <c r="V6195">
        <v>-0.1381937</v>
      </c>
      <c r="W6195">
        <v>3.2223670000000003E-2</v>
      </c>
      <c r="X6195">
        <v>0.98988089999999995</v>
      </c>
      <c r="Y6195">
        <v>-0.13377739999999999</v>
      </c>
      <c r="Z6195">
        <v>1.757094E-2</v>
      </c>
      <c r="AA6195">
        <v>0.99085559999999995</v>
      </c>
      <c r="AB6195">
        <v>23</v>
      </c>
      <c r="AC6195">
        <v>13.638299999999999</v>
      </c>
      <c r="AD6195">
        <v>-1.112272368408</v>
      </c>
      <c r="AE6195">
        <v>-0.21509999999999899</v>
      </c>
      <c r="AF6195">
        <v>-1.84042999983</v>
      </c>
      <c r="AG6195">
        <v>-1.112272368408</v>
      </c>
      <c r="AH6195">
        <v>13.4243240136057</v>
      </c>
      <c r="AI6195">
        <v>94.692726188051097</v>
      </c>
      <c r="AJ6195">
        <v>97.806394469164701</v>
      </c>
      <c r="AK6195">
        <v>13.595470114272199</v>
      </c>
      <c r="AL6195">
        <v>88.153400095652302</v>
      </c>
      <c r="AM6195">
        <v>97.947490591976006</v>
      </c>
      <c r="AN6195">
        <v>1.00000002990638</v>
      </c>
    </row>
    <row r="6196" spans="1:40" x14ac:dyDescent="0.25">
      <c r="A6196" t="str">
        <f>"20190312151148187"</f>
        <v>20190312151148187</v>
      </c>
      <c r="B6196" t="str">
        <f>"1552374708177438"</f>
        <v>1552374708177438</v>
      </c>
      <c r="C6196" t="s">
        <v>40</v>
      </c>
      <c r="D6196">
        <v>5.0757029999999999</v>
      </c>
      <c r="E6196">
        <v>0.50238309999999997</v>
      </c>
      <c r="F6196" t="s">
        <v>93</v>
      </c>
      <c r="G6196">
        <v>-258.34769999999997</v>
      </c>
      <c r="H6196" s="1">
        <v>-3.1898649999999998E-6</v>
      </c>
      <c r="I6196">
        <v>-62.82273</v>
      </c>
      <c r="J6196">
        <v>-272.40109999999999</v>
      </c>
      <c r="K6196">
        <v>1.112182</v>
      </c>
      <c r="L6196">
        <v>-62.602290000000004</v>
      </c>
      <c r="M6196">
        <v>0.9886703</v>
      </c>
      <c r="N6196">
        <v>0</v>
      </c>
      <c r="O6196">
        <v>-0.14965419999999999</v>
      </c>
      <c r="P6196">
        <v>0.99966880000000002</v>
      </c>
      <c r="Q6196">
        <v>2.131912E-2</v>
      </c>
      <c r="R6196">
        <v>-1.44157E-2</v>
      </c>
      <c r="S6196">
        <v>3.005341</v>
      </c>
      <c r="T6196">
        <v>-0.23588190000000001</v>
      </c>
      <c r="U6196">
        <v>-5.0140379999999998E-2</v>
      </c>
      <c r="V6196">
        <v>-0.1355316</v>
      </c>
      <c r="W6196">
        <v>3.2105479999999999E-2</v>
      </c>
      <c r="X6196">
        <v>0.99025269999999999</v>
      </c>
      <c r="Y6196">
        <v>-0.13228619999999999</v>
      </c>
      <c r="Z6196">
        <v>1.6874110000000001E-2</v>
      </c>
      <c r="AA6196">
        <v>0.9910679</v>
      </c>
      <c r="AB6196">
        <v>23</v>
      </c>
      <c r="AC6196">
        <v>14.0534</v>
      </c>
      <c r="AD6196">
        <v>-1.1121851898649999</v>
      </c>
      <c r="AE6196">
        <v>-0.22044000000000299</v>
      </c>
      <c r="AF6196">
        <v>-1.87360306334536</v>
      </c>
      <c r="AG6196">
        <v>-1.1121851898649999</v>
      </c>
      <c r="AH6196">
        <v>13.841437373517</v>
      </c>
      <c r="AI6196">
        <v>94.552610256117404</v>
      </c>
      <c r="AJ6196">
        <v>97.708810191008396</v>
      </c>
      <c r="AK6196">
        <v>14.011878278822101</v>
      </c>
      <c r="AL6196">
        <v>88.1601753216178</v>
      </c>
      <c r="AM6196">
        <v>97.793403458275904</v>
      </c>
      <c r="AN6196">
        <v>0.99999999315094001</v>
      </c>
    </row>
    <row r="6197" spans="1:40" x14ac:dyDescent="0.25">
      <c r="A6197" t="str">
        <f>"20190312151148198"</f>
        <v>20190312151148198</v>
      </c>
      <c r="B6197" t="str">
        <f>"1552374708187198"</f>
        <v>1552374708187198</v>
      </c>
      <c r="C6197" t="s">
        <v>40</v>
      </c>
      <c r="D6197">
        <v>5.1141920000000001</v>
      </c>
      <c r="E6197">
        <v>0.50216070000000002</v>
      </c>
      <c r="F6197" t="s">
        <v>93</v>
      </c>
      <c r="G6197">
        <v>-257.80689999999998</v>
      </c>
      <c r="H6197" s="1">
        <v>-3.0100739999999999E-6</v>
      </c>
      <c r="I6197">
        <v>-62.854399999999998</v>
      </c>
      <c r="J6197">
        <v>-272.27760000000001</v>
      </c>
      <c r="K6197">
        <v>1.1120950000000001</v>
      </c>
      <c r="L6197">
        <v>-62.618929999999999</v>
      </c>
      <c r="M6197">
        <v>0.98894360000000003</v>
      </c>
      <c r="N6197">
        <v>0</v>
      </c>
      <c r="O6197">
        <v>-0.14783769999999999</v>
      </c>
      <c r="P6197">
        <v>0.99966969999999999</v>
      </c>
      <c r="Q6197">
        <v>2.1007720000000001E-2</v>
      </c>
      <c r="R6197">
        <v>-1.4803810000000001E-2</v>
      </c>
      <c r="S6197">
        <v>3.0051269999999999</v>
      </c>
      <c r="T6197">
        <v>-0.22901250000000001</v>
      </c>
      <c r="U6197">
        <v>-5.1910400000000002E-2</v>
      </c>
      <c r="V6197">
        <v>-0.13331970000000001</v>
      </c>
      <c r="W6197">
        <v>3.1826670000000001E-2</v>
      </c>
      <c r="X6197">
        <v>0.9905619</v>
      </c>
      <c r="Y6197">
        <v>-0.12994169999999999</v>
      </c>
      <c r="Z6197">
        <v>1.615892E-2</v>
      </c>
      <c r="AA6197">
        <v>0.99138999999999999</v>
      </c>
      <c r="AB6197">
        <v>23</v>
      </c>
      <c r="AC6197">
        <v>14.470700000000001</v>
      </c>
      <c r="AD6197">
        <v>-1.1120980100740001</v>
      </c>
      <c r="AE6197">
        <v>-0.23546999999999199</v>
      </c>
      <c r="AF6197">
        <v>-1.8953852122919299</v>
      </c>
      <c r="AG6197">
        <v>-1.1120980100740001</v>
      </c>
      <c r="AH6197">
        <v>14.2622695305398</v>
      </c>
      <c r="AI6197">
        <v>94.419903580488295</v>
      </c>
      <c r="AJ6197">
        <v>97.569969551662396</v>
      </c>
      <c r="AK6197">
        <v>14.4305779249741</v>
      </c>
      <c r="AL6197">
        <v>88.176158099333904</v>
      </c>
      <c r="AM6197">
        <v>97.665374228773999</v>
      </c>
      <c r="AN6197">
        <v>0.99999997853149403</v>
      </c>
    </row>
    <row r="6198" spans="1:40" x14ac:dyDescent="0.25">
      <c r="A6198" t="str">
        <f>"20190312151148208"</f>
        <v>20190312151148208</v>
      </c>
      <c r="B6198" t="str">
        <f>"1552374708197934"</f>
        <v>1552374708197934</v>
      </c>
      <c r="C6198" t="s">
        <v>40</v>
      </c>
      <c r="D6198">
        <v>5.0902469999999997</v>
      </c>
      <c r="E6198">
        <v>0.50195900000000004</v>
      </c>
      <c r="F6198" t="s">
        <v>93</v>
      </c>
      <c r="G6198">
        <v>-257.1617</v>
      </c>
      <c r="H6198" s="1">
        <v>-2.7633459999999999E-6</v>
      </c>
      <c r="I6198">
        <v>-62.878830000000001</v>
      </c>
      <c r="J6198">
        <v>-272.17039999999997</v>
      </c>
      <c r="K6198">
        <v>1.112017</v>
      </c>
      <c r="L6198">
        <v>-62.633209999999998</v>
      </c>
      <c r="M6198">
        <v>0.98916389999999998</v>
      </c>
      <c r="N6198">
        <v>0</v>
      </c>
      <c r="O6198">
        <v>-0.1463576</v>
      </c>
      <c r="P6198">
        <v>0.99965440000000005</v>
      </c>
      <c r="Q6198">
        <v>2.0780630000000001E-2</v>
      </c>
      <c r="R6198">
        <v>-1.6093679999999999E-2</v>
      </c>
      <c r="S6198">
        <v>3.004883</v>
      </c>
      <c r="T6198">
        <v>-0.2210733</v>
      </c>
      <c r="U6198">
        <v>-5.1666259999999999E-2</v>
      </c>
      <c r="V6198">
        <v>-0.13055159999999999</v>
      </c>
      <c r="W6198">
        <v>3.1632689999999998E-2</v>
      </c>
      <c r="X6198">
        <v>0.99093679999999995</v>
      </c>
      <c r="Y6198">
        <v>-0.12859909999999999</v>
      </c>
      <c r="Z6198">
        <v>1.544448E-2</v>
      </c>
      <c r="AA6198">
        <v>0.99157640000000002</v>
      </c>
      <c r="AB6198">
        <v>23</v>
      </c>
      <c r="AC6198">
        <v>15.0086999999999</v>
      </c>
      <c r="AD6198">
        <v>-1.1120197633460001</v>
      </c>
      <c r="AE6198">
        <v>-0.245620000000009</v>
      </c>
      <c r="AF6198">
        <v>-1.9431458182286001</v>
      </c>
      <c r="AG6198">
        <v>-1.1120197633460001</v>
      </c>
      <c r="AH6198">
        <v>14.801777761828401</v>
      </c>
      <c r="AI6198">
        <v>94.259999484559899</v>
      </c>
      <c r="AJ6198">
        <v>97.478899945560102</v>
      </c>
      <c r="AK6198">
        <v>14.9701378930032</v>
      </c>
      <c r="AL6198">
        <v>88.187278053444203</v>
      </c>
      <c r="AM6198">
        <v>97.505245516930103</v>
      </c>
      <c r="AN6198">
        <v>1.0000000444667101</v>
      </c>
    </row>
    <row r="6199" spans="1:40" x14ac:dyDescent="0.25">
      <c r="A6199" t="str">
        <f>"20190312151148219"</f>
        <v>20190312151148219</v>
      </c>
      <c r="B6199" t="str">
        <f>"1552374708207693"</f>
        <v>1552374708207693</v>
      </c>
      <c r="C6199" t="s">
        <v>40</v>
      </c>
      <c r="D6199">
        <v>5.0858239999999997</v>
      </c>
      <c r="E6199">
        <v>0.50172109999999903</v>
      </c>
      <c r="F6199" t="s">
        <v>93</v>
      </c>
      <c r="G6199">
        <v>-256.62299999999999</v>
      </c>
      <c r="H6199" s="1">
        <v>-2.5399649999999999E-6</v>
      </c>
      <c r="I6199">
        <v>-62.91366</v>
      </c>
      <c r="J6199">
        <v>-272.06790000000001</v>
      </c>
      <c r="K6199">
        <v>1.111947</v>
      </c>
      <c r="L6199">
        <v>-62.646790000000003</v>
      </c>
      <c r="M6199">
        <v>0.98937050000000004</v>
      </c>
      <c r="N6199">
        <v>0</v>
      </c>
      <c r="O6199">
        <v>-0.14495549999999999</v>
      </c>
      <c r="P6199">
        <v>0.99962890000000004</v>
      </c>
      <c r="Q6199">
        <v>2.0880860000000001E-2</v>
      </c>
      <c r="R6199">
        <v>-1.750111E-2</v>
      </c>
      <c r="S6199">
        <v>3.0046390000000001</v>
      </c>
      <c r="T6199">
        <v>-0.21490429999999999</v>
      </c>
      <c r="U6199">
        <v>-5.4199219999999999E-2</v>
      </c>
      <c r="V6199">
        <v>-0.12774530000000001</v>
      </c>
      <c r="W6199">
        <v>3.1764229999999997E-2</v>
      </c>
      <c r="X6199">
        <v>0.99129829999999997</v>
      </c>
      <c r="Y6199">
        <v>-0.12640599999999999</v>
      </c>
      <c r="Z6199">
        <v>1.4837960000000001E-2</v>
      </c>
      <c r="AA6199">
        <v>0.99186759999999996</v>
      </c>
      <c r="AB6199">
        <v>23</v>
      </c>
      <c r="AC6199">
        <v>15.444900000000001</v>
      </c>
      <c r="AD6199">
        <v>-1.1119495399649999</v>
      </c>
      <c r="AE6199">
        <v>-0.266869999999997</v>
      </c>
      <c r="AF6199">
        <v>-1.9647414834063299</v>
      </c>
      <c r="AG6199">
        <v>-1.1119495399649999</v>
      </c>
      <c r="AH6199">
        <v>15.241462245594301</v>
      </c>
      <c r="AI6199">
        <v>94.138530388977102</v>
      </c>
      <c r="AJ6199">
        <v>97.345358143445296</v>
      </c>
      <c r="AK6199">
        <v>15.407751693868899</v>
      </c>
      <c r="AL6199">
        <v>88.179737631056895</v>
      </c>
      <c r="AM6199">
        <v>97.343046420575106</v>
      </c>
      <c r="AN6199">
        <v>1.00000007378123</v>
      </c>
    </row>
    <row r="6200" spans="1:40" x14ac:dyDescent="0.25">
      <c r="A6200" t="str">
        <f>"20190312151148228"</f>
        <v>20190312151148228</v>
      </c>
      <c r="B6200" t="str">
        <f>"1552374708217454"</f>
        <v>1552374708217454</v>
      </c>
      <c r="C6200" t="s">
        <v>40</v>
      </c>
      <c r="D6200">
        <v>5.177899</v>
      </c>
      <c r="E6200">
        <v>0.50130370000000002</v>
      </c>
      <c r="F6200" t="s">
        <v>93</v>
      </c>
      <c r="G6200">
        <v>-256.00130000000001</v>
      </c>
      <c r="H6200" s="1">
        <v>-2.2814350000000002E-6</v>
      </c>
      <c r="I6200">
        <v>-62.950339999999997</v>
      </c>
      <c r="J6200">
        <v>-271.96609999999998</v>
      </c>
      <c r="K6200">
        <v>1.1118809999999999</v>
      </c>
      <c r="L6200">
        <v>-62.660159999999998</v>
      </c>
      <c r="M6200">
        <v>0.98956259999999996</v>
      </c>
      <c r="N6200">
        <v>0</v>
      </c>
      <c r="O6200">
        <v>-0.14363919999999999</v>
      </c>
      <c r="P6200">
        <v>0.99959659999999995</v>
      </c>
      <c r="Q6200">
        <v>2.128304E-2</v>
      </c>
      <c r="R6200">
        <v>-1.8811689999999999E-2</v>
      </c>
      <c r="S6200">
        <v>3.0044559999999998</v>
      </c>
      <c r="T6200">
        <v>-0.20793429999999999</v>
      </c>
      <c r="U6200">
        <v>-5.6762699999999902E-2</v>
      </c>
      <c r="V6200">
        <v>-0.12512110000000001</v>
      </c>
      <c r="W6200">
        <v>3.2194599999999997E-2</v>
      </c>
      <c r="X6200">
        <v>0.99161900000000003</v>
      </c>
      <c r="Y6200">
        <v>-0.1242912</v>
      </c>
      <c r="Z6200">
        <v>1.41952E-2</v>
      </c>
      <c r="AA6200">
        <v>0.99214420000000003</v>
      </c>
      <c r="AB6200">
        <v>23</v>
      </c>
      <c r="AC6200">
        <v>15.964799999999901</v>
      </c>
      <c r="AD6200">
        <v>-1.1118832814349999</v>
      </c>
      <c r="AE6200">
        <v>-0.29018000000000599</v>
      </c>
      <c r="AF6200">
        <v>-1.9964730772629999</v>
      </c>
      <c r="AG6200">
        <v>-1.1118832814349999</v>
      </c>
      <c r="AH6200">
        <v>15.764467588392201</v>
      </c>
      <c r="AI6200">
        <v>94.002580947000098</v>
      </c>
      <c r="AJ6200">
        <v>97.217734912605295</v>
      </c>
      <c r="AK6200">
        <v>15.929238133860601</v>
      </c>
      <c r="AL6200">
        <v>88.155066514667695</v>
      </c>
      <c r="AM6200">
        <v>97.191496738473504</v>
      </c>
      <c r="AN6200">
        <v>1.0000000115476799</v>
      </c>
    </row>
    <row r="6201" spans="1:40" x14ac:dyDescent="0.25">
      <c r="A6201" t="str">
        <f>"20190312151148238"</f>
        <v>20190312151148238</v>
      </c>
      <c r="B6201" t="str">
        <f>"1552374708227213"</f>
        <v>1552374708227213</v>
      </c>
      <c r="C6201" t="s">
        <v>40</v>
      </c>
      <c r="D6201">
        <v>5.0927610000000003</v>
      </c>
      <c r="E6201">
        <v>0.50121369999999998</v>
      </c>
      <c r="F6201" t="s">
        <v>93</v>
      </c>
      <c r="G6201">
        <v>-255.44370000000001</v>
      </c>
      <c r="H6201" s="1">
        <v>-2.0480510000000001E-6</v>
      </c>
      <c r="I6201">
        <v>-62.976509999999998</v>
      </c>
      <c r="J6201">
        <v>-271.86149999999998</v>
      </c>
      <c r="K6201">
        <v>1.1118110000000001</v>
      </c>
      <c r="L6201">
        <v>-62.673830000000002</v>
      </c>
      <c r="M6201">
        <v>0.98975630000000003</v>
      </c>
      <c r="N6201">
        <v>0</v>
      </c>
      <c r="O6201">
        <v>-0.142298799999999</v>
      </c>
      <c r="P6201">
        <v>0.99958190000000002</v>
      </c>
      <c r="Q6201">
        <v>2.118743E-2</v>
      </c>
      <c r="R6201">
        <v>-1.968102E-2</v>
      </c>
      <c r="S6201">
        <v>3.0044559999999998</v>
      </c>
      <c r="T6201">
        <v>-0.20218659999999999</v>
      </c>
      <c r="U6201">
        <v>-5.7525630000000001E-2</v>
      </c>
      <c r="V6201">
        <v>-0.12290909999999999</v>
      </c>
      <c r="W6201">
        <v>3.212454E-2</v>
      </c>
      <c r="X6201">
        <v>0.9918979</v>
      </c>
      <c r="Y6201">
        <v>-0.1227366</v>
      </c>
      <c r="Z6201">
        <v>1.366206E-2</v>
      </c>
      <c r="AA6201">
        <v>0.99234529999999999</v>
      </c>
      <c r="AB6201">
        <v>23</v>
      </c>
      <c r="AC6201">
        <v>16.4177999999999</v>
      </c>
      <c r="AD6201">
        <v>-1.111813048051</v>
      </c>
      <c r="AE6201">
        <v>-0.30267999999999501</v>
      </c>
      <c r="AF6201">
        <v>-2.02749485770119</v>
      </c>
      <c r="AG6201">
        <v>-1.111813048051</v>
      </c>
      <c r="AH6201">
        <v>16.219422851839798</v>
      </c>
      <c r="AI6201">
        <v>93.891201003058299</v>
      </c>
      <c r="AJ6201">
        <v>97.125249392056702</v>
      </c>
      <c r="AK6201">
        <v>16.383422758953799</v>
      </c>
      <c r="AL6201">
        <v>88.159082783930302</v>
      </c>
      <c r="AM6201">
        <v>97.063688975032704</v>
      </c>
      <c r="AN6201">
        <v>1.00000003847871</v>
      </c>
    </row>
    <row r="6202" spans="1:40" x14ac:dyDescent="0.25">
      <c r="A6202" t="str">
        <f>"20190312151148248"</f>
        <v>20190312151148248</v>
      </c>
      <c r="B6202" t="str">
        <f>"1552374708237950"</f>
        <v>1552374708237950</v>
      </c>
      <c r="C6202" t="s">
        <v>40</v>
      </c>
      <c r="D6202">
        <v>5.1344390000000004</v>
      </c>
      <c r="E6202">
        <v>0.50110120000000002</v>
      </c>
      <c r="F6202" t="s">
        <v>93</v>
      </c>
      <c r="G6202">
        <v>-254.9477</v>
      </c>
      <c r="H6202" s="1">
        <v>-1.842631E-6</v>
      </c>
      <c r="I6202">
        <v>-63.009540000000001</v>
      </c>
      <c r="J6202">
        <v>-271.7577</v>
      </c>
      <c r="K6202">
        <v>1.11175</v>
      </c>
      <c r="L6202">
        <v>-62.687289999999997</v>
      </c>
      <c r="M6202">
        <v>0.98993620000000004</v>
      </c>
      <c r="N6202">
        <v>0</v>
      </c>
      <c r="O6202">
        <v>-0.1410421</v>
      </c>
      <c r="P6202">
        <v>0.99955260000000001</v>
      </c>
      <c r="Q6202">
        <v>2.1479379999999999E-2</v>
      </c>
      <c r="R6202">
        <v>-2.0814570000000001E-2</v>
      </c>
      <c r="S6202">
        <v>3.0042719999999998</v>
      </c>
      <c r="T6202">
        <v>-0.19748389999999999</v>
      </c>
      <c r="U6202">
        <v>-5.963135E-2</v>
      </c>
      <c r="V6202">
        <v>-0.1205199</v>
      </c>
      <c r="W6202">
        <v>3.244052E-2</v>
      </c>
      <c r="X6202">
        <v>0.99218070000000003</v>
      </c>
      <c r="Y6202">
        <v>-0.1208142</v>
      </c>
      <c r="Z6202">
        <v>1.3200659999999999E-2</v>
      </c>
      <c r="AA6202">
        <v>0.99258740000000001</v>
      </c>
      <c r="AB6202">
        <v>23</v>
      </c>
      <c r="AC6202">
        <v>16.809999999999999</v>
      </c>
      <c r="AD6202">
        <v>-1.111751842631</v>
      </c>
      <c r="AE6202">
        <v>-0.32224999999999598</v>
      </c>
      <c r="AF6202">
        <v>-2.0431143535386802</v>
      </c>
      <c r="AG6202">
        <v>-1.111751842631</v>
      </c>
      <c r="AH6202">
        <v>16.6147453565926</v>
      </c>
      <c r="AI6202">
        <v>93.799622612094197</v>
      </c>
      <c r="AJ6202">
        <v>97.010463841060698</v>
      </c>
      <c r="AK6202">
        <v>16.776771789758801</v>
      </c>
      <c r="AL6202">
        <v>88.140968928222705</v>
      </c>
      <c r="AM6202">
        <v>96.925771612264597</v>
      </c>
      <c r="AN6202">
        <v>0.99999998754318498</v>
      </c>
    </row>
    <row r="6203" spans="1:40" x14ac:dyDescent="0.25">
      <c r="A6203" t="str">
        <f>"20190312151148260"</f>
        <v>20190312151148260</v>
      </c>
      <c r="B6203" t="str">
        <f>"1552374708257470"</f>
        <v>1552374708257470</v>
      </c>
      <c r="C6203" t="s">
        <v>40</v>
      </c>
      <c r="D6203">
        <v>5.1220749999999997</v>
      </c>
      <c r="E6203">
        <v>0.50102729999999995</v>
      </c>
      <c r="F6203" t="s">
        <v>93</v>
      </c>
      <c r="G6203">
        <v>-254.3518</v>
      </c>
      <c r="H6203" s="1">
        <v>-1.5954669999999999E-6</v>
      </c>
      <c r="I6203">
        <v>-63.047820000000002</v>
      </c>
      <c r="J6203">
        <v>-271.64319999999998</v>
      </c>
      <c r="K6203">
        <v>1.1116839999999999</v>
      </c>
      <c r="L6203">
        <v>-62.702060000000003</v>
      </c>
      <c r="M6203">
        <v>0.99013010000000001</v>
      </c>
      <c r="N6203">
        <v>0</v>
      </c>
      <c r="O6203">
        <v>-0.13967550000000001</v>
      </c>
      <c r="P6203">
        <v>0.99953069999999999</v>
      </c>
      <c r="Q6203">
        <v>2.176674E-2</v>
      </c>
      <c r="R6203">
        <v>-2.1561509999999999E-2</v>
      </c>
      <c r="S6203">
        <v>3.004181</v>
      </c>
      <c r="T6203">
        <v>-0.19188269999999999</v>
      </c>
      <c r="U6203">
        <v>-6.2225339999999997E-2</v>
      </c>
      <c r="V6203">
        <v>-0.1184032</v>
      </c>
      <c r="W6203">
        <v>3.2751250000000003E-2</v>
      </c>
      <c r="X6203">
        <v>0.99242529999999995</v>
      </c>
      <c r="Y6203">
        <v>-0.1186251</v>
      </c>
      <c r="Z6203">
        <v>1.2670860000000001E-2</v>
      </c>
      <c r="AA6203">
        <v>0.99285829999999997</v>
      </c>
      <c r="AB6203">
        <v>23</v>
      </c>
      <c r="AC6203">
        <v>17.2913999999999</v>
      </c>
      <c r="AD6203">
        <v>-1.111685595467</v>
      </c>
      <c r="AE6203">
        <v>-0.34575999999999801</v>
      </c>
      <c r="AF6203">
        <v>-2.06444586419682</v>
      </c>
      <c r="AG6203">
        <v>-1.111685595467</v>
      </c>
      <c r="AH6203">
        <v>17.099522566280999</v>
      </c>
      <c r="AI6203">
        <v>93.692974726610103</v>
      </c>
      <c r="AJ6203">
        <v>96.884069739634</v>
      </c>
      <c r="AK6203">
        <v>17.259532252761701</v>
      </c>
      <c r="AL6203">
        <v>88.123155910169899</v>
      </c>
      <c r="AM6203">
        <v>96.8036230302326</v>
      </c>
      <c r="AN6203">
        <v>0.99999996911344502</v>
      </c>
    </row>
    <row r="6204" spans="1:40" x14ac:dyDescent="0.25">
      <c r="A6204" t="str">
        <f>"20190312151148271"</f>
        <v>20190312151148271</v>
      </c>
      <c r="B6204" t="str">
        <f>"1552374708267230"</f>
        <v>1552374708267230</v>
      </c>
      <c r="C6204" t="s">
        <v>40</v>
      </c>
      <c r="D6204">
        <v>5.0840809999999896</v>
      </c>
      <c r="E6204">
        <v>0.50093240000000006</v>
      </c>
      <c r="F6204" t="s">
        <v>93</v>
      </c>
      <c r="G6204">
        <v>-253.27780000000001</v>
      </c>
      <c r="H6204" s="1">
        <v>-1.145058E-6</v>
      </c>
      <c r="I6204">
        <v>-63.094230000000003</v>
      </c>
      <c r="J6204">
        <v>-271.52629999999999</v>
      </c>
      <c r="K6204">
        <v>1.1116200000000001</v>
      </c>
      <c r="L6204">
        <v>-62.71698</v>
      </c>
      <c r="M6204">
        <v>0.99031619999999998</v>
      </c>
      <c r="N6204">
        <v>0</v>
      </c>
      <c r="O6204">
        <v>-0.13835</v>
      </c>
      <c r="P6204">
        <v>0.99952569999999996</v>
      </c>
      <c r="Q6204">
        <v>2.1561859999999999E-2</v>
      </c>
      <c r="R6204">
        <v>-2.1996419999999999E-2</v>
      </c>
      <c r="S6204">
        <v>3.0039980000000002</v>
      </c>
      <c r="T6204">
        <v>-0.18183669999999999</v>
      </c>
      <c r="U6204">
        <v>-6.4147949999999995E-2</v>
      </c>
      <c r="V6204">
        <v>-0.1166372</v>
      </c>
      <c r="W6204">
        <v>3.2566339999999999E-2</v>
      </c>
      <c r="X6204">
        <v>0.99264050000000004</v>
      </c>
      <c r="Y6204">
        <v>-0.11671860000000001</v>
      </c>
      <c r="Z6204">
        <v>1.187213E-2</v>
      </c>
      <c r="AA6204">
        <v>0.99309409999999998</v>
      </c>
      <c r="AB6204">
        <v>23</v>
      </c>
      <c r="AC6204">
        <v>18.2484999999999</v>
      </c>
      <c r="AD6204">
        <v>-1.111621145058</v>
      </c>
      <c r="AE6204">
        <v>-0.37724999999999598</v>
      </c>
      <c r="AF6204">
        <v>-2.1432766374603398</v>
      </c>
      <c r="AG6204">
        <v>-1.111621145058</v>
      </c>
      <c r="AH6204">
        <v>18.058203521518699</v>
      </c>
      <c r="AI6204">
        <v>93.498060268296896</v>
      </c>
      <c r="AJ6204">
        <v>96.768608747166496</v>
      </c>
      <c r="AK6204">
        <v>18.218892686972399</v>
      </c>
      <c r="AL6204">
        <v>88.133756152835701</v>
      </c>
      <c r="AM6204">
        <v>96.701636368844902</v>
      </c>
      <c r="AN6204">
        <v>0.99999998258254197</v>
      </c>
    </row>
    <row r="6205" spans="1:40" x14ac:dyDescent="0.25">
      <c r="A6205" t="str">
        <f>"20190312151148283"</f>
        <v>20190312151148283</v>
      </c>
      <c r="B6205" t="str">
        <f>"1552374708277965"</f>
        <v>1552374708277965</v>
      </c>
      <c r="C6205" t="s">
        <v>40</v>
      </c>
      <c r="D6205">
        <v>5.1080880000000004</v>
      </c>
      <c r="E6205">
        <v>0.50087579999999998</v>
      </c>
      <c r="F6205" t="s">
        <v>93</v>
      </c>
      <c r="G6205">
        <v>-252.7921</v>
      </c>
      <c r="H6205" s="1">
        <v>-9.4264779999999995E-7</v>
      </c>
      <c r="I6205">
        <v>-63.121049999999997</v>
      </c>
      <c r="J6205">
        <v>-271.39789999999999</v>
      </c>
      <c r="K6205">
        <v>1.111551</v>
      </c>
      <c r="L6205">
        <v>-62.733280000000001</v>
      </c>
      <c r="M6205">
        <v>0.99051210000000001</v>
      </c>
      <c r="N6205">
        <v>0</v>
      </c>
      <c r="O6205">
        <v>-0.1369416</v>
      </c>
      <c r="P6205">
        <v>0.99950360000000005</v>
      </c>
      <c r="Q6205">
        <v>2.2003410000000001E-2</v>
      </c>
      <c r="R6205">
        <v>-2.254768E-2</v>
      </c>
      <c r="S6205">
        <v>3.0038450000000001</v>
      </c>
      <c r="T6205">
        <v>-0.17823720000000001</v>
      </c>
      <c r="U6205">
        <v>-6.4788819999999997E-2</v>
      </c>
      <c r="V6205">
        <v>-0.1146718</v>
      </c>
      <c r="W6205">
        <v>3.3029089999999997E-2</v>
      </c>
      <c r="X6205">
        <v>0.99285420000000002</v>
      </c>
      <c r="Y6205">
        <v>-0.1151167</v>
      </c>
      <c r="Z6205">
        <v>1.1507750000000001E-2</v>
      </c>
      <c r="AA6205">
        <v>0.99328530000000004</v>
      </c>
      <c r="AB6205">
        <v>23</v>
      </c>
      <c r="AC6205">
        <v>18.605799999999899</v>
      </c>
      <c r="AD6205">
        <v>-1.1115519426478</v>
      </c>
      <c r="AE6205">
        <v>-0.38776999999998901</v>
      </c>
      <c r="AF6205">
        <v>-2.1562681440806002</v>
      </c>
      <c r="AG6205">
        <v>-1.1115519426478</v>
      </c>
      <c r="AH6205">
        <v>18.417891643713499</v>
      </c>
      <c r="AI6205">
        <v>93.430338888898902</v>
      </c>
      <c r="AJ6205">
        <v>96.677485561272604</v>
      </c>
      <c r="AK6205">
        <v>18.576968876271302</v>
      </c>
      <c r="AL6205">
        <v>88.107228296104495</v>
      </c>
      <c r="AM6205">
        <v>96.588305882085507</v>
      </c>
      <c r="AN6205">
        <v>1.0000000024795499</v>
      </c>
    </row>
    <row r="6206" spans="1:40" x14ac:dyDescent="0.25">
      <c r="A6206" t="str">
        <f>"20190312151148293"</f>
        <v>20190312151148293</v>
      </c>
      <c r="B6206" t="str">
        <f>"1552374708287725"</f>
        <v>1552374708287725</v>
      </c>
      <c r="C6206" t="s">
        <v>40</v>
      </c>
      <c r="D6206">
        <v>5.1198649999999999</v>
      </c>
      <c r="E6206">
        <v>0.50084910000000005</v>
      </c>
      <c r="F6206" t="s">
        <v>93</v>
      </c>
      <c r="G6206">
        <v>-252.1996</v>
      </c>
      <c r="H6206" s="1">
        <v>-6.9605430000000002E-7</v>
      </c>
      <c r="I6206">
        <v>-63.155160000000002</v>
      </c>
      <c r="J6206">
        <v>-271.29090000000002</v>
      </c>
      <c r="K6206">
        <v>1.1114980000000001</v>
      </c>
      <c r="L6206">
        <v>-62.7468</v>
      </c>
      <c r="M6206">
        <v>0.99066849999999995</v>
      </c>
      <c r="N6206">
        <v>0</v>
      </c>
      <c r="O6206">
        <v>-0.13580519999999999</v>
      </c>
      <c r="P6206">
        <v>0.99949089999999996</v>
      </c>
      <c r="Q6206">
        <v>2.1932569999999998E-2</v>
      </c>
      <c r="R6206">
        <v>-2.3176479999999999E-2</v>
      </c>
      <c r="S6206">
        <v>3.0038450000000001</v>
      </c>
      <c r="T6206">
        <v>-0.17391779999999901</v>
      </c>
      <c r="U6206">
        <v>-6.6009520000000002E-2</v>
      </c>
      <c r="V6206">
        <v>-0.11290310000000001</v>
      </c>
      <c r="W6206">
        <v>3.2975730000000002E-2</v>
      </c>
      <c r="X6206">
        <v>0.99305869999999996</v>
      </c>
      <c r="Y6206">
        <v>-0.1135992</v>
      </c>
      <c r="Z6206">
        <v>1.1120140000000001E-2</v>
      </c>
      <c r="AA6206">
        <v>0.99346440000000003</v>
      </c>
      <c r="AB6206">
        <v>23</v>
      </c>
      <c r="AC6206">
        <v>19.0913</v>
      </c>
      <c r="AD6206">
        <v>-1.1114986960543001</v>
      </c>
      <c r="AE6206">
        <v>-0.40835999999999401</v>
      </c>
      <c r="AF6206">
        <v>-2.1809048229421801</v>
      </c>
      <c r="AG6206">
        <v>-1.1114986960543001</v>
      </c>
      <c r="AH6206">
        <v>18.9058136452452</v>
      </c>
      <c r="AI6206">
        <v>93.342509188619601</v>
      </c>
      <c r="AJ6206">
        <v>96.580343949533798</v>
      </c>
      <c r="AK6206">
        <v>19.063618879604299</v>
      </c>
      <c r="AL6206">
        <v>88.1102873459606</v>
      </c>
      <c r="AM6206">
        <v>96.486236158130495</v>
      </c>
      <c r="AN6206">
        <v>1.00000004520216</v>
      </c>
    </row>
    <row r="6207" spans="1:40" x14ac:dyDescent="0.25">
      <c r="A6207" t="str">
        <f>"20190312151148305"</f>
        <v>20190312151148305</v>
      </c>
      <c r="B6207" t="str">
        <f>"1552374708297486"</f>
        <v>1552374708297486</v>
      </c>
      <c r="C6207" t="s">
        <v>40</v>
      </c>
      <c r="D6207">
        <v>5.1358230000000002</v>
      </c>
      <c r="E6207">
        <v>0.50079319999999905</v>
      </c>
      <c r="F6207" t="s">
        <v>93</v>
      </c>
      <c r="G6207">
        <v>-251.79329999999999</v>
      </c>
      <c r="H6207" s="1">
        <v>-5.2867469999999898E-7</v>
      </c>
      <c r="I6207">
        <v>-63.186169999999997</v>
      </c>
      <c r="J6207">
        <v>-271.17590000000001</v>
      </c>
      <c r="K6207">
        <v>1.111443</v>
      </c>
      <c r="L6207">
        <v>-62.7611699999999</v>
      </c>
      <c r="M6207">
        <v>0.99082769999999998</v>
      </c>
      <c r="N6207">
        <v>0</v>
      </c>
      <c r="O6207">
        <v>-0.13463939999999999</v>
      </c>
      <c r="P6207">
        <v>0.99946290000000004</v>
      </c>
      <c r="Q6207">
        <v>2.2438909999999999E-2</v>
      </c>
      <c r="R6207">
        <v>-2.388564E-2</v>
      </c>
      <c r="S6207">
        <v>3.0037229999999999</v>
      </c>
      <c r="T6207">
        <v>-0.17123369999999999</v>
      </c>
      <c r="U6207">
        <v>-6.7687990000000003E-2</v>
      </c>
      <c r="V6207">
        <v>-0.1110249</v>
      </c>
      <c r="W6207">
        <v>3.3499950000000001E-2</v>
      </c>
      <c r="X6207">
        <v>0.99325289999999999</v>
      </c>
      <c r="Y6207">
        <v>-0.11189159999999999</v>
      </c>
      <c r="Z6207">
        <v>1.083458E-2</v>
      </c>
      <c r="AA6207">
        <v>0.99366129999999997</v>
      </c>
      <c r="AB6207">
        <v>23</v>
      </c>
      <c r="AC6207">
        <v>19.3826</v>
      </c>
      <c r="AD6207">
        <v>-1.1114435286747</v>
      </c>
      <c r="AE6207">
        <v>-0.42500000000000399</v>
      </c>
      <c r="AF6207">
        <v>-2.1815353346378701</v>
      </c>
      <c r="AG6207">
        <v>-1.1114435286747</v>
      </c>
      <c r="AH6207">
        <v>19.200214178369599</v>
      </c>
      <c r="AI6207">
        <v>93.291852700097905</v>
      </c>
      <c r="AJ6207">
        <v>96.482168698280901</v>
      </c>
      <c r="AK6207">
        <v>19.3556872166548</v>
      </c>
      <c r="AL6207">
        <v>88.080235156413096</v>
      </c>
      <c r="AM6207">
        <v>96.3779943017569</v>
      </c>
      <c r="AN6207">
        <v>1.00000004921421</v>
      </c>
    </row>
    <row r="6208" spans="1:40" x14ac:dyDescent="0.25">
      <c r="A6208" t="str">
        <f>"20190312151148316"</f>
        <v>20190312151148316</v>
      </c>
      <c r="B6208" t="str">
        <f>"1552374708307246"</f>
        <v>1552374708307246</v>
      </c>
      <c r="C6208" t="s">
        <v>40</v>
      </c>
      <c r="D6208">
        <v>5.1382490000000001</v>
      </c>
      <c r="E6208">
        <v>0.50071790000000005</v>
      </c>
      <c r="F6208" t="s">
        <v>93</v>
      </c>
      <c r="G6208">
        <v>-251.16849999999999</v>
      </c>
      <c r="H6208" s="1">
        <v>-2.6893439999999999E-7</v>
      </c>
      <c r="I6208">
        <v>-63.22363</v>
      </c>
      <c r="J6208">
        <v>-271.05869999999999</v>
      </c>
      <c r="K6208">
        <v>1.1113900000000001</v>
      </c>
      <c r="L6208">
        <v>-62.775790000000001</v>
      </c>
      <c r="M6208">
        <v>0.99098529999999996</v>
      </c>
      <c r="N6208">
        <v>0</v>
      </c>
      <c r="O6208">
        <v>-0.13347590000000001</v>
      </c>
      <c r="P6208">
        <v>0.9994305</v>
      </c>
      <c r="Q6208">
        <v>2.3064230000000002E-2</v>
      </c>
      <c r="R6208">
        <v>-2.4635830000000001E-2</v>
      </c>
      <c r="S6208">
        <v>3.0036930000000002</v>
      </c>
      <c r="T6208">
        <v>-0.16685949999999999</v>
      </c>
      <c r="U6208">
        <v>-6.9427489999999994E-2</v>
      </c>
      <c r="V6208">
        <v>-0.10910789999999999</v>
      </c>
      <c r="W6208">
        <v>3.4142359999999997E-2</v>
      </c>
      <c r="X6208">
        <v>0.99344339999999998</v>
      </c>
      <c r="Y6208">
        <v>-0.1101737</v>
      </c>
      <c r="Z6208">
        <v>1.0446449999999999E-2</v>
      </c>
      <c r="AA6208">
        <v>0.9938574</v>
      </c>
      <c r="AB6208">
        <v>23</v>
      </c>
      <c r="AC6208">
        <v>19.8902</v>
      </c>
      <c r="AD6208">
        <v>-1.1113902689344</v>
      </c>
      <c r="AE6208">
        <v>-0.44784000000000601</v>
      </c>
      <c r="AF6208">
        <v>-2.2043270168143101</v>
      </c>
      <c r="AG6208">
        <v>-1.1113902689344</v>
      </c>
      <c r="AH6208">
        <v>19.7104717858304</v>
      </c>
      <c r="AI6208">
        <v>93.207297157477498</v>
      </c>
      <c r="AJ6208">
        <v>96.381176847568696</v>
      </c>
      <c r="AK6208">
        <v>19.864464350869302</v>
      </c>
      <c r="AL6208">
        <v>88.0434066331172</v>
      </c>
      <c r="AM6208">
        <v>96.267561153079896</v>
      </c>
      <c r="AN6208">
        <v>1.00000001179616</v>
      </c>
    </row>
    <row r="6209" spans="1:40" x14ac:dyDescent="0.25">
      <c r="A6209" t="str">
        <f>"20190312151148327"</f>
        <v>20190312151148327</v>
      </c>
      <c r="B6209" t="str">
        <f>"1552374708317982"</f>
        <v>1552374708317982</v>
      </c>
      <c r="C6209" t="s">
        <v>40</v>
      </c>
      <c r="D6209">
        <v>5.1618820000000003</v>
      </c>
      <c r="E6209">
        <v>0.50067689999999998</v>
      </c>
      <c r="F6209" t="s">
        <v>93</v>
      </c>
      <c r="G6209">
        <v>-250.60910000000001</v>
      </c>
      <c r="H6209" s="1">
        <v>-3.6934300000000001E-8</v>
      </c>
      <c r="I6209">
        <v>-63.259469999999901</v>
      </c>
      <c r="J6209">
        <v>-270.94560000000001</v>
      </c>
      <c r="K6209">
        <v>1.111343</v>
      </c>
      <c r="L6209">
        <v>-62.789729999999999</v>
      </c>
      <c r="M6209">
        <v>0.99112719999999999</v>
      </c>
      <c r="N6209">
        <v>0</v>
      </c>
      <c r="O6209">
        <v>-0.1324178</v>
      </c>
      <c r="P6209">
        <v>0.99939619999999996</v>
      </c>
      <c r="Q6209">
        <v>2.3898760000000002E-2</v>
      </c>
      <c r="R6209">
        <v>-2.5222540000000002E-2</v>
      </c>
      <c r="S6209">
        <v>3.0037229999999999</v>
      </c>
      <c r="T6209">
        <v>-0.1632451</v>
      </c>
      <c r="U6209">
        <v>-7.1044919999999998E-2</v>
      </c>
      <c r="V6209">
        <v>-0.1074594</v>
      </c>
      <c r="W6209">
        <v>3.4992049999999997E-2</v>
      </c>
      <c r="X6209">
        <v>0.99359350000000002</v>
      </c>
      <c r="Y6209">
        <v>-0.10859770000000001</v>
      </c>
      <c r="Z6209">
        <v>1.012045E-2</v>
      </c>
      <c r="AA6209">
        <v>0.99403419999999998</v>
      </c>
      <c r="AB6209">
        <v>23</v>
      </c>
      <c r="AC6209">
        <v>20.336500000000001</v>
      </c>
      <c r="AD6209">
        <v>-1.1113430369343</v>
      </c>
      <c r="AE6209">
        <v>-0.469739999999987</v>
      </c>
      <c r="AF6209">
        <v>-2.2208611830846099</v>
      </c>
      <c r="AG6209">
        <v>-1.1113430369343</v>
      </c>
      <c r="AH6209">
        <v>20.159427381130801</v>
      </c>
      <c r="AI6209">
        <v>93.136454286410498</v>
      </c>
      <c r="AJ6209">
        <v>96.286633108797702</v>
      </c>
      <c r="AK6209">
        <v>20.311814790297799</v>
      </c>
      <c r="AL6209">
        <v>87.9946938552078</v>
      </c>
      <c r="AM6209">
        <v>96.172676570959595</v>
      </c>
      <c r="AN6209">
        <v>1.0000000047269</v>
      </c>
    </row>
    <row r="6210" spans="1:40" x14ac:dyDescent="0.25">
      <c r="A6210" t="str">
        <f>"20190312151148338"</f>
        <v>20190312151148338</v>
      </c>
      <c r="B6210" t="str">
        <f>"1552374708327743"</f>
        <v>1552374708327743</v>
      </c>
      <c r="C6210" t="s">
        <v>40</v>
      </c>
      <c r="D6210">
        <v>5.1205949999999998</v>
      </c>
      <c r="E6210">
        <v>0.50063139999999995</v>
      </c>
      <c r="F6210" t="s">
        <v>94</v>
      </c>
      <c r="G6210">
        <v>-249.96789999999999</v>
      </c>
      <c r="H6210" s="1">
        <v>-3.7828789999999999E-6</v>
      </c>
      <c r="I6210">
        <v>-63.296489999999999</v>
      </c>
      <c r="J6210">
        <v>-270.83280000000002</v>
      </c>
      <c r="K6210">
        <v>1.1112949999999999</v>
      </c>
      <c r="L6210">
        <v>-62.803649999999998</v>
      </c>
      <c r="M6210">
        <v>0.99126610000000004</v>
      </c>
      <c r="N6210">
        <v>0</v>
      </c>
      <c r="O6210">
        <v>-0.13137480000000001</v>
      </c>
      <c r="P6210">
        <v>0.99936670000000005</v>
      </c>
      <c r="Q6210">
        <v>2.448264E-2</v>
      </c>
      <c r="R6210">
        <v>-2.5824280000000002E-2</v>
      </c>
      <c r="S6210">
        <v>3.0038149999999999</v>
      </c>
      <c r="T6210">
        <v>-0.15913459999999999</v>
      </c>
      <c r="U6210">
        <v>-7.2570800000000005E-2</v>
      </c>
      <c r="V6210">
        <v>-0.1058106</v>
      </c>
      <c r="W6210">
        <v>3.5590589999999998E-2</v>
      </c>
      <c r="X6210">
        <v>0.9937492</v>
      </c>
      <c r="Y6210">
        <v>-0.107068899999999</v>
      </c>
      <c r="Z6210">
        <v>9.7703029999999993E-3</v>
      </c>
      <c r="AA6210">
        <v>0.99420359999999997</v>
      </c>
      <c r="AB6210">
        <v>23</v>
      </c>
      <c r="AC6210">
        <v>20.864899999999999</v>
      </c>
      <c r="AD6210">
        <v>-1.111298782879</v>
      </c>
      <c r="AE6210">
        <v>-0.49284000000000799</v>
      </c>
      <c r="AF6210">
        <v>-2.2463664251278801</v>
      </c>
      <c r="AG6210">
        <v>-1.111298782879</v>
      </c>
      <c r="AH6210">
        <v>20.690125083829699</v>
      </c>
      <c r="AI6210">
        <v>93.056563066253901</v>
      </c>
      <c r="AJ6210">
        <v>96.196440764471205</v>
      </c>
      <c r="AK6210">
        <v>20.841363273195199</v>
      </c>
      <c r="AL6210">
        <v>87.960378699880806</v>
      </c>
      <c r="AM6210">
        <v>96.077735570747393</v>
      </c>
      <c r="AN6210">
        <v>1.0000000228347701</v>
      </c>
    </row>
    <row r="6211" spans="1:40" x14ac:dyDescent="0.25">
      <c r="A6211" t="str">
        <f>"20190312151148351"</f>
        <v>20190312151148351</v>
      </c>
      <c r="B6211" t="str">
        <f>"1552374708347263"</f>
        <v>1552374708347263</v>
      </c>
      <c r="C6211" t="s">
        <v>40</v>
      </c>
      <c r="D6211">
        <v>5.1585489999999998</v>
      </c>
      <c r="E6211">
        <v>0.50049969999999999</v>
      </c>
      <c r="F6211" t="s">
        <v>94</v>
      </c>
      <c r="G6211">
        <v>-249.44540000000001</v>
      </c>
      <c r="H6211" s="1">
        <v>-3.6110670000000002E-6</v>
      </c>
      <c r="I6211">
        <v>-63.330289999999998</v>
      </c>
      <c r="J6211">
        <v>-270.7079</v>
      </c>
      <c r="K6211">
        <v>1.1112470000000001</v>
      </c>
      <c r="L6211">
        <v>-62.818910000000002</v>
      </c>
      <c r="M6211">
        <v>0.99140989999999996</v>
      </c>
      <c r="N6211">
        <v>0</v>
      </c>
      <c r="O6211">
        <v>-0.13028480000000001</v>
      </c>
      <c r="P6211">
        <v>0.99932529999999997</v>
      </c>
      <c r="Q6211">
        <v>2.532773E-2</v>
      </c>
      <c r="R6211">
        <v>-2.6600329999999998E-2</v>
      </c>
      <c r="S6211">
        <v>3.0038149999999999</v>
      </c>
      <c r="T6211">
        <v>-0.15607939999999901</v>
      </c>
      <c r="U6211">
        <v>-7.3974609999999996E-2</v>
      </c>
      <c r="V6211">
        <v>-0.1039407</v>
      </c>
      <c r="W6211">
        <v>3.6447380000000001E-2</v>
      </c>
      <c r="X6211">
        <v>0.9939154</v>
      </c>
      <c r="Y6211">
        <v>-0.10552739999999999</v>
      </c>
      <c r="Z6211">
        <v>9.486675E-3</v>
      </c>
      <c r="AA6211">
        <v>0.99437109999999995</v>
      </c>
      <c r="AB6211">
        <v>23</v>
      </c>
      <c r="AC6211">
        <v>21.2624999999999</v>
      </c>
      <c r="AD6211">
        <v>-1.111250611067</v>
      </c>
      <c r="AE6211">
        <v>-0.51138000000000905</v>
      </c>
      <c r="AF6211">
        <v>-2.25718122555572</v>
      </c>
      <c r="AG6211">
        <v>-1.111250611067</v>
      </c>
      <c r="AH6211">
        <v>21.0903027328714</v>
      </c>
      <c r="AI6211">
        <v>92.999037018331705</v>
      </c>
      <c r="AJ6211">
        <v>96.108804777381195</v>
      </c>
      <c r="AK6211">
        <v>21.239835554207101</v>
      </c>
      <c r="AL6211">
        <v>87.911256224289104</v>
      </c>
      <c r="AM6211">
        <v>95.970120597424</v>
      </c>
      <c r="AN6211">
        <v>0.99999995149125598</v>
      </c>
    </row>
    <row r="6212" spans="1:40" x14ac:dyDescent="0.25">
      <c r="A6212" t="str">
        <f>"20190312151148361"</f>
        <v>20190312151148361</v>
      </c>
      <c r="B6212" t="str">
        <f>"1552374708357998"</f>
        <v>1552374708357998</v>
      </c>
      <c r="C6212" t="s">
        <v>40</v>
      </c>
      <c r="D6212">
        <v>5.1185539999999996</v>
      </c>
      <c r="E6212">
        <v>0.50037940000000003</v>
      </c>
      <c r="F6212" t="s">
        <v>94</v>
      </c>
      <c r="G6212">
        <v>-248.64949999999999</v>
      </c>
      <c r="H6212" s="1">
        <v>-3.3475870000000002E-6</v>
      </c>
      <c r="I6212">
        <v>-63.371929999999999</v>
      </c>
      <c r="J6212">
        <v>-270.59719999999999</v>
      </c>
      <c r="K6212">
        <v>1.1112070000000001</v>
      </c>
      <c r="L6212">
        <v>-62.8324</v>
      </c>
      <c r="M6212">
        <v>0.99153420000000003</v>
      </c>
      <c r="N6212">
        <v>0</v>
      </c>
      <c r="O6212">
        <v>-0.12933649999999999</v>
      </c>
      <c r="P6212">
        <v>0.99928890000000004</v>
      </c>
      <c r="Q6212">
        <v>2.5993160000000001E-2</v>
      </c>
      <c r="R6212">
        <v>-2.731049E-2</v>
      </c>
      <c r="S6212">
        <v>3.0038450000000001</v>
      </c>
      <c r="T6212">
        <v>-0.1513264</v>
      </c>
      <c r="U6212">
        <v>-7.5317380000000003E-2</v>
      </c>
      <c r="V6212">
        <v>-0.1022788</v>
      </c>
      <c r="W6212">
        <v>3.7122599999999999E-2</v>
      </c>
      <c r="X6212">
        <v>0.99406280000000002</v>
      </c>
      <c r="Y6212">
        <v>-0.1041542</v>
      </c>
      <c r="Z6212">
        <v>9.1160080000000001E-3</v>
      </c>
      <c r="AA6212">
        <v>0.99451940000000005</v>
      </c>
      <c r="AB6212">
        <v>23</v>
      </c>
      <c r="AC6212">
        <v>21.947700000000001</v>
      </c>
      <c r="AD6212">
        <v>-1.1112103475869901</v>
      </c>
      <c r="AE6212">
        <v>-0.53953000000000595</v>
      </c>
      <c r="AF6212">
        <v>-2.2979413516256102</v>
      </c>
      <c r="AG6212">
        <v>-1.1112103475869901</v>
      </c>
      <c r="AH6212">
        <v>21.777327068869699</v>
      </c>
      <c r="AI6212">
        <v>92.904942432090394</v>
      </c>
      <c r="AJ6212">
        <v>96.023554539549195</v>
      </c>
      <c r="AK6212">
        <v>21.926406389479801</v>
      </c>
      <c r="AL6212">
        <v>87.8725427512164</v>
      </c>
      <c r="AM6212">
        <v>95.874472806033097</v>
      </c>
      <c r="AN6212">
        <v>0.99999994535201797</v>
      </c>
    </row>
    <row r="6213" spans="1:40" x14ac:dyDescent="0.25">
      <c r="A6213" t="str">
        <f>"20190312151148373"</f>
        <v>20190312151148373</v>
      </c>
      <c r="B6213" t="str">
        <f>"1552374708367758"</f>
        <v>1552374708367758</v>
      </c>
      <c r="C6213" t="s">
        <v>40</v>
      </c>
      <c r="D6213">
        <v>5.1183569999999996</v>
      </c>
      <c r="E6213">
        <v>0.50027200000000005</v>
      </c>
      <c r="F6213" t="s">
        <v>94</v>
      </c>
      <c r="G6213">
        <v>-248.23650000000001</v>
      </c>
      <c r="H6213" s="1">
        <v>-3.2122240000000002E-6</v>
      </c>
      <c r="I6213">
        <v>-63.401159999999997</v>
      </c>
      <c r="J6213">
        <v>-270.4742</v>
      </c>
      <c r="K6213">
        <v>1.1111679999999999</v>
      </c>
      <c r="L6213">
        <v>-62.847259999999999</v>
      </c>
      <c r="M6213">
        <v>0.99166639999999995</v>
      </c>
      <c r="N6213">
        <v>0</v>
      </c>
      <c r="O6213">
        <v>-0.1283204</v>
      </c>
      <c r="P6213">
        <v>0.9992415</v>
      </c>
      <c r="Q6213">
        <v>2.6916619999999999E-2</v>
      </c>
      <c r="R6213">
        <v>-2.814032E-2</v>
      </c>
      <c r="S6213">
        <v>3.0039669999999998</v>
      </c>
      <c r="T6213">
        <v>-0.149281</v>
      </c>
      <c r="U6213">
        <v>-7.6416020000000001E-2</v>
      </c>
      <c r="V6213">
        <v>-0.1004298</v>
      </c>
      <c r="W6213">
        <v>3.8053209999999997E-2</v>
      </c>
      <c r="X6213">
        <v>0.99421619999999999</v>
      </c>
      <c r="Y6213">
        <v>-0.102783399999999</v>
      </c>
      <c r="Z6213">
        <v>8.9083679999999998E-3</v>
      </c>
      <c r="AA6213">
        <v>0.99466390000000005</v>
      </c>
      <c r="AB6213">
        <v>23</v>
      </c>
      <c r="AC6213">
        <v>22.237699999999901</v>
      </c>
      <c r="AD6213">
        <v>-1.1111712122239901</v>
      </c>
      <c r="AE6213">
        <v>-0.55389999999999795</v>
      </c>
      <c r="AF6213">
        <v>-2.2986824342924201</v>
      </c>
      <c r="AG6213">
        <v>-1.1111712122239901</v>
      </c>
      <c r="AH6213">
        <v>22.069843103814801</v>
      </c>
      <c r="AI6213">
        <v>92.866808958605404</v>
      </c>
      <c r="AJ6213">
        <v>95.946196450687296</v>
      </c>
      <c r="AK6213">
        <v>22.217034388585699</v>
      </c>
      <c r="AL6213">
        <v>87.819185181497403</v>
      </c>
      <c r="AM6213">
        <v>95.768112591376095</v>
      </c>
      <c r="AN6213">
        <v>1.00000002193089</v>
      </c>
    </row>
    <row r="6214" spans="1:40" x14ac:dyDescent="0.25">
      <c r="A6214" t="str">
        <f>"20190312151148385"</f>
        <v>20190312151148385</v>
      </c>
      <c r="B6214" t="str">
        <f>"1552374708377518"</f>
        <v>1552374708377518</v>
      </c>
      <c r="C6214" t="s">
        <v>40</v>
      </c>
      <c r="D6214">
        <v>5.1868049999999997</v>
      </c>
      <c r="E6214">
        <v>0.50023600000000001</v>
      </c>
      <c r="F6214" t="s">
        <v>94</v>
      </c>
      <c r="G6214">
        <v>-247.65690000000001</v>
      </c>
      <c r="H6214" s="1">
        <v>-3.0218029999999999E-6</v>
      </c>
      <c r="I6214">
        <v>-63.439439999999998</v>
      </c>
      <c r="J6214">
        <v>-270.35730000000001</v>
      </c>
      <c r="K6214">
        <v>1.1111359999999999</v>
      </c>
      <c r="L6214">
        <v>-62.861330000000002</v>
      </c>
      <c r="M6214">
        <v>0.99178730000000004</v>
      </c>
      <c r="N6214">
        <v>0</v>
      </c>
      <c r="O6214">
        <v>-0.127383</v>
      </c>
      <c r="P6214">
        <v>0.99917599999999995</v>
      </c>
      <c r="Q6214">
        <v>2.8003400000000001E-2</v>
      </c>
      <c r="R6214">
        <v>-2.9376880000000001E-2</v>
      </c>
      <c r="S6214">
        <v>3.0040279999999999</v>
      </c>
      <c r="T6214">
        <v>-0.14629229999999999</v>
      </c>
      <c r="U6214">
        <v>-7.7972410000000006E-2</v>
      </c>
      <c r="V6214">
        <v>-9.825412E-2</v>
      </c>
      <c r="W6214">
        <v>3.9147220000000003E-2</v>
      </c>
      <c r="X6214">
        <v>0.99439109999999997</v>
      </c>
      <c r="Y6214">
        <v>-0.1013426</v>
      </c>
      <c r="Z6214">
        <v>8.6495870000000002E-3</v>
      </c>
      <c r="AA6214">
        <v>0.99481399999999998</v>
      </c>
      <c r="AB6214">
        <v>23</v>
      </c>
      <c r="AC6214">
        <v>22.700399999999998</v>
      </c>
      <c r="AD6214">
        <v>-1.1111390218029999</v>
      </c>
      <c r="AE6214">
        <v>-0.57811000000000201</v>
      </c>
      <c r="AF6214">
        <v>-2.3128974725439</v>
      </c>
      <c r="AG6214">
        <v>-1.1111390218029999</v>
      </c>
      <c r="AH6214">
        <v>22.5351382723615</v>
      </c>
      <c r="AI6214">
        <v>92.808066753885498</v>
      </c>
      <c r="AJ6214">
        <v>95.860042340904698</v>
      </c>
      <c r="AK6214">
        <v>22.680753550063699</v>
      </c>
      <c r="AL6214">
        <v>87.756456266212794</v>
      </c>
      <c r="AM6214">
        <v>95.642983320850703</v>
      </c>
      <c r="AN6214">
        <v>1.00000001834495</v>
      </c>
    </row>
    <row r="6215" spans="1:40" x14ac:dyDescent="0.25">
      <c r="A6215" t="str">
        <f>"20190312151148397"</f>
        <v>20190312151148397</v>
      </c>
      <c r="B6215" t="str">
        <f>"1552374708387278"</f>
        <v>1552374708387278</v>
      </c>
      <c r="C6215" t="s">
        <v>40</v>
      </c>
      <c r="D6215">
        <v>5.1291929999999999</v>
      </c>
      <c r="E6215">
        <v>0.50033430000000001</v>
      </c>
      <c r="F6215" t="s">
        <v>94</v>
      </c>
      <c r="G6215">
        <v>-246.87819999999999</v>
      </c>
      <c r="H6215" s="1">
        <v>-2.766503E-6</v>
      </c>
      <c r="I6215">
        <v>-63.497880000000002</v>
      </c>
      <c r="J6215">
        <v>-270.22629999999998</v>
      </c>
      <c r="K6215">
        <v>1.1111070000000001</v>
      </c>
      <c r="L6215">
        <v>-62.876980000000003</v>
      </c>
      <c r="M6215">
        <v>0.9919192</v>
      </c>
      <c r="N6215">
        <v>0</v>
      </c>
      <c r="O6215">
        <v>-0.12635360000000001</v>
      </c>
      <c r="P6215">
        <v>0.99911139999999998</v>
      </c>
      <c r="Q6215">
        <v>2.9148480000000001E-2</v>
      </c>
      <c r="R6215">
        <v>-3.0451539999999999E-2</v>
      </c>
      <c r="S6215">
        <v>3.0040279999999999</v>
      </c>
      <c r="T6215">
        <v>-0.1421646</v>
      </c>
      <c r="U6215">
        <v>-8.1451419999999997E-2</v>
      </c>
      <c r="V6215">
        <v>-9.6147079999999996E-2</v>
      </c>
      <c r="W6215">
        <v>4.029692E-2</v>
      </c>
      <c r="X6215">
        <v>0.99455110000000002</v>
      </c>
      <c r="Y6215">
        <v>-9.9177109999999999E-2</v>
      </c>
      <c r="Z6215">
        <v>8.3060240000000004E-3</v>
      </c>
      <c r="AA6215">
        <v>0.99503509999999995</v>
      </c>
      <c r="AB6215">
        <v>23</v>
      </c>
      <c r="AC6215">
        <v>23.348099999999899</v>
      </c>
      <c r="AD6215">
        <v>-1.1111097665029901</v>
      </c>
      <c r="AE6215">
        <v>-0.62089999999999801</v>
      </c>
      <c r="AF6215">
        <v>-2.3291158212131702</v>
      </c>
      <c r="AG6215">
        <v>-1.1111097665029901</v>
      </c>
      <c r="AH6215">
        <v>23.1869302991438</v>
      </c>
      <c r="AI6215">
        <v>92.729779101274204</v>
      </c>
      <c r="AJ6215">
        <v>95.736092110369199</v>
      </c>
      <c r="AK6215">
        <v>23.330089629471999</v>
      </c>
      <c r="AL6215">
        <v>87.690531225725707</v>
      </c>
      <c r="AM6215">
        <v>95.521843958476694</v>
      </c>
      <c r="AN6215">
        <v>0.99999999663261097</v>
      </c>
    </row>
    <row r="6216" spans="1:40" x14ac:dyDescent="0.25">
      <c r="A6216" t="str">
        <f>"20190312151148406"</f>
        <v>20190312151148406</v>
      </c>
      <c r="B6216" t="str">
        <f>"1552374708398014"</f>
        <v>1552374708398014</v>
      </c>
      <c r="C6216" t="s">
        <v>40</v>
      </c>
      <c r="D6216">
        <v>5.138706</v>
      </c>
      <c r="E6216">
        <v>0.50048539999999997</v>
      </c>
      <c r="F6216" t="s">
        <v>94</v>
      </c>
      <c r="G6216">
        <v>-246.26339999999999</v>
      </c>
      <c r="H6216" s="1">
        <v>-2.5189339999999998E-6</v>
      </c>
      <c r="I6216">
        <v>-63.558770000000003</v>
      </c>
      <c r="J6216">
        <v>-270.1232</v>
      </c>
      <c r="K6216">
        <v>1.111086</v>
      </c>
      <c r="L6216">
        <v>-62.889189999999999</v>
      </c>
      <c r="M6216">
        <v>0.9920177</v>
      </c>
      <c r="N6216">
        <v>0</v>
      </c>
      <c r="O6216">
        <v>-0.1255783</v>
      </c>
      <c r="P6216">
        <v>0.99905129999999998</v>
      </c>
      <c r="Q6216">
        <v>3.0082649999999999E-2</v>
      </c>
      <c r="R6216">
        <v>-3.1491169999999999E-2</v>
      </c>
      <c r="S6216">
        <v>3.0041199999999999</v>
      </c>
      <c r="T6216">
        <v>-0.139294899999999</v>
      </c>
      <c r="U6216">
        <v>-8.5479739999999999E-2</v>
      </c>
      <c r="V6216">
        <v>-9.4330750000000005E-2</v>
      </c>
      <c r="W6216">
        <v>4.1235979999999998E-2</v>
      </c>
      <c r="X6216">
        <v>0.99468650000000003</v>
      </c>
      <c r="Y6216">
        <v>-9.708E-2</v>
      </c>
      <c r="Z6216">
        <v>8.0537619999999904E-3</v>
      </c>
      <c r="AA6216">
        <v>0.99524400000000002</v>
      </c>
      <c r="AB6216">
        <v>23</v>
      </c>
      <c r="AC6216">
        <v>23.8598</v>
      </c>
      <c r="AD6216">
        <v>-1.1110885189340001</v>
      </c>
      <c r="AE6216">
        <v>-0.66957999999999596</v>
      </c>
      <c r="AF6216">
        <v>-2.3271481438041102</v>
      </c>
      <c r="AG6216">
        <v>-1.1110885189340001</v>
      </c>
      <c r="AH6216">
        <v>23.703622957930399</v>
      </c>
      <c r="AI6216">
        <v>92.670907355348604</v>
      </c>
      <c r="AJ6216">
        <v>95.607152675650894</v>
      </c>
      <c r="AK6216">
        <v>23.843487108890798</v>
      </c>
      <c r="AL6216">
        <v>87.636682209241499</v>
      </c>
      <c r="AM6216">
        <v>95.417423455529701</v>
      </c>
      <c r="AN6216">
        <v>0.99999996486218501</v>
      </c>
    </row>
    <row r="6217" spans="1:40" x14ac:dyDescent="0.25">
      <c r="A6217" t="str">
        <f>"20190312151148429"</f>
        <v>20190312151148429</v>
      </c>
      <c r="B6217" t="str">
        <f>"1552374708417535"</f>
        <v>1552374708417535</v>
      </c>
      <c r="C6217" t="s">
        <v>40</v>
      </c>
      <c r="D6217">
        <v>3.9368780000000001</v>
      </c>
      <c r="E6217">
        <v>0.50048539999999997</v>
      </c>
      <c r="F6217" t="s">
        <v>94</v>
      </c>
      <c r="G6217">
        <v>-245.5309</v>
      </c>
      <c r="H6217" s="1">
        <v>-2.2224429999999998E-6</v>
      </c>
      <c r="I6217">
        <v>-63.625360000000001</v>
      </c>
      <c r="J6217">
        <v>-269.8972</v>
      </c>
      <c r="K6217">
        <v>1.1110439999999999</v>
      </c>
      <c r="L6217">
        <v>-62.91583</v>
      </c>
      <c r="M6217">
        <v>0.99222589999999999</v>
      </c>
      <c r="N6217">
        <v>0</v>
      </c>
      <c r="O6217">
        <v>-0.1239238</v>
      </c>
      <c r="P6217">
        <v>0.99891010000000002</v>
      </c>
      <c r="Q6217">
        <v>3.1940900000000001E-2</v>
      </c>
      <c r="R6217">
        <v>-3.4042280000000001E-2</v>
      </c>
      <c r="S6217">
        <v>3.004089</v>
      </c>
      <c r="T6217">
        <v>-0.13572609999999999</v>
      </c>
      <c r="U6217">
        <v>-8.9935299999999996E-2</v>
      </c>
      <c r="V6217">
        <v>-9.0122369999999993E-2</v>
      </c>
      <c r="W6217">
        <v>4.3103990000000002E-2</v>
      </c>
      <c r="X6217">
        <v>0.99499749999999998</v>
      </c>
      <c r="Y6217">
        <v>-9.3961509999999998E-2</v>
      </c>
      <c r="Z6217">
        <v>7.7028269999999998E-3</v>
      </c>
      <c r="AA6217">
        <v>0.99554600000000004</v>
      </c>
      <c r="AB6217">
        <v>23</v>
      </c>
      <c r="AC6217">
        <v>24.366299999999899</v>
      </c>
      <c r="AD6217">
        <v>-1.111046222443</v>
      </c>
      <c r="AE6217">
        <v>-0.709529999999993</v>
      </c>
      <c r="AF6217">
        <v>-2.3109010980634701</v>
      </c>
      <c r="AG6217">
        <v>-1.111046222443</v>
      </c>
      <c r="AH6217">
        <v>24.216080795108599</v>
      </c>
      <c r="AI6217">
        <v>92.615054079278593</v>
      </c>
      <c r="AJ6217">
        <v>95.451135735791297</v>
      </c>
      <c r="AK6217">
        <v>24.3514528656642</v>
      </c>
      <c r="AL6217">
        <v>87.529557920499798</v>
      </c>
      <c r="AM6217">
        <v>95.175470165375401</v>
      </c>
      <c r="AN6217">
        <v>1.0000000102672899</v>
      </c>
    </row>
    <row r="6218" spans="1:40" x14ac:dyDescent="0.25">
      <c r="A6218" t="str">
        <f>"20190312151148485"</f>
        <v>20190312151148485</v>
      </c>
      <c r="B6218" t="str">
        <f>"1552374708478045"</f>
        <v>1552374708478045</v>
      </c>
      <c r="C6218" t="s">
        <v>40</v>
      </c>
      <c r="D6218">
        <v>5.1692830000000001</v>
      </c>
      <c r="E6218">
        <v>0.50110959999999904</v>
      </c>
      <c r="F6218" t="s">
        <v>94</v>
      </c>
      <c r="G6218">
        <v>-244.24930000000001</v>
      </c>
      <c r="H6218" s="1">
        <v>-1.7059540000000001E-6</v>
      </c>
      <c r="I6218">
        <v>-63.750570000000003</v>
      </c>
      <c r="J6218">
        <v>-269.3116</v>
      </c>
      <c r="K6218">
        <v>1.1109579999999999</v>
      </c>
      <c r="L6218">
        <v>-62.983519999999999</v>
      </c>
      <c r="M6218">
        <v>0.9927106</v>
      </c>
      <c r="N6218">
        <v>0</v>
      </c>
      <c r="O6218">
        <v>-0.1199838</v>
      </c>
      <c r="P6218">
        <v>0.99835689999999999</v>
      </c>
      <c r="Q6218">
        <v>3.9283619999999998E-2</v>
      </c>
      <c r="R6218">
        <v>-4.1719649999999997E-2</v>
      </c>
      <c r="S6218">
        <v>3.004089</v>
      </c>
      <c r="T6218">
        <v>-0.13013459999999999</v>
      </c>
      <c r="U6218">
        <v>-9.7778320000000002E-2</v>
      </c>
      <c r="V6218">
        <v>-7.8486280000000005E-2</v>
      </c>
      <c r="W6218">
        <v>5.0450660000000001E-2</v>
      </c>
      <c r="X6218">
        <v>0.99563780000000002</v>
      </c>
      <c r="Y6218">
        <v>-8.7438169999999996E-2</v>
      </c>
      <c r="Z6218">
        <v>7.074655E-3</v>
      </c>
      <c r="AA6218">
        <v>0.99614480000000005</v>
      </c>
      <c r="AB6218">
        <v>24</v>
      </c>
      <c r="AC6218">
        <v>25.0623</v>
      </c>
      <c r="AD6218">
        <v>-1.110959705954</v>
      </c>
      <c r="AE6218">
        <v>-0.76704999999999701</v>
      </c>
      <c r="AF6218">
        <v>-2.2413567358797901</v>
      </c>
      <c r="AG6218">
        <v>-1.110959705954</v>
      </c>
      <c r="AH6218">
        <v>24.9243325670734</v>
      </c>
      <c r="AI6218">
        <v>92.541928793618894</v>
      </c>
      <c r="AJ6218">
        <v>95.138584261905095</v>
      </c>
      <c r="AK6218">
        <v>25.0495561916734</v>
      </c>
      <c r="AL6218">
        <v>87.108162463089698</v>
      </c>
      <c r="AM6218">
        <v>94.507314040767199</v>
      </c>
      <c r="AN6218">
        <v>0.99999999701575704</v>
      </c>
    </row>
    <row r="6219" spans="1:40" x14ac:dyDescent="0.25">
      <c r="A6219" t="str">
        <f>"20190312151148494"</f>
        <v>20190312151148494</v>
      </c>
      <c r="B6219" t="str">
        <f>"1552374708487806"</f>
        <v>1552374708487806</v>
      </c>
      <c r="C6219" t="s">
        <v>40</v>
      </c>
      <c r="D6219">
        <v>5.0941869999999998</v>
      </c>
      <c r="E6219">
        <v>0.5014499</v>
      </c>
      <c r="F6219" t="s">
        <v>95</v>
      </c>
      <c r="G6219">
        <v>-238.92699999999999</v>
      </c>
      <c r="H6219" s="1">
        <v>-3.5998790000000001E-6</v>
      </c>
      <c r="I6219">
        <v>-64.261700000000005</v>
      </c>
      <c r="J6219">
        <v>-269.20699999999999</v>
      </c>
      <c r="K6219">
        <v>1.110948</v>
      </c>
      <c r="L6219">
        <v>-62.995420000000003</v>
      </c>
      <c r="M6219">
        <v>0.99279059999999997</v>
      </c>
      <c r="N6219">
        <v>0</v>
      </c>
      <c r="O6219">
        <v>-0.119322</v>
      </c>
      <c r="P6219">
        <v>0.99822219999999995</v>
      </c>
      <c r="Q6219">
        <v>4.1095710000000001E-2</v>
      </c>
      <c r="R6219">
        <v>-4.3174980000000002E-2</v>
      </c>
      <c r="S6219">
        <v>3.0039669999999998</v>
      </c>
      <c r="T6219">
        <v>-0.1098351</v>
      </c>
      <c r="U6219">
        <v>-0.12637329999999999</v>
      </c>
      <c r="V6219">
        <v>-7.6362529999999998E-2</v>
      </c>
      <c r="W6219">
        <v>5.2259300000000002E-2</v>
      </c>
      <c r="X6219">
        <v>0.99570970000000003</v>
      </c>
      <c r="Y6219">
        <v>-7.7362199999999895E-2</v>
      </c>
      <c r="Z6219">
        <v>5.7623780000000003E-3</v>
      </c>
      <c r="AA6219">
        <v>0.99698640000000005</v>
      </c>
      <c r="AB6219">
        <v>24</v>
      </c>
      <c r="AC6219">
        <v>30.279999999999902</v>
      </c>
      <c r="AD6219">
        <v>-1.1109515998790001</v>
      </c>
      <c r="AE6219">
        <v>-1.2662800000000001</v>
      </c>
      <c r="AF6219">
        <v>-2.3529096193769599</v>
      </c>
      <c r="AG6219">
        <v>-1.1109515998790001</v>
      </c>
      <c r="AH6219">
        <v>30.174197934400901</v>
      </c>
      <c r="AI6219">
        <v>92.102184035797094</v>
      </c>
      <c r="AJ6219">
        <v>94.458761182425206</v>
      </c>
      <c r="AK6219">
        <v>30.286178664840399</v>
      </c>
      <c r="AL6219">
        <v>87.004398213387702</v>
      </c>
      <c r="AM6219">
        <v>94.385518196806999</v>
      </c>
      <c r="AN6219">
        <v>1.00000003854928</v>
      </c>
    </row>
    <row r="6220" spans="1:40" x14ac:dyDescent="0.25">
      <c r="A6220" t="str">
        <f>"20190312151148506"</f>
        <v>20190312151148506</v>
      </c>
      <c r="B6220" t="str">
        <f>"1552374708497566"</f>
        <v>1552374708497566</v>
      </c>
      <c r="C6220" t="s">
        <v>40</v>
      </c>
      <c r="D6220">
        <v>5.1019600000000001</v>
      </c>
      <c r="E6220">
        <v>0.50174269999999999</v>
      </c>
      <c r="F6220" t="s">
        <v>95</v>
      </c>
      <c r="G6220">
        <v>-236.9014</v>
      </c>
      <c r="H6220" s="1">
        <v>-2.9410479999999999E-6</v>
      </c>
      <c r="I6220">
        <v>-64.433589999999995</v>
      </c>
      <c r="J6220">
        <v>-269.08640000000003</v>
      </c>
      <c r="K6220">
        <v>1.1109309999999999</v>
      </c>
      <c r="L6220">
        <v>-63.009030000000003</v>
      </c>
      <c r="M6220">
        <v>0.99287950000000003</v>
      </c>
      <c r="N6220">
        <v>0</v>
      </c>
      <c r="O6220">
        <v>-0.1185823</v>
      </c>
      <c r="P6220">
        <v>0.99809270000000005</v>
      </c>
      <c r="Q6220">
        <v>4.2869329999999997E-2</v>
      </c>
      <c r="R6220">
        <v>-4.4425239999999998E-2</v>
      </c>
      <c r="S6220">
        <v>3.0038149999999999</v>
      </c>
      <c r="T6220">
        <v>-0.1032976</v>
      </c>
      <c r="U6220">
        <v>-0.13372800000000001</v>
      </c>
      <c r="V6220">
        <v>-7.4364559999999996E-2</v>
      </c>
      <c r="W6220">
        <v>5.4026810000000001E-2</v>
      </c>
      <c r="X6220">
        <v>0.9957665</v>
      </c>
      <c r="Y6220">
        <v>-7.4197699999999894E-2</v>
      </c>
      <c r="Z6220">
        <v>5.339819E-3</v>
      </c>
      <c r="AA6220">
        <v>0.99722929999999999</v>
      </c>
      <c r="AB6220">
        <v>24</v>
      </c>
      <c r="AC6220">
        <v>32.185000000000002</v>
      </c>
      <c r="AD6220">
        <v>-1.1109339410479999</v>
      </c>
      <c r="AE6220">
        <v>-1.4245599999999901</v>
      </c>
      <c r="AF6220">
        <v>-2.3994561019704701</v>
      </c>
      <c r="AG6220">
        <v>-1.1109339410479999</v>
      </c>
      <c r="AH6220">
        <v>32.088662388392102</v>
      </c>
      <c r="AI6220">
        <v>91.977315690915404</v>
      </c>
      <c r="AJ6220">
        <v>94.276380499252795</v>
      </c>
      <c r="AK6220">
        <v>32.197419425830802</v>
      </c>
      <c r="AL6220">
        <v>86.902983768879807</v>
      </c>
      <c r="AM6220">
        <v>94.270961871933693</v>
      </c>
      <c r="AN6220">
        <v>0.99999995325250801</v>
      </c>
    </row>
    <row r="6221" spans="1:40" x14ac:dyDescent="0.25">
      <c r="A6221" t="str">
        <f>"20190312151148518"</f>
        <v>20190312151148518</v>
      </c>
      <c r="B6221" t="str">
        <f>"1552374708507326"</f>
        <v>1552374708507326</v>
      </c>
      <c r="C6221" t="s">
        <v>40</v>
      </c>
      <c r="D6221">
        <v>5.1031579999999996</v>
      </c>
      <c r="E6221">
        <v>0.50198069999999995</v>
      </c>
      <c r="F6221" t="s">
        <v>95</v>
      </c>
      <c r="G6221">
        <v>-235.33940000000001</v>
      </c>
      <c r="H6221" s="1">
        <v>-2.394995E-6</v>
      </c>
      <c r="I6221">
        <v>-64.582729999999998</v>
      </c>
      <c r="J6221">
        <v>-268.9676</v>
      </c>
      <c r="K6221">
        <v>1.1109150000000001</v>
      </c>
      <c r="L6221">
        <v>-63.022460000000002</v>
      </c>
      <c r="M6221">
        <v>0.99296530000000005</v>
      </c>
      <c r="N6221">
        <v>0</v>
      </c>
      <c r="O6221">
        <v>-0.1178613</v>
      </c>
      <c r="P6221">
        <v>0.99796110000000005</v>
      </c>
      <c r="Q6221">
        <v>4.4669979999999998E-2</v>
      </c>
      <c r="R6221">
        <v>-4.5587389999999998E-2</v>
      </c>
      <c r="S6221">
        <v>3.0037229999999999</v>
      </c>
      <c r="T6221">
        <v>-9.8881010000000005E-2</v>
      </c>
      <c r="U6221">
        <v>-0.1400757</v>
      </c>
      <c r="V6221">
        <v>-7.2472239999999993E-2</v>
      </c>
      <c r="W6221">
        <v>5.5820830000000002E-2</v>
      </c>
      <c r="X6221">
        <v>0.99580709999999995</v>
      </c>
      <c r="Y6221">
        <v>-7.1380399999999997E-2</v>
      </c>
      <c r="Z6221">
        <v>5.0415360000000001E-3</v>
      </c>
      <c r="AA6221">
        <v>0.9974364</v>
      </c>
      <c r="AB6221">
        <v>24</v>
      </c>
      <c r="AC6221">
        <v>33.6281999999999</v>
      </c>
      <c r="AD6221">
        <v>-1.110917394995</v>
      </c>
      <c r="AE6221">
        <v>-1.56027</v>
      </c>
      <c r="AF6221">
        <v>-2.4116983724269598</v>
      </c>
      <c r="AG6221">
        <v>-1.110917394995</v>
      </c>
      <c r="AH6221">
        <v>33.541164854340003</v>
      </c>
      <c r="AI6221">
        <v>91.892119604788505</v>
      </c>
      <c r="AJ6221">
        <v>94.112640237261402</v>
      </c>
      <c r="AK6221">
        <v>33.646101799229001</v>
      </c>
      <c r="AL6221">
        <v>86.800038688276203</v>
      </c>
      <c r="AM6221">
        <v>94.162498587093495</v>
      </c>
      <c r="AN6221">
        <v>0.99999998552145797</v>
      </c>
    </row>
    <row r="6222" spans="1:40" x14ac:dyDescent="0.25">
      <c r="A6222" t="str">
        <f>"20190312151148528"</f>
        <v>20190312151148528</v>
      </c>
      <c r="B6222" t="str">
        <f>"1552374708517087"</f>
        <v>1552374708517087</v>
      </c>
      <c r="C6222" t="s">
        <v>40</v>
      </c>
      <c r="D6222">
        <v>5.2063509999999997</v>
      </c>
      <c r="E6222">
        <v>0.50230209999999997</v>
      </c>
      <c r="F6222" t="s">
        <v>95</v>
      </c>
      <c r="G6222">
        <v>-233.625</v>
      </c>
      <c r="H6222" s="1">
        <v>-1.7002080000000001E-6</v>
      </c>
      <c r="I6222">
        <v>-64.735529999999997</v>
      </c>
      <c r="J6222">
        <v>-268.85169999999999</v>
      </c>
      <c r="K6222">
        <v>1.110897</v>
      </c>
      <c r="L6222">
        <v>-63.035429999999998</v>
      </c>
      <c r="M6222">
        <v>0.99304530000000002</v>
      </c>
      <c r="N6222">
        <v>0</v>
      </c>
      <c r="O6222">
        <v>-0.117187899999999</v>
      </c>
      <c r="P6222">
        <v>0.99781949999999997</v>
      </c>
      <c r="Q6222">
        <v>4.6705240000000002E-2</v>
      </c>
      <c r="R6222">
        <v>-4.6636009999999999E-2</v>
      </c>
      <c r="S6222">
        <v>3.0037539999999998</v>
      </c>
      <c r="T6222">
        <v>-9.44165E-2</v>
      </c>
      <c r="U6222">
        <v>-0.14559939999999999</v>
      </c>
      <c r="V6222">
        <v>-7.0740300000000006E-2</v>
      </c>
      <c r="W6222">
        <v>5.7848869999999997E-2</v>
      </c>
      <c r="X6222">
        <v>0.99581589999999998</v>
      </c>
      <c r="Y6222">
        <v>-6.8884600000000004E-2</v>
      </c>
      <c r="Z6222">
        <v>4.7534600000000002E-3</v>
      </c>
      <c r="AA6222">
        <v>0.99761330000000004</v>
      </c>
      <c r="AB6222">
        <v>24</v>
      </c>
      <c r="AC6222">
        <v>35.226699999999902</v>
      </c>
      <c r="AD6222">
        <v>-1.110898700208</v>
      </c>
      <c r="AE6222">
        <v>-1.7000999999999999</v>
      </c>
      <c r="AF6222">
        <v>-2.4376043179627298</v>
      </c>
      <c r="AG6222">
        <v>-1.110898700208</v>
      </c>
      <c r="AH6222">
        <v>35.148318519698996</v>
      </c>
      <c r="AI6222">
        <v>91.805954367567296</v>
      </c>
      <c r="AJ6222">
        <v>93.967221620871797</v>
      </c>
      <c r="AK6222">
        <v>35.250252559312102</v>
      </c>
      <c r="AL6222">
        <v>86.683652435167602</v>
      </c>
      <c r="AM6222">
        <v>94.063324762130094</v>
      </c>
      <c r="AN6222">
        <v>0.99999999424858799</v>
      </c>
    </row>
    <row r="6223" spans="1:40" x14ac:dyDescent="0.25">
      <c r="A6223" t="str">
        <f>"20190312151148539"</f>
        <v>20190312151148539</v>
      </c>
      <c r="B6223" t="str">
        <f>"1552374708527823"</f>
        <v>1552374708527823</v>
      </c>
      <c r="C6223" t="s">
        <v>40</v>
      </c>
      <c r="D6223">
        <v>5.127815</v>
      </c>
      <c r="E6223">
        <v>0.50263239999999998</v>
      </c>
      <c r="F6223" t="s">
        <v>95</v>
      </c>
      <c r="G6223">
        <v>-231.90539999999999</v>
      </c>
      <c r="H6223" s="1">
        <v>-1.006194E-6</v>
      </c>
      <c r="I6223">
        <v>-64.899829999999994</v>
      </c>
      <c r="J6223">
        <v>-268.74200000000002</v>
      </c>
      <c r="K6223">
        <v>1.1108830000000001</v>
      </c>
      <c r="L6223">
        <v>-63.047699999999999</v>
      </c>
      <c r="M6223">
        <v>0.9931198</v>
      </c>
      <c r="N6223">
        <v>0</v>
      </c>
      <c r="O6223">
        <v>-0.1165556</v>
      </c>
      <c r="P6223">
        <v>0.99772050000000001</v>
      </c>
      <c r="Q6223">
        <v>4.8030280000000002E-2</v>
      </c>
      <c r="R6223">
        <v>-4.7403790000000001E-2</v>
      </c>
      <c r="S6223">
        <v>3.0037229999999999</v>
      </c>
      <c r="T6223">
        <v>-9.0315580000000006E-2</v>
      </c>
      <c r="U6223">
        <v>-0.15158079999999999</v>
      </c>
      <c r="V6223">
        <v>-6.9331229999999994E-2</v>
      </c>
      <c r="W6223">
        <v>5.9166969999999999E-2</v>
      </c>
      <c r="X6223">
        <v>0.99583759999999999</v>
      </c>
      <c r="Y6223">
        <v>-6.6276230000000005E-2</v>
      </c>
      <c r="Z6223">
        <v>4.4887629999999998E-3</v>
      </c>
      <c r="AA6223">
        <v>0.99779119999999999</v>
      </c>
      <c r="AB6223">
        <v>24</v>
      </c>
      <c r="AC6223">
        <v>36.836599999999997</v>
      </c>
      <c r="AD6223">
        <v>-1.110884006194</v>
      </c>
      <c r="AE6223">
        <v>-1.8521300000000001</v>
      </c>
      <c r="AF6223">
        <v>-2.4520575429316902</v>
      </c>
      <c r="AG6223">
        <v>-1.110884006194</v>
      </c>
      <c r="AH6223">
        <v>36.768031314683498</v>
      </c>
      <c r="AI6223">
        <v>91.726735538805599</v>
      </c>
      <c r="AJ6223">
        <v>93.815401993356005</v>
      </c>
      <c r="AK6223">
        <v>36.866445125976199</v>
      </c>
      <c r="AL6223">
        <v>86.608001415056407</v>
      </c>
      <c r="AM6223">
        <v>93.982564326884798</v>
      </c>
      <c r="AN6223">
        <v>1.00000003768302</v>
      </c>
    </row>
    <row r="6224" spans="1:40" x14ac:dyDescent="0.25">
      <c r="A6224" t="str">
        <f>"20190312151148551"</f>
        <v>20190312151148551</v>
      </c>
      <c r="B6224" t="str">
        <f>"1552374708547342"</f>
        <v>1552374708547342</v>
      </c>
      <c r="C6224" t="s">
        <v>40</v>
      </c>
      <c r="D6224">
        <v>5.1294240000000002</v>
      </c>
      <c r="E6224">
        <v>0.50288729999999904</v>
      </c>
      <c r="F6224" t="s">
        <v>95</v>
      </c>
      <c r="G6224">
        <v>-230.96090000000001</v>
      </c>
      <c r="H6224" s="1">
        <v>-6.3245349999999997E-7</v>
      </c>
      <c r="I6224">
        <v>-65.017989999999998</v>
      </c>
      <c r="J6224">
        <v>-268.61579999999998</v>
      </c>
      <c r="K6224">
        <v>1.1108659999999999</v>
      </c>
      <c r="L6224">
        <v>-63.061680000000003</v>
      </c>
      <c r="M6224">
        <v>0.99320229999999998</v>
      </c>
      <c r="N6224">
        <v>0</v>
      </c>
      <c r="O6224">
        <v>-0.11585330000000001</v>
      </c>
      <c r="P6224">
        <v>0.99760970000000004</v>
      </c>
      <c r="Q6224">
        <v>4.9786820000000002E-2</v>
      </c>
      <c r="R6224">
        <v>-4.7924799999999997E-2</v>
      </c>
      <c r="S6224">
        <v>3.0036619999999998</v>
      </c>
      <c r="T6224">
        <v>-8.8317039999999999E-2</v>
      </c>
      <c r="U6224">
        <v>-0.1566467</v>
      </c>
      <c r="V6224">
        <v>-6.8097000000000005E-2</v>
      </c>
      <c r="W6224">
        <v>6.0911899999999998E-2</v>
      </c>
      <c r="X6224">
        <v>0.99581750000000002</v>
      </c>
      <c r="Y6224">
        <v>-6.3895850000000004E-2</v>
      </c>
      <c r="Z6224">
        <v>4.3338320000000001E-3</v>
      </c>
      <c r="AA6224">
        <v>0.99794720000000003</v>
      </c>
      <c r="AB6224">
        <v>24</v>
      </c>
      <c r="AC6224">
        <v>37.654899999999898</v>
      </c>
      <c r="AD6224">
        <v>-1.1108666324534999</v>
      </c>
      <c r="AE6224">
        <v>-1.95630999999999</v>
      </c>
      <c r="AF6224">
        <v>-2.4174883964568701</v>
      </c>
      <c r="AG6224">
        <v>-1.1108666324534999</v>
      </c>
      <c r="AH6224">
        <v>37.5953395109524</v>
      </c>
      <c r="AI6224">
        <v>91.688996295536995</v>
      </c>
      <c r="AJ6224">
        <v>93.679217879352706</v>
      </c>
      <c r="AK6224">
        <v>37.689359609389598</v>
      </c>
      <c r="AL6224">
        <v>86.507843385620802</v>
      </c>
      <c r="AM6224">
        <v>93.911967798329499</v>
      </c>
      <c r="AN6224">
        <v>0.99999997713842903</v>
      </c>
    </row>
    <row r="6225" spans="1:40" x14ac:dyDescent="0.25">
      <c r="A6225" t="str">
        <f>"20190312151148563"</f>
        <v>20190312151148563</v>
      </c>
      <c r="B6225" t="str">
        <f>"1552374708557102"</f>
        <v>1552374708557102</v>
      </c>
      <c r="C6225" t="s">
        <v>40</v>
      </c>
      <c r="D6225">
        <v>5.1204999999999998</v>
      </c>
      <c r="E6225">
        <v>0.50310650000000001</v>
      </c>
      <c r="F6225" t="s">
        <v>95</v>
      </c>
      <c r="G6225">
        <v>-230.75890000000001</v>
      </c>
      <c r="H6225" s="1">
        <v>-5.6281640000000002E-7</v>
      </c>
      <c r="I6225">
        <v>-65.081940000000003</v>
      </c>
      <c r="J6225">
        <v>-268.49700000000001</v>
      </c>
      <c r="K6225">
        <v>1.1108549999999999</v>
      </c>
      <c r="L6225">
        <v>-63.074829999999999</v>
      </c>
      <c r="M6225">
        <v>0.99327790000000005</v>
      </c>
      <c r="N6225">
        <v>0</v>
      </c>
      <c r="O6225">
        <v>-0.1152043</v>
      </c>
      <c r="P6225">
        <v>0.99748119999999996</v>
      </c>
      <c r="Q6225">
        <v>5.1378729999999997E-2</v>
      </c>
      <c r="R6225">
        <v>-4.8905909999999997E-2</v>
      </c>
      <c r="S6225">
        <v>3.003876</v>
      </c>
      <c r="T6225">
        <v>-8.8145139999999997E-2</v>
      </c>
      <c r="U6225">
        <v>-0.1603088</v>
      </c>
      <c r="V6225">
        <v>-6.6456440000000006E-2</v>
      </c>
      <c r="W6225">
        <v>6.2493880000000002E-2</v>
      </c>
      <c r="X6225">
        <v>0.9958304</v>
      </c>
      <c r="Y6225">
        <v>-6.2035430000000003E-2</v>
      </c>
      <c r="Z6225">
        <v>4.2787190000000003E-3</v>
      </c>
      <c r="AA6225">
        <v>0.99806479999999997</v>
      </c>
      <c r="AB6225">
        <v>24</v>
      </c>
      <c r="AC6225">
        <v>37.738100000000003</v>
      </c>
      <c r="AD6225">
        <v>-1.1108555628164001</v>
      </c>
      <c r="AE6225">
        <v>-2.0071099999999902</v>
      </c>
      <c r="AF6225">
        <v>-2.3520905842833102</v>
      </c>
      <c r="AG6225">
        <v>-1.1108555628164001</v>
      </c>
      <c r="AH6225">
        <v>37.685481910645898</v>
      </c>
      <c r="AI6225">
        <v>91.685142592307997</v>
      </c>
      <c r="AJ6225">
        <v>93.571409298709895</v>
      </c>
      <c r="AK6225">
        <v>37.775148934659804</v>
      </c>
      <c r="AL6225">
        <v>86.417029869945296</v>
      </c>
      <c r="AM6225">
        <v>93.817955420189804</v>
      </c>
      <c r="AN6225">
        <v>1.0000000645095399</v>
      </c>
    </row>
    <row r="6226" spans="1:40" x14ac:dyDescent="0.25">
      <c r="A6226" t="str">
        <f>"20190312151148574"</f>
        <v>20190312151148574</v>
      </c>
      <c r="B6226" t="str">
        <f>"1552374708567838"</f>
        <v>1552374708567838</v>
      </c>
      <c r="C6226" t="s">
        <v>40</v>
      </c>
      <c r="D6226">
        <v>5.1565269999999996</v>
      </c>
      <c r="E6226">
        <v>0.50323869999999904</v>
      </c>
      <c r="F6226" t="s">
        <v>96</v>
      </c>
      <c r="G6226">
        <v>-229.68520000000001</v>
      </c>
      <c r="H6226" s="1">
        <v>-3.949592E-6</v>
      </c>
      <c r="I6226">
        <v>-65.208759999999998</v>
      </c>
      <c r="J6226">
        <v>-268.37729999999999</v>
      </c>
      <c r="K6226">
        <v>1.110841</v>
      </c>
      <c r="L6226">
        <v>-63.087980000000002</v>
      </c>
      <c r="M6226">
        <v>0.99335200000000001</v>
      </c>
      <c r="N6226">
        <v>0</v>
      </c>
      <c r="O6226">
        <v>-0.114565899999999</v>
      </c>
      <c r="P6226">
        <v>0.99738870000000002</v>
      </c>
      <c r="Q6226">
        <v>5.290185E-2</v>
      </c>
      <c r="R6226">
        <v>-4.917001E-2</v>
      </c>
      <c r="S6226">
        <v>3.0039370000000001</v>
      </c>
      <c r="T6226">
        <v>-8.5977670000000006E-2</v>
      </c>
      <c r="U6226">
        <v>-0.16516110000000001</v>
      </c>
      <c r="V6226">
        <v>-6.5543669999999998E-2</v>
      </c>
      <c r="W6226">
        <v>6.4003850000000001E-2</v>
      </c>
      <c r="X6226">
        <v>0.99579499999999999</v>
      </c>
      <c r="Y6226">
        <v>-5.9792320000000003E-2</v>
      </c>
      <c r="Z6226">
        <v>4.1230019999999997E-3</v>
      </c>
      <c r="AA6226">
        <v>0.99820229999999999</v>
      </c>
      <c r="AB6226">
        <v>24</v>
      </c>
      <c r="AC6226">
        <v>38.692099999999897</v>
      </c>
      <c r="AD6226">
        <v>-1.1108449495920001</v>
      </c>
      <c r="AE6226">
        <v>-2.1207799999999901</v>
      </c>
      <c r="AF6226">
        <v>-2.3243511748913201</v>
      </c>
      <c r="AG6226">
        <v>-1.1108449495920001</v>
      </c>
      <c r="AH6226">
        <v>38.648528920247301</v>
      </c>
      <c r="AI6226">
        <v>91.643387598831296</v>
      </c>
      <c r="AJ6226">
        <v>93.441665244753196</v>
      </c>
      <c r="AK6226">
        <v>38.734291946354702</v>
      </c>
      <c r="AL6226">
        <v>86.330341424114195</v>
      </c>
      <c r="AM6226">
        <v>93.765801737853593</v>
      </c>
      <c r="AN6226">
        <v>1.00000007375844</v>
      </c>
    </row>
    <row r="6227" spans="1:40" x14ac:dyDescent="0.25">
      <c r="A6227" t="str">
        <f>"20190312151148586"</f>
        <v>20190312151148586</v>
      </c>
      <c r="B6227" t="str">
        <f>"1552374708577598"</f>
        <v>1552374708577598</v>
      </c>
      <c r="C6227" t="s">
        <v>40</v>
      </c>
      <c r="D6227">
        <v>5.1598139999999999</v>
      </c>
      <c r="E6227">
        <v>0.50331619999999999</v>
      </c>
      <c r="F6227" t="s">
        <v>96</v>
      </c>
      <c r="G6227">
        <v>-228.8348</v>
      </c>
      <c r="H6227" s="1">
        <v>-3.6707779999999999E-6</v>
      </c>
      <c r="I6227">
        <v>-65.287710000000004</v>
      </c>
      <c r="J6227">
        <v>-268.25979999999998</v>
      </c>
      <c r="K6227">
        <v>1.1108290000000001</v>
      </c>
      <c r="L6227">
        <v>-63.100830000000002</v>
      </c>
      <c r="M6227">
        <v>0.99342200000000003</v>
      </c>
      <c r="N6227">
        <v>0</v>
      </c>
      <c r="O6227">
        <v>-0.1139569</v>
      </c>
      <c r="P6227">
        <v>0.99727679999999996</v>
      </c>
      <c r="Q6227">
        <v>5.4461490000000001E-2</v>
      </c>
      <c r="R6227">
        <v>-4.9727309999999997E-2</v>
      </c>
      <c r="S6227">
        <v>3.0040589999999998</v>
      </c>
      <c r="T6227">
        <v>-8.4391240000000006E-2</v>
      </c>
      <c r="U6227">
        <v>-0.16711429999999999</v>
      </c>
      <c r="V6227">
        <v>-6.4366179999999995E-2</v>
      </c>
      <c r="W6227">
        <v>6.5550800000000006E-2</v>
      </c>
      <c r="X6227">
        <v>0.99577110000000002</v>
      </c>
      <c r="Y6227">
        <v>-5.8538819999999998E-2</v>
      </c>
      <c r="Z6227">
        <v>4.0121180000000003E-3</v>
      </c>
      <c r="AA6227">
        <v>0.99827710000000003</v>
      </c>
      <c r="AB6227">
        <v>24</v>
      </c>
      <c r="AC6227">
        <v>39.424999999999898</v>
      </c>
      <c r="AD6227">
        <v>-1.1108326707780001</v>
      </c>
      <c r="AE6227">
        <v>-2.1868799999999999</v>
      </c>
      <c r="AF6227">
        <v>-2.3185678984382698</v>
      </c>
      <c r="AG6227">
        <v>-1.1108326707780001</v>
      </c>
      <c r="AH6227">
        <v>39.386194793389301</v>
      </c>
      <c r="AI6227">
        <v>91.612728790294199</v>
      </c>
      <c r="AJ6227">
        <v>93.368972859249396</v>
      </c>
      <c r="AK6227">
        <v>39.470014525269001</v>
      </c>
      <c r="AL6227">
        <v>86.241520885312198</v>
      </c>
      <c r="AM6227">
        <v>93.698427213473295</v>
      </c>
      <c r="AN6227">
        <v>0.99999999805182105</v>
      </c>
    </row>
    <row r="6228" spans="1:40" x14ac:dyDescent="0.25">
      <c r="A6228" t="str">
        <f>"20190312151148598"</f>
        <v>20190312151148598</v>
      </c>
      <c r="B6228" t="str">
        <f>"1552374708587359"</f>
        <v>1552374708587359</v>
      </c>
      <c r="C6228" t="s">
        <v>40</v>
      </c>
      <c r="D6228">
        <v>5.1585890000000001</v>
      </c>
      <c r="E6228">
        <v>0.50339929999999999</v>
      </c>
      <c r="F6228" t="s">
        <v>96</v>
      </c>
      <c r="G6228">
        <v>-227.91800000000001</v>
      </c>
      <c r="H6228" s="1">
        <v>-3.3705309999999898E-6</v>
      </c>
      <c r="I6228">
        <v>-65.375630000000001</v>
      </c>
      <c r="J6228">
        <v>-268.13369999999998</v>
      </c>
      <c r="K6228">
        <v>1.1108199999999999</v>
      </c>
      <c r="L6228">
        <v>-63.11459</v>
      </c>
      <c r="M6228">
        <v>0.99349600000000005</v>
      </c>
      <c r="N6228">
        <v>0</v>
      </c>
      <c r="O6228">
        <v>-0.1133118</v>
      </c>
      <c r="P6228">
        <v>0.99717540000000005</v>
      </c>
      <c r="Q6228">
        <v>5.608701E-2</v>
      </c>
      <c r="R6228">
        <v>-4.995409E-2</v>
      </c>
      <c r="S6228">
        <v>3.0042420000000001</v>
      </c>
      <c r="T6228">
        <v>-8.2723379999999999E-2</v>
      </c>
      <c r="U6228">
        <v>-0.1694031</v>
      </c>
      <c r="V6228">
        <v>-6.3483319999999996E-2</v>
      </c>
      <c r="W6228">
        <v>6.7162289999999999E-2</v>
      </c>
      <c r="X6228">
        <v>0.99572039999999995</v>
      </c>
      <c r="Y6228">
        <v>-5.7139200000000001E-2</v>
      </c>
      <c r="Z6228">
        <v>3.895618E-3</v>
      </c>
      <c r="AA6228">
        <v>0.99835859999999998</v>
      </c>
      <c r="AB6228">
        <v>24</v>
      </c>
      <c r="AC6228">
        <v>40.215699999999899</v>
      </c>
      <c r="AD6228">
        <v>-1.110823370531</v>
      </c>
      <c r="AE6228">
        <v>-2.2610399999999999</v>
      </c>
      <c r="AF6228">
        <v>-2.30896880686559</v>
      </c>
      <c r="AG6228">
        <v>-1.110823370531</v>
      </c>
      <c r="AH6228">
        <v>40.182315100582301</v>
      </c>
      <c r="AI6228">
        <v>91.580908128386596</v>
      </c>
      <c r="AJ6228">
        <v>93.288731547181897</v>
      </c>
      <c r="AK6228">
        <v>40.263925694771601</v>
      </c>
      <c r="AL6228">
        <v>86.148985394916096</v>
      </c>
      <c r="AM6228">
        <v>93.6480219709605</v>
      </c>
      <c r="AN6228">
        <v>1.0000000100462101</v>
      </c>
    </row>
    <row r="6229" spans="1:40" x14ac:dyDescent="0.25">
      <c r="A6229" t="str">
        <f>"20190312151148608"</f>
        <v>20190312151148608</v>
      </c>
      <c r="B6229" t="str">
        <f>"1552374708597119"</f>
        <v>1552374708597119</v>
      </c>
      <c r="C6229" t="s">
        <v>40</v>
      </c>
      <c r="D6229">
        <v>5.1582869999999996</v>
      </c>
      <c r="E6229">
        <v>0.50348510000000002</v>
      </c>
      <c r="F6229" t="s">
        <v>96</v>
      </c>
      <c r="G6229">
        <v>-226.90350000000001</v>
      </c>
      <c r="H6229" s="1">
        <v>-3.036645E-6</v>
      </c>
      <c r="I6229">
        <v>-65.460669999999993</v>
      </c>
      <c r="J6229">
        <v>-268.02179999999998</v>
      </c>
      <c r="K6229">
        <v>1.1108100000000001</v>
      </c>
      <c r="L6229">
        <v>-63.126710000000003</v>
      </c>
      <c r="M6229">
        <v>0.99355890000000002</v>
      </c>
      <c r="N6229">
        <v>0</v>
      </c>
      <c r="O6229">
        <v>-0.11276120000000001</v>
      </c>
      <c r="P6229">
        <v>0.99710690000000002</v>
      </c>
      <c r="Q6229">
        <v>5.7323060000000002E-2</v>
      </c>
      <c r="R6229">
        <v>-4.9922370000000001E-2</v>
      </c>
      <c r="S6229">
        <v>3.0044559999999998</v>
      </c>
      <c r="T6229">
        <v>-8.094585E-2</v>
      </c>
      <c r="U6229">
        <v>-0.17095949999999999</v>
      </c>
      <c r="V6229">
        <v>-6.2954369999999996E-2</v>
      </c>
      <c r="W6229">
        <v>6.8383979999999997E-2</v>
      </c>
      <c r="X6229">
        <v>0.99567079999999997</v>
      </c>
      <c r="Y6229">
        <v>-5.607757E-2</v>
      </c>
      <c r="Z6229">
        <v>3.782578E-3</v>
      </c>
      <c r="AA6229">
        <v>0.99841919999999995</v>
      </c>
      <c r="AB6229">
        <v>24</v>
      </c>
      <c r="AC6229">
        <v>41.118299999999898</v>
      </c>
      <c r="AD6229">
        <v>-1.110813036645</v>
      </c>
      <c r="AE6229">
        <v>-2.33395999999999</v>
      </c>
      <c r="AF6229">
        <v>-2.3160828289764201</v>
      </c>
      <c r="AG6229">
        <v>-1.110813036645</v>
      </c>
      <c r="AH6229">
        <v>41.089324691110903</v>
      </c>
      <c r="AI6229">
        <v>91.546109787593196</v>
      </c>
      <c r="AJ6229">
        <v>93.226178516576297</v>
      </c>
      <c r="AK6229">
        <v>41.169536660552801</v>
      </c>
      <c r="AL6229">
        <v>86.078826286457399</v>
      </c>
      <c r="AM6229">
        <v>93.617887051280604</v>
      </c>
      <c r="AN6229">
        <v>0.999999981697688</v>
      </c>
    </row>
    <row r="6230" spans="1:40" x14ac:dyDescent="0.25">
      <c r="A6230" t="str">
        <f>"20190312151148618"</f>
        <v>20190312151148618</v>
      </c>
      <c r="B6230" t="str">
        <f>"1552374708607854"</f>
        <v>1552374708607854</v>
      </c>
      <c r="C6230" t="s">
        <v>40</v>
      </c>
      <c r="D6230">
        <v>5.135942</v>
      </c>
      <c r="E6230">
        <v>0.50359160000000003</v>
      </c>
      <c r="F6230" t="s">
        <v>96</v>
      </c>
      <c r="G6230">
        <v>-226.6377</v>
      </c>
      <c r="H6230" s="1">
        <v>-2.9501349999999998E-6</v>
      </c>
      <c r="I6230">
        <v>-65.490129999999994</v>
      </c>
      <c r="J6230">
        <v>-267.9162</v>
      </c>
      <c r="K6230">
        <v>1.1108</v>
      </c>
      <c r="L6230">
        <v>-63.138150000000003</v>
      </c>
      <c r="M6230">
        <v>0.9936178</v>
      </c>
      <c r="N6230">
        <v>0</v>
      </c>
      <c r="O6230">
        <v>-0.1122423</v>
      </c>
      <c r="P6230">
        <v>0.99700650000000002</v>
      </c>
      <c r="Q6230">
        <v>5.8751610000000003E-2</v>
      </c>
      <c r="R6230">
        <v>-5.0263200000000001E-2</v>
      </c>
      <c r="S6230">
        <v>3.0047609999999998</v>
      </c>
      <c r="T6230">
        <v>-8.0652479999999999E-2</v>
      </c>
      <c r="U6230">
        <v>-0.17160029999999901</v>
      </c>
      <c r="V6230">
        <v>-6.2085109999999999E-2</v>
      </c>
      <c r="W6230">
        <v>6.9799680000000003E-2</v>
      </c>
      <c r="X6230">
        <v>0.99562720000000005</v>
      </c>
      <c r="Y6230">
        <v>-5.5350589999999998E-2</v>
      </c>
      <c r="Z6230">
        <v>3.744888E-3</v>
      </c>
      <c r="AA6230">
        <v>0.99845989999999996</v>
      </c>
      <c r="AB6230">
        <v>24</v>
      </c>
      <c r="AC6230">
        <v>41.278500000000001</v>
      </c>
      <c r="AD6230">
        <v>-1.1108029501350001</v>
      </c>
      <c r="AE6230">
        <v>-2.3519800000000002</v>
      </c>
      <c r="AF6230">
        <v>-2.2947121682067699</v>
      </c>
      <c r="AG6230">
        <v>-1.1108029501350001</v>
      </c>
      <c r="AH6230">
        <v>41.2518553660245</v>
      </c>
      <c r="AI6230">
        <v>91.540070735906397</v>
      </c>
      <c r="AJ6230">
        <v>93.183904340804602</v>
      </c>
      <c r="AK6230">
        <v>41.330559617168802</v>
      </c>
      <c r="AL6230">
        <v>85.997518570656794</v>
      </c>
      <c r="AM6230">
        <v>93.568217868408098</v>
      </c>
      <c r="AN6230">
        <v>1.0000000387958199</v>
      </c>
    </row>
    <row r="6231" spans="1:40" x14ac:dyDescent="0.25">
      <c r="A6231" t="str">
        <f>"20190312151148629"</f>
        <v>20190312151148629</v>
      </c>
      <c r="B6231" t="str">
        <f>"1552374708617614"</f>
        <v>1552374708617614</v>
      </c>
      <c r="C6231" t="s">
        <v>40</v>
      </c>
      <c r="D6231">
        <v>5.1242179999999999</v>
      </c>
      <c r="E6231">
        <v>0.5036697</v>
      </c>
      <c r="F6231" t="s">
        <v>96</v>
      </c>
      <c r="G6231">
        <v>-225.91739999999999</v>
      </c>
      <c r="H6231" s="1">
        <v>-2.7150400000000001E-6</v>
      </c>
      <c r="I6231">
        <v>-65.565089999999998</v>
      </c>
      <c r="J6231">
        <v>-267.80040000000002</v>
      </c>
      <c r="K6231">
        <v>1.110797</v>
      </c>
      <c r="L6231">
        <v>-63.150599999999997</v>
      </c>
      <c r="M6231">
        <v>0.99368040000000002</v>
      </c>
      <c r="N6231">
        <v>0</v>
      </c>
      <c r="O6231">
        <v>-0.11168989999999999</v>
      </c>
      <c r="P6231">
        <v>0.99696910000000005</v>
      </c>
      <c r="Q6231">
        <v>5.9535249999999998E-2</v>
      </c>
      <c r="R6231">
        <v>-5.0084049999999998E-2</v>
      </c>
      <c r="S6231">
        <v>3.0049739999999998</v>
      </c>
      <c r="T6231">
        <v>-7.9476950000000005E-2</v>
      </c>
      <c r="U6231">
        <v>-0.17364499999999999</v>
      </c>
      <c r="V6231">
        <v>-6.1703849999999998E-2</v>
      </c>
      <c r="W6231">
        <v>7.0567409999999997E-2</v>
      </c>
      <c r="X6231">
        <v>0.99559679999999995</v>
      </c>
      <c r="Y6231">
        <v>-5.4124619999999998E-2</v>
      </c>
      <c r="Z6231">
        <v>3.659261E-3</v>
      </c>
      <c r="AA6231">
        <v>0.99852750000000001</v>
      </c>
      <c r="AB6231">
        <v>24</v>
      </c>
      <c r="AC6231">
        <v>41.883000000000003</v>
      </c>
      <c r="AD6231">
        <v>-1.11079971504</v>
      </c>
      <c r="AE6231">
        <v>-2.4144899999999998</v>
      </c>
      <c r="AF6231">
        <v>-2.2772222315880102</v>
      </c>
      <c r="AG6231">
        <v>-1.11079971504</v>
      </c>
      <c r="AH6231">
        <v>41.861253570492103</v>
      </c>
      <c r="AI6231">
        <v>91.517759330225502</v>
      </c>
      <c r="AJ6231">
        <v>93.113780297423105</v>
      </c>
      <c r="AK6231">
        <v>41.937860789410898</v>
      </c>
      <c r="AL6231">
        <v>85.953422215861806</v>
      </c>
      <c r="AM6231">
        <v>93.546469814127704</v>
      </c>
      <c r="AN6231">
        <v>1.0000000563145801</v>
      </c>
    </row>
    <row r="6232" spans="1:40" x14ac:dyDescent="0.25">
      <c r="A6232" t="str">
        <f>"20190312151148640"</f>
        <v>20190312151148640</v>
      </c>
      <c r="B6232" t="str">
        <f>"1552374708637134"</f>
        <v>1552374708637134</v>
      </c>
      <c r="C6232" t="s">
        <v>40</v>
      </c>
      <c r="D6232">
        <v>5.1538110000000001</v>
      </c>
      <c r="E6232">
        <v>0.50382459999999996</v>
      </c>
      <c r="F6232" t="s">
        <v>96</v>
      </c>
      <c r="G6232">
        <v>-226.018</v>
      </c>
      <c r="H6232" s="1">
        <v>-2.7494010000000001E-6</v>
      </c>
      <c r="I6232">
        <v>-65.56617</v>
      </c>
      <c r="J6232">
        <v>-267.6893</v>
      </c>
      <c r="K6232">
        <v>1.1107899999999999</v>
      </c>
      <c r="L6232">
        <v>-63.162509999999997</v>
      </c>
      <c r="M6232">
        <v>0.99373979999999995</v>
      </c>
      <c r="N6232">
        <v>0</v>
      </c>
      <c r="O6232">
        <v>-0.1111613</v>
      </c>
      <c r="P6232">
        <v>0.99691189999999996</v>
      </c>
      <c r="Q6232">
        <v>6.0400309999999999E-2</v>
      </c>
      <c r="R6232">
        <v>-5.0187740000000002E-2</v>
      </c>
      <c r="S6232">
        <v>3.0051570000000001</v>
      </c>
      <c r="T6232">
        <v>-7.9892989999999997E-2</v>
      </c>
      <c r="U6232">
        <v>-0.17373659999999999</v>
      </c>
      <c r="V6232">
        <v>-6.1064470000000003E-2</v>
      </c>
      <c r="W6232">
        <v>7.1416859999999999E-2</v>
      </c>
      <c r="X6232">
        <v>0.9955756</v>
      </c>
      <c r="Y6232">
        <v>-5.356644E-2</v>
      </c>
      <c r="Z6232">
        <v>3.6568199999999999E-3</v>
      </c>
      <c r="AA6232">
        <v>0.99855760000000005</v>
      </c>
      <c r="AB6232">
        <v>24</v>
      </c>
      <c r="AC6232">
        <v>41.671300000000002</v>
      </c>
      <c r="AD6232">
        <v>-1.1107927494009999</v>
      </c>
      <c r="AE6232">
        <v>-2.4036599999999999</v>
      </c>
      <c r="AF6232">
        <v>-2.2421749271963201</v>
      </c>
      <c r="AG6232">
        <v>-1.1107927494009999</v>
      </c>
      <c r="AH6232">
        <v>41.650718776089498</v>
      </c>
      <c r="AI6232">
        <v>91.525464682244404</v>
      </c>
      <c r="AJ6232">
        <v>93.081418072572106</v>
      </c>
      <c r="AK6232">
        <v>41.725814353960402</v>
      </c>
      <c r="AL6232">
        <v>85.904629001404402</v>
      </c>
      <c r="AM6232">
        <v>93.509887918984404</v>
      </c>
      <c r="AN6232">
        <v>1.000000006352</v>
      </c>
    </row>
    <row r="6233" spans="1:40" x14ac:dyDescent="0.25">
      <c r="A6233" t="str">
        <f>"20190312151148650"</f>
        <v>20190312151148650</v>
      </c>
      <c r="B6233" t="str">
        <f>"1552374708647870"</f>
        <v>1552374708647870</v>
      </c>
      <c r="C6233" t="s">
        <v>40</v>
      </c>
      <c r="D6233">
        <v>5.1268989999999999</v>
      </c>
      <c r="E6233">
        <v>0.50389740000000005</v>
      </c>
      <c r="F6233" t="s">
        <v>96</v>
      </c>
      <c r="G6233">
        <v>-227.2099</v>
      </c>
      <c r="H6233" s="1">
        <v>-3.1494139999999998E-6</v>
      </c>
      <c r="I6233">
        <v>-65.524280000000005</v>
      </c>
      <c r="J6233">
        <v>-267.56979999999999</v>
      </c>
      <c r="K6233">
        <v>1.1107849999999999</v>
      </c>
      <c r="L6233">
        <v>-63.175229999999999</v>
      </c>
      <c r="M6233">
        <v>0.99380239999999997</v>
      </c>
      <c r="N6233">
        <v>0</v>
      </c>
      <c r="O6233">
        <v>-0.11060200000000001</v>
      </c>
      <c r="P6233">
        <v>0.99686249999999998</v>
      </c>
      <c r="Q6233">
        <v>6.1233179999999998E-2</v>
      </c>
      <c r="R6233">
        <v>-5.0158590000000003E-2</v>
      </c>
      <c r="S6233">
        <v>3.0054630000000002</v>
      </c>
      <c r="T6233">
        <v>-8.2472680000000007E-2</v>
      </c>
      <c r="U6233">
        <v>-0.17535400000000001</v>
      </c>
      <c r="V6233">
        <v>-6.0527310000000001E-2</v>
      </c>
      <c r="W6233">
        <v>7.2230630000000004E-2</v>
      </c>
      <c r="X6233">
        <v>0.99554969999999998</v>
      </c>
      <c r="Y6233">
        <v>-5.2471480000000001E-2</v>
      </c>
      <c r="Z6233">
        <v>3.7441430000000001E-3</v>
      </c>
      <c r="AA6233">
        <v>0.99861540000000004</v>
      </c>
      <c r="AB6233">
        <v>24</v>
      </c>
      <c r="AC6233">
        <v>40.359899999999897</v>
      </c>
      <c r="AD6233">
        <v>-1.1107881494139999</v>
      </c>
      <c r="AE6233">
        <v>-2.3490499999999899</v>
      </c>
      <c r="AF6233">
        <v>-2.1279197712147799</v>
      </c>
      <c r="AG6233">
        <v>-1.1107881494139999</v>
      </c>
      <c r="AH6233">
        <v>40.341623817736597</v>
      </c>
      <c r="AI6233">
        <v>91.575026089643501</v>
      </c>
      <c r="AJ6233">
        <v>93.019410859386099</v>
      </c>
      <c r="AK6233">
        <v>40.412974465106899</v>
      </c>
      <c r="AL6233">
        <v>85.857882708172099</v>
      </c>
      <c r="AM6233">
        <v>93.479179283955702</v>
      </c>
      <c r="AN6233">
        <v>1.0000000121680599</v>
      </c>
    </row>
    <row r="6234" spans="1:40" x14ac:dyDescent="0.25">
      <c r="A6234" t="str">
        <f>"20190312151148663"</f>
        <v>20190312151148663</v>
      </c>
      <c r="B6234" t="str">
        <f>"1552374708657631"</f>
        <v>1552374708657631</v>
      </c>
      <c r="C6234" t="s">
        <v>40</v>
      </c>
      <c r="D6234">
        <v>5.1694329999999997</v>
      </c>
      <c r="E6234">
        <v>0.5039342</v>
      </c>
      <c r="F6234" t="s">
        <v>96</v>
      </c>
      <c r="G6234">
        <v>-227.0247</v>
      </c>
      <c r="H6234" s="1">
        <v>-3.089414E-6</v>
      </c>
      <c r="I6234">
        <v>-65.546909999999997</v>
      </c>
      <c r="J6234">
        <v>-267.4504</v>
      </c>
      <c r="K6234">
        <v>1.110779</v>
      </c>
      <c r="L6234">
        <v>-63.187930000000001</v>
      </c>
      <c r="M6234">
        <v>0.99386439999999998</v>
      </c>
      <c r="N6234">
        <v>0</v>
      </c>
      <c r="O6234">
        <v>-0.1100454</v>
      </c>
      <c r="P6234">
        <v>0.99679709999999999</v>
      </c>
      <c r="Q6234">
        <v>6.2312920000000001E-2</v>
      </c>
      <c r="R6234">
        <v>-5.0124120000000001E-2</v>
      </c>
      <c r="S6234">
        <v>3.0056150000000001</v>
      </c>
      <c r="T6234">
        <v>-8.2342739999999998E-2</v>
      </c>
      <c r="U6234">
        <v>-0.17581179999999999</v>
      </c>
      <c r="V6234">
        <v>-5.9997139999999997E-2</v>
      </c>
      <c r="W6234">
        <v>7.3290679999999997E-2</v>
      </c>
      <c r="X6234">
        <v>0.99550430000000001</v>
      </c>
      <c r="Y6234">
        <v>-5.1764190000000002E-2</v>
      </c>
      <c r="Z6234">
        <v>3.7132160000000001E-3</v>
      </c>
      <c r="AA6234">
        <v>0.99865250000000005</v>
      </c>
      <c r="AB6234">
        <v>24</v>
      </c>
      <c r="AC6234">
        <v>40.425699999999999</v>
      </c>
      <c r="AD6234">
        <v>-1.1107820894139999</v>
      </c>
      <c r="AE6234">
        <v>-2.3589799999999901</v>
      </c>
      <c r="AF6234">
        <v>-2.1027039575163098</v>
      </c>
      <c r="AG6234">
        <v>-1.1107820894139999</v>
      </c>
      <c r="AH6234">
        <v>40.409352281799599</v>
      </c>
      <c r="AI6234">
        <v>91.5724375043864</v>
      </c>
      <c r="AJ6234">
        <v>92.978704091604897</v>
      </c>
      <c r="AK6234">
        <v>40.479265712432401</v>
      </c>
      <c r="AL6234">
        <v>85.796984832800803</v>
      </c>
      <c r="AM6234">
        <v>93.448935285560793</v>
      </c>
      <c r="AN6234">
        <v>0.99999999595076505</v>
      </c>
    </row>
    <row r="6235" spans="1:40" x14ac:dyDescent="0.25">
      <c r="A6235" t="str">
        <f>"20190312151148674"</f>
        <v>20190312151148674</v>
      </c>
      <c r="B6235" t="str">
        <f>"1552374708667390"</f>
        <v>1552374708667390</v>
      </c>
      <c r="C6235" t="s">
        <v>40</v>
      </c>
      <c r="D6235">
        <v>5.1389440000000004</v>
      </c>
      <c r="E6235">
        <v>0.50398540000000003</v>
      </c>
      <c r="F6235" t="s">
        <v>96</v>
      </c>
      <c r="G6235">
        <v>-226.4846</v>
      </c>
      <c r="H6235" s="1">
        <v>-2.911077E-6</v>
      </c>
      <c r="I6235">
        <v>-65.587719999999905</v>
      </c>
      <c r="J6235">
        <v>-267.33249999999998</v>
      </c>
      <c r="K6235">
        <v>1.110778</v>
      </c>
      <c r="L6235">
        <v>-63.200380000000003</v>
      </c>
      <c r="M6235">
        <v>0.99392499999999995</v>
      </c>
      <c r="N6235">
        <v>0</v>
      </c>
      <c r="O6235">
        <v>-0.1094991</v>
      </c>
      <c r="P6235">
        <v>0.9967222</v>
      </c>
      <c r="Q6235">
        <v>6.3471760000000002E-2</v>
      </c>
      <c r="R6235">
        <v>-5.0165769999999998E-2</v>
      </c>
      <c r="S6235">
        <v>3.00589</v>
      </c>
      <c r="T6235">
        <v>-8.1504229999999997E-2</v>
      </c>
      <c r="U6235">
        <v>-0.1760864</v>
      </c>
      <c r="V6235">
        <v>-5.9401580000000002E-2</v>
      </c>
      <c r="W6235">
        <v>7.4429599999999999E-2</v>
      </c>
      <c r="X6235">
        <v>0.99545550000000005</v>
      </c>
      <c r="Y6235">
        <v>-5.1131320000000001E-2</v>
      </c>
      <c r="Z6235">
        <v>3.6517899999999998E-3</v>
      </c>
      <c r="AA6235">
        <v>0.99868520000000005</v>
      </c>
      <c r="AB6235">
        <v>24</v>
      </c>
      <c r="AC6235">
        <v>40.847899999999903</v>
      </c>
      <c r="AD6235">
        <v>-1.1107809110769999</v>
      </c>
      <c r="AE6235">
        <v>-2.38733999999998</v>
      </c>
      <c r="AF6235">
        <v>-2.0985540573854999</v>
      </c>
      <c r="AG6235">
        <v>-1.1107809110769999</v>
      </c>
      <c r="AH6235">
        <v>40.833582431908802</v>
      </c>
      <c r="AI6235">
        <v>91.556159008005594</v>
      </c>
      <c r="AJ6235">
        <v>92.942004890916294</v>
      </c>
      <c r="AK6235">
        <v>40.902557592254198</v>
      </c>
      <c r="AL6235">
        <v>85.731550737462896</v>
      </c>
      <c r="AM6235">
        <v>93.414947946597906</v>
      </c>
      <c r="AN6235">
        <v>0.99999998277145297</v>
      </c>
    </row>
    <row r="6236" spans="1:40" x14ac:dyDescent="0.25">
      <c r="A6236" t="str">
        <f>"20190312151148685"</f>
        <v>20190312151148685</v>
      </c>
      <c r="B6236" t="str">
        <f>"1552374708677151"</f>
        <v>1552374708677151</v>
      </c>
      <c r="C6236" t="s">
        <v>40</v>
      </c>
      <c r="D6236">
        <v>5.1425380000000001</v>
      </c>
      <c r="E6236">
        <v>0.50399539999999998</v>
      </c>
      <c r="F6236" t="s">
        <v>96</v>
      </c>
      <c r="G6236">
        <v>-225.9658</v>
      </c>
      <c r="H6236" s="1">
        <v>-2.7402539999999998E-6</v>
      </c>
      <c r="I6236">
        <v>-65.630619999999993</v>
      </c>
      <c r="J6236">
        <v>-267.21530000000001</v>
      </c>
      <c r="K6236">
        <v>1.110779</v>
      </c>
      <c r="L6236">
        <v>-63.212679999999999</v>
      </c>
      <c r="M6236">
        <v>0.99398470000000005</v>
      </c>
      <c r="N6236">
        <v>0</v>
      </c>
      <c r="O6236">
        <v>-0.1089579</v>
      </c>
      <c r="P6236">
        <v>0.99666339999999998</v>
      </c>
      <c r="Q6236">
        <v>6.4554150000000005E-2</v>
      </c>
      <c r="R6236">
        <v>-4.9947760000000001E-2</v>
      </c>
      <c r="S6236">
        <v>3.0061040000000001</v>
      </c>
      <c r="T6236">
        <v>-8.0719949999999999E-2</v>
      </c>
      <c r="U6236">
        <v>-0.17660519999999999</v>
      </c>
      <c r="V6236">
        <v>-5.9070749999999998E-2</v>
      </c>
      <c r="W6236">
        <v>7.5491849999999999E-2</v>
      </c>
      <c r="X6236">
        <v>0.99539520000000004</v>
      </c>
      <c r="Y6236">
        <v>-5.0421390000000003E-2</v>
      </c>
      <c r="Z6236">
        <v>3.5924279999999999E-3</v>
      </c>
      <c r="AA6236">
        <v>0.99872159999999999</v>
      </c>
      <c r="AB6236">
        <v>24</v>
      </c>
      <c r="AC6236">
        <v>41.249499999999998</v>
      </c>
      <c r="AD6236">
        <v>-1.1107817402539999</v>
      </c>
      <c r="AE6236">
        <v>-2.4179399999999802</v>
      </c>
      <c r="AF6236">
        <v>-2.0896815995984301</v>
      </c>
      <c r="AG6236">
        <v>-1.1107817402539999</v>
      </c>
      <c r="AH6236">
        <v>41.237554669155401</v>
      </c>
      <c r="AI6236">
        <v>91.5409794025297</v>
      </c>
      <c r="AJ6236">
        <v>92.900938496168806</v>
      </c>
      <c r="AK6236">
        <v>41.305405461679698</v>
      </c>
      <c r="AL6236">
        <v>85.670516596346403</v>
      </c>
      <c r="AM6236">
        <v>93.396178681428793</v>
      </c>
      <c r="AN6236">
        <v>0.99999998855251204</v>
      </c>
    </row>
    <row r="6237" spans="1:40" x14ac:dyDescent="0.25">
      <c r="A6237" t="str">
        <f>"20190312151148696"</f>
        <v>20190312151148696</v>
      </c>
      <c r="B6237" t="str">
        <f>"1552374708687887"</f>
        <v>1552374708687887</v>
      </c>
      <c r="C6237" t="s">
        <v>40</v>
      </c>
      <c r="D6237">
        <v>5.1467199999999904</v>
      </c>
      <c r="E6237">
        <v>0.5040268</v>
      </c>
      <c r="F6237" t="s">
        <v>96</v>
      </c>
      <c r="G6237">
        <v>-225.4383</v>
      </c>
      <c r="H6237" s="1">
        <v>-2.564563E-6</v>
      </c>
      <c r="I6237">
        <v>-65.659120000000001</v>
      </c>
      <c r="J6237">
        <v>-267.09750000000003</v>
      </c>
      <c r="K6237">
        <v>1.110779</v>
      </c>
      <c r="L6237">
        <v>-63.22504</v>
      </c>
      <c r="M6237">
        <v>0.9940445</v>
      </c>
      <c r="N6237">
        <v>0</v>
      </c>
      <c r="O6237">
        <v>-0.1084145</v>
      </c>
      <c r="P6237">
        <v>0.99659980000000004</v>
      </c>
      <c r="Q6237">
        <v>6.5591739999999996E-2</v>
      </c>
      <c r="R6237">
        <v>-4.9868889999999999E-2</v>
      </c>
      <c r="S6237">
        <v>3.0064389999999999</v>
      </c>
      <c r="T6237">
        <v>-7.9936270000000004E-2</v>
      </c>
      <c r="U6237">
        <v>-0.17605589999999999</v>
      </c>
      <c r="V6237">
        <v>-5.8599610000000003E-2</v>
      </c>
      <c r="W6237">
        <v>7.651028E-2</v>
      </c>
      <c r="X6237">
        <v>0.99534529999999999</v>
      </c>
      <c r="Y6237">
        <v>-5.006526E-2</v>
      </c>
      <c r="Z6237">
        <v>3.5381179999999998E-3</v>
      </c>
      <c r="AA6237">
        <v>0.99873970000000001</v>
      </c>
      <c r="AB6237">
        <v>24</v>
      </c>
      <c r="AC6237">
        <v>41.659199999999998</v>
      </c>
      <c r="AD6237">
        <v>-1.1107815645629999</v>
      </c>
      <c r="AE6237">
        <v>-2.4340799999999998</v>
      </c>
      <c r="AF6237">
        <v>-2.0955205135947401</v>
      </c>
      <c r="AG6237">
        <v>-1.1107815645629999</v>
      </c>
      <c r="AH6237">
        <v>41.648018351792203</v>
      </c>
      <c r="AI6237">
        <v>91.525826786276298</v>
      </c>
      <c r="AJ6237">
        <v>92.880408750581793</v>
      </c>
      <c r="AK6237">
        <v>41.7154944180012</v>
      </c>
      <c r="AL6237">
        <v>85.611995652161895</v>
      </c>
      <c r="AM6237">
        <v>93.369322403667894</v>
      </c>
      <c r="AN6237">
        <v>1.00000000173496</v>
      </c>
    </row>
    <row r="6238" spans="1:40" x14ac:dyDescent="0.25">
      <c r="A6238" t="str">
        <f>"20190312151148708"</f>
        <v>20190312151148708</v>
      </c>
      <c r="B6238" t="str">
        <f>"1552374708697647"</f>
        <v>1552374708697647</v>
      </c>
      <c r="C6238" t="s">
        <v>40</v>
      </c>
      <c r="D6238">
        <v>5.1663480000000002</v>
      </c>
      <c r="E6238">
        <v>0.50407239999999998</v>
      </c>
      <c r="F6238" t="s">
        <v>96</v>
      </c>
      <c r="G6238">
        <v>-225.1634</v>
      </c>
      <c r="H6238" s="1">
        <v>-2.4738669999999999E-6</v>
      </c>
      <c r="I6238">
        <v>-65.680459999999997</v>
      </c>
      <c r="J6238">
        <v>-266.97329999999999</v>
      </c>
      <c r="K6238">
        <v>1.1107819999999999</v>
      </c>
      <c r="L6238">
        <v>-63.237949999999998</v>
      </c>
      <c r="M6238">
        <v>0.99410699999999996</v>
      </c>
      <c r="N6238">
        <v>0</v>
      </c>
      <c r="O6238">
        <v>-0.1078418</v>
      </c>
      <c r="P6238">
        <v>0.99655530000000003</v>
      </c>
      <c r="Q6238">
        <v>6.6500320000000002E-2</v>
      </c>
      <c r="R6238">
        <v>-4.955333E-2</v>
      </c>
      <c r="S6238">
        <v>3.0067140000000001</v>
      </c>
      <c r="T6238">
        <v>-7.9644080000000006E-2</v>
      </c>
      <c r="U6238">
        <v>-0.17605589999999999</v>
      </c>
      <c r="V6238">
        <v>-5.833646E-2</v>
      </c>
      <c r="W6238">
        <v>7.7396939999999997E-2</v>
      </c>
      <c r="X6238">
        <v>0.99529219999999896</v>
      </c>
      <c r="Y6238">
        <v>-4.9495900000000002E-2</v>
      </c>
      <c r="Z6238">
        <v>3.5022690000000001E-3</v>
      </c>
      <c r="AA6238">
        <v>0.99876819999999999</v>
      </c>
      <c r="AB6238">
        <v>24</v>
      </c>
      <c r="AC6238">
        <v>41.809899999999999</v>
      </c>
      <c r="AD6238">
        <v>-1.1107844738670001</v>
      </c>
      <c r="AE6238">
        <v>-2.4425099999999902</v>
      </c>
      <c r="AF6238">
        <v>-2.0794022004532202</v>
      </c>
      <c r="AG6238">
        <v>-1.1107844738670001</v>
      </c>
      <c r="AH6238">
        <v>41.800054983620797</v>
      </c>
      <c r="AI6238">
        <v>91.520326706133403</v>
      </c>
      <c r="AJ6238">
        <v>92.847910993438006</v>
      </c>
      <c r="AK6238">
        <v>41.866482444699798</v>
      </c>
      <c r="AL6238">
        <v>85.561042657623801</v>
      </c>
      <c r="AM6238">
        <v>93.354405142720296</v>
      </c>
      <c r="AN6238">
        <v>0.999999996133767</v>
      </c>
    </row>
    <row r="6239" spans="1:40" x14ac:dyDescent="0.25">
      <c r="A6239" t="str">
        <f>"20190312151148719"</f>
        <v>20190312151148719</v>
      </c>
      <c r="B6239" t="str">
        <f>"1552374708707408"</f>
        <v>1552374708707408</v>
      </c>
      <c r="C6239" t="s">
        <v>40</v>
      </c>
      <c r="D6239">
        <v>5.1386349999999998</v>
      </c>
      <c r="E6239">
        <v>0.50409759999999904</v>
      </c>
      <c r="F6239" t="s">
        <v>96</v>
      </c>
      <c r="G6239">
        <v>-225.03540000000001</v>
      </c>
      <c r="H6239" s="1">
        <v>-2.4309470000000001E-6</v>
      </c>
      <c r="I6239">
        <v>-65.685269999999903</v>
      </c>
      <c r="J6239">
        <v>-266.86020000000002</v>
      </c>
      <c r="K6239">
        <v>1.1107849999999999</v>
      </c>
      <c r="L6239">
        <v>-63.249630000000003</v>
      </c>
      <c r="M6239">
        <v>0.99416360000000004</v>
      </c>
      <c r="N6239">
        <v>0</v>
      </c>
      <c r="O6239">
        <v>-0.10731980000000001</v>
      </c>
      <c r="P6239">
        <v>0.99649750000000004</v>
      </c>
      <c r="Q6239">
        <v>6.7195790000000005E-2</v>
      </c>
      <c r="R6239">
        <v>-4.9773940000000003E-2</v>
      </c>
      <c r="S6239">
        <v>3.0069889999999999</v>
      </c>
      <c r="T6239">
        <v>-7.9644320000000005E-2</v>
      </c>
      <c r="U6239">
        <v>-0.1754761</v>
      </c>
      <c r="V6239">
        <v>-5.7589710000000002E-2</v>
      </c>
      <c r="W6239">
        <v>7.8073429999999999E-2</v>
      </c>
      <c r="X6239">
        <v>0.99528280000000002</v>
      </c>
      <c r="Y6239">
        <v>-4.9169020000000001E-2</v>
      </c>
      <c r="Z6239">
        <v>3.4839319999999999E-3</v>
      </c>
      <c r="AA6239">
        <v>0.99878440000000002</v>
      </c>
      <c r="AB6239">
        <v>24</v>
      </c>
      <c r="AC6239">
        <v>41.824800000000003</v>
      </c>
      <c r="AD6239">
        <v>-1.1107874309469901</v>
      </c>
      <c r="AE6239">
        <v>-2.4356399999999798</v>
      </c>
      <c r="AF6239">
        <v>-2.0658776144243398</v>
      </c>
      <c r="AG6239">
        <v>-1.1107874309469901</v>
      </c>
      <c r="AH6239">
        <v>41.815227956572599</v>
      </c>
      <c r="AI6239">
        <v>91.519805000961497</v>
      </c>
      <c r="AJ6239">
        <v>92.828393158476203</v>
      </c>
      <c r="AK6239">
        <v>41.880962119973603</v>
      </c>
      <c r="AL6239">
        <v>85.522164756823699</v>
      </c>
      <c r="AM6239">
        <v>93.3115936533857</v>
      </c>
      <c r="AN6239">
        <v>0.99999994357284205</v>
      </c>
    </row>
    <row r="6240" spans="1:40" x14ac:dyDescent="0.25">
      <c r="A6240" t="str">
        <f>"20190312151148729"</f>
        <v>20190312151148729</v>
      </c>
      <c r="B6240" t="str">
        <f>"1552374708717167"</f>
        <v>1552374708717167</v>
      </c>
      <c r="C6240" t="s">
        <v>40</v>
      </c>
      <c r="D6240">
        <v>5.1556189999999997</v>
      </c>
      <c r="E6240">
        <v>0.50412979999999996</v>
      </c>
      <c r="F6240" t="s">
        <v>96</v>
      </c>
      <c r="G6240">
        <v>-225.36609999999999</v>
      </c>
      <c r="H6240" s="1">
        <v>-2.5429400000000001E-6</v>
      </c>
      <c r="I6240">
        <v>-65.681049999999999</v>
      </c>
      <c r="J6240">
        <v>-266.74209999999999</v>
      </c>
      <c r="K6240">
        <v>1.110797</v>
      </c>
      <c r="L6240">
        <v>-63.261780000000002</v>
      </c>
      <c r="M6240">
        <v>0.99422259999999996</v>
      </c>
      <c r="N6240">
        <v>0</v>
      </c>
      <c r="O6240">
        <v>-0.1067729</v>
      </c>
      <c r="P6240">
        <v>0.99649350000000003</v>
      </c>
      <c r="Q6240">
        <v>6.7599190000000003E-2</v>
      </c>
      <c r="R6240">
        <v>-4.9308440000000002E-2</v>
      </c>
      <c r="S6240">
        <v>3.0071409999999998</v>
      </c>
      <c r="T6240">
        <v>-8.0500600000000005E-2</v>
      </c>
      <c r="U6240">
        <v>-0.17620849999999999</v>
      </c>
      <c r="V6240">
        <v>-5.7505880000000002E-2</v>
      </c>
      <c r="W6240">
        <v>7.8455639999999993E-2</v>
      </c>
      <c r="X6240">
        <v>0.99525770000000002</v>
      </c>
      <c r="Y6240">
        <v>-4.8379449999999997E-2</v>
      </c>
      <c r="Z6240">
        <v>3.4960680000000002E-3</v>
      </c>
      <c r="AA6240">
        <v>0.99882289999999996</v>
      </c>
      <c r="AB6240">
        <v>24</v>
      </c>
      <c r="AC6240">
        <v>41.375999999999998</v>
      </c>
      <c r="AD6240">
        <v>-1.1107995429399999</v>
      </c>
      <c r="AE6240">
        <v>-2.4192699999999898</v>
      </c>
      <c r="AF6240">
        <v>-2.0112197265454501</v>
      </c>
      <c r="AG6240">
        <v>-1.1107995429399999</v>
      </c>
      <c r="AH6240">
        <v>41.368057043397997</v>
      </c>
      <c r="AI6240">
        <v>91.536301454803294</v>
      </c>
      <c r="AJ6240">
        <v>92.783397295858506</v>
      </c>
      <c r="AK6240">
        <v>41.431811738794003</v>
      </c>
      <c r="AL6240">
        <v>85.500198843268606</v>
      </c>
      <c r="AM6240">
        <v>93.306867074450807</v>
      </c>
      <c r="AN6240">
        <v>1.00000005154583</v>
      </c>
    </row>
    <row r="6241" spans="1:40" x14ac:dyDescent="0.25">
      <c r="A6241" t="str">
        <f>"20190312151148741"</f>
        <v>20190312151148741</v>
      </c>
      <c r="B6241" t="str">
        <f>"1552374708737663"</f>
        <v>1552374708737663</v>
      </c>
      <c r="C6241" t="s">
        <v>40</v>
      </c>
      <c r="D6241">
        <v>5.1267740000000002</v>
      </c>
      <c r="E6241">
        <v>0.50414799999999904</v>
      </c>
      <c r="F6241" t="s">
        <v>96</v>
      </c>
      <c r="G6241">
        <v>-226.172</v>
      </c>
      <c r="H6241" s="1">
        <v>-2.809265E-6</v>
      </c>
      <c r="I6241">
        <v>-65.621930000000006</v>
      </c>
      <c r="J6241">
        <v>-266.62599999999998</v>
      </c>
      <c r="K6241">
        <v>1.1107990000000001</v>
      </c>
      <c r="L6241">
        <v>-63.273650000000004</v>
      </c>
      <c r="M6241">
        <v>0.99428059999999996</v>
      </c>
      <c r="N6241">
        <v>0</v>
      </c>
      <c r="O6241">
        <v>-0.1062347</v>
      </c>
      <c r="P6241">
        <v>0.996475</v>
      </c>
      <c r="Q6241">
        <v>6.8055290000000004E-2</v>
      </c>
      <c r="R6241">
        <v>-4.9052690000000003E-2</v>
      </c>
      <c r="S6241">
        <v>3.0074459999999998</v>
      </c>
      <c r="T6241">
        <v>-8.2343100000000002E-2</v>
      </c>
      <c r="U6241">
        <v>-0.17495729999999901</v>
      </c>
      <c r="V6241">
        <v>-5.7220109999999998E-2</v>
      </c>
      <c r="W6241">
        <v>7.8891050000000004E-2</v>
      </c>
      <c r="X6241">
        <v>0.99523969999999995</v>
      </c>
      <c r="Y6241">
        <v>-4.8256470000000003E-2</v>
      </c>
      <c r="Z6241">
        <v>3.5594340000000002E-3</v>
      </c>
      <c r="AA6241">
        <v>0.99882859999999996</v>
      </c>
      <c r="AB6241">
        <v>24</v>
      </c>
      <c r="AC6241">
        <v>40.453999999999901</v>
      </c>
      <c r="AD6241">
        <v>-1.1108018092649901</v>
      </c>
      <c r="AE6241">
        <v>-2.3482799999999999</v>
      </c>
      <c r="AF6241">
        <v>-1.9614134875693401</v>
      </c>
      <c r="AG6241">
        <v>-1.1108018092649901</v>
      </c>
      <c r="AH6241">
        <v>40.444139371677501</v>
      </c>
      <c r="AI6241">
        <v>91.571392170861401</v>
      </c>
      <c r="AJ6241">
        <v>92.7764896514703</v>
      </c>
      <c r="AK6241">
        <v>40.506905991995502</v>
      </c>
      <c r="AL6241">
        <v>85.475173888099903</v>
      </c>
      <c r="AM6241">
        <v>93.290529492829293</v>
      </c>
      <c r="AN6241">
        <v>0.99999999960730201</v>
      </c>
    </row>
    <row r="6242" spans="1:40" x14ac:dyDescent="0.25">
      <c r="A6242" t="str">
        <f>"20190312151148752"</f>
        <v>20190312151148752</v>
      </c>
      <c r="B6242" t="str">
        <f>"1552374708747422"</f>
        <v>1552374708747422</v>
      </c>
      <c r="C6242" t="s">
        <v>40</v>
      </c>
      <c r="D6242">
        <v>5.3829029999999998</v>
      </c>
      <c r="E6242">
        <v>0.50419579999999997</v>
      </c>
      <c r="F6242" t="s">
        <v>96</v>
      </c>
      <c r="G6242">
        <v>-228.48750000000001</v>
      </c>
      <c r="H6242" s="1">
        <v>-3.5785870000000002E-6</v>
      </c>
      <c r="I6242">
        <v>-65.48227</v>
      </c>
      <c r="J6242">
        <v>-266.50869999999998</v>
      </c>
      <c r="K6242">
        <v>1.1108009999999999</v>
      </c>
      <c r="L6242">
        <v>-63.285580000000003</v>
      </c>
      <c r="M6242">
        <v>0.99433919999999998</v>
      </c>
      <c r="N6242">
        <v>0</v>
      </c>
      <c r="O6242">
        <v>-0.10568760000000001</v>
      </c>
      <c r="P6242">
        <v>0.99646970000000001</v>
      </c>
      <c r="Q6242">
        <v>6.8307220000000002E-2</v>
      </c>
      <c r="R6242">
        <v>-4.8810439999999997E-2</v>
      </c>
      <c r="S6242">
        <v>3.0079959999999999</v>
      </c>
      <c r="T6242">
        <v>-8.7609290000000006E-2</v>
      </c>
      <c r="U6242">
        <v>-0.1741943</v>
      </c>
      <c r="V6242">
        <v>-5.6913900000000003E-2</v>
      </c>
      <c r="W6242">
        <v>7.9123029999999997E-2</v>
      </c>
      <c r="X6242">
        <v>0.99523879999999998</v>
      </c>
      <c r="Y6242">
        <v>-4.7962640000000001E-2</v>
      </c>
      <c r="Z6242">
        <v>3.7662260000000001E-3</v>
      </c>
      <c r="AA6242">
        <v>0.99884200000000001</v>
      </c>
      <c r="AB6242">
        <v>24</v>
      </c>
      <c r="AC6242">
        <v>38.021199999999901</v>
      </c>
      <c r="AD6242">
        <v>-1.110804578587</v>
      </c>
      <c r="AE6242">
        <v>-2.19668999999999</v>
      </c>
      <c r="AF6242">
        <v>-1.8326651209521401</v>
      </c>
      <c r="AG6242">
        <v>-1.110804578587</v>
      </c>
      <c r="AH6242">
        <v>38.00807554667</v>
      </c>
      <c r="AI6242">
        <v>91.6720791287092</v>
      </c>
      <c r="AJ6242">
        <v>92.760537386355594</v>
      </c>
      <c r="AK6242">
        <v>38.068443033813899</v>
      </c>
      <c r="AL6242">
        <v>85.461840542784998</v>
      </c>
      <c r="AM6242">
        <v>93.272961759049707</v>
      </c>
      <c r="AN6242">
        <v>0.99999995745751402</v>
      </c>
    </row>
    <row r="6243" spans="1:40" x14ac:dyDescent="0.25">
      <c r="A6243" t="str">
        <f>"20190312151148764"</f>
        <v>20190312151148764</v>
      </c>
      <c r="B6243" t="str">
        <f>"1552374708757182"</f>
        <v>1552374708757182</v>
      </c>
      <c r="C6243" t="s">
        <v>40</v>
      </c>
      <c r="D6243">
        <v>5.3356079999999997</v>
      </c>
      <c r="E6243">
        <v>0.5042489</v>
      </c>
      <c r="F6243" t="s">
        <v>96</v>
      </c>
      <c r="G6243">
        <v>-228.77789999999999</v>
      </c>
      <c r="H6243" s="1">
        <v>-3.6751990000000002E-6</v>
      </c>
      <c r="I6243">
        <v>-65.46584</v>
      </c>
      <c r="J6243">
        <v>-266.3827</v>
      </c>
      <c r="K6243">
        <v>1.110806</v>
      </c>
      <c r="L6243">
        <v>-63.298340000000003</v>
      </c>
      <c r="M6243">
        <v>0.99440189999999995</v>
      </c>
      <c r="N6243">
        <v>0</v>
      </c>
      <c r="O6243">
        <v>-0.1050981</v>
      </c>
      <c r="P6243">
        <v>0.99644759999999999</v>
      </c>
      <c r="Q6243">
        <v>6.8736309999999995E-2</v>
      </c>
      <c r="R6243">
        <v>-4.8660019999999998E-2</v>
      </c>
      <c r="S6243">
        <v>3.0082089999999999</v>
      </c>
      <c r="T6243">
        <v>-8.8562489999999994E-2</v>
      </c>
      <c r="U6243">
        <v>-0.17382810000000001</v>
      </c>
      <c r="V6243">
        <v>-5.6472130000000002E-2</v>
      </c>
      <c r="W6243">
        <v>7.9530859999999995E-2</v>
      </c>
      <c r="X6243">
        <v>0.99523150000000005</v>
      </c>
      <c r="Y6243">
        <v>-4.7494799999999997E-2</v>
      </c>
      <c r="Z6243">
        <v>3.782816E-3</v>
      </c>
      <c r="AA6243">
        <v>0.99886430000000004</v>
      </c>
      <c r="AB6243">
        <v>24</v>
      </c>
      <c r="AC6243">
        <v>37.604799999999997</v>
      </c>
      <c r="AD6243">
        <v>-1.110809675199</v>
      </c>
      <c r="AE6243">
        <v>-2.1674999999999902</v>
      </c>
      <c r="AF6243">
        <v>-1.79537268471144</v>
      </c>
      <c r="AG6243">
        <v>-1.110809675199</v>
      </c>
      <c r="AH6243">
        <v>37.591635977321801</v>
      </c>
      <c r="AI6243">
        <v>91.690636499235197</v>
      </c>
      <c r="AJ6243">
        <v>92.734362790981095</v>
      </c>
      <c r="AK6243">
        <v>37.650874580320199</v>
      </c>
      <c r="AL6243">
        <v>85.438399923055698</v>
      </c>
      <c r="AM6243">
        <v>93.247635143265697</v>
      </c>
      <c r="AN6243">
        <v>0.99999999887566304</v>
      </c>
    </row>
    <row r="6244" spans="1:40" x14ac:dyDescent="0.25">
      <c r="A6244" t="str">
        <f>"20190312151148787"</f>
        <v>20190312151148787</v>
      </c>
      <c r="B6244" t="str">
        <f>"1552374708777678"</f>
        <v>1552374708777678</v>
      </c>
      <c r="C6244" t="s">
        <v>40</v>
      </c>
      <c r="D6244">
        <v>5.2098509999999996</v>
      </c>
      <c r="E6244">
        <v>0.50444250000000002</v>
      </c>
      <c r="F6244" t="s">
        <v>96</v>
      </c>
      <c r="G6244">
        <v>-228.81479999999999</v>
      </c>
      <c r="H6244" s="1">
        <v>-3.688012E-6</v>
      </c>
      <c r="I6244">
        <v>-65.467519999999993</v>
      </c>
      <c r="J6244">
        <v>-266.1474</v>
      </c>
      <c r="K6244">
        <v>1.1108100000000001</v>
      </c>
      <c r="L6244">
        <v>-63.321930000000002</v>
      </c>
      <c r="M6244">
        <v>0.99451869999999998</v>
      </c>
      <c r="N6244">
        <v>0</v>
      </c>
      <c r="O6244">
        <v>-0.1039905</v>
      </c>
      <c r="P6244">
        <v>0.99642189999999997</v>
      </c>
      <c r="Q6244">
        <v>6.9410780000000005E-2</v>
      </c>
      <c r="R6244">
        <v>-4.8223879999999997E-2</v>
      </c>
      <c r="S6244">
        <v>3.0083920000000002</v>
      </c>
      <c r="T6244">
        <v>-8.8952420000000004E-2</v>
      </c>
      <c r="U6244">
        <v>-0.1737061</v>
      </c>
      <c r="V6244">
        <v>-5.5796369999999998E-2</v>
      </c>
      <c r="W6244">
        <v>8.0162090000000005E-2</v>
      </c>
      <c r="X6244">
        <v>0.99521899999999996</v>
      </c>
      <c r="Y6244">
        <v>-4.6426530000000001E-2</v>
      </c>
      <c r="Z6244">
        <v>3.75093E-3</v>
      </c>
      <c r="AA6244">
        <v>0.99891470000000004</v>
      </c>
      <c r="AB6244">
        <v>24</v>
      </c>
      <c r="AC6244">
        <v>37.332599999999999</v>
      </c>
      <c r="AD6244">
        <v>-1.1108136880120001</v>
      </c>
      <c r="AE6244">
        <v>-2.1455899999999901</v>
      </c>
      <c r="AF6244">
        <v>-1.7469684378556201</v>
      </c>
      <c r="AG6244">
        <v>-1.1108136880120001</v>
      </c>
      <c r="AH6244">
        <v>37.320371501483798</v>
      </c>
      <c r="AI6244">
        <v>91.703000161232097</v>
      </c>
      <c r="AJ6244">
        <v>92.680061918405897</v>
      </c>
      <c r="AK6244">
        <v>37.377746518230602</v>
      </c>
      <c r="AL6244">
        <v>85.402117391775505</v>
      </c>
      <c r="AM6244">
        <v>93.208895028318693</v>
      </c>
      <c r="AN6244">
        <v>1.00000002676967</v>
      </c>
    </row>
    <row r="6245" spans="1:40" x14ac:dyDescent="0.25">
      <c r="A6245" t="str">
        <f>"20190312151148799"</f>
        <v>20190312151148799</v>
      </c>
      <c r="B6245" t="str">
        <f>"1552374708787439"</f>
        <v>1552374708787439</v>
      </c>
      <c r="C6245" t="s">
        <v>40</v>
      </c>
      <c r="D6245">
        <v>5.20763</v>
      </c>
      <c r="E6245">
        <v>0.50449270000000002</v>
      </c>
      <c r="F6245" t="s">
        <v>96</v>
      </c>
      <c r="G6245">
        <v>-229.62610000000001</v>
      </c>
      <c r="H6245" s="1">
        <v>-3.95927E-6</v>
      </c>
      <c r="I6245">
        <v>-65.431539999999998</v>
      </c>
      <c r="J6245">
        <v>-266.0204</v>
      </c>
      <c r="K6245">
        <v>1.1108119999999999</v>
      </c>
      <c r="L6245">
        <v>-63.334589999999999</v>
      </c>
      <c r="M6245">
        <v>0.99458170000000001</v>
      </c>
      <c r="N6245">
        <v>0</v>
      </c>
      <c r="O6245">
        <v>-0.10339</v>
      </c>
      <c r="P6245">
        <v>0.99641659999999999</v>
      </c>
      <c r="Q6245">
        <v>6.9694590000000001E-2</v>
      </c>
      <c r="R6245">
        <v>-4.7927829999999998E-2</v>
      </c>
      <c r="S6245">
        <v>3.008759</v>
      </c>
      <c r="T6245">
        <v>-9.1512800000000005E-2</v>
      </c>
      <c r="U6245">
        <v>-0.1737976</v>
      </c>
      <c r="V6245">
        <v>-5.5490070000000002E-2</v>
      </c>
      <c r="W6245">
        <v>8.0420649999999996E-2</v>
      </c>
      <c r="X6245">
        <v>0.99521519999999997</v>
      </c>
      <c r="Y6245">
        <v>-4.5796829999999997E-2</v>
      </c>
      <c r="Z6245">
        <v>3.8306630000000002E-3</v>
      </c>
      <c r="AA6245">
        <v>0.99894340000000004</v>
      </c>
      <c r="AB6245">
        <v>24</v>
      </c>
      <c r="AC6245">
        <v>36.394299999999902</v>
      </c>
      <c r="AD6245">
        <v>-1.11081595927</v>
      </c>
      <c r="AE6245">
        <v>-2.0969499999999899</v>
      </c>
      <c r="AF6245">
        <v>-1.6757614052463099</v>
      </c>
      <c r="AG6245">
        <v>-1.11081595927</v>
      </c>
      <c r="AH6245">
        <v>36.3822718380315</v>
      </c>
      <c r="AI6245">
        <v>91.746948605933497</v>
      </c>
      <c r="AJ6245">
        <v>92.637170227019794</v>
      </c>
      <c r="AK6245">
        <v>36.437779741349502</v>
      </c>
      <c r="AL6245">
        <v>85.387254709803599</v>
      </c>
      <c r="AM6245">
        <v>93.191328135024406</v>
      </c>
      <c r="AN6245">
        <v>0.99999996156303195</v>
      </c>
    </row>
    <row r="6246" spans="1:40" x14ac:dyDescent="0.25">
      <c r="A6246" t="str">
        <f>"20190312151148810"</f>
        <v>20190312151148810</v>
      </c>
      <c r="B6246" t="str">
        <f>"1552374708797199"</f>
        <v>1552374708797199</v>
      </c>
      <c r="C6246" t="s">
        <v>40</v>
      </c>
      <c r="D6246">
        <v>5.228764</v>
      </c>
      <c r="E6246">
        <v>0.50455819999999996</v>
      </c>
      <c r="F6246" t="s">
        <v>95</v>
      </c>
      <c r="G6246">
        <v>-230.04519999999999</v>
      </c>
      <c r="H6246" s="1">
        <v>-3.4281959999999997E-7</v>
      </c>
      <c r="I6246">
        <v>-65.405879999999996</v>
      </c>
      <c r="J6246">
        <v>-265.89359999999999</v>
      </c>
      <c r="K6246">
        <v>1.1108119999999999</v>
      </c>
      <c r="L6246">
        <v>-63.347110000000001</v>
      </c>
      <c r="M6246">
        <v>0.99464430000000004</v>
      </c>
      <c r="N6246">
        <v>0</v>
      </c>
      <c r="O6246">
        <v>-0.1027883</v>
      </c>
      <c r="P6246">
        <v>0.99641380000000002</v>
      </c>
      <c r="Q6246">
        <v>6.9969589999999998E-2</v>
      </c>
      <c r="R6246">
        <v>-4.7581909999999998E-2</v>
      </c>
      <c r="S6246">
        <v>3.008972</v>
      </c>
      <c r="T6246">
        <v>-9.2908500000000005E-2</v>
      </c>
      <c r="U6246">
        <v>-0.17324829999999999</v>
      </c>
      <c r="V6246">
        <v>-5.5232219999999999E-2</v>
      </c>
      <c r="W6246">
        <v>8.0668749999999997E-2</v>
      </c>
      <c r="X6246">
        <v>0.99520949999999997</v>
      </c>
      <c r="Y6246">
        <v>-4.5376659999999999E-2</v>
      </c>
      <c r="Z6246">
        <v>3.8638700000000002E-3</v>
      </c>
      <c r="AA6246">
        <v>0.99896249999999998</v>
      </c>
      <c r="AB6246">
        <v>24</v>
      </c>
      <c r="AC6246">
        <v>35.848399999999998</v>
      </c>
      <c r="AD6246">
        <v>-1.1108123428196</v>
      </c>
      <c r="AE6246">
        <v>-2.05877</v>
      </c>
      <c r="AF6246">
        <v>-1.6355830024490401</v>
      </c>
      <c r="AG6246">
        <v>-1.1108123428196</v>
      </c>
      <c r="AH6246">
        <v>35.835832829944302</v>
      </c>
      <c r="AI6246">
        <v>91.773598082818907</v>
      </c>
      <c r="AJ6246">
        <v>92.613222754915</v>
      </c>
      <c r="AK6246">
        <v>35.8903322697711</v>
      </c>
      <c r="AL6246">
        <v>85.372993455823206</v>
      </c>
      <c r="AM6246">
        <v>93.176547339175002</v>
      </c>
      <c r="AN6246">
        <v>0.99999999712147003</v>
      </c>
    </row>
    <row r="6247" spans="1:40" x14ac:dyDescent="0.25">
      <c r="A6247" t="str">
        <f>"20190312151148821"</f>
        <v>20190312151148821</v>
      </c>
      <c r="B6247" t="str">
        <f>"1552374708817694"</f>
        <v>1552374708817694</v>
      </c>
      <c r="C6247" t="s">
        <v>40</v>
      </c>
      <c r="D6247">
        <v>5.2235809999999896</v>
      </c>
      <c r="E6247">
        <v>0.50465099999999996</v>
      </c>
      <c r="F6247" t="s">
        <v>95</v>
      </c>
      <c r="G6247">
        <v>-230.4494</v>
      </c>
      <c r="H6247" s="1">
        <v>-5.0968109999999896E-7</v>
      </c>
      <c r="I6247">
        <v>-65.381209999999996</v>
      </c>
      <c r="J6247">
        <v>-265.77949999999998</v>
      </c>
      <c r="K6247">
        <v>1.1108119999999999</v>
      </c>
      <c r="L6247">
        <v>-63.358339999999998</v>
      </c>
      <c r="M6247">
        <v>0.99470029999999998</v>
      </c>
      <c r="N6247">
        <v>0</v>
      </c>
      <c r="O6247">
        <v>-0.1022469</v>
      </c>
      <c r="P6247">
        <v>0.99639860000000002</v>
      </c>
      <c r="Q6247">
        <v>7.0297490000000004E-2</v>
      </c>
      <c r="R6247">
        <v>-4.7417000000000001E-2</v>
      </c>
      <c r="S6247">
        <v>3.0091860000000001</v>
      </c>
      <c r="T6247">
        <v>-9.4307299999999997E-2</v>
      </c>
      <c r="U6247">
        <v>-0.17269899999999999</v>
      </c>
      <c r="V6247">
        <v>-5.4853590000000001E-2</v>
      </c>
      <c r="W6247">
        <v>8.0972920000000004E-2</v>
      </c>
      <c r="X6247">
        <v>0.99520580000000003</v>
      </c>
      <c r="Y6247">
        <v>-4.5017109999999999E-2</v>
      </c>
      <c r="Z6247">
        <v>3.8992810000000001E-3</v>
      </c>
      <c r="AA6247">
        <v>0.99897860000000005</v>
      </c>
      <c r="AB6247">
        <v>24</v>
      </c>
      <c r="AC6247">
        <v>35.330099999999902</v>
      </c>
      <c r="AD6247">
        <v>-1.1108125096810999</v>
      </c>
      <c r="AE6247">
        <v>-2.02286999999999</v>
      </c>
      <c r="AF6247">
        <v>-1.59876206882581</v>
      </c>
      <c r="AG6247">
        <v>-1.1108125096810999</v>
      </c>
      <c r="AH6247">
        <v>35.316961400425797</v>
      </c>
      <c r="AI6247">
        <v>91.799669126439397</v>
      </c>
      <c r="AJ6247">
        <v>92.591950702810905</v>
      </c>
      <c r="AK6247">
        <v>35.370576856245201</v>
      </c>
      <c r="AL6247">
        <v>85.355508879077306</v>
      </c>
      <c r="AM6247">
        <v>93.154827195748993</v>
      </c>
      <c r="AN6247">
        <v>1.00000005723142</v>
      </c>
    </row>
    <row r="6248" spans="1:40" x14ac:dyDescent="0.25">
      <c r="A6248" t="str">
        <f>"20190312151148830"</f>
        <v>20190312151148830</v>
      </c>
      <c r="B6248" t="str">
        <f>"1552374708817694"</f>
        <v>1552374708817694</v>
      </c>
      <c r="C6248" t="s">
        <v>40</v>
      </c>
      <c r="D6248">
        <v>5.2235809999999896</v>
      </c>
      <c r="E6248">
        <v>0.50465099999999996</v>
      </c>
      <c r="F6248" t="s">
        <v>95</v>
      </c>
      <c r="G6248">
        <v>-231.5472</v>
      </c>
      <c r="H6248" s="1">
        <v>-9.6531720000000002E-7</v>
      </c>
      <c r="I6248">
        <v>-65.323719999999994</v>
      </c>
      <c r="J6248">
        <v>-265.67930000000001</v>
      </c>
      <c r="K6248">
        <v>1.1108119999999999</v>
      </c>
      <c r="L6248">
        <v>-63.368099999999998</v>
      </c>
      <c r="M6248">
        <v>0.99474940000000001</v>
      </c>
      <c r="N6248">
        <v>0</v>
      </c>
      <c r="O6248">
        <v>-0.1017705</v>
      </c>
      <c r="P6248">
        <v>0.99637960000000003</v>
      </c>
      <c r="Q6248">
        <v>7.0555699999999999E-2</v>
      </c>
      <c r="R6248">
        <v>-4.7431889999999997E-2</v>
      </c>
      <c r="S6248">
        <v>3.0095209999999999</v>
      </c>
      <c r="T6248">
        <v>-9.7656610000000005E-2</v>
      </c>
      <c r="U6248">
        <v>-0.17279050000000001</v>
      </c>
      <c r="V6248">
        <v>-5.436042E-2</v>
      </c>
      <c r="W6248">
        <v>8.1210089999999999E-2</v>
      </c>
      <c r="X6248">
        <v>0.99521340000000003</v>
      </c>
      <c r="Y6248">
        <v>-4.4510010000000003E-2</v>
      </c>
      <c r="Z6248">
        <v>4.0136570000000003E-3</v>
      </c>
      <c r="AA6248">
        <v>0.99900080000000002</v>
      </c>
      <c r="AB6248">
        <v>24</v>
      </c>
      <c r="AC6248">
        <v>34.132100000000001</v>
      </c>
      <c r="AD6248">
        <v>-1.1108129653172001</v>
      </c>
      <c r="AE6248">
        <v>-1.9556199999999899</v>
      </c>
      <c r="AF6248">
        <v>-1.52676623561536</v>
      </c>
      <c r="AG6248">
        <v>-1.1108129653172001</v>
      </c>
      <c r="AH6248">
        <v>34.1178805951482</v>
      </c>
      <c r="AI6248">
        <v>91.862919284868596</v>
      </c>
      <c r="AJ6248">
        <v>92.562261721013797</v>
      </c>
      <c r="AK6248">
        <v>34.170084824110702</v>
      </c>
      <c r="AL6248">
        <v>85.341874511502894</v>
      </c>
      <c r="AM6248">
        <v>93.126495914010704</v>
      </c>
      <c r="AN6248">
        <v>0.99999992275996896</v>
      </c>
    </row>
    <row r="6249" spans="1:40" x14ac:dyDescent="0.25">
      <c r="A6249" t="str">
        <f>"20190312151148841"</f>
        <v>20190312151148841</v>
      </c>
      <c r="B6249" t="str">
        <f>"1552374708837214"</f>
        <v>1552374708837214</v>
      </c>
      <c r="C6249" t="s">
        <v>40</v>
      </c>
      <c r="D6249">
        <v>5.2199859999999996</v>
      </c>
      <c r="E6249">
        <v>0.50475619999999999</v>
      </c>
      <c r="F6249" t="s">
        <v>95</v>
      </c>
      <c r="G6249">
        <v>-231.173</v>
      </c>
      <c r="H6249" s="1">
        <v>-8.1177120000000003E-7</v>
      </c>
      <c r="I6249">
        <v>-65.349909999999994</v>
      </c>
      <c r="J6249">
        <v>-265.56720000000001</v>
      </c>
      <c r="K6249">
        <v>1.1108119999999999</v>
      </c>
      <c r="L6249">
        <v>-63.37903</v>
      </c>
      <c r="M6249">
        <v>0.99480409999999997</v>
      </c>
      <c r="N6249">
        <v>0</v>
      </c>
      <c r="O6249">
        <v>-0.1012373</v>
      </c>
      <c r="P6249">
        <v>0.9963843</v>
      </c>
      <c r="Q6249">
        <v>7.0817249999999998E-2</v>
      </c>
      <c r="R6249">
        <v>-4.6937930000000003E-2</v>
      </c>
      <c r="S6249">
        <v>3.0095209999999999</v>
      </c>
      <c r="T6249">
        <v>-9.6881389999999998E-2</v>
      </c>
      <c r="U6249">
        <v>-0.17285159999999999</v>
      </c>
      <c r="V6249">
        <v>-5.4319039999999999E-2</v>
      </c>
      <c r="W6249">
        <v>8.1446760000000007E-2</v>
      </c>
      <c r="X6249">
        <v>0.99519639999999998</v>
      </c>
      <c r="Y6249">
        <v>-4.395607E-2</v>
      </c>
      <c r="Z6249">
        <v>3.9558459999999998E-3</v>
      </c>
      <c r="AA6249">
        <v>0.99902559999999996</v>
      </c>
      <c r="AB6249">
        <v>24</v>
      </c>
      <c r="AC6249">
        <v>34.394199999999998</v>
      </c>
      <c r="AD6249">
        <v>-1.1108128117711999</v>
      </c>
      <c r="AE6249">
        <v>-1.97087999999998</v>
      </c>
      <c r="AF6249">
        <v>-1.5198444330347201</v>
      </c>
      <c r="AG6249">
        <v>-1.1108128117711999</v>
      </c>
      <c r="AH6249">
        <v>34.381266228467602</v>
      </c>
      <c r="AI6249">
        <v>91.848702269346205</v>
      </c>
      <c r="AJ6249">
        <v>92.531146319765796</v>
      </c>
      <c r="AK6249">
        <v>34.432764914775397</v>
      </c>
      <c r="AL6249">
        <v>85.328269627854795</v>
      </c>
      <c r="AM6249">
        <v>93.124173953408302</v>
      </c>
      <c r="AN6249">
        <v>1.0000000036969801</v>
      </c>
    </row>
    <row r="6250" spans="1:40" x14ac:dyDescent="0.25">
      <c r="A6250" t="str">
        <f>"20190312151148852"</f>
        <v>20190312151148852</v>
      </c>
      <c r="B6250" t="str">
        <f>"1552374708847950"</f>
        <v>1552374708847950</v>
      </c>
      <c r="C6250" t="s">
        <v>40</v>
      </c>
      <c r="D6250">
        <v>5.1744440000000003</v>
      </c>
      <c r="E6250">
        <v>0.50476690000000002</v>
      </c>
      <c r="F6250" t="s">
        <v>95</v>
      </c>
      <c r="G6250">
        <v>-232.13130000000001</v>
      </c>
      <c r="H6250" s="1">
        <v>-1.2070789999999999E-6</v>
      </c>
      <c r="I6250">
        <v>-65.290639999999996</v>
      </c>
      <c r="J6250">
        <v>-265.4468</v>
      </c>
      <c r="K6250">
        <v>1.1108119999999999</v>
      </c>
      <c r="L6250">
        <v>-63.390689999999999</v>
      </c>
      <c r="M6250">
        <v>0.99486260000000004</v>
      </c>
      <c r="N6250">
        <v>0</v>
      </c>
      <c r="O6250">
        <v>-0.1006642</v>
      </c>
      <c r="P6250">
        <v>0.99638859999999996</v>
      </c>
      <c r="Q6250">
        <v>7.1028439999999998E-2</v>
      </c>
      <c r="R6250">
        <v>-4.6529929999999997E-2</v>
      </c>
      <c r="S6250">
        <v>3.0098880000000001</v>
      </c>
      <c r="T6250">
        <v>-9.9994899999999998E-2</v>
      </c>
      <c r="U6250">
        <v>-0.17208860000000001</v>
      </c>
      <c r="V6250">
        <v>-5.415259E-2</v>
      </c>
      <c r="W6250">
        <v>8.1632120000000002E-2</v>
      </c>
      <c r="X6250">
        <v>0.99519029999999997</v>
      </c>
      <c r="Y6250">
        <v>-4.3635569999999999E-2</v>
      </c>
      <c r="Z6250">
        <v>4.0582159999999999E-3</v>
      </c>
      <c r="AA6250">
        <v>0.99903929999999996</v>
      </c>
      <c r="AB6250">
        <v>24</v>
      </c>
      <c r="AC6250">
        <v>33.315499999999901</v>
      </c>
      <c r="AD6250">
        <v>-1.110813207079</v>
      </c>
      <c r="AE6250">
        <v>-1.89994999999999</v>
      </c>
      <c r="AF6250">
        <v>-1.46195321690136</v>
      </c>
      <c r="AG6250">
        <v>-1.110813207079</v>
      </c>
      <c r="AH6250">
        <v>33.300620518337197</v>
      </c>
      <c r="AI6250">
        <v>91.908677398916296</v>
      </c>
      <c r="AJ6250">
        <v>92.513766884355704</v>
      </c>
      <c r="AK6250">
        <v>33.351199979846697</v>
      </c>
      <c r="AL6250">
        <v>85.317613874222502</v>
      </c>
      <c r="AM6250">
        <v>93.114638468719406</v>
      </c>
      <c r="AN6250">
        <v>1.00000001961674</v>
      </c>
    </row>
    <row r="6251" spans="1:40" x14ac:dyDescent="0.25">
      <c r="A6251" t="str">
        <f>"20190312151148864"</f>
        <v>20190312151148864</v>
      </c>
      <c r="B6251" t="str">
        <f>"1552374708857710"</f>
        <v>1552374708857710</v>
      </c>
      <c r="C6251" t="s">
        <v>40</v>
      </c>
      <c r="D6251">
        <v>5.3734799999999998</v>
      </c>
      <c r="E6251">
        <v>0.50481120000000002</v>
      </c>
      <c r="F6251" t="s">
        <v>95</v>
      </c>
      <c r="G6251">
        <v>-232.23099999999999</v>
      </c>
      <c r="H6251" s="1">
        <v>-1.245832E-6</v>
      </c>
      <c r="I6251">
        <v>-65.275440000000003</v>
      </c>
      <c r="J6251">
        <v>-265.32060000000001</v>
      </c>
      <c r="K6251">
        <v>1.1108119999999999</v>
      </c>
      <c r="L6251">
        <v>-63.402799999999999</v>
      </c>
      <c r="M6251">
        <v>0.99492340000000001</v>
      </c>
      <c r="N6251">
        <v>0</v>
      </c>
      <c r="O6251">
        <v>-0.1000634</v>
      </c>
      <c r="P6251">
        <v>0.99639180000000005</v>
      </c>
      <c r="Q6251">
        <v>7.1191329999999997E-2</v>
      </c>
      <c r="R6251">
        <v>-4.6208680000000002E-2</v>
      </c>
      <c r="S6251">
        <v>3.0101010000000001</v>
      </c>
      <c r="T6251">
        <v>-0.1006649</v>
      </c>
      <c r="U6251">
        <v>-0.17080689999999901</v>
      </c>
      <c r="V6251">
        <v>-5.3872009999999998E-2</v>
      </c>
      <c r="W6251">
        <v>8.1767069999999997E-2</v>
      </c>
      <c r="X6251">
        <v>0.99519440000000003</v>
      </c>
      <c r="Y6251">
        <v>-4.3459669999999999E-2</v>
      </c>
      <c r="Z6251">
        <v>4.0622619999999996E-3</v>
      </c>
      <c r="AA6251">
        <v>0.99904689999999996</v>
      </c>
      <c r="AB6251">
        <v>24</v>
      </c>
      <c r="AC6251">
        <v>33.089599999999997</v>
      </c>
      <c r="AD6251">
        <v>-1.1108132458319999</v>
      </c>
      <c r="AE6251">
        <v>-1.8726400000000001</v>
      </c>
      <c r="AF6251">
        <v>-1.4463828260313001</v>
      </c>
      <c r="AG6251">
        <v>-1.1108132458319999</v>
      </c>
      <c r="AH6251">
        <v>33.073746769547498</v>
      </c>
      <c r="AI6251">
        <v>91.921774753090205</v>
      </c>
      <c r="AJ6251">
        <v>92.504066507904497</v>
      </c>
      <c r="AK6251">
        <v>33.123989112465097</v>
      </c>
      <c r="AL6251">
        <v>85.309855643025003</v>
      </c>
      <c r="AM6251">
        <v>93.098519426537706</v>
      </c>
      <c r="AN6251">
        <v>0.99999997049459199</v>
      </c>
    </row>
    <row r="6252" spans="1:40" x14ac:dyDescent="0.25">
      <c r="A6252" t="str">
        <f>"20190312151148874"</f>
        <v>20190312151148874</v>
      </c>
      <c r="B6252" t="str">
        <f>"1552374708867470"</f>
        <v>1552374708867470</v>
      </c>
      <c r="C6252" t="s">
        <v>40</v>
      </c>
      <c r="D6252">
        <v>5.2310349999999897</v>
      </c>
      <c r="E6252">
        <v>0.50484189999999995</v>
      </c>
      <c r="F6252" t="s">
        <v>95</v>
      </c>
      <c r="G6252">
        <v>-232.46430000000001</v>
      </c>
      <c r="H6252" s="1">
        <v>-1.3416399999999901E-6</v>
      </c>
      <c r="I6252">
        <v>-65.259379999999993</v>
      </c>
      <c r="J6252">
        <v>-265.21190000000001</v>
      </c>
      <c r="K6252">
        <v>1.110811</v>
      </c>
      <c r="L6252">
        <v>-63.413179999999997</v>
      </c>
      <c r="M6252">
        <v>0.99497559999999996</v>
      </c>
      <c r="N6252">
        <v>0</v>
      </c>
      <c r="O6252">
        <v>-9.9545830000000002E-2</v>
      </c>
      <c r="P6252">
        <v>0.99640030000000002</v>
      </c>
      <c r="Q6252">
        <v>7.1483530000000003E-2</v>
      </c>
      <c r="R6252">
        <v>-4.556996E-2</v>
      </c>
      <c r="S6252">
        <v>3.010284</v>
      </c>
      <c r="T6252">
        <v>-0.1017725</v>
      </c>
      <c r="U6252">
        <v>-0.17010500000000001</v>
      </c>
      <c r="V6252">
        <v>-5.3990879999999998E-2</v>
      </c>
      <c r="W6252">
        <v>8.2034159999999995E-2</v>
      </c>
      <c r="X6252">
        <v>0.995166</v>
      </c>
      <c r="Y6252">
        <v>-4.3174240000000003E-2</v>
      </c>
      <c r="Z6252">
        <v>4.0845129999999997E-3</v>
      </c>
      <c r="AA6252">
        <v>0.99905920000000004</v>
      </c>
      <c r="AB6252">
        <v>24</v>
      </c>
      <c r="AC6252">
        <v>32.747599999999998</v>
      </c>
      <c r="AD6252">
        <v>-1.11081234164</v>
      </c>
      <c r="AE6252">
        <v>-1.8462000000000001</v>
      </c>
      <c r="AF6252">
        <v>-1.4214140258259</v>
      </c>
      <c r="AG6252">
        <v>-1.11081234164</v>
      </c>
      <c r="AH6252">
        <v>32.731174336463603</v>
      </c>
      <c r="AI6252">
        <v>91.941897369856093</v>
      </c>
      <c r="AJ6252">
        <v>92.486616739430701</v>
      </c>
      <c r="AK6252">
        <v>32.780849521254403</v>
      </c>
      <c r="AL6252">
        <v>85.294501034974701</v>
      </c>
      <c r="AM6252">
        <v>93.105431471042394</v>
      </c>
      <c r="AN6252">
        <v>0.99999999304303999</v>
      </c>
    </row>
    <row r="6253" spans="1:40" x14ac:dyDescent="0.25">
      <c r="A6253" t="str">
        <f>"20190312151148886"</f>
        <v>20190312151148886</v>
      </c>
      <c r="B6253" t="str">
        <f>"1552374708877230"</f>
        <v>1552374708877230</v>
      </c>
      <c r="C6253" t="s">
        <v>40</v>
      </c>
      <c r="D6253">
        <v>5.188237</v>
      </c>
      <c r="E6253">
        <v>0.50484560000000001</v>
      </c>
      <c r="F6253" t="s">
        <v>95</v>
      </c>
      <c r="G6253">
        <v>-232.6772</v>
      </c>
      <c r="H6253" s="1">
        <v>-1.4258430000000001E-6</v>
      </c>
      <c r="I6253">
        <v>-65.232680000000002</v>
      </c>
      <c r="J6253">
        <v>-265.0849</v>
      </c>
      <c r="K6253">
        <v>1.1108100000000001</v>
      </c>
      <c r="L6253">
        <v>-63.425199999999997</v>
      </c>
      <c r="M6253">
        <v>0.99503640000000004</v>
      </c>
      <c r="N6253">
        <v>0</v>
      </c>
      <c r="O6253">
        <v>-9.8940479999999997E-2</v>
      </c>
      <c r="P6253">
        <v>0.99642030000000004</v>
      </c>
      <c r="Q6253">
        <v>7.1422840000000001E-2</v>
      </c>
      <c r="R6253">
        <v>-4.5229360000000003E-2</v>
      </c>
      <c r="S6253">
        <v>3.0104679999999999</v>
      </c>
      <c r="T6253">
        <v>-0.1027844</v>
      </c>
      <c r="U6253">
        <v>-0.1683655</v>
      </c>
      <c r="V6253">
        <v>-5.3726000000000003E-2</v>
      </c>
      <c r="W6253">
        <v>8.1945749999999998E-2</v>
      </c>
      <c r="X6253">
        <v>0.99518759999999995</v>
      </c>
      <c r="Y6253">
        <v>-4.3144009999999997E-2</v>
      </c>
      <c r="Z6253">
        <v>4.1038819999999997E-3</v>
      </c>
      <c r="AA6253">
        <v>0.99906050000000002</v>
      </c>
      <c r="AB6253">
        <v>24</v>
      </c>
      <c r="AC6253">
        <v>32.407699999999998</v>
      </c>
      <c r="AD6253">
        <v>-1.110811425843</v>
      </c>
      <c r="AE6253">
        <v>-1.80748</v>
      </c>
      <c r="AF6253">
        <v>-1.40635765560075</v>
      </c>
      <c r="AG6253">
        <v>-1.110811425843</v>
      </c>
      <c r="AH6253">
        <v>32.389576811970201</v>
      </c>
      <c r="AI6253">
        <v>91.962360678177802</v>
      </c>
      <c r="AJ6253">
        <v>92.486225048049903</v>
      </c>
      <c r="AK6253">
        <v>32.439118821844801</v>
      </c>
      <c r="AL6253">
        <v>85.299583578099501</v>
      </c>
      <c r="AM6253">
        <v>93.090158840967007</v>
      </c>
      <c r="AN6253">
        <v>0.99999997410640995</v>
      </c>
    </row>
    <row r="6254" spans="1:40" x14ac:dyDescent="0.25">
      <c r="A6254" t="str">
        <f>"20190312151148896"</f>
        <v>20190312151148896</v>
      </c>
      <c r="B6254" t="str">
        <f>"1552374708887967"</f>
        <v>1552374708887967</v>
      </c>
      <c r="C6254" t="s">
        <v>40</v>
      </c>
      <c r="D6254">
        <v>5.1977370000000001</v>
      </c>
      <c r="E6254">
        <v>0.50485879999999905</v>
      </c>
      <c r="F6254" t="s">
        <v>95</v>
      </c>
      <c r="G6254">
        <v>-233.3152</v>
      </c>
      <c r="H6254" s="1">
        <v>-1.687978E-6</v>
      </c>
      <c r="I6254">
        <v>-65.189189999999996</v>
      </c>
      <c r="J6254">
        <v>-264.96850000000001</v>
      </c>
      <c r="K6254">
        <v>1.1108089999999999</v>
      </c>
      <c r="L6254">
        <v>-63.436190000000003</v>
      </c>
      <c r="M6254">
        <v>0.99509170000000002</v>
      </c>
      <c r="N6254">
        <v>0</v>
      </c>
      <c r="O6254">
        <v>-9.8384959999999994E-2</v>
      </c>
      <c r="P6254">
        <v>0.99641939999999996</v>
      </c>
      <c r="Q6254">
        <v>7.1683140000000006E-2</v>
      </c>
      <c r="R6254">
        <v>-4.4831089999999997E-2</v>
      </c>
      <c r="S6254">
        <v>3.010742</v>
      </c>
      <c r="T6254">
        <v>-0.105269</v>
      </c>
      <c r="U6254">
        <v>-0.1671753</v>
      </c>
      <c r="V6254">
        <v>-5.3567419999999998E-2</v>
      </c>
      <c r="W6254">
        <v>8.2179580000000002E-2</v>
      </c>
      <c r="X6254">
        <v>0.99517690000000003</v>
      </c>
      <c r="Y6254">
        <v>-4.2981470000000001E-2</v>
      </c>
      <c r="Z6254">
        <v>4.1805590000000004E-3</v>
      </c>
      <c r="AA6254">
        <v>0.99906709999999999</v>
      </c>
      <c r="AB6254">
        <v>24</v>
      </c>
      <c r="AC6254">
        <v>31.653300000000002</v>
      </c>
      <c r="AD6254">
        <v>-1.110810687978</v>
      </c>
      <c r="AE6254">
        <v>-1.7529999999999899</v>
      </c>
      <c r="AF6254">
        <v>-1.36821041359354</v>
      </c>
      <c r="AG6254">
        <v>-1.110810687978</v>
      </c>
      <c r="AH6254">
        <v>31.633354971345199</v>
      </c>
      <c r="AI6254">
        <v>92.009247800155805</v>
      </c>
      <c r="AJ6254">
        <v>92.476621677866603</v>
      </c>
      <c r="AK6254">
        <v>31.682409107634498</v>
      </c>
      <c r="AL6254">
        <v>85.286140921049693</v>
      </c>
      <c r="AM6254">
        <v>93.081088456216506</v>
      </c>
      <c r="AN6254">
        <v>1.00000000707402</v>
      </c>
    </row>
    <row r="6255" spans="1:40" x14ac:dyDescent="0.25">
      <c r="A6255" t="str">
        <f>"20190312151148908"</f>
        <v>20190312151148908</v>
      </c>
      <c r="B6255" t="str">
        <f>"1552374708897727"</f>
        <v>1552374708897727</v>
      </c>
      <c r="C6255" t="s">
        <v>40</v>
      </c>
      <c r="D6255">
        <v>5.1954900000000004</v>
      </c>
      <c r="E6255">
        <v>0.50485219999999997</v>
      </c>
      <c r="F6255" t="s">
        <v>95</v>
      </c>
      <c r="G6255">
        <v>-233.6251</v>
      </c>
      <c r="H6255" s="1">
        <v>-1.814211E-6</v>
      </c>
      <c r="I6255">
        <v>-65.163979999999995</v>
      </c>
      <c r="J6255">
        <v>-264.85180000000003</v>
      </c>
      <c r="K6255">
        <v>1.1108100000000001</v>
      </c>
      <c r="L6255">
        <v>-63.447110000000002</v>
      </c>
      <c r="M6255">
        <v>0.995147</v>
      </c>
      <c r="N6255">
        <v>0</v>
      </c>
      <c r="O6255">
        <v>-9.782623E-2</v>
      </c>
      <c r="P6255">
        <v>0.99644239999999995</v>
      </c>
      <c r="Q6255">
        <v>7.1732889999999994E-2</v>
      </c>
      <c r="R6255">
        <v>-4.42397E-2</v>
      </c>
      <c r="S6255">
        <v>3.0109859999999999</v>
      </c>
      <c r="T6255">
        <v>-0.1067092</v>
      </c>
      <c r="U6255">
        <v>-0.1659851</v>
      </c>
      <c r="V6255">
        <v>-5.3599580000000001E-2</v>
      </c>
      <c r="W6255">
        <v>8.2204289999999999E-2</v>
      </c>
      <c r="X6255">
        <v>0.99517310000000003</v>
      </c>
      <c r="Y6255">
        <v>-4.2816779999999999E-2</v>
      </c>
      <c r="Z6255">
        <v>4.2148439999999997E-3</v>
      </c>
      <c r="AA6255">
        <v>0.99907400000000002</v>
      </c>
      <c r="AB6255">
        <v>24</v>
      </c>
      <c r="AC6255">
        <v>31.226700000000001</v>
      </c>
      <c r="AD6255">
        <v>-1.1108118142109999</v>
      </c>
      <c r="AE6255">
        <v>-1.7168700000000101</v>
      </c>
      <c r="AF6255">
        <v>-1.34463165139285</v>
      </c>
      <c r="AG6255">
        <v>-1.1108118142109999</v>
      </c>
      <c r="AH6255">
        <v>31.205500438675401</v>
      </c>
      <c r="AI6255">
        <v>92.036789607438706</v>
      </c>
      <c r="AJ6255">
        <v>92.467324323692097</v>
      </c>
      <c r="AK6255">
        <v>31.254202834061999</v>
      </c>
      <c r="AL6255">
        <v>85.284720206064605</v>
      </c>
      <c r="AM6255">
        <v>93.082946415693797</v>
      </c>
      <c r="AN6255">
        <v>0.99999997961709497</v>
      </c>
    </row>
    <row r="6256" spans="1:40" x14ac:dyDescent="0.25">
      <c r="A6256" t="str">
        <f>"20190312151148919"</f>
        <v>20190312151148919</v>
      </c>
      <c r="B6256" t="str">
        <f>"1552374708907487"</f>
        <v>1552374708907487</v>
      </c>
      <c r="C6256" t="s">
        <v>40</v>
      </c>
      <c r="D6256">
        <v>5.2368040000000002</v>
      </c>
      <c r="E6256">
        <v>0.50486759999999997</v>
      </c>
      <c r="F6256" t="s">
        <v>95</v>
      </c>
      <c r="G6256">
        <v>-234.10319999999999</v>
      </c>
      <c r="H6256" s="1">
        <v>-2.008173E-6</v>
      </c>
      <c r="I6256">
        <v>-65.122019999999907</v>
      </c>
      <c r="J6256">
        <v>-264.73489999999998</v>
      </c>
      <c r="K6256">
        <v>1.1108089999999999</v>
      </c>
      <c r="L6256">
        <v>-63.458039999999997</v>
      </c>
      <c r="M6256">
        <v>0.99520220000000004</v>
      </c>
      <c r="N6256">
        <v>0</v>
      </c>
      <c r="O6256">
        <v>-9.7266430000000001E-2</v>
      </c>
      <c r="P6256">
        <v>0.99644069999999996</v>
      </c>
      <c r="Q6256">
        <v>7.1985839999999995E-2</v>
      </c>
      <c r="R6256">
        <v>-4.3867099999999999E-2</v>
      </c>
      <c r="S6256">
        <v>3.0112610000000002</v>
      </c>
      <c r="T6256">
        <v>-0.1087837</v>
      </c>
      <c r="U6256">
        <v>-0.16403199999999901</v>
      </c>
      <c r="V6256">
        <v>-5.3411130000000001E-2</v>
      </c>
      <c r="W6256">
        <v>8.2432399999999906E-2</v>
      </c>
      <c r="X6256">
        <v>0.99516439999999995</v>
      </c>
      <c r="Y6256">
        <v>-4.2902700000000002E-2</v>
      </c>
      <c r="Z6256">
        <v>4.277889E-3</v>
      </c>
      <c r="AA6256">
        <v>0.99907009999999996</v>
      </c>
      <c r="AB6256">
        <v>24</v>
      </c>
      <c r="AC6256">
        <v>30.631699999999899</v>
      </c>
      <c r="AD6256">
        <v>-1.1108110081729901</v>
      </c>
      <c r="AE6256">
        <v>-1.66397999999998</v>
      </c>
      <c r="AF6256">
        <v>-1.32178047177319</v>
      </c>
      <c r="AG6256">
        <v>-1.1108110081729901</v>
      </c>
      <c r="AH6256">
        <v>30.608165799477302</v>
      </c>
      <c r="AI6256">
        <v>92.076494242671302</v>
      </c>
      <c r="AJ6256">
        <v>92.472719829448096</v>
      </c>
      <c r="AK6256">
        <v>30.6568233566319</v>
      </c>
      <c r="AL6256">
        <v>85.271606130248799</v>
      </c>
      <c r="AM6256">
        <v>93.072154733891907</v>
      </c>
      <c r="AN6256">
        <v>1.00000001620249</v>
      </c>
    </row>
    <row r="6257" spans="1:40" x14ac:dyDescent="0.25">
      <c r="A6257" t="str">
        <f>"20190312151148930"</f>
        <v>20190312151148930</v>
      </c>
      <c r="B6257" t="str">
        <f>"1552374708927202"</f>
        <v>1552374708927202</v>
      </c>
      <c r="C6257" t="s">
        <v>40</v>
      </c>
      <c r="D6257">
        <v>5.2590250000000003</v>
      </c>
      <c r="E6257">
        <v>0.50490049999999997</v>
      </c>
      <c r="F6257" t="s">
        <v>95</v>
      </c>
      <c r="G6257">
        <v>-234.29470000000001</v>
      </c>
      <c r="H6257" s="1">
        <v>-2.086021E-6</v>
      </c>
      <c r="I6257">
        <v>-65.105840000000001</v>
      </c>
      <c r="J6257">
        <v>-264.61770000000001</v>
      </c>
      <c r="K6257">
        <v>1.1108039999999999</v>
      </c>
      <c r="L6257">
        <v>-63.46884</v>
      </c>
      <c r="M6257">
        <v>0.99525719999999995</v>
      </c>
      <c r="N6257">
        <v>0</v>
      </c>
      <c r="O6257">
        <v>-9.6703280000000003E-2</v>
      </c>
      <c r="P6257">
        <v>0.9964404</v>
      </c>
      <c r="Q6257">
        <v>7.2168369999999996E-2</v>
      </c>
      <c r="R6257">
        <v>-4.3571230000000002E-2</v>
      </c>
      <c r="S6257">
        <v>3.0114749999999999</v>
      </c>
      <c r="T6257">
        <v>-0.10989359999999999</v>
      </c>
      <c r="U6257">
        <v>-0.1630249</v>
      </c>
      <c r="V6257">
        <v>-5.3142790000000002E-2</v>
      </c>
      <c r="W6257">
        <v>8.2590170000000004E-2</v>
      </c>
      <c r="X6257">
        <v>0.99516559999999998</v>
      </c>
      <c r="Y6257">
        <v>-4.2673000000000003E-2</v>
      </c>
      <c r="Z6257">
        <v>4.296635E-3</v>
      </c>
      <c r="AA6257">
        <v>0.99907990000000002</v>
      </c>
      <c r="AB6257">
        <v>24</v>
      </c>
      <c r="AC6257">
        <v>30.323</v>
      </c>
      <c r="AD6257">
        <v>-1.1108060860210001</v>
      </c>
      <c r="AE6257">
        <v>-1.637</v>
      </c>
      <c r="AF6257">
        <v>-1.3014288692493601</v>
      </c>
      <c r="AG6257">
        <v>-1.1108060860210001</v>
      </c>
      <c r="AH6257">
        <v>30.2986393214148</v>
      </c>
      <c r="AI6257">
        <v>92.097700033484799</v>
      </c>
      <c r="AJ6257">
        <v>92.459535337935506</v>
      </c>
      <c r="AK6257">
        <v>30.3469133849168</v>
      </c>
      <c r="AL6257">
        <v>85.262535245631994</v>
      </c>
      <c r="AM6257">
        <v>93.056745751112302</v>
      </c>
      <c r="AN6257">
        <v>0.99999993186648395</v>
      </c>
    </row>
    <row r="6258" spans="1:40" x14ac:dyDescent="0.25">
      <c r="A6258" t="str">
        <f>"20190312151148941"</f>
        <v>20190312151148941</v>
      </c>
      <c r="B6258" t="str">
        <f>"1552374708937938"</f>
        <v>1552374708937938</v>
      </c>
      <c r="C6258" t="s">
        <v>40</v>
      </c>
      <c r="D6258">
        <v>5.2356790000000002</v>
      </c>
      <c r="E6258">
        <v>0.50491719999999995</v>
      </c>
      <c r="F6258" t="s">
        <v>95</v>
      </c>
      <c r="G6258">
        <v>-235.0155</v>
      </c>
      <c r="H6258" s="1">
        <v>-2.3842200000000001E-6</v>
      </c>
      <c r="I6258">
        <v>-65.064520000000002</v>
      </c>
      <c r="J6258">
        <v>-264.49560000000002</v>
      </c>
      <c r="K6258">
        <v>1.1108049999999901</v>
      </c>
      <c r="L6258">
        <v>-63.480069999999998</v>
      </c>
      <c r="M6258">
        <v>0.99531449999999999</v>
      </c>
      <c r="N6258">
        <v>0</v>
      </c>
      <c r="O6258">
        <v>-9.6115809999999996E-2</v>
      </c>
      <c r="P6258">
        <v>0.99649469999999996</v>
      </c>
      <c r="Q6258">
        <v>7.1808490000000003E-2</v>
      </c>
      <c r="R6258">
        <v>-4.2919869999999999E-2</v>
      </c>
      <c r="S6258">
        <v>3.0117799999999999</v>
      </c>
      <c r="T6258">
        <v>-0.1130153</v>
      </c>
      <c r="U6258">
        <v>-0.16235350000000001</v>
      </c>
      <c r="V6258">
        <v>-5.3208560000000002E-2</v>
      </c>
      <c r="W6258">
        <v>8.2204299999999994E-2</v>
      </c>
      <c r="X6258">
        <v>0.99519409999999997</v>
      </c>
      <c r="Y6258">
        <v>-4.2306139999999999E-2</v>
      </c>
      <c r="Z6258">
        <v>4.3894009999999898E-3</v>
      </c>
      <c r="AA6258">
        <v>0.99909499999999996</v>
      </c>
      <c r="AB6258">
        <v>24</v>
      </c>
      <c r="AC6258">
        <v>29.4801</v>
      </c>
      <c r="AD6258">
        <v>-1.1108073842199999</v>
      </c>
      <c r="AE6258">
        <v>-1.5844499999999999</v>
      </c>
      <c r="AF6258">
        <v>-1.2547708823666499</v>
      </c>
      <c r="AG6258">
        <v>-1.1108073842199999</v>
      </c>
      <c r="AH6258">
        <v>29.454197872222299</v>
      </c>
      <c r="AI6258">
        <v>92.157819273034804</v>
      </c>
      <c r="AJ6258">
        <v>92.439368144906098</v>
      </c>
      <c r="AK6258">
        <v>29.501832405938799</v>
      </c>
      <c r="AL6258">
        <v>85.284719714423801</v>
      </c>
      <c r="AM6258">
        <v>93.060434140411203</v>
      </c>
      <c r="AN6258">
        <v>0.99999999723528599</v>
      </c>
    </row>
    <row r="6259" spans="1:40" x14ac:dyDescent="0.25">
      <c r="A6259" t="str">
        <f>"20190312151148953"</f>
        <v>20190312151148953</v>
      </c>
      <c r="B6259" t="str">
        <f>"1552374708947699"</f>
        <v>1552374708947699</v>
      </c>
      <c r="C6259" t="s">
        <v>40</v>
      </c>
      <c r="D6259">
        <v>5.3575730000000004</v>
      </c>
      <c r="E6259">
        <v>0.50500909999999999</v>
      </c>
      <c r="F6259" t="s">
        <v>95</v>
      </c>
      <c r="G6259">
        <v>-235.55439999999999</v>
      </c>
      <c r="H6259" s="1">
        <v>-2.5871909999999999E-6</v>
      </c>
      <c r="I6259">
        <v>-65.022999999999996</v>
      </c>
      <c r="J6259">
        <v>-264.37150000000003</v>
      </c>
      <c r="K6259">
        <v>1.110803</v>
      </c>
      <c r="L6259">
        <v>-63.491419999999998</v>
      </c>
      <c r="M6259">
        <v>0.99537229999999999</v>
      </c>
      <c r="N6259">
        <v>0</v>
      </c>
      <c r="O6259">
        <v>-9.5517019999999994E-2</v>
      </c>
      <c r="P6259">
        <v>0.99652249999999998</v>
      </c>
      <c r="Q6259">
        <v>7.1797659999999999E-2</v>
      </c>
      <c r="R6259">
        <v>-4.2286600000000001E-2</v>
      </c>
      <c r="S6259">
        <v>3.0119929999999999</v>
      </c>
      <c r="T6259">
        <v>-0.11560479999999999</v>
      </c>
      <c r="U6259">
        <v>-0.16058349999999999</v>
      </c>
      <c r="V6259">
        <v>-5.3242900000000003E-2</v>
      </c>
      <c r="W6259">
        <v>8.2166279999999994E-2</v>
      </c>
      <c r="X6259">
        <v>0.99519539999999995</v>
      </c>
      <c r="Y6259">
        <v>-4.2290290000000001E-2</v>
      </c>
      <c r="Z6259">
        <v>4.466523E-3</v>
      </c>
      <c r="AA6259">
        <v>0.99909539999999997</v>
      </c>
      <c r="AB6259">
        <v>24</v>
      </c>
      <c r="AC6259">
        <v>28.8171</v>
      </c>
      <c r="AD6259">
        <v>-1.1108055871910001</v>
      </c>
      <c r="AE6259">
        <v>-1.5315799999999899</v>
      </c>
      <c r="AF6259">
        <v>-1.2262821125064201</v>
      </c>
      <c r="AG6259">
        <v>-1.1108055871910001</v>
      </c>
      <c r="AH6259">
        <v>28.788972152609102</v>
      </c>
      <c r="AI6259">
        <v>92.207628065461705</v>
      </c>
      <c r="AJ6259">
        <v>92.439070838928203</v>
      </c>
      <c r="AK6259">
        <v>28.836479925186602</v>
      </c>
      <c r="AL6259">
        <v>85.286905479387201</v>
      </c>
      <c r="AM6259">
        <v>93.062401547193204</v>
      </c>
      <c r="AN6259">
        <v>0.99999999407530404</v>
      </c>
    </row>
    <row r="6260" spans="1:40" x14ac:dyDescent="0.25">
      <c r="A6260" t="str">
        <f>"20190312151148965"</f>
        <v>20190312151148965</v>
      </c>
      <c r="B6260" t="str">
        <f>"1552374708957458"</f>
        <v>1552374708957458</v>
      </c>
      <c r="C6260" t="s">
        <v>40</v>
      </c>
      <c r="D6260">
        <v>5.2381330000000004</v>
      </c>
      <c r="E6260">
        <v>0.50500670000000003</v>
      </c>
      <c r="F6260" t="s">
        <v>95</v>
      </c>
      <c r="G6260">
        <v>-235.7088</v>
      </c>
      <c r="H6260" s="1">
        <v>-2.6371979999999999E-6</v>
      </c>
      <c r="I6260">
        <v>-65.008709999999994</v>
      </c>
      <c r="J6260">
        <v>-264.24930000000001</v>
      </c>
      <c r="K6260">
        <v>1.110803</v>
      </c>
      <c r="L6260">
        <v>-63.502499999999998</v>
      </c>
      <c r="M6260">
        <v>0.99542920000000001</v>
      </c>
      <c r="N6260">
        <v>0</v>
      </c>
      <c r="O6260">
        <v>-9.4925019999999999E-2</v>
      </c>
      <c r="P6260">
        <v>0.99655479999999996</v>
      </c>
      <c r="Q6260">
        <v>7.1718100000000007E-2</v>
      </c>
      <c r="R6260">
        <v>-4.165286E-2</v>
      </c>
      <c r="S6260">
        <v>3.0121150000000001</v>
      </c>
      <c r="T6260">
        <v>-0.1167325</v>
      </c>
      <c r="U6260">
        <v>-0.15945429999999999</v>
      </c>
      <c r="V6260">
        <v>-5.3285579999999999E-2</v>
      </c>
      <c r="W6260">
        <v>8.2061250000000002E-2</v>
      </c>
      <c r="X6260">
        <v>0.99520180000000003</v>
      </c>
      <c r="Y6260">
        <v>-4.2070339999999998E-2</v>
      </c>
      <c r="Z6260">
        <v>4.4828709999999898E-3</v>
      </c>
      <c r="AA6260">
        <v>0.99910460000000001</v>
      </c>
      <c r="AB6260">
        <v>24</v>
      </c>
      <c r="AC6260">
        <v>28.540500000000002</v>
      </c>
      <c r="AD6260">
        <v>-1.110805637198</v>
      </c>
      <c r="AE6260">
        <v>-1.5062099999999901</v>
      </c>
      <c r="AF6260">
        <v>-1.2081236625309699</v>
      </c>
      <c r="AG6260">
        <v>-1.110805637198</v>
      </c>
      <c r="AH6260">
        <v>28.5115248302222</v>
      </c>
      <c r="AI6260">
        <v>92.229110158385694</v>
      </c>
      <c r="AJ6260">
        <v>92.426352287774804</v>
      </c>
      <c r="AK6260">
        <v>28.5587202110314</v>
      </c>
      <c r="AL6260">
        <v>85.292943732031105</v>
      </c>
      <c r="AM6260">
        <v>93.064832046219294</v>
      </c>
      <c r="AN6260">
        <v>1.0000000122553601</v>
      </c>
    </row>
    <row r="6261" spans="1:40" x14ac:dyDescent="0.25">
      <c r="A6261" t="str">
        <f>"20190312151148976"</f>
        <v>20190312151148976</v>
      </c>
      <c r="B6261" t="str">
        <f>"1552374708967218"</f>
        <v>1552374708967218</v>
      </c>
      <c r="C6261" t="s">
        <v>40</v>
      </c>
      <c r="D6261">
        <v>5.1948470000000002</v>
      </c>
      <c r="E6261">
        <v>0.50494070000000002</v>
      </c>
      <c r="F6261" t="s">
        <v>95</v>
      </c>
      <c r="G6261">
        <v>-235.92080000000001</v>
      </c>
      <c r="H6261" s="1">
        <v>-2.7051569999999998E-6</v>
      </c>
      <c r="I6261">
        <v>-64.985050000000001</v>
      </c>
      <c r="J6261">
        <v>-264.12380000000002</v>
      </c>
      <c r="K6261">
        <v>1.1108039999999999</v>
      </c>
      <c r="L6261">
        <v>-63.513820000000003</v>
      </c>
      <c r="M6261">
        <v>0.99548749999999997</v>
      </c>
      <c r="N6261">
        <v>0</v>
      </c>
      <c r="O6261">
        <v>-9.4315620000000003E-2</v>
      </c>
      <c r="P6261">
        <v>0.9966081</v>
      </c>
      <c r="Q6261">
        <v>7.1453000000000003E-2</v>
      </c>
      <c r="R6261">
        <v>-4.0828110000000001E-2</v>
      </c>
      <c r="S6261">
        <v>3.0123289999999998</v>
      </c>
      <c r="T6261">
        <v>-0.11811820000000001</v>
      </c>
      <c r="U6261">
        <v>-0.15765379999999901</v>
      </c>
      <c r="V6261">
        <v>-5.3501840000000002E-2</v>
      </c>
      <c r="W6261">
        <v>8.1770410000000002E-2</v>
      </c>
      <c r="X6261">
        <v>0.99521409999999999</v>
      </c>
      <c r="Y6261">
        <v>-4.2055990000000001E-2</v>
      </c>
      <c r="Z6261">
        <v>4.5117780000000001E-3</v>
      </c>
      <c r="AA6261">
        <v>0.99910509999999997</v>
      </c>
      <c r="AB6261">
        <v>24</v>
      </c>
      <c r="AC6261">
        <v>28.202999999999999</v>
      </c>
      <c r="AD6261">
        <v>-1.1108067051570001</v>
      </c>
      <c r="AE6261">
        <v>-1.47123</v>
      </c>
      <c r="AF6261">
        <v>-1.19361104709541</v>
      </c>
      <c r="AG6261">
        <v>-1.1108067051570001</v>
      </c>
      <c r="AH6261">
        <v>28.172450216802002</v>
      </c>
      <c r="AI6261">
        <v>92.255914119110798</v>
      </c>
      <c r="AJ6261">
        <v>92.426058024690207</v>
      </c>
      <c r="AK6261">
        <v>28.219595143909501</v>
      </c>
      <c r="AL6261">
        <v>85.309663657247796</v>
      </c>
      <c r="AM6261">
        <v>93.077208877212399</v>
      </c>
      <c r="AN6261">
        <v>0.99999997583688105</v>
      </c>
    </row>
    <row r="6262" spans="1:40" x14ac:dyDescent="0.25">
      <c r="A6262" t="str">
        <f>"20190312151148990"</f>
        <v>20190312151148990</v>
      </c>
      <c r="B6262" t="str">
        <f>"1552374708987714"</f>
        <v>1552374708987714</v>
      </c>
      <c r="C6262" t="s">
        <v>40</v>
      </c>
      <c r="D6262">
        <v>5.320951</v>
      </c>
      <c r="E6262">
        <v>0.47908669999999998</v>
      </c>
      <c r="F6262" t="s">
        <v>95</v>
      </c>
      <c r="G6262">
        <v>-236.5421</v>
      </c>
      <c r="H6262" s="1">
        <v>-2.9068829999999998E-6</v>
      </c>
      <c r="I6262">
        <v>-64.930340000000001</v>
      </c>
      <c r="J6262">
        <v>-263.97910000000002</v>
      </c>
      <c r="K6262">
        <v>1.110806</v>
      </c>
      <c r="L6262">
        <v>-63.526760000000003</v>
      </c>
      <c r="M6262">
        <v>0.99555470000000001</v>
      </c>
      <c r="N6262">
        <v>0</v>
      </c>
      <c r="O6262">
        <v>-9.3607380000000004E-2</v>
      </c>
      <c r="P6262">
        <v>0.99661509999999998</v>
      </c>
      <c r="Q6262">
        <v>7.179257E-2</v>
      </c>
      <c r="R6262">
        <v>-4.0059860000000003E-2</v>
      </c>
      <c r="S6262">
        <v>3.0125730000000002</v>
      </c>
      <c r="T6262">
        <v>-0.1213263</v>
      </c>
      <c r="U6262">
        <v>-0.1547241</v>
      </c>
      <c r="V6262">
        <v>-5.3560259999999998E-2</v>
      </c>
      <c r="W6262">
        <v>8.2083110000000001E-2</v>
      </c>
      <c r="X6262">
        <v>0.99518530000000005</v>
      </c>
      <c r="Y6262">
        <v>-4.2313030000000001E-2</v>
      </c>
      <c r="Z6262">
        <v>4.6108119999999997E-3</v>
      </c>
      <c r="AA6262">
        <v>0.99909380000000003</v>
      </c>
      <c r="AB6262">
        <v>24</v>
      </c>
      <c r="AC6262">
        <v>27.437000000000001</v>
      </c>
      <c r="AD6262">
        <v>-1.110808906883</v>
      </c>
      <c r="AE6262">
        <v>-1.40358</v>
      </c>
      <c r="AF6262">
        <v>-1.1691172496286799</v>
      </c>
      <c r="AG6262">
        <v>-1.110808906883</v>
      </c>
      <c r="AH6262">
        <v>27.4031096092349</v>
      </c>
      <c r="AI6262">
        <v>92.319156079835096</v>
      </c>
      <c r="AJ6262">
        <v>92.442966778811098</v>
      </c>
      <c r="AK6262">
        <v>27.4505218133779</v>
      </c>
      <c r="AL6262">
        <v>85.291687231280306</v>
      </c>
      <c r="AM6262">
        <v>93.080651468181699</v>
      </c>
      <c r="AN6262">
        <v>1.00000005986731</v>
      </c>
    </row>
    <row r="6263" spans="1:40" x14ac:dyDescent="0.25">
      <c r="A6263" t="str">
        <f>"20190312151149006"</f>
        <v>20190312151149006</v>
      </c>
      <c r="B6263" t="str">
        <f>"1552374708997474"</f>
        <v>1552374708997474</v>
      </c>
      <c r="C6263" t="s">
        <v>40</v>
      </c>
      <c r="D6263">
        <v>5.2649290000000004</v>
      </c>
      <c r="E6263">
        <v>0.47259190000000001</v>
      </c>
      <c r="F6263" t="s">
        <v>93</v>
      </c>
      <c r="G6263">
        <v>-254.35650000000001</v>
      </c>
      <c r="H6263" s="1">
        <v>-1.6628119999999999E-6</v>
      </c>
      <c r="I6263">
        <v>-63.341549999999998</v>
      </c>
      <c r="J6263">
        <v>-263.83240000000001</v>
      </c>
      <c r="K6263">
        <v>1.1108119999999999</v>
      </c>
      <c r="L6263">
        <v>-63.539760000000001</v>
      </c>
      <c r="M6263">
        <v>0.99562240000000002</v>
      </c>
      <c r="N6263">
        <v>0</v>
      </c>
      <c r="O6263">
        <v>-9.2885190000000006E-2</v>
      </c>
      <c r="P6263">
        <v>0.99665809999999999</v>
      </c>
      <c r="Q6263">
        <v>7.1846160000000006E-2</v>
      </c>
      <c r="R6263">
        <v>-3.8867249999999999E-2</v>
      </c>
      <c r="S6263">
        <v>3.037811</v>
      </c>
      <c r="T6263">
        <v>-0.35067809999999999</v>
      </c>
      <c r="U6263">
        <v>5.8471679999999998E-2</v>
      </c>
      <c r="V6263">
        <v>-5.4030399999999999E-2</v>
      </c>
      <c r="W6263">
        <v>8.2109710000000002E-2</v>
      </c>
      <c r="X6263">
        <v>0.99515770000000003</v>
      </c>
      <c r="Y6263">
        <v>-0.1106835</v>
      </c>
      <c r="Z6263">
        <v>1.7044139999999999E-2</v>
      </c>
      <c r="AA6263">
        <v>0.99370959999999997</v>
      </c>
      <c r="AB6263">
        <v>24</v>
      </c>
      <c r="AC6263">
        <v>9.4758999999999904</v>
      </c>
      <c r="AD6263">
        <v>-1.110813662812</v>
      </c>
      <c r="AE6263">
        <v>0.19821000000000299</v>
      </c>
      <c r="AF6263">
        <v>-1.0629708098023101</v>
      </c>
      <c r="AG6263">
        <v>-1.110813662812</v>
      </c>
      <c r="AH6263">
        <v>9.2889276787452992</v>
      </c>
      <c r="AI6263">
        <v>96.775511408354106</v>
      </c>
      <c r="AJ6263">
        <v>96.528198323237007</v>
      </c>
      <c r="AK6263">
        <v>9.4153062274650505</v>
      </c>
      <c r="AL6263">
        <v>85.290158041056401</v>
      </c>
      <c r="AM6263">
        <v>93.107725985371403</v>
      </c>
      <c r="AN6263">
        <v>1.00000006823486</v>
      </c>
    </row>
    <row r="6264" spans="1:40" x14ac:dyDescent="0.25">
      <c r="A6264" t="str">
        <f>"20190312151149018"</f>
        <v>20190312151149018</v>
      </c>
      <c r="B6264" t="str">
        <f>"1552374709007235"</f>
        <v>1552374709007235</v>
      </c>
      <c r="C6264" t="s">
        <v>40</v>
      </c>
      <c r="D6264">
        <v>5.4256449999999896</v>
      </c>
      <c r="E6264">
        <v>0.46970459999999897</v>
      </c>
      <c r="F6264" t="s">
        <v>93</v>
      </c>
      <c r="G6264">
        <v>-254.071</v>
      </c>
      <c r="H6264" s="1">
        <v>-1.503273E-6</v>
      </c>
      <c r="I6264">
        <v>-63.174869999999999</v>
      </c>
      <c r="J6264">
        <v>-263.67469999999997</v>
      </c>
      <c r="K6264">
        <v>1.1108150000000001</v>
      </c>
      <c r="L6264">
        <v>-63.55359</v>
      </c>
      <c r="M6264">
        <v>0.99569540000000001</v>
      </c>
      <c r="N6264">
        <v>0</v>
      </c>
      <c r="O6264">
        <v>-9.2104099999999994E-2</v>
      </c>
      <c r="P6264">
        <v>0.99669989999999997</v>
      </c>
      <c r="Q6264">
        <v>7.1957010000000002E-2</v>
      </c>
      <c r="R6264">
        <v>-3.7573009999999997E-2</v>
      </c>
      <c r="S6264">
        <v>3.0394290000000002</v>
      </c>
      <c r="T6264">
        <v>-0.34587649999999998</v>
      </c>
      <c r="U6264">
        <v>0.11361690000000001</v>
      </c>
      <c r="V6264">
        <v>-5.4542979999999998E-2</v>
      </c>
      <c r="W6264">
        <v>8.2193370000000002E-2</v>
      </c>
      <c r="X6264">
        <v>0.99512279999999997</v>
      </c>
      <c r="Y6264">
        <v>-0.12782349999999901</v>
      </c>
      <c r="Z6264">
        <v>1.7684720000000001E-2</v>
      </c>
      <c r="AA6264">
        <v>0.9916393</v>
      </c>
      <c r="AB6264">
        <v>24</v>
      </c>
      <c r="AC6264">
        <v>9.6036999999999697</v>
      </c>
      <c r="AD6264">
        <v>-1.110816503273</v>
      </c>
      <c r="AE6264">
        <v>0.378720000000001</v>
      </c>
      <c r="AF6264">
        <v>-1.24506646793959</v>
      </c>
      <c r="AG6264">
        <v>-1.110816503273</v>
      </c>
      <c r="AH6264">
        <v>9.4023957616496201</v>
      </c>
      <c r="AI6264">
        <v>96.680019048889307</v>
      </c>
      <c r="AJ6264">
        <v>97.543228461407196</v>
      </c>
      <c r="AK6264">
        <v>9.5493010148501405</v>
      </c>
      <c r="AL6264">
        <v>85.285348271202494</v>
      </c>
      <c r="AM6264">
        <v>93.137259802838798</v>
      </c>
      <c r="AN6264">
        <v>1.0000000369095301</v>
      </c>
    </row>
    <row r="6265" spans="1:40" x14ac:dyDescent="0.25">
      <c r="A6265" t="str">
        <f>"20190312151149031"</f>
        <v>20190312151149031</v>
      </c>
      <c r="B6265" t="str">
        <f>"1552374709027731"</f>
        <v>1552374709027731</v>
      </c>
      <c r="C6265" t="s">
        <v>40</v>
      </c>
      <c r="D6265">
        <v>5.1065529999999999</v>
      </c>
      <c r="E6265">
        <v>0.46884510000000001</v>
      </c>
      <c r="F6265" t="s">
        <v>93</v>
      </c>
      <c r="G6265">
        <v>-253.4119</v>
      </c>
      <c r="H6265" s="1">
        <v>-1.199725E-6</v>
      </c>
      <c r="I6265">
        <v>-63.081359999999997</v>
      </c>
      <c r="J6265">
        <v>-263.53739999999999</v>
      </c>
      <c r="K6265">
        <v>1.1108199999999999</v>
      </c>
      <c r="L6265">
        <v>-63.565550000000002</v>
      </c>
      <c r="M6265">
        <v>0.9957589</v>
      </c>
      <c r="N6265">
        <v>0</v>
      </c>
      <c r="O6265">
        <v>-9.1415410000000002E-2</v>
      </c>
      <c r="P6265">
        <v>0.99676200000000004</v>
      </c>
      <c r="Q6265">
        <v>7.2053019999999995E-2</v>
      </c>
      <c r="R6265">
        <v>-3.568868E-2</v>
      </c>
      <c r="S6265">
        <v>3.0389400000000002</v>
      </c>
      <c r="T6265">
        <v>-0.32892450000000001</v>
      </c>
      <c r="U6265">
        <v>0.1398315</v>
      </c>
      <c r="V6265">
        <v>-5.57379E-2</v>
      </c>
      <c r="W6265">
        <v>8.226559E-2</v>
      </c>
      <c r="X6265">
        <v>0.99505060000000001</v>
      </c>
      <c r="Y6265">
        <v>-0.13577149999999999</v>
      </c>
      <c r="Z6265">
        <v>1.717832E-2</v>
      </c>
      <c r="AA6265">
        <v>0.99059120000000001</v>
      </c>
      <c r="AB6265">
        <v>24</v>
      </c>
      <c r="AC6265">
        <v>10.125499999999899</v>
      </c>
      <c r="AD6265">
        <v>-1.1108211997249999</v>
      </c>
      <c r="AE6265">
        <v>0.48419000000000501</v>
      </c>
      <c r="AF6265">
        <v>-1.39113440132496</v>
      </c>
      <c r="AG6265">
        <v>-1.1108211997249999</v>
      </c>
      <c r="AH6265">
        <v>9.9197195927906492</v>
      </c>
      <c r="AI6265">
        <v>96.328012292526196</v>
      </c>
      <c r="AJ6265">
        <v>97.983056525358904</v>
      </c>
      <c r="AK6265">
        <v>10.078195049705201</v>
      </c>
      <c r="AL6265">
        <v>85.281196222986296</v>
      </c>
      <c r="AM6265">
        <v>93.206080753107798</v>
      </c>
      <c r="AN6265">
        <v>1.0000000186774001</v>
      </c>
    </row>
    <row r="6266" spans="1:40" x14ac:dyDescent="0.25">
      <c r="A6266" t="str">
        <f>"20190312151149042"</f>
        <v>20190312151149042</v>
      </c>
      <c r="B6266" t="str">
        <f>"1552374709037494"</f>
        <v>1552374709037494</v>
      </c>
      <c r="C6266" t="s">
        <v>40</v>
      </c>
      <c r="D6266">
        <v>5.2899649999999996</v>
      </c>
      <c r="E6266">
        <v>0.46771390000000002</v>
      </c>
      <c r="F6266" t="s">
        <v>93</v>
      </c>
      <c r="G6266">
        <v>-252.93049999999999</v>
      </c>
      <c r="H6266" s="1">
        <v>-9.832862000000001E-7</v>
      </c>
      <c r="I6266">
        <v>-63.036670000000001</v>
      </c>
      <c r="J6266">
        <v>-263.41430000000003</v>
      </c>
      <c r="K6266">
        <v>1.110827</v>
      </c>
      <c r="L6266">
        <v>-63.576169999999998</v>
      </c>
      <c r="M6266">
        <v>0.99581600000000003</v>
      </c>
      <c r="N6266">
        <v>0</v>
      </c>
      <c r="O6266">
        <v>-9.0794929999999996E-2</v>
      </c>
      <c r="P6266">
        <v>0.9968129</v>
      </c>
      <c r="Q6266">
        <v>7.1950120000000006E-2</v>
      </c>
      <c r="R6266">
        <v>-3.4462090000000001E-2</v>
      </c>
      <c r="S6266">
        <v>3.0381469999999999</v>
      </c>
      <c r="T6266">
        <v>-0.31817440000000002</v>
      </c>
      <c r="U6266">
        <v>0.15148929999999999</v>
      </c>
      <c r="V6266">
        <v>-5.634484E-2</v>
      </c>
      <c r="W6266">
        <v>8.2144419999999996E-2</v>
      </c>
      <c r="X6266">
        <v>0.99502639999999998</v>
      </c>
      <c r="Y6266">
        <v>-0.1390277</v>
      </c>
      <c r="Z6266">
        <v>1.6728509999999999E-2</v>
      </c>
      <c r="AA6266">
        <v>0.99014720000000001</v>
      </c>
      <c r="AB6266">
        <v>24</v>
      </c>
      <c r="AC6266">
        <v>10.4838</v>
      </c>
      <c r="AD6266">
        <v>-1.1108279832862</v>
      </c>
      <c r="AE6266">
        <v>0.53950000000000298</v>
      </c>
      <c r="AF6266">
        <v>-1.47270798932263</v>
      </c>
      <c r="AG6266">
        <v>-1.1108279832862</v>
      </c>
      <c r="AH6266">
        <v>10.276439839531101</v>
      </c>
      <c r="AI6266">
        <v>96.107493050402596</v>
      </c>
      <c r="AJ6266">
        <v>98.155481601183396</v>
      </c>
      <c r="AK6266">
        <v>10.4406907532868</v>
      </c>
      <c r="AL6266">
        <v>85.288162202330298</v>
      </c>
      <c r="AM6266">
        <v>93.240996975439003</v>
      </c>
      <c r="AN6266">
        <v>0.99999999171436005</v>
      </c>
    </row>
    <row r="6267" spans="1:40" x14ac:dyDescent="0.25">
      <c r="A6267" t="str">
        <f>"20190312151149054"</f>
        <v>20190312151149054</v>
      </c>
      <c r="B6267" t="str">
        <f>"1552374709047251"</f>
        <v>1552374709047251</v>
      </c>
      <c r="C6267" t="s">
        <v>40</v>
      </c>
      <c r="D6267">
        <v>5.273695</v>
      </c>
      <c r="E6267">
        <v>0.46691860000000002</v>
      </c>
      <c r="F6267" t="s">
        <v>93</v>
      </c>
      <c r="G6267">
        <v>-252.96</v>
      </c>
      <c r="H6267" s="1">
        <v>-9.9033999999999991E-7</v>
      </c>
      <c r="I6267">
        <v>-63.011600000000001</v>
      </c>
      <c r="J6267">
        <v>-263.29480000000001</v>
      </c>
      <c r="K6267">
        <v>1.1108309999999999</v>
      </c>
      <c r="L6267">
        <v>-63.58643</v>
      </c>
      <c r="M6267">
        <v>0.99587139999999996</v>
      </c>
      <c r="N6267">
        <v>0</v>
      </c>
      <c r="O6267">
        <v>-9.0187069999999994E-2</v>
      </c>
      <c r="P6267">
        <v>0.9968224</v>
      </c>
      <c r="Q6267">
        <v>7.2338940000000004E-2</v>
      </c>
      <c r="R6267">
        <v>-3.335109E-2</v>
      </c>
      <c r="S6267">
        <v>3.0385740000000001</v>
      </c>
      <c r="T6267">
        <v>-0.32286330000000002</v>
      </c>
      <c r="U6267">
        <v>0.16409299999999999</v>
      </c>
      <c r="V6267">
        <v>-5.684649E-2</v>
      </c>
      <c r="W6267">
        <v>8.2515089999999999E-2</v>
      </c>
      <c r="X6267">
        <v>0.99496719999999905</v>
      </c>
      <c r="Y6267">
        <v>-0.14245920000000001</v>
      </c>
      <c r="Z6267">
        <v>1.7087359999999999E-2</v>
      </c>
      <c r="AA6267">
        <v>0.98965320000000001</v>
      </c>
      <c r="AB6267">
        <v>24</v>
      </c>
      <c r="AC6267">
        <v>10.3348</v>
      </c>
      <c r="AD6267">
        <v>-1.1108319903399999</v>
      </c>
      <c r="AE6267">
        <v>0.57483000000000495</v>
      </c>
      <c r="AF6267">
        <v>-1.4874705091317599</v>
      </c>
      <c r="AG6267">
        <v>-1.1108319903399999</v>
      </c>
      <c r="AH6267">
        <v>10.124230661358601</v>
      </c>
      <c r="AI6267">
        <v>96.195469573031005</v>
      </c>
      <c r="AJ6267">
        <v>98.358203048420407</v>
      </c>
      <c r="AK6267">
        <v>10.2930346696537</v>
      </c>
      <c r="AL6267">
        <v>85.266852052158001</v>
      </c>
      <c r="AM6267">
        <v>93.269984048962698</v>
      </c>
      <c r="AN6267">
        <v>0.99999999628943304</v>
      </c>
    </row>
    <row r="6268" spans="1:40" x14ac:dyDescent="0.25">
      <c r="A6268" t="str">
        <f>"20190312151149065"</f>
        <v>20190312151149065</v>
      </c>
      <c r="B6268" t="str">
        <f>"1552374709057986"</f>
        <v>1552374709057986</v>
      </c>
      <c r="C6268" t="s">
        <v>40</v>
      </c>
      <c r="D6268">
        <v>5.220478</v>
      </c>
      <c r="E6268">
        <v>0.46659410000000001</v>
      </c>
      <c r="F6268" t="s">
        <v>93</v>
      </c>
      <c r="G6268">
        <v>-252.8965</v>
      </c>
      <c r="H6268" s="1">
        <v>-9.5873619999999899E-7</v>
      </c>
      <c r="I6268">
        <v>-62.991849999999999</v>
      </c>
      <c r="J6268">
        <v>-263.17360000000002</v>
      </c>
      <c r="K6268">
        <v>1.1108420000000001</v>
      </c>
      <c r="L6268">
        <v>-63.596739999999997</v>
      </c>
      <c r="M6268">
        <v>0.99592789999999998</v>
      </c>
      <c r="N6268">
        <v>0</v>
      </c>
      <c r="O6268">
        <v>-8.9562649999999994E-2</v>
      </c>
      <c r="P6268">
        <v>0.99686940000000002</v>
      </c>
      <c r="Q6268">
        <v>7.219275E-2</v>
      </c>
      <c r="R6268">
        <v>-3.2247699999999997E-2</v>
      </c>
      <c r="S6268">
        <v>3.0389400000000002</v>
      </c>
      <c r="T6268">
        <v>-0.32464480000000001</v>
      </c>
      <c r="U6268">
        <v>0.17376710000000001</v>
      </c>
      <c r="V6268">
        <v>-5.7326920000000003E-2</v>
      </c>
      <c r="W6268">
        <v>8.2352090000000003E-2</v>
      </c>
      <c r="X6268">
        <v>0.99495319999999998</v>
      </c>
      <c r="Y6268">
        <v>-0.1449481</v>
      </c>
      <c r="Z6268">
        <v>1.7243999999999999E-2</v>
      </c>
      <c r="AA6268">
        <v>0.98928899999999997</v>
      </c>
      <c r="AB6268">
        <v>24</v>
      </c>
      <c r="AC6268">
        <v>10.277100000000001</v>
      </c>
      <c r="AD6268">
        <v>-1.1108429587361901</v>
      </c>
      <c r="AE6268">
        <v>0.60489000000000404</v>
      </c>
      <c r="AF6268">
        <v>-1.5054244204682701</v>
      </c>
      <c r="AG6268">
        <v>-1.1108429587361901</v>
      </c>
      <c r="AH6268">
        <v>10.0644359569909</v>
      </c>
      <c r="AI6268">
        <v>96.229667817466407</v>
      </c>
      <c r="AJ6268">
        <v>98.507152009331307</v>
      </c>
      <c r="AK6268">
        <v>10.2368523432297</v>
      </c>
      <c r="AL6268">
        <v>85.276223442558702</v>
      </c>
      <c r="AM6268">
        <v>93.297605418477701</v>
      </c>
      <c r="AN6268">
        <v>1.0000000563371401</v>
      </c>
    </row>
    <row r="6269" spans="1:40" x14ac:dyDescent="0.25">
      <c r="A6269" t="str">
        <f>"20190312151149075"</f>
        <v>20190312151149075</v>
      </c>
      <c r="B6269" t="str">
        <f>"1552374709067748"</f>
        <v>1552374709067748</v>
      </c>
      <c r="C6269" t="s">
        <v>40</v>
      </c>
      <c r="D6269">
        <v>5.2478470000000002</v>
      </c>
      <c r="E6269">
        <v>0.46633079999999999</v>
      </c>
      <c r="F6269" t="s">
        <v>93</v>
      </c>
      <c r="G6269">
        <v>-252.9016</v>
      </c>
      <c r="H6269" s="1">
        <v>-9.6037330000000008E-7</v>
      </c>
      <c r="I6269">
        <v>-62.989400000000003</v>
      </c>
      <c r="J6269">
        <v>-263.05599999999998</v>
      </c>
      <c r="K6269">
        <v>1.1108499999999999</v>
      </c>
      <c r="L6269">
        <v>-63.606659999999998</v>
      </c>
      <c r="M6269">
        <v>0.99598249999999999</v>
      </c>
      <c r="N6269">
        <v>0</v>
      </c>
      <c r="O6269">
        <v>-8.8953240000000003E-2</v>
      </c>
      <c r="P6269">
        <v>0.99690679999999998</v>
      </c>
      <c r="Q6269">
        <v>7.2081010000000001E-2</v>
      </c>
      <c r="R6269">
        <v>-3.1322639999999999E-2</v>
      </c>
      <c r="S6269">
        <v>3.0390320000000002</v>
      </c>
      <c r="T6269">
        <v>-0.32865169999999999</v>
      </c>
      <c r="U6269">
        <v>0.1796875</v>
      </c>
      <c r="V6269">
        <v>-5.7643960000000001E-2</v>
      </c>
      <c r="W6269">
        <v>8.2225199999999998E-2</v>
      </c>
      <c r="X6269">
        <v>0.99494530000000003</v>
      </c>
      <c r="Y6269">
        <v>-0.1462251</v>
      </c>
      <c r="Z6269">
        <v>1.745756E-2</v>
      </c>
      <c r="AA6269">
        <v>0.98909729999999996</v>
      </c>
      <c r="AB6269">
        <v>24</v>
      </c>
      <c r="AC6269">
        <v>10.1543999999999</v>
      </c>
      <c r="AD6269">
        <v>-1.1108509603732999</v>
      </c>
      <c r="AE6269">
        <v>0.61725999999999404</v>
      </c>
      <c r="AF6269">
        <v>-1.50023953561836</v>
      </c>
      <c r="AG6269">
        <v>-1.1108509603732999</v>
      </c>
      <c r="AH6269">
        <v>9.9407041825443994</v>
      </c>
      <c r="AI6269">
        <v>96.305400673401195</v>
      </c>
      <c r="AJ6269">
        <v>98.582245801826105</v>
      </c>
      <c r="AK6269">
        <v>10.11446034968</v>
      </c>
      <c r="AL6269">
        <v>85.283518082602896</v>
      </c>
      <c r="AM6269">
        <v>93.3158281387188</v>
      </c>
      <c r="AN6269">
        <v>0.99999997981580502</v>
      </c>
    </row>
    <row r="6270" spans="1:40" x14ac:dyDescent="0.25">
      <c r="A6270" t="str">
        <f>"20190312151149087"</f>
        <v>20190312151149087</v>
      </c>
      <c r="B6270" t="str">
        <f>"1552374709077507"</f>
        <v>1552374709077507</v>
      </c>
      <c r="C6270" t="s">
        <v>40</v>
      </c>
      <c r="D6270">
        <v>5.421443</v>
      </c>
      <c r="E6270">
        <v>0.46620800000000001</v>
      </c>
      <c r="F6270" t="s">
        <v>93</v>
      </c>
      <c r="G6270">
        <v>-252.89</v>
      </c>
      <c r="H6270" s="1">
        <v>-9.5544639999999996E-7</v>
      </c>
      <c r="I6270">
        <v>-62.989669999999997</v>
      </c>
      <c r="J6270">
        <v>-262.93540000000002</v>
      </c>
      <c r="K6270">
        <v>1.110862</v>
      </c>
      <c r="L6270">
        <v>-63.616729999999997</v>
      </c>
      <c r="M6270">
        <v>0.99603960000000002</v>
      </c>
      <c r="N6270">
        <v>0</v>
      </c>
      <c r="O6270">
        <v>-8.8314000000000004E-2</v>
      </c>
      <c r="P6270">
        <v>0.99694249999999995</v>
      </c>
      <c r="Q6270">
        <v>7.2024519999999995E-2</v>
      </c>
      <c r="R6270">
        <v>-3.0305039999999998E-2</v>
      </c>
      <c r="S6270">
        <v>3.0390929999999998</v>
      </c>
      <c r="T6270">
        <v>-0.3320845</v>
      </c>
      <c r="U6270">
        <v>0.18444820000000001</v>
      </c>
      <c r="V6270">
        <v>-5.8024319999999997E-2</v>
      </c>
      <c r="W6270">
        <v>8.2154389999999994E-2</v>
      </c>
      <c r="X6270">
        <v>0.99492910000000001</v>
      </c>
      <c r="Y6270">
        <v>-0.14710309999999999</v>
      </c>
      <c r="Z6270">
        <v>1.7616150000000001E-2</v>
      </c>
      <c r="AA6270">
        <v>0.98896430000000002</v>
      </c>
      <c r="AB6270">
        <v>24</v>
      </c>
      <c r="AC6270">
        <v>10.045400000000001</v>
      </c>
      <c r="AD6270">
        <v>-1.11086295544639</v>
      </c>
      <c r="AE6270">
        <v>0.62706000000000695</v>
      </c>
      <c r="AF6270">
        <v>-1.49361169314839</v>
      </c>
      <c r="AG6270">
        <v>-1.11086295544639</v>
      </c>
      <c r="AH6270">
        <v>9.8310086576453504</v>
      </c>
      <c r="AI6270">
        <v>96.3743041711883</v>
      </c>
      <c r="AJ6270">
        <v>98.638805773924702</v>
      </c>
      <c r="AK6270">
        <v>10.0056795682447</v>
      </c>
      <c r="AL6270">
        <v>85.287589253039798</v>
      </c>
      <c r="AM6270">
        <v>93.3377123403273</v>
      </c>
      <c r="AN6270">
        <v>1.0000000397672699</v>
      </c>
    </row>
    <row r="6271" spans="1:40" x14ac:dyDescent="0.25">
      <c r="A6271" t="str">
        <f>"20190312151149098"</f>
        <v>20190312151149098</v>
      </c>
      <c r="B6271" t="str">
        <f>"1552374709087267"</f>
        <v>1552374709087267</v>
      </c>
      <c r="C6271" t="s">
        <v>40</v>
      </c>
      <c r="D6271">
        <v>5.4450919999999998</v>
      </c>
      <c r="E6271">
        <v>0.46656209999999998</v>
      </c>
      <c r="F6271" t="s">
        <v>93</v>
      </c>
      <c r="G6271">
        <v>-252.67099999999999</v>
      </c>
      <c r="H6271" s="1">
        <v>-8.5949879999999998E-7</v>
      </c>
      <c r="I6271">
        <v>-62.980690000000003</v>
      </c>
      <c r="J6271">
        <v>-262.8125</v>
      </c>
      <c r="K6271">
        <v>1.110873</v>
      </c>
      <c r="L6271">
        <v>-63.626919999999998</v>
      </c>
      <c r="M6271">
        <v>0.99609749999999997</v>
      </c>
      <c r="N6271">
        <v>0</v>
      </c>
      <c r="O6271">
        <v>-8.7658550000000002E-2</v>
      </c>
      <c r="P6271">
        <v>0.99698629999999999</v>
      </c>
      <c r="Q6271">
        <v>7.1860720000000003E-2</v>
      </c>
      <c r="R6271">
        <v>-2.9230030000000001E-2</v>
      </c>
      <c r="S6271">
        <v>3.0386660000000001</v>
      </c>
      <c r="T6271">
        <v>-0.32886029999999999</v>
      </c>
      <c r="U6271">
        <v>0.1882935</v>
      </c>
      <c r="V6271">
        <v>-5.8445990000000003E-2</v>
      </c>
      <c r="W6271">
        <v>8.1975229999999996E-2</v>
      </c>
      <c r="X6271">
        <v>0.9949192</v>
      </c>
      <c r="Y6271">
        <v>-0.14773430000000001</v>
      </c>
      <c r="Z6271">
        <v>1.7411469999999998E-2</v>
      </c>
      <c r="AA6271">
        <v>0.98887380000000003</v>
      </c>
      <c r="AB6271">
        <v>24</v>
      </c>
      <c r="AC6271">
        <v>10.141500000000001</v>
      </c>
      <c r="AD6271">
        <v>-1.1108738594987999</v>
      </c>
      <c r="AE6271">
        <v>0.64622999999999498</v>
      </c>
      <c r="AF6271">
        <v>-1.51467802712004</v>
      </c>
      <c r="AG6271">
        <v>-1.1108738594987999</v>
      </c>
      <c r="AH6271">
        <v>9.92717734590315</v>
      </c>
      <c r="AI6271">
        <v>96.312510152939296</v>
      </c>
      <c r="AJ6271">
        <v>98.675220578608503</v>
      </c>
      <c r="AK6271">
        <v>10.103323231222999</v>
      </c>
      <c r="AL6271">
        <v>85.297889122627396</v>
      </c>
      <c r="AM6271">
        <v>93.361945854941595</v>
      </c>
      <c r="AN6271">
        <v>1.0000000433046301</v>
      </c>
    </row>
    <row r="6272" spans="1:40" x14ac:dyDescent="0.25">
      <c r="A6272" t="str">
        <f>"20190312151149108"</f>
        <v>20190312151149108</v>
      </c>
      <c r="B6272" t="str">
        <f>"1552374709098003"</f>
        <v>1552374709098003</v>
      </c>
      <c r="C6272" t="s">
        <v>40</v>
      </c>
      <c r="D6272">
        <v>5.2193079999999998</v>
      </c>
      <c r="E6272">
        <v>0.46627550000000001</v>
      </c>
      <c r="F6272" t="s">
        <v>93</v>
      </c>
      <c r="G6272">
        <v>-252.62649999999999</v>
      </c>
      <c r="H6272" s="1">
        <v>-8.4351249999999998E-7</v>
      </c>
      <c r="I6272">
        <v>-62.994680000000002</v>
      </c>
      <c r="J6272">
        <v>-262.69850000000002</v>
      </c>
      <c r="K6272">
        <v>1.1108849999999999</v>
      </c>
      <c r="L6272">
        <v>-63.636290000000002</v>
      </c>
      <c r="M6272">
        <v>0.99615260000000005</v>
      </c>
      <c r="N6272">
        <v>0</v>
      </c>
      <c r="O6272">
        <v>-8.7031220000000006E-2</v>
      </c>
      <c r="P6272">
        <v>0.9970289</v>
      </c>
      <c r="Q6272">
        <v>7.1706110000000003E-2</v>
      </c>
      <c r="R6272">
        <v>-2.8134739999999998E-2</v>
      </c>
      <c r="S6272">
        <v>3.0384829999999998</v>
      </c>
      <c r="T6272">
        <v>-0.331374</v>
      </c>
      <c r="U6272">
        <v>0.18859860000000001</v>
      </c>
      <c r="V6272">
        <v>-5.8916940000000001E-2</v>
      </c>
      <c r="W6272">
        <v>8.1808430000000001E-2</v>
      </c>
      <c r="X6272">
        <v>0.99490509999999999</v>
      </c>
      <c r="Y6272">
        <v>-0.14719989999999999</v>
      </c>
      <c r="Z6272">
        <v>1.7447710000000002E-2</v>
      </c>
      <c r="AA6272">
        <v>0.98895290000000002</v>
      </c>
      <c r="AB6272">
        <v>24</v>
      </c>
      <c r="AC6272">
        <v>10.071999999999999</v>
      </c>
      <c r="AD6272">
        <v>-1.1108858435125</v>
      </c>
      <c r="AE6272">
        <v>0.64161000000000001</v>
      </c>
      <c r="AF6272">
        <v>-1.49765478553383</v>
      </c>
      <c r="AG6272">
        <v>-1.1108858435125</v>
      </c>
      <c r="AH6272">
        <v>9.8584929793223601</v>
      </c>
      <c r="AI6272">
        <v>96.356821515007994</v>
      </c>
      <c r="AJ6272">
        <v>98.638052722363099</v>
      </c>
      <c r="AK6272">
        <v>10.033290638534099</v>
      </c>
      <c r="AL6272">
        <v>85.307478022499595</v>
      </c>
      <c r="AM6272">
        <v>93.389020995092807</v>
      </c>
      <c r="AN6272">
        <v>0.99999999152201902</v>
      </c>
    </row>
    <row r="6273" spans="1:40" x14ac:dyDescent="0.25">
      <c r="A6273" t="str">
        <f>"20190312151149120"</f>
        <v>20190312151149120</v>
      </c>
      <c r="B6273" t="str">
        <f>"1552374709117522"</f>
        <v>1552374709117522</v>
      </c>
      <c r="C6273" t="s">
        <v>40</v>
      </c>
      <c r="D6273">
        <v>5.2363670000000004</v>
      </c>
      <c r="E6273">
        <v>0.46590229999999999</v>
      </c>
      <c r="F6273" t="s">
        <v>93</v>
      </c>
      <c r="G6273">
        <v>-252.55459999999999</v>
      </c>
      <c r="H6273" s="1">
        <v>-8.1123269999999904E-7</v>
      </c>
      <c r="I6273">
        <v>-62.988300000000002</v>
      </c>
      <c r="J6273">
        <v>-262.57749999999999</v>
      </c>
      <c r="K6273">
        <v>1.1109</v>
      </c>
      <c r="L6273">
        <v>-63.646149999999999</v>
      </c>
      <c r="M6273">
        <v>0.99621110000000002</v>
      </c>
      <c r="N6273">
        <v>0</v>
      </c>
      <c r="O6273">
        <v>-8.6360599999999996E-2</v>
      </c>
      <c r="P6273">
        <v>0.99709859999999995</v>
      </c>
      <c r="Q6273">
        <v>7.1188650000000006E-2</v>
      </c>
      <c r="R6273">
        <v>-2.695933E-2</v>
      </c>
      <c r="S6273">
        <v>3.0383909999999998</v>
      </c>
      <c r="T6273">
        <v>-0.33274199999999998</v>
      </c>
      <c r="U6273">
        <v>0.19409180000000001</v>
      </c>
      <c r="V6273">
        <v>-5.9425239999999997E-2</v>
      </c>
      <c r="W6273">
        <v>8.1277089999999996E-2</v>
      </c>
      <c r="X6273">
        <v>0.99491839999999998</v>
      </c>
      <c r="Y6273">
        <v>-0.14830289999999999</v>
      </c>
      <c r="Z6273">
        <v>1.750614E-2</v>
      </c>
      <c r="AA6273">
        <v>0.98878710000000003</v>
      </c>
      <c r="AB6273">
        <v>24</v>
      </c>
      <c r="AC6273">
        <v>10.0228999999999</v>
      </c>
      <c r="AD6273">
        <v>-1.1109008112326999</v>
      </c>
      <c r="AE6273">
        <v>0.65784999999999605</v>
      </c>
      <c r="AF6273">
        <v>-1.5026409277956301</v>
      </c>
      <c r="AG6273">
        <v>-1.1109008112326999</v>
      </c>
      <c r="AH6273">
        <v>9.8086553147238398</v>
      </c>
      <c r="AI6273">
        <v>96.387730209752405</v>
      </c>
      <c r="AJ6273">
        <v>98.709735652028698</v>
      </c>
      <c r="AK6273">
        <v>9.9850763368811695</v>
      </c>
      <c r="AL6273">
        <v>85.338023199275895</v>
      </c>
      <c r="AM6273">
        <v>93.418144817172305</v>
      </c>
      <c r="AN6273">
        <v>0.999999973583242</v>
      </c>
    </row>
    <row r="6274" spans="1:40" x14ac:dyDescent="0.25">
      <c r="A6274" t="str">
        <f>"20190312151149131"</f>
        <v>20190312151149131</v>
      </c>
      <c r="B6274" t="str">
        <f>"1552374709127286"</f>
        <v>1552374709127286</v>
      </c>
      <c r="C6274" t="s">
        <v>40</v>
      </c>
      <c r="D6274">
        <v>5.2304979999999999</v>
      </c>
      <c r="E6274">
        <v>0.4657617</v>
      </c>
      <c r="F6274" t="s">
        <v>93</v>
      </c>
      <c r="G6274">
        <v>-252.57300000000001</v>
      </c>
      <c r="H6274" s="1">
        <v>-8.1856729999999995E-7</v>
      </c>
      <c r="I6274">
        <v>-62.98563</v>
      </c>
      <c r="J6274">
        <v>-262.4538</v>
      </c>
      <c r="K6274">
        <v>1.11091299999999</v>
      </c>
      <c r="L6274">
        <v>-63.656129999999997</v>
      </c>
      <c r="M6274">
        <v>0.99627189999999999</v>
      </c>
      <c r="N6274">
        <v>0</v>
      </c>
      <c r="O6274">
        <v>-8.5658380000000006E-2</v>
      </c>
      <c r="P6274">
        <v>0.99716070000000001</v>
      </c>
      <c r="Q6274">
        <v>7.0777619999999999E-2</v>
      </c>
      <c r="R6274">
        <v>-2.5716050000000001E-2</v>
      </c>
      <c r="S6274">
        <v>3.0382389999999999</v>
      </c>
      <c r="T6274">
        <v>-0.33736680000000002</v>
      </c>
      <c r="U6274">
        <v>0.20059199999999999</v>
      </c>
      <c r="V6274">
        <v>-5.9970509999999998E-2</v>
      </c>
      <c r="W6274">
        <v>8.0853149999999999E-2</v>
      </c>
      <c r="X6274">
        <v>0.99492029999999998</v>
      </c>
      <c r="Y6274">
        <v>-0.14967250000000001</v>
      </c>
      <c r="Z6274">
        <v>1.7746049999999999E-2</v>
      </c>
      <c r="AA6274">
        <v>0.98857640000000002</v>
      </c>
      <c r="AB6274">
        <v>24</v>
      </c>
      <c r="AC6274">
        <v>9.8808000000000202</v>
      </c>
      <c r="AD6274">
        <v>-1.11091381856729</v>
      </c>
      <c r="AE6274">
        <v>0.67049999999999699</v>
      </c>
      <c r="AF6274">
        <v>-1.49563366675368</v>
      </c>
      <c r="AG6274">
        <v>-1.11091381856729</v>
      </c>
      <c r="AH6274">
        <v>9.6654237958357694</v>
      </c>
      <c r="AI6274">
        <v>96.480171868102104</v>
      </c>
      <c r="AJ6274">
        <v>98.7962196820733</v>
      </c>
      <c r="AK6274">
        <v>9.8433463177173195</v>
      </c>
      <c r="AL6274">
        <v>85.3623937286998</v>
      </c>
      <c r="AM6274">
        <v>93.449426833773401</v>
      </c>
      <c r="AN6274">
        <v>1.00000004864333</v>
      </c>
    </row>
    <row r="6275" spans="1:40" x14ac:dyDescent="0.25">
      <c r="A6275" t="str">
        <f>"20190312151149143"</f>
        <v>20190312151149143</v>
      </c>
      <c r="B6275" t="str">
        <f>"1552374709138018"</f>
        <v>1552374709138018</v>
      </c>
      <c r="C6275" t="s">
        <v>40</v>
      </c>
      <c r="D6275">
        <v>5.2501949999999997</v>
      </c>
      <c r="E6275">
        <v>0.46574500000000002</v>
      </c>
      <c r="F6275" t="s">
        <v>93</v>
      </c>
      <c r="G6275">
        <v>-252.54820000000001</v>
      </c>
      <c r="H6275" s="1">
        <v>-8.0806969999999897E-7</v>
      </c>
      <c r="I6275">
        <v>-62.986370000000001</v>
      </c>
      <c r="J6275">
        <v>-262.32589999999999</v>
      </c>
      <c r="K6275">
        <v>1.1109309999999999</v>
      </c>
      <c r="L6275">
        <v>-63.666350000000001</v>
      </c>
      <c r="M6275">
        <v>0.99633530000000003</v>
      </c>
      <c r="N6275">
        <v>0</v>
      </c>
      <c r="O6275">
        <v>-8.491775E-2</v>
      </c>
      <c r="P6275">
        <v>0.99721459999999995</v>
      </c>
      <c r="Q6275">
        <v>7.0475090000000004E-2</v>
      </c>
      <c r="R6275">
        <v>-2.4425539999999999E-2</v>
      </c>
      <c r="S6275">
        <v>3.0380250000000002</v>
      </c>
      <c r="T6275">
        <v>-0.34071279999999998</v>
      </c>
      <c r="U6275">
        <v>0.20541380000000001</v>
      </c>
      <c r="V6275">
        <v>-6.0524269999999998E-2</v>
      </c>
      <c r="W6275">
        <v>8.0537559999999994E-2</v>
      </c>
      <c r="X6275">
        <v>0.99491229999999997</v>
      </c>
      <c r="Y6275">
        <v>-0.1504751</v>
      </c>
      <c r="Z6275">
        <v>1.7883650000000001E-2</v>
      </c>
      <c r="AA6275">
        <v>0.988452</v>
      </c>
      <c r="AB6275">
        <v>24</v>
      </c>
      <c r="AC6275">
        <v>9.7776999999999799</v>
      </c>
      <c r="AD6275">
        <v>-1.1109318080696999</v>
      </c>
      <c r="AE6275">
        <v>0.67998000000000702</v>
      </c>
      <c r="AF6275">
        <v>-1.48874143419473</v>
      </c>
      <c r="AG6275">
        <v>-1.1109318080696999</v>
      </c>
      <c r="AH6275">
        <v>9.5617919220733096</v>
      </c>
      <c r="AI6275">
        <v>96.548961822180303</v>
      </c>
      <c r="AJ6275">
        <v>98.849721927942397</v>
      </c>
      <c r="AK6275">
        <v>9.7405536444852903</v>
      </c>
      <c r="AL6275">
        <v>85.380534571168994</v>
      </c>
      <c r="AM6275">
        <v>93.481228348359707</v>
      </c>
      <c r="AN6275">
        <v>0.99999998526053802</v>
      </c>
    </row>
    <row r="6276" spans="1:40" x14ac:dyDescent="0.25">
      <c r="A6276" t="str">
        <f>"20190312151149154"</f>
        <v>20190312151149154</v>
      </c>
      <c r="B6276" t="str">
        <f>"1552374709147779"</f>
        <v>1552374709147779</v>
      </c>
      <c r="C6276" t="s">
        <v>40</v>
      </c>
      <c r="D6276">
        <v>5.2364169999999897</v>
      </c>
      <c r="E6276">
        <v>0.46578049999999999</v>
      </c>
      <c r="F6276" t="s">
        <v>93</v>
      </c>
      <c r="G6276">
        <v>-252.45910000000001</v>
      </c>
      <c r="H6276" s="1">
        <v>-7.6969250000000002E-7</v>
      </c>
      <c r="I6276">
        <v>-62.985660000000003</v>
      </c>
      <c r="J6276">
        <v>-262.20929999999998</v>
      </c>
      <c r="K6276">
        <v>1.1109469999999999</v>
      </c>
      <c r="L6276">
        <v>-63.675569999999901</v>
      </c>
      <c r="M6276">
        <v>0.996394</v>
      </c>
      <c r="N6276">
        <v>0</v>
      </c>
      <c r="O6276">
        <v>-8.4229460000000006E-2</v>
      </c>
      <c r="P6276">
        <v>0.99724829999999998</v>
      </c>
      <c r="Q6276">
        <v>7.0375140000000003E-2</v>
      </c>
      <c r="R6276">
        <v>-2.3312860000000001E-2</v>
      </c>
      <c r="S6276">
        <v>3.0376889999999999</v>
      </c>
      <c r="T6276">
        <v>-0.34202290000000002</v>
      </c>
      <c r="U6276">
        <v>0.20956420000000001</v>
      </c>
      <c r="V6276">
        <v>-6.0952260000000001E-2</v>
      </c>
      <c r="W6276">
        <v>8.0426339999999999E-2</v>
      </c>
      <c r="X6276">
        <v>0.99489519999999998</v>
      </c>
      <c r="Y6276">
        <v>-0.15113260000000001</v>
      </c>
      <c r="Z6276">
        <v>1.791305E-2</v>
      </c>
      <c r="AA6276">
        <v>0.98835119999999999</v>
      </c>
      <c r="AB6276">
        <v>24</v>
      </c>
      <c r="AC6276">
        <v>9.7501999999999693</v>
      </c>
      <c r="AD6276">
        <v>-1.1109477696925001</v>
      </c>
      <c r="AE6276">
        <v>0.68990999999999703</v>
      </c>
      <c r="AF6276">
        <v>-1.4895136618454401</v>
      </c>
      <c r="AG6276">
        <v>-1.1109477696925001</v>
      </c>
      <c r="AH6276">
        <v>9.5342715623005301</v>
      </c>
      <c r="AI6276">
        <v>96.5672680482499</v>
      </c>
      <c r="AJ6276">
        <v>98.879390456502406</v>
      </c>
      <c r="AK6276">
        <v>9.7136599754933606</v>
      </c>
      <c r="AL6276">
        <v>85.386927891666602</v>
      </c>
      <c r="AM6276">
        <v>93.505844354607902</v>
      </c>
      <c r="AN6276">
        <v>1.00000001657397</v>
      </c>
    </row>
    <row r="6277" spans="1:40" x14ac:dyDescent="0.25">
      <c r="A6277" t="str">
        <f>"20190312151149165"</f>
        <v>20190312151149165</v>
      </c>
      <c r="B6277" t="str">
        <f>"1552374709157538"</f>
        <v>1552374709157538</v>
      </c>
      <c r="C6277" t="s">
        <v>40</v>
      </c>
      <c r="D6277">
        <v>5.2302929999999996</v>
      </c>
      <c r="E6277">
        <v>0.46586440000000001</v>
      </c>
      <c r="F6277" t="s">
        <v>93</v>
      </c>
      <c r="G6277">
        <v>-252.39619999999999</v>
      </c>
      <c r="H6277" s="1">
        <v>-7.4344539999999999E-7</v>
      </c>
      <c r="I6277">
        <v>-62.988979999999998</v>
      </c>
      <c r="J6277">
        <v>-262.09230000000002</v>
      </c>
      <c r="K6277">
        <v>1.1109709999999999</v>
      </c>
      <c r="L6277">
        <v>-63.684690000000003</v>
      </c>
      <c r="M6277">
        <v>0.99645399999999995</v>
      </c>
      <c r="N6277">
        <v>0</v>
      </c>
      <c r="O6277">
        <v>-8.3515759999999994E-2</v>
      </c>
      <c r="P6277">
        <v>0.99728419999999895</v>
      </c>
      <c r="Q6277">
        <v>7.0292140000000003E-2</v>
      </c>
      <c r="R6277">
        <v>-2.199255E-2</v>
      </c>
      <c r="S6277">
        <v>3.037506</v>
      </c>
      <c r="T6277">
        <v>-0.34387780000000001</v>
      </c>
      <c r="U6277">
        <v>0.2125244</v>
      </c>
      <c r="V6277">
        <v>-6.1561850000000001E-2</v>
      </c>
      <c r="W6277">
        <v>8.0331769999999997E-2</v>
      </c>
      <c r="X6277">
        <v>0.99486529999999995</v>
      </c>
      <c r="Y6277">
        <v>-0.15137419999999999</v>
      </c>
      <c r="Z6277">
        <v>1.794343E-2</v>
      </c>
      <c r="AA6277">
        <v>0.98831369999999996</v>
      </c>
      <c r="AB6277">
        <v>24</v>
      </c>
      <c r="AC6277">
        <v>9.6961000000000297</v>
      </c>
      <c r="AD6277">
        <v>-1.1109717434453901</v>
      </c>
      <c r="AE6277">
        <v>0.69570999999999805</v>
      </c>
      <c r="AF6277">
        <v>-1.48371964632305</v>
      </c>
      <c r="AG6277">
        <v>-1.1109717434453901</v>
      </c>
      <c r="AH6277">
        <v>9.4802932990091193</v>
      </c>
      <c r="AI6277">
        <v>96.604194058680804</v>
      </c>
      <c r="AJ6277">
        <v>98.894958242251604</v>
      </c>
      <c r="AK6277">
        <v>9.6597951965275293</v>
      </c>
      <c r="AL6277">
        <v>85.392363911662002</v>
      </c>
      <c r="AM6277">
        <v>93.540924057825407</v>
      </c>
      <c r="AN6277">
        <v>1.00000000989542</v>
      </c>
    </row>
    <row r="6278" spans="1:40" x14ac:dyDescent="0.25">
      <c r="A6278" t="str">
        <f>"20190312151149178"</f>
        <v>20190312151149178</v>
      </c>
      <c r="B6278" t="str">
        <f>"1552374709167298"</f>
        <v>1552374709167298</v>
      </c>
      <c r="C6278" t="s">
        <v>40</v>
      </c>
      <c r="D6278">
        <v>5.4579909999999998</v>
      </c>
      <c r="E6278">
        <v>0.46614549999999999</v>
      </c>
      <c r="F6278" t="s">
        <v>93</v>
      </c>
      <c r="G6278">
        <v>-252.29929999999999</v>
      </c>
      <c r="H6278" s="1">
        <v>-7.0184820000000004E-7</v>
      </c>
      <c r="I6278">
        <v>-62.988900000000001</v>
      </c>
      <c r="J6278">
        <v>-261.9572</v>
      </c>
      <c r="K6278">
        <v>1.1109979999999999</v>
      </c>
      <c r="L6278">
        <v>-63.695160000000001</v>
      </c>
      <c r="M6278">
        <v>0.99652390000000002</v>
      </c>
      <c r="N6278">
        <v>0</v>
      </c>
      <c r="O6278">
        <v>-8.2680310000000007E-2</v>
      </c>
      <c r="P6278">
        <v>0.99731159999999996</v>
      </c>
      <c r="Q6278">
        <v>7.0392679999999999E-2</v>
      </c>
      <c r="R6278">
        <v>-2.0367840000000002E-2</v>
      </c>
      <c r="S6278">
        <v>3.0371700000000001</v>
      </c>
      <c r="T6278">
        <v>-0.34455340000000001</v>
      </c>
      <c r="U6278">
        <v>0.2157898</v>
      </c>
      <c r="V6278">
        <v>-6.2354100000000003E-2</v>
      </c>
      <c r="W6278">
        <v>8.0418260000000005E-2</v>
      </c>
      <c r="X6278">
        <v>0.99480900000000005</v>
      </c>
      <c r="Y6278">
        <v>-0.15160839999999901</v>
      </c>
      <c r="Z6278">
        <v>1.7898819999999999E-2</v>
      </c>
      <c r="AA6278">
        <v>0.98827860000000001</v>
      </c>
      <c r="AB6278">
        <v>24</v>
      </c>
      <c r="AC6278">
        <v>9.6579000000000104</v>
      </c>
      <c r="AD6278">
        <v>-1.1109987018481999</v>
      </c>
      <c r="AE6278">
        <v>0.706259999999993</v>
      </c>
      <c r="AF6278">
        <v>-1.48288256674346</v>
      </c>
      <c r="AG6278">
        <v>-1.1109987018481999</v>
      </c>
      <c r="AH6278">
        <v>9.4421479560954893</v>
      </c>
      <c r="AI6278">
        <v>96.630250080139106</v>
      </c>
      <c r="AJ6278">
        <v>98.925357826734398</v>
      </c>
      <c r="AK6278">
        <v>9.6222355431083795</v>
      </c>
      <c r="AL6278">
        <v>85.387392446894495</v>
      </c>
      <c r="AM6278">
        <v>93.586577072829797</v>
      </c>
      <c r="AN6278">
        <v>1.0000000384046099</v>
      </c>
    </row>
    <row r="6279" spans="1:40" x14ac:dyDescent="0.25">
      <c r="A6279" t="str">
        <f>"20190312151149188"</f>
        <v>20190312151149188</v>
      </c>
      <c r="B6279" t="str">
        <f>"1552374709178035"</f>
        <v>1552374709178035</v>
      </c>
      <c r="C6279" t="s">
        <v>40</v>
      </c>
      <c r="D6279">
        <v>5.3541080000000001</v>
      </c>
      <c r="E6279">
        <v>0.46610800000000002</v>
      </c>
      <c r="F6279" t="s">
        <v>93</v>
      </c>
      <c r="G6279">
        <v>-252.1893</v>
      </c>
      <c r="H6279" s="1">
        <v>-6.5549140000000005E-7</v>
      </c>
      <c r="I6279">
        <v>-62.992649999999998</v>
      </c>
      <c r="J6279">
        <v>-261.84059999999999</v>
      </c>
      <c r="K6279">
        <v>1.1110260000000001</v>
      </c>
      <c r="L6279">
        <v>-63.703980000000001</v>
      </c>
      <c r="M6279">
        <v>0.99658670000000005</v>
      </c>
      <c r="N6279">
        <v>0</v>
      </c>
      <c r="O6279">
        <v>-8.1920439999999997E-2</v>
      </c>
      <c r="P6279">
        <v>0.99734020000000001</v>
      </c>
      <c r="Q6279">
        <v>7.0414309999999994E-2</v>
      </c>
      <c r="R6279">
        <v>-1.88276E-2</v>
      </c>
      <c r="S6279">
        <v>3.0369259999999998</v>
      </c>
      <c r="T6279">
        <v>-0.34541690000000003</v>
      </c>
      <c r="U6279">
        <v>0.21841430000000001</v>
      </c>
      <c r="V6279">
        <v>-6.3138139999999995E-2</v>
      </c>
      <c r="W6279">
        <v>8.0428250000000007E-2</v>
      </c>
      <c r="X6279">
        <v>0.9947587</v>
      </c>
      <c r="Y6279">
        <v>-0.1517068</v>
      </c>
      <c r="Z6279">
        <v>1.7863980000000002E-2</v>
      </c>
      <c r="AA6279">
        <v>0.98826409999999998</v>
      </c>
      <c r="AB6279">
        <v>24</v>
      </c>
      <c r="AC6279">
        <v>9.6512999999999902</v>
      </c>
      <c r="AD6279">
        <v>-1.1110266554913999</v>
      </c>
      <c r="AE6279">
        <v>0.71133000000000302</v>
      </c>
      <c r="AF6279">
        <v>-1.4801104681007</v>
      </c>
      <c r="AG6279">
        <v>-1.1110266554913999</v>
      </c>
      <c r="AH6279">
        <v>9.4362100015032002</v>
      </c>
      <c r="AI6279">
        <v>96.634746929448994</v>
      </c>
      <c r="AJ6279">
        <v>98.914456804005496</v>
      </c>
      <c r="AK6279">
        <v>9.6159849427639301</v>
      </c>
      <c r="AL6279">
        <v>85.386818022925198</v>
      </c>
      <c r="AM6279">
        <v>93.631737866294699</v>
      </c>
      <c r="AN6279">
        <v>0.99999999967320596</v>
      </c>
    </row>
    <row r="6280" spans="1:40" x14ac:dyDescent="0.25">
      <c r="A6280" t="str">
        <f>"20190312151149200"</f>
        <v>20190312151149200</v>
      </c>
      <c r="B6280" t="str">
        <f>"1552374709197555"</f>
        <v>1552374709197555</v>
      </c>
      <c r="C6280" t="s">
        <v>40</v>
      </c>
      <c r="D6280">
        <v>5.2378869999999997</v>
      </c>
      <c r="E6280">
        <v>0.46628730000000002</v>
      </c>
      <c r="F6280" t="s">
        <v>93</v>
      </c>
      <c r="G6280">
        <v>-251.9599</v>
      </c>
      <c r="H6280" s="1">
        <v>-5.5368080000000001E-7</v>
      </c>
      <c r="I6280">
        <v>-62.977319999999999</v>
      </c>
      <c r="J6280">
        <v>-261.71519999999998</v>
      </c>
      <c r="K6280">
        <v>1.1110629999999999</v>
      </c>
      <c r="L6280">
        <v>-63.713439999999999</v>
      </c>
      <c r="M6280">
        <v>0.99665420000000005</v>
      </c>
      <c r="N6280">
        <v>0</v>
      </c>
      <c r="O6280">
        <v>-8.1094029999999998E-2</v>
      </c>
      <c r="P6280">
        <v>0.99735459999999998</v>
      </c>
      <c r="Q6280">
        <v>7.0628029999999994E-2</v>
      </c>
      <c r="R6280">
        <v>-1.7199240000000001E-2</v>
      </c>
      <c r="S6280">
        <v>3.0362550000000001</v>
      </c>
      <c r="T6280">
        <v>-0.34140900000000002</v>
      </c>
      <c r="U6280">
        <v>0.2232971</v>
      </c>
      <c r="V6280">
        <v>-6.3944409999999993E-2</v>
      </c>
      <c r="W6280">
        <v>8.0629290000000006E-2</v>
      </c>
      <c r="X6280">
        <v>0.99469090000000004</v>
      </c>
      <c r="Y6280">
        <v>-0.15251799999999999</v>
      </c>
      <c r="Z6280">
        <v>1.761399E-2</v>
      </c>
      <c r="AA6280">
        <v>0.98814369999999996</v>
      </c>
      <c r="AB6280">
        <v>24</v>
      </c>
      <c r="AC6280">
        <v>9.7552999999999699</v>
      </c>
      <c r="AD6280">
        <v>-1.1110635536808</v>
      </c>
      <c r="AE6280">
        <v>0.73612000000000599</v>
      </c>
      <c r="AF6280">
        <v>-1.50541587298142</v>
      </c>
      <c r="AG6280">
        <v>-1.1110635536808</v>
      </c>
      <c r="AH6280">
        <v>9.5404144620664297</v>
      </c>
      <c r="AI6280">
        <v>96.562193086287607</v>
      </c>
      <c r="AJ6280">
        <v>98.966970008260404</v>
      </c>
      <c r="AK6280">
        <v>9.7221523994920194</v>
      </c>
      <c r="AL6280">
        <v>85.3752616486493</v>
      </c>
      <c r="AM6280">
        <v>93.678238435170698</v>
      </c>
      <c r="AN6280">
        <v>0.99999997825947995</v>
      </c>
    </row>
    <row r="6281" spans="1:40" x14ac:dyDescent="0.25">
      <c r="A6281" t="str">
        <f>"20190312151149211"</f>
        <v>20190312151149211</v>
      </c>
      <c r="B6281" t="str">
        <f>"1552374709207314"</f>
        <v>1552374709207314</v>
      </c>
      <c r="C6281" t="s">
        <v>40</v>
      </c>
      <c r="D6281">
        <v>5.2725860000000004</v>
      </c>
      <c r="E6281">
        <v>0.46630959999999999</v>
      </c>
      <c r="F6281" t="s">
        <v>93</v>
      </c>
      <c r="G6281">
        <v>-251.7732</v>
      </c>
      <c r="H6281" s="1">
        <v>-4.7211179999999998E-7</v>
      </c>
      <c r="I6281">
        <v>-62.970579999999998</v>
      </c>
      <c r="J6281">
        <v>-261.59539999999998</v>
      </c>
      <c r="K6281">
        <v>1.1110979999999999</v>
      </c>
      <c r="L6281">
        <v>-63.722320000000003</v>
      </c>
      <c r="M6281">
        <v>0.99672110000000003</v>
      </c>
      <c r="N6281">
        <v>0</v>
      </c>
      <c r="O6281">
        <v>-8.026867E-2</v>
      </c>
      <c r="P6281">
        <v>0.99737980000000004</v>
      </c>
      <c r="Q6281">
        <v>7.0637350000000002E-2</v>
      </c>
      <c r="R6281">
        <v>-1.562493E-2</v>
      </c>
      <c r="S6281">
        <v>3.0358580000000002</v>
      </c>
      <c r="T6281">
        <v>-0.33927259999999998</v>
      </c>
      <c r="U6281">
        <v>0.22683719999999999</v>
      </c>
      <c r="V6281">
        <v>-6.4697589999999999E-2</v>
      </c>
      <c r="W6281">
        <v>8.0626439999999994E-2</v>
      </c>
      <c r="X6281">
        <v>0.99464240000000004</v>
      </c>
      <c r="Y6281">
        <v>-0.15287609999999999</v>
      </c>
      <c r="Z6281">
        <v>1.743426E-2</v>
      </c>
      <c r="AA6281">
        <v>0.98809159999999996</v>
      </c>
      <c r="AB6281">
        <v>24</v>
      </c>
      <c r="AC6281">
        <v>9.8221999999999792</v>
      </c>
      <c r="AD6281">
        <v>-1.1110984721118</v>
      </c>
      <c r="AE6281">
        <v>0.75173999999998997</v>
      </c>
      <c r="AF6281">
        <v>-1.5184524485914499</v>
      </c>
      <c r="AG6281">
        <v>-1.1110984721118</v>
      </c>
      <c r="AH6281">
        <v>9.6079279073763502</v>
      </c>
      <c r="AI6281">
        <v>96.516435673212797</v>
      </c>
      <c r="AJ6281">
        <v>98.980837257162506</v>
      </c>
      <c r="AK6281">
        <v>9.7904298336030102</v>
      </c>
      <c r="AL6281">
        <v>85.375425355280001</v>
      </c>
      <c r="AM6281">
        <v>93.721623097340199</v>
      </c>
      <c r="AN6281">
        <v>0.99999995242831896</v>
      </c>
    </row>
    <row r="6282" spans="1:40" x14ac:dyDescent="0.25">
      <c r="A6282" t="str">
        <f>"20190312151149222"</f>
        <v>20190312151149222</v>
      </c>
      <c r="B6282" t="str">
        <f>"1552374709218052"</f>
        <v>1552374709218052</v>
      </c>
      <c r="C6282" t="s">
        <v>40</v>
      </c>
      <c r="D6282">
        <v>5.2694590000000003</v>
      </c>
      <c r="E6282">
        <v>0.46635100000000002</v>
      </c>
      <c r="F6282" t="s">
        <v>93</v>
      </c>
      <c r="G6282">
        <v>-251.67590000000001</v>
      </c>
      <c r="H6282" s="1">
        <v>-4.2925610000000001E-7</v>
      </c>
      <c r="I6282">
        <v>-62.965699999999998</v>
      </c>
      <c r="J6282">
        <v>-261.47320000000002</v>
      </c>
      <c r="K6282">
        <v>1.1111310000000001</v>
      </c>
      <c r="L6282">
        <v>-63.731259999999999</v>
      </c>
      <c r="M6282">
        <v>0.99678979999999995</v>
      </c>
      <c r="N6282">
        <v>0</v>
      </c>
      <c r="O6282">
        <v>-7.9410049999999996E-2</v>
      </c>
      <c r="P6282">
        <v>0.99738720000000003</v>
      </c>
      <c r="Q6282">
        <v>7.0857649999999994E-2</v>
      </c>
      <c r="R6282">
        <v>-1.4065370000000001E-2</v>
      </c>
      <c r="S6282">
        <v>3.0355219999999998</v>
      </c>
      <c r="T6282">
        <v>-0.34001219999999999</v>
      </c>
      <c r="U6282">
        <v>0.23153689999999999</v>
      </c>
      <c r="V6282">
        <v>-6.5403169999999997E-2</v>
      </c>
      <c r="W6282">
        <v>8.0835099999999993E-2</v>
      </c>
      <c r="X6282">
        <v>0.9945794</v>
      </c>
      <c r="Y6282">
        <v>-0.15354899999999999</v>
      </c>
      <c r="Z6282">
        <v>1.7414929999999999E-2</v>
      </c>
      <c r="AA6282">
        <v>0.98798759999999997</v>
      </c>
      <c r="AB6282">
        <v>24</v>
      </c>
      <c r="AC6282">
        <v>9.7972999999999999</v>
      </c>
      <c r="AD6282">
        <v>-1.1111314292561001</v>
      </c>
      <c r="AE6282">
        <v>0.76556000000000002</v>
      </c>
      <c r="AF6282">
        <v>-1.5217325624282401</v>
      </c>
      <c r="AG6282">
        <v>-1.1111314292561001</v>
      </c>
      <c r="AH6282">
        <v>9.5830490761828102</v>
      </c>
      <c r="AI6282">
        <v>96.532645975879603</v>
      </c>
      <c r="AJ6282">
        <v>99.022901226716002</v>
      </c>
      <c r="AK6282">
        <v>9.7665302252726001</v>
      </c>
      <c r="AL6282">
        <v>85.363431252530603</v>
      </c>
      <c r="AM6282">
        <v>93.762332121355101</v>
      </c>
      <c r="AN6282">
        <v>1.0000000354712</v>
      </c>
    </row>
    <row r="6283" spans="1:40" x14ac:dyDescent="0.25">
      <c r="A6283" t="str">
        <f>"20190312151149233"</f>
        <v>20190312151149233</v>
      </c>
      <c r="B6283" t="str">
        <f>"1552374709227810"</f>
        <v>1552374709227810</v>
      </c>
      <c r="C6283" t="s">
        <v>40</v>
      </c>
      <c r="D6283">
        <v>5.2898110000000003</v>
      </c>
      <c r="E6283">
        <v>0.46636569999999999</v>
      </c>
      <c r="F6283" t="s">
        <v>93</v>
      </c>
      <c r="G6283">
        <v>-251.54769999999999</v>
      </c>
      <c r="H6283" s="1">
        <v>-3.7273010000000002E-7</v>
      </c>
      <c r="I6283">
        <v>-62.958680000000001</v>
      </c>
      <c r="J6283">
        <v>-261.34890000000001</v>
      </c>
      <c r="K6283">
        <v>1.1111679999999999</v>
      </c>
      <c r="L6283">
        <v>-63.740229999999997</v>
      </c>
      <c r="M6283">
        <v>0.9968612</v>
      </c>
      <c r="N6283">
        <v>0</v>
      </c>
      <c r="O6283">
        <v>-7.8510899999999995E-2</v>
      </c>
      <c r="P6283">
        <v>0.99741639999999998</v>
      </c>
      <c r="Q6283">
        <v>7.0764770000000005E-2</v>
      </c>
      <c r="R6283">
        <v>-1.236305E-2</v>
      </c>
      <c r="S6283">
        <v>3.035339</v>
      </c>
      <c r="T6283">
        <v>-0.33979880000000001</v>
      </c>
      <c r="U6283">
        <v>0.23626710000000001</v>
      </c>
      <c r="V6283">
        <v>-6.6211359999999997E-2</v>
      </c>
      <c r="W6283">
        <v>8.0730060000000006E-2</v>
      </c>
      <c r="X6283">
        <v>0.99453440000000004</v>
      </c>
      <c r="Y6283">
        <v>-0.15419630000000001</v>
      </c>
      <c r="Z6283">
        <v>1.734016E-2</v>
      </c>
      <c r="AA6283">
        <v>0.98788799999999999</v>
      </c>
      <c r="AB6283">
        <v>24</v>
      </c>
      <c r="AC6283">
        <v>9.8012000000000192</v>
      </c>
      <c r="AD6283">
        <v>-1.1111683727300901</v>
      </c>
      <c r="AE6283">
        <v>0.78154999999999497</v>
      </c>
      <c r="AF6283">
        <v>-1.5291484551892001</v>
      </c>
      <c r="AG6283">
        <v>-1.1111683727300901</v>
      </c>
      <c r="AH6283">
        <v>9.5871357067033998</v>
      </c>
      <c r="AI6283">
        <v>96.529391444552203</v>
      </c>
      <c r="AJ6283">
        <v>99.062343740715704</v>
      </c>
      <c r="AK6283">
        <v>9.7717020630650797</v>
      </c>
      <c r="AL6283">
        <v>85.369469076548398</v>
      </c>
      <c r="AM6283">
        <v>93.808859253856099</v>
      </c>
      <c r="AN6283">
        <v>0.99999997978200605</v>
      </c>
    </row>
    <row r="6284" spans="1:40" x14ac:dyDescent="0.25">
      <c r="A6284" t="str">
        <f>"20190312151149243"</f>
        <v>20190312151149243</v>
      </c>
      <c r="B6284" t="str">
        <f>"1552374709237570"</f>
        <v>1552374709237570</v>
      </c>
      <c r="C6284" t="s">
        <v>40</v>
      </c>
      <c r="D6284">
        <v>5.2665819999999997</v>
      </c>
      <c r="E6284">
        <v>0.46647899999999998</v>
      </c>
      <c r="F6284" t="s">
        <v>93</v>
      </c>
      <c r="G6284">
        <v>-251.4528</v>
      </c>
      <c r="H6284" s="1">
        <v>-3.306454E-7</v>
      </c>
      <c r="I6284">
        <v>-62.9525199999999</v>
      </c>
      <c r="J6284">
        <v>-261.24020000000002</v>
      </c>
      <c r="K6284">
        <v>1.1111979999999999</v>
      </c>
      <c r="L6284">
        <v>-63.747959999999999</v>
      </c>
      <c r="M6284">
        <v>0.99692460000000005</v>
      </c>
      <c r="N6284">
        <v>0</v>
      </c>
      <c r="O6284">
        <v>-7.7701919999999994E-2</v>
      </c>
      <c r="P6284">
        <v>0.99742180000000003</v>
      </c>
      <c r="Q6284">
        <v>7.0955799999999999E-2</v>
      </c>
      <c r="R6284">
        <v>-1.074549E-2</v>
      </c>
      <c r="S6284">
        <v>3.0349430000000002</v>
      </c>
      <c r="T6284">
        <v>-0.34077469999999999</v>
      </c>
      <c r="U6284">
        <v>0.24157709999999999</v>
      </c>
      <c r="V6284">
        <v>-6.7023659999999999E-2</v>
      </c>
      <c r="W6284">
        <v>8.0910659999999995E-2</v>
      </c>
      <c r="X6284">
        <v>0.99446540000000005</v>
      </c>
      <c r="Y6284">
        <v>-0.15511329999999901</v>
      </c>
      <c r="Z6284">
        <v>1.7351769999999999E-2</v>
      </c>
      <c r="AA6284">
        <v>0.98774430000000002</v>
      </c>
      <c r="AB6284">
        <v>24</v>
      </c>
      <c r="AC6284">
        <v>9.7874000000000194</v>
      </c>
      <c r="AD6284">
        <v>-1.1111983306454001</v>
      </c>
      <c r="AE6284">
        <v>0.79544000000000603</v>
      </c>
      <c r="AF6284">
        <v>-1.5339316356318999</v>
      </c>
      <c r="AG6284">
        <v>-1.1111983306454001</v>
      </c>
      <c r="AH6284">
        <v>9.5734054105501993</v>
      </c>
      <c r="AI6284">
        <v>96.538113739658201</v>
      </c>
      <c r="AJ6284">
        <v>99.103037364725495</v>
      </c>
      <c r="AK6284">
        <v>9.75898555934854</v>
      </c>
      <c r="AL6284">
        <v>85.359087911375696</v>
      </c>
      <c r="AM6284">
        <v>93.855714055267796</v>
      </c>
      <c r="AN6284">
        <v>1.00000006884929</v>
      </c>
    </row>
    <row r="6285" spans="1:40" x14ac:dyDescent="0.25">
      <c r="A6285" t="str">
        <f>"20190312151149254"</f>
        <v>20190312151149254</v>
      </c>
      <c r="B6285" t="str">
        <f>"1552374709247330"</f>
        <v>1552374709247330</v>
      </c>
      <c r="C6285" t="s">
        <v>40</v>
      </c>
      <c r="D6285">
        <v>5.2485619999999997</v>
      </c>
      <c r="E6285">
        <v>0.46659430000000002</v>
      </c>
      <c r="F6285" t="s">
        <v>93</v>
      </c>
      <c r="G6285">
        <v>-251.3306</v>
      </c>
      <c r="H6285" s="1">
        <v>-2.7664519999999998E-7</v>
      </c>
      <c r="I6285">
        <v>-62.945430000000002</v>
      </c>
      <c r="J6285">
        <v>-261.1182</v>
      </c>
      <c r="K6285">
        <v>1.1112340000000001</v>
      </c>
      <c r="L6285">
        <v>-63.756500000000003</v>
      </c>
      <c r="M6285">
        <v>0.99699629999999995</v>
      </c>
      <c r="N6285">
        <v>0</v>
      </c>
      <c r="O6285">
        <v>-7.6776919999999999E-2</v>
      </c>
      <c r="P6285">
        <v>0.99743910000000002</v>
      </c>
      <c r="Q6285">
        <v>7.0926320000000001E-2</v>
      </c>
      <c r="R6285">
        <v>-9.1964100000000003E-3</v>
      </c>
      <c r="S6285">
        <v>3.0346069999999998</v>
      </c>
      <c r="T6285">
        <v>-0.34028320000000001</v>
      </c>
      <c r="U6285">
        <v>0.24575810000000001</v>
      </c>
      <c r="V6285">
        <v>-6.7652649999999995E-2</v>
      </c>
      <c r="W6285">
        <v>8.0870730000000002E-2</v>
      </c>
      <c r="X6285">
        <v>0.99442600000000003</v>
      </c>
      <c r="Y6285">
        <v>-0.1555646</v>
      </c>
      <c r="Z6285">
        <v>1.724999E-2</v>
      </c>
      <c r="AA6285">
        <v>0.98767510000000003</v>
      </c>
      <c r="AB6285">
        <v>24</v>
      </c>
      <c r="AC6285">
        <v>9.7875999999999905</v>
      </c>
      <c r="AD6285">
        <v>-1.1112342766451999</v>
      </c>
      <c r="AE6285">
        <v>0.81106999999999996</v>
      </c>
      <c r="AF6285">
        <v>-1.5404551427980799</v>
      </c>
      <c r="AG6285">
        <v>-1.1112342766451999</v>
      </c>
      <c r="AH6285">
        <v>9.5738650779771692</v>
      </c>
      <c r="AI6285">
        <v>96.537328754706493</v>
      </c>
      <c r="AJ6285">
        <v>99.140667047276395</v>
      </c>
      <c r="AK6285">
        <v>9.7604680315994603</v>
      </c>
      <c r="AL6285">
        <v>85.361382992783405</v>
      </c>
      <c r="AM6285">
        <v>93.891941418028495</v>
      </c>
      <c r="AN6285">
        <v>1.00000001274937</v>
      </c>
    </row>
    <row r="6286" spans="1:40" x14ac:dyDescent="0.25">
      <c r="A6286" t="str">
        <f>"20190312151149266"</f>
        <v>20190312151149266</v>
      </c>
      <c r="B6286" t="str">
        <f>"1552374709257090"</f>
        <v>1552374709257090</v>
      </c>
      <c r="C6286" t="s">
        <v>40</v>
      </c>
      <c r="D6286">
        <v>5.2898620000000003</v>
      </c>
      <c r="E6286">
        <v>0.46666190000000002</v>
      </c>
      <c r="F6286" t="s">
        <v>93</v>
      </c>
      <c r="G6286">
        <v>-251.21889999999999</v>
      </c>
      <c r="H6286" s="1">
        <v>-2.279547E-7</v>
      </c>
      <c r="I6286">
        <v>-62.942050000000002</v>
      </c>
      <c r="J6286">
        <v>-260.99369999999999</v>
      </c>
      <c r="K6286">
        <v>1.111273</v>
      </c>
      <c r="L6286">
        <v>-63.765050000000002</v>
      </c>
      <c r="M6286">
        <v>0.99707100000000004</v>
      </c>
      <c r="N6286">
        <v>0</v>
      </c>
      <c r="O6286">
        <v>-7.5798889999999994E-2</v>
      </c>
      <c r="P6286">
        <v>0.99744160000000004</v>
      </c>
      <c r="Q6286">
        <v>7.1056309999999998E-2</v>
      </c>
      <c r="R6286">
        <v>-7.8288560000000004E-3</v>
      </c>
      <c r="S6286">
        <v>3.0342099999999999</v>
      </c>
      <c r="T6286">
        <v>-0.34060109999999999</v>
      </c>
      <c r="U6286">
        <v>0.24963379999999999</v>
      </c>
      <c r="V6286">
        <v>-6.8047440000000001E-2</v>
      </c>
      <c r="W6286">
        <v>8.0990989999999999E-2</v>
      </c>
      <c r="X6286">
        <v>0.99438919999999997</v>
      </c>
      <c r="Y6286">
        <v>-0.1558609</v>
      </c>
      <c r="Z6286">
        <v>1.7174809999999999E-2</v>
      </c>
      <c r="AA6286">
        <v>0.98762969999999894</v>
      </c>
      <c r="AB6286">
        <v>24</v>
      </c>
      <c r="AC6286">
        <v>9.7748000000000008</v>
      </c>
      <c r="AD6286">
        <v>-1.1112732279547</v>
      </c>
      <c r="AE6286">
        <v>0.82299999999999995</v>
      </c>
      <c r="AF6286">
        <v>-1.5418022770409701</v>
      </c>
      <c r="AG6286">
        <v>-1.1112732279547</v>
      </c>
      <c r="AH6286">
        <v>9.5615782912365006</v>
      </c>
      <c r="AI6286">
        <v>96.545529744009698</v>
      </c>
      <c r="AJ6286">
        <v>99.160082315792494</v>
      </c>
      <c r="AK6286">
        <v>9.7486338462423898</v>
      </c>
      <c r="AL6286">
        <v>85.354469576733806</v>
      </c>
      <c r="AM6286">
        <v>93.914727023689295</v>
      </c>
      <c r="AN6286">
        <v>0.99999993781418495</v>
      </c>
    </row>
    <row r="6287" spans="1:40" x14ac:dyDescent="0.25">
      <c r="A6287" t="str">
        <f>"20190312151149288"</f>
        <v>20190312151149288</v>
      </c>
      <c r="B6287" t="str">
        <f>"1552374709277587"</f>
        <v>1552374709277587</v>
      </c>
      <c r="C6287" t="s">
        <v>40</v>
      </c>
      <c r="D6287">
        <v>5.4808029999999999</v>
      </c>
      <c r="E6287">
        <v>0.46676529999999999</v>
      </c>
      <c r="F6287" t="s">
        <v>93</v>
      </c>
      <c r="G6287">
        <v>-251.1011</v>
      </c>
      <c r="H6287" s="1">
        <v>-1.7660089999999999E-7</v>
      </c>
      <c r="I6287">
        <v>-62.93835</v>
      </c>
      <c r="J6287">
        <v>-260.75380000000001</v>
      </c>
      <c r="K6287">
        <v>1.1113409999999999</v>
      </c>
      <c r="L6287">
        <v>-63.781129999999997</v>
      </c>
      <c r="M6287">
        <v>0.99721709999999997</v>
      </c>
      <c r="N6287">
        <v>0</v>
      </c>
      <c r="O6287">
        <v>-7.3851929999999996E-2</v>
      </c>
      <c r="P6287">
        <v>0.99742410000000004</v>
      </c>
      <c r="Q6287">
        <v>7.1578589999999997E-2</v>
      </c>
      <c r="R6287">
        <v>-4.6765690000000002E-3</v>
      </c>
      <c r="S6287">
        <v>3.0339659999999999</v>
      </c>
      <c r="T6287">
        <v>-0.34081729999999999</v>
      </c>
      <c r="U6287">
        <v>0.25353999999999999</v>
      </c>
      <c r="V6287">
        <v>-6.9261240000000002E-2</v>
      </c>
      <c r="W6287">
        <v>8.149381E-2</v>
      </c>
      <c r="X6287">
        <v>0.99426440000000005</v>
      </c>
      <c r="Y6287">
        <v>-0.155216299999999</v>
      </c>
      <c r="Z6287">
        <v>1.693265E-2</v>
      </c>
      <c r="AA6287">
        <v>0.98773540000000004</v>
      </c>
      <c r="AB6287">
        <v>25</v>
      </c>
      <c r="AC6287">
        <v>9.65270000000001</v>
      </c>
      <c r="AD6287">
        <v>-1.11134117660089</v>
      </c>
      <c r="AE6287">
        <v>0.84278000000000397</v>
      </c>
      <c r="AF6287">
        <v>-1.533216050476</v>
      </c>
      <c r="AG6287">
        <v>-1.11134117660089</v>
      </c>
      <c r="AH6287">
        <v>9.4399093073444398</v>
      </c>
      <c r="AI6287">
        <v>96.6283382963245</v>
      </c>
      <c r="AJ6287">
        <v>99.225337545172394</v>
      </c>
      <c r="AK6287">
        <v>9.6279654340433805</v>
      </c>
      <c r="AL6287">
        <v>85.325564987672394</v>
      </c>
      <c r="AM6287">
        <v>93.984831746781893</v>
      </c>
      <c r="AN6287">
        <v>1.000000028771</v>
      </c>
    </row>
    <row r="6288" spans="1:40" x14ac:dyDescent="0.25">
      <c r="A6288" t="str">
        <f>"20190312151149300"</f>
        <v>20190312151149300</v>
      </c>
      <c r="B6288" t="str">
        <f>"1552374709298083"</f>
        <v>1552374709298083</v>
      </c>
      <c r="C6288" t="s">
        <v>40</v>
      </c>
      <c r="D6288">
        <v>5.2417350000000003</v>
      </c>
      <c r="E6288">
        <v>0.4671247</v>
      </c>
      <c r="F6288" t="s">
        <v>93</v>
      </c>
      <c r="G6288">
        <v>-250.77</v>
      </c>
      <c r="H6288" s="1">
        <v>-2.9967340000000002E-8</v>
      </c>
      <c r="I6288">
        <v>-62.917679999999997</v>
      </c>
      <c r="J6288">
        <v>-260.6266</v>
      </c>
      <c r="K6288">
        <v>1.111378</v>
      </c>
      <c r="L6288">
        <v>-63.789490000000001</v>
      </c>
      <c r="M6288">
        <v>0.9972955</v>
      </c>
      <c r="N6288">
        <v>0</v>
      </c>
      <c r="O6288">
        <v>-7.2788450000000005E-2</v>
      </c>
      <c r="P6288">
        <v>0.99742989999999998</v>
      </c>
      <c r="Q6288">
        <v>7.1595270000000003E-2</v>
      </c>
      <c r="R6288">
        <v>-2.8401139999999999E-3</v>
      </c>
      <c r="S6288">
        <v>3.0332340000000002</v>
      </c>
      <c r="T6288">
        <v>-0.33764329999999998</v>
      </c>
      <c r="U6288">
        <v>0.26232909999999998</v>
      </c>
      <c r="V6288">
        <v>-7.0039180000000006E-2</v>
      </c>
      <c r="W6288">
        <v>8.1500929999999999E-2</v>
      </c>
      <c r="X6288">
        <v>0.99420929999999996</v>
      </c>
      <c r="Y6288">
        <v>-0.15704560000000001</v>
      </c>
      <c r="Z6288">
        <v>1.6761669999999999E-2</v>
      </c>
      <c r="AA6288">
        <v>0.98744909999999997</v>
      </c>
      <c r="AB6288">
        <v>25</v>
      </c>
      <c r="AC6288">
        <v>9.8565999999999807</v>
      </c>
      <c r="AD6288">
        <v>-1.1113780299673399</v>
      </c>
      <c r="AE6288">
        <v>0.87180999999999598</v>
      </c>
      <c r="AF6288">
        <v>-1.5672107174142</v>
      </c>
      <c r="AG6288">
        <v>-1.1113780299673399</v>
      </c>
      <c r="AH6288">
        <v>9.6453157000657193</v>
      </c>
      <c r="AI6288">
        <v>96.488544532118397</v>
      </c>
      <c r="AJ6288">
        <v>99.229000277117606</v>
      </c>
      <c r="AK6288">
        <v>9.8348068365477506</v>
      </c>
      <c r="AL6288">
        <v>85.325155593496504</v>
      </c>
      <c r="AM6288">
        <v>94.029665210649597</v>
      </c>
      <c r="AN6288">
        <v>1.0000000102662101</v>
      </c>
    </row>
    <row r="6289" spans="1:40" x14ac:dyDescent="0.25">
      <c r="A6289" t="str">
        <f>"20190312151149309"</f>
        <v>20190312151149309</v>
      </c>
      <c r="B6289" t="str">
        <f>"1552374709307844"</f>
        <v>1552374709307844</v>
      </c>
      <c r="C6289" t="s">
        <v>40</v>
      </c>
      <c r="D6289">
        <v>5.3906780000000003</v>
      </c>
      <c r="E6289">
        <v>0.46733180000000002</v>
      </c>
      <c r="F6289" t="s">
        <v>93</v>
      </c>
      <c r="G6289">
        <v>-250.60319999999999</v>
      </c>
      <c r="H6289" s="1">
        <v>4.2511259999999999E-8</v>
      </c>
      <c r="I6289">
        <v>-62.913469999999997</v>
      </c>
      <c r="J6289">
        <v>-260.51179999999999</v>
      </c>
      <c r="K6289">
        <v>1.111408</v>
      </c>
      <c r="L6289">
        <v>-63.796810000000001</v>
      </c>
      <c r="M6289">
        <v>0.99736729999999996</v>
      </c>
      <c r="N6289">
        <v>0</v>
      </c>
      <c r="O6289">
        <v>-7.1798799999999996E-2</v>
      </c>
      <c r="P6289">
        <v>0.99742450000000005</v>
      </c>
      <c r="Q6289">
        <v>7.1711230000000001E-2</v>
      </c>
      <c r="R6289">
        <v>-1.495611E-3</v>
      </c>
      <c r="S6289">
        <v>3.0326230000000001</v>
      </c>
      <c r="T6289">
        <v>-0.33625480000000002</v>
      </c>
      <c r="U6289">
        <v>0.26504519999999998</v>
      </c>
      <c r="V6289">
        <v>-7.0397899999999999E-2</v>
      </c>
      <c r="W6289">
        <v>8.1609780000000007E-2</v>
      </c>
      <c r="X6289">
        <v>0.99417500000000003</v>
      </c>
      <c r="Y6289">
        <v>-0.15697820000000001</v>
      </c>
      <c r="Z6289">
        <v>1.6583049999999998E-2</v>
      </c>
      <c r="AA6289">
        <v>0.98746279999999997</v>
      </c>
      <c r="AB6289">
        <v>25</v>
      </c>
      <c r="AC6289">
        <v>9.9085999999999999</v>
      </c>
      <c r="AD6289">
        <v>-1.1114079574887401</v>
      </c>
      <c r="AE6289">
        <v>0.88334000000000401</v>
      </c>
      <c r="AF6289">
        <v>-1.5728895355417301</v>
      </c>
      <c r="AG6289">
        <v>-1.1114079574887401</v>
      </c>
      <c r="AH6289">
        <v>9.6985412889537699</v>
      </c>
      <c r="AI6289">
        <v>96.453718800692798</v>
      </c>
      <c r="AJ6289">
        <v>99.211907887304804</v>
      </c>
      <c r="AK6289">
        <v>9.8879174891645896</v>
      </c>
      <c r="AL6289">
        <v>85.318897940314699</v>
      </c>
      <c r="AM6289">
        <v>94.050374725261406</v>
      </c>
      <c r="AN6289">
        <v>0.999999975570528</v>
      </c>
    </row>
    <row r="6290" spans="1:40" x14ac:dyDescent="0.25">
      <c r="A6290" t="str">
        <f>"20190312151149322"</f>
        <v>20190312151149322</v>
      </c>
      <c r="B6290" t="str">
        <f>"1552374709317602"</f>
        <v>1552374709317602</v>
      </c>
      <c r="C6290" t="s">
        <v>40</v>
      </c>
      <c r="D6290">
        <v>5.2147649999999999</v>
      </c>
      <c r="E6290">
        <v>0.46742329999999999</v>
      </c>
      <c r="F6290" t="s">
        <v>93</v>
      </c>
      <c r="G6290">
        <v>-250.53450000000001</v>
      </c>
      <c r="H6290" s="1">
        <v>7.1370440000000004E-8</v>
      </c>
      <c r="I6290">
        <v>-62.916220000000003</v>
      </c>
      <c r="J6290">
        <v>-260.38479999999998</v>
      </c>
      <c r="K6290">
        <v>1.1114389999999901</v>
      </c>
      <c r="L6290">
        <v>-63.804839999999999</v>
      </c>
      <c r="M6290">
        <v>0.99744639999999996</v>
      </c>
      <c r="N6290">
        <v>0</v>
      </c>
      <c r="O6290">
        <v>-7.0690409999999995E-2</v>
      </c>
      <c r="P6290">
        <v>0.99741440000000003</v>
      </c>
      <c r="Q6290">
        <v>7.1868349999999998E-2</v>
      </c>
      <c r="R6290" s="1">
        <v>-3.4901080000000002E-5</v>
      </c>
      <c r="S6290">
        <v>3.03241</v>
      </c>
      <c r="T6290">
        <v>-0.33779199999999998</v>
      </c>
      <c r="U6290">
        <v>0.26763920000000002</v>
      </c>
      <c r="V6290">
        <v>-7.0755890000000002E-2</v>
      </c>
      <c r="W6290">
        <v>8.1758540000000005E-2</v>
      </c>
      <c r="X6290">
        <v>0.99413739999999995</v>
      </c>
      <c r="Y6290">
        <v>-0.15672079999999999</v>
      </c>
      <c r="Z6290">
        <v>1.6521930000000001E-2</v>
      </c>
      <c r="AA6290">
        <v>0.98750470000000001</v>
      </c>
      <c r="AB6290">
        <v>25</v>
      </c>
      <c r="AC6290">
        <v>9.8502999999999705</v>
      </c>
      <c r="AD6290">
        <v>-1.1114389286295501</v>
      </c>
      <c r="AE6290">
        <v>0.88862000000000996</v>
      </c>
      <c r="AF6290">
        <v>-1.5630159452469701</v>
      </c>
      <c r="AG6290">
        <v>-1.1114389286295501</v>
      </c>
      <c r="AH6290">
        <v>9.6410822977309198</v>
      </c>
      <c r="AI6290">
        <v>96.492092241021993</v>
      </c>
      <c r="AJ6290">
        <v>99.208694036373004</v>
      </c>
      <c r="AK6290">
        <v>9.8299940594483601</v>
      </c>
      <c r="AL6290">
        <v>85.310346215127396</v>
      </c>
      <c r="AM6290">
        <v>94.071056216614807</v>
      </c>
      <c r="AN6290">
        <v>1.00000001245569</v>
      </c>
    </row>
    <row r="6291" spans="1:40" x14ac:dyDescent="0.25">
      <c r="A6291" t="str">
        <f>"20190312151149332"</f>
        <v>20190312151149332</v>
      </c>
      <c r="B6291" t="str">
        <f>"1552374709327911"</f>
        <v>1552374709327911</v>
      </c>
      <c r="C6291" t="s">
        <v>40</v>
      </c>
      <c r="D6291">
        <v>5.4385089999999998</v>
      </c>
      <c r="E6291">
        <v>0.46766750000000001</v>
      </c>
      <c r="F6291" t="s">
        <v>93</v>
      </c>
      <c r="G6291">
        <v>-250.42420000000001</v>
      </c>
      <c r="H6291" s="1">
        <v>1.192556E-7</v>
      </c>
      <c r="I6291">
        <v>-62.913820000000001</v>
      </c>
      <c r="J6291">
        <v>-260.25720000000001</v>
      </c>
      <c r="K6291">
        <v>1.1114660000000001</v>
      </c>
      <c r="L6291">
        <v>-63.81268</v>
      </c>
      <c r="M6291">
        <v>0.99752620000000003</v>
      </c>
      <c r="N6291">
        <v>0</v>
      </c>
      <c r="O6291">
        <v>-6.9555569999999997E-2</v>
      </c>
      <c r="P6291">
        <v>0.99741590000000002</v>
      </c>
      <c r="Q6291">
        <v>7.1828539999999996E-2</v>
      </c>
      <c r="R6291">
        <v>1.55788E-3</v>
      </c>
      <c r="S6291">
        <v>3.0321660000000001</v>
      </c>
      <c r="T6291">
        <v>-0.33833930000000001</v>
      </c>
      <c r="U6291">
        <v>0.27124019999999999</v>
      </c>
      <c r="V6291">
        <v>-7.1217890000000006E-2</v>
      </c>
      <c r="W6291">
        <v>8.1708630000000004E-2</v>
      </c>
      <c r="X6291">
        <v>0.99410849999999995</v>
      </c>
      <c r="Y6291">
        <v>-0.1567701</v>
      </c>
      <c r="Z6291">
        <v>1.6425849999999999E-2</v>
      </c>
      <c r="AA6291">
        <v>0.98749849999999995</v>
      </c>
      <c r="AB6291">
        <v>25</v>
      </c>
      <c r="AC6291">
        <v>9.8329999999999895</v>
      </c>
      <c r="AD6291">
        <v>-1.11146588074439</v>
      </c>
      <c r="AE6291">
        <v>0.89886000000001298</v>
      </c>
      <c r="AF6291">
        <v>-1.56088042160041</v>
      </c>
      <c r="AG6291">
        <v>-1.11146588074439</v>
      </c>
      <c r="AH6291">
        <v>9.6247054980165903</v>
      </c>
      <c r="AI6291">
        <v>96.503145600398696</v>
      </c>
      <c r="AJ6291">
        <v>99.211707326925307</v>
      </c>
      <c r="AK6291">
        <v>9.8135956722368203</v>
      </c>
      <c r="AL6291">
        <v>85.313215383716297</v>
      </c>
      <c r="AM6291">
        <v>94.097666609086403</v>
      </c>
      <c r="AN6291">
        <v>0.999999998922389</v>
      </c>
    </row>
    <row r="6292" spans="1:40" x14ac:dyDescent="0.25">
      <c r="A6292" t="str">
        <f>"20190312151149344"</f>
        <v>20190312151149344</v>
      </c>
      <c r="B6292" t="str">
        <f>"1552374709337671"</f>
        <v>1552374709337671</v>
      </c>
      <c r="C6292" t="s">
        <v>40</v>
      </c>
      <c r="D6292">
        <v>5.28146</v>
      </c>
      <c r="E6292">
        <v>0.46782059999999998</v>
      </c>
      <c r="F6292" t="s">
        <v>93</v>
      </c>
      <c r="G6292">
        <v>-250.32900000000001</v>
      </c>
      <c r="H6292" s="1">
        <v>1.5990390000000001E-7</v>
      </c>
      <c r="I6292">
        <v>-62.914659999999998</v>
      </c>
      <c r="J6292">
        <v>-260.13780000000003</v>
      </c>
      <c r="K6292">
        <v>1.11148799999999</v>
      </c>
      <c r="L6292">
        <v>-63.819890000000001</v>
      </c>
      <c r="M6292">
        <v>0.99760070000000001</v>
      </c>
      <c r="N6292">
        <v>0</v>
      </c>
      <c r="O6292">
        <v>-6.8477620000000003E-2</v>
      </c>
      <c r="P6292">
        <v>0.99741170000000001</v>
      </c>
      <c r="Q6292">
        <v>7.1846950000000007E-2</v>
      </c>
      <c r="R6292">
        <v>2.8489689999999998E-3</v>
      </c>
      <c r="S6292">
        <v>3.0317989999999999</v>
      </c>
      <c r="T6292">
        <v>-0.33941100000000002</v>
      </c>
      <c r="U6292">
        <v>0.274231</v>
      </c>
      <c r="V6292">
        <v>-7.1435879999999993E-2</v>
      </c>
      <c r="W6292">
        <v>8.1718120000000005E-2</v>
      </c>
      <c r="X6292">
        <v>0.99409210000000003</v>
      </c>
      <c r="Y6292">
        <v>-0.15667819999999999</v>
      </c>
      <c r="Z6292">
        <v>1.6353719999999999E-2</v>
      </c>
      <c r="AA6292">
        <v>0.98751429999999996</v>
      </c>
      <c r="AB6292">
        <v>25</v>
      </c>
      <c r="AC6292">
        <v>9.8088000000000193</v>
      </c>
      <c r="AD6292">
        <v>-1.1114878400960999</v>
      </c>
      <c r="AE6292">
        <v>0.90523000000000298</v>
      </c>
      <c r="AF6292">
        <v>-1.5550245121667401</v>
      </c>
      <c r="AG6292">
        <v>-1.1114878400960999</v>
      </c>
      <c r="AH6292">
        <v>9.6015356028330405</v>
      </c>
      <c r="AI6292">
        <v>96.519054444853893</v>
      </c>
      <c r="AJ6292">
        <v>99.199506209665998</v>
      </c>
      <c r="AK6292">
        <v>9.7899434311231506</v>
      </c>
      <c r="AL6292">
        <v>85.312669919879497</v>
      </c>
      <c r="AM6292">
        <v>94.110233763428496</v>
      </c>
      <c r="AN6292">
        <v>1.00000001968505</v>
      </c>
    </row>
    <row r="6293" spans="1:40" x14ac:dyDescent="0.25">
      <c r="A6293" t="str">
        <f>"20190312151149356"</f>
        <v>20190312151149356</v>
      </c>
      <c r="B6293" t="str">
        <f>"1552374709347431"</f>
        <v>1552374709347431</v>
      </c>
      <c r="C6293" t="s">
        <v>40</v>
      </c>
      <c r="D6293">
        <v>5.535666</v>
      </c>
      <c r="E6293">
        <v>0.46784969999999998</v>
      </c>
      <c r="F6293" t="s">
        <v>93</v>
      </c>
      <c r="G6293">
        <v>-250.22970000000001</v>
      </c>
      <c r="H6293" s="1">
        <v>2.0244559999999999E-7</v>
      </c>
      <c r="I6293">
        <v>-62.914810000000003</v>
      </c>
      <c r="J6293">
        <v>-260.01130000000001</v>
      </c>
      <c r="K6293">
        <v>1.1115079999999999</v>
      </c>
      <c r="L6293">
        <v>-63.827390000000001</v>
      </c>
      <c r="M6293">
        <v>0.99767930000000005</v>
      </c>
      <c r="N6293">
        <v>0</v>
      </c>
      <c r="O6293">
        <v>-6.7324439999999999E-2</v>
      </c>
      <c r="P6293">
        <v>0.99740640000000003</v>
      </c>
      <c r="Q6293">
        <v>7.1851250000000005E-2</v>
      </c>
      <c r="R6293">
        <v>4.2303990000000001E-3</v>
      </c>
      <c r="S6293">
        <v>3.0314939999999999</v>
      </c>
      <c r="T6293">
        <v>-0.34007229999999999</v>
      </c>
      <c r="U6293">
        <v>0.27691650000000001</v>
      </c>
      <c r="V6293">
        <v>-7.1668209999999996E-2</v>
      </c>
      <c r="W6293">
        <v>8.1711480000000003E-2</v>
      </c>
      <c r="X6293">
        <v>0.99407590000000001</v>
      </c>
      <c r="Y6293">
        <v>-0.15641659999999999</v>
      </c>
      <c r="Z6293">
        <v>1.624316E-2</v>
      </c>
      <c r="AA6293">
        <v>0.98755760000000004</v>
      </c>
      <c r="AB6293">
        <v>25</v>
      </c>
      <c r="AC6293">
        <v>9.7815999999999903</v>
      </c>
      <c r="AD6293">
        <v>-1.1115077975544001</v>
      </c>
      <c r="AE6293">
        <v>0.91258000000000505</v>
      </c>
      <c r="AF6293">
        <v>-1.54925220236301</v>
      </c>
      <c r="AG6293">
        <v>-1.1115077975544001</v>
      </c>
      <c r="AH6293">
        <v>9.5753886054510993</v>
      </c>
      <c r="AI6293">
        <v>96.536982325112504</v>
      </c>
      <c r="AJ6293">
        <v>99.190540377847</v>
      </c>
      <c r="AK6293">
        <v>9.7633856277396696</v>
      </c>
      <c r="AL6293">
        <v>85.313051532090498</v>
      </c>
      <c r="AM6293">
        <v>94.1236223545462</v>
      </c>
      <c r="AN6293">
        <v>0.99999999662460204</v>
      </c>
    </row>
    <row r="6294" spans="1:40" x14ac:dyDescent="0.25">
      <c r="A6294" t="str">
        <f>"20190312151149365"</f>
        <v>20190312151149365</v>
      </c>
      <c r="B6294" t="str">
        <f>"1552374709357192"</f>
        <v>1552374709357192</v>
      </c>
      <c r="C6294" t="s">
        <v>40</v>
      </c>
      <c r="D6294">
        <v>5.2120509999999998</v>
      </c>
      <c r="E6294">
        <v>0.46784969999999998</v>
      </c>
      <c r="F6294" t="s">
        <v>93</v>
      </c>
      <c r="G6294">
        <v>-250.05529999999999</v>
      </c>
      <c r="H6294" s="1">
        <v>2.79539E-7</v>
      </c>
      <c r="I6294">
        <v>-62.904559999999996</v>
      </c>
      <c r="J6294">
        <v>-259.90039999999999</v>
      </c>
      <c r="K6294">
        <v>1.1115170000000001</v>
      </c>
      <c r="L6294">
        <v>-63.833739999999999</v>
      </c>
      <c r="M6294">
        <v>0.99774799999999997</v>
      </c>
      <c r="N6294">
        <v>0</v>
      </c>
      <c r="O6294">
        <v>-6.6297690000000006E-2</v>
      </c>
      <c r="P6294">
        <v>0.99740799999999996</v>
      </c>
      <c r="Q6294">
        <v>7.1747469999999994E-2</v>
      </c>
      <c r="R6294">
        <v>5.4472599999999998E-3</v>
      </c>
      <c r="S6294">
        <v>3.0309750000000002</v>
      </c>
      <c r="T6294">
        <v>-0.33838550000000001</v>
      </c>
      <c r="U6294">
        <v>0.28094479999999999</v>
      </c>
      <c r="V6294">
        <v>-7.1861770000000005E-2</v>
      </c>
      <c r="W6294">
        <v>8.1599779999999997E-2</v>
      </c>
      <c r="X6294">
        <v>0.99407109999999999</v>
      </c>
      <c r="Y6294">
        <v>-0.15673509999999999</v>
      </c>
      <c r="Z6294">
        <v>1.6068599999999999E-2</v>
      </c>
      <c r="AA6294">
        <v>0.98751</v>
      </c>
      <c r="AB6294">
        <v>25</v>
      </c>
      <c r="AC6294">
        <v>9.8451000000000004</v>
      </c>
      <c r="AD6294">
        <v>-1.1115167204609999</v>
      </c>
      <c r="AE6294">
        <v>0.929180000000002</v>
      </c>
      <c r="AF6294">
        <v>-1.5601655623850901</v>
      </c>
      <c r="AG6294">
        <v>-1.1115167204609999</v>
      </c>
      <c r="AH6294">
        <v>9.6400396382650992</v>
      </c>
      <c r="AI6294">
        <v>96.4935216295342</v>
      </c>
      <c r="AJ6294">
        <v>99.193164850664701</v>
      </c>
      <c r="AK6294">
        <v>9.8285273682906897</v>
      </c>
      <c r="AL6294">
        <v>85.319472906465293</v>
      </c>
      <c r="AM6294">
        <v>94.134740669660601</v>
      </c>
      <c r="AN6294">
        <v>0.99999999496939496</v>
      </c>
    </row>
    <row r="6295" spans="1:40" x14ac:dyDescent="0.25">
      <c r="A6295" t="str">
        <f>"20190312151149378"</f>
        <v>20190312151149378</v>
      </c>
      <c r="B6295" t="str">
        <f>"1552374709367927"</f>
        <v>1552374709367927</v>
      </c>
      <c r="C6295" t="s">
        <v>40</v>
      </c>
      <c r="D6295">
        <v>5.1509330000000002</v>
      </c>
      <c r="E6295">
        <v>0.44220769999999998</v>
      </c>
      <c r="F6295" t="s">
        <v>94</v>
      </c>
      <c r="G6295">
        <v>-249.95570000000001</v>
      </c>
      <c r="H6295" s="1">
        <v>-3.7083609999999999E-6</v>
      </c>
      <c r="I6295">
        <v>-62.899769999999997</v>
      </c>
      <c r="J6295">
        <v>-259.76650000000001</v>
      </c>
      <c r="K6295">
        <v>1.1115360000000001</v>
      </c>
      <c r="L6295">
        <v>-63.8414</v>
      </c>
      <c r="M6295">
        <v>0.9978302</v>
      </c>
      <c r="N6295">
        <v>0</v>
      </c>
      <c r="O6295">
        <v>-6.5053239999999998E-2</v>
      </c>
      <c r="P6295">
        <v>0.99741100000000005</v>
      </c>
      <c r="Q6295">
        <v>7.157049E-2</v>
      </c>
      <c r="R6295">
        <v>7.021734E-3</v>
      </c>
      <c r="S6295">
        <v>3.0306090000000001</v>
      </c>
      <c r="T6295">
        <v>-0.33873189999999997</v>
      </c>
      <c r="U6295">
        <v>0.2846069</v>
      </c>
      <c r="V6295">
        <v>-7.2195159999999994E-2</v>
      </c>
      <c r="W6295">
        <v>8.1412059999999994E-2</v>
      </c>
      <c r="X6295">
        <v>0.99406240000000001</v>
      </c>
      <c r="Y6295">
        <v>-0.15670239999999999</v>
      </c>
      <c r="Z6295">
        <v>1.5945879999999999E-2</v>
      </c>
      <c r="AA6295">
        <v>0.98751710000000004</v>
      </c>
      <c r="AB6295">
        <v>25</v>
      </c>
      <c r="AC6295">
        <v>9.8108000000000004</v>
      </c>
      <c r="AD6295">
        <v>-1.1115397083609999</v>
      </c>
      <c r="AE6295">
        <v>0.94163000000000296</v>
      </c>
      <c r="AF6295">
        <v>-1.55807499746935</v>
      </c>
      <c r="AG6295">
        <v>-1.1115397083609999</v>
      </c>
      <c r="AH6295">
        <v>9.6065697488217801</v>
      </c>
      <c r="AI6295">
        <v>96.515731719189702</v>
      </c>
      <c r="AJ6295">
        <v>99.212496100704996</v>
      </c>
      <c r="AK6295">
        <v>9.7953713844846195</v>
      </c>
      <c r="AL6295">
        <v>85.330264678748094</v>
      </c>
      <c r="AM6295">
        <v>94.153892305777305</v>
      </c>
      <c r="AN6295">
        <v>1.00000005986731</v>
      </c>
    </row>
    <row r="6296" spans="1:40" x14ac:dyDescent="0.25">
      <c r="A6296" t="str">
        <f>"20190312151149390"</f>
        <v>20190312151149390</v>
      </c>
      <c r="B6296" t="str">
        <f>"1552374709377687"</f>
        <v>1552374709377687</v>
      </c>
      <c r="C6296" t="s">
        <v>40</v>
      </c>
      <c r="D6296">
        <v>5.186693</v>
      </c>
      <c r="E6296">
        <v>0.43966250000000001</v>
      </c>
      <c r="F6296" t="s">
        <v>94</v>
      </c>
      <c r="G6296">
        <v>-248.3126</v>
      </c>
      <c r="H6296" s="1">
        <v>-2.976851E-6</v>
      </c>
      <c r="I6296">
        <v>-61.975749999999998</v>
      </c>
      <c r="J6296">
        <v>-259.63459999999998</v>
      </c>
      <c r="K6296">
        <v>1.1115489999999999</v>
      </c>
      <c r="L6296">
        <v>-63.84863</v>
      </c>
      <c r="M6296">
        <v>0.99791030000000003</v>
      </c>
      <c r="N6296">
        <v>0</v>
      </c>
      <c r="O6296">
        <v>-6.3810859999999997E-2</v>
      </c>
      <c r="P6296">
        <v>0.99740249999999997</v>
      </c>
      <c r="Q6296">
        <v>7.1525920000000007E-2</v>
      </c>
      <c r="R6296">
        <v>8.5062920000000004E-3</v>
      </c>
      <c r="S6296">
        <v>3.0253909999999999</v>
      </c>
      <c r="T6296">
        <v>-0.29359730000000001</v>
      </c>
      <c r="U6296">
        <v>0.49276730000000002</v>
      </c>
      <c r="V6296">
        <v>-7.244101E-2</v>
      </c>
      <c r="W6296">
        <v>8.1359790000000001E-2</v>
      </c>
      <c r="X6296">
        <v>0.99404870000000001</v>
      </c>
      <c r="Y6296">
        <v>-0.22210369999999999</v>
      </c>
      <c r="Z6296">
        <v>1.6824740000000001E-2</v>
      </c>
      <c r="AA6296">
        <v>0.97487789999999996</v>
      </c>
      <c r="AB6296">
        <v>25</v>
      </c>
      <c r="AC6296">
        <v>11.3219999999999</v>
      </c>
      <c r="AD6296">
        <v>-1.1115519768509901</v>
      </c>
      <c r="AE6296">
        <v>1.8728800000000001</v>
      </c>
      <c r="AF6296">
        <v>-2.5674788041169401</v>
      </c>
      <c r="AG6296">
        <v>-1.1115519768509901</v>
      </c>
      <c r="AH6296">
        <v>11.075498442298199</v>
      </c>
      <c r="AI6296">
        <v>95.583989496586696</v>
      </c>
      <c r="AJ6296">
        <v>103.051551898691</v>
      </c>
      <c r="AK6296">
        <v>11.4234040877569</v>
      </c>
      <c r="AL6296">
        <v>85.333269061043396</v>
      </c>
      <c r="AM6296">
        <v>94.168045249077295</v>
      </c>
      <c r="AN6296">
        <v>0.99999996666517599</v>
      </c>
    </row>
    <row r="6297" spans="1:40" x14ac:dyDescent="0.25">
      <c r="A6297" t="str">
        <f>"20190312151149402"</f>
        <v>20190312151149402</v>
      </c>
      <c r="B6297" t="str">
        <f>"1552374709397208"</f>
        <v>1552374709397208</v>
      </c>
      <c r="C6297" t="s">
        <v>40</v>
      </c>
      <c r="D6297">
        <v>5.1739870000000003</v>
      </c>
      <c r="E6297">
        <v>0.42917359999999999</v>
      </c>
      <c r="F6297" t="s">
        <v>94</v>
      </c>
      <c r="G6297">
        <v>-249.04660000000001</v>
      </c>
      <c r="H6297" s="1">
        <v>-3.2458790000000002E-6</v>
      </c>
      <c r="I6297">
        <v>-62.036610000000003</v>
      </c>
      <c r="J6297">
        <v>-259.51389999999998</v>
      </c>
      <c r="K6297">
        <v>1.1115619999999999</v>
      </c>
      <c r="L6297">
        <v>-63.855159999999998</v>
      </c>
      <c r="M6297">
        <v>0.99798260000000005</v>
      </c>
      <c r="N6297">
        <v>0</v>
      </c>
      <c r="O6297">
        <v>-6.2671500000000005E-2</v>
      </c>
      <c r="P6297">
        <v>0.99740329999999999</v>
      </c>
      <c r="Q6297">
        <v>7.1340180000000003E-2</v>
      </c>
      <c r="R6297">
        <v>9.8670960000000005E-3</v>
      </c>
      <c r="S6297">
        <v>3.0261840000000002</v>
      </c>
      <c r="T6297">
        <v>-0.3176967</v>
      </c>
      <c r="U6297">
        <v>0.51788329999999905</v>
      </c>
      <c r="V6297">
        <v>-7.2664939999999997E-2</v>
      </c>
      <c r="W6297">
        <v>8.1166360000000007E-2</v>
      </c>
      <c r="X6297">
        <v>0.99404820000000005</v>
      </c>
      <c r="Y6297">
        <v>-0.22856779999999999</v>
      </c>
      <c r="Z6297">
        <v>1.8399510000000001E-2</v>
      </c>
      <c r="AA6297">
        <v>0.9733541</v>
      </c>
      <c r="AB6297">
        <v>25</v>
      </c>
      <c r="AC6297">
        <v>10.4672999999999</v>
      </c>
      <c r="AD6297">
        <v>-1.111565245879</v>
      </c>
      <c r="AE6297">
        <v>1.8185500000000001</v>
      </c>
      <c r="AF6297">
        <v>-2.4442532686680698</v>
      </c>
      <c r="AG6297">
        <v>-1.111565245879</v>
      </c>
      <c r="AH6297">
        <v>10.2208589278347</v>
      </c>
      <c r="AI6297">
        <v>96.037844855347302</v>
      </c>
      <c r="AJ6297">
        <v>103.449329989444</v>
      </c>
      <c r="AK6297">
        <v>10.5676822700126</v>
      </c>
      <c r="AL6297">
        <v>85.344388704586095</v>
      </c>
      <c r="AM6297">
        <v>94.180886008683004</v>
      </c>
      <c r="AN6297">
        <v>0.99999999771204595</v>
      </c>
    </row>
    <row r="6298" spans="1:40" x14ac:dyDescent="0.25">
      <c r="A6298" t="str">
        <f>"20190312151149411"</f>
        <v>20190312151149411</v>
      </c>
      <c r="B6298" t="str">
        <f>"1552374709407944"</f>
        <v>1552374709407944</v>
      </c>
      <c r="C6298" t="s">
        <v>40</v>
      </c>
      <c r="D6298">
        <v>5.1494790000000004</v>
      </c>
      <c r="E6298">
        <v>0.42951820000000002</v>
      </c>
      <c r="F6298" t="s">
        <v>93</v>
      </c>
      <c r="G6298">
        <v>-252.92250000000001</v>
      </c>
      <c r="H6298" s="1">
        <v>-8.6786890000000003E-7</v>
      </c>
      <c r="I6298">
        <v>-62.533099999999997</v>
      </c>
      <c r="J6298">
        <v>-259.39400000000001</v>
      </c>
      <c r="K6298">
        <v>1.111567</v>
      </c>
      <c r="L6298">
        <v>-63.861510000000003</v>
      </c>
      <c r="M6298">
        <v>0.99805339999999998</v>
      </c>
      <c r="N6298">
        <v>0</v>
      </c>
      <c r="O6298">
        <v>-6.1535020000000003E-2</v>
      </c>
      <c r="P6298">
        <v>0.99741250000000004</v>
      </c>
      <c r="Q6298">
        <v>7.1036580000000002E-2</v>
      </c>
      <c r="R6298">
        <v>1.10495E-2</v>
      </c>
      <c r="S6298">
        <v>3.0384519999999999</v>
      </c>
      <c r="T6298">
        <v>-0.51240109999999905</v>
      </c>
      <c r="U6298">
        <v>0.60943599999999998</v>
      </c>
      <c r="V6298">
        <v>-7.2712739999999998E-2</v>
      </c>
      <c r="W6298">
        <v>8.0857899999999996E-2</v>
      </c>
      <c r="X6298">
        <v>0.99406989999999995</v>
      </c>
      <c r="Y6298">
        <v>-0.25234719999999999</v>
      </c>
      <c r="Z6298">
        <v>3.1140609999999999E-2</v>
      </c>
      <c r="AA6298">
        <v>0.96713550000000004</v>
      </c>
      <c r="AB6298">
        <v>25</v>
      </c>
      <c r="AC6298">
        <v>6.47149999999999</v>
      </c>
      <c r="AD6298">
        <v>-1.1115678678688901</v>
      </c>
      <c r="AE6298">
        <v>1.3284099999999901</v>
      </c>
      <c r="AF6298">
        <v>-1.67667037479172</v>
      </c>
      <c r="AG6298">
        <v>-1.1115678678688901</v>
      </c>
      <c r="AH6298">
        <v>6.2019116127163203</v>
      </c>
      <c r="AI6298">
        <v>99.816056387531603</v>
      </c>
      <c r="AJ6298">
        <v>105.12812298171799</v>
      </c>
      <c r="AK6298">
        <v>6.5200087670591698</v>
      </c>
      <c r="AL6298">
        <v>85.36212070613</v>
      </c>
      <c r="AM6298">
        <v>94.183535489238906</v>
      </c>
      <c r="AN6298">
        <v>1.00000005431836</v>
      </c>
    </row>
    <row r="6299" spans="1:40" x14ac:dyDescent="0.25">
      <c r="A6299" t="str">
        <f>"20190312151149423"</f>
        <v>20190312151149423</v>
      </c>
      <c r="B6299" t="str">
        <f>"1552374709417705"</f>
        <v>1552374709417705</v>
      </c>
      <c r="C6299" t="s">
        <v>40</v>
      </c>
      <c r="D6299">
        <v>5.1351380000000004</v>
      </c>
      <c r="E6299">
        <v>0.43013770000000001</v>
      </c>
      <c r="F6299" t="s">
        <v>93</v>
      </c>
      <c r="G6299">
        <v>-252.59690000000001</v>
      </c>
      <c r="H6299" s="1">
        <v>-7.2010850000000002E-7</v>
      </c>
      <c r="I6299">
        <v>-62.496720000000003</v>
      </c>
      <c r="J6299">
        <v>-259.27839999999998</v>
      </c>
      <c r="K6299">
        <v>1.1115710000000001</v>
      </c>
      <c r="L6299">
        <v>-63.867489999999997</v>
      </c>
      <c r="M6299">
        <v>0.99812049999999997</v>
      </c>
      <c r="N6299">
        <v>0</v>
      </c>
      <c r="O6299">
        <v>-6.0436480000000001E-2</v>
      </c>
      <c r="P6299">
        <v>0.99741959999999996</v>
      </c>
      <c r="Q6299">
        <v>7.0755579999999998E-2</v>
      </c>
      <c r="R6299">
        <v>1.216162E-2</v>
      </c>
      <c r="S6299">
        <v>3.0364070000000001</v>
      </c>
      <c r="T6299">
        <v>-0.49656</v>
      </c>
      <c r="U6299">
        <v>0.60968020000000001</v>
      </c>
      <c r="V6299">
        <v>-7.2728650000000006E-2</v>
      </c>
      <c r="W6299">
        <v>8.0572260000000007E-2</v>
      </c>
      <c r="X6299">
        <v>0.99409190000000003</v>
      </c>
      <c r="Y6299">
        <v>-0.25175879999999901</v>
      </c>
      <c r="Z6299">
        <v>2.9985439999999999E-2</v>
      </c>
      <c r="AA6299">
        <v>0.9673254</v>
      </c>
      <c r="AB6299">
        <v>25</v>
      </c>
      <c r="AC6299">
        <v>6.6814999999999696</v>
      </c>
      <c r="AD6299">
        <v>-1.11157172010849</v>
      </c>
      <c r="AE6299">
        <v>1.37077</v>
      </c>
      <c r="AF6299">
        <v>-1.7262428169350601</v>
      </c>
      <c r="AG6299">
        <v>-1.11157172010849</v>
      </c>
      <c r="AH6299">
        <v>6.4160292444510603</v>
      </c>
      <c r="AI6299">
        <v>99.497605585764404</v>
      </c>
      <c r="AJ6299">
        <v>105.058914930299</v>
      </c>
      <c r="AK6299">
        <v>6.7365374798642801</v>
      </c>
      <c r="AL6299">
        <v>85.378540112302204</v>
      </c>
      <c r="AM6299">
        <v>94.184355345680302</v>
      </c>
      <c r="AN6299">
        <v>1.0000000256289601</v>
      </c>
    </row>
    <row r="6300" spans="1:40" x14ac:dyDescent="0.25">
      <c r="A6300" t="str">
        <f>"20190312151149433"</f>
        <v>20190312151149433</v>
      </c>
      <c r="B6300" t="str">
        <f>"1552374709427550"</f>
        <v>1552374709427550</v>
      </c>
      <c r="C6300" t="s">
        <v>40</v>
      </c>
      <c r="D6300">
        <v>5.1618659999999998</v>
      </c>
      <c r="E6300">
        <v>0.4300194</v>
      </c>
      <c r="F6300" t="s">
        <v>93</v>
      </c>
      <c r="G6300">
        <v>-252.45500000000001</v>
      </c>
      <c r="H6300" s="1">
        <v>-6.6015280000000004E-7</v>
      </c>
      <c r="I6300">
        <v>-62.500950000000003</v>
      </c>
      <c r="J6300">
        <v>-259.15480000000002</v>
      </c>
      <c r="K6300">
        <v>1.1115740000000001</v>
      </c>
      <c r="L6300">
        <v>-63.873719999999999</v>
      </c>
      <c r="M6300">
        <v>0.99819119999999995</v>
      </c>
      <c r="N6300">
        <v>0</v>
      </c>
      <c r="O6300">
        <v>-5.9260689999999998E-2</v>
      </c>
      <c r="P6300">
        <v>0.99743040000000005</v>
      </c>
      <c r="Q6300">
        <v>7.038411E-2</v>
      </c>
      <c r="R6300">
        <v>1.338513E-2</v>
      </c>
      <c r="S6300">
        <v>3.035431</v>
      </c>
      <c r="T6300">
        <v>-0.4944868</v>
      </c>
      <c r="U6300">
        <v>0.60791019999999996</v>
      </c>
      <c r="V6300">
        <v>-7.277873E-2</v>
      </c>
      <c r="W6300">
        <v>8.0196310000000007E-2</v>
      </c>
      <c r="X6300">
        <v>0.99411859999999996</v>
      </c>
      <c r="Y6300">
        <v>-0.25020249999999999</v>
      </c>
      <c r="Z6300">
        <v>2.955928E-2</v>
      </c>
      <c r="AA6300">
        <v>0.9677422</v>
      </c>
      <c r="AB6300">
        <v>25</v>
      </c>
      <c r="AC6300">
        <v>6.6997999999999998</v>
      </c>
      <c r="AD6300">
        <v>-1.1115746601528</v>
      </c>
      <c r="AE6300">
        <v>1.3727699999999901</v>
      </c>
      <c r="AF6300">
        <v>-1.72192324092478</v>
      </c>
      <c r="AG6300">
        <v>-1.1115746601528</v>
      </c>
      <c r="AH6300">
        <v>6.4366285521330804</v>
      </c>
      <c r="AI6300">
        <v>99.471351258978203</v>
      </c>
      <c r="AJ6300">
        <v>104.97702375420501</v>
      </c>
      <c r="AK6300">
        <v>6.7550577340882496</v>
      </c>
      <c r="AL6300">
        <v>85.400150233811004</v>
      </c>
      <c r="AM6300">
        <v>94.187114333303995</v>
      </c>
      <c r="AN6300">
        <v>0.99999999127199402</v>
      </c>
    </row>
    <row r="6301" spans="1:40" x14ac:dyDescent="0.25">
      <c r="A6301" t="str">
        <f>"20190312151149445"</f>
        <v>20190312151149445</v>
      </c>
      <c r="B6301" t="str">
        <f>"1552374709437291"</f>
        <v>1552374709437291</v>
      </c>
      <c r="C6301" t="s">
        <v>40</v>
      </c>
      <c r="D6301">
        <v>5.1771279999999997</v>
      </c>
      <c r="E6301">
        <v>0.43006559999999999</v>
      </c>
      <c r="F6301" t="s">
        <v>93</v>
      </c>
      <c r="G6301">
        <v>-252.1797</v>
      </c>
      <c r="H6301" s="1">
        <v>-5.3424449999999996E-7</v>
      </c>
      <c r="I6301">
        <v>-62.465719999999997</v>
      </c>
      <c r="J6301">
        <v>-259.03359999999998</v>
      </c>
      <c r="K6301">
        <v>1.1115729999999999</v>
      </c>
      <c r="L6301">
        <v>-63.8797</v>
      </c>
      <c r="M6301">
        <v>0.99825900000000001</v>
      </c>
      <c r="N6301">
        <v>0</v>
      </c>
      <c r="O6301">
        <v>-5.8106499999999998E-2</v>
      </c>
      <c r="P6301">
        <v>0.9974191</v>
      </c>
      <c r="Q6301">
        <v>7.0263129999999993E-2</v>
      </c>
      <c r="R6301">
        <v>1.478082E-2</v>
      </c>
      <c r="S6301">
        <v>3.0335999999999999</v>
      </c>
      <c r="T6301">
        <v>-0.4834445</v>
      </c>
      <c r="U6301">
        <v>0.61236569999999901</v>
      </c>
      <c r="V6301">
        <v>-7.3020760000000004E-2</v>
      </c>
      <c r="W6301">
        <v>8.0070829999999996E-2</v>
      </c>
      <c r="X6301">
        <v>0.99411099999999997</v>
      </c>
      <c r="Y6301">
        <v>-0.25074010000000002</v>
      </c>
      <c r="Z6301">
        <v>2.8781049999999999E-2</v>
      </c>
      <c r="AA6301">
        <v>0.96762649999999994</v>
      </c>
      <c r="AB6301">
        <v>25</v>
      </c>
      <c r="AC6301">
        <v>6.8538999999999799</v>
      </c>
      <c r="AD6301">
        <v>-1.1115735342444999</v>
      </c>
      <c r="AE6301">
        <v>1.41398</v>
      </c>
      <c r="AF6301">
        <v>-1.76532980972644</v>
      </c>
      <c r="AG6301">
        <v>-1.1115735342444999</v>
      </c>
      <c r="AH6301">
        <v>6.5937980505477203</v>
      </c>
      <c r="AI6301">
        <v>99.249063163823095</v>
      </c>
      <c r="AJ6301">
        <v>104.98805689745799</v>
      </c>
      <c r="AK6301">
        <v>6.9159350626324203</v>
      </c>
      <c r="AL6301">
        <v>85.407363057415495</v>
      </c>
      <c r="AM6301">
        <v>94.201021063536004</v>
      </c>
      <c r="AN6301">
        <v>1.0000000247644301</v>
      </c>
    </row>
    <row r="6302" spans="1:40" x14ac:dyDescent="0.25">
      <c r="A6302" t="str">
        <f>"20190312151149455"</f>
        <v>20190312151149455</v>
      </c>
      <c r="B6302" t="str">
        <f>"1552374709448028"</f>
        <v>1552374709448028</v>
      </c>
      <c r="C6302" t="s">
        <v>40</v>
      </c>
      <c r="D6302">
        <v>5.1497650000000004</v>
      </c>
      <c r="E6302">
        <v>0.42993510000000001</v>
      </c>
      <c r="F6302" t="s">
        <v>93</v>
      </c>
      <c r="G6302">
        <v>-251.99770000000001</v>
      </c>
      <c r="H6302" s="1">
        <v>-4.5263450000000002E-7</v>
      </c>
      <c r="I6302">
        <v>-62.449939999999998</v>
      </c>
      <c r="J6302">
        <v>-258.91559999999998</v>
      </c>
      <c r="K6302">
        <v>1.111575</v>
      </c>
      <c r="L6302">
        <v>-63.88541</v>
      </c>
      <c r="M6302">
        <v>0.99832370000000004</v>
      </c>
      <c r="N6302">
        <v>0</v>
      </c>
      <c r="O6302">
        <v>-5.6983909999999999E-2</v>
      </c>
      <c r="P6302">
        <v>0.99741630000000003</v>
      </c>
      <c r="Q6302">
        <v>6.9995589999999996E-2</v>
      </c>
      <c r="R6302">
        <v>1.6172120000000002E-2</v>
      </c>
      <c r="S6302">
        <v>3.0323790000000002</v>
      </c>
      <c r="T6302">
        <v>-0.47907519999999998</v>
      </c>
      <c r="U6302">
        <v>0.61621090000000001</v>
      </c>
      <c r="V6302">
        <v>-7.3290179999999996E-2</v>
      </c>
      <c r="W6302">
        <v>7.9798469999999996E-2</v>
      </c>
      <c r="X6302">
        <v>0.99411300000000002</v>
      </c>
      <c r="Y6302">
        <v>-0.25098280000000001</v>
      </c>
      <c r="Z6302">
        <v>2.837582E-2</v>
      </c>
      <c r="AA6302">
        <v>0.96757559999999998</v>
      </c>
      <c r="AB6302">
        <v>25</v>
      </c>
      <c r="AC6302">
        <v>6.9178999999999702</v>
      </c>
      <c r="AD6302">
        <v>-1.1115754526344901</v>
      </c>
      <c r="AE6302">
        <v>1.43546999999999</v>
      </c>
      <c r="AF6302">
        <v>-1.7832269135188701</v>
      </c>
      <c r="AG6302">
        <v>-1.1115754526344901</v>
      </c>
      <c r="AH6302">
        <v>6.6600024188361999</v>
      </c>
      <c r="AI6302">
        <v>99.158645080461397</v>
      </c>
      <c r="AJ6302">
        <v>104.98944153909601</v>
      </c>
      <c r="AK6302">
        <v>6.9836330395362101</v>
      </c>
      <c r="AL6302">
        <v>85.423017894585598</v>
      </c>
      <c r="AM6302">
        <v>94.216457048393707</v>
      </c>
      <c r="AN6302">
        <v>0.99999995153388499</v>
      </c>
    </row>
    <row r="6303" spans="1:40" x14ac:dyDescent="0.25">
      <c r="A6303" t="str">
        <f>"20190312151149467"</f>
        <v>20190312151149467</v>
      </c>
      <c r="B6303" t="str">
        <f>"1552374709457787"</f>
        <v>1552374709457787</v>
      </c>
      <c r="C6303" t="s">
        <v>40</v>
      </c>
      <c r="D6303">
        <v>5.1851760000000002</v>
      </c>
      <c r="E6303">
        <v>0.43006739999999999</v>
      </c>
      <c r="F6303" t="s">
        <v>93</v>
      </c>
      <c r="G6303">
        <v>-252.10220000000001</v>
      </c>
      <c r="H6303" s="1">
        <v>-5.0603640000000001E-7</v>
      </c>
      <c r="I6303">
        <v>-62.488509999999998</v>
      </c>
      <c r="J6303">
        <v>-258.78300000000002</v>
      </c>
      <c r="K6303">
        <v>1.111575</v>
      </c>
      <c r="L6303">
        <v>-63.891599999999997</v>
      </c>
      <c r="M6303">
        <v>0.99839480000000003</v>
      </c>
      <c r="N6303">
        <v>0</v>
      </c>
      <c r="O6303">
        <v>-5.572353E-2</v>
      </c>
      <c r="P6303">
        <v>0.99738450000000001</v>
      </c>
      <c r="Q6303">
        <v>7.0070939999999998E-2</v>
      </c>
      <c r="R6303">
        <v>1.772781E-2</v>
      </c>
      <c r="S6303">
        <v>3.03241</v>
      </c>
      <c r="T6303">
        <v>-0.49471870000000001</v>
      </c>
      <c r="U6303">
        <v>0.62170409999999998</v>
      </c>
      <c r="V6303">
        <v>-7.3586029999999997E-2</v>
      </c>
      <c r="W6303">
        <v>7.9868809999999998E-2</v>
      </c>
      <c r="X6303">
        <v>0.99408560000000001</v>
      </c>
      <c r="Y6303">
        <v>-0.25121510000000002</v>
      </c>
      <c r="Z6303">
        <v>2.910159E-2</v>
      </c>
      <c r="AA6303">
        <v>0.96749370000000001</v>
      </c>
      <c r="AB6303">
        <v>25</v>
      </c>
      <c r="AC6303">
        <v>6.6807999999999996</v>
      </c>
      <c r="AD6303">
        <v>-1.1115755060364001</v>
      </c>
      <c r="AE6303">
        <v>1.40308999999999</v>
      </c>
      <c r="AF6303">
        <v>-1.72740609251508</v>
      </c>
      <c r="AG6303">
        <v>-1.1115755060364001</v>
      </c>
      <c r="AH6303">
        <v>6.4219574506842898</v>
      </c>
      <c r="AI6303">
        <v>99.489186559706994</v>
      </c>
      <c r="AJ6303">
        <v>105.05532314704899</v>
      </c>
      <c r="AK6303">
        <v>6.7424824369424803</v>
      </c>
      <c r="AL6303">
        <v>85.418975281240606</v>
      </c>
      <c r="AM6303">
        <v>94.2335320995129</v>
      </c>
      <c r="AN6303">
        <v>1.00000005537466</v>
      </c>
    </row>
    <row r="6304" spans="1:40" x14ac:dyDescent="0.25">
      <c r="A6304" t="str">
        <f>"20190312151149478"</f>
        <v>20190312151149478</v>
      </c>
      <c r="B6304" t="str">
        <f>"1552374709467547"</f>
        <v>1552374709467547</v>
      </c>
      <c r="C6304" t="s">
        <v>40</v>
      </c>
      <c r="D6304">
        <v>5.1470960000000003</v>
      </c>
      <c r="E6304">
        <v>0.43021399999999999</v>
      </c>
      <c r="F6304" t="s">
        <v>93</v>
      </c>
      <c r="G6304">
        <v>-252.05430000000001</v>
      </c>
      <c r="H6304" s="1">
        <v>-4.8868699999999898E-7</v>
      </c>
      <c r="I6304">
        <v>-62.502809999999997</v>
      </c>
      <c r="J6304">
        <v>-258.66660000000002</v>
      </c>
      <c r="K6304">
        <v>1.1115759999999999</v>
      </c>
      <c r="L6304">
        <v>-63.896970000000003</v>
      </c>
      <c r="M6304">
        <v>0.99845589999999995</v>
      </c>
      <c r="N6304">
        <v>0</v>
      </c>
      <c r="O6304">
        <v>-5.4618590000000002E-2</v>
      </c>
      <c r="P6304">
        <v>0.99734699999999998</v>
      </c>
      <c r="Q6304">
        <v>7.0131200000000005E-2</v>
      </c>
      <c r="R6304">
        <v>1.9505249999999998E-2</v>
      </c>
      <c r="S6304">
        <v>3.0319370000000001</v>
      </c>
      <c r="T6304">
        <v>-0.5008783</v>
      </c>
      <c r="U6304">
        <v>0.6257935</v>
      </c>
      <c r="V6304">
        <v>-7.4257390000000006E-2</v>
      </c>
      <c r="W6304">
        <v>7.9923010000000003E-2</v>
      </c>
      <c r="X6304">
        <v>0.99403129999999995</v>
      </c>
      <c r="Y6304">
        <v>-0.25134240000000002</v>
      </c>
      <c r="Z6304">
        <v>2.9290469999999999E-2</v>
      </c>
      <c r="AA6304">
        <v>0.96745490000000001</v>
      </c>
      <c r="AB6304">
        <v>25</v>
      </c>
      <c r="AC6304">
        <v>6.6123000000000003</v>
      </c>
      <c r="AD6304">
        <v>-1.1115764886869901</v>
      </c>
      <c r="AE6304">
        <v>1.3941599999999901</v>
      </c>
      <c r="AF6304">
        <v>-1.7070632831753301</v>
      </c>
      <c r="AG6304">
        <v>-1.1115764886869901</v>
      </c>
      <c r="AH6304">
        <v>6.3543465460447299</v>
      </c>
      <c r="AI6304">
        <v>99.589096552383893</v>
      </c>
      <c r="AJ6304">
        <v>105.03718857409901</v>
      </c>
      <c r="AK6304">
        <v>6.6728844865018999</v>
      </c>
      <c r="AL6304">
        <v>85.415859803929195</v>
      </c>
      <c r="AM6304">
        <v>94.272246757010805</v>
      </c>
      <c r="AN6304">
        <v>1.0000000364383801</v>
      </c>
    </row>
    <row r="6305" spans="1:40" x14ac:dyDescent="0.25">
      <c r="A6305" t="str">
        <f>"20190312151149489"</f>
        <v>20190312151149489</v>
      </c>
      <c r="B6305" t="str">
        <f>"1552374709477307"</f>
        <v>1552374709477307</v>
      </c>
      <c r="C6305" t="s">
        <v>40</v>
      </c>
      <c r="D6305">
        <v>5.1242380000000001</v>
      </c>
      <c r="E6305">
        <v>0.43036999999999997</v>
      </c>
      <c r="F6305" t="s">
        <v>93</v>
      </c>
      <c r="G6305">
        <v>-251.81780000000001</v>
      </c>
      <c r="H6305" s="1">
        <v>-3.8064710000000003E-7</v>
      </c>
      <c r="I6305">
        <v>-62.473219999999998</v>
      </c>
      <c r="J6305">
        <v>-258.53919999999999</v>
      </c>
      <c r="K6305">
        <v>1.111577</v>
      </c>
      <c r="L6305">
        <v>-63.902619999999999</v>
      </c>
      <c r="M6305">
        <v>0.99852110000000005</v>
      </c>
      <c r="N6305">
        <v>0</v>
      </c>
      <c r="O6305">
        <v>-5.3413049999999997E-2</v>
      </c>
      <c r="P6305">
        <v>0.99729800000000002</v>
      </c>
      <c r="Q6305">
        <v>7.0384639999999998E-2</v>
      </c>
      <c r="R6305">
        <v>2.1048170000000001E-2</v>
      </c>
      <c r="S6305">
        <v>3.0302730000000002</v>
      </c>
      <c r="T6305">
        <v>-0.49182029999999899</v>
      </c>
      <c r="U6305">
        <v>0.62994380000000005</v>
      </c>
      <c r="V6305">
        <v>-7.4595259999999997E-2</v>
      </c>
      <c r="W6305">
        <v>8.017254E-2</v>
      </c>
      <c r="X6305">
        <v>0.99398589999999998</v>
      </c>
      <c r="Y6305">
        <v>-0.2517008</v>
      </c>
      <c r="Z6305">
        <v>2.8614830000000001E-2</v>
      </c>
      <c r="AA6305">
        <v>0.96738199999999996</v>
      </c>
      <c r="AB6305">
        <v>25</v>
      </c>
      <c r="AC6305">
        <v>6.7213999999999796</v>
      </c>
      <c r="AD6305">
        <v>-1.1115773806471001</v>
      </c>
      <c r="AE6305">
        <v>1.4294</v>
      </c>
      <c r="AF6305">
        <v>-1.7408362123457499</v>
      </c>
      <c r="AG6305">
        <v>-1.1115773806471001</v>
      </c>
      <c r="AH6305">
        <v>6.4662509643391504</v>
      </c>
      <c r="AI6305">
        <v>99.424827455803495</v>
      </c>
      <c r="AJ6305">
        <v>105.067847789147</v>
      </c>
      <c r="AK6305">
        <v>6.7881158302726101</v>
      </c>
      <c r="AL6305">
        <v>85.401516728739907</v>
      </c>
      <c r="AM6305">
        <v>94.291808239701595</v>
      </c>
      <c r="AN6305">
        <v>1.00000002919166</v>
      </c>
    </row>
    <row r="6306" spans="1:40" x14ac:dyDescent="0.25">
      <c r="A6306" t="str">
        <f>"20190312151149500"</f>
        <v>20190312151149500</v>
      </c>
      <c r="B6306" t="str">
        <f>"1552374709497803"</f>
        <v>1552374709497803</v>
      </c>
      <c r="C6306" t="s">
        <v>40</v>
      </c>
      <c r="D6306">
        <v>5.1262949999999998</v>
      </c>
      <c r="E6306">
        <v>0.43040630000000002</v>
      </c>
      <c r="F6306" t="s">
        <v>93</v>
      </c>
      <c r="G6306">
        <v>-251.64169999999999</v>
      </c>
      <c r="H6306" s="1">
        <v>-3.0215030000000002E-7</v>
      </c>
      <c r="I6306">
        <v>-62.459910000000001</v>
      </c>
      <c r="J6306">
        <v>-258.42169999999999</v>
      </c>
      <c r="K6306">
        <v>1.111578</v>
      </c>
      <c r="L6306">
        <v>-63.907780000000002</v>
      </c>
      <c r="M6306">
        <v>0.99858000000000002</v>
      </c>
      <c r="N6306">
        <v>0</v>
      </c>
      <c r="O6306">
        <v>-5.2300970000000002E-2</v>
      </c>
      <c r="P6306">
        <v>0.99723490000000004</v>
      </c>
      <c r="Q6306">
        <v>7.0798910000000007E-2</v>
      </c>
      <c r="R6306">
        <v>2.2579680000000001E-2</v>
      </c>
      <c r="S6306">
        <v>3.029236</v>
      </c>
      <c r="T6306">
        <v>-0.48818060000000002</v>
      </c>
      <c r="U6306">
        <v>0.633606</v>
      </c>
      <c r="V6306">
        <v>-7.5014579999999997E-2</v>
      </c>
      <c r="W6306">
        <v>8.0581760000000002E-2</v>
      </c>
      <c r="X6306">
        <v>0.99392119999999995</v>
      </c>
      <c r="Y6306">
        <v>-0.25187749999999998</v>
      </c>
      <c r="Z6306">
        <v>2.8249260000000002E-2</v>
      </c>
      <c r="AA6306">
        <v>0.9673467</v>
      </c>
      <c r="AB6306">
        <v>25</v>
      </c>
      <c r="AC6306">
        <v>6.78</v>
      </c>
      <c r="AD6306">
        <v>-1.1115783021502901</v>
      </c>
      <c r="AE6306">
        <v>1.44787</v>
      </c>
      <c r="AF6306">
        <v>-1.75538114668246</v>
      </c>
      <c r="AG6306">
        <v>-1.1115783021502901</v>
      </c>
      <c r="AH6306">
        <v>6.5271953539343404</v>
      </c>
      <c r="AI6306">
        <v>99.339049578450698</v>
      </c>
      <c r="AJ6306">
        <v>105.05260302462101</v>
      </c>
      <c r="AK6306">
        <v>6.8499086475924402</v>
      </c>
      <c r="AL6306">
        <v>85.377993813234099</v>
      </c>
      <c r="AM6306">
        <v>94.316122627307905</v>
      </c>
      <c r="AN6306">
        <v>0.99999997953335595</v>
      </c>
    </row>
    <row r="6307" spans="1:40" x14ac:dyDescent="0.25">
      <c r="A6307" t="str">
        <f>"20190312151149511"</f>
        <v>20190312151149511</v>
      </c>
      <c r="B6307" t="str">
        <f>"1552374709507564"</f>
        <v>1552374709507564</v>
      </c>
      <c r="C6307" t="s">
        <v>40</v>
      </c>
      <c r="D6307">
        <v>5.1672669999999998</v>
      </c>
      <c r="E6307">
        <v>0.43058540000000001</v>
      </c>
      <c r="F6307" t="s">
        <v>93</v>
      </c>
      <c r="G6307">
        <v>-251.5128</v>
      </c>
      <c r="H6307" s="1">
        <v>-2.4494670000000003E-7</v>
      </c>
      <c r="I6307">
        <v>-62.451450000000001</v>
      </c>
      <c r="J6307">
        <v>-258.29579999999999</v>
      </c>
      <c r="K6307">
        <v>1.111578</v>
      </c>
      <c r="L6307">
        <v>-63.913060000000002</v>
      </c>
      <c r="M6307">
        <v>0.99864160000000002</v>
      </c>
      <c r="N6307">
        <v>0</v>
      </c>
      <c r="O6307">
        <v>-5.1113550000000001E-2</v>
      </c>
      <c r="P6307">
        <v>0.99718850000000003</v>
      </c>
      <c r="Q6307">
        <v>7.0888240000000005E-2</v>
      </c>
      <c r="R6307">
        <v>2.4287779999999998E-2</v>
      </c>
      <c r="S6307">
        <v>3.0284580000000001</v>
      </c>
      <c r="T6307">
        <v>-0.48725010000000002</v>
      </c>
      <c r="U6307">
        <v>0.63836669999999995</v>
      </c>
      <c r="V6307">
        <v>-7.5535870000000005E-2</v>
      </c>
      <c r="W6307">
        <v>8.0666829999999995E-2</v>
      </c>
      <c r="X6307">
        <v>0.99387479999999995</v>
      </c>
      <c r="Y6307">
        <v>-0.25225819999999999</v>
      </c>
      <c r="Z6307">
        <v>2.8040720000000002E-2</v>
      </c>
      <c r="AA6307">
        <v>0.96725360000000005</v>
      </c>
      <c r="AB6307">
        <v>25</v>
      </c>
      <c r="AC6307">
        <v>6.7829999999999799</v>
      </c>
      <c r="AD6307">
        <v>-1.1115782449467</v>
      </c>
      <c r="AE6307">
        <v>1.4616099999999901</v>
      </c>
      <c r="AF6307">
        <v>-1.7612201556121501</v>
      </c>
      <c r="AG6307">
        <v>-1.1115782449467</v>
      </c>
      <c r="AH6307">
        <v>6.5317885748263604</v>
      </c>
      <c r="AI6307">
        <v>99.330975020855206</v>
      </c>
      <c r="AJ6307">
        <v>105.090255869652</v>
      </c>
      <c r="AK6307">
        <v>6.8557832971444901</v>
      </c>
      <c r="AL6307">
        <v>85.373103658676996</v>
      </c>
      <c r="AM6307">
        <v>94.346203751242101</v>
      </c>
      <c r="AN6307">
        <v>0.99999996159697202</v>
      </c>
    </row>
    <row r="6308" spans="1:40" x14ac:dyDescent="0.25">
      <c r="A6308" t="str">
        <f>"20190312151149523"</f>
        <v>20190312151149523</v>
      </c>
      <c r="B6308" t="str">
        <f>"1552374709517323"</f>
        <v>1552374709517323</v>
      </c>
      <c r="C6308" t="s">
        <v>40</v>
      </c>
      <c r="D6308">
        <v>5.168793</v>
      </c>
      <c r="E6308">
        <v>0.43078309999999997</v>
      </c>
      <c r="F6308" t="s">
        <v>93</v>
      </c>
      <c r="G6308">
        <v>-251.3373</v>
      </c>
      <c r="H6308" s="1">
        <v>-1.6645589999999899E-7</v>
      </c>
      <c r="I6308">
        <v>-62.436959999999999</v>
      </c>
      <c r="J6308">
        <v>-258.17039999999997</v>
      </c>
      <c r="K6308">
        <v>1.1115790000000001</v>
      </c>
      <c r="L6308">
        <v>-63.9182699999999</v>
      </c>
      <c r="M6308">
        <v>0.99870150000000002</v>
      </c>
      <c r="N6308">
        <v>0</v>
      </c>
      <c r="O6308">
        <v>-4.9931730000000001E-2</v>
      </c>
      <c r="P6308">
        <v>0.99711329999999998</v>
      </c>
      <c r="Q6308">
        <v>7.1371030000000002E-2</v>
      </c>
      <c r="R6308">
        <v>2.5911380000000001E-2</v>
      </c>
      <c r="S6308">
        <v>3.0271910000000002</v>
      </c>
      <c r="T6308">
        <v>-0.48357489999999997</v>
      </c>
      <c r="U6308">
        <v>0.64215089999999997</v>
      </c>
      <c r="V6308">
        <v>-7.5978379999999998E-2</v>
      </c>
      <c r="W6308">
        <v>8.1144960000000002E-2</v>
      </c>
      <c r="X6308">
        <v>0.99380219999999997</v>
      </c>
      <c r="Y6308">
        <v>-0.25241989999999997</v>
      </c>
      <c r="Z6308">
        <v>2.7666429999999999E-2</v>
      </c>
      <c r="AA6308">
        <v>0.96722220000000003</v>
      </c>
      <c r="AB6308">
        <v>25</v>
      </c>
      <c r="AC6308">
        <v>6.8330999999999698</v>
      </c>
      <c r="AD6308">
        <v>-1.1115791664558901</v>
      </c>
      <c r="AE6308">
        <v>1.4813099999999899</v>
      </c>
      <c r="AF6308">
        <v>-1.77578410337689</v>
      </c>
      <c r="AG6308">
        <v>-1.1115791664558901</v>
      </c>
      <c r="AH6308">
        <v>6.5841886807028498</v>
      </c>
      <c r="AI6308">
        <v>99.257862024081902</v>
      </c>
      <c r="AJ6308">
        <v>105.093783608026</v>
      </c>
      <c r="AK6308">
        <v>6.9094542482167496</v>
      </c>
      <c r="AL6308">
        <v>85.345618976226106</v>
      </c>
      <c r="AM6308">
        <v>94.371884717615004</v>
      </c>
      <c r="AN6308">
        <v>1.0000000157428299</v>
      </c>
    </row>
    <row r="6309" spans="1:40" x14ac:dyDescent="0.25">
      <c r="A6309" t="str">
        <f>"20190312151149534"</f>
        <v>20190312151149534</v>
      </c>
      <c r="B6309" t="str">
        <f>"1552374709527651"</f>
        <v>1552374709527651</v>
      </c>
      <c r="C6309" t="s">
        <v>40</v>
      </c>
      <c r="D6309">
        <v>5.1319129999999999</v>
      </c>
      <c r="E6309">
        <v>0.43096420000000002</v>
      </c>
      <c r="F6309" t="s">
        <v>93</v>
      </c>
      <c r="G6309">
        <v>-251.11689999999999</v>
      </c>
      <c r="H6309" s="1">
        <v>-6.6698419999999994E-8</v>
      </c>
      <c r="I6309">
        <v>-62.413640000000001</v>
      </c>
      <c r="J6309">
        <v>-258.03519999999997</v>
      </c>
      <c r="K6309">
        <v>1.1115759999999999</v>
      </c>
      <c r="L6309">
        <v>-63.923679999999997</v>
      </c>
      <c r="M6309">
        <v>0.99876419999999999</v>
      </c>
      <c r="N6309">
        <v>0</v>
      </c>
      <c r="O6309">
        <v>-4.8661219999999998E-2</v>
      </c>
      <c r="P6309">
        <v>0.99704689999999996</v>
      </c>
      <c r="Q6309">
        <v>7.1654979999999993E-2</v>
      </c>
      <c r="R6309">
        <v>2.7625090000000001E-2</v>
      </c>
      <c r="S6309">
        <v>3.0260470000000002</v>
      </c>
      <c r="T6309">
        <v>-0.47688069999999999</v>
      </c>
      <c r="U6309">
        <v>0.64550779999999996</v>
      </c>
      <c r="V6309">
        <v>-7.6422550000000006E-2</v>
      </c>
      <c r="W6309">
        <v>8.1424910000000003E-2</v>
      </c>
      <c r="X6309">
        <v>0.9937452</v>
      </c>
      <c r="Y6309">
        <v>-0.2524053</v>
      </c>
      <c r="Z6309">
        <v>2.7096660000000002E-2</v>
      </c>
      <c r="AA6309">
        <v>0.96724209999999999</v>
      </c>
      <c r="AB6309">
        <v>25</v>
      </c>
      <c r="AC6309">
        <v>6.9182999999999799</v>
      </c>
      <c r="AD6309">
        <v>-1.11157606669841</v>
      </c>
      <c r="AE6309">
        <v>1.51004</v>
      </c>
      <c r="AF6309">
        <v>-1.80055272125202</v>
      </c>
      <c r="AG6309">
        <v>-1.11157606669841</v>
      </c>
      <c r="AH6309">
        <v>6.6722059958113702</v>
      </c>
      <c r="AI6309">
        <v>99.137435663076303</v>
      </c>
      <c r="AJ6309">
        <v>105.102028129781</v>
      </c>
      <c r="AK6309">
        <v>6.9997088728464902</v>
      </c>
      <c r="AL6309">
        <v>85.329525565738606</v>
      </c>
      <c r="AM6309">
        <v>94.397594059973201</v>
      </c>
      <c r="AN6309">
        <v>0.99999997232002402</v>
      </c>
    </row>
    <row r="6310" spans="1:40" x14ac:dyDescent="0.25">
      <c r="A6310" t="str">
        <f>"20190312151149545"</f>
        <v>20190312151149545</v>
      </c>
      <c r="B6310" t="str">
        <f>"1552374709537397"</f>
        <v>1552374709537397</v>
      </c>
      <c r="C6310" t="s">
        <v>40</v>
      </c>
      <c r="D6310">
        <v>5.1692600000000004</v>
      </c>
      <c r="E6310">
        <v>0.43117100000000003</v>
      </c>
      <c r="F6310" t="s">
        <v>93</v>
      </c>
      <c r="G6310">
        <v>-250.92349999999999</v>
      </c>
      <c r="H6310" s="1">
        <v>1.9975860000000001E-8</v>
      </c>
      <c r="I6310">
        <v>-62.396850000000001</v>
      </c>
      <c r="J6310">
        <v>-257.92610000000002</v>
      </c>
      <c r="K6310">
        <v>1.1115740000000001</v>
      </c>
      <c r="L6310">
        <v>-63.927889999999998</v>
      </c>
      <c r="M6310">
        <v>0.99881359999999997</v>
      </c>
      <c r="N6310">
        <v>0</v>
      </c>
      <c r="O6310">
        <v>-4.7636039999999998E-2</v>
      </c>
      <c r="P6310">
        <v>0.99696689999999999</v>
      </c>
      <c r="Q6310">
        <v>7.2133530000000001E-2</v>
      </c>
      <c r="R6310">
        <v>2.9222999999999999E-2</v>
      </c>
      <c r="S6310">
        <v>3.0248719999999998</v>
      </c>
      <c r="T6310">
        <v>-0.47279450000000001</v>
      </c>
      <c r="U6310">
        <v>0.64941409999999999</v>
      </c>
      <c r="V6310">
        <v>-7.6995739999999993E-2</v>
      </c>
      <c r="W6310">
        <v>8.1899669999999994E-2</v>
      </c>
      <c r="X6310">
        <v>0.99366189999999999</v>
      </c>
      <c r="Y6310">
        <v>-0.25275110000000001</v>
      </c>
      <c r="Z6310">
        <v>2.6742599999999998E-2</v>
      </c>
      <c r="AA6310">
        <v>0.96716170000000001</v>
      </c>
      <c r="AB6310">
        <v>25</v>
      </c>
      <c r="AC6310">
        <v>7.0026000000000197</v>
      </c>
      <c r="AD6310">
        <v>-1.11157398002414</v>
      </c>
      <c r="AE6310">
        <v>1.53104</v>
      </c>
      <c r="AF6310">
        <v>-1.8191480779717499</v>
      </c>
      <c r="AG6310">
        <v>-1.11157398002414</v>
      </c>
      <c r="AH6310">
        <v>6.7591688230691798</v>
      </c>
      <c r="AI6310">
        <v>99.023410696535393</v>
      </c>
      <c r="AJ6310">
        <v>105.063523298262</v>
      </c>
      <c r="AK6310">
        <v>7.0874014717247</v>
      </c>
      <c r="AL6310">
        <v>85.302232491381105</v>
      </c>
      <c r="AM6310">
        <v>94.430816313513603</v>
      </c>
      <c r="AN6310">
        <v>0.999999935717931</v>
      </c>
    </row>
    <row r="6311" spans="1:40" x14ac:dyDescent="0.25">
      <c r="A6311" t="str">
        <f>"20190312151149555"</f>
        <v>20190312151149555</v>
      </c>
      <c r="B6311" t="str">
        <f>"1552374709547158"</f>
        <v>1552374709547158</v>
      </c>
      <c r="C6311" t="s">
        <v>40</v>
      </c>
      <c r="D6311">
        <v>5.1739309999999996</v>
      </c>
      <c r="E6311">
        <v>0.43130839999999998</v>
      </c>
      <c r="F6311" t="s">
        <v>93</v>
      </c>
      <c r="G6311">
        <v>-250.7518</v>
      </c>
      <c r="H6311" s="1">
        <v>9.7504819999999994E-8</v>
      </c>
      <c r="I6311">
        <v>-62.379530000000003</v>
      </c>
      <c r="J6311">
        <v>-257.80169999999998</v>
      </c>
      <c r="K6311">
        <v>1.111575</v>
      </c>
      <c r="L6311">
        <v>-63.932619999999901</v>
      </c>
      <c r="M6311">
        <v>0.9988686</v>
      </c>
      <c r="N6311">
        <v>0</v>
      </c>
      <c r="O6311">
        <v>-4.6469009999999998E-2</v>
      </c>
      <c r="P6311">
        <v>0.99690460000000003</v>
      </c>
      <c r="Q6311">
        <v>7.2406520000000002E-2</v>
      </c>
      <c r="R6311">
        <v>3.0634080000000001E-2</v>
      </c>
      <c r="S6311">
        <v>3.023895</v>
      </c>
      <c r="T6311">
        <v>-0.46851799999999999</v>
      </c>
      <c r="U6311">
        <v>0.65261840000000004</v>
      </c>
      <c r="V6311">
        <v>-7.724135E-2</v>
      </c>
      <c r="W6311">
        <v>8.2169130000000007E-2</v>
      </c>
      <c r="X6311">
        <v>0.99362059999999996</v>
      </c>
      <c r="Y6311">
        <v>-0.25274029999999997</v>
      </c>
      <c r="Z6311">
        <v>2.6330050000000001E-2</v>
      </c>
      <c r="AA6311">
        <v>0.96717580000000003</v>
      </c>
      <c r="AB6311">
        <v>25</v>
      </c>
      <c r="AC6311">
        <v>7.0498999999999796</v>
      </c>
      <c r="AD6311">
        <v>-1.11157490249518</v>
      </c>
      <c r="AE6311">
        <v>1.5530899999999901</v>
      </c>
      <c r="AF6311">
        <v>-1.8355108849475901</v>
      </c>
      <c r="AG6311">
        <v>-1.11157490249518</v>
      </c>
      <c r="AH6311">
        <v>6.8086761030826102</v>
      </c>
      <c r="AI6311">
        <v>98.957887194792804</v>
      </c>
      <c r="AJ6311">
        <v>105.08736312079699</v>
      </c>
      <c r="AK6311">
        <v>7.1388212787060699</v>
      </c>
      <c r="AL6311">
        <v>85.286741397751797</v>
      </c>
      <c r="AM6311">
        <v>94.445077709987402</v>
      </c>
      <c r="AN6311">
        <v>0.99999994440956796</v>
      </c>
    </row>
    <row r="6312" spans="1:40" x14ac:dyDescent="0.25">
      <c r="A6312" t="str">
        <f>"20190312151149567"</f>
        <v>20190312151149567</v>
      </c>
      <c r="B6312" t="str">
        <f>"1552374709557894"</f>
        <v>1552374709557894</v>
      </c>
      <c r="C6312" t="s">
        <v>40</v>
      </c>
      <c r="D6312">
        <v>4.9734639999999999</v>
      </c>
      <c r="E6312">
        <v>0.43130839999999998</v>
      </c>
      <c r="F6312" t="s">
        <v>93</v>
      </c>
      <c r="G6312">
        <v>-250.56880000000001</v>
      </c>
      <c r="H6312" s="1">
        <v>1.795834E-7</v>
      </c>
      <c r="I6312">
        <v>-62.363520000000001</v>
      </c>
      <c r="J6312">
        <v>-257.67140000000001</v>
      </c>
      <c r="K6312">
        <v>1.1115679999999999</v>
      </c>
      <c r="L6312">
        <v>-63.9373199999999</v>
      </c>
      <c r="M6312">
        <v>0.9989247</v>
      </c>
      <c r="N6312">
        <v>0</v>
      </c>
      <c r="O6312">
        <v>-4.5247849999999999E-2</v>
      </c>
      <c r="P6312">
        <v>0.99684600000000001</v>
      </c>
      <c r="Q6312">
        <v>7.2638209999999995E-2</v>
      </c>
      <c r="R6312">
        <v>3.1970110000000003E-2</v>
      </c>
      <c r="S6312">
        <v>3.0229339999999998</v>
      </c>
      <c r="T6312">
        <v>-0.46457419999999999</v>
      </c>
      <c r="U6312">
        <v>0.65579219999999905</v>
      </c>
      <c r="V6312">
        <v>-7.7358800000000005E-2</v>
      </c>
      <c r="W6312">
        <v>8.2399130000000001E-2</v>
      </c>
      <c r="X6312">
        <v>0.99359249999999999</v>
      </c>
      <c r="Y6312">
        <v>-0.25266270000000002</v>
      </c>
      <c r="Z6312">
        <v>2.5925520000000001E-2</v>
      </c>
      <c r="AA6312">
        <v>0.96720700000000004</v>
      </c>
      <c r="AB6312">
        <v>25</v>
      </c>
      <c r="AC6312">
        <v>7.10259999999999</v>
      </c>
      <c r="AD6312">
        <v>-1.1115678204166</v>
      </c>
      <c r="AE6312">
        <v>1.5737999999999901</v>
      </c>
      <c r="AF6312">
        <v>-1.8503818441845801</v>
      </c>
      <c r="AG6312">
        <v>-1.1115678204166</v>
      </c>
      <c r="AH6312">
        <v>6.8638630737567699</v>
      </c>
      <c r="AI6312">
        <v>98.886964368438896</v>
      </c>
      <c r="AJ6312">
        <v>105.087311985029</v>
      </c>
      <c r="AK6312">
        <v>7.19528403080486</v>
      </c>
      <c r="AL6312">
        <v>85.273518925222604</v>
      </c>
      <c r="AM6312">
        <v>94.451934957791906</v>
      </c>
      <c r="AN6312">
        <v>1.0000000283092201</v>
      </c>
    </row>
    <row r="6313" spans="1:40" x14ac:dyDescent="0.25">
      <c r="A6313" t="str">
        <f>"20190312151149579"</f>
        <v>20190312151149579</v>
      </c>
      <c r="B6313" t="str">
        <f>"1552374709567653"</f>
        <v>1552374709567653</v>
      </c>
      <c r="C6313" t="s">
        <v>40</v>
      </c>
      <c r="D6313">
        <v>5.1364989999999997</v>
      </c>
      <c r="E6313">
        <v>0.43144949999999999</v>
      </c>
      <c r="F6313" t="s">
        <v>93</v>
      </c>
      <c r="G6313">
        <v>-250.42590000000001</v>
      </c>
      <c r="H6313" s="1">
        <v>2.4284529999999998E-7</v>
      </c>
      <c r="I6313">
        <v>-62.354719999999901</v>
      </c>
      <c r="J6313">
        <v>-257.5455</v>
      </c>
      <c r="K6313">
        <v>1.1115649999999999</v>
      </c>
      <c r="L6313">
        <v>-63.941830000000003</v>
      </c>
      <c r="M6313">
        <v>0.99897740000000002</v>
      </c>
      <c r="N6313">
        <v>0</v>
      </c>
      <c r="O6313">
        <v>-4.4068650000000001E-2</v>
      </c>
      <c r="P6313">
        <v>0.99678710000000004</v>
      </c>
      <c r="Q6313">
        <v>7.2753470000000001E-2</v>
      </c>
      <c r="R6313">
        <v>3.3504899999999997E-2</v>
      </c>
      <c r="S6313">
        <v>3.0220790000000002</v>
      </c>
      <c r="T6313">
        <v>-0.46363070000000001</v>
      </c>
      <c r="U6313">
        <v>0.66009519999999899</v>
      </c>
      <c r="V6313">
        <v>-7.7715759999999995E-2</v>
      </c>
      <c r="W6313">
        <v>8.251174E-2</v>
      </c>
      <c r="X6313">
        <v>0.99355519999999997</v>
      </c>
      <c r="Y6313">
        <v>-0.25291649999999999</v>
      </c>
      <c r="Z6313">
        <v>2.5717810000000001E-2</v>
      </c>
      <c r="AA6313">
        <v>0.96714619999999996</v>
      </c>
      <c r="AB6313">
        <v>25</v>
      </c>
      <c r="AC6313">
        <v>7.1195999999999904</v>
      </c>
      <c r="AD6313">
        <v>-1.1115647571546901</v>
      </c>
      <c r="AE6313">
        <v>1.58711</v>
      </c>
      <c r="AF6313">
        <v>-1.85623016699508</v>
      </c>
      <c r="AG6313">
        <v>-1.1115647571546901</v>
      </c>
      <c r="AH6313">
        <v>6.8829039256944498</v>
      </c>
      <c r="AI6313">
        <v>98.862518457229001</v>
      </c>
      <c r="AJ6313">
        <v>105.092862292825</v>
      </c>
      <c r="AK6313">
        <v>7.2149520506065103</v>
      </c>
      <c r="AL6313">
        <v>85.267044340158407</v>
      </c>
      <c r="AM6313">
        <v>94.472561778147906</v>
      </c>
      <c r="AN6313">
        <v>0.99999993101861995</v>
      </c>
    </row>
    <row r="6314" spans="1:40" x14ac:dyDescent="0.25">
      <c r="A6314" t="str">
        <f>"20190312151149590"</f>
        <v>20190312151149590</v>
      </c>
      <c r="B6314" t="str">
        <f>"1552374709587173"</f>
        <v>1552374709587173</v>
      </c>
      <c r="C6314" t="s">
        <v>40</v>
      </c>
      <c r="D6314">
        <v>5.1436599999999997</v>
      </c>
      <c r="E6314">
        <v>0.43174299999999999</v>
      </c>
      <c r="F6314" t="s">
        <v>93</v>
      </c>
      <c r="G6314">
        <v>-250.2071</v>
      </c>
      <c r="H6314" s="1">
        <v>3.4225640000000001E-7</v>
      </c>
      <c r="I6314">
        <v>-62.329790000000003</v>
      </c>
      <c r="J6314">
        <v>-257.42230000000001</v>
      </c>
      <c r="K6314">
        <v>1.1115630000000001</v>
      </c>
      <c r="L6314">
        <v>-63.946010000000001</v>
      </c>
      <c r="M6314">
        <v>0.99902760000000002</v>
      </c>
      <c r="N6314">
        <v>0</v>
      </c>
      <c r="O6314">
        <v>-4.2914840000000003E-2</v>
      </c>
      <c r="P6314">
        <v>0.99674359999999995</v>
      </c>
      <c r="Q6314">
        <v>7.2723189999999993E-2</v>
      </c>
      <c r="R6314">
        <v>3.4836760000000001E-2</v>
      </c>
      <c r="S6314">
        <v>3.0207670000000002</v>
      </c>
      <c r="T6314">
        <v>-0.45755980000000002</v>
      </c>
      <c r="U6314">
        <v>0.663574199999999</v>
      </c>
      <c r="V6314">
        <v>-7.7896010000000002E-2</v>
      </c>
      <c r="W6314">
        <v>8.2478969999999999E-2</v>
      </c>
      <c r="X6314">
        <v>0.99354390000000004</v>
      </c>
      <c r="Y6314">
        <v>-0.2530461</v>
      </c>
      <c r="Z6314">
        <v>2.5229999999999999E-2</v>
      </c>
      <c r="AA6314">
        <v>0.96712520000000002</v>
      </c>
      <c r="AB6314">
        <v>25</v>
      </c>
      <c r="AC6314">
        <v>7.2152000000000003</v>
      </c>
      <c r="AD6314">
        <v>-1.11156265774359</v>
      </c>
      <c r="AE6314">
        <v>1.61621999999999</v>
      </c>
      <c r="AF6314">
        <v>-1.8818558862888199</v>
      </c>
      <c r="AG6314">
        <v>-1.11156265774359</v>
      </c>
      <c r="AH6314">
        <v>6.98140890978922</v>
      </c>
      <c r="AI6314">
        <v>98.739690643933301</v>
      </c>
      <c r="AJ6314">
        <v>105.08567212179101</v>
      </c>
      <c r="AK6314">
        <v>7.3155330280529904</v>
      </c>
      <c r="AL6314">
        <v>85.268928790576297</v>
      </c>
      <c r="AM6314">
        <v>94.482943754676398</v>
      </c>
      <c r="AN6314">
        <v>1.0000000250466901</v>
      </c>
    </row>
    <row r="6315" spans="1:40" x14ac:dyDescent="0.25">
      <c r="A6315" t="str">
        <f>"20190312151149602"</f>
        <v>20190312151149602</v>
      </c>
      <c r="B6315" t="str">
        <f>"1552374709597910"</f>
        <v>1552374709597910</v>
      </c>
      <c r="C6315" t="s">
        <v>40</v>
      </c>
      <c r="D6315">
        <v>5.1857230000000003</v>
      </c>
      <c r="E6315">
        <v>0.43199890000000002</v>
      </c>
      <c r="F6315" t="s">
        <v>93</v>
      </c>
      <c r="G6315">
        <v>-250.03299999999999</v>
      </c>
      <c r="H6315" s="1">
        <v>4.1954060000000002E-7</v>
      </c>
      <c r="I6315">
        <v>-62.318089999999998</v>
      </c>
      <c r="J6315">
        <v>-257.28879999999998</v>
      </c>
      <c r="K6315">
        <v>1.1115699999999999</v>
      </c>
      <c r="L6315">
        <v>-63.950409999999998</v>
      </c>
      <c r="M6315">
        <v>0.99908050000000004</v>
      </c>
      <c r="N6315">
        <v>0</v>
      </c>
      <c r="O6315">
        <v>-4.1665069999999998E-2</v>
      </c>
      <c r="P6315">
        <v>0.99671019999999999</v>
      </c>
      <c r="Q6315">
        <v>7.2512279999999998E-2</v>
      </c>
      <c r="R6315">
        <v>3.6207419999999997E-2</v>
      </c>
      <c r="S6315">
        <v>3.019638</v>
      </c>
      <c r="T6315">
        <v>-0.45424039999999999</v>
      </c>
      <c r="U6315">
        <v>0.66525269999999903</v>
      </c>
      <c r="V6315">
        <v>-7.8019599999999995E-2</v>
      </c>
      <c r="W6315">
        <v>8.2267030000000005E-2</v>
      </c>
      <c r="X6315">
        <v>0.99355170000000004</v>
      </c>
      <c r="Y6315">
        <v>-0.25248959999999998</v>
      </c>
      <c r="Z6315">
        <v>2.4830339999999999E-2</v>
      </c>
      <c r="AA6315">
        <v>0.96728099999999995</v>
      </c>
      <c r="AB6315">
        <v>25</v>
      </c>
      <c r="AC6315">
        <v>7.25579999999999</v>
      </c>
      <c r="AD6315">
        <v>-1.1115695804593999</v>
      </c>
      <c r="AE6315">
        <v>1.63231999999999</v>
      </c>
      <c r="AF6315">
        <v>-1.8909887332384301</v>
      </c>
      <c r="AG6315">
        <v>-1.1115695804593999</v>
      </c>
      <c r="AH6315">
        <v>7.0245637226566098</v>
      </c>
      <c r="AI6315">
        <v>98.687638394307299</v>
      </c>
      <c r="AJ6315">
        <v>105.066663184418</v>
      </c>
      <c r="AK6315">
        <v>7.3590706488727697</v>
      </c>
      <c r="AL6315">
        <v>85.281113118213895</v>
      </c>
      <c r="AM6315">
        <v>94.489992237359004</v>
      </c>
      <c r="AN6315">
        <v>0.99999995139103404</v>
      </c>
    </row>
    <row r="6316" spans="1:40" x14ac:dyDescent="0.25">
      <c r="A6316" t="str">
        <f>"20190312151149613"</f>
        <v>20190312151149613</v>
      </c>
      <c r="B6316" t="str">
        <f>"1552374709607669"</f>
        <v>1552374709607669</v>
      </c>
      <c r="C6316" t="s">
        <v>40</v>
      </c>
      <c r="D6316">
        <v>5.1839879999999896</v>
      </c>
      <c r="E6316">
        <v>0.4322686</v>
      </c>
      <c r="F6316" t="s">
        <v>94</v>
      </c>
      <c r="G6316">
        <v>-249.89019999999999</v>
      </c>
      <c r="H6316" s="1">
        <v>-3.5822600000000002E-6</v>
      </c>
      <c r="I6316">
        <v>-62.314610000000002</v>
      </c>
      <c r="J6316">
        <v>-257.1651</v>
      </c>
      <c r="K6316">
        <v>1.1115679999999999</v>
      </c>
      <c r="L6316">
        <v>-63.954349999999998</v>
      </c>
      <c r="M6316">
        <v>0.99912800000000002</v>
      </c>
      <c r="N6316">
        <v>0</v>
      </c>
      <c r="O6316">
        <v>-4.050815E-2</v>
      </c>
      <c r="P6316">
        <v>0.99664770000000003</v>
      </c>
      <c r="Q6316">
        <v>7.2611480000000006E-2</v>
      </c>
      <c r="R6316">
        <v>3.7694650000000003E-2</v>
      </c>
      <c r="S6316">
        <v>3.0186459999999999</v>
      </c>
      <c r="T6316">
        <v>-0.4535267</v>
      </c>
      <c r="U6316">
        <v>0.66738889999999995</v>
      </c>
      <c r="V6316">
        <v>-7.835251E-2</v>
      </c>
      <c r="W6316">
        <v>8.2363489999999998E-2</v>
      </c>
      <c r="X6316">
        <v>0.9935176</v>
      </c>
      <c r="Y6316">
        <v>-0.25211470000000002</v>
      </c>
      <c r="Z6316">
        <v>2.4599019999999999E-2</v>
      </c>
      <c r="AA6316">
        <v>0.96738460000000004</v>
      </c>
      <c r="AB6316">
        <v>25</v>
      </c>
      <c r="AC6316">
        <v>7.2748999999999997</v>
      </c>
      <c r="AD6316">
        <v>-1.1115715822600001</v>
      </c>
      <c r="AE6316">
        <v>1.63974</v>
      </c>
      <c r="AF6316">
        <v>-1.89108620117556</v>
      </c>
      <c r="AG6316">
        <v>-1.1115715822600001</v>
      </c>
      <c r="AH6316">
        <v>7.0459569838729896</v>
      </c>
      <c r="AI6316">
        <v>98.663394996388902</v>
      </c>
      <c r="AJ6316">
        <v>105.023727364118</v>
      </c>
      <c r="AK6316">
        <v>7.3795195115504102</v>
      </c>
      <c r="AL6316">
        <v>85.275567971152796</v>
      </c>
      <c r="AM6316">
        <v>94.509226338888297</v>
      </c>
      <c r="AN6316">
        <v>1.00000004090901</v>
      </c>
    </row>
    <row r="6317" spans="1:40" x14ac:dyDescent="0.25">
      <c r="A6317" t="str">
        <f>"20190312151149625"</f>
        <v>20190312151149625</v>
      </c>
      <c r="B6317" t="str">
        <f>"1552374709617430"</f>
        <v>1552374709617430</v>
      </c>
      <c r="C6317" t="s">
        <v>40</v>
      </c>
      <c r="D6317">
        <v>5.1756779999999996</v>
      </c>
      <c r="E6317">
        <v>0.43248829999999999</v>
      </c>
      <c r="F6317" t="s">
        <v>94</v>
      </c>
      <c r="G6317">
        <v>-249.74860000000001</v>
      </c>
      <c r="H6317" s="1">
        <v>-3.5329690000000001E-6</v>
      </c>
      <c r="I6317">
        <v>-62.308430000000001</v>
      </c>
      <c r="J6317">
        <v>-257.04050000000001</v>
      </c>
      <c r="K6317">
        <v>1.1115679999999999</v>
      </c>
      <c r="L6317">
        <v>-63.958159999999999</v>
      </c>
      <c r="M6317">
        <v>0.99917480000000003</v>
      </c>
      <c r="N6317">
        <v>0</v>
      </c>
      <c r="O6317">
        <v>-3.9341830000000001E-2</v>
      </c>
      <c r="P6317">
        <v>0.99657899999999999</v>
      </c>
      <c r="Q6317">
        <v>7.2746630000000007E-2</v>
      </c>
      <c r="R6317">
        <v>3.9223340000000002E-2</v>
      </c>
      <c r="S6317">
        <v>3.0177149999999999</v>
      </c>
      <c r="T6317">
        <v>-0.45228580000000002</v>
      </c>
      <c r="U6317">
        <v>0.66967769999999904</v>
      </c>
      <c r="V6317">
        <v>-7.871736E-2</v>
      </c>
      <c r="W6317">
        <v>8.2496070000000005E-2</v>
      </c>
      <c r="X6317">
        <v>0.99347770000000002</v>
      </c>
      <c r="Y6317">
        <v>-0.25178030000000001</v>
      </c>
      <c r="Z6317">
        <v>2.4341120000000001E-2</v>
      </c>
      <c r="AA6317">
        <v>0.96747830000000001</v>
      </c>
      <c r="AB6317">
        <v>25</v>
      </c>
      <c r="AC6317">
        <v>7.2918999999999903</v>
      </c>
      <c r="AD6317">
        <v>-1.1115715329689999</v>
      </c>
      <c r="AE6317">
        <v>1.6497299999999899</v>
      </c>
      <c r="AF6317">
        <v>-1.89348618600624</v>
      </c>
      <c r="AG6317">
        <v>-1.1115715329689999</v>
      </c>
      <c r="AH6317">
        <v>7.0651634559879302</v>
      </c>
      <c r="AI6317">
        <v>98.641029549789906</v>
      </c>
      <c r="AJ6317">
        <v>105.00288535034601</v>
      </c>
      <c r="AK6317">
        <v>7.3984738878589598</v>
      </c>
      <c r="AL6317">
        <v>85.267945479997707</v>
      </c>
      <c r="AM6317">
        <v>94.530317623753405</v>
      </c>
      <c r="AN6317">
        <v>0.99999998236405196</v>
      </c>
    </row>
    <row r="6318" spans="1:40" x14ac:dyDescent="0.25">
      <c r="A6318" t="str">
        <f>"20190312151149635"</f>
        <v>20190312151149635</v>
      </c>
      <c r="B6318" t="str">
        <f>"1552374709627809"</f>
        <v>1552374709627809</v>
      </c>
      <c r="C6318" t="s">
        <v>40</v>
      </c>
      <c r="D6318">
        <v>5.1801979999999999</v>
      </c>
      <c r="E6318">
        <v>0.43271219999999999</v>
      </c>
      <c r="F6318" t="s">
        <v>94</v>
      </c>
      <c r="G6318">
        <v>-249.60980000000001</v>
      </c>
      <c r="H6318" s="1">
        <v>-3.4844949999999999E-6</v>
      </c>
      <c r="I6318">
        <v>-62.301430000000003</v>
      </c>
      <c r="J6318">
        <v>-256.91219999999998</v>
      </c>
      <c r="K6318">
        <v>1.1115729999999999</v>
      </c>
      <c r="L6318">
        <v>-63.961979999999997</v>
      </c>
      <c r="M6318">
        <v>0.99922129999999998</v>
      </c>
      <c r="N6318">
        <v>0</v>
      </c>
      <c r="O6318">
        <v>-3.8140449999999999E-2</v>
      </c>
      <c r="P6318">
        <v>0.99653040000000004</v>
      </c>
      <c r="Q6318">
        <v>7.2708320000000007E-2</v>
      </c>
      <c r="R6318">
        <v>4.0506750000000001E-2</v>
      </c>
      <c r="S6318">
        <v>3.0167389999999998</v>
      </c>
      <c r="T6318">
        <v>-0.4512776</v>
      </c>
      <c r="U6318">
        <v>0.67257690000000003</v>
      </c>
      <c r="V6318">
        <v>-7.8801960000000004E-2</v>
      </c>
      <c r="W6318">
        <v>8.2456630000000003E-2</v>
      </c>
      <c r="X6318">
        <v>0.99347430000000003</v>
      </c>
      <c r="Y6318">
        <v>-0.25159730000000002</v>
      </c>
      <c r="Z6318">
        <v>2.410228E-2</v>
      </c>
      <c r="AA6318">
        <v>0.9675319</v>
      </c>
      <c r="AB6318">
        <v>25</v>
      </c>
      <c r="AC6318">
        <v>7.3023999999999702</v>
      </c>
      <c r="AD6318">
        <v>-1.111576484495</v>
      </c>
      <c r="AE6318">
        <v>1.66055</v>
      </c>
      <c r="AF6318">
        <v>-1.8960980775798999</v>
      </c>
      <c r="AG6318">
        <v>-1.111576484495</v>
      </c>
      <c r="AH6318">
        <v>7.07781130058199</v>
      </c>
      <c r="AI6318">
        <v>98.626091999124995</v>
      </c>
      <c r="AJ6318">
        <v>104.997010956284</v>
      </c>
      <c r="AK6318">
        <v>7.4112214247943404</v>
      </c>
      <c r="AL6318">
        <v>85.270213104311793</v>
      </c>
      <c r="AM6318">
        <v>94.535181653088003</v>
      </c>
      <c r="AN6318">
        <v>1.00000001474564</v>
      </c>
    </row>
    <row r="6319" spans="1:40" x14ac:dyDescent="0.25">
      <c r="A6319" t="str">
        <f>"20190312151149646"</f>
        <v>20190312151149646</v>
      </c>
      <c r="B6319" t="str">
        <f>"1552374709637549"</f>
        <v>1552374709637549</v>
      </c>
      <c r="C6319" t="s">
        <v>40</v>
      </c>
      <c r="D6319">
        <v>5.1648100000000001</v>
      </c>
      <c r="E6319">
        <v>0.43293490000000001</v>
      </c>
      <c r="F6319" t="s">
        <v>94</v>
      </c>
      <c r="G6319">
        <v>-249.4811</v>
      </c>
      <c r="H6319" s="1">
        <v>-3.4404009999999999E-6</v>
      </c>
      <c r="I6319">
        <v>-62.299639999999997</v>
      </c>
      <c r="J6319">
        <v>-256.79559999999998</v>
      </c>
      <c r="K6319">
        <v>1.1115710000000001</v>
      </c>
      <c r="L6319">
        <v>-63.965240000000001</v>
      </c>
      <c r="M6319">
        <v>0.99926230000000005</v>
      </c>
      <c r="N6319">
        <v>0</v>
      </c>
      <c r="O6319">
        <v>-3.705054E-2</v>
      </c>
      <c r="P6319">
        <v>0.99647989999999997</v>
      </c>
      <c r="Q6319">
        <v>7.2626590000000005E-2</v>
      </c>
      <c r="R6319">
        <v>4.1873540000000001E-2</v>
      </c>
      <c r="S6319">
        <v>3.0159760000000002</v>
      </c>
      <c r="T6319">
        <v>-0.45114490000000002</v>
      </c>
      <c r="U6319">
        <v>0.67465209999999998</v>
      </c>
      <c r="V6319">
        <v>-7.9081520000000002E-2</v>
      </c>
      <c r="W6319">
        <v>8.2373470000000004E-2</v>
      </c>
      <c r="X6319">
        <v>0.99345899999999998</v>
      </c>
      <c r="Y6319">
        <v>-0.251245</v>
      </c>
      <c r="Z6319">
        <v>2.3913090000000001E-2</v>
      </c>
      <c r="AA6319">
        <v>0.96762809999999999</v>
      </c>
      <c r="AB6319">
        <v>25</v>
      </c>
      <c r="AC6319">
        <v>7.3144999999999802</v>
      </c>
      <c r="AD6319">
        <v>-1.111574440401</v>
      </c>
      <c r="AE6319">
        <v>1.66559999999999</v>
      </c>
      <c r="AF6319">
        <v>-1.8938939823140499</v>
      </c>
      <c r="AG6319">
        <v>-1.111574440401</v>
      </c>
      <c r="AH6319">
        <v>7.0920498558682796</v>
      </c>
      <c r="AI6319">
        <v>98.610814214187599</v>
      </c>
      <c r="AJ6319">
        <v>104.95163440659</v>
      </c>
      <c r="AK6319">
        <v>7.4242577616162801</v>
      </c>
      <c r="AL6319">
        <v>85.274994158070001</v>
      </c>
      <c r="AM6319">
        <v>94.551273111477997</v>
      </c>
      <c r="AN6319">
        <v>1.00000003002317</v>
      </c>
    </row>
    <row r="6320" spans="1:40" x14ac:dyDescent="0.25">
      <c r="A6320" t="str">
        <f>"20190312151149658"</f>
        <v>20190312151149658</v>
      </c>
      <c r="B6320" t="str">
        <f>"1552374709647310"</f>
        <v>1552374709647310</v>
      </c>
      <c r="C6320" t="s">
        <v>40</v>
      </c>
      <c r="D6320">
        <v>5.1794269999999996</v>
      </c>
      <c r="E6320">
        <v>0.43311270000000002</v>
      </c>
      <c r="F6320" t="s">
        <v>94</v>
      </c>
      <c r="G6320">
        <v>-249.3579</v>
      </c>
      <c r="H6320" s="1">
        <v>-3.3977099999999902E-6</v>
      </c>
      <c r="I6320">
        <v>-62.295450000000002</v>
      </c>
      <c r="J6320">
        <v>-256.66609999999997</v>
      </c>
      <c r="K6320">
        <v>1.1115699999999999</v>
      </c>
      <c r="L6320">
        <v>-63.968809999999998</v>
      </c>
      <c r="M6320">
        <v>0.99930660000000004</v>
      </c>
      <c r="N6320">
        <v>0</v>
      </c>
      <c r="O6320">
        <v>-3.5839509999999998E-2</v>
      </c>
      <c r="P6320">
        <v>0.9964229</v>
      </c>
      <c r="Q6320">
        <v>7.2569529999999993E-2</v>
      </c>
      <c r="R6320">
        <v>4.3307279999999997E-2</v>
      </c>
      <c r="S6320">
        <v>3.014999</v>
      </c>
      <c r="T6320">
        <v>-0.4505924</v>
      </c>
      <c r="U6320">
        <v>0.67684940000000005</v>
      </c>
      <c r="V6320">
        <v>-7.9307379999999997E-2</v>
      </c>
      <c r="W6320">
        <v>8.2315009999999994E-2</v>
      </c>
      <c r="X6320">
        <v>0.99344580000000005</v>
      </c>
      <c r="Y6320">
        <v>-0.25083460000000002</v>
      </c>
      <c r="Z6320">
        <v>2.3681540000000001E-2</v>
      </c>
      <c r="AA6320">
        <v>0.96774020000000005</v>
      </c>
      <c r="AB6320">
        <v>25</v>
      </c>
      <c r="AC6320">
        <v>7.3081999999999701</v>
      </c>
      <c r="AD6320">
        <v>-1.11157339771</v>
      </c>
      <c r="AE6320">
        <v>1.67335999999999</v>
      </c>
      <c r="AF6320">
        <v>-1.89261735834519</v>
      </c>
      <c r="AG6320">
        <v>-1.11157339771</v>
      </c>
      <c r="AH6320">
        <v>7.0877279327409699</v>
      </c>
      <c r="AI6320">
        <v>98.616014695964495</v>
      </c>
      <c r="AJ6320">
        <v>104.950710224575</v>
      </c>
      <c r="AK6320">
        <v>7.4198034429601103</v>
      </c>
      <c r="AL6320">
        <v>85.2783548911883</v>
      </c>
      <c r="AM6320">
        <v>94.564277275560599</v>
      </c>
      <c r="AN6320">
        <v>0.99999998946570201</v>
      </c>
    </row>
    <row r="6321" spans="1:40" x14ac:dyDescent="0.25">
      <c r="A6321" t="str">
        <f>"20190312151149668"</f>
        <v>20190312151149668</v>
      </c>
      <c r="B6321" t="str">
        <f>"1552374709658045"</f>
        <v>1552374709658045</v>
      </c>
      <c r="C6321" t="s">
        <v>40</v>
      </c>
      <c r="D6321">
        <v>5.2767109999999997</v>
      </c>
      <c r="E6321">
        <v>0.43311270000000002</v>
      </c>
      <c r="F6321" t="s">
        <v>94</v>
      </c>
      <c r="G6321">
        <v>-249.21459999999999</v>
      </c>
      <c r="H6321" s="1">
        <v>-3.3477309999999999E-6</v>
      </c>
      <c r="I6321">
        <v>-62.288510000000002</v>
      </c>
      <c r="J6321">
        <v>-256.54399999999998</v>
      </c>
      <c r="K6321">
        <v>1.111569</v>
      </c>
      <c r="L6321">
        <v>-63.971919999999997</v>
      </c>
      <c r="M6321">
        <v>0.99934659999999997</v>
      </c>
      <c r="N6321">
        <v>0</v>
      </c>
      <c r="O6321">
        <v>-3.4702520000000001E-2</v>
      </c>
      <c r="P6321">
        <v>0.99637149999999997</v>
      </c>
      <c r="Q6321">
        <v>7.2396870000000002E-2</v>
      </c>
      <c r="R6321">
        <v>4.4750230000000002E-2</v>
      </c>
      <c r="S6321">
        <v>3.0139770000000001</v>
      </c>
      <c r="T6321">
        <v>-0.44961089999999998</v>
      </c>
      <c r="U6321">
        <v>0.67962650000000002</v>
      </c>
      <c r="V6321">
        <v>-7.961551E-2</v>
      </c>
      <c r="W6321">
        <v>8.214109E-2</v>
      </c>
      <c r="X6321">
        <v>0.99343559999999997</v>
      </c>
      <c r="Y6321">
        <v>-0.25067869999999998</v>
      </c>
      <c r="Z6321">
        <v>2.3457639999999998E-2</v>
      </c>
      <c r="AA6321">
        <v>0.96778609999999998</v>
      </c>
      <c r="AB6321">
        <v>25</v>
      </c>
      <c r="AC6321">
        <v>7.3294000000000397</v>
      </c>
      <c r="AD6321">
        <v>-1.111572347731</v>
      </c>
      <c r="AE6321">
        <v>1.6834100000000001</v>
      </c>
      <c r="AF6321">
        <v>-1.8953479668812501</v>
      </c>
      <c r="AG6321">
        <v>-1.111572347731</v>
      </c>
      <c r="AH6321">
        <v>7.1111977153453898</v>
      </c>
      <c r="AI6321">
        <v>98.5890429972129</v>
      </c>
      <c r="AJ6321">
        <v>104.92410967691799</v>
      </c>
      <c r="AK6321">
        <v>7.4429207940522</v>
      </c>
      <c r="AL6321">
        <v>85.288353870953202</v>
      </c>
      <c r="AM6321">
        <v>94.581982171946706</v>
      </c>
      <c r="AN6321">
        <v>1.0000000397231501</v>
      </c>
    </row>
    <row r="6322" spans="1:40" x14ac:dyDescent="0.25">
      <c r="A6322" t="str">
        <f>"20190312151149679"</f>
        <v>20190312151149679</v>
      </c>
      <c r="B6322" t="str">
        <f>"1552374709667805"</f>
        <v>1552374709667805</v>
      </c>
      <c r="C6322" t="s">
        <v>40</v>
      </c>
      <c r="D6322">
        <v>5.1766500000000004</v>
      </c>
      <c r="E6322">
        <v>0.43329240000000002</v>
      </c>
      <c r="F6322" t="s">
        <v>94</v>
      </c>
      <c r="G6322">
        <v>-249.10290000000001</v>
      </c>
      <c r="H6322" s="1">
        <v>-3.3085920000000002E-6</v>
      </c>
      <c r="I6322">
        <v>-62.28219</v>
      </c>
      <c r="J6322">
        <v>-256.42790000000002</v>
      </c>
      <c r="K6322">
        <v>1.1115649999999999</v>
      </c>
      <c r="L6322">
        <v>-63.974879999999999</v>
      </c>
      <c r="M6322">
        <v>0.99938360000000004</v>
      </c>
      <c r="N6322">
        <v>0</v>
      </c>
      <c r="O6322">
        <v>-3.3621440000000002E-2</v>
      </c>
      <c r="P6322">
        <v>0.99632010000000004</v>
      </c>
      <c r="Q6322">
        <v>7.2243479999999999E-2</v>
      </c>
      <c r="R6322">
        <v>4.6124829999999999E-2</v>
      </c>
      <c r="S6322">
        <v>3.0128940000000002</v>
      </c>
      <c r="T6322">
        <v>-0.45007229999999998</v>
      </c>
      <c r="U6322">
        <v>0.6841431</v>
      </c>
      <c r="V6322">
        <v>-7.9911159999999995E-2</v>
      </c>
      <c r="W6322">
        <v>8.1986630000000005E-2</v>
      </c>
      <c r="X6322">
        <v>0.99342459999999999</v>
      </c>
      <c r="Y6322">
        <v>-0.25108730000000001</v>
      </c>
      <c r="Z6322">
        <v>2.3356979999999999E-2</v>
      </c>
      <c r="AA6322">
        <v>0.96768259999999995</v>
      </c>
      <c r="AB6322">
        <v>25</v>
      </c>
      <c r="AC6322">
        <v>7.3250000000000099</v>
      </c>
      <c r="AD6322">
        <v>-1.1115683085919901</v>
      </c>
      <c r="AE6322">
        <v>1.69269</v>
      </c>
      <c r="AF6322">
        <v>-1.8965623755587699</v>
      </c>
      <c r="AG6322">
        <v>-1.1115683085919901</v>
      </c>
      <c r="AH6322">
        <v>7.1085470059757698</v>
      </c>
      <c r="AI6322">
        <v>98.591597824405795</v>
      </c>
      <c r="AJ6322">
        <v>104.938564503666</v>
      </c>
      <c r="AK6322">
        <v>7.4406971101650399</v>
      </c>
      <c r="AL6322">
        <v>85.297233627496396</v>
      </c>
      <c r="AM6322">
        <v>94.598975087245094</v>
      </c>
      <c r="AN6322">
        <v>1.0000000184382301</v>
      </c>
    </row>
    <row r="6323" spans="1:40" x14ac:dyDescent="0.25">
      <c r="A6323" t="str">
        <f>"20190312151149690"</f>
        <v>20190312151149690</v>
      </c>
      <c r="B6323" t="str">
        <f>"1552374709677565"</f>
        <v>1552374709677565</v>
      </c>
      <c r="C6323" t="s">
        <v>40</v>
      </c>
      <c r="D6323">
        <v>5.1491629999999997</v>
      </c>
      <c r="E6323">
        <v>0.43352760000000001</v>
      </c>
      <c r="F6323" t="s">
        <v>94</v>
      </c>
      <c r="G6323">
        <v>-248.97800000000001</v>
      </c>
      <c r="H6323" s="1">
        <v>-3.2650690000000001E-6</v>
      </c>
      <c r="I6323">
        <v>-62.276470000000003</v>
      </c>
      <c r="J6323">
        <v>-256.30419999999998</v>
      </c>
      <c r="K6323">
        <v>1.1115619999999999</v>
      </c>
      <c r="L6323">
        <v>-63.977780000000003</v>
      </c>
      <c r="M6323">
        <v>0.99942149999999996</v>
      </c>
      <c r="N6323">
        <v>0</v>
      </c>
      <c r="O6323">
        <v>-3.2472420000000002E-2</v>
      </c>
      <c r="P6323">
        <v>0.9962607</v>
      </c>
      <c r="Q6323">
        <v>7.230441E-2</v>
      </c>
      <c r="R6323">
        <v>4.7294040000000002E-2</v>
      </c>
      <c r="S6323">
        <v>3.0118870000000002</v>
      </c>
      <c r="T6323">
        <v>-0.4493876</v>
      </c>
      <c r="U6323">
        <v>0.68661499999999998</v>
      </c>
      <c r="V6323">
        <v>-7.9934439999999995E-2</v>
      </c>
      <c r="W6323">
        <v>8.2047469999999997E-2</v>
      </c>
      <c r="X6323">
        <v>0.99341769999999996</v>
      </c>
      <c r="Y6323">
        <v>-0.25082320000000002</v>
      </c>
      <c r="Z6323">
        <v>2.313931E-2</v>
      </c>
      <c r="AA6323">
        <v>0.96775630000000001</v>
      </c>
      <c r="AB6323">
        <v>25</v>
      </c>
      <c r="AC6323">
        <v>7.3262</v>
      </c>
      <c r="AD6323">
        <v>-1.111565265069</v>
      </c>
      <c r="AE6323">
        <v>1.7013100000000001</v>
      </c>
      <c r="AF6323">
        <v>-1.8968915019939301</v>
      </c>
      <c r="AG6323">
        <v>-1.111565265069</v>
      </c>
      <c r="AH6323">
        <v>7.1117493680432897</v>
      </c>
      <c r="AI6323">
        <v>98.587919238758801</v>
      </c>
      <c r="AJ6323">
        <v>104.93461385005899</v>
      </c>
      <c r="AK6323">
        <v>7.4438399890586604</v>
      </c>
      <c r="AL6323">
        <v>85.293735949192097</v>
      </c>
      <c r="AM6323">
        <v>94.600340942356993</v>
      </c>
      <c r="AN6323">
        <v>1.0000000143523999</v>
      </c>
    </row>
    <row r="6324" spans="1:40" x14ac:dyDescent="0.25">
      <c r="A6324" t="str">
        <f>"20190312151149701"</f>
        <v>20190312151149701</v>
      </c>
      <c r="B6324" t="str">
        <f>"1552374709698062"</f>
        <v>1552374709698062</v>
      </c>
      <c r="C6324" t="s">
        <v>40</v>
      </c>
      <c r="D6324">
        <v>5.2077220000000004</v>
      </c>
      <c r="E6324">
        <v>0.43393540000000003</v>
      </c>
      <c r="F6324" t="s">
        <v>94</v>
      </c>
      <c r="G6324">
        <v>-248.8314</v>
      </c>
      <c r="H6324" s="1">
        <v>-3.2139139999999998E-6</v>
      </c>
      <c r="I6324">
        <v>-62.269260000000003</v>
      </c>
      <c r="J6324">
        <v>-256.16980000000001</v>
      </c>
      <c r="K6324">
        <v>1.111559</v>
      </c>
      <c r="L6324">
        <v>-63.980829999999997</v>
      </c>
      <c r="M6324">
        <v>0.9994613</v>
      </c>
      <c r="N6324">
        <v>0</v>
      </c>
      <c r="O6324">
        <v>-3.1227930000000001E-2</v>
      </c>
      <c r="P6324">
        <v>0.99620839999999999</v>
      </c>
      <c r="Q6324">
        <v>7.2103899999999999E-2</v>
      </c>
      <c r="R6324">
        <v>4.8683070000000002E-2</v>
      </c>
      <c r="S6324">
        <v>3.0110929999999998</v>
      </c>
      <c r="T6324">
        <v>-0.44789810000000002</v>
      </c>
      <c r="U6324">
        <v>0.68841549999999996</v>
      </c>
      <c r="V6324">
        <v>-8.0081659999999999E-2</v>
      </c>
      <c r="W6324">
        <v>8.1846920000000004E-2</v>
      </c>
      <c r="X6324">
        <v>0.99342240000000004</v>
      </c>
      <c r="Y6324">
        <v>-0.25026169999999998</v>
      </c>
      <c r="Z6324">
        <v>2.2844739999999999E-2</v>
      </c>
      <c r="AA6324">
        <v>0.96790869999999996</v>
      </c>
      <c r="AB6324">
        <v>25</v>
      </c>
      <c r="AC6324">
        <v>7.3384</v>
      </c>
      <c r="AD6324">
        <v>-1.111562213914</v>
      </c>
      <c r="AE6324">
        <v>1.71157</v>
      </c>
      <c r="AF6324">
        <v>-1.8985963209785099</v>
      </c>
      <c r="AG6324">
        <v>-1.111562213914</v>
      </c>
      <c r="AH6324">
        <v>7.12630040357182</v>
      </c>
      <c r="AI6324">
        <v>98.571263043936</v>
      </c>
      <c r="AJ6324">
        <v>104.918277005696</v>
      </c>
      <c r="AK6324">
        <v>7.4581764518803402</v>
      </c>
      <c r="AL6324">
        <v>85.305265457740006</v>
      </c>
      <c r="AM6324">
        <v>94.608755485504105</v>
      </c>
      <c r="AN6324">
        <v>1.0000000277018</v>
      </c>
    </row>
    <row r="6325" spans="1:40" x14ac:dyDescent="0.25">
      <c r="A6325" t="str">
        <f>"20190312151149713"</f>
        <v>20190312151149713</v>
      </c>
      <c r="B6325" t="str">
        <f>"1552374709707822"</f>
        <v>1552374709707822</v>
      </c>
      <c r="C6325" t="s">
        <v>40</v>
      </c>
      <c r="D6325">
        <v>5.2040280000000001</v>
      </c>
      <c r="E6325">
        <v>0.43417210000000001</v>
      </c>
      <c r="F6325" t="s">
        <v>94</v>
      </c>
      <c r="G6325">
        <v>-248.6824</v>
      </c>
      <c r="H6325" s="1">
        <v>-3.1626009999999998E-6</v>
      </c>
      <c r="I6325">
        <v>-62.265790000000003</v>
      </c>
      <c r="J6325">
        <v>-256.04399999999998</v>
      </c>
      <c r="K6325">
        <v>1.111553</v>
      </c>
      <c r="L6325">
        <v>-63.983550000000001</v>
      </c>
      <c r="M6325">
        <v>0.99949679999999996</v>
      </c>
      <c r="N6325">
        <v>0</v>
      </c>
      <c r="O6325">
        <v>-3.0066760000000001E-2</v>
      </c>
      <c r="P6325">
        <v>0.99613269999999998</v>
      </c>
      <c r="Q6325">
        <v>7.2137419999999994E-2</v>
      </c>
      <c r="R6325">
        <v>5.0156810000000003E-2</v>
      </c>
      <c r="S6325">
        <v>3.01004</v>
      </c>
      <c r="T6325">
        <v>-0.4468664</v>
      </c>
      <c r="U6325">
        <v>0.68945310000000004</v>
      </c>
      <c r="V6325">
        <v>-8.039694E-2</v>
      </c>
      <c r="W6325">
        <v>8.1879709999999994E-2</v>
      </c>
      <c r="X6325">
        <v>0.9933942</v>
      </c>
      <c r="Y6325">
        <v>-0.2495598</v>
      </c>
      <c r="Z6325">
        <v>2.2578819999999999E-2</v>
      </c>
      <c r="AA6325">
        <v>0.96809610000000001</v>
      </c>
      <c r="AB6325">
        <v>25</v>
      </c>
      <c r="AC6325">
        <v>7.3616000000000303</v>
      </c>
      <c r="AD6325">
        <v>-1.111556162601</v>
      </c>
      <c r="AE6325">
        <v>1.71775999999999</v>
      </c>
      <c r="AF6325">
        <v>-1.89731066511113</v>
      </c>
      <c r="AG6325">
        <v>-1.111556162601</v>
      </c>
      <c r="AH6325">
        <v>7.1519820703030899</v>
      </c>
      <c r="AI6325">
        <v>98.543268730634594</v>
      </c>
      <c r="AJ6325">
        <v>104.857462104861</v>
      </c>
      <c r="AK6325">
        <v>7.4823921573583396</v>
      </c>
      <c r="AL6325">
        <v>85.303380251631793</v>
      </c>
      <c r="AM6325">
        <v>94.626952218067103</v>
      </c>
      <c r="AN6325">
        <v>0.99999999573234299</v>
      </c>
    </row>
    <row r="6326" spans="1:40" x14ac:dyDescent="0.25">
      <c r="A6326" t="str">
        <f>"20190312151149725"</f>
        <v>20190312151149725</v>
      </c>
      <c r="B6326" t="str">
        <f>"1552374709717581"</f>
        <v>1552374709717581</v>
      </c>
      <c r="C6326" t="s">
        <v>40</v>
      </c>
      <c r="D6326">
        <v>5.1972360000000002</v>
      </c>
      <c r="E6326">
        <v>0.43441049999999998</v>
      </c>
      <c r="F6326" t="s">
        <v>94</v>
      </c>
      <c r="G6326">
        <v>-248.5359</v>
      </c>
      <c r="H6326" s="1">
        <v>-3.1111839999999999E-6</v>
      </c>
      <c r="I6326">
        <v>-62.256970000000003</v>
      </c>
      <c r="J6326">
        <v>-255.91890000000001</v>
      </c>
      <c r="K6326">
        <v>1.111548</v>
      </c>
      <c r="L6326">
        <v>-63.986080000000001</v>
      </c>
      <c r="M6326">
        <v>0.99953069999999999</v>
      </c>
      <c r="N6326">
        <v>0</v>
      </c>
      <c r="O6326">
        <v>-2.8918360000000001E-2</v>
      </c>
      <c r="P6326">
        <v>0.99608839999999998</v>
      </c>
      <c r="Q6326">
        <v>7.1916540000000001E-2</v>
      </c>
      <c r="R6326">
        <v>5.1344929999999997E-2</v>
      </c>
      <c r="S6326">
        <v>3.009064</v>
      </c>
      <c r="T6326">
        <v>-0.44548959999999999</v>
      </c>
      <c r="U6326">
        <v>0.6919556</v>
      </c>
      <c r="V6326">
        <v>-8.04396E-2</v>
      </c>
      <c r="W6326">
        <v>8.1660150000000001E-2</v>
      </c>
      <c r="X6326">
        <v>0.99340879999999998</v>
      </c>
      <c r="Y6326">
        <v>-0.2493126</v>
      </c>
      <c r="Z6326">
        <v>2.2329849999999998E-2</v>
      </c>
      <c r="AA6326">
        <v>0.96816559999999896</v>
      </c>
      <c r="AB6326">
        <v>25</v>
      </c>
      <c r="AC6326">
        <v>7.3830000000000098</v>
      </c>
      <c r="AD6326">
        <v>-1.111551111184</v>
      </c>
      <c r="AE6326">
        <v>1.7291099999999999</v>
      </c>
      <c r="AF6326">
        <v>-1.90105153848779</v>
      </c>
      <c r="AG6326">
        <v>-1.111551111184</v>
      </c>
      <c r="AH6326">
        <v>7.1757124238718299</v>
      </c>
      <c r="AI6326">
        <v>98.516132443907495</v>
      </c>
      <c r="AJ6326">
        <v>104.838405192293</v>
      </c>
      <c r="AK6326">
        <v>7.5060236886696403</v>
      </c>
      <c r="AL6326">
        <v>85.316002291978094</v>
      </c>
      <c r="AM6326">
        <v>94.629328948031997</v>
      </c>
      <c r="AN6326">
        <v>0.99999997663181095</v>
      </c>
    </row>
    <row r="6327" spans="1:40" x14ac:dyDescent="0.25">
      <c r="A6327" t="str">
        <f>"20190312151149736"</f>
        <v>20190312151149736</v>
      </c>
      <c r="B6327" t="str">
        <f>"1552374709727866"</f>
        <v>1552374709727866</v>
      </c>
      <c r="C6327" t="s">
        <v>40</v>
      </c>
      <c r="D6327">
        <v>5.1783760000000001</v>
      </c>
      <c r="E6327">
        <v>0.4346505</v>
      </c>
      <c r="F6327" t="s">
        <v>94</v>
      </c>
      <c r="G6327">
        <v>-248.4111</v>
      </c>
      <c r="H6327" s="1">
        <v>-3.0684250000000002E-6</v>
      </c>
      <c r="I6327">
        <v>-62.255389999999998</v>
      </c>
      <c r="J6327">
        <v>-255.7842</v>
      </c>
      <c r="K6327">
        <v>1.1115429999999999</v>
      </c>
      <c r="L6327">
        <v>-63.98874</v>
      </c>
      <c r="M6327">
        <v>0.9995657</v>
      </c>
      <c r="N6327">
        <v>0</v>
      </c>
      <c r="O6327">
        <v>-2.7686160000000001E-2</v>
      </c>
      <c r="P6327">
        <v>0.99599910000000003</v>
      </c>
      <c r="Q6327">
        <v>7.2152149999999998E-2</v>
      </c>
      <c r="R6327">
        <v>5.272574E-2</v>
      </c>
      <c r="S6327">
        <v>3.0081790000000002</v>
      </c>
      <c r="T6327">
        <v>-0.44537120000000002</v>
      </c>
      <c r="U6327">
        <v>0.69342040000000005</v>
      </c>
      <c r="V6327">
        <v>-8.0591029999999994E-2</v>
      </c>
      <c r="W6327">
        <v>8.1896339999999998E-2</v>
      </c>
      <c r="X6327">
        <v>0.99337710000000001</v>
      </c>
      <c r="Y6327">
        <v>-0.2486497</v>
      </c>
      <c r="Z6327">
        <v>2.2101570000000001E-2</v>
      </c>
      <c r="AA6327">
        <v>0.96834129999999996</v>
      </c>
      <c r="AB6327">
        <v>25</v>
      </c>
      <c r="AC6327">
        <v>7.3730999999999902</v>
      </c>
      <c r="AD6327">
        <v>-1.111546068425</v>
      </c>
      <c r="AE6327">
        <v>1.73334999999999</v>
      </c>
      <c r="AF6327">
        <v>-1.8959940429352899</v>
      </c>
      <c r="AG6327">
        <v>-1.111546068425</v>
      </c>
      <c r="AH6327">
        <v>7.1679035421871298</v>
      </c>
      <c r="AI6327">
        <v>98.526102235127993</v>
      </c>
      <c r="AJ6327">
        <v>104.816079867889</v>
      </c>
      <c r="AK6327">
        <v>7.4972774567289502</v>
      </c>
      <c r="AL6327">
        <v>85.302424202482996</v>
      </c>
      <c r="AM6327">
        <v>94.638153175268698</v>
      </c>
      <c r="AN6327">
        <v>0.99999999371313297</v>
      </c>
    </row>
    <row r="6328" spans="1:40" x14ac:dyDescent="0.25">
      <c r="A6328" t="str">
        <f>"20190312151149747"</f>
        <v>20190312151149747</v>
      </c>
      <c r="B6328" t="str">
        <f>"1552374709737611"</f>
        <v>1552374709737611</v>
      </c>
      <c r="C6328" t="s">
        <v>40</v>
      </c>
      <c r="D6328">
        <v>5.1696730000000004</v>
      </c>
      <c r="E6328">
        <v>0.43490010000000001</v>
      </c>
      <c r="F6328" t="s">
        <v>94</v>
      </c>
      <c r="G6328">
        <v>-248.2484</v>
      </c>
      <c r="H6328" s="1">
        <v>-3.0112979999999998E-6</v>
      </c>
      <c r="I6328">
        <v>-62.245460000000001</v>
      </c>
      <c r="J6328">
        <v>-255.66480000000001</v>
      </c>
      <c r="K6328">
        <v>1.1115330000000001</v>
      </c>
      <c r="L6328">
        <v>-63.990879999999997</v>
      </c>
      <c r="M6328">
        <v>0.99959489999999995</v>
      </c>
      <c r="N6328">
        <v>0</v>
      </c>
      <c r="O6328">
        <v>-2.6605009999999998E-2</v>
      </c>
      <c r="P6328">
        <v>0.99592290000000006</v>
      </c>
      <c r="Q6328">
        <v>7.2195570000000001E-2</v>
      </c>
      <c r="R6328">
        <v>5.4088219999999999E-2</v>
      </c>
      <c r="S6328">
        <v>3.007339</v>
      </c>
      <c r="T6328">
        <v>-0.44359209999999899</v>
      </c>
      <c r="U6328">
        <v>0.69567869999999998</v>
      </c>
      <c r="V6328">
        <v>-8.0874929999999998E-2</v>
      </c>
      <c r="W6328">
        <v>8.1940059999999995E-2</v>
      </c>
      <c r="X6328">
        <v>0.99335039999999997</v>
      </c>
      <c r="Y6328">
        <v>-0.2483881</v>
      </c>
      <c r="Z6328">
        <v>2.1842589999999999E-2</v>
      </c>
      <c r="AA6328">
        <v>0.96841429999999995</v>
      </c>
      <c r="AB6328">
        <v>25</v>
      </c>
      <c r="AC6328">
        <v>7.4164000000000003</v>
      </c>
      <c r="AD6328">
        <v>-1.1115360112979999</v>
      </c>
      <c r="AE6328">
        <v>1.74542000000001</v>
      </c>
      <c r="AF6328">
        <v>-1.90165125560477</v>
      </c>
      <c r="AG6328">
        <v>-1.1115360112979999</v>
      </c>
      <c r="AH6328">
        <v>7.2137983250534603</v>
      </c>
      <c r="AI6328">
        <v>98.474425049911503</v>
      </c>
      <c r="AJ6328">
        <v>104.767948645294</v>
      </c>
      <c r="AK6328">
        <v>7.5425908066724396</v>
      </c>
      <c r="AL6328">
        <v>85.2999106834</v>
      </c>
      <c r="AM6328">
        <v>94.6545450047782</v>
      </c>
      <c r="AN6328">
        <v>0.99999997245773298</v>
      </c>
    </row>
    <row r="6329" spans="1:40" x14ac:dyDescent="0.25">
      <c r="A6329" t="str">
        <f>"20190312151149759"</f>
        <v>20190312151149759</v>
      </c>
      <c r="B6329" t="str">
        <f>"1552374709747370"</f>
        <v>1552374709747370</v>
      </c>
      <c r="C6329" t="s">
        <v>40</v>
      </c>
      <c r="D6329">
        <v>5.2342559999999896</v>
      </c>
      <c r="E6329">
        <v>0.43518299999999999</v>
      </c>
      <c r="F6329" t="s">
        <v>94</v>
      </c>
      <c r="G6329">
        <v>-248.1165</v>
      </c>
      <c r="H6329" s="1">
        <v>-2.9627910000000002E-6</v>
      </c>
      <c r="I6329">
        <v>-62.239130000000003</v>
      </c>
      <c r="J6329">
        <v>-255.53530000000001</v>
      </c>
      <c r="K6329">
        <v>1.111524</v>
      </c>
      <c r="L6329">
        <v>-63.993130000000001</v>
      </c>
      <c r="M6329">
        <v>0.9996254</v>
      </c>
      <c r="N6329">
        <v>0</v>
      </c>
      <c r="O6329">
        <v>-2.543577E-2</v>
      </c>
      <c r="P6329">
        <v>0.99584349999999999</v>
      </c>
      <c r="Q6329">
        <v>7.2347019999999998E-2</v>
      </c>
      <c r="R6329">
        <v>5.5335780000000001E-2</v>
      </c>
      <c r="S6329">
        <v>3.0064700000000002</v>
      </c>
      <c r="T6329">
        <v>-0.4427239</v>
      </c>
      <c r="U6329">
        <v>0.69769289999999995</v>
      </c>
      <c r="V6329">
        <v>-8.0955860000000004E-2</v>
      </c>
      <c r="W6329">
        <v>8.2092609999999996E-2</v>
      </c>
      <c r="X6329">
        <v>0.99333130000000003</v>
      </c>
      <c r="Y6329">
        <v>-0.2479595</v>
      </c>
      <c r="Z6329">
        <v>2.160453E-2</v>
      </c>
      <c r="AA6329">
        <v>0.96852950000000004</v>
      </c>
      <c r="AB6329">
        <v>25</v>
      </c>
      <c r="AC6329">
        <v>7.4188000000000001</v>
      </c>
      <c r="AD6329">
        <v>-1.1115269627910001</v>
      </c>
      <c r="AE6329">
        <v>1.754</v>
      </c>
      <c r="AF6329">
        <v>-1.9017156448649399</v>
      </c>
      <c r="AG6329">
        <v>-1.1115269627910001</v>
      </c>
      <c r="AH6329">
        <v>7.2183255968056104</v>
      </c>
      <c r="AI6329">
        <v>98.469440832139199</v>
      </c>
      <c r="AJ6329">
        <v>104.759568686015</v>
      </c>
      <c r="AK6329">
        <v>7.5469357360742499</v>
      </c>
      <c r="AL6329">
        <v>85.291141077509494</v>
      </c>
      <c r="AM6329">
        <v>94.6592714167369</v>
      </c>
      <c r="AN6329">
        <v>1.00000005972231</v>
      </c>
    </row>
    <row r="6330" spans="1:40" x14ac:dyDescent="0.25">
      <c r="A6330" t="str">
        <f>"20190312151149769"</f>
        <v>20190312151149769</v>
      </c>
      <c r="B6330" t="str">
        <f>"1552374709767866"</f>
        <v>1552374709767866</v>
      </c>
      <c r="C6330" t="s">
        <v>40</v>
      </c>
      <c r="D6330">
        <v>5.1952290000000003</v>
      </c>
      <c r="E6330">
        <v>0.43556410000000001</v>
      </c>
      <c r="F6330" t="s">
        <v>94</v>
      </c>
      <c r="G6330">
        <v>-247.95060000000001</v>
      </c>
      <c r="H6330" s="1">
        <v>-2.8888779999999998E-6</v>
      </c>
      <c r="I6330">
        <v>-62.228839999999998</v>
      </c>
      <c r="J6330">
        <v>-255.4059</v>
      </c>
      <c r="K6330">
        <v>1.111515</v>
      </c>
      <c r="L6330">
        <v>-63.995150000000002</v>
      </c>
      <c r="M6330">
        <v>0.99965409999999999</v>
      </c>
      <c r="N6330">
        <v>0</v>
      </c>
      <c r="O6330">
        <v>-2.4281210000000001E-2</v>
      </c>
      <c r="P6330">
        <v>0.99578469999999997</v>
      </c>
      <c r="Q6330">
        <v>7.2283979999999998E-2</v>
      </c>
      <c r="R6330">
        <v>5.6461499999999998E-2</v>
      </c>
      <c r="S6330">
        <v>3.0056759999999998</v>
      </c>
      <c r="T6330">
        <v>-0.44047449999999999</v>
      </c>
      <c r="U6330">
        <v>0.69912719999999995</v>
      </c>
      <c r="V6330">
        <v>-8.0929260000000003E-2</v>
      </c>
      <c r="W6330">
        <v>8.2032259999999996E-2</v>
      </c>
      <c r="X6330">
        <v>0.99333839999999995</v>
      </c>
      <c r="Y6330">
        <v>-0.2473812</v>
      </c>
      <c r="Z6330">
        <v>2.12923E-2</v>
      </c>
      <c r="AA6330">
        <v>0.96868430000000005</v>
      </c>
      <c r="AB6330">
        <v>25</v>
      </c>
      <c r="AC6330">
        <v>7.4552999999999896</v>
      </c>
      <c r="AD6330">
        <v>-1.111517888878</v>
      </c>
      <c r="AE6330">
        <v>1.7663099999999901</v>
      </c>
      <c r="AF6330">
        <v>-1.9066924690311999</v>
      </c>
      <c r="AG6330">
        <v>-1.111517888878</v>
      </c>
      <c r="AH6330">
        <v>7.2574653951009402</v>
      </c>
      <c r="AI6330">
        <v>98.425856220123194</v>
      </c>
      <c r="AJ6330">
        <v>104.72017817718699</v>
      </c>
      <c r="AK6330">
        <v>7.5856279997007396</v>
      </c>
      <c r="AL6330">
        <v>85.294610330265499</v>
      </c>
      <c r="AM6330">
        <v>94.657714092406906</v>
      </c>
      <c r="AN6330">
        <v>1.0000000068596999</v>
      </c>
    </row>
    <row r="6331" spans="1:40" x14ac:dyDescent="0.25">
      <c r="A6331" t="str">
        <f>"20190312151149780"</f>
        <v>20190312151149780</v>
      </c>
      <c r="B6331" t="str">
        <f>"1552374709777626"</f>
        <v>1552374709777626</v>
      </c>
      <c r="C6331" t="s">
        <v>40</v>
      </c>
      <c r="D6331">
        <v>5.1860999999999997</v>
      </c>
      <c r="E6331">
        <v>0.43579760000000001</v>
      </c>
      <c r="F6331" t="s">
        <v>94</v>
      </c>
      <c r="G6331">
        <v>-247.7953</v>
      </c>
      <c r="H6331" s="1">
        <v>-2.820787E-6</v>
      </c>
      <c r="I6331">
        <v>-62.223329999999997</v>
      </c>
      <c r="J6331">
        <v>-255.28809999999999</v>
      </c>
      <c r="K6331">
        <v>1.1115060000000001</v>
      </c>
      <c r="L6331">
        <v>-63.996920000000003</v>
      </c>
      <c r="M6331">
        <v>0.99967899999999998</v>
      </c>
      <c r="N6331">
        <v>0</v>
      </c>
      <c r="O6331">
        <v>-2.3234649999999999E-2</v>
      </c>
      <c r="P6331">
        <v>0.99571889999999996</v>
      </c>
      <c r="Q6331">
        <v>7.2216669999999997E-2</v>
      </c>
      <c r="R6331">
        <v>5.7696480000000001E-2</v>
      </c>
      <c r="S6331">
        <v>3.0049290000000002</v>
      </c>
      <c r="T6331">
        <v>-0.43886760000000002</v>
      </c>
      <c r="U6331">
        <v>0.69955440000000002</v>
      </c>
      <c r="V6331">
        <v>-8.1119659999999996E-2</v>
      </c>
      <c r="W6331">
        <v>8.1966189999999994E-2</v>
      </c>
      <c r="X6331">
        <v>0.99332830000000005</v>
      </c>
      <c r="Y6331">
        <v>-0.2465888</v>
      </c>
      <c r="Z6331">
        <v>2.1013110000000002E-2</v>
      </c>
      <c r="AA6331">
        <v>0.96889230000000004</v>
      </c>
      <c r="AB6331">
        <v>25</v>
      </c>
      <c r="AC6331">
        <v>7.4927999999999804</v>
      </c>
      <c r="AD6331">
        <v>-1.1115088207870001</v>
      </c>
      <c r="AE6331">
        <v>1.77358999999999</v>
      </c>
      <c r="AF6331">
        <v>-1.90746438444566</v>
      </c>
      <c r="AG6331">
        <v>-1.1115088207870001</v>
      </c>
      <c r="AH6331">
        <v>7.2974990142907004</v>
      </c>
      <c r="AI6331">
        <v>98.382929134450805</v>
      </c>
      <c r="AJ6331">
        <v>104.64857693194</v>
      </c>
      <c r="AK6331">
        <v>7.62413038321026</v>
      </c>
      <c r="AL6331">
        <v>85.298408543866003</v>
      </c>
      <c r="AM6331">
        <v>94.668671042721897</v>
      </c>
      <c r="AN6331">
        <v>0.99999998356126096</v>
      </c>
    </row>
    <row r="6332" spans="1:40" x14ac:dyDescent="0.25">
      <c r="A6332" t="str">
        <f>"20190312151149792"</f>
        <v>20190312151149792</v>
      </c>
      <c r="B6332" t="str">
        <f>"1552374709787386"</f>
        <v>1552374709787386</v>
      </c>
      <c r="C6332" t="s">
        <v>40</v>
      </c>
      <c r="D6332">
        <v>5.2003510000000004</v>
      </c>
      <c r="E6332">
        <v>0.4359886</v>
      </c>
      <c r="F6332" t="s">
        <v>94</v>
      </c>
      <c r="G6332">
        <v>-247.6696</v>
      </c>
      <c r="H6332" s="1">
        <v>-2.765392E-6</v>
      </c>
      <c r="I6332">
        <v>-62.217779999999998</v>
      </c>
      <c r="J6332">
        <v>-255.1592</v>
      </c>
      <c r="K6332">
        <v>1.1114949999999999</v>
      </c>
      <c r="L6332">
        <v>-63.998719999999999</v>
      </c>
      <c r="M6332">
        <v>0.9997047</v>
      </c>
      <c r="N6332">
        <v>0</v>
      </c>
      <c r="O6332">
        <v>-2.2101920000000001E-2</v>
      </c>
      <c r="P6332">
        <v>0.99566690000000002</v>
      </c>
      <c r="Q6332">
        <v>7.2218229999999994E-2</v>
      </c>
      <c r="R6332">
        <v>5.8585600000000002E-2</v>
      </c>
      <c r="S6332">
        <v>3.0040279999999999</v>
      </c>
      <c r="T6332">
        <v>-0.43827840000000001</v>
      </c>
      <c r="U6332">
        <v>0.70150760000000001</v>
      </c>
      <c r="V6332">
        <v>-8.0878999999999895E-2</v>
      </c>
      <c r="W6332">
        <v>8.1970950000000001E-2</v>
      </c>
      <c r="X6332">
        <v>0.99334750000000005</v>
      </c>
      <c r="Y6332">
        <v>-0.246175</v>
      </c>
      <c r="Z6332">
        <v>2.0797679999999999E-2</v>
      </c>
      <c r="AA6332">
        <v>0.96900220000000004</v>
      </c>
      <c r="AB6332">
        <v>25</v>
      </c>
      <c r="AC6332">
        <v>7.4895999999999896</v>
      </c>
      <c r="AD6332">
        <v>-1.111497765392</v>
      </c>
      <c r="AE6332">
        <v>1.78093999999999</v>
      </c>
      <c r="AF6332">
        <v>-1.9063098854362901</v>
      </c>
      <c r="AG6332">
        <v>-1.111497765392</v>
      </c>
      <c r="AH6332">
        <v>7.2963107179045004</v>
      </c>
      <c r="AI6332">
        <v>98.384426634602306</v>
      </c>
      <c r="AJ6332">
        <v>104.642373706973</v>
      </c>
      <c r="AK6332">
        <v>7.6227025885831097</v>
      </c>
      <c r="AL6332">
        <v>85.298134748821994</v>
      </c>
      <c r="AM6332">
        <v>94.654791743240494</v>
      </c>
      <c r="AN6332">
        <v>0.99999995252057505</v>
      </c>
    </row>
    <row r="6333" spans="1:40" x14ac:dyDescent="0.25">
      <c r="A6333" t="str">
        <f>"20190312151149803"</f>
        <v>20190312151149803</v>
      </c>
      <c r="B6333" t="str">
        <f>"1552374709797146"</f>
        <v>1552374709797146</v>
      </c>
      <c r="C6333" t="s">
        <v>40</v>
      </c>
      <c r="D6333">
        <v>5.1916609999999999</v>
      </c>
      <c r="E6333">
        <v>0.43619400000000003</v>
      </c>
      <c r="F6333" t="s">
        <v>94</v>
      </c>
      <c r="G6333">
        <v>-247.529</v>
      </c>
      <c r="H6333" s="1">
        <v>-2.7038560000000001E-6</v>
      </c>
      <c r="I6333">
        <v>-62.213200000000001</v>
      </c>
      <c r="J6333">
        <v>-255.02600000000001</v>
      </c>
      <c r="K6333">
        <v>1.11148</v>
      </c>
      <c r="L6333">
        <v>-64.000429999999994</v>
      </c>
      <c r="M6333">
        <v>0.9997296</v>
      </c>
      <c r="N6333">
        <v>0</v>
      </c>
      <c r="O6333">
        <v>-2.0939739999999998E-2</v>
      </c>
      <c r="P6333">
        <v>0.99559969999999998</v>
      </c>
      <c r="Q6333">
        <v>7.2369749999999997E-2</v>
      </c>
      <c r="R6333">
        <v>5.9530180000000002E-2</v>
      </c>
      <c r="S6333">
        <v>3.003403</v>
      </c>
      <c r="T6333">
        <v>-0.43750670000000003</v>
      </c>
      <c r="U6333">
        <v>0.70278929999999995</v>
      </c>
      <c r="V6333">
        <v>-8.0664330000000006E-2</v>
      </c>
      <c r="W6333">
        <v>8.2126350000000001E-2</v>
      </c>
      <c r="X6333">
        <v>0.99335220000000002</v>
      </c>
      <c r="Y6333">
        <v>-0.24551290000000001</v>
      </c>
      <c r="Z6333">
        <v>2.0550909999999999E-2</v>
      </c>
      <c r="AA6333">
        <v>0.96917549999999997</v>
      </c>
      <c r="AB6333">
        <v>25</v>
      </c>
      <c r="AC6333">
        <v>7.4969999999999501</v>
      </c>
      <c r="AD6333">
        <v>-1.111482703856</v>
      </c>
      <c r="AE6333">
        <v>1.7872300000000001</v>
      </c>
      <c r="AF6333">
        <v>-1.9042269407007999</v>
      </c>
      <c r="AG6333">
        <v>-1.111482703856</v>
      </c>
      <c r="AH6333">
        <v>7.3059791020562299</v>
      </c>
      <c r="AI6333">
        <v>98.374649017703206</v>
      </c>
      <c r="AJ6333">
        <v>104.608532902006</v>
      </c>
      <c r="AK6333">
        <v>7.6314352963478704</v>
      </c>
      <c r="AL6333">
        <v>85.289201239104898</v>
      </c>
      <c r="AM6333">
        <v>94.642469146142602</v>
      </c>
      <c r="AN6333">
        <v>1.0000000323717499</v>
      </c>
    </row>
    <row r="6334" spans="1:40" x14ac:dyDescent="0.25">
      <c r="A6334" t="str">
        <f>"20190312151149815"</f>
        <v>20190312151149815</v>
      </c>
      <c r="B6334" t="str">
        <f>"1552374709807882"</f>
        <v>1552374709807882</v>
      </c>
      <c r="C6334" t="s">
        <v>40</v>
      </c>
      <c r="D6334">
        <v>5.2177889999999998</v>
      </c>
      <c r="E6334">
        <v>0.4363572</v>
      </c>
      <c r="F6334" t="s">
        <v>94</v>
      </c>
      <c r="G6334">
        <v>-247.3741</v>
      </c>
      <c r="H6334" s="1">
        <v>-2.635408E-6</v>
      </c>
      <c r="I6334">
        <v>-62.20561</v>
      </c>
      <c r="J6334">
        <v>-254.88720000000001</v>
      </c>
      <c r="K6334">
        <v>1.111467</v>
      </c>
      <c r="L6334">
        <v>-64.002110000000002</v>
      </c>
      <c r="M6334">
        <v>0.99975409999999998</v>
      </c>
      <c r="N6334">
        <v>0</v>
      </c>
      <c r="O6334">
        <v>-1.973871E-2</v>
      </c>
      <c r="P6334">
        <v>0.99552209999999997</v>
      </c>
      <c r="Q6334">
        <v>7.2581930000000003E-2</v>
      </c>
      <c r="R6334">
        <v>6.05611E-2</v>
      </c>
      <c r="S6334">
        <v>3.0028229999999998</v>
      </c>
      <c r="T6334">
        <v>-0.4361796</v>
      </c>
      <c r="U6334">
        <v>0.70431519999999903</v>
      </c>
      <c r="V6334">
        <v>-8.0497589999999994E-2</v>
      </c>
      <c r="W6334">
        <v>8.2341629999999999E-2</v>
      </c>
      <c r="X6334">
        <v>0.99334789999999995</v>
      </c>
      <c r="Y6334">
        <v>-0.24489130000000001</v>
      </c>
      <c r="Z6334">
        <v>2.0276099999999998E-2</v>
      </c>
      <c r="AA6334">
        <v>0.96933849999999999</v>
      </c>
      <c r="AB6334">
        <v>25</v>
      </c>
      <c r="AC6334">
        <v>7.5130999999999997</v>
      </c>
      <c r="AD6334">
        <v>-1.111469635408</v>
      </c>
      <c r="AE6334">
        <v>1.7965</v>
      </c>
      <c r="AF6334">
        <v>-1.9050189885673099</v>
      </c>
      <c r="AG6334">
        <v>-1.111469635408</v>
      </c>
      <c r="AH6334">
        <v>7.3245420195181001</v>
      </c>
      <c r="AI6334">
        <v>98.354737218476998</v>
      </c>
      <c r="AJ6334">
        <v>104.578891269726</v>
      </c>
      <c r="AK6334">
        <v>7.6494037606157503</v>
      </c>
      <c r="AL6334">
        <v>85.276824665692899</v>
      </c>
      <c r="AM6334">
        <v>94.632934554454494</v>
      </c>
      <c r="AN6334">
        <v>1.0000000282306301</v>
      </c>
    </row>
    <row r="6335" spans="1:40" x14ac:dyDescent="0.25">
      <c r="A6335" t="str">
        <f>"20190312151149827"</f>
        <v>20190312151149827</v>
      </c>
      <c r="B6335" t="str">
        <f>"1552374709817642"</f>
        <v>1552374709817642</v>
      </c>
      <c r="C6335" t="s">
        <v>40</v>
      </c>
      <c r="D6335">
        <v>5.1765349999999897</v>
      </c>
      <c r="E6335">
        <v>0.4365368</v>
      </c>
      <c r="F6335" t="s">
        <v>94</v>
      </c>
      <c r="G6335">
        <v>-247.2216</v>
      </c>
      <c r="H6335" s="1">
        <v>-2.568139E-6</v>
      </c>
      <c r="I6335">
        <v>-62.198810000000002</v>
      </c>
      <c r="J6335">
        <v>-254.76230000000001</v>
      </c>
      <c r="K6335">
        <v>1.1114550000000001</v>
      </c>
      <c r="L6335">
        <v>-64.003419999999906</v>
      </c>
      <c r="M6335">
        <v>0.99977459999999996</v>
      </c>
      <c r="N6335">
        <v>0</v>
      </c>
      <c r="O6335">
        <v>-1.8672620000000001E-2</v>
      </c>
      <c r="P6335">
        <v>0.99545170000000005</v>
      </c>
      <c r="Q6335">
        <v>7.288501E-2</v>
      </c>
      <c r="R6335">
        <v>6.1351410000000002E-2</v>
      </c>
      <c r="S6335">
        <v>3.0022579999999999</v>
      </c>
      <c r="T6335">
        <v>-0.43530750000000001</v>
      </c>
      <c r="U6335">
        <v>0.70623780000000003</v>
      </c>
      <c r="V6335">
        <v>-8.0225080000000004E-2</v>
      </c>
      <c r="W6335">
        <v>8.2648620000000006E-2</v>
      </c>
      <c r="X6335">
        <v>0.99334440000000002</v>
      </c>
      <c r="Y6335">
        <v>-0.24451139999999999</v>
      </c>
      <c r="Z6335">
        <v>2.0059270000000001E-2</v>
      </c>
      <c r="AA6335">
        <v>0.96943889999999999</v>
      </c>
      <c r="AB6335">
        <v>25</v>
      </c>
      <c r="AC6335">
        <v>7.54070000000001</v>
      </c>
      <c r="AD6335">
        <v>-1.11145756813899</v>
      </c>
      <c r="AE6335">
        <v>1.8046099999999901</v>
      </c>
      <c r="AF6335">
        <v>-1.9059432768242599</v>
      </c>
      <c r="AG6335">
        <v>-1.11145756813899</v>
      </c>
      <c r="AH6335">
        <v>7.3545629550135603</v>
      </c>
      <c r="AI6335">
        <v>98.3228910324613</v>
      </c>
      <c r="AJ6335">
        <v>104.528649600989</v>
      </c>
      <c r="AK6335">
        <v>7.6783822488531301</v>
      </c>
      <c r="AL6335">
        <v>85.259175034875398</v>
      </c>
      <c r="AM6335">
        <v>94.617334723618697</v>
      </c>
      <c r="AN6335">
        <v>0.99999997743013502</v>
      </c>
    </row>
    <row r="6336" spans="1:40" x14ac:dyDescent="0.25">
      <c r="A6336" t="str">
        <f>"20190312151149838"</f>
        <v>20190312151149838</v>
      </c>
      <c r="B6336" t="str">
        <f>"1552374709827921"</f>
        <v>1552374709827921</v>
      </c>
      <c r="C6336" t="s">
        <v>40</v>
      </c>
      <c r="D6336">
        <v>5.1834870000000004</v>
      </c>
      <c r="E6336">
        <v>0.43677090000000002</v>
      </c>
      <c r="F6336" t="s">
        <v>94</v>
      </c>
      <c r="G6336">
        <v>-247.0583</v>
      </c>
      <c r="H6336" s="1">
        <v>-2.4952939999999999E-6</v>
      </c>
      <c r="I6336">
        <v>-62.188270000000003</v>
      </c>
      <c r="J6336">
        <v>-254.6328</v>
      </c>
      <c r="K6336">
        <v>1.1114459999999999</v>
      </c>
      <c r="L6336">
        <v>-64.004729999999995</v>
      </c>
      <c r="M6336">
        <v>0.99979439999999997</v>
      </c>
      <c r="N6336">
        <v>0</v>
      </c>
      <c r="O6336">
        <v>-1.7572319999999999E-2</v>
      </c>
      <c r="P6336">
        <v>0.99540079999999997</v>
      </c>
      <c r="Q6336">
        <v>7.2986389999999998E-2</v>
      </c>
      <c r="R6336">
        <v>6.205194E-2</v>
      </c>
      <c r="S6336">
        <v>3.001846</v>
      </c>
      <c r="T6336">
        <v>-0.43307780000000001</v>
      </c>
      <c r="U6336">
        <v>0.70724489999999995</v>
      </c>
      <c r="V6336">
        <v>-7.9828389999999999E-2</v>
      </c>
      <c r="W6336">
        <v>8.2754110000000006E-2</v>
      </c>
      <c r="X6336">
        <v>0.99336760000000002</v>
      </c>
      <c r="Y6336">
        <v>-0.2438266</v>
      </c>
      <c r="Z6336">
        <v>1.975497E-2</v>
      </c>
      <c r="AA6336">
        <v>0.96961759999999997</v>
      </c>
      <c r="AB6336">
        <v>25</v>
      </c>
      <c r="AC6336">
        <v>7.5744999999999996</v>
      </c>
      <c r="AD6336">
        <v>-1.111448495294</v>
      </c>
      <c r="AE6336">
        <v>1.81646000000001</v>
      </c>
      <c r="AF6336">
        <v>-1.91039152199199</v>
      </c>
      <c r="AG6336">
        <v>-1.111448495294</v>
      </c>
      <c r="AH6336">
        <v>7.3909270787907699</v>
      </c>
      <c r="AI6336">
        <v>98.2837781698599</v>
      </c>
      <c r="AJ6336">
        <v>104.492499689254</v>
      </c>
      <c r="AK6336">
        <v>7.7143189335801301</v>
      </c>
      <c r="AL6336">
        <v>85.253110242088397</v>
      </c>
      <c r="AM6336">
        <v>94.594494476199102</v>
      </c>
      <c r="AN6336">
        <v>1.0000000016508199</v>
      </c>
    </row>
    <row r="6337" spans="1:40" x14ac:dyDescent="0.25">
      <c r="A6337" t="str">
        <f>"20190312151149847"</f>
        <v>20190312151149847</v>
      </c>
      <c r="B6337" t="str">
        <f>"1552374709837669"</f>
        <v>1552374709837669</v>
      </c>
      <c r="C6337" t="s">
        <v>40</v>
      </c>
      <c r="D6337">
        <v>5.171894</v>
      </c>
      <c r="E6337">
        <v>0.43694450000000001</v>
      </c>
      <c r="F6337" t="s">
        <v>94</v>
      </c>
      <c r="G6337">
        <v>-246.89940000000001</v>
      </c>
      <c r="H6337" s="1">
        <v>-2.425311E-6</v>
      </c>
      <c r="I6337">
        <v>-62.181420000000003</v>
      </c>
      <c r="J6337">
        <v>-254.52510000000001</v>
      </c>
      <c r="K6337">
        <v>1.111435</v>
      </c>
      <c r="L6337">
        <v>-64.005579999999995</v>
      </c>
      <c r="M6337">
        <v>0.99980990000000003</v>
      </c>
      <c r="N6337">
        <v>0</v>
      </c>
      <c r="O6337">
        <v>-1.667335E-2</v>
      </c>
      <c r="P6337">
        <v>0.99535070000000003</v>
      </c>
      <c r="Q6337">
        <v>7.3127510000000007E-2</v>
      </c>
      <c r="R6337">
        <v>6.2684000000000004E-2</v>
      </c>
      <c r="S6337">
        <v>3.0013890000000001</v>
      </c>
      <c r="T6337">
        <v>-0.43135859999999898</v>
      </c>
      <c r="U6337">
        <v>0.70761109999999905</v>
      </c>
      <c r="V6337">
        <v>-7.9563590000000003E-2</v>
      </c>
      <c r="W6337">
        <v>8.2898570000000005E-2</v>
      </c>
      <c r="X6337">
        <v>0.99337679999999995</v>
      </c>
      <c r="Y6337">
        <v>-0.2431354</v>
      </c>
      <c r="Z6337">
        <v>1.9504239999999999E-2</v>
      </c>
      <c r="AA6337">
        <v>0.9697962</v>
      </c>
      <c r="AB6337">
        <v>25</v>
      </c>
      <c r="AC6337">
        <v>7.6256999999999904</v>
      </c>
      <c r="AD6337">
        <v>-1.111437425311</v>
      </c>
      <c r="AE6337">
        <v>1.82416000000001</v>
      </c>
      <c r="AF6337">
        <v>-1.9126284637592801</v>
      </c>
      <c r="AG6337">
        <v>-1.111437425311</v>
      </c>
      <c r="AH6337">
        <v>7.4446385023312702</v>
      </c>
      <c r="AI6337">
        <v>98.227819548609304</v>
      </c>
      <c r="AJ6337">
        <v>104.408448667123</v>
      </c>
      <c r="AK6337">
        <v>7.7663429760188496</v>
      </c>
      <c r="AL6337">
        <v>85.244804759051306</v>
      </c>
      <c r="AM6337">
        <v>94.579276703606197</v>
      </c>
      <c r="AN6337">
        <v>1.00000000226998</v>
      </c>
    </row>
    <row r="6338" spans="1:40" x14ac:dyDescent="0.25">
      <c r="A6338" t="str">
        <f>"20190312151149858"</f>
        <v>20190312151149858</v>
      </c>
      <c r="B6338" t="str">
        <f>"1552374709847429"</f>
        <v>1552374709847429</v>
      </c>
      <c r="C6338" t="s">
        <v>40</v>
      </c>
      <c r="D6338">
        <v>5.2060129999999996</v>
      </c>
      <c r="E6338">
        <v>0.4371216</v>
      </c>
      <c r="F6338" t="s">
        <v>94</v>
      </c>
      <c r="G6338">
        <v>-246.7636</v>
      </c>
      <c r="H6338" s="1">
        <v>-2.3651279999999999E-6</v>
      </c>
      <c r="I6338">
        <v>-62.174149999999997</v>
      </c>
      <c r="J6338">
        <v>-254.40819999999999</v>
      </c>
      <c r="K6338">
        <v>1.111424</v>
      </c>
      <c r="L6338">
        <v>-64.006619999999998</v>
      </c>
      <c r="M6338">
        <v>0.99982579999999999</v>
      </c>
      <c r="N6338">
        <v>0</v>
      </c>
      <c r="O6338">
        <v>-1.5697849999999999E-2</v>
      </c>
      <c r="P6338">
        <v>0.99530649999999998</v>
      </c>
      <c r="Q6338">
        <v>7.3291609999999993E-2</v>
      </c>
      <c r="R6338">
        <v>6.319553E-2</v>
      </c>
      <c r="S6338">
        <v>3.0009920000000001</v>
      </c>
      <c r="T6338">
        <v>-0.42973709999999998</v>
      </c>
      <c r="U6338">
        <v>0.70809940000000005</v>
      </c>
      <c r="V6338">
        <v>-7.9103010000000001E-2</v>
      </c>
      <c r="W6338">
        <v>8.3067260000000004E-2</v>
      </c>
      <c r="X6338">
        <v>0.99339949999999999</v>
      </c>
      <c r="Y6338">
        <v>-0.2424027</v>
      </c>
      <c r="Z6338">
        <v>1.924501E-2</v>
      </c>
      <c r="AA6338">
        <v>0.96998479999999998</v>
      </c>
      <c r="AB6338">
        <v>25</v>
      </c>
      <c r="AC6338">
        <v>7.6445999999999898</v>
      </c>
      <c r="AD6338">
        <v>-1.1114263651280001</v>
      </c>
      <c r="AE6338">
        <v>1.83247</v>
      </c>
      <c r="AF6338">
        <v>-1.91399549926928</v>
      </c>
      <c r="AG6338">
        <v>-1.1114263651280001</v>
      </c>
      <c r="AH6338">
        <v>7.4656606089154796</v>
      </c>
      <c r="AI6338">
        <v>98.205939656852394</v>
      </c>
      <c r="AJ6338">
        <v>104.379403808761</v>
      </c>
      <c r="AK6338">
        <v>7.7868309127549997</v>
      </c>
      <c r="AL6338">
        <v>85.235106125819399</v>
      </c>
      <c r="AM6338">
        <v>94.552776226079203</v>
      </c>
      <c r="AN6338">
        <v>1.0000000112376</v>
      </c>
    </row>
    <row r="6339" spans="1:40" x14ac:dyDescent="0.25">
      <c r="A6339" t="str">
        <f>"20190312151149868"</f>
        <v>20190312151149868</v>
      </c>
      <c r="B6339" t="str">
        <f>"1552374709857190"</f>
        <v>1552374709857190</v>
      </c>
      <c r="C6339" t="s">
        <v>40</v>
      </c>
      <c r="D6339">
        <v>5.3748310000000004</v>
      </c>
      <c r="E6339">
        <v>0.4371216</v>
      </c>
      <c r="F6339" t="s">
        <v>94</v>
      </c>
      <c r="G6339">
        <v>-246.62100000000001</v>
      </c>
      <c r="H6339" s="1">
        <v>-2.3023010000000002E-6</v>
      </c>
      <c r="I6339">
        <v>-62.168059999999997</v>
      </c>
      <c r="J6339">
        <v>-254.2792</v>
      </c>
      <c r="K6339">
        <v>1.11141</v>
      </c>
      <c r="L6339">
        <v>-64.007480000000001</v>
      </c>
      <c r="M6339">
        <v>0.99984170000000006</v>
      </c>
      <c r="N6339">
        <v>0</v>
      </c>
      <c r="O6339">
        <v>-1.4639040000000001E-2</v>
      </c>
      <c r="P6339">
        <v>0.99525300000000005</v>
      </c>
      <c r="Q6339">
        <v>7.3247720000000002E-2</v>
      </c>
      <c r="R6339">
        <v>6.408018E-2</v>
      </c>
      <c r="S6339">
        <v>3.0006870000000001</v>
      </c>
      <c r="T6339">
        <v>-0.4282686</v>
      </c>
      <c r="U6339">
        <v>0.70843509999999998</v>
      </c>
      <c r="V6339">
        <v>-7.8931319999999999E-2</v>
      </c>
      <c r="W6339">
        <v>8.3026879999999997E-2</v>
      </c>
      <c r="X6339">
        <v>0.99341650000000004</v>
      </c>
      <c r="Y6339">
        <v>-0.2415359</v>
      </c>
      <c r="Z6339">
        <v>1.8972320000000001E-2</v>
      </c>
      <c r="AA6339">
        <v>0.97020640000000002</v>
      </c>
      <c r="AB6339">
        <v>25</v>
      </c>
      <c r="AC6339">
        <v>7.6582000000000203</v>
      </c>
      <c r="AD6339">
        <v>-1.1114123023010001</v>
      </c>
      <c r="AE6339">
        <v>1.8394200000000001</v>
      </c>
      <c r="AF6339">
        <v>-1.91323884929737</v>
      </c>
      <c r="AG6339">
        <v>-1.1114123023010001</v>
      </c>
      <c r="AH6339">
        <v>7.48147152337277</v>
      </c>
      <c r="AI6339">
        <v>98.1899789944041</v>
      </c>
      <c r="AJ6339">
        <v>104.344832577646</v>
      </c>
      <c r="AK6339">
        <v>7.8018034040344997</v>
      </c>
      <c r="AL6339">
        <v>85.237427596554298</v>
      </c>
      <c r="AM6339">
        <v>94.542858594764297</v>
      </c>
      <c r="AN6339">
        <v>0.99999997927586304</v>
      </c>
    </row>
    <row r="6340" spans="1:40" x14ac:dyDescent="0.25">
      <c r="A6340" t="str">
        <f>"20190312151149879"</f>
        <v>20190312151149879</v>
      </c>
      <c r="B6340" t="str">
        <f>"1552374709877685"</f>
        <v>1552374709877685</v>
      </c>
      <c r="C6340" t="s">
        <v>40</v>
      </c>
      <c r="D6340">
        <v>5.2445250000000003</v>
      </c>
      <c r="E6340">
        <v>0.47981269999999998</v>
      </c>
      <c r="F6340" t="s">
        <v>94</v>
      </c>
      <c r="G6340">
        <v>-246.4933</v>
      </c>
      <c r="H6340" s="1">
        <v>-2.2458370000000001E-6</v>
      </c>
      <c r="I6340">
        <v>-62.161630000000002</v>
      </c>
      <c r="J6340">
        <v>-254.1602</v>
      </c>
      <c r="K6340">
        <v>1.1113959999999901</v>
      </c>
      <c r="L6340">
        <v>-64.008209999999906</v>
      </c>
      <c r="M6340">
        <v>0.99985550000000001</v>
      </c>
      <c r="N6340">
        <v>0</v>
      </c>
      <c r="O6340">
        <v>-1.3664610000000001E-2</v>
      </c>
      <c r="P6340">
        <v>0.99518819999999997</v>
      </c>
      <c r="Q6340">
        <v>7.3516709999999999E-2</v>
      </c>
      <c r="R6340">
        <v>6.4773220000000006E-2</v>
      </c>
      <c r="S6340">
        <v>3.0000460000000002</v>
      </c>
      <c r="T6340">
        <v>-0.42824590000000001</v>
      </c>
      <c r="U6340">
        <v>0.71121219999999996</v>
      </c>
      <c r="V6340">
        <v>-7.865337E-2</v>
      </c>
      <c r="W6340">
        <v>8.3299150000000002E-2</v>
      </c>
      <c r="X6340">
        <v>0.99341579999999996</v>
      </c>
      <c r="Y6340">
        <v>-0.2414974</v>
      </c>
      <c r="Z6340">
        <v>1.883394E-2</v>
      </c>
      <c r="AA6340">
        <v>0.97021869999999999</v>
      </c>
      <c r="AB6340">
        <v>25</v>
      </c>
      <c r="AC6340">
        <v>7.6668999999999903</v>
      </c>
      <c r="AD6340">
        <v>-1.11139824583699</v>
      </c>
      <c r="AE6340">
        <v>1.8465799999999799</v>
      </c>
      <c r="AF6340">
        <v>-1.91317965897312</v>
      </c>
      <c r="AG6340">
        <v>-1.11139824583699</v>
      </c>
      <c r="AH6340">
        <v>7.4921453439671701</v>
      </c>
      <c r="AI6340">
        <v>98.179087314929404</v>
      </c>
      <c r="AJ6340">
        <v>104.32481266360701</v>
      </c>
      <c r="AK6340">
        <v>7.8120230621451103</v>
      </c>
      <c r="AL6340">
        <v>85.221773673077394</v>
      </c>
      <c r="AM6340">
        <v>94.526931086725099</v>
      </c>
      <c r="AN6340">
        <v>1.00000002634635</v>
      </c>
    </row>
    <row r="6341" spans="1:40" x14ac:dyDescent="0.25">
      <c r="A6341" t="str">
        <f>"20190312151149891"</f>
        <v>20190312151149891</v>
      </c>
      <c r="B6341" t="str">
        <f>"1552374709887445"</f>
        <v>1552374709887445</v>
      </c>
      <c r="C6341" t="s">
        <v>40</v>
      </c>
      <c r="D6341">
        <v>5.2796159999999999</v>
      </c>
      <c r="E6341">
        <v>0.486931</v>
      </c>
      <c r="F6341" t="s">
        <v>94</v>
      </c>
      <c r="G6341">
        <v>-240.73390000000001</v>
      </c>
      <c r="H6341" s="1">
        <v>1.71039899999999E-7</v>
      </c>
      <c r="I6341">
        <v>-62.364130000000003</v>
      </c>
      <c r="J6341">
        <v>-254.02760000000001</v>
      </c>
      <c r="K6341">
        <v>1.1113820000000001</v>
      </c>
      <c r="L6341">
        <v>-64.008849999999995</v>
      </c>
      <c r="M6341">
        <v>0.99986960000000003</v>
      </c>
      <c r="N6341">
        <v>0</v>
      </c>
      <c r="O6341">
        <v>-1.2594350000000001E-2</v>
      </c>
      <c r="P6341">
        <v>0.99512179999999995</v>
      </c>
      <c r="Q6341">
        <v>7.3627300000000007E-2</v>
      </c>
      <c r="R6341">
        <v>6.5663150000000003E-2</v>
      </c>
      <c r="S6341">
        <v>3.0089419999999998</v>
      </c>
      <c r="T6341">
        <v>-0.24907370000000001</v>
      </c>
      <c r="U6341">
        <v>0.36843870000000001</v>
      </c>
      <c r="V6341">
        <v>-7.8475909999999996E-2</v>
      </c>
      <c r="W6341">
        <v>8.3413199999999896E-2</v>
      </c>
      <c r="X6341">
        <v>0.99342019999999998</v>
      </c>
      <c r="Y6341">
        <v>-0.13353960000000001</v>
      </c>
      <c r="Z6341">
        <v>6.5343320000000003E-3</v>
      </c>
      <c r="AA6341">
        <v>0.99102190000000001</v>
      </c>
      <c r="AB6341">
        <v>25</v>
      </c>
      <c r="AC6341">
        <v>13.293699999999999</v>
      </c>
      <c r="AD6341">
        <v>-1.1113818289600901</v>
      </c>
      <c r="AE6341">
        <v>1.64471999999999</v>
      </c>
      <c r="AF6341">
        <v>-1.79963501510535</v>
      </c>
      <c r="AG6341">
        <v>-1.1113818289600901</v>
      </c>
      <c r="AH6341">
        <v>13.1811916998114</v>
      </c>
      <c r="AI6341">
        <v>94.775440981343294</v>
      </c>
      <c r="AJ6341">
        <v>97.7745532297549</v>
      </c>
      <c r="AK6341">
        <v>13.3498191142994</v>
      </c>
      <c r="AL6341">
        <v>85.215215960398893</v>
      </c>
      <c r="AM6341">
        <v>94.516739682647696</v>
      </c>
      <c r="AN6341">
        <v>0.99999996207630304</v>
      </c>
    </row>
    <row r="6342" spans="1:40" x14ac:dyDescent="0.25">
      <c r="A6342" t="str">
        <f>"20190312151149903"</f>
        <v>20190312151149903</v>
      </c>
      <c r="B6342" t="str">
        <f>"1552374709897206"</f>
        <v>1552374709897206</v>
      </c>
      <c r="C6342" t="s">
        <v>40</v>
      </c>
      <c r="D6342">
        <v>5.2853300000000001</v>
      </c>
      <c r="E6342">
        <v>0.49047489999999999</v>
      </c>
      <c r="F6342" t="s">
        <v>94</v>
      </c>
      <c r="G6342">
        <v>-240.0078</v>
      </c>
      <c r="H6342" s="1">
        <v>4.3415429999999999E-7</v>
      </c>
      <c r="I6342">
        <v>-62.545929999999998</v>
      </c>
      <c r="J6342">
        <v>-253.89670000000001</v>
      </c>
      <c r="K6342">
        <v>1.1113729999999999</v>
      </c>
      <c r="L6342">
        <v>-64.009399999999999</v>
      </c>
      <c r="M6342">
        <v>0.9998823</v>
      </c>
      <c r="N6342">
        <v>0</v>
      </c>
      <c r="O6342">
        <v>-1.1544830000000001E-2</v>
      </c>
      <c r="P6342">
        <v>0.99506360000000005</v>
      </c>
      <c r="Q6342">
        <v>7.3698040000000006E-2</v>
      </c>
      <c r="R6342">
        <v>6.6461759999999995E-2</v>
      </c>
      <c r="S6342">
        <v>3.011612</v>
      </c>
      <c r="T6342">
        <v>-0.23873749999999999</v>
      </c>
      <c r="U6342">
        <v>0.3142395</v>
      </c>
      <c r="V6342">
        <v>-7.8228149999999996E-2</v>
      </c>
      <c r="W6342">
        <v>8.3488279999999998E-2</v>
      </c>
      <c r="X6342">
        <v>0.99343349999999997</v>
      </c>
      <c r="Y6342">
        <v>-0.11486300000000001</v>
      </c>
      <c r="Z6342">
        <v>5.4448069999999899E-3</v>
      </c>
      <c r="AA6342">
        <v>0.99336639999999998</v>
      </c>
      <c r="AB6342">
        <v>25</v>
      </c>
      <c r="AC6342">
        <v>13.8889</v>
      </c>
      <c r="AD6342">
        <v>-1.1113725658457001</v>
      </c>
      <c r="AE6342">
        <v>1.4634699999999901</v>
      </c>
      <c r="AF6342">
        <v>-1.61350778761459</v>
      </c>
      <c r="AG6342">
        <v>-1.1113725658457001</v>
      </c>
      <c r="AH6342">
        <v>13.7837894349284</v>
      </c>
      <c r="AI6342">
        <v>94.578598404313695</v>
      </c>
      <c r="AJ6342">
        <v>96.676565065132195</v>
      </c>
      <c r="AK6342">
        <v>13.9223348453933</v>
      </c>
      <c r="AL6342">
        <v>85.210899450311999</v>
      </c>
      <c r="AM6342">
        <v>94.502478366750395</v>
      </c>
      <c r="AN6342">
        <v>1.0000000276360099</v>
      </c>
    </row>
    <row r="6343" spans="1:40" x14ac:dyDescent="0.25">
      <c r="A6343" t="str">
        <f>"20190312151149913"</f>
        <v>20190312151149913</v>
      </c>
      <c r="B6343" t="str">
        <f>"1552374709907941"</f>
        <v>1552374709907941</v>
      </c>
      <c r="C6343" t="s">
        <v>40</v>
      </c>
      <c r="D6343">
        <v>5.2532059999999996</v>
      </c>
      <c r="E6343">
        <v>0.49308770000000002</v>
      </c>
      <c r="F6343" t="s">
        <v>95</v>
      </c>
      <c r="G6343">
        <v>-239.565</v>
      </c>
      <c r="H6343" s="1">
        <v>-3.5289350000000001E-6</v>
      </c>
      <c r="I6343">
        <v>-62.637830000000001</v>
      </c>
      <c r="J6343">
        <v>-253.7723</v>
      </c>
      <c r="K6343">
        <v>1.1113630000000001</v>
      </c>
      <c r="L6343">
        <v>-64.009799999999998</v>
      </c>
      <c r="M6343">
        <v>0.99989320000000004</v>
      </c>
      <c r="N6343">
        <v>0</v>
      </c>
      <c r="O6343">
        <v>-1.055586E-2</v>
      </c>
      <c r="P6343">
        <v>0.99500529999999998</v>
      </c>
      <c r="Q6343">
        <v>7.3608560000000003E-2</v>
      </c>
      <c r="R6343">
        <v>6.7427650000000006E-2</v>
      </c>
      <c r="S6343">
        <v>3.0129389999999998</v>
      </c>
      <c r="T6343">
        <v>-0.23364289999999999</v>
      </c>
      <c r="U6343">
        <v>0.28833009999999998</v>
      </c>
      <c r="V6343">
        <v>-7.8207390000000002E-2</v>
      </c>
      <c r="W6343">
        <v>8.3401310000000006E-2</v>
      </c>
      <c r="X6343">
        <v>0.99344239999999995</v>
      </c>
      <c r="Y6343">
        <v>-0.10542</v>
      </c>
      <c r="Z6343">
        <v>4.8877130000000001E-3</v>
      </c>
      <c r="AA6343">
        <v>0.99441579999999996</v>
      </c>
      <c r="AB6343">
        <v>26</v>
      </c>
      <c r="AC6343">
        <v>14.2073</v>
      </c>
      <c r="AD6343">
        <v>-1.1113665289350001</v>
      </c>
      <c r="AE6343">
        <v>1.3719699999999899</v>
      </c>
      <c r="AF6343">
        <v>-1.5127005560545499</v>
      </c>
      <c r="AG6343">
        <v>-1.1113665289350001</v>
      </c>
      <c r="AH6343">
        <v>14.1065029373719</v>
      </c>
      <c r="AI6343">
        <v>94.479111127632606</v>
      </c>
      <c r="AJ6343">
        <v>96.120681689667506</v>
      </c>
      <c r="AK6343">
        <v>14.230840581497899</v>
      </c>
      <c r="AL6343">
        <v>85.215899714775006</v>
      </c>
      <c r="AM6343">
        <v>94.501248260634696</v>
      </c>
      <c r="AN6343">
        <v>0.99999998823904301</v>
      </c>
    </row>
    <row r="6344" spans="1:40" x14ac:dyDescent="0.25">
      <c r="A6344" t="str">
        <f>"20190312151149925"</f>
        <v>20190312151149925</v>
      </c>
      <c r="B6344" t="str">
        <f>"1552374709917702"</f>
        <v>1552374709917702</v>
      </c>
      <c r="C6344" t="s">
        <v>40</v>
      </c>
      <c r="D6344">
        <v>5.2250649999999998</v>
      </c>
      <c r="E6344">
        <v>0.49466880000000002</v>
      </c>
      <c r="F6344" t="s">
        <v>95</v>
      </c>
      <c r="G6344">
        <v>-239.2724</v>
      </c>
      <c r="H6344" s="1">
        <v>-3.441985E-6</v>
      </c>
      <c r="I6344">
        <v>-62.709020000000002</v>
      </c>
      <c r="J6344">
        <v>-253.64760000000001</v>
      </c>
      <c r="K6344">
        <v>1.1113519999999999</v>
      </c>
      <c r="L6344">
        <v>-64.010099999999994</v>
      </c>
      <c r="M6344">
        <v>0.99990299999999999</v>
      </c>
      <c r="N6344">
        <v>0</v>
      </c>
      <c r="O6344">
        <v>-9.5757159999999997E-3</v>
      </c>
      <c r="P6344">
        <v>0.99494559999999999</v>
      </c>
      <c r="Q6344">
        <v>7.3872289999999993E-2</v>
      </c>
      <c r="R6344">
        <v>6.8015679999999995E-2</v>
      </c>
      <c r="S6344">
        <v>3.0138240000000001</v>
      </c>
      <c r="T6344">
        <v>-0.23099900000000001</v>
      </c>
      <c r="U6344">
        <v>0.27035520000000002</v>
      </c>
      <c r="V6344">
        <v>-7.7819100000000002E-2</v>
      </c>
      <c r="W6344">
        <v>8.3669309999999997E-2</v>
      </c>
      <c r="X6344">
        <v>0.99345030000000001</v>
      </c>
      <c r="Y6344">
        <v>-9.8565369999999999E-2</v>
      </c>
      <c r="Z6344">
        <v>4.4958029999999996E-3</v>
      </c>
      <c r="AA6344">
        <v>0.99512040000000002</v>
      </c>
      <c r="AB6344">
        <v>26</v>
      </c>
      <c r="AC6344">
        <v>14.3752</v>
      </c>
      <c r="AD6344">
        <v>-1.111355441985</v>
      </c>
      <c r="AE6344">
        <v>1.30107999999999</v>
      </c>
      <c r="AF6344">
        <v>-1.43020145798835</v>
      </c>
      <c r="AG6344">
        <v>-1.111355441985</v>
      </c>
      <c r="AH6344">
        <v>14.277439559342</v>
      </c>
      <c r="AI6344">
        <v>94.428850419541604</v>
      </c>
      <c r="AJ6344">
        <v>95.720357354269694</v>
      </c>
      <c r="AK6344">
        <v>14.3918681031868</v>
      </c>
      <c r="AL6344">
        <v>85.200490318173806</v>
      </c>
      <c r="AM6344">
        <v>94.478955809520997</v>
      </c>
      <c r="AN6344">
        <v>0.99999993216538496</v>
      </c>
    </row>
    <row r="6345" spans="1:40" x14ac:dyDescent="0.25">
      <c r="A6345" t="str">
        <f>"20190312151149936"</f>
        <v>20190312151149936</v>
      </c>
      <c r="B6345" t="str">
        <f>"1552374709927461"</f>
        <v>1552374709927461</v>
      </c>
      <c r="C6345" t="s">
        <v>40</v>
      </c>
      <c r="D6345">
        <v>5.249225</v>
      </c>
      <c r="E6345">
        <v>0.49611490000000003</v>
      </c>
      <c r="F6345" t="s">
        <v>95</v>
      </c>
      <c r="G6345">
        <v>-238.999</v>
      </c>
      <c r="H6345" s="1">
        <v>-3.3558000000000001E-6</v>
      </c>
      <c r="I6345">
        <v>-62.747729999999997</v>
      </c>
      <c r="J6345">
        <v>-253.5214</v>
      </c>
      <c r="K6345">
        <v>1.111343</v>
      </c>
      <c r="L6345">
        <v>-64.010279999999995</v>
      </c>
      <c r="M6345">
        <v>0.99991200000000002</v>
      </c>
      <c r="N6345">
        <v>0</v>
      </c>
      <c r="O6345">
        <v>-8.5892520000000003E-3</v>
      </c>
      <c r="P6345">
        <v>0.99488849999999995</v>
      </c>
      <c r="Q6345">
        <v>7.4076069999999994E-2</v>
      </c>
      <c r="R6345">
        <v>6.8627279999999999E-2</v>
      </c>
      <c r="S6345">
        <v>3.014481</v>
      </c>
      <c r="T6345">
        <v>-0.2287004</v>
      </c>
      <c r="U6345">
        <v>0.25976559999999999</v>
      </c>
      <c r="V6345">
        <v>-7.7447760000000004E-2</v>
      </c>
      <c r="W6345">
        <v>8.3876489999999998E-2</v>
      </c>
      <c r="X6345">
        <v>0.99346190000000001</v>
      </c>
      <c r="Y6345">
        <v>-9.4116199999999997E-2</v>
      </c>
      <c r="Z6345">
        <v>4.2080779999999996E-3</v>
      </c>
      <c r="AA6345">
        <v>0.99555229999999995</v>
      </c>
      <c r="AB6345">
        <v>26</v>
      </c>
      <c r="AC6345">
        <v>14.5223999999999</v>
      </c>
      <c r="AD6345">
        <v>-1.1113463558000001</v>
      </c>
      <c r="AE6345">
        <v>1.2625500000000001</v>
      </c>
      <c r="AF6345">
        <v>-1.3792297816554899</v>
      </c>
      <c r="AG6345">
        <v>-1.1113463558000001</v>
      </c>
      <c r="AH6345">
        <v>14.4271635699798</v>
      </c>
      <c r="AI6345">
        <v>94.384968532781102</v>
      </c>
      <c r="AJ6345">
        <v>95.4608527892794</v>
      </c>
      <c r="AK6345">
        <v>14.5354880959708</v>
      </c>
      <c r="AL6345">
        <v>85.188578153725103</v>
      </c>
      <c r="AM6345">
        <v>94.457617473798393</v>
      </c>
      <c r="AN6345">
        <v>0.99999998392767298</v>
      </c>
    </row>
    <row r="6346" spans="1:40" x14ac:dyDescent="0.25">
      <c r="A6346" t="str">
        <f>"20190312151149947"</f>
        <v>20190312151149947</v>
      </c>
      <c r="B6346" t="str">
        <f>"1552374709937221"</f>
        <v>1552374709937221</v>
      </c>
      <c r="C6346" t="s">
        <v>40</v>
      </c>
      <c r="D6346">
        <v>5.245787</v>
      </c>
      <c r="E6346">
        <v>0.49784309999999998</v>
      </c>
      <c r="F6346" t="s">
        <v>95</v>
      </c>
      <c r="G6346">
        <v>-239.07749999999999</v>
      </c>
      <c r="H6346" s="1">
        <v>-3.3935129999999999E-6</v>
      </c>
      <c r="I6346">
        <v>-62.809640000000002</v>
      </c>
      <c r="J6346">
        <v>-253.38810000000001</v>
      </c>
      <c r="K6346">
        <v>1.111332</v>
      </c>
      <c r="L6346">
        <v>-64.010310000000004</v>
      </c>
      <c r="M6346">
        <v>0.99992020000000004</v>
      </c>
      <c r="N6346">
        <v>0</v>
      </c>
      <c r="O6346">
        <v>-7.562264E-3</v>
      </c>
      <c r="P6346">
        <v>0.99482130000000002</v>
      </c>
      <c r="Q6346">
        <v>7.415447E-2</v>
      </c>
      <c r="R6346">
        <v>6.9509470000000004E-2</v>
      </c>
      <c r="S6346">
        <v>3.015396</v>
      </c>
      <c r="T6346">
        <v>-0.23201079999999999</v>
      </c>
      <c r="U6346">
        <v>0.2506409</v>
      </c>
      <c r="V6346">
        <v>-7.7306050000000001E-2</v>
      </c>
      <c r="W6346">
        <v>8.3958679999999994E-2</v>
      </c>
      <c r="X6346">
        <v>0.99346599999999996</v>
      </c>
      <c r="Y6346">
        <v>-9.0082350000000005E-2</v>
      </c>
      <c r="Z6346">
        <v>4.0345900000000002E-3</v>
      </c>
      <c r="AA6346">
        <v>0.99592610000000004</v>
      </c>
      <c r="AB6346">
        <v>26</v>
      </c>
      <c r="AC6346">
        <v>14.310600000000001</v>
      </c>
      <c r="AD6346">
        <v>-1.1113353935129999</v>
      </c>
      <c r="AE6346">
        <v>1.2006699999999999</v>
      </c>
      <c r="AF6346">
        <v>-1.3010701011405801</v>
      </c>
      <c r="AG6346">
        <v>-1.1113353935129999</v>
      </c>
      <c r="AH6346">
        <v>14.2159761511046</v>
      </c>
      <c r="AI6346">
        <v>94.451483122676606</v>
      </c>
      <c r="AJ6346">
        <v>95.229238379031102</v>
      </c>
      <c r="AK6346">
        <v>14.3185832991163</v>
      </c>
      <c r="AL6346">
        <v>85.183852369795503</v>
      </c>
      <c r="AM6346">
        <v>94.449475644438493</v>
      </c>
      <c r="AN6346">
        <v>0.99999998923497202</v>
      </c>
    </row>
    <row r="6347" spans="1:40" x14ac:dyDescent="0.25">
      <c r="A6347" t="str">
        <f>"20190312151149958"</f>
        <v>20190312151149958</v>
      </c>
      <c r="B6347" t="str">
        <f>"1552374709947958"</f>
        <v>1552374709947958</v>
      </c>
      <c r="C6347" t="s">
        <v>40</v>
      </c>
      <c r="D6347">
        <v>5.2216399999999998</v>
      </c>
      <c r="E6347">
        <v>0.4988996</v>
      </c>
      <c r="F6347" t="s">
        <v>95</v>
      </c>
      <c r="G6347">
        <v>-239.0282</v>
      </c>
      <c r="H6347" s="1">
        <v>-3.3871339999999998E-6</v>
      </c>
      <c r="I6347">
        <v>-62.868279999999999</v>
      </c>
      <c r="J6347">
        <v>-253.26009999999999</v>
      </c>
      <c r="K6347">
        <v>1.1113219999999999</v>
      </c>
      <c r="L6347">
        <v>-64.010249999999999</v>
      </c>
      <c r="M6347">
        <v>0.99992729999999996</v>
      </c>
      <c r="N6347">
        <v>0</v>
      </c>
      <c r="O6347">
        <v>-6.5802150000000004E-3</v>
      </c>
      <c r="P6347">
        <v>0.99476169999999997</v>
      </c>
      <c r="Q6347">
        <v>7.4237120000000004E-2</v>
      </c>
      <c r="R6347">
        <v>7.0270869999999999E-2</v>
      </c>
      <c r="S6347">
        <v>3.0162659999999999</v>
      </c>
      <c r="T6347">
        <v>-0.2334329</v>
      </c>
      <c r="U6347">
        <v>0.2398682</v>
      </c>
      <c r="V6347">
        <v>-7.7088539999999997E-2</v>
      </c>
      <c r="W6347">
        <v>8.4045159999999994E-2</v>
      </c>
      <c r="X6347">
        <v>0.99347560000000001</v>
      </c>
      <c r="Y6347">
        <v>-8.5558889999999999E-2</v>
      </c>
      <c r="Z6347">
        <v>3.8083800000000001E-3</v>
      </c>
      <c r="AA6347">
        <v>0.99632589999999999</v>
      </c>
      <c r="AB6347">
        <v>26</v>
      </c>
      <c r="AC6347">
        <v>14.2318999999999</v>
      </c>
      <c r="AD6347">
        <v>-1.1113253871340001</v>
      </c>
      <c r="AE6347">
        <v>1.1419699999999899</v>
      </c>
      <c r="AF6347">
        <v>-1.2281581460168001</v>
      </c>
      <c r="AG6347">
        <v>-1.1113253871340001</v>
      </c>
      <c r="AH6347">
        <v>14.138418589965699</v>
      </c>
      <c r="AI6347">
        <v>94.477599565282702</v>
      </c>
      <c r="AJ6347">
        <v>94.964634432116796</v>
      </c>
      <c r="AK6347">
        <v>14.2351078946668</v>
      </c>
      <c r="AL6347">
        <v>85.1788799071699</v>
      </c>
      <c r="AM6347">
        <v>94.436963859965104</v>
      </c>
      <c r="AN6347">
        <v>0.99999999985705801</v>
      </c>
    </row>
    <row r="6348" spans="1:40" x14ac:dyDescent="0.25">
      <c r="A6348" t="str">
        <f>"20190312151149969"</f>
        <v>20190312151149969</v>
      </c>
      <c r="B6348" t="str">
        <f>"1552374709957718"</f>
        <v>1552374709957718</v>
      </c>
      <c r="C6348" t="s">
        <v>40</v>
      </c>
      <c r="D6348">
        <v>5.2408479999999997</v>
      </c>
      <c r="E6348">
        <v>0.49997649999999999</v>
      </c>
      <c r="F6348" t="s">
        <v>95</v>
      </c>
      <c r="G6348">
        <v>-239.35640000000001</v>
      </c>
      <c r="H6348" s="1">
        <v>-3.5099699999999901E-6</v>
      </c>
      <c r="I6348">
        <v>-62.93103</v>
      </c>
      <c r="J6348">
        <v>-253.14089999999999</v>
      </c>
      <c r="K6348">
        <v>1.1113139999999999</v>
      </c>
      <c r="L6348">
        <v>-64.010069999999999</v>
      </c>
      <c r="M6348">
        <v>0.99993279999999995</v>
      </c>
      <c r="N6348">
        <v>0</v>
      </c>
      <c r="O6348">
        <v>-5.6802959999999996E-3</v>
      </c>
      <c r="P6348">
        <v>0.99469689999999999</v>
      </c>
      <c r="Q6348">
        <v>7.4465329999999996E-2</v>
      </c>
      <c r="R6348">
        <v>7.0946120000000001E-2</v>
      </c>
      <c r="S6348">
        <v>3.017258</v>
      </c>
      <c r="T6348">
        <v>-0.24117089999999999</v>
      </c>
      <c r="U6348">
        <v>0.23419190000000001</v>
      </c>
      <c r="V6348">
        <v>-7.6867210000000005E-2</v>
      </c>
      <c r="W6348">
        <v>8.4276550000000006E-2</v>
      </c>
      <c r="X6348">
        <v>0.99347319999999995</v>
      </c>
      <c r="Y6348">
        <v>-8.2766590000000001E-2</v>
      </c>
      <c r="Z6348">
        <v>3.7502600000000001E-3</v>
      </c>
      <c r="AA6348">
        <v>0.9965619</v>
      </c>
      <c r="AB6348">
        <v>26</v>
      </c>
      <c r="AC6348">
        <v>13.7844999999999</v>
      </c>
      <c r="AD6348">
        <v>-1.1113175099699999</v>
      </c>
      <c r="AE6348">
        <v>1.07903999999999</v>
      </c>
      <c r="AF6348">
        <v>-1.1498981384784099</v>
      </c>
      <c r="AG6348">
        <v>-1.1113175099699999</v>
      </c>
      <c r="AH6348">
        <v>13.68971071302</v>
      </c>
      <c r="AI6348">
        <v>94.624823482581206</v>
      </c>
      <c r="AJ6348">
        <v>94.801417244883197</v>
      </c>
      <c r="AK6348">
        <v>13.782796223663</v>
      </c>
      <c r="AL6348">
        <v>85.165575286053596</v>
      </c>
      <c r="AM6348">
        <v>94.424286126599696</v>
      </c>
      <c r="AN6348">
        <v>1.00000005198566</v>
      </c>
    </row>
    <row r="6349" spans="1:40" x14ac:dyDescent="0.25">
      <c r="A6349" t="str">
        <f>"20190312151149981"</f>
        <v>20190312151149981</v>
      </c>
      <c r="B6349" t="str">
        <f>"1552374709977237"</f>
        <v>1552374709977237</v>
      </c>
      <c r="C6349" t="s">
        <v>40</v>
      </c>
      <c r="D6349">
        <v>5.2565819999999999</v>
      </c>
      <c r="E6349">
        <v>0.50147549999999996</v>
      </c>
      <c r="F6349" t="s">
        <v>95</v>
      </c>
      <c r="G6349">
        <v>-239.25030000000001</v>
      </c>
      <c r="H6349" s="1">
        <v>-3.4793100000000002E-6</v>
      </c>
      <c r="I6349">
        <v>-62.961840000000002</v>
      </c>
      <c r="J6349">
        <v>-253.0154</v>
      </c>
      <c r="K6349">
        <v>1.1113059999999999</v>
      </c>
      <c r="L6349">
        <v>-64.009829999999994</v>
      </c>
      <c r="M6349">
        <v>0.99993750000000003</v>
      </c>
      <c r="N6349">
        <v>0</v>
      </c>
      <c r="O6349">
        <v>-4.7357989999999997E-3</v>
      </c>
      <c r="P6349">
        <v>0.9946277</v>
      </c>
      <c r="Q6349">
        <v>7.4618089999999998E-2</v>
      </c>
      <c r="R6349">
        <v>7.1750270000000005E-2</v>
      </c>
      <c r="S6349">
        <v>3.0178379999999998</v>
      </c>
      <c r="T6349">
        <v>-0.24144119999999999</v>
      </c>
      <c r="U6349">
        <v>0.22772220000000001</v>
      </c>
      <c r="V6349">
        <v>-7.6730220000000002E-2</v>
      </c>
      <c r="W6349">
        <v>8.4432419999999994E-2</v>
      </c>
      <c r="X6349">
        <v>0.99347050000000003</v>
      </c>
      <c r="Y6349">
        <v>-7.96983E-2</v>
      </c>
      <c r="Z6349">
        <v>3.5563209999999999E-3</v>
      </c>
      <c r="AA6349">
        <v>0.9968127</v>
      </c>
      <c r="AB6349">
        <v>26</v>
      </c>
      <c r="AC6349">
        <v>13.765099999999901</v>
      </c>
      <c r="AD6349">
        <v>-1.11130947931</v>
      </c>
      <c r="AE6349">
        <v>1.04799</v>
      </c>
      <c r="AF6349">
        <v>-1.10600300456532</v>
      </c>
      <c r="AG6349">
        <v>-1.11130947931</v>
      </c>
      <c r="AH6349">
        <v>13.6713863640511</v>
      </c>
      <c r="AI6349">
        <v>94.632132032522605</v>
      </c>
      <c r="AJ6349">
        <v>94.625105259212305</v>
      </c>
      <c r="AK6349">
        <v>13.760997657149501</v>
      </c>
      <c r="AL6349">
        <v>85.1566123832568</v>
      </c>
      <c r="AM6349">
        <v>94.416444499343896</v>
      </c>
      <c r="AN6349">
        <v>0.99999999728927702</v>
      </c>
    </row>
    <row r="6350" spans="1:40" x14ac:dyDescent="0.25">
      <c r="A6350" t="str">
        <f>"20190312151149993"</f>
        <v>20190312151149993</v>
      </c>
      <c r="B6350" t="str">
        <f>"1552374709987973"</f>
        <v>1552374709987973</v>
      </c>
      <c r="C6350" t="s">
        <v>40</v>
      </c>
      <c r="D6350">
        <v>5.2172150000000004</v>
      </c>
      <c r="E6350">
        <v>0.50219579999999997</v>
      </c>
      <c r="F6350" t="s">
        <v>95</v>
      </c>
      <c r="G6350">
        <v>-239.1104</v>
      </c>
      <c r="H6350" s="1">
        <v>-3.4392219999999998E-6</v>
      </c>
      <c r="I6350">
        <v>-63.004199999999997</v>
      </c>
      <c r="J6350">
        <v>-252.8613</v>
      </c>
      <c r="K6350">
        <v>1.1112919999999999</v>
      </c>
      <c r="L6350">
        <v>-64.009339999999995</v>
      </c>
      <c r="M6350">
        <v>0.99994229999999995</v>
      </c>
      <c r="N6350">
        <v>0</v>
      </c>
      <c r="O6350">
        <v>-3.589863E-3</v>
      </c>
      <c r="P6350">
        <v>0.99453539999999996</v>
      </c>
      <c r="Q6350">
        <v>7.5183369999999999E-2</v>
      </c>
      <c r="R6350">
        <v>7.2433880000000006E-2</v>
      </c>
      <c r="S6350">
        <v>3.01857</v>
      </c>
      <c r="T6350">
        <v>-0.24124799999999999</v>
      </c>
      <c r="U6350">
        <v>0.21829219999999999</v>
      </c>
      <c r="V6350">
        <v>-7.6272679999999995E-2</v>
      </c>
      <c r="W6350">
        <v>8.5002549999999996E-2</v>
      </c>
      <c r="X6350">
        <v>0.99345709999999998</v>
      </c>
      <c r="Y6350">
        <v>-7.5457570000000002E-2</v>
      </c>
      <c r="Z6350">
        <v>3.292728E-3</v>
      </c>
      <c r="AA6350">
        <v>0.99714360000000002</v>
      </c>
      <c r="AB6350">
        <v>26</v>
      </c>
      <c r="AC6350">
        <v>13.7509</v>
      </c>
      <c r="AD6350">
        <v>-1.111295439222</v>
      </c>
      <c r="AE6350">
        <v>1.0051400000000099</v>
      </c>
      <c r="AF6350">
        <v>-1.04769351084872</v>
      </c>
      <c r="AG6350">
        <v>-1.111295439222</v>
      </c>
      <c r="AH6350">
        <v>13.6584700053471</v>
      </c>
      <c r="AI6350">
        <v>94.637951050020405</v>
      </c>
      <c r="AJ6350">
        <v>94.386369540429598</v>
      </c>
      <c r="AK6350">
        <v>13.7435964046125</v>
      </c>
      <c r="AL6350">
        <v>85.123828409331296</v>
      </c>
      <c r="AM6350">
        <v>94.390271622915094</v>
      </c>
      <c r="AN6350">
        <v>0.99999998238064702</v>
      </c>
    </row>
    <row r="6351" spans="1:40" x14ac:dyDescent="0.25">
      <c r="A6351" t="str">
        <f>"20190312151150017"</f>
        <v>20190312151150017</v>
      </c>
      <c r="B6351" t="str">
        <f>"1552374710007495"</f>
        <v>1552374710007495</v>
      </c>
      <c r="C6351" t="s">
        <v>40</v>
      </c>
      <c r="D6351">
        <v>5.2205130000000004</v>
      </c>
      <c r="E6351">
        <v>0.50243300000000002</v>
      </c>
      <c r="F6351" t="s">
        <v>95</v>
      </c>
      <c r="G6351">
        <v>-238.97819999999999</v>
      </c>
      <c r="H6351" s="1">
        <v>-3.3973850000000001E-6</v>
      </c>
      <c r="I6351">
        <v>-63.021900000000002</v>
      </c>
      <c r="J6351">
        <v>-252.59209999999999</v>
      </c>
      <c r="K6351">
        <v>1.111272</v>
      </c>
      <c r="L6351">
        <v>-64.008089999999996</v>
      </c>
      <c r="M6351">
        <v>0.99994740000000004</v>
      </c>
      <c r="N6351">
        <v>0</v>
      </c>
      <c r="O6351">
        <v>-1.6149269999999999E-3</v>
      </c>
      <c r="P6351">
        <v>0.99442079999999999</v>
      </c>
      <c r="Q6351">
        <v>7.5565170000000001E-2</v>
      </c>
      <c r="R6351">
        <v>7.3601369999999999E-2</v>
      </c>
      <c r="S6351">
        <v>3.0191189999999999</v>
      </c>
      <c r="T6351">
        <v>-0.2416703</v>
      </c>
      <c r="U6351">
        <v>0.21472169999999999</v>
      </c>
      <c r="V6351">
        <v>-7.547239E-2</v>
      </c>
      <c r="W6351">
        <v>8.5392609999999994E-2</v>
      </c>
      <c r="X6351">
        <v>0.99348479999999995</v>
      </c>
      <c r="Y6351">
        <v>-7.2317010000000001E-2</v>
      </c>
      <c r="Z6351">
        <v>3.0150260000000001E-3</v>
      </c>
      <c r="AA6351">
        <v>0.99737719999999996</v>
      </c>
      <c r="AB6351">
        <v>26</v>
      </c>
      <c r="AC6351">
        <v>13.613899999999999</v>
      </c>
      <c r="AD6351">
        <v>-1.111275397385</v>
      </c>
      <c r="AE6351">
        <v>0.98618999999999302</v>
      </c>
      <c r="AF6351">
        <v>-1.00153676273255</v>
      </c>
      <c r="AG6351">
        <v>-1.111275397385</v>
      </c>
      <c r="AH6351">
        <v>13.5226566721718</v>
      </c>
      <c r="AI6351">
        <v>94.685165383945304</v>
      </c>
      <c r="AJ6351">
        <v>94.235798492727</v>
      </c>
      <c r="AK6351">
        <v>13.605155359986499</v>
      </c>
      <c r="AL6351">
        <v>85.101398215612605</v>
      </c>
      <c r="AM6351">
        <v>94.344263381284605</v>
      </c>
      <c r="AN6351">
        <v>1.0000000136629801</v>
      </c>
    </row>
    <row r="6352" spans="1:40" x14ac:dyDescent="0.25">
      <c r="A6352" t="str">
        <f>"20190312151150030"</f>
        <v>20190312151150030</v>
      </c>
      <c r="B6352" t="str">
        <f>"1552374710017254"</f>
        <v>1552374710017254</v>
      </c>
      <c r="C6352" t="s">
        <v>40</v>
      </c>
      <c r="D6352">
        <v>5.2600629999999997</v>
      </c>
      <c r="E6352">
        <v>0.50278149999999999</v>
      </c>
      <c r="F6352" t="s">
        <v>95</v>
      </c>
      <c r="G6352">
        <v>-238.95609999999999</v>
      </c>
      <c r="H6352" s="1">
        <v>-3.3911649999999999E-6</v>
      </c>
      <c r="I6352">
        <v>-63.029249999999998</v>
      </c>
      <c r="J6352">
        <v>-252.45269999999999</v>
      </c>
      <c r="K6352">
        <v>1.1112610000000001</v>
      </c>
      <c r="L6352">
        <v>-64.007230000000007</v>
      </c>
      <c r="M6352">
        <v>0.99994859999999997</v>
      </c>
      <c r="N6352">
        <v>0</v>
      </c>
      <c r="O6352">
        <v>-6.1190589999999905E-4</v>
      </c>
      <c r="P6352">
        <v>0.99437759999999997</v>
      </c>
      <c r="Q6352">
        <v>7.5442910000000002E-2</v>
      </c>
      <c r="R6352">
        <v>7.4308079999999999E-2</v>
      </c>
      <c r="S6352">
        <v>3.019485</v>
      </c>
      <c r="T6352">
        <v>-0.2460754</v>
      </c>
      <c r="U6352">
        <v>0.21673580000000001</v>
      </c>
      <c r="V6352">
        <v>-7.517944E-2</v>
      </c>
      <c r="W6352">
        <v>8.5274299999999997E-2</v>
      </c>
      <c r="X6352">
        <v>0.99351719999999999</v>
      </c>
      <c r="Y6352">
        <v>-7.1965849999999998E-2</v>
      </c>
      <c r="Z6352">
        <v>2.9735859999999999E-3</v>
      </c>
      <c r="AA6352">
        <v>0.99740269999999998</v>
      </c>
      <c r="AB6352">
        <v>26</v>
      </c>
      <c r="AC6352">
        <v>13.496600000000001</v>
      </c>
      <c r="AD6352">
        <v>-1.111264391165</v>
      </c>
      <c r="AE6352">
        <v>0.97798000000000895</v>
      </c>
      <c r="AF6352">
        <v>-0.97963233786325199</v>
      </c>
      <c r="AG6352">
        <v>-1.111264391165</v>
      </c>
      <c r="AH6352">
        <v>13.4055929142783</v>
      </c>
      <c r="AI6352">
        <v>94.726187133354998</v>
      </c>
      <c r="AJ6352">
        <v>94.179539500596405</v>
      </c>
      <c r="AK6352">
        <v>13.4871979835623</v>
      </c>
      <c r="AL6352">
        <v>85.108201827172806</v>
      </c>
      <c r="AM6352">
        <v>94.327324488322503</v>
      </c>
      <c r="AN6352">
        <v>1.00000004056752</v>
      </c>
    </row>
    <row r="6353" spans="1:40" x14ac:dyDescent="0.25">
      <c r="A6353" t="str">
        <f>"20190312151150043"</f>
        <v>20190312151150043</v>
      </c>
      <c r="B6353" t="str">
        <f>"1552374710037285"</f>
        <v>1552374710037285</v>
      </c>
      <c r="C6353" t="s">
        <v>40</v>
      </c>
      <c r="D6353">
        <v>5.2300060000000004</v>
      </c>
      <c r="E6353">
        <v>0.50345609999999996</v>
      </c>
      <c r="F6353" t="s">
        <v>95</v>
      </c>
      <c r="G6353">
        <v>-238.91990000000001</v>
      </c>
      <c r="H6353" s="1">
        <v>-3.380351E-6</v>
      </c>
      <c r="I6353">
        <v>-63.037880000000001</v>
      </c>
      <c r="J6353">
        <v>-252.30529999999999</v>
      </c>
      <c r="K6353">
        <v>1.11124</v>
      </c>
      <c r="L6353">
        <v>-64.006200000000007</v>
      </c>
      <c r="M6353">
        <v>0.99994859999999997</v>
      </c>
      <c r="N6353">
        <v>0</v>
      </c>
      <c r="O6353">
        <v>4.4045960000000002E-4</v>
      </c>
      <c r="P6353">
        <v>0.99430569999999896</v>
      </c>
      <c r="Q6353">
        <v>7.5572299999999995E-2</v>
      </c>
      <c r="R6353">
        <v>7.5136010000000003E-2</v>
      </c>
      <c r="S6353">
        <v>3.0195919999999998</v>
      </c>
      <c r="T6353">
        <v>-0.2479577</v>
      </c>
      <c r="U6353">
        <v>0.2162781</v>
      </c>
      <c r="V6353">
        <v>-7.4958769999999994E-2</v>
      </c>
      <c r="W6353">
        <v>8.5407330000000004E-2</v>
      </c>
      <c r="X6353">
        <v>0.99352240000000003</v>
      </c>
      <c r="Y6353">
        <v>-7.0767049999999998E-2</v>
      </c>
      <c r="Z6353">
        <v>2.8609260000000002E-3</v>
      </c>
      <c r="AA6353">
        <v>0.99748879999999995</v>
      </c>
      <c r="AB6353">
        <v>26</v>
      </c>
      <c r="AC6353">
        <v>13.385399999999899</v>
      </c>
      <c r="AD6353">
        <v>-1.111243380351</v>
      </c>
      <c r="AE6353">
        <v>0.96832000000000495</v>
      </c>
      <c r="AF6353">
        <v>-0.95587015832322597</v>
      </c>
      <c r="AG6353">
        <v>-1.111243380351</v>
      </c>
      <c r="AH6353">
        <v>13.294673173493999</v>
      </c>
      <c r="AI6353">
        <v>94.765750809428496</v>
      </c>
      <c r="AJ6353">
        <v>94.112417420200799</v>
      </c>
      <c r="AK6353">
        <v>13.3752339942137</v>
      </c>
      <c r="AL6353">
        <v>85.100551634025507</v>
      </c>
      <c r="AM6353">
        <v>94.314648273578101</v>
      </c>
      <c r="AN6353">
        <v>0.99999999425969999</v>
      </c>
    </row>
    <row r="6354" spans="1:40" x14ac:dyDescent="0.25">
      <c r="A6354" t="str">
        <f>"20190312151150053"</f>
        <v>20190312151150053</v>
      </c>
      <c r="B6354" t="str">
        <f>"1552374710048022"</f>
        <v>1552374710048022</v>
      </c>
      <c r="C6354" t="s">
        <v>40</v>
      </c>
      <c r="D6354">
        <v>5.3974029999999997</v>
      </c>
      <c r="E6354">
        <v>0.50394039999999996</v>
      </c>
      <c r="F6354" t="s">
        <v>95</v>
      </c>
      <c r="G6354">
        <v>-238.98609999999999</v>
      </c>
      <c r="H6354" s="1">
        <v>-3.4075239999999998E-6</v>
      </c>
      <c r="I6354">
        <v>-63.063920000000003</v>
      </c>
      <c r="J6354">
        <v>-252.16730000000001</v>
      </c>
      <c r="K6354">
        <v>1.111227</v>
      </c>
      <c r="L6354">
        <v>-64.005129999999994</v>
      </c>
      <c r="M6354">
        <v>0.99994780000000005</v>
      </c>
      <c r="N6354">
        <v>0</v>
      </c>
      <c r="O6354">
        <v>1.4140940000000001E-3</v>
      </c>
      <c r="P6354">
        <v>0.99425269999999999</v>
      </c>
      <c r="Q6354">
        <v>7.5489819999999999E-2</v>
      </c>
      <c r="R6354">
        <v>7.5915189999999994E-2</v>
      </c>
      <c r="S6354">
        <v>3.020187</v>
      </c>
      <c r="T6354">
        <v>-0.2519805</v>
      </c>
      <c r="U6354">
        <v>0.2136536</v>
      </c>
      <c r="V6354">
        <v>-7.4766920000000001E-2</v>
      </c>
      <c r="W6354">
        <v>8.5328940000000006E-2</v>
      </c>
      <c r="X6354">
        <v>0.99354359999999997</v>
      </c>
      <c r="Y6354">
        <v>-6.8921380000000004E-2</v>
      </c>
      <c r="Z6354">
        <v>2.7489429999999998E-3</v>
      </c>
      <c r="AA6354">
        <v>0.99761829999999996</v>
      </c>
      <c r="AB6354">
        <v>26</v>
      </c>
      <c r="AC6354">
        <v>13.1812</v>
      </c>
      <c r="AD6354">
        <v>-1.111230407524</v>
      </c>
      <c r="AE6354">
        <v>0.94121000000001198</v>
      </c>
      <c r="AF6354">
        <v>-0.91609083953696901</v>
      </c>
      <c r="AG6354">
        <v>-1.111230407524</v>
      </c>
      <c r="AH6354">
        <v>13.0899568935491</v>
      </c>
      <c r="AI6354">
        <v>94.840526673175006</v>
      </c>
      <c r="AJ6354">
        <v>94.003275035146004</v>
      </c>
      <c r="AK6354">
        <v>13.1689417539855</v>
      </c>
      <c r="AL6354">
        <v>85.105059547783597</v>
      </c>
      <c r="AM6354">
        <v>94.303555389175997</v>
      </c>
      <c r="AN6354">
        <v>1.0000000027143801</v>
      </c>
    </row>
    <row r="6355" spans="1:40" x14ac:dyDescent="0.25">
      <c r="A6355" t="str">
        <f>"20190312151150064"</f>
        <v>20190312151150064</v>
      </c>
      <c r="B6355" t="str">
        <f>"1552374710057780"</f>
        <v>1552374710057780</v>
      </c>
      <c r="C6355" t="s">
        <v>40</v>
      </c>
      <c r="D6355">
        <v>5.2564060000000001</v>
      </c>
      <c r="E6355">
        <v>0.50426939999999998</v>
      </c>
      <c r="F6355" t="s">
        <v>95</v>
      </c>
      <c r="G6355">
        <v>-238.97579999999999</v>
      </c>
      <c r="H6355" s="1">
        <v>-3.4065389999999999E-6</v>
      </c>
      <c r="I6355">
        <v>-63.078220000000002</v>
      </c>
      <c r="J6355">
        <v>-252.0564</v>
      </c>
      <c r="K6355">
        <v>1.111219</v>
      </c>
      <c r="L6355">
        <v>-64.004149999999996</v>
      </c>
      <c r="M6355">
        <v>0.99994649999999996</v>
      </c>
      <c r="N6355">
        <v>0</v>
      </c>
      <c r="O6355">
        <v>2.188499E-3</v>
      </c>
      <c r="P6355">
        <v>0.99419550000000001</v>
      </c>
      <c r="Q6355">
        <v>7.5770409999999996E-2</v>
      </c>
      <c r="R6355">
        <v>7.6384800000000003E-2</v>
      </c>
      <c r="S6355">
        <v>3.0204620000000002</v>
      </c>
      <c r="T6355">
        <v>-0.25443900000000003</v>
      </c>
      <c r="U6355">
        <v>0.2122192</v>
      </c>
      <c r="V6355">
        <v>-7.4465690000000001E-2</v>
      </c>
      <c r="W6355">
        <v>8.5612590000000002E-2</v>
      </c>
      <c r="X6355">
        <v>0.99354180000000003</v>
      </c>
      <c r="Y6355">
        <v>-6.7673570000000002E-2</v>
      </c>
      <c r="Z6355">
        <v>2.6580250000000001E-3</v>
      </c>
      <c r="AA6355">
        <v>0.99770400000000004</v>
      </c>
      <c r="AB6355">
        <v>26</v>
      </c>
      <c r="AC6355">
        <v>13.0806</v>
      </c>
      <c r="AD6355">
        <v>-1.111222406539</v>
      </c>
      <c r="AE6355">
        <v>0.92593000000000103</v>
      </c>
      <c r="AF6355">
        <v>-0.89090200424388899</v>
      </c>
      <c r="AG6355">
        <v>-1.111222406539</v>
      </c>
      <c r="AH6355">
        <v>12.989320787493901</v>
      </c>
      <c r="AI6355">
        <v>94.878281574831504</v>
      </c>
      <c r="AJ6355">
        <v>93.923616079185393</v>
      </c>
      <c r="AK6355">
        <v>13.0671716962158</v>
      </c>
      <c r="AL6355">
        <v>85.088747805704301</v>
      </c>
      <c r="AM6355">
        <v>94.286289189937705</v>
      </c>
      <c r="AN6355">
        <v>0.99999998145046198</v>
      </c>
    </row>
    <row r="6356" spans="1:40" x14ac:dyDescent="0.25">
      <c r="A6356" t="str">
        <f>"20190312151150073"</f>
        <v>20190312151150073</v>
      </c>
      <c r="B6356" t="str">
        <f>"1552374710067540"</f>
        <v>1552374710067540</v>
      </c>
      <c r="C6356" t="s">
        <v>40</v>
      </c>
      <c r="D6356">
        <v>5.2249299999999996</v>
      </c>
      <c r="E6356">
        <v>0.50451869999999999</v>
      </c>
      <c r="F6356" t="s">
        <v>95</v>
      </c>
      <c r="G6356">
        <v>-238.89670000000001</v>
      </c>
      <c r="H6356" s="1">
        <v>-3.380673E-6</v>
      </c>
      <c r="I6356">
        <v>-63.084090000000003</v>
      </c>
      <c r="J6356">
        <v>-251.94319999999999</v>
      </c>
      <c r="K6356">
        <v>1.1112120000000001</v>
      </c>
      <c r="L6356">
        <v>-64.003109999999893</v>
      </c>
      <c r="M6356">
        <v>0.99994430000000001</v>
      </c>
      <c r="N6356">
        <v>0</v>
      </c>
      <c r="O6356">
        <v>2.974169E-3</v>
      </c>
      <c r="P6356">
        <v>0.99414610000000003</v>
      </c>
      <c r="Q6356">
        <v>7.6269859999999995E-2</v>
      </c>
      <c r="R6356">
        <v>7.6528319999999997E-2</v>
      </c>
      <c r="S6356">
        <v>3.0207519999999999</v>
      </c>
      <c r="T6356">
        <v>-0.2550769</v>
      </c>
      <c r="U6356">
        <v>0.2111816</v>
      </c>
      <c r="V6356">
        <v>-7.3828089999999999E-2</v>
      </c>
      <c r="W6356">
        <v>8.6116159999999997E-2</v>
      </c>
      <c r="X6356">
        <v>0.99354589999999998</v>
      </c>
      <c r="Y6356">
        <v>-6.6547540000000002E-2</v>
      </c>
      <c r="Z6356">
        <v>2.5508969999999999E-3</v>
      </c>
      <c r="AA6356">
        <v>0.99778</v>
      </c>
      <c r="AB6356">
        <v>26</v>
      </c>
      <c r="AC6356">
        <v>13.046499999999901</v>
      </c>
      <c r="AD6356">
        <v>-1.1112153806730001</v>
      </c>
      <c r="AE6356">
        <v>0.91901999999998896</v>
      </c>
      <c r="AF6356">
        <v>-0.87390300864077097</v>
      </c>
      <c r="AG6356">
        <v>-1.1112153806730001</v>
      </c>
      <c r="AH6356">
        <v>12.9556528261446</v>
      </c>
      <c r="AI6356">
        <v>94.891240280801796</v>
      </c>
      <c r="AJ6356">
        <v>93.858950304101896</v>
      </c>
      <c r="AK6356">
        <v>13.0325533278151</v>
      </c>
      <c r="AL6356">
        <v>85.059788596617594</v>
      </c>
      <c r="AM6356">
        <v>94.249706117041598</v>
      </c>
      <c r="AN6356">
        <v>1.0000000176465</v>
      </c>
    </row>
    <row r="6357" spans="1:40" x14ac:dyDescent="0.25">
      <c r="A6357" t="str">
        <f>"20190312151150084"</f>
        <v>20190312151150084</v>
      </c>
      <c r="B6357" t="str">
        <f>"1552374710077301"</f>
        <v>1552374710077301</v>
      </c>
      <c r="C6357" t="s">
        <v>40</v>
      </c>
      <c r="D6357">
        <v>5.2611780000000001</v>
      </c>
      <c r="E6357">
        <v>0.50480130000000001</v>
      </c>
      <c r="F6357" t="s">
        <v>95</v>
      </c>
      <c r="G6357">
        <v>-238.768</v>
      </c>
      <c r="H6357" s="1">
        <v>-3.3373659999999999E-6</v>
      </c>
      <c r="I6357">
        <v>-63.086979999999997</v>
      </c>
      <c r="J6357">
        <v>-251.83430000000001</v>
      </c>
      <c r="K6357">
        <v>1.1112070000000001</v>
      </c>
      <c r="L6357">
        <v>-64.001980000000003</v>
      </c>
      <c r="M6357">
        <v>0.99994190000000005</v>
      </c>
      <c r="N6357">
        <v>0</v>
      </c>
      <c r="O6357">
        <v>3.7233679999999999E-3</v>
      </c>
      <c r="P6357">
        <v>0.99410880000000001</v>
      </c>
      <c r="Q6357">
        <v>7.6610429999999993E-2</v>
      </c>
      <c r="R6357">
        <v>7.66733E-2</v>
      </c>
      <c r="S6357">
        <v>3.0210720000000002</v>
      </c>
      <c r="T6357">
        <v>-0.25479970000000002</v>
      </c>
      <c r="U6357">
        <v>0.2100525</v>
      </c>
      <c r="V6357">
        <v>-7.3227059999999997E-2</v>
      </c>
      <c r="W6357">
        <v>8.6461049999999998E-2</v>
      </c>
      <c r="X6357">
        <v>0.99356040000000001</v>
      </c>
      <c r="Y6357">
        <v>-6.542858E-2</v>
      </c>
      <c r="Z6357">
        <v>2.4378529999999998E-3</v>
      </c>
      <c r="AA6357">
        <v>0.99785429999999997</v>
      </c>
      <c r="AB6357">
        <v>26</v>
      </c>
      <c r="AC6357">
        <v>13.0663</v>
      </c>
      <c r="AD6357">
        <v>-1.1112103373660001</v>
      </c>
      <c r="AE6357">
        <v>0.91499999999999904</v>
      </c>
      <c r="AF6357">
        <v>-0.86014986459964804</v>
      </c>
      <c r="AG6357">
        <v>-1.1112103373660001</v>
      </c>
      <c r="AH6357">
        <v>12.9762241626107</v>
      </c>
      <c r="AI6357">
        <v>94.883879137799397</v>
      </c>
      <c r="AJ6357">
        <v>93.7923947967994</v>
      </c>
      <c r="AK6357">
        <v>13.0520894772355</v>
      </c>
      <c r="AL6357">
        <v>85.039953747886301</v>
      </c>
      <c r="AM6357">
        <v>94.215173432026305</v>
      </c>
      <c r="AN6357">
        <v>0.99999999196575295</v>
      </c>
    </row>
    <row r="6358" spans="1:40" x14ac:dyDescent="0.25">
      <c r="A6358" t="str">
        <f>"20190312151150092"</f>
        <v>20190312151150092</v>
      </c>
      <c r="B6358" t="str">
        <f>"1552374710088037"</f>
        <v>1552374710088037</v>
      </c>
      <c r="C6358" t="s">
        <v>40</v>
      </c>
      <c r="D6358">
        <v>5.2685420000000001</v>
      </c>
      <c r="E6358">
        <v>0.50512829999999997</v>
      </c>
      <c r="F6358" t="s">
        <v>95</v>
      </c>
      <c r="G6358">
        <v>-238.6404</v>
      </c>
      <c r="H6358" s="1">
        <v>-3.294923E-6</v>
      </c>
      <c r="I6358">
        <v>-63.092370000000003</v>
      </c>
      <c r="J6358">
        <v>-251.7278</v>
      </c>
      <c r="K6358">
        <v>1.1112010000000001</v>
      </c>
      <c r="L6358">
        <v>-64.00085</v>
      </c>
      <c r="M6358">
        <v>0.99993900000000002</v>
      </c>
      <c r="N6358">
        <v>0</v>
      </c>
      <c r="O6358">
        <v>4.4514109999999997E-3</v>
      </c>
      <c r="P6358">
        <v>0.99407060000000003</v>
      </c>
      <c r="Q6358">
        <v>7.7098470000000002E-2</v>
      </c>
      <c r="R6358">
        <v>7.667881E-2</v>
      </c>
      <c r="S6358">
        <v>3.0213169999999998</v>
      </c>
      <c r="T6358">
        <v>-0.25445960000000001</v>
      </c>
      <c r="U6358">
        <v>0.20828250000000001</v>
      </c>
      <c r="V6358">
        <v>-7.2508530000000002E-2</v>
      </c>
      <c r="W6358">
        <v>8.6953680000000005E-2</v>
      </c>
      <c r="X6358">
        <v>0.99357010000000001</v>
      </c>
      <c r="Y6358">
        <v>-6.4122399999999996E-2</v>
      </c>
      <c r="Z6358">
        <v>2.3184859999999998E-3</v>
      </c>
      <c r="AA6358">
        <v>0.99793929999999997</v>
      </c>
      <c r="AB6358">
        <v>26</v>
      </c>
      <c r="AC6358">
        <v>13.087400000000001</v>
      </c>
      <c r="AD6358">
        <v>-1.1112042949230001</v>
      </c>
      <c r="AE6358">
        <v>0.90848000000000395</v>
      </c>
      <c r="AF6358">
        <v>-0.84415421646219702</v>
      </c>
      <c r="AG6358">
        <v>-1.1112042949230001</v>
      </c>
      <c r="AH6358">
        <v>12.998059592553201</v>
      </c>
      <c r="AI6358">
        <v>94.876113355024003</v>
      </c>
      <c r="AJ6358">
        <v>93.715835041558194</v>
      </c>
      <c r="AK6358">
        <v>13.072755046193899</v>
      </c>
      <c r="AL6358">
        <v>85.011621395662601</v>
      </c>
      <c r="AM6358">
        <v>94.173918943325006</v>
      </c>
      <c r="AN6358">
        <v>0.99999998650115596</v>
      </c>
    </row>
    <row r="6359" spans="1:40" x14ac:dyDescent="0.25">
      <c r="A6359" t="str">
        <f>"20190312151150105"</f>
        <v>20190312151150105</v>
      </c>
      <c r="B6359" t="str">
        <f>"1552374710097797"</f>
        <v>1552374710097797</v>
      </c>
      <c r="C6359" t="s">
        <v>40</v>
      </c>
      <c r="D6359">
        <v>5.2210080000000003</v>
      </c>
      <c r="E6359">
        <v>0.50532540000000004</v>
      </c>
      <c r="F6359" t="s">
        <v>95</v>
      </c>
      <c r="G6359">
        <v>-238.49459999999999</v>
      </c>
      <c r="H6359" s="1">
        <v>-3.2463639999999998E-6</v>
      </c>
      <c r="I6359">
        <v>-63.098399999999998</v>
      </c>
      <c r="J6359">
        <v>-251.58019999999999</v>
      </c>
      <c r="K6359">
        <v>1.111192</v>
      </c>
      <c r="L6359">
        <v>-63.99915</v>
      </c>
      <c r="M6359">
        <v>0.99993399999999999</v>
      </c>
      <c r="N6359">
        <v>0</v>
      </c>
      <c r="O6359">
        <v>5.4509240000000002E-3</v>
      </c>
      <c r="P6359">
        <v>0.99402400000000002</v>
      </c>
      <c r="Q6359">
        <v>7.7483510000000005E-2</v>
      </c>
      <c r="R6359">
        <v>7.6895909999999998E-2</v>
      </c>
      <c r="S6359">
        <v>3.0216829999999999</v>
      </c>
      <c r="T6359">
        <v>-0.25373390000000001</v>
      </c>
      <c r="U6359">
        <v>0.20605470000000001</v>
      </c>
      <c r="V6359">
        <v>-7.1730959999999996E-2</v>
      </c>
      <c r="W6359">
        <v>8.7343669999999998E-2</v>
      </c>
      <c r="X6359">
        <v>0.99359229999999998</v>
      </c>
      <c r="Y6359">
        <v>-6.2394999999999999E-2</v>
      </c>
      <c r="Z6359">
        <v>2.1556800000000001E-3</v>
      </c>
      <c r="AA6359">
        <v>0.99804919999999997</v>
      </c>
      <c r="AB6359">
        <v>26</v>
      </c>
      <c r="AC6359">
        <v>13.085599999999999</v>
      </c>
      <c r="AD6359">
        <v>-1.111195246364</v>
      </c>
      <c r="AE6359">
        <v>0.90075000000000205</v>
      </c>
      <c r="AF6359">
        <v>-0.82349417288515703</v>
      </c>
      <c r="AG6359">
        <v>-1.111195246364</v>
      </c>
      <c r="AH6359">
        <v>12.9970365367348</v>
      </c>
      <c r="AI6359">
        <v>94.876947103665202</v>
      </c>
      <c r="AJ6359">
        <v>93.625422885424399</v>
      </c>
      <c r="AK6359">
        <v>13.0704191312114</v>
      </c>
      <c r="AL6359">
        <v>84.989191106176307</v>
      </c>
      <c r="AM6359">
        <v>94.129222221513402</v>
      </c>
      <c r="AN6359">
        <v>0.99999995296543898</v>
      </c>
    </row>
    <row r="6360" spans="1:40" x14ac:dyDescent="0.25">
      <c r="A6360" t="str">
        <f>"20190312151150116"</f>
        <v>20190312151150116</v>
      </c>
      <c r="B6360" t="str">
        <f>"1552374710107556"</f>
        <v>1552374710107556</v>
      </c>
      <c r="C6360" t="s">
        <v>40</v>
      </c>
      <c r="D6360">
        <v>5.2316209999999996</v>
      </c>
      <c r="E6360">
        <v>0.50557099999999999</v>
      </c>
      <c r="F6360" t="s">
        <v>95</v>
      </c>
      <c r="G6360">
        <v>-238.30109999999999</v>
      </c>
      <c r="H6360" s="1">
        <v>-3.1801080000000001E-6</v>
      </c>
      <c r="I6360">
        <v>-63.096150000000002</v>
      </c>
      <c r="J6360">
        <v>-251.45429999999999</v>
      </c>
      <c r="K6360">
        <v>1.1111850000000001</v>
      </c>
      <c r="L6360">
        <v>-63.99756</v>
      </c>
      <c r="M6360">
        <v>0.99992879999999995</v>
      </c>
      <c r="N6360">
        <v>0</v>
      </c>
      <c r="O6360">
        <v>6.2981670000000003E-3</v>
      </c>
      <c r="P6360">
        <v>0.99398529999999996</v>
      </c>
      <c r="Q6360">
        <v>7.7753829999999996E-2</v>
      </c>
      <c r="R6360">
        <v>7.7119950000000007E-2</v>
      </c>
      <c r="S6360">
        <v>3.0218349999999998</v>
      </c>
      <c r="T6360">
        <v>-0.25286649999999999</v>
      </c>
      <c r="U6360">
        <v>0.20547489999999999</v>
      </c>
      <c r="V6360">
        <v>-7.111141E-2</v>
      </c>
      <c r="W6360">
        <v>8.7618699999999994E-2</v>
      </c>
      <c r="X6360">
        <v>0.99361259999999996</v>
      </c>
      <c r="Y6360">
        <v>-6.1363189999999998E-2</v>
      </c>
      <c r="Z6360">
        <v>2.034508E-3</v>
      </c>
      <c r="AA6360">
        <v>0.99811349999999999</v>
      </c>
      <c r="AB6360">
        <v>26</v>
      </c>
      <c r="AC6360">
        <v>13.153199999999901</v>
      </c>
      <c r="AD6360">
        <v>-1.1111881801079999</v>
      </c>
      <c r="AE6360">
        <v>0.90140999999999805</v>
      </c>
      <c r="AF6360">
        <v>-0.81277321244786205</v>
      </c>
      <c r="AG6360">
        <v>-1.1111881801079999</v>
      </c>
      <c r="AH6360">
        <v>13.0658026074315</v>
      </c>
      <c r="AI6360">
        <v>94.851720028572501</v>
      </c>
      <c r="AJ6360">
        <v>93.559562933593497</v>
      </c>
      <c r="AK6360">
        <v>13.1381329435673</v>
      </c>
      <c r="AL6360">
        <v>84.973372305620003</v>
      </c>
      <c r="AM6360">
        <v>94.093595995711595</v>
      </c>
      <c r="AN6360">
        <v>0.99999993405031595</v>
      </c>
    </row>
    <row r="6361" spans="1:40" x14ac:dyDescent="0.25">
      <c r="A6361" t="str">
        <f>"20190312151150126"</f>
        <v>20190312151150126</v>
      </c>
      <c r="B6361" t="str">
        <f>"1552374710117317"</f>
        <v>1552374710117317</v>
      </c>
      <c r="C6361" t="s">
        <v>40</v>
      </c>
      <c r="D6361">
        <v>5.1848169999999998</v>
      </c>
      <c r="E6361">
        <v>0.50573369999999995</v>
      </c>
      <c r="F6361" t="s">
        <v>95</v>
      </c>
      <c r="G6361">
        <v>-238.18029999999999</v>
      </c>
      <c r="H6361" s="1">
        <v>-3.1396270000000001E-6</v>
      </c>
      <c r="I6361">
        <v>-63.099670000000003</v>
      </c>
      <c r="J6361">
        <v>-251.34559999999999</v>
      </c>
      <c r="K6361">
        <v>1.1111799999999901</v>
      </c>
      <c r="L6361">
        <v>-63.99615</v>
      </c>
      <c r="M6361">
        <v>0.99992409999999998</v>
      </c>
      <c r="N6361">
        <v>0</v>
      </c>
      <c r="O6361">
        <v>7.0215719999999898E-3</v>
      </c>
      <c r="P6361">
        <v>0.99400160000000004</v>
      </c>
      <c r="Q6361">
        <v>7.7621679999999998E-2</v>
      </c>
      <c r="R6361">
        <v>7.704482E-2</v>
      </c>
      <c r="S6361">
        <v>3.0220790000000002</v>
      </c>
      <c r="T6361">
        <v>-0.25298189999999998</v>
      </c>
      <c r="U6361">
        <v>0.2044067</v>
      </c>
      <c r="V6361">
        <v>-7.0315260000000004E-2</v>
      </c>
      <c r="W6361">
        <v>8.749092E-2</v>
      </c>
      <c r="X6361">
        <v>0.99368060000000002</v>
      </c>
      <c r="Y6361">
        <v>-6.0290570000000002E-2</v>
      </c>
      <c r="Z6361">
        <v>1.9301489999999999E-3</v>
      </c>
      <c r="AA6361">
        <v>0.99817900000000004</v>
      </c>
      <c r="AB6361">
        <v>26</v>
      </c>
      <c r="AC6361">
        <v>13.1653</v>
      </c>
      <c r="AD6361">
        <v>-1.11118313962699</v>
      </c>
      <c r="AE6361">
        <v>0.89648000000000305</v>
      </c>
      <c r="AF6361">
        <v>-0.798351040190728</v>
      </c>
      <c r="AG6361">
        <v>-1.11118313962699</v>
      </c>
      <c r="AH6361">
        <v>13.0785320263551</v>
      </c>
      <c r="AI6361">
        <v>94.847342958568007</v>
      </c>
      <c r="AJ6361">
        <v>93.493163949837097</v>
      </c>
      <c r="AK6361">
        <v>13.149908452820499</v>
      </c>
      <c r="AL6361">
        <v>84.9807221965943</v>
      </c>
      <c r="AM6361">
        <v>94.047641986944598</v>
      </c>
      <c r="AN6361">
        <v>1.00000001584383</v>
      </c>
    </row>
    <row r="6362" spans="1:40" x14ac:dyDescent="0.25">
      <c r="A6362" t="str">
        <f>"20190312151150136"</f>
        <v>20190312151150136</v>
      </c>
      <c r="B6362" t="str">
        <f>"1552374710128053"</f>
        <v>1552374710128053</v>
      </c>
      <c r="C6362" t="s">
        <v>40</v>
      </c>
      <c r="D6362">
        <v>5.2510139999999996</v>
      </c>
      <c r="E6362">
        <v>0.50603869999999995</v>
      </c>
      <c r="F6362" t="s">
        <v>95</v>
      </c>
      <c r="G6362">
        <v>-238.16480000000001</v>
      </c>
      <c r="H6362" s="1">
        <v>-3.1361930000000002E-6</v>
      </c>
      <c r="I6362">
        <v>-63.109940000000002</v>
      </c>
      <c r="J6362">
        <v>-251.21129999999999</v>
      </c>
      <c r="K6362">
        <v>1.1111709999999999</v>
      </c>
      <c r="L6362">
        <v>-63.994289999999999</v>
      </c>
      <c r="M6362">
        <v>0.99991739999999996</v>
      </c>
      <c r="N6362">
        <v>0</v>
      </c>
      <c r="O6362">
        <v>7.9136420000000002E-3</v>
      </c>
      <c r="P6362">
        <v>0.99396320000000005</v>
      </c>
      <c r="Q6362">
        <v>7.7669660000000001E-2</v>
      </c>
      <c r="R6362">
        <v>7.7490920000000005E-2</v>
      </c>
      <c r="S6362">
        <v>3.0222169999999999</v>
      </c>
      <c r="T6362">
        <v>-0.25478220000000001</v>
      </c>
      <c r="U6362">
        <v>0.20318600000000001</v>
      </c>
      <c r="V6362">
        <v>-6.987285E-2</v>
      </c>
      <c r="W6362">
        <v>8.7543159999999995E-2</v>
      </c>
      <c r="X6362">
        <v>0.99370720000000001</v>
      </c>
      <c r="Y6362">
        <v>-5.900068E-2</v>
      </c>
      <c r="Z6362">
        <v>1.814581E-3</v>
      </c>
      <c r="AA6362">
        <v>0.99825629999999999</v>
      </c>
      <c r="AB6362">
        <v>26</v>
      </c>
      <c r="AC6362">
        <v>13.046499999999901</v>
      </c>
      <c r="AD6362">
        <v>-1.1111741361930001</v>
      </c>
      <c r="AE6362">
        <v>0.88434999999999697</v>
      </c>
      <c r="AF6362">
        <v>-0.77547215035251404</v>
      </c>
      <c r="AG6362">
        <v>-1.1111741361930001</v>
      </c>
      <c r="AH6362">
        <v>12.9595121716098</v>
      </c>
      <c r="AI6362">
        <v>94.891959557756195</v>
      </c>
      <c r="AJ6362">
        <v>93.424385444851097</v>
      </c>
      <c r="AK6362">
        <v>13.030158124252299</v>
      </c>
      <c r="AL6362">
        <v>84.977717505274896</v>
      </c>
      <c r="AM6362">
        <v>94.022151544064698</v>
      </c>
      <c r="AN6362">
        <v>1.0000000096808701</v>
      </c>
    </row>
    <row r="6363" spans="1:40" x14ac:dyDescent="0.25">
      <c r="A6363" t="str">
        <f>"20190312151150148"</f>
        <v>20190312151150148</v>
      </c>
      <c r="B6363" t="str">
        <f>"1552374710137812"</f>
        <v>1552374710137812</v>
      </c>
      <c r="C6363" t="s">
        <v>40</v>
      </c>
      <c r="D6363">
        <v>5.2179279999999997</v>
      </c>
      <c r="E6363">
        <v>0.50621549999999904</v>
      </c>
      <c r="F6363" t="s">
        <v>95</v>
      </c>
      <c r="G6363">
        <v>-238.02549999999999</v>
      </c>
      <c r="H6363" s="1">
        <v>-3.0891089999999998E-6</v>
      </c>
      <c r="I6363">
        <v>-63.111899999999999</v>
      </c>
      <c r="J6363">
        <v>-251.08459999999999</v>
      </c>
      <c r="K6363">
        <v>1.1111629999999999</v>
      </c>
      <c r="L6363">
        <v>-63.992400000000004</v>
      </c>
      <c r="M6363">
        <v>0.99991039999999998</v>
      </c>
      <c r="N6363">
        <v>0</v>
      </c>
      <c r="O6363">
        <v>8.7451130000000005E-3</v>
      </c>
      <c r="P6363">
        <v>0.99392420000000004</v>
      </c>
      <c r="Q6363">
        <v>7.7694189999999996E-2</v>
      </c>
      <c r="R6363">
        <v>7.7964140000000001E-2</v>
      </c>
      <c r="S6363">
        <v>3.022354</v>
      </c>
      <c r="T6363">
        <v>-0.25469360000000002</v>
      </c>
      <c r="U6363">
        <v>0.20224</v>
      </c>
      <c r="V6363">
        <v>-6.9517789999999996E-2</v>
      </c>
      <c r="W6363">
        <v>8.7567870000000006E-2</v>
      </c>
      <c r="X6363">
        <v>0.99372990000000005</v>
      </c>
      <c r="Y6363">
        <v>-5.7863520000000002E-2</v>
      </c>
      <c r="Z6363">
        <v>1.696255E-3</v>
      </c>
      <c r="AA6363">
        <v>0.99832310000000002</v>
      </c>
      <c r="AB6363">
        <v>26</v>
      </c>
      <c r="AC6363">
        <v>13.059100000000001</v>
      </c>
      <c r="AD6363">
        <v>-1.1111660891089901</v>
      </c>
      <c r="AE6363">
        <v>0.88050000000000495</v>
      </c>
      <c r="AF6363">
        <v>-0.76077416701868295</v>
      </c>
      <c r="AG6363">
        <v>-1.1111660891089901</v>
      </c>
      <c r="AH6363">
        <v>12.9728045156648</v>
      </c>
      <c r="AI6363">
        <v>94.887279060168893</v>
      </c>
      <c r="AJ6363">
        <v>93.356196627214402</v>
      </c>
      <c r="AK6363">
        <v>13.042512197136</v>
      </c>
      <c r="AL6363">
        <v>84.976296142036702</v>
      </c>
      <c r="AM6363">
        <v>94.001688373599407</v>
      </c>
      <c r="AN6363">
        <v>0.99999998456841499</v>
      </c>
    </row>
    <row r="6364" spans="1:40" x14ac:dyDescent="0.25">
      <c r="A6364" t="str">
        <f>"20190312151150162"</f>
        <v>20190312151150162</v>
      </c>
      <c r="B6364" t="str">
        <f>"1552374710157332"</f>
        <v>1552374710157332</v>
      </c>
      <c r="C6364" t="s">
        <v>40</v>
      </c>
      <c r="D6364">
        <v>5.2208170000000003</v>
      </c>
      <c r="E6364">
        <v>0.50652450000000004</v>
      </c>
      <c r="F6364" t="s">
        <v>95</v>
      </c>
      <c r="G6364">
        <v>-237.94710000000001</v>
      </c>
      <c r="H6364" s="1">
        <v>-3.0624859999999999E-6</v>
      </c>
      <c r="I6364">
        <v>-63.112200000000001</v>
      </c>
      <c r="J6364">
        <v>-250.9256</v>
      </c>
      <c r="K6364">
        <v>1.1111530000000001</v>
      </c>
      <c r="L6364">
        <v>-63.989899999999999</v>
      </c>
      <c r="M6364">
        <v>0.99990100000000004</v>
      </c>
      <c r="N6364">
        <v>0</v>
      </c>
      <c r="O6364">
        <v>9.7835800000000001E-3</v>
      </c>
      <c r="P6364">
        <v>0.9938593</v>
      </c>
      <c r="Q6364">
        <v>7.7933829999999996E-2</v>
      </c>
      <c r="R6364">
        <v>7.8552129999999998E-2</v>
      </c>
      <c r="S6364">
        <v>3.0224299999999999</v>
      </c>
      <c r="T6364">
        <v>-0.255635</v>
      </c>
      <c r="U6364">
        <v>0.2024841</v>
      </c>
      <c r="V6364">
        <v>-6.9072819999999993E-2</v>
      </c>
      <c r="W6364">
        <v>8.7807259999999998E-2</v>
      </c>
      <c r="X6364">
        <v>0.99373979999999995</v>
      </c>
      <c r="Y6364">
        <v>-5.6911099999999999E-2</v>
      </c>
      <c r="Z6364">
        <v>1.5747269999999999E-3</v>
      </c>
      <c r="AA6364">
        <v>0.99837799999999999</v>
      </c>
      <c r="AB6364">
        <v>26</v>
      </c>
      <c r="AC6364">
        <v>12.978499999999899</v>
      </c>
      <c r="AD6364">
        <v>-1.111156062486</v>
      </c>
      <c r="AE6364">
        <v>0.87769999999999704</v>
      </c>
      <c r="AF6364">
        <v>-0.74523761525982501</v>
      </c>
      <c r="AG6364">
        <v>-1.111156062486</v>
      </c>
      <c r="AH6364">
        <v>12.892395853764899</v>
      </c>
      <c r="AI6364">
        <v>94.917805728193102</v>
      </c>
      <c r="AJ6364">
        <v>93.308268552642403</v>
      </c>
      <c r="AK6364">
        <v>12.9616325263669</v>
      </c>
      <c r="AL6364">
        <v>84.962527042624401</v>
      </c>
      <c r="AM6364">
        <v>93.9761172726175</v>
      </c>
      <c r="AN6364">
        <v>0.99999997973774901</v>
      </c>
    </row>
    <row r="6365" spans="1:40" x14ac:dyDescent="0.25">
      <c r="A6365" t="str">
        <f>"20190312151150171"</f>
        <v>20190312151150171</v>
      </c>
      <c r="B6365" t="str">
        <f>"1552374710167093"</f>
        <v>1552374710167093</v>
      </c>
      <c r="C6365" t="s">
        <v>40</v>
      </c>
      <c r="D6365">
        <v>5.2201849999999999</v>
      </c>
      <c r="E6365">
        <v>0.50668279999999999</v>
      </c>
      <c r="F6365" t="s">
        <v>95</v>
      </c>
      <c r="G6365">
        <v>-237.86170000000001</v>
      </c>
      <c r="H6365" s="1">
        <v>-3.034244E-6</v>
      </c>
      <c r="I6365">
        <v>-63.116709999999998</v>
      </c>
      <c r="J6365">
        <v>-250.8125</v>
      </c>
      <c r="K6365">
        <v>1.1111409999999999</v>
      </c>
      <c r="L6365">
        <v>-63.988039999999998</v>
      </c>
      <c r="M6365">
        <v>0.99989349999999999</v>
      </c>
      <c r="N6365">
        <v>0</v>
      </c>
      <c r="O6365">
        <v>1.051684E-2</v>
      </c>
      <c r="P6365">
        <v>0.99380590000000002</v>
      </c>
      <c r="Q6365">
        <v>7.8006149999999996E-2</v>
      </c>
      <c r="R6365">
        <v>7.9152399999999901E-2</v>
      </c>
      <c r="S6365">
        <v>3.022751</v>
      </c>
      <c r="T6365">
        <v>-0.25710139999999998</v>
      </c>
      <c r="U6365">
        <v>0.20202639999999999</v>
      </c>
      <c r="V6365">
        <v>-6.8943019999999994E-2</v>
      </c>
      <c r="W6365">
        <v>8.7877579999999997E-2</v>
      </c>
      <c r="X6365">
        <v>0.99374260000000003</v>
      </c>
      <c r="Y6365">
        <v>-5.6025289999999998E-2</v>
      </c>
      <c r="Z6365">
        <v>1.48383E-3</v>
      </c>
      <c r="AA6365">
        <v>0.99842819999999999</v>
      </c>
      <c r="AB6365">
        <v>26</v>
      </c>
      <c r="AC6365">
        <v>12.9507999999999</v>
      </c>
      <c r="AD6365">
        <v>-1.111144034244</v>
      </c>
      <c r="AE6365">
        <v>0.87133000000000704</v>
      </c>
      <c r="AF6365">
        <v>-0.72972590390342396</v>
      </c>
      <c r="AG6365">
        <v>-1.111144034244</v>
      </c>
      <c r="AH6365">
        <v>12.8649731511928</v>
      </c>
      <c r="AI6365">
        <v>94.928486761475995</v>
      </c>
      <c r="AJ6365">
        <v>93.246447594160898</v>
      </c>
      <c r="AK6365">
        <v>12.933471117243601</v>
      </c>
      <c r="AL6365">
        <v>84.9584823799226</v>
      </c>
      <c r="AM6365">
        <v>93.968658199576694</v>
      </c>
      <c r="AN6365">
        <v>0.99999998206406804</v>
      </c>
    </row>
    <row r="6366" spans="1:40" x14ac:dyDescent="0.25">
      <c r="A6366" t="str">
        <f>"20190312151150182"</f>
        <v>20190312151150182</v>
      </c>
      <c r="B6366" t="str">
        <f>"1552374710177829"</f>
        <v>1552374710177829</v>
      </c>
      <c r="C6366" t="s">
        <v>40</v>
      </c>
      <c r="D6366">
        <v>5.2002280000000001</v>
      </c>
      <c r="E6366">
        <v>0.506909099999999</v>
      </c>
      <c r="F6366" t="s">
        <v>95</v>
      </c>
      <c r="G6366">
        <v>-237.7835</v>
      </c>
      <c r="H6366" s="1">
        <v>-3.007233E-6</v>
      </c>
      <c r="I6366">
        <v>-63.114429999999999</v>
      </c>
      <c r="J6366">
        <v>-250.69630000000001</v>
      </c>
      <c r="K6366">
        <v>1.1111329999999999</v>
      </c>
      <c r="L6366">
        <v>-63.986020000000003</v>
      </c>
      <c r="M6366">
        <v>0.99988540000000004</v>
      </c>
      <c r="N6366">
        <v>0</v>
      </c>
      <c r="O6366">
        <v>1.126656E-2</v>
      </c>
      <c r="P6366">
        <v>0.99374600000000002</v>
      </c>
      <c r="Q6366">
        <v>7.8129309999999993E-2</v>
      </c>
      <c r="R6366">
        <v>7.9779950000000002E-2</v>
      </c>
      <c r="S6366">
        <v>3.0227970000000002</v>
      </c>
      <c r="T6366">
        <v>-0.25779210000000002</v>
      </c>
      <c r="U6366">
        <v>0.20266719999999999</v>
      </c>
      <c r="V6366">
        <v>-6.8824280000000002E-2</v>
      </c>
      <c r="W6366">
        <v>8.7998199999999999E-2</v>
      </c>
      <c r="X6366">
        <v>0.99374019999999996</v>
      </c>
      <c r="Y6366">
        <v>-5.5490159999999997E-2</v>
      </c>
      <c r="Z6366">
        <v>1.4012779999999999E-3</v>
      </c>
      <c r="AA6366">
        <v>0.99845830000000002</v>
      </c>
      <c r="AB6366">
        <v>26</v>
      </c>
      <c r="AC6366">
        <v>12.912800000000001</v>
      </c>
      <c r="AD6366">
        <v>-1.1111360072330001</v>
      </c>
      <c r="AE6366">
        <v>0.87158999999998998</v>
      </c>
      <c r="AF6366">
        <v>-0.72073197022169799</v>
      </c>
      <c r="AG6366">
        <v>-1.1111360072330001</v>
      </c>
      <c r="AH6366">
        <v>12.827252506674199</v>
      </c>
      <c r="AI6366">
        <v>94.943020461401602</v>
      </c>
      <c r="AJ6366">
        <v>93.2159283987869</v>
      </c>
      <c r="AK6366">
        <v>12.895444337805801</v>
      </c>
      <c r="AL6366">
        <v>84.951544702043606</v>
      </c>
      <c r="AM6366">
        <v>93.961854335268399</v>
      </c>
      <c r="AN6366">
        <v>1.00000002490839</v>
      </c>
    </row>
    <row r="6367" spans="1:40" x14ac:dyDescent="0.25">
      <c r="A6367" t="str">
        <f>"20190312151150193"</f>
        <v>20190312151150193</v>
      </c>
      <c r="B6367" t="str">
        <f>"1552374710187589"</f>
        <v>1552374710187589</v>
      </c>
      <c r="C6367" t="s">
        <v>40</v>
      </c>
      <c r="D6367">
        <v>5.1781969999999999</v>
      </c>
      <c r="E6367">
        <v>0.50704229999999995</v>
      </c>
      <c r="F6367" t="s">
        <v>95</v>
      </c>
      <c r="G6367">
        <v>-237.68709999999999</v>
      </c>
      <c r="H6367" s="1">
        <v>-2.9741020000000001E-6</v>
      </c>
      <c r="I6367">
        <v>-63.112589999999997</v>
      </c>
      <c r="J6367">
        <v>-250.56379999999999</v>
      </c>
      <c r="K6367">
        <v>1.1111260000000001</v>
      </c>
      <c r="L6367">
        <v>-63.983640000000001</v>
      </c>
      <c r="M6367">
        <v>0.99987550000000003</v>
      </c>
      <c r="N6367">
        <v>0</v>
      </c>
      <c r="O6367">
        <v>1.211593E-2</v>
      </c>
      <c r="P6367">
        <v>0.99369350000000001</v>
      </c>
      <c r="Q6367">
        <v>7.8251269999999998E-2</v>
      </c>
      <c r="R6367">
        <v>8.0312889999999998E-2</v>
      </c>
      <c r="S6367">
        <v>3.022888</v>
      </c>
      <c r="T6367">
        <v>-0.25819110000000001</v>
      </c>
      <c r="U6367">
        <v>0.20294190000000001</v>
      </c>
      <c r="V6367">
        <v>-6.8512240000000002E-2</v>
      </c>
      <c r="W6367">
        <v>8.8118390000000005E-2</v>
      </c>
      <c r="X6367">
        <v>0.9937511</v>
      </c>
      <c r="Y6367">
        <v>-5.4735619999999999E-2</v>
      </c>
      <c r="Z6367">
        <v>1.298944E-3</v>
      </c>
      <c r="AA6367">
        <v>0.99850000000000005</v>
      </c>
      <c r="AB6367">
        <v>26</v>
      </c>
      <c r="AC6367">
        <v>12.8767</v>
      </c>
      <c r="AD6367">
        <v>-1.1111289741020001</v>
      </c>
      <c r="AE6367">
        <v>0.87104999999999599</v>
      </c>
      <c r="AF6367">
        <v>-0.70970454036198605</v>
      </c>
      <c r="AG6367">
        <v>-1.1111289741020001</v>
      </c>
      <c r="AH6367">
        <v>12.791497929641199</v>
      </c>
      <c r="AI6367">
        <v>94.956930702786096</v>
      </c>
      <c r="AJ6367">
        <v>93.1756583525964</v>
      </c>
      <c r="AK6367">
        <v>12.859265430642401</v>
      </c>
      <c r="AL6367">
        <v>84.944631407536306</v>
      </c>
      <c r="AM6367">
        <v>93.943905514563895</v>
      </c>
      <c r="AN6367">
        <v>1.0000000132186</v>
      </c>
    </row>
    <row r="6368" spans="1:40" x14ac:dyDescent="0.25">
      <c r="A6368" t="str">
        <f>"20190312151150205"</f>
        <v>20190312151150205</v>
      </c>
      <c r="B6368" t="str">
        <f>"1552374710197349"</f>
        <v>1552374710197349</v>
      </c>
      <c r="C6368" t="s">
        <v>40</v>
      </c>
      <c r="D6368">
        <v>5.1860759999999999</v>
      </c>
      <c r="E6368">
        <v>0.50720010000000004</v>
      </c>
      <c r="F6368" t="s">
        <v>95</v>
      </c>
      <c r="G6368">
        <v>-237.5778</v>
      </c>
      <c r="H6368" s="1">
        <v>-2.9362170000000002E-6</v>
      </c>
      <c r="I6368">
        <v>-63.108759999999997</v>
      </c>
      <c r="J6368">
        <v>-250.42869999999999</v>
      </c>
      <c r="K6368">
        <v>1.1111230000000001</v>
      </c>
      <c r="L6368">
        <v>-63.981110000000001</v>
      </c>
      <c r="M6368">
        <v>0.9998648</v>
      </c>
      <c r="N6368">
        <v>0</v>
      </c>
      <c r="O6368">
        <v>1.2977280000000001E-2</v>
      </c>
      <c r="P6368">
        <v>0.99359980000000003</v>
      </c>
      <c r="Q6368">
        <v>7.8692499999999999E-2</v>
      </c>
      <c r="R6368">
        <v>8.1037129999999999E-2</v>
      </c>
      <c r="S6368">
        <v>3.0229339999999998</v>
      </c>
      <c r="T6368">
        <v>-0.25865300000000002</v>
      </c>
      <c r="U6368">
        <v>0.20364380000000001</v>
      </c>
      <c r="V6368">
        <v>-6.8381159999999996E-2</v>
      </c>
      <c r="W6368">
        <v>8.8556319999999994E-2</v>
      </c>
      <c r="X6368">
        <v>0.99372119999999997</v>
      </c>
      <c r="Y6368">
        <v>-5.411009E-2</v>
      </c>
      <c r="Z6368">
        <v>1.2010809999999999E-3</v>
      </c>
      <c r="AA6368">
        <v>0.99853429999999999</v>
      </c>
      <c r="AB6368">
        <v>26</v>
      </c>
      <c r="AC6368">
        <v>12.8508999999999</v>
      </c>
      <c r="AD6368">
        <v>-1.1111259362169901</v>
      </c>
      <c r="AE6368">
        <v>0.87235000000000396</v>
      </c>
      <c r="AF6368">
        <v>-0.70028708753900903</v>
      </c>
      <c r="AG6368">
        <v>-1.1111259362169901</v>
      </c>
      <c r="AH6368">
        <v>12.766139302113499</v>
      </c>
      <c r="AI6368">
        <v>94.966884979905501</v>
      </c>
      <c r="AJ6368">
        <v>93.139815510760997</v>
      </c>
      <c r="AK6368">
        <v>12.833523114565001</v>
      </c>
      <c r="AL6368">
        <v>84.919441393892598</v>
      </c>
      <c r="AM6368">
        <v>93.936501710735797</v>
      </c>
      <c r="AN6368">
        <v>1.0000000140921601</v>
      </c>
    </row>
    <row r="6369" spans="1:40" x14ac:dyDescent="0.25">
      <c r="A6369" t="str">
        <f>"20190312151150216"</f>
        <v>20190312151150216</v>
      </c>
      <c r="B6369" t="str">
        <f>"1552374710207109"</f>
        <v>1552374710207109</v>
      </c>
      <c r="C6369" t="s">
        <v>40</v>
      </c>
      <c r="D6369">
        <v>5.145308</v>
      </c>
      <c r="E6369">
        <v>0.50722089999999997</v>
      </c>
      <c r="F6369" t="s">
        <v>95</v>
      </c>
      <c r="G6369">
        <v>-237.4221</v>
      </c>
      <c r="H6369" s="1">
        <v>-2.8815560000000001E-6</v>
      </c>
      <c r="I6369">
        <v>-63.099240000000002</v>
      </c>
      <c r="J6369">
        <v>-250.28700000000001</v>
      </c>
      <c r="K6369">
        <v>1.1111169999999999</v>
      </c>
      <c r="L6369">
        <v>-63.978360000000002</v>
      </c>
      <c r="M6369">
        <v>0.99985259999999998</v>
      </c>
      <c r="N6369">
        <v>0</v>
      </c>
      <c r="O6369">
        <v>1.387773E-2</v>
      </c>
      <c r="P6369">
        <v>0.99356659999999997</v>
      </c>
      <c r="Q6369">
        <v>7.8369889999999998E-2</v>
      </c>
      <c r="R6369">
        <v>8.1754220000000002E-2</v>
      </c>
      <c r="S6369">
        <v>3.023056</v>
      </c>
      <c r="T6369">
        <v>-0.25825389999999998</v>
      </c>
      <c r="U6369">
        <v>0.2049561</v>
      </c>
      <c r="V6369">
        <v>-6.8201150000000002E-2</v>
      </c>
      <c r="W6369">
        <v>8.8231900000000002E-2</v>
      </c>
      <c r="X6369">
        <v>0.99376240000000005</v>
      </c>
      <c r="Y6369">
        <v>-5.3645030000000003E-2</v>
      </c>
      <c r="Z6369">
        <v>1.1026860000000001E-3</v>
      </c>
      <c r="AA6369">
        <v>0.99855950000000004</v>
      </c>
      <c r="AB6369">
        <v>26</v>
      </c>
      <c r="AC6369">
        <v>12.8649</v>
      </c>
      <c r="AD6369">
        <v>-1.1111198815559999</v>
      </c>
      <c r="AE6369">
        <v>0.87911999999999302</v>
      </c>
      <c r="AF6369">
        <v>-0.69532791817830397</v>
      </c>
      <c r="AG6369">
        <v>-1.1111198815559999</v>
      </c>
      <c r="AH6369">
        <v>12.78096546848</v>
      </c>
      <c r="AI6369">
        <v>94.961246605075303</v>
      </c>
      <c r="AJ6369">
        <v>93.114015155434799</v>
      </c>
      <c r="AK6369">
        <v>12.8480016582917</v>
      </c>
      <c r="AL6369">
        <v>84.938102196472101</v>
      </c>
      <c r="AM6369">
        <v>93.926009252869903</v>
      </c>
      <c r="AN6369">
        <v>0.99999998634634601</v>
      </c>
    </row>
    <row r="6370" spans="1:40" x14ac:dyDescent="0.25">
      <c r="A6370" t="str">
        <f>"20190312151150229"</f>
        <v>20190312151150229</v>
      </c>
      <c r="B6370" t="str">
        <f>"1552374710217844"</f>
        <v>1552374710217844</v>
      </c>
      <c r="C6370" t="s">
        <v>40</v>
      </c>
      <c r="D6370">
        <v>5.1551729999999996</v>
      </c>
      <c r="E6370">
        <v>0.50747159999999902</v>
      </c>
      <c r="F6370" t="s">
        <v>95</v>
      </c>
      <c r="G6370">
        <v>-237.4572</v>
      </c>
      <c r="H6370" s="1">
        <v>-2.893279E-6</v>
      </c>
      <c r="I6370">
        <v>-63.098100000000002</v>
      </c>
      <c r="J6370">
        <v>-250.148</v>
      </c>
      <c r="K6370">
        <v>1.11111</v>
      </c>
      <c r="L6370">
        <v>-63.975459999999998</v>
      </c>
      <c r="M6370">
        <v>0.99984010000000001</v>
      </c>
      <c r="N6370">
        <v>0</v>
      </c>
      <c r="O6370">
        <v>1.47519E-2</v>
      </c>
      <c r="P6370">
        <v>0.99348919999999996</v>
      </c>
      <c r="Q6370">
        <v>7.8493110000000005E-2</v>
      </c>
      <c r="R6370">
        <v>8.2571779999999997E-2</v>
      </c>
      <c r="S6370">
        <v>3.0230260000000002</v>
      </c>
      <c r="T6370">
        <v>-0.26180730000000002</v>
      </c>
      <c r="U6370">
        <v>0.20739750000000001</v>
      </c>
      <c r="V6370">
        <v>-6.8148790000000001E-2</v>
      </c>
      <c r="W6370">
        <v>8.8352559999999997E-2</v>
      </c>
      <c r="X6370">
        <v>0.99375530000000001</v>
      </c>
      <c r="Y6370">
        <v>-5.357493E-2</v>
      </c>
      <c r="Z6370">
        <v>1.0393010000000001E-3</v>
      </c>
      <c r="AA6370">
        <v>0.99856330000000004</v>
      </c>
      <c r="AB6370">
        <v>26</v>
      </c>
      <c r="AC6370">
        <v>12.6907999999999</v>
      </c>
      <c r="AD6370">
        <v>-1.111112893279</v>
      </c>
      <c r="AE6370">
        <v>0.87735999999999503</v>
      </c>
      <c r="AF6370">
        <v>-0.68481707475308395</v>
      </c>
      <c r="AG6370">
        <v>-1.111112893279</v>
      </c>
      <c r="AH6370">
        <v>12.606189670448799</v>
      </c>
      <c r="AI6370">
        <v>95.029670400082097</v>
      </c>
      <c r="AJ6370">
        <v>93.109472409915995</v>
      </c>
      <c r="AK6370">
        <v>12.673577407141799</v>
      </c>
      <c r="AL6370">
        <v>84.931161924984593</v>
      </c>
      <c r="AM6370">
        <v>93.923032497569196</v>
      </c>
      <c r="AN6370">
        <v>1.00000001435755</v>
      </c>
    </row>
    <row r="6371" spans="1:40" x14ac:dyDescent="0.25">
      <c r="A6371" t="str">
        <f>"20190312151150243"</f>
        <v>20190312151150243</v>
      </c>
      <c r="B6371" t="str">
        <f>"1552374710237365"</f>
        <v>1552374710237365</v>
      </c>
      <c r="C6371" t="s">
        <v>40</v>
      </c>
      <c r="D6371">
        <v>5.1734910000000003</v>
      </c>
      <c r="E6371">
        <v>0.5081485</v>
      </c>
      <c r="F6371" t="s">
        <v>95</v>
      </c>
      <c r="G6371">
        <v>-237.3467</v>
      </c>
      <c r="H6371" s="1">
        <v>-2.8549680000000002E-6</v>
      </c>
      <c r="I6371">
        <v>-63.094070000000002</v>
      </c>
      <c r="J6371">
        <v>-249.995</v>
      </c>
      <c r="K6371">
        <v>1.111105</v>
      </c>
      <c r="L6371">
        <v>-63.972230000000003</v>
      </c>
      <c r="M6371">
        <v>0.99982570000000004</v>
      </c>
      <c r="N6371">
        <v>0</v>
      </c>
      <c r="O6371">
        <v>1.5710459999999999E-2</v>
      </c>
      <c r="P6371">
        <v>0.99341849999999998</v>
      </c>
      <c r="Q6371">
        <v>7.8653189999999998E-2</v>
      </c>
      <c r="R6371">
        <v>8.3268019999999998E-2</v>
      </c>
      <c r="S6371">
        <v>3.0230869999999999</v>
      </c>
      <c r="T6371">
        <v>-0.26239380000000001</v>
      </c>
      <c r="U6371">
        <v>0.20812990000000001</v>
      </c>
      <c r="V6371">
        <v>-6.7891950000000006E-2</v>
      </c>
      <c r="W6371">
        <v>8.8510710000000006E-2</v>
      </c>
      <c r="X6371">
        <v>0.99375880000000005</v>
      </c>
      <c r="Y6371">
        <v>-5.2862609999999997E-2</v>
      </c>
      <c r="Z6371">
        <v>9.2785199999999995E-4</v>
      </c>
      <c r="AA6371">
        <v>0.99860139999999997</v>
      </c>
      <c r="AB6371">
        <v>26</v>
      </c>
      <c r="AC6371">
        <v>12.648300000000001</v>
      </c>
      <c r="AD6371">
        <v>-1.111107854968</v>
      </c>
      <c r="AE6371">
        <v>0.87816000000000805</v>
      </c>
      <c r="AF6371">
        <v>-0.67415340792001899</v>
      </c>
      <c r="AG6371">
        <v>-1.111107854968</v>
      </c>
      <c r="AH6371">
        <v>12.564044309352701</v>
      </c>
      <c r="AI6371">
        <v>95.046612537640002</v>
      </c>
      <c r="AJ6371">
        <v>93.071394712420798</v>
      </c>
      <c r="AK6371">
        <v>12.6310828075095</v>
      </c>
      <c r="AL6371">
        <v>84.922064923609895</v>
      </c>
      <c r="AM6371">
        <v>93.908279508805606</v>
      </c>
      <c r="AN6371">
        <v>1.0000000076184701</v>
      </c>
    </row>
    <row r="6372" spans="1:40" x14ac:dyDescent="0.25">
      <c r="A6372" t="str">
        <f>"20190312151150253"</f>
        <v>20190312151150253</v>
      </c>
      <c r="B6372" t="str">
        <f>"1552374710247124"</f>
        <v>1552374710247124</v>
      </c>
      <c r="C6372" t="s">
        <v>40</v>
      </c>
      <c r="D6372">
        <v>5.2761230000000001</v>
      </c>
      <c r="E6372">
        <v>0.50834570000000001</v>
      </c>
      <c r="F6372" t="s">
        <v>95</v>
      </c>
      <c r="G6372">
        <v>-237.1173</v>
      </c>
      <c r="H6372" s="1">
        <v>-2.7629420000000002E-6</v>
      </c>
      <c r="I6372">
        <v>-63.099049999999998</v>
      </c>
      <c r="J6372">
        <v>-249.8595</v>
      </c>
      <c r="K6372">
        <v>1.1110979999999999</v>
      </c>
      <c r="L6372">
        <v>-63.969180000000001</v>
      </c>
      <c r="M6372">
        <v>0.99981209999999998</v>
      </c>
      <c r="N6372">
        <v>0</v>
      </c>
      <c r="O6372">
        <v>1.6552560000000001E-2</v>
      </c>
      <c r="P6372">
        <v>0.99335560000000001</v>
      </c>
      <c r="Q6372">
        <v>7.8559699999999996E-2</v>
      </c>
      <c r="R6372">
        <v>8.4101860000000001E-2</v>
      </c>
      <c r="S6372">
        <v>3.023361</v>
      </c>
      <c r="T6372">
        <v>-0.2608606</v>
      </c>
      <c r="U6372">
        <v>0.20498659999999999</v>
      </c>
      <c r="V6372">
        <v>-6.7887779999999995E-2</v>
      </c>
      <c r="W6372">
        <v>8.8415240000000006E-2</v>
      </c>
      <c r="X6372">
        <v>0.99376759999999997</v>
      </c>
      <c r="Y6372">
        <v>-5.0993490000000002E-2</v>
      </c>
      <c r="Z6372">
        <v>7.6958539999999996E-4</v>
      </c>
      <c r="AA6372">
        <v>0.99869870000000005</v>
      </c>
      <c r="AB6372">
        <v>26</v>
      </c>
      <c r="AC6372">
        <v>12.742199999999899</v>
      </c>
      <c r="AD6372">
        <v>-1.111100762942</v>
      </c>
      <c r="AE6372">
        <v>0.87013000000000296</v>
      </c>
      <c r="AF6372">
        <v>-0.65413334455908301</v>
      </c>
      <c r="AG6372">
        <v>-1.111100762942</v>
      </c>
      <c r="AH6372">
        <v>12.659050390194</v>
      </c>
      <c r="AI6372">
        <v>95.0094186826841</v>
      </c>
      <c r="AJ6372">
        <v>92.958024039945201</v>
      </c>
      <c r="AK6372">
        <v>12.724542904141799</v>
      </c>
      <c r="AL6372">
        <v>84.927556565167706</v>
      </c>
      <c r="AM6372">
        <v>93.908005702541303</v>
      </c>
      <c r="AN6372">
        <v>1.0000000240736699</v>
      </c>
    </row>
    <row r="6373" spans="1:40" x14ac:dyDescent="0.25">
      <c r="A6373" t="str">
        <f>"20190312151150263"</f>
        <v>20190312151150263</v>
      </c>
      <c r="B6373" t="str">
        <f>"1552374710257860"</f>
        <v>1552374710257860</v>
      </c>
      <c r="C6373" t="s">
        <v>40</v>
      </c>
      <c r="D6373">
        <v>5.1802359999999998</v>
      </c>
      <c r="E6373">
        <v>0.5085385</v>
      </c>
      <c r="F6373" t="s">
        <v>95</v>
      </c>
      <c r="G6373">
        <v>-236.91839999999999</v>
      </c>
      <c r="H6373" s="1">
        <v>-2.6745369999999999E-6</v>
      </c>
      <c r="I6373">
        <v>-63.087470000000003</v>
      </c>
      <c r="J6373">
        <v>-249.7499</v>
      </c>
      <c r="K6373">
        <v>1.1110930000000001</v>
      </c>
      <c r="L6373">
        <v>-63.966669999999901</v>
      </c>
      <c r="M6373">
        <v>0.99980069999999999</v>
      </c>
      <c r="N6373">
        <v>0</v>
      </c>
      <c r="O6373">
        <v>1.7228480000000001E-2</v>
      </c>
      <c r="P6373">
        <v>0.99330629999999998</v>
      </c>
      <c r="Q6373">
        <v>7.8424300000000002E-2</v>
      </c>
      <c r="R6373">
        <v>8.480857E-2</v>
      </c>
      <c r="S6373">
        <v>3.0231780000000001</v>
      </c>
      <c r="T6373">
        <v>-0.25956580000000001</v>
      </c>
      <c r="U6373">
        <v>0.20596310000000001</v>
      </c>
      <c r="V6373">
        <v>-6.7921309999999999E-2</v>
      </c>
      <c r="W6373">
        <v>8.8277980000000006E-2</v>
      </c>
      <c r="X6373">
        <v>0.99377749999999998</v>
      </c>
      <c r="Y6373">
        <v>-5.0648510000000001E-2</v>
      </c>
      <c r="Z6373">
        <v>6.9321200000000002E-4</v>
      </c>
      <c r="AA6373">
        <v>0.9987163</v>
      </c>
      <c r="AB6373">
        <v>26</v>
      </c>
      <c r="AC6373">
        <v>12.8315</v>
      </c>
      <c r="AD6373">
        <v>-1.111095674537</v>
      </c>
      <c r="AE6373">
        <v>0.87919999999999698</v>
      </c>
      <c r="AF6373">
        <v>-0.65311679148231205</v>
      </c>
      <c r="AG6373">
        <v>-1.111095674537</v>
      </c>
      <c r="AH6373">
        <v>12.7495930781357</v>
      </c>
      <c r="AI6373">
        <v>94.974113606807194</v>
      </c>
      <c r="AJ6373">
        <v>92.932497863609399</v>
      </c>
      <c r="AK6373">
        <v>12.8145705663255</v>
      </c>
      <c r="AL6373">
        <v>84.935451798680603</v>
      </c>
      <c r="AM6373">
        <v>93.909891064350603</v>
      </c>
      <c r="AN6373">
        <v>1.0000000128056199</v>
      </c>
    </row>
    <row r="6374" spans="1:40" x14ac:dyDescent="0.25">
      <c r="A6374" t="str">
        <f>"20190312151150273"</f>
        <v>20190312151150273</v>
      </c>
      <c r="B6374" t="str">
        <f>"1552374710267620"</f>
        <v>1552374710267620</v>
      </c>
      <c r="C6374" t="s">
        <v>40</v>
      </c>
      <c r="D6374">
        <v>5.1879970000000002</v>
      </c>
      <c r="E6374">
        <v>0.50877539999999999</v>
      </c>
      <c r="F6374" t="s">
        <v>95</v>
      </c>
      <c r="G6374">
        <v>-236.77340000000001</v>
      </c>
      <c r="H6374" s="1">
        <v>-2.6103659999999999E-6</v>
      </c>
      <c r="I6374">
        <v>-63.08014</v>
      </c>
      <c r="J6374">
        <v>-249.62989999999999</v>
      </c>
      <c r="K6374">
        <v>1.111086</v>
      </c>
      <c r="L6374">
        <v>-63.963869999999901</v>
      </c>
      <c r="M6374">
        <v>0.99978769999999995</v>
      </c>
      <c r="N6374">
        <v>0</v>
      </c>
      <c r="O6374">
        <v>1.7965439999999999E-2</v>
      </c>
      <c r="P6374">
        <v>0.99325629999999998</v>
      </c>
      <c r="Q6374">
        <v>7.8309450000000003E-2</v>
      </c>
      <c r="R6374">
        <v>8.5497030000000002E-2</v>
      </c>
      <c r="S6374">
        <v>3.0230260000000002</v>
      </c>
      <c r="T6374">
        <v>-0.25884180000000001</v>
      </c>
      <c r="U6374">
        <v>0.20651249999999999</v>
      </c>
      <c r="V6374">
        <v>-6.7876049999999993E-2</v>
      </c>
      <c r="W6374">
        <v>8.8161619999999996E-2</v>
      </c>
      <c r="X6374">
        <v>0.99379090000000003</v>
      </c>
      <c r="Y6374">
        <v>-5.0101739999999999E-2</v>
      </c>
      <c r="Z6374">
        <v>6.0508869999999996E-4</v>
      </c>
      <c r="AA6374">
        <v>0.99874399999999997</v>
      </c>
      <c r="AB6374">
        <v>26</v>
      </c>
      <c r="AC6374">
        <v>12.856499999999899</v>
      </c>
      <c r="AD6374">
        <v>-1.111088610366</v>
      </c>
      <c r="AE6374">
        <v>0.88372999999999202</v>
      </c>
      <c r="AF6374">
        <v>-0.647787468228886</v>
      </c>
      <c r="AG6374">
        <v>-1.111088610366</v>
      </c>
      <c r="AH6374">
        <v>12.775334331515101</v>
      </c>
      <c r="AI6374">
        <v>94.964240562844296</v>
      </c>
      <c r="AJ6374">
        <v>92.902759853069895</v>
      </c>
      <c r="AK6374">
        <v>12.839910972669101</v>
      </c>
      <c r="AL6374">
        <v>84.942144721673003</v>
      </c>
      <c r="AM6374">
        <v>93.907241223094502</v>
      </c>
      <c r="AN6374">
        <v>0.99999999116371796</v>
      </c>
    </row>
    <row r="6375" spans="1:40" x14ac:dyDescent="0.25">
      <c r="A6375" t="str">
        <f>"20190312151150284"</f>
        <v>20190312151150284</v>
      </c>
      <c r="B6375" t="str">
        <f>"1552374710277381"</f>
        <v>1552374710277381</v>
      </c>
      <c r="C6375" t="s">
        <v>40</v>
      </c>
      <c r="D6375">
        <v>5.1892389999999997</v>
      </c>
      <c r="E6375">
        <v>0.50902440000000004</v>
      </c>
      <c r="F6375" t="s">
        <v>95</v>
      </c>
      <c r="G6375">
        <v>-236.61760000000001</v>
      </c>
      <c r="H6375" s="1">
        <v>-2.541871E-6</v>
      </c>
      <c r="I6375">
        <v>-63.07394</v>
      </c>
      <c r="J6375">
        <v>-249.5172</v>
      </c>
      <c r="K6375">
        <v>1.111081</v>
      </c>
      <c r="L6375">
        <v>-63.961120000000001</v>
      </c>
      <c r="M6375">
        <v>0.99977519999999998</v>
      </c>
      <c r="N6375">
        <v>0</v>
      </c>
      <c r="O6375">
        <v>1.8651910000000001E-2</v>
      </c>
      <c r="P6375">
        <v>0.99320940000000002</v>
      </c>
      <c r="Q6375">
        <v>7.8243460000000001E-2</v>
      </c>
      <c r="R6375">
        <v>8.6099850000000006E-2</v>
      </c>
      <c r="S6375">
        <v>3.0229189999999999</v>
      </c>
      <c r="T6375">
        <v>-0.25811970000000001</v>
      </c>
      <c r="U6375">
        <v>0.2067261</v>
      </c>
      <c r="V6375">
        <v>-6.7794930000000003E-2</v>
      </c>
      <c r="W6375">
        <v>8.8095110000000004E-2</v>
      </c>
      <c r="X6375">
        <v>0.99380239999999997</v>
      </c>
      <c r="Y6375">
        <v>-4.9493959999999997E-2</v>
      </c>
      <c r="Z6375">
        <v>5.1913640000000004E-4</v>
      </c>
      <c r="AA6375">
        <v>0.9987743</v>
      </c>
      <c r="AB6375">
        <v>26</v>
      </c>
      <c r="AC6375">
        <v>12.8995999999999</v>
      </c>
      <c r="AD6375">
        <v>-1.1110835418709999</v>
      </c>
      <c r="AE6375">
        <v>0.88717999999999297</v>
      </c>
      <c r="AF6375">
        <v>-0.641673127632021</v>
      </c>
      <c r="AG6375">
        <v>-1.1110835418709999</v>
      </c>
      <c r="AH6375">
        <v>12.819246890578199</v>
      </c>
      <c r="AI6375">
        <v>94.947458519603003</v>
      </c>
      <c r="AJ6375">
        <v>92.865574148719901</v>
      </c>
      <c r="AK6375">
        <v>12.883297011298801</v>
      </c>
      <c r="AL6375">
        <v>84.9459706755095</v>
      </c>
      <c r="AM6375">
        <v>93.902541020268501</v>
      </c>
      <c r="AN6375">
        <v>1.00000005559268</v>
      </c>
    </row>
    <row r="6376" spans="1:40" x14ac:dyDescent="0.25">
      <c r="A6376" t="str">
        <f>"20190312151150293"</f>
        <v>20190312151150293</v>
      </c>
      <c r="B6376" t="str">
        <f>"1552374710287141"</f>
        <v>1552374710287141</v>
      </c>
      <c r="C6376" t="s">
        <v>40</v>
      </c>
      <c r="D6376">
        <v>5.1336320000000004</v>
      </c>
      <c r="E6376">
        <v>0.50924639999999999</v>
      </c>
      <c r="F6376" t="s">
        <v>95</v>
      </c>
      <c r="G6376">
        <v>-236.44909999999999</v>
      </c>
      <c r="H6376" s="1">
        <v>-2.4679769999999999E-6</v>
      </c>
      <c r="I6376">
        <v>-63.067889999999998</v>
      </c>
      <c r="J6376">
        <v>-249.39510000000001</v>
      </c>
      <c r="K6376">
        <v>1.111065</v>
      </c>
      <c r="L6376">
        <v>-63.9580699999999</v>
      </c>
      <c r="M6376">
        <v>0.99976120000000002</v>
      </c>
      <c r="N6376">
        <v>0</v>
      </c>
      <c r="O6376">
        <v>1.9390399999999999E-2</v>
      </c>
      <c r="P6376">
        <v>0.99318249999999997</v>
      </c>
      <c r="Q6376">
        <v>7.8018509999999999E-2</v>
      </c>
      <c r="R6376">
        <v>8.6613289999999996E-2</v>
      </c>
      <c r="S6376">
        <v>3.0228730000000001</v>
      </c>
      <c r="T6376">
        <v>-0.25701239999999997</v>
      </c>
      <c r="U6376">
        <v>0.20660400000000001</v>
      </c>
      <c r="V6376">
        <v>-6.7572149999999997E-2</v>
      </c>
      <c r="W6376">
        <v>8.786948E-2</v>
      </c>
      <c r="X6376">
        <v>0.99383750000000004</v>
      </c>
      <c r="Y6376">
        <v>-4.8723460000000003E-2</v>
      </c>
      <c r="Z6376">
        <v>4.2169009999999999E-4</v>
      </c>
      <c r="AA6376">
        <v>0.99881220000000004</v>
      </c>
      <c r="AB6376">
        <v>26</v>
      </c>
      <c r="AC6376">
        <v>12.946</v>
      </c>
      <c r="AD6376">
        <v>-1.1110674679770001</v>
      </c>
      <c r="AE6376">
        <v>0.89017999999998598</v>
      </c>
      <c r="AF6376">
        <v>-0.63432156404262796</v>
      </c>
      <c r="AG6376">
        <v>-1.1110674679770001</v>
      </c>
      <c r="AH6376">
        <v>12.8665036964347</v>
      </c>
      <c r="AI6376">
        <v>94.929489532536905</v>
      </c>
      <c r="AJ6376">
        <v>92.822409831692795</v>
      </c>
      <c r="AK6376">
        <v>12.929955612273901</v>
      </c>
      <c r="AL6376">
        <v>84.958948412570294</v>
      </c>
      <c r="AM6376">
        <v>93.8896194095759</v>
      </c>
      <c r="AN6376">
        <v>1.00000000868867</v>
      </c>
    </row>
    <row r="6377" spans="1:40" x14ac:dyDescent="0.25">
      <c r="A6377" t="str">
        <f>"20190312151150305"</f>
        <v>20190312151150305</v>
      </c>
      <c r="B6377" t="str">
        <f>"1552374710297877"</f>
        <v>1552374710297877</v>
      </c>
      <c r="C6377" t="s">
        <v>40</v>
      </c>
      <c r="D6377">
        <v>5.2216969999999998</v>
      </c>
      <c r="E6377">
        <v>0.50943260000000001</v>
      </c>
      <c r="F6377" t="s">
        <v>95</v>
      </c>
      <c r="G6377">
        <v>-236.30799999999999</v>
      </c>
      <c r="H6377" s="1">
        <v>-2.4064259999999998E-6</v>
      </c>
      <c r="I6377">
        <v>-63.064030000000002</v>
      </c>
      <c r="J6377">
        <v>-249.26439999999999</v>
      </c>
      <c r="K6377">
        <v>1.1110530000000001</v>
      </c>
      <c r="L6377">
        <v>-63.954709999999999</v>
      </c>
      <c r="M6377">
        <v>0.99974580000000002</v>
      </c>
      <c r="N6377">
        <v>0</v>
      </c>
      <c r="O6377">
        <v>2.0172269999999999E-2</v>
      </c>
      <c r="P6377">
        <v>0.99312869999999998</v>
      </c>
      <c r="Q6377">
        <v>7.8008530000000006E-2</v>
      </c>
      <c r="R6377">
        <v>8.7236690000000006E-2</v>
      </c>
      <c r="S6377">
        <v>3.0227360000000001</v>
      </c>
      <c r="T6377">
        <v>-0.25662360000000001</v>
      </c>
      <c r="U6377">
        <v>0.2064819</v>
      </c>
      <c r="V6377">
        <v>-6.7416760000000006E-2</v>
      </c>
      <c r="W6377">
        <v>8.7859039999999999E-2</v>
      </c>
      <c r="X6377">
        <v>0.99384899999999998</v>
      </c>
      <c r="Y6377">
        <v>-4.7911259999999997E-2</v>
      </c>
      <c r="Z6377">
        <v>3.2054469999999999E-4</v>
      </c>
      <c r="AA6377">
        <v>0.9988515</v>
      </c>
      <c r="AB6377">
        <v>26</v>
      </c>
      <c r="AC6377">
        <v>12.9564</v>
      </c>
      <c r="AD6377">
        <v>-1.1110554064260001</v>
      </c>
      <c r="AE6377">
        <v>0.89067999999999603</v>
      </c>
      <c r="AF6377">
        <v>-0.62455434282836197</v>
      </c>
      <c r="AG6377">
        <v>-1.1110554064260001</v>
      </c>
      <c r="AH6377">
        <v>12.877480275900099</v>
      </c>
      <c r="AI6377">
        <v>94.925446572148203</v>
      </c>
      <c r="AJ6377">
        <v>92.776654213533007</v>
      </c>
      <c r="AK6377">
        <v>12.940402254160899</v>
      </c>
      <c r="AL6377">
        <v>84.9595490238613</v>
      </c>
      <c r="AM6377">
        <v>93.880657373188299</v>
      </c>
      <c r="AN6377">
        <v>1.0000000326198</v>
      </c>
    </row>
    <row r="6378" spans="1:40" x14ac:dyDescent="0.25">
      <c r="A6378" t="str">
        <f>"20190312151150316"</f>
        <v>20190312151150316</v>
      </c>
      <c r="B6378" t="str">
        <f>"1552374710307638"</f>
        <v>1552374710307638</v>
      </c>
      <c r="C6378" t="s">
        <v>40</v>
      </c>
      <c r="D6378">
        <v>5.1882650000000003</v>
      </c>
      <c r="E6378">
        <v>0.50943260000000001</v>
      </c>
      <c r="F6378" t="s">
        <v>95</v>
      </c>
      <c r="G6378">
        <v>-236.1207</v>
      </c>
      <c r="H6378" s="1">
        <v>-2.3234789999999999E-6</v>
      </c>
      <c r="I6378">
        <v>-63.054270000000002</v>
      </c>
      <c r="J6378">
        <v>-249.13200000000001</v>
      </c>
      <c r="K6378">
        <v>1.111043</v>
      </c>
      <c r="L6378">
        <v>-63.951259999999998</v>
      </c>
      <c r="M6378">
        <v>0.99972950000000005</v>
      </c>
      <c r="N6378">
        <v>0</v>
      </c>
      <c r="O6378">
        <v>2.095938E-2</v>
      </c>
      <c r="P6378">
        <v>0.9931027</v>
      </c>
      <c r="Q6378">
        <v>7.7653699999999895E-2</v>
      </c>
      <c r="R6378">
        <v>8.7845590000000001E-2</v>
      </c>
      <c r="S6378">
        <v>3.022659</v>
      </c>
      <c r="T6378">
        <v>-0.2555096</v>
      </c>
      <c r="U6378">
        <v>0.20706179999999999</v>
      </c>
      <c r="V6378">
        <v>-6.7240209999999995E-2</v>
      </c>
      <c r="W6378">
        <v>8.7504199999999893E-2</v>
      </c>
      <c r="X6378">
        <v>0.99389229999999995</v>
      </c>
      <c r="Y6378">
        <v>-4.7322999999999997E-2</v>
      </c>
      <c r="Z6378">
        <v>2.2806589999999999E-4</v>
      </c>
      <c r="AA6378">
        <v>0.99887959999999998</v>
      </c>
      <c r="AB6378">
        <v>26</v>
      </c>
      <c r="AC6378">
        <v>13.0113</v>
      </c>
      <c r="AD6378">
        <v>-1.1110453234790001</v>
      </c>
      <c r="AE6378">
        <v>0.89699000000000195</v>
      </c>
      <c r="AF6378">
        <v>-0.61957398705718503</v>
      </c>
      <c r="AG6378">
        <v>-1.1110453234790001</v>
      </c>
      <c r="AH6378">
        <v>12.9333839599668</v>
      </c>
      <c r="AI6378">
        <v>94.904356009379001</v>
      </c>
      <c r="AJ6378">
        <v>92.742658578135902</v>
      </c>
      <c r="AK6378">
        <v>12.995796023799</v>
      </c>
      <c r="AL6378">
        <v>84.979958638835399</v>
      </c>
      <c r="AM6378">
        <v>93.870357584643799</v>
      </c>
      <c r="AN6378">
        <v>1.00000006742888</v>
      </c>
    </row>
    <row r="6379" spans="1:40" x14ac:dyDescent="0.25">
      <c r="A6379" t="str">
        <f>"20190312151150331"</f>
        <v>20190312151150331</v>
      </c>
      <c r="B6379" t="str">
        <f>"1552374710328134"</f>
        <v>1552374710328134</v>
      </c>
      <c r="C6379" t="s">
        <v>40</v>
      </c>
      <c r="D6379">
        <v>5.139024</v>
      </c>
      <c r="E6379">
        <v>0.53468439999999995</v>
      </c>
      <c r="F6379" t="s">
        <v>95</v>
      </c>
      <c r="G6379">
        <v>-236.0454</v>
      </c>
      <c r="H6379" s="1">
        <v>-2.289092E-6</v>
      </c>
      <c r="I6379">
        <v>-63.046460000000003</v>
      </c>
      <c r="J6379">
        <v>-248.9659</v>
      </c>
      <c r="K6379">
        <v>1.1110279999999999</v>
      </c>
      <c r="L6379">
        <v>-63.946689999999997</v>
      </c>
      <c r="M6379">
        <v>0.99970879999999995</v>
      </c>
      <c r="N6379">
        <v>0</v>
      </c>
      <c r="O6379">
        <v>2.1928650000000001E-2</v>
      </c>
      <c r="P6379">
        <v>0.99303589999999997</v>
      </c>
      <c r="Q6379">
        <v>7.7363680000000004E-2</v>
      </c>
      <c r="R6379">
        <v>8.8851330000000006E-2</v>
      </c>
      <c r="S6379">
        <v>3.0224299999999999</v>
      </c>
      <c r="T6379">
        <v>-0.25660100000000002</v>
      </c>
      <c r="U6379">
        <v>0.2089539</v>
      </c>
      <c r="V6379">
        <v>-6.7278420000000005E-2</v>
      </c>
      <c r="W6379">
        <v>8.7213990000000005E-2</v>
      </c>
      <c r="X6379">
        <v>0.99391510000000005</v>
      </c>
      <c r="Y6379">
        <v>-4.6985949999999999E-2</v>
      </c>
      <c r="Z6379">
        <v>1.3278159999999999E-4</v>
      </c>
      <c r="AA6379">
        <v>0.99889550000000005</v>
      </c>
      <c r="AB6379">
        <v>26</v>
      </c>
      <c r="AC6379">
        <v>12.920500000000001</v>
      </c>
      <c r="AD6379">
        <v>-1.1110302890920001</v>
      </c>
      <c r="AE6379">
        <v>0.90023000000000697</v>
      </c>
      <c r="AF6379">
        <v>-0.61216538606177096</v>
      </c>
      <c r="AG6379">
        <v>-1.1110302890920001</v>
      </c>
      <c r="AH6379">
        <v>12.842631977035801</v>
      </c>
      <c r="AI6379">
        <v>94.938830986590105</v>
      </c>
      <c r="AJ6379">
        <v>92.729032867103697</v>
      </c>
      <c r="AK6379">
        <v>12.905128083857001</v>
      </c>
      <c r="AL6379">
        <v>84.996649650447793</v>
      </c>
      <c r="AM6379">
        <v>93.872461703973002</v>
      </c>
      <c r="AN6379">
        <v>0.999999945928711</v>
      </c>
    </row>
    <row r="6380" spans="1:40" x14ac:dyDescent="0.25">
      <c r="A6380" t="str">
        <f>"20190312151150340"</f>
        <v>20190312151150340</v>
      </c>
      <c r="B6380" t="str">
        <f>"1552374710337892"</f>
        <v>1552374710337892</v>
      </c>
      <c r="C6380" t="s">
        <v>40</v>
      </c>
      <c r="D6380">
        <v>5.0889239999999996</v>
      </c>
      <c r="E6380">
        <v>0.53562219999999905</v>
      </c>
      <c r="F6380" t="s">
        <v>41</v>
      </c>
      <c r="G6380">
        <v>-248.1516</v>
      </c>
      <c r="H6380">
        <v>1.0425960000000001</v>
      </c>
      <c r="I6380">
        <v>-63.943809999999999</v>
      </c>
      <c r="J6380">
        <v>-248.8518</v>
      </c>
      <c r="K6380">
        <v>1.111016</v>
      </c>
      <c r="L6380">
        <v>-63.943510000000003</v>
      </c>
      <c r="M6380">
        <v>0.99969410000000003</v>
      </c>
      <c r="N6380">
        <v>0</v>
      </c>
      <c r="O6380">
        <v>2.2588670000000002E-2</v>
      </c>
      <c r="P6380">
        <v>0.99304219999999999</v>
      </c>
      <c r="Q6380">
        <v>7.6758960000000001E-2</v>
      </c>
      <c r="R6380">
        <v>8.9304259999999996E-2</v>
      </c>
      <c r="S6380">
        <v>3.0399319999999999</v>
      </c>
      <c r="T6380">
        <v>-0.25548700000000002</v>
      </c>
      <c r="U6380">
        <v>1.1291499999999999E-2</v>
      </c>
      <c r="V6380">
        <v>-6.7071530000000004E-2</v>
      </c>
      <c r="W6380">
        <v>8.6610690000000004E-2</v>
      </c>
      <c r="X6380">
        <v>0.99398189999999997</v>
      </c>
      <c r="Y6380">
        <v>1.8730589999999998E-2</v>
      </c>
      <c r="Z6380">
        <v>-2.6807480000000002E-3</v>
      </c>
      <c r="AA6380">
        <v>0.99982090000000001</v>
      </c>
      <c r="AB6380">
        <v>26</v>
      </c>
      <c r="AC6380">
        <v>0.70019999999999505</v>
      </c>
      <c r="AD6380">
        <v>-6.8420000000000106E-2</v>
      </c>
      <c r="AE6380">
        <v>-3.00000000002853E-4</v>
      </c>
      <c r="AF6380">
        <v>1.5964876648734E-2</v>
      </c>
      <c r="AG6380">
        <v>-6.8420000000000106E-2</v>
      </c>
      <c r="AH6380">
        <v>0.69339387571781197</v>
      </c>
      <c r="AI6380">
        <v>95.633882134321098</v>
      </c>
      <c r="AJ6380">
        <v>88.681040459333005</v>
      </c>
      <c r="AK6380">
        <v>0.69694421625362302</v>
      </c>
      <c r="AL6380">
        <v>85.031347811944997</v>
      </c>
      <c r="AM6380">
        <v>93.860330775678804</v>
      </c>
      <c r="AN6380">
        <v>1.00000000964321</v>
      </c>
    </row>
    <row r="6381" spans="1:40" x14ac:dyDescent="0.25">
      <c r="A6381" t="str">
        <f>"20190312151150349"</f>
        <v>20190312151150349</v>
      </c>
      <c r="B6381" t="str">
        <f>"1552374710337892"</f>
        <v>1552374710337892</v>
      </c>
      <c r="C6381" t="s">
        <v>40</v>
      </c>
      <c r="D6381">
        <v>5.0889239999999996</v>
      </c>
      <c r="E6381">
        <v>0.53562219999999905</v>
      </c>
      <c r="F6381" t="s">
        <v>41</v>
      </c>
      <c r="G6381">
        <v>-247.9248</v>
      </c>
      <c r="H6381">
        <v>1.0298670000000001</v>
      </c>
      <c r="I6381">
        <v>-63.942129999999999</v>
      </c>
      <c r="J6381">
        <v>-248.73689999999999</v>
      </c>
      <c r="K6381">
        <v>1.111002</v>
      </c>
      <c r="L6381">
        <v>-63.940249999999999</v>
      </c>
      <c r="M6381">
        <v>0.99967910000000004</v>
      </c>
      <c r="N6381">
        <v>0</v>
      </c>
      <c r="O6381">
        <v>2.3240810000000001E-2</v>
      </c>
      <c r="P6381">
        <v>0.99303039999999998</v>
      </c>
      <c r="Q6381">
        <v>7.6322909999999994E-2</v>
      </c>
      <c r="R6381">
        <v>8.9807689999999996E-2</v>
      </c>
      <c r="S6381">
        <v>3.0410919999999999</v>
      </c>
      <c r="T6381">
        <v>-0.26626440000000001</v>
      </c>
      <c r="U6381">
        <v>5.5847170000000003E-3</v>
      </c>
      <c r="V6381">
        <v>-6.6921930000000004E-2</v>
      </c>
      <c r="W6381">
        <v>8.6175550000000004E-2</v>
      </c>
      <c r="X6381">
        <v>0.99402979999999996</v>
      </c>
      <c r="Y6381">
        <v>2.123589E-2</v>
      </c>
      <c r="Z6381">
        <v>-2.9588150000000001E-3</v>
      </c>
      <c r="AA6381">
        <v>0.99977009999999999</v>
      </c>
      <c r="AB6381">
        <v>26</v>
      </c>
      <c r="AC6381">
        <v>0.81209999999998606</v>
      </c>
      <c r="AD6381">
        <v>-8.1134999999999902E-2</v>
      </c>
      <c r="AE6381">
        <v>-1.88000000000698E-3</v>
      </c>
      <c r="AF6381">
        <v>2.05492009295461E-2</v>
      </c>
      <c r="AG6381">
        <v>-8.1134999999999902E-2</v>
      </c>
      <c r="AH6381">
        <v>0.80381367754635002</v>
      </c>
      <c r="AI6381">
        <v>95.7619052988682</v>
      </c>
      <c r="AJ6381">
        <v>88.535573446800001</v>
      </c>
      <c r="AK6381">
        <v>0.80815938161629397</v>
      </c>
      <c r="AL6381">
        <v>85.056373049160598</v>
      </c>
      <c r="AM6381">
        <v>93.851561382183206</v>
      </c>
      <c r="AN6381">
        <v>1.00000000671038</v>
      </c>
    </row>
    <row r="6382" spans="1:40" x14ac:dyDescent="0.25">
      <c r="A6382" t="str">
        <f>"20190312151150360"</f>
        <v>20190312151150360</v>
      </c>
      <c r="B6382" t="str">
        <f>"1552374710357413"</f>
        <v>1552374710357413</v>
      </c>
      <c r="C6382" t="s">
        <v>40</v>
      </c>
      <c r="D6382">
        <v>5.0827369999999998</v>
      </c>
      <c r="E6382">
        <v>0.53832100000000005</v>
      </c>
      <c r="F6382" t="s">
        <v>41</v>
      </c>
      <c r="G6382">
        <v>-247.9203</v>
      </c>
      <c r="H6382">
        <v>1.0391600000000001</v>
      </c>
      <c r="I6382">
        <v>-63.938650000000003</v>
      </c>
      <c r="J6382">
        <v>-248.61930000000001</v>
      </c>
      <c r="K6382">
        <v>1.1109880000000001</v>
      </c>
      <c r="L6382">
        <v>-63.93683</v>
      </c>
      <c r="M6382">
        <v>0.99966370000000004</v>
      </c>
      <c r="N6382">
        <v>0</v>
      </c>
      <c r="O6382">
        <v>2.3903850000000001E-2</v>
      </c>
      <c r="P6382">
        <v>0.99302239999999997</v>
      </c>
      <c r="Q6382">
        <v>7.6088199999999995E-2</v>
      </c>
      <c r="R6382">
        <v>9.0097709999999998E-2</v>
      </c>
      <c r="S6382">
        <v>3.040985</v>
      </c>
      <c r="T6382">
        <v>-0.26757819999999999</v>
      </c>
      <c r="U6382">
        <v>7.1105959999999899E-3</v>
      </c>
      <c r="V6382">
        <v>-6.6549750000000005E-2</v>
      </c>
      <c r="W6382">
        <v>8.5943240000000004E-2</v>
      </c>
      <c r="X6382">
        <v>0.99407489999999998</v>
      </c>
      <c r="Y6382">
        <v>2.1392419999999999E-2</v>
      </c>
      <c r="Z6382">
        <v>-3.0385490000000002E-3</v>
      </c>
      <c r="AA6382">
        <v>0.9997665</v>
      </c>
      <c r="AB6382">
        <v>26</v>
      </c>
      <c r="AC6382">
        <v>0.69900000000001195</v>
      </c>
      <c r="AD6382">
        <v>-7.1827999999999698E-2</v>
      </c>
      <c r="AE6382">
        <v>-1.81999999999504E-3</v>
      </c>
      <c r="AF6382">
        <v>1.8335507735432299E-2</v>
      </c>
      <c r="AG6382">
        <v>-7.1827999999999698E-2</v>
      </c>
      <c r="AH6382">
        <v>0.69145553737100895</v>
      </c>
      <c r="AI6382">
        <v>95.928512055625703</v>
      </c>
      <c r="AJ6382">
        <v>88.481028758231304</v>
      </c>
      <c r="AK6382">
        <v>0.69541801284475402</v>
      </c>
      <c r="AL6382">
        <v>85.069733004636603</v>
      </c>
      <c r="AM6382">
        <v>93.830031968599698</v>
      </c>
      <c r="AN6382">
        <v>1.00000000826838</v>
      </c>
    </row>
    <row r="6383" spans="1:40" x14ac:dyDescent="0.25">
      <c r="A6383" t="str">
        <f>"20190312151150371"</f>
        <v>20190312151150371</v>
      </c>
      <c r="B6383" t="str">
        <f>"1552374710368149"</f>
        <v>1552374710368149</v>
      </c>
      <c r="C6383" t="s">
        <v>40</v>
      </c>
      <c r="D6383">
        <v>5.0969689999999996</v>
      </c>
      <c r="E6383">
        <v>0.53914930000000005</v>
      </c>
      <c r="F6383" t="s">
        <v>41</v>
      </c>
      <c r="G6383">
        <v>-247.68879999999999</v>
      </c>
      <c r="H6383">
        <v>1.033121</v>
      </c>
      <c r="I6383">
        <v>-63.941279999999999</v>
      </c>
      <c r="J6383">
        <v>-248.48570000000001</v>
      </c>
      <c r="K6383">
        <v>1.1109709999999999</v>
      </c>
      <c r="L6383">
        <v>-63.932830000000003</v>
      </c>
      <c r="M6383">
        <v>0.99964569999999997</v>
      </c>
      <c r="N6383">
        <v>0</v>
      </c>
      <c r="O6383">
        <v>2.4641610000000001E-2</v>
      </c>
      <c r="P6383">
        <v>0.99298940000000002</v>
      </c>
      <c r="Q6383">
        <v>7.5670609999999999E-2</v>
      </c>
      <c r="R6383">
        <v>9.0809139999999997E-2</v>
      </c>
      <c r="S6383">
        <v>3.0418699999999999</v>
      </c>
      <c r="T6383">
        <v>-0.25452940000000002</v>
      </c>
      <c r="U6383">
        <v>-1.4129640000000001E-2</v>
      </c>
      <c r="V6383">
        <v>-6.6523239999999997E-2</v>
      </c>
      <c r="W6383">
        <v>8.552659E-2</v>
      </c>
      <c r="X6383">
        <v>0.99411260000000001</v>
      </c>
      <c r="Y6383">
        <v>2.9098389999999998E-2</v>
      </c>
      <c r="Z6383">
        <v>-3.2735419999999999E-3</v>
      </c>
      <c r="AA6383">
        <v>0.99957119999999999</v>
      </c>
      <c r="AB6383">
        <v>26</v>
      </c>
      <c r="AC6383">
        <v>0.79690000000002204</v>
      </c>
      <c r="AD6383">
        <v>-7.7849999999999905E-2</v>
      </c>
      <c r="AE6383">
        <v>-8.4500000000033992E-3</v>
      </c>
      <c r="AF6383">
        <v>2.7819857126737201E-2</v>
      </c>
      <c r="AG6383">
        <v>-7.7849999999999905E-2</v>
      </c>
      <c r="AH6383">
        <v>0.78892150528261096</v>
      </c>
      <c r="AI6383">
        <v>95.632167944185994</v>
      </c>
      <c r="AJ6383">
        <v>87.980407187883998</v>
      </c>
      <c r="AK6383">
        <v>0.79324126748923796</v>
      </c>
      <c r="AL6383">
        <v>85.093693474790896</v>
      </c>
      <c r="AM6383">
        <v>93.828366061066404</v>
      </c>
      <c r="AN6383">
        <v>1.0000000002679399</v>
      </c>
    </row>
    <row r="6384" spans="1:40" x14ac:dyDescent="0.25">
      <c r="A6384" t="str">
        <f>"20190312151150383"</f>
        <v>20190312151150383</v>
      </c>
      <c r="B6384" t="str">
        <f>"1552374710377908"</f>
        <v>1552374710377908</v>
      </c>
      <c r="C6384" t="s">
        <v>40</v>
      </c>
      <c r="D6384">
        <v>5.0855930000000003</v>
      </c>
      <c r="E6384">
        <v>0.539844199999999</v>
      </c>
      <c r="F6384" t="s">
        <v>41</v>
      </c>
      <c r="G6384">
        <v>-247.68199999999999</v>
      </c>
      <c r="H6384">
        <v>1.044773</v>
      </c>
      <c r="I6384">
        <v>-63.937919999999998</v>
      </c>
      <c r="J6384">
        <v>-248.34639999999999</v>
      </c>
      <c r="K6384">
        <v>1.1109519999999999</v>
      </c>
      <c r="L6384">
        <v>-63.92859</v>
      </c>
      <c r="M6384">
        <v>0.99962660000000003</v>
      </c>
      <c r="N6384">
        <v>0</v>
      </c>
      <c r="O6384">
        <v>2.53992E-2</v>
      </c>
      <c r="P6384">
        <v>0.99297349999999995</v>
      </c>
      <c r="Q6384">
        <v>7.5346350000000006E-2</v>
      </c>
      <c r="R6384">
        <v>9.1249510000000006E-2</v>
      </c>
      <c r="S6384">
        <v>3.0420069999999999</v>
      </c>
      <c r="T6384">
        <v>-0.25054290000000001</v>
      </c>
      <c r="U6384">
        <v>-1.876831E-2</v>
      </c>
      <c r="V6384">
        <v>-6.6206039999999994E-2</v>
      </c>
      <c r="W6384">
        <v>8.5204950000000002E-2</v>
      </c>
      <c r="X6384">
        <v>0.99416139999999997</v>
      </c>
      <c r="Y6384">
        <v>3.1375390000000003E-2</v>
      </c>
      <c r="Z6384">
        <v>-3.378186E-3</v>
      </c>
      <c r="AA6384">
        <v>0.99950190000000005</v>
      </c>
      <c r="AB6384">
        <v>26</v>
      </c>
      <c r="AC6384">
        <v>0.66439999999997201</v>
      </c>
      <c r="AD6384">
        <v>-6.6178999999999905E-2</v>
      </c>
      <c r="AE6384">
        <v>-9.3299999999984992E-3</v>
      </c>
      <c r="AF6384">
        <v>2.5945703234264698E-2</v>
      </c>
      <c r="AG6384">
        <v>-6.6178999999999905E-2</v>
      </c>
      <c r="AH6384">
        <v>0.657427213037175</v>
      </c>
      <c r="AI6384">
        <v>95.743795164620906</v>
      </c>
      <c r="AJ6384">
        <v>87.739965448497699</v>
      </c>
      <c r="AK6384">
        <v>0.66125893566676897</v>
      </c>
      <c r="AL6384">
        <v>85.112189635462499</v>
      </c>
      <c r="AM6384">
        <v>93.809978843353704</v>
      </c>
      <c r="AN6384">
        <v>1.00000000624347</v>
      </c>
    </row>
    <row r="6385" spans="1:40" x14ac:dyDescent="0.25">
      <c r="A6385" t="str">
        <f>"20190312151150394"</f>
        <v>20190312151150394</v>
      </c>
      <c r="B6385" t="str">
        <f>"1552374710387669"</f>
        <v>1552374710387669</v>
      </c>
      <c r="C6385" t="s">
        <v>40</v>
      </c>
      <c r="D6385">
        <v>5.1816509999999996</v>
      </c>
      <c r="E6385">
        <v>0.54051419999999994</v>
      </c>
      <c r="F6385" t="s">
        <v>41</v>
      </c>
      <c r="G6385">
        <v>-247.45150000000001</v>
      </c>
      <c r="H6385">
        <v>1.0384659999999999</v>
      </c>
      <c r="I6385">
        <v>-63.935519999999997</v>
      </c>
      <c r="J6385">
        <v>-248.21469999999999</v>
      </c>
      <c r="K6385">
        <v>1.1109340000000001</v>
      </c>
      <c r="L6385">
        <v>-63.924529999999997</v>
      </c>
      <c r="M6385">
        <v>0.99960859999999996</v>
      </c>
      <c r="N6385">
        <v>0</v>
      </c>
      <c r="O6385">
        <v>2.610374E-2</v>
      </c>
      <c r="P6385">
        <v>0.99296269999999998</v>
      </c>
      <c r="Q6385">
        <v>7.5190930000000003E-2</v>
      </c>
      <c r="R6385">
        <v>9.1496850000000005E-2</v>
      </c>
      <c r="S6385">
        <v>3.0420530000000001</v>
      </c>
      <c r="T6385">
        <v>-0.2464248</v>
      </c>
      <c r="U6385">
        <v>-2.3132320000000001E-2</v>
      </c>
      <c r="V6385">
        <v>-6.5748009999999996E-2</v>
      </c>
      <c r="W6385">
        <v>8.5052909999999995E-2</v>
      </c>
      <c r="X6385">
        <v>0.9942048</v>
      </c>
      <c r="Y6385">
        <v>3.3510419999999999E-2</v>
      </c>
      <c r="Z6385">
        <v>-3.466088E-3</v>
      </c>
      <c r="AA6385">
        <v>0.9994324</v>
      </c>
      <c r="AB6385">
        <v>26</v>
      </c>
      <c r="AC6385">
        <v>0.763199999999983</v>
      </c>
      <c r="AD6385">
        <v>-7.2468000000000199E-2</v>
      </c>
      <c r="AE6385">
        <v>-1.0989999999992501E-2</v>
      </c>
      <c r="AF6385">
        <v>3.0633501972348699E-2</v>
      </c>
      <c r="AG6385">
        <v>-7.2468000000000199E-2</v>
      </c>
      <c r="AH6385">
        <v>0.75583974194777703</v>
      </c>
      <c r="AI6385">
        <v>95.472168690854204</v>
      </c>
      <c r="AJ6385">
        <v>87.679124019783004</v>
      </c>
      <c r="AK6385">
        <v>0.75992350797614605</v>
      </c>
      <c r="AL6385">
        <v>85.120932550332398</v>
      </c>
      <c r="AM6385">
        <v>93.783532595165198</v>
      </c>
      <c r="AN6385">
        <v>0.99999999133073403</v>
      </c>
    </row>
    <row r="6386" spans="1:40" x14ac:dyDescent="0.25">
      <c r="A6386" t="str">
        <f>"20190312151150406"</f>
        <v>20190312151150406</v>
      </c>
      <c r="B6386" t="str">
        <f>"1552374710397429"</f>
        <v>1552374710397429</v>
      </c>
      <c r="C6386" t="s">
        <v>40</v>
      </c>
      <c r="D6386">
        <v>5.0676779999999999</v>
      </c>
      <c r="E6386">
        <v>0.54064709999999905</v>
      </c>
      <c r="F6386" t="s">
        <v>41</v>
      </c>
      <c r="G6386">
        <v>-247.4452</v>
      </c>
      <c r="H6386">
        <v>1.0473760000000001</v>
      </c>
      <c r="I6386">
        <v>-63.931629999999998</v>
      </c>
      <c r="J6386">
        <v>-248.0831</v>
      </c>
      <c r="K6386">
        <v>1.110916</v>
      </c>
      <c r="L6386">
        <v>-63.920349999999999</v>
      </c>
      <c r="M6386">
        <v>0.9995906</v>
      </c>
      <c r="N6386">
        <v>0</v>
      </c>
      <c r="O6386">
        <v>2.6788719999999999E-2</v>
      </c>
      <c r="P6386">
        <v>0.9929114</v>
      </c>
      <c r="Q6386">
        <v>7.5246919999999995E-2</v>
      </c>
      <c r="R6386">
        <v>9.2007030000000004E-2</v>
      </c>
      <c r="S6386">
        <v>3.0428310000000001</v>
      </c>
      <c r="T6386">
        <v>-0.25135299999999999</v>
      </c>
      <c r="U6386">
        <v>-2.7557370000000001E-2</v>
      </c>
      <c r="V6386">
        <v>-6.5574179999999996E-2</v>
      </c>
      <c r="W6386">
        <v>8.5111350000000002E-2</v>
      </c>
      <c r="X6386">
        <v>0.99421130000000002</v>
      </c>
      <c r="Y6386">
        <v>3.5629269999999998E-2</v>
      </c>
      <c r="Z6386">
        <v>-3.678101E-3</v>
      </c>
      <c r="AA6386">
        <v>0.99935830000000003</v>
      </c>
      <c r="AB6386">
        <v>26</v>
      </c>
      <c r="AC6386">
        <v>0.63790000000000102</v>
      </c>
      <c r="AD6386">
        <v>-6.3539999999999902E-2</v>
      </c>
      <c r="AE6386">
        <v>-1.1280000000006301E-2</v>
      </c>
      <c r="AF6386">
        <v>2.80867556385439E-2</v>
      </c>
      <c r="AG6386">
        <v>-6.3539999999999902E-2</v>
      </c>
      <c r="AH6386">
        <v>0.63110909114973701</v>
      </c>
      <c r="AI6386">
        <v>95.743513330935997</v>
      </c>
      <c r="AJ6386">
        <v>87.451801250890199</v>
      </c>
      <c r="AK6386">
        <v>0.63492116232973905</v>
      </c>
      <c r="AL6386">
        <v>85.117572100626006</v>
      </c>
      <c r="AM6386">
        <v>93.773533720804593</v>
      </c>
      <c r="AN6386">
        <v>1.00000001201459</v>
      </c>
    </row>
    <row r="6387" spans="1:40" x14ac:dyDescent="0.25">
      <c r="A6387" t="str">
        <f>"20190312151150417"</f>
        <v>20190312151150417</v>
      </c>
      <c r="B6387" t="str">
        <f>"1552374710408165"</f>
        <v>1552374710408165</v>
      </c>
      <c r="C6387" t="s">
        <v>40</v>
      </c>
      <c r="D6387">
        <v>5.1151489999999997</v>
      </c>
      <c r="E6387">
        <v>0.5409503</v>
      </c>
      <c r="F6387" t="s">
        <v>41</v>
      </c>
      <c r="G6387">
        <v>-247.21629999999999</v>
      </c>
      <c r="H6387">
        <v>1.0390699999999999</v>
      </c>
      <c r="I6387">
        <v>-63.928170000000001</v>
      </c>
      <c r="J6387">
        <v>-247.9453</v>
      </c>
      <c r="K6387">
        <v>1.1109</v>
      </c>
      <c r="L6387">
        <v>-63.915950000000002</v>
      </c>
      <c r="M6387">
        <v>0.99957119999999999</v>
      </c>
      <c r="N6387">
        <v>0</v>
      </c>
      <c r="O6387">
        <v>2.7499010000000001E-2</v>
      </c>
      <c r="P6387">
        <v>0.99288540000000003</v>
      </c>
      <c r="Q6387">
        <v>7.5060539999999995E-2</v>
      </c>
      <c r="R6387">
        <v>9.2438090000000001E-2</v>
      </c>
      <c r="S6387">
        <v>3.0430299999999999</v>
      </c>
      <c r="T6387">
        <v>-0.25225039999999999</v>
      </c>
      <c r="U6387">
        <v>-2.6885989999999999E-2</v>
      </c>
      <c r="V6387">
        <v>-6.5294550000000007E-2</v>
      </c>
      <c r="W6387">
        <v>8.4927489999999994E-2</v>
      </c>
      <c r="X6387">
        <v>0.99424539999999995</v>
      </c>
      <c r="Y6387">
        <v>3.6112760000000001E-2</v>
      </c>
      <c r="Z6387">
        <v>-3.769723E-3</v>
      </c>
      <c r="AA6387">
        <v>0.99934060000000002</v>
      </c>
      <c r="AB6387">
        <v>26</v>
      </c>
      <c r="AC6387">
        <v>0.72900000000001297</v>
      </c>
      <c r="AD6387">
        <v>-7.1829999999999797E-2</v>
      </c>
      <c r="AE6387">
        <v>-1.22199999999921E-2</v>
      </c>
      <c r="AF6387">
        <v>3.1953039063500402E-2</v>
      </c>
      <c r="AG6387">
        <v>-7.1829999999999797E-2</v>
      </c>
      <c r="AH6387">
        <v>0.721386544654949</v>
      </c>
      <c r="AI6387">
        <v>95.680786600022302</v>
      </c>
      <c r="AJ6387">
        <v>87.463802998288898</v>
      </c>
      <c r="AK6387">
        <v>0.72565769644826295</v>
      </c>
      <c r="AL6387">
        <v>85.128144656643002</v>
      </c>
      <c r="AM6387">
        <v>93.757359818172802</v>
      </c>
      <c r="AN6387">
        <v>0.99999998611928098</v>
      </c>
    </row>
    <row r="6388" spans="1:40" x14ac:dyDescent="0.25">
      <c r="A6388" t="str">
        <f>"20190312151150429"</f>
        <v>20190312151150429</v>
      </c>
      <c r="B6388" t="str">
        <f>"1552374710417925"</f>
        <v>1552374710417925</v>
      </c>
      <c r="C6388" t="s">
        <v>40</v>
      </c>
      <c r="D6388">
        <v>5.0938049999999997</v>
      </c>
      <c r="E6388">
        <v>0.54139510000000002</v>
      </c>
      <c r="F6388" t="s">
        <v>41</v>
      </c>
      <c r="G6388">
        <v>-247.20779999999999</v>
      </c>
      <c r="H6388">
        <v>1.0501020000000001</v>
      </c>
      <c r="I6388">
        <v>-63.922939999999997</v>
      </c>
      <c r="J6388">
        <v>-247.8115</v>
      </c>
      <c r="K6388">
        <v>1.110881</v>
      </c>
      <c r="L6388">
        <v>-63.911499999999997</v>
      </c>
      <c r="M6388">
        <v>0.99955269999999996</v>
      </c>
      <c r="N6388">
        <v>0</v>
      </c>
      <c r="O6388">
        <v>2.815958E-2</v>
      </c>
      <c r="P6388">
        <v>0.99284839999999996</v>
      </c>
      <c r="Q6388">
        <v>7.4901309999999999E-2</v>
      </c>
      <c r="R6388">
        <v>9.2963290000000004E-2</v>
      </c>
      <c r="S6388">
        <v>3.0430600000000001</v>
      </c>
      <c r="T6388">
        <v>-0.2509209</v>
      </c>
      <c r="U6388">
        <v>-2.8137209999999999E-2</v>
      </c>
      <c r="V6388">
        <v>-6.5158400000000005E-2</v>
      </c>
      <c r="W6388">
        <v>8.4771659999999999E-2</v>
      </c>
      <c r="X6388">
        <v>0.99426760000000003</v>
      </c>
      <c r="Y6388">
        <v>3.7180369999999997E-2</v>
      </c>
      <c r="Z6388">
        <v>-3.848186E-3</v>
      </c>
      <c r="AA6388">
        <v>0.99930110000000005</v>
      </c>
      <c r="AB6388">
        <v>26</v>
      </c>
      <c r="AC6388">
        <v>0.60370000000000301</v>
      </c>
      <c r="AD6388">
        <v>-6.0778999999999903E-2</v>
      </c>
      <c r="AE6388">
        <v>-1.1440000000007401E-2</v>
      </c>
      <c r="AF6388">
        <v>2.81510284487561E-2</v>
      </c>
      <c r="AG6388">
        <v>-6.0778999999999903E-2</v>
      </c>
      <c r="AH6388">
        <v>0.59708851981232203</v>
      </c>
      <c r="AI6388">
        <v>95.805843105614002</v>
      </c>
      <c r="AJ6388">
        <v>87.300665562729705</v>
      </c>
      <c r="AK6388">
        <v>0.60083381041299</v>
      </c>
      <c r="AL6388">
        <v>85.137105225268797</v>
      </c>
      <c r="AM6388">
        <v>93.749463989769694</v>
      </c>
      <c r="AN6388">
        <v>0.99999995591973601</v>
      </c>
    </row>
    <row r="6389" spans="1:40" x14ac:dyDescent="0.25">
      <c r="A6389" t="str">
        <f>"20190312151150450"</f>
        <v>20190312151150450</v>
      </c>
      <c r="B6389" t="str">
        <f>"1552374710447205"</f>
        <v>1552374710447205</v>
      </c>
      <c r="C6389" t="s">
        <v>40</v>
      </c>
      <c r="D6389">
        <v>5.0750080000000004</v>
      </c>
      <c r="E6389">
        <v>0.54214689999999999</v>
      </c>
      <c r="F6389" t="s">
        <v>41</v>
      </c>
      <c r="G6389">
        <v>-246.97909999999999</v>
      </c>
      <c r="H6389">
        <v>1.0431299999999999</v>
      </c>
      <c r="I6389">
        <v>-63.91986</v>
      </c>
      <c r="J6389">
        <v>-247.56489999999999</v>
      </c>
      <c r="K6389">
        <v>1.11084</v>
      </c>
      <c r="L6389">
        <v>-63.903260000000003</v>
      </c>
      <c r="M6389">
        <v>0.99951889999999999</v>
      </c>
      <c r="N6389">
        <v>0</v>
      </c>
      <c r="O6389">
        <v>2.9340290000000002E-2</v>
      </c>
      <c r="P6389">
        <v>0.9928013</v>
      </c>
      <c r="Q6389">
        <v>7.4558970000000002E-2</v>
      </c>
      <c r="R6389">
        <v>9.3737509999999996E-2</v>
      </c>
      <c r="S6389">
        <v>3.0431210000000002</v>
      </c>
      <c r="T6389">
        <v>-0.24770590000000001</v>
      </c>
      <c r="U6389">
        <v>-3.02124E-2</v>
      </c>
      <c r="V6389">
        <v>-6.4749199999999896E-2</v>
      </c>
      <c r="W6389">
        <v>8.4435720000000006E-2</v>
      </c>
      <c r="X6389">
        <v>0.99432299999999996</v>
      </c>
      <c r="Y6389">
        <v>3.9037530000000001E-2</v>
      </c>
      <c r="Z6389">
        <v>-3.9703480000000003E-3</v>
      </c>
      <c r="AA6389">
        <v>0.99922979999999995</v>
      </c>
      <c r="AB6389">
        <v>26</v>
      </c>
      <c r="AC6389">
        <v>0.58580000000000598</v>
      </c>
      <c r="AD6389">
        <v>-6.7710000000000103E-2</v>
      </c>
      <c r="AE6389">
        <v>-1.66000000000039E-2</v>
      </c>
      <c r="AF6389">
        <v>3.3336248204090098E-2</v>
      </c>
      <c r="AG6389">
        <v>-6.7710000000000103E-2</v>
      </c>
      <c r="AH6389">
        <v>0.57735344227780105</v>
      </c>
      <c r="AI6389">
        <v>96.677873533248999</v>
      </c>
      <c r="AJ6389">
        <v>86.695424633041</v>
      </c>
      <c r="AK6389">
        <v>0.58226535776598498</v>
      </c>
      <c r="AL6389">
        <v>85.156422832199098</v>
      </c>
      <c r="AM6389">
        <v>93.725776579658401</v>
      </c>
      <c r="AN6389">
        <v>1.0000000390207699</v>
      </c>
    </row>
    <row r="6390" spans="1:40" x14ac:dyDescent="0.25">
      <c r="A6390" t="str">
        <f>"20190312151150460"</f>
        <v>20190312151150460</v>
      </c>
      <c r="B6390" t="str">
        <f>"1552374710457940"</f>
        <v>1552374710457940</v>
      </c>
      <c r="C6390" t="s">
        <v>40</v>
      </c>
      <c r="D6390">
        <v>5.3220599999999996</v>
      </c>
      <c r="E6390">
        <v>0.54199580000000003</v>
      </c>
      <c r="F6390" t="s">
        <v>41</v>
      </c>
      <c r="G6390">
        <v>-246.74170000000001</v>
      </c>
      <c r="H6390">
        <v>1.045366</v>
      </c>
      <c r="I6390">
        <v>-63.912700000000001</v>
      </c>
      <c r="J6390">
        <v>-247.4358</v>
      </c>
      <c r="K6390">
        <v>1.1108180000000001</v>
      </c>
      <c r="L6390">
        <v>-63.898829999999997</v>
      </c>
      <c r="M6390">
        <v>0.99950119999999998</v>
      </c>
      <c r="N6390">
        <v>0</v>
      </c>
      <c r="O6390">
        <v>2.9936580000000001E-2</v>
      </c>
      <c r="P6390">
        <v>0.99275440000000004</v>
      </c>
      <c r="Q6390">
        <v>7.4216089999999998E-2</v>
      </c>
      <c r="R6390">
        <v>9.4502820000000001E-2</v>
      </c>
      <c r="S6390">
        <v>3.043167</v>
      </c>
      <c r="T6390">
        <v>-0.2420051</v>
      </c>
      <c r="U6390">
        <v>-3.4240720000000002E-2</v>
      </c>
      <c r="V6390">
        <v>-6.4916050000000003E-2</v>
      </c>
      <c r="W6390">
        <v>8.4096000000000004E-2</v>
      </c>
      <c r="X6390">
        <v>0.99434089999999997</v>
      </c>
      <c r="Y6390">
        <v>4.0958330000000001E-2</v>
      </c>
      <c r="Z6390">
        <v>-4.0027750000000001E-3</v>
      </c>
      <c r="AA6390">
        <v>0.99915279999999995</v>
      </c>
      <c r="AB6390">
        <v>26</v>
      </c>
      <c r="AC6390">
        <v>0.69409999999999095</v>
      </c>
      <c r="AD6390">
        <v>-6.5451999999999996E-2</v>
      </c>
      <c r="AE6390">
        <v>-1.38699999999971E-2</v>
      </c>
      <c r="AF6390">
        <v>3.4338595486252801E-2</v>
      </c>
      <c r="AG6390">
        <v>-6.5451999999999996E-2</v>
      </c>
      <c r="AH6390">
        <v>0.68726487923683299</v>
      </c>
      <c r="AI6390">
        <v>95.433446278495694</v>
      </c>
      <c r="AJ6390">
        <v>87.139644542987497</v>
      </c>
      <c r="AK6390">
        <v>0.691227978076978</v>
      </c>
      <c r="AL6390">
        <v>85.175956777308798</v>
      </c>
      <c r="AM6390">
        <v>93.735283206785596</v>
      </c>
      <c r="AN6390">
        <v>1.0000000280882</v>
      </c>
    </row>
    <row r="6391" spans="1:40" x14ac:dyDescent="0.25">
      <c r="A6391" t="str">
        <f>"20190312151150472"</f>
        <v>20190312151150472</v>
      </c>
      <c r="B6391" t="str">
        <f>"1552374710467701"</f>
        <v>1552374710467701</v>
      </c>
      <c r="C6391" t="s">
        <v>40</v>
      </c>
      <c r="D6391">
        <v>5.0839730000000003</v>
      </c>
      <c r="E6391">
        <v>0.54193440000000004</v>
      </c>
      <c r="F6391" t="s">
        <v>41</v>
      </c>
      <c r="G6391">
        <v>-246.50989999999999</v>
      </c>
      <c r="H6391">
        <v>1.038492</v>
      </c>
      <c r="I6391">
        <v>-63.908560000000001</v>
      </c>
      <c r="J6391">
        <v>-247.30070000000001</v>
      </c>
      <c r="K6391">
        <v>1.1107910000000001</v>
      </c>
      <c r="L6391">
        <v>-63.894129999999997</v>
      </c>
      <c r="M6391">
        <v>0.99948300000000001</v>
      </c>
      <c r="N6391">
        <v>0</v>
      </c>
      <c r="O6391">
        <v>3.0538820000000001E-2</v>
      </c>
      <c r="P6391">
        <v>0.99269439999999998</v>
      </c>
      <c r="Q6391">
        <v>7.3998910000000001E-2</v>
      </c>
      <c r="R6391">
        <v>9.5302049999999999E-2</v>
      </c>
      <c r="S6391">
        <v>3.0426329999999999</v>
      </c>
      <c r="T6391">
        <v>-0.23768909999999999</v>
      </c>
      <c r="U6391">
        <v>-3.1097409999999999E-2</v>
      </c>
      <c r="V6391">
        <v>-6.5111639999999998E-2</v>
      </c>
      <c r="W6391">
        <v>8.3881720000000007E-2</v>
      </c>
      <c r="X6391">
        <v>0.99434619999999996</v>
      </c>
      <c r="Y6391">
        <v>4.0537499999999997E-2</v>
      </c>
      <c r="Z6391">
        <v>-3.9628600000000003E-3</v>
      </c>
      <c r="AA6391">
        <v>0.99917020000000001</v>
      </c>
      <c r="AB6391">
        <v>26</v>
      </c>
      <c r="AC6391">
        <v>0.79080000000001804</v>
      </c>
      <c r="AD6391">
        <v>-7.2299000000000099E-2</v>
      </c>
      <c r="AE6391">
        <v>-1.44299999999901E-2</v>
      </c>
      <c r="AF6391">
        <v>3.8254939173727701E-2</v>
      </c>
      <c r="AG6391">
        <v>-7.2299000000000099E-2</v>
      </c>
      <c r="AH6391">
        <v>0.78344413938861601</v>
      </c>
      <c r="AI6391">
        <v>95.266284829659895</v>
      </c>
      <c r="AJ6391">
        <v>87.204514094763894</v>
      </c>
      <c r="AK6391">
        <v>0.78770254875463896</v>
      </c>
      <c r="AL6391">
        <v>85.188277596723594</v>
      </c>
      <c r="AM6391">
        <v>93.746485579471297</v>
      </c>
      <c r="AN6391">
        <v>1.00000001703404</v>
      </c>
    </row>
    <row r="6392" spans="1:40" x14ac:dyDescent="0.25">
      <c r="A6392" t="str">
        <f>"20190312151150484"</f>
        <v>20190312151150484</v>
      </c>
      <c r="B6392" t="str">
        <f>"1552374710477461"</f>
        <v>1552374710477461</v>
      </c>
      <c r="C6392" t="s">
        <v>40</v>
      </c>
      <c r="D6392">
        <v>5.2382489999999997</v>
      </c>
      <c r="E6392">
        <v>0.54204240000000004</v>
      </c>
      <c r="F6392" t="s">
        <v>41</v>
      </c>
      <c r="G6392">
        <v>-246.50190000000001</v>
      </c>
      <c r="H6392">
        <v>1.049698</v>
      </c>
      <c r="I6392">
        <v>-63.901890000000002</v>
      </c>
      <c r="J6392">
        <v>-247.1618</v>
      </c>
      <c r="K6392">
        <v>1.1107659999999999</v>
      </c>
      <c r="L6392">
        <v>-63.889249999999997</v>
      </c>
      <c r="M6392">
        <v>0.99946429999999997</v>
      </c>
      <c r="N6392">
        <v>0</v>
      </c>
      <c r="O6392">
        <v>3.1139960000000001E-2</v>
      </c>
      <c r="P6392">
        <v>0.99266370000000004</v>
      </c>
      <c r="Q6392">
        <v>7.3526380000000002E-2</v>
      </c>
      <c r="R6392">
        <v>9.598313E-2</v>
      </c>
      <c r="S6392">
        <v>3.04216</v>
      </c>
      <c r="T6392">
        <v>-0.2326828</v>
      </c>
      <c r="U6392">
        <v>-2.8533940000000001E-2</v>
      </c>
      <c r="V6392">
        <v>-6.5189129999999998E-2</v>
      </c>
      <c r="W6392">
        <v>8.3412719999999996E-2</v>
      </c>
      <c r="X6392">
        <v>0.9943805</v>
      </c>
      <c r="Y6392">
        <v>4.0306050000000003E-2</v>
      </c>
      <c r="Z6392">
        <v>-3.9173100000000002E-3</v>
      </c>
      <c r="AA6392">
        <v>0.9991797</v>
      </c>
      <c r="AB6392">
        <v>26</v>
      </c>
      <c r="AC6392">
        <v>0.65989999999999305</v>
      </c>
      <c r="AD6392">
        <v>-6.10679999999999E-2</v>
      </c>
      <c r="AE6392">
        <v>-1.2640000000004601E-2</v>
      </c>
      <c r="AF6392">
        <v>3.2902501006452603E-2</v>
      </c>
      <c r="AG6392">
        <v>-6.10679999999999E-2</v>
      </c>
      <c r="AH6392">
        <v>0.65359107931804405</v>
      </c>
      <c r="AI6392">
        <v>95.331197056244505</v>
      </c>
      <c r="AJ6392">
        <v>87.118099630151704</v>
      </c>
      <c r="AK6392">
        <v>0.65726187639372902</v>
      </c>
      <c r="AL6392">
        <v>85.215243460608804</v>
      </c>
      <c r="AM6392">
        <v>93.750802572872104</v>
      </c>
      <c r="AN6392">
        <v>0.999999941654101</v>
      </c>
    </row>
    <row r="6393" spans="1:40" x14ac:dyDescent="0.25">
      <c r="A6393" t="str">
        <f>"20190312151150494"</f>
        <v>20190312151150494</v>
      </c>
      <c r="B6393" t="str">
        <f>"1552374710487221"</f>
        <v>1552374710487221</v>
      </c>
      <c r="C6393" t="s">
        <v>40</v>
      </c>
      <c r="D6393">
        <v>5.0869220000000004</v>
      </c>
      <c r="E6393">
        <v>0.54228100000000001</v>
      </c>
      <c r="F6393" t="s">
        <v>41</v>
      </c>
      <c r="G6393">
        <v>-246.2723</v>
      </c>
      <c r="H6393">
        <v>1.041463</v>
      </c>
      <c r="I6393">
        <v>-63.897399999999998</v>
      </c>
      <c r="J6393">
        <v>-247.0368</v>
      </c>
      <c r="K6393">
        <v>1.110738</v>
      </c>
      <c r="L6393">
        <v>-63.884799999999998</v>
      </c>
      <c r="M6393">
        <v>0.9994478</v>
      </c>
      <c r="N6393">
        <v>0</v>
      </c>
      <c r="O6393">
        <v>3.1667340000000002E-2</v>
      </c>
      <c r="P6393">
        <v>0.99262810000000001</v>
      </c>
      <c r="Q6393">
        <v>7.3323760000000002E-2</v>
      </c>
      <c r="R6393">
        <v>9.650475E-2</v>
      </c>
      <c r="S6393">
        <v>3.042389</v>
      </c>
      <c r="T6393">
        <v>-0.23705109999999999</v>
      </c>
      <c r="U6393">
        <v>-2.7221680000000002E-2</v>
      </c>
      <c r="V6393">
        <v>-6.5181210000000003E-2</v>
      </c>
      <c r="W6393">
        <v>8.3213620000000002E-2</v>
      </c>
      <c r="X6393">
        <v>0.9943978</v>
      </c>
      <c r="Y6393">
        <v>4.0391919999999998E-2</v>
      </c>
      <c r="Z6393">
        <v>-4.0346940000000001E-3</v>
      </c>
      <c r="AA6393">
        <v>0.99917579999999995</v>
      </c>
      <c r="AB6393">
        <v>26</v>
      </c>
      <c r="AC6393">
        <v>0.76449999999999796</v>
      </c>
      <c r="AD6393">
        <v>-6.9274999999999906E-2</v>
      </c>
      <c r="AE6393">
        <v>-1.2599999999998999E-2</v>
      </c>
      <c r="AF6393">
        <v>3.65049254925182E-2</v>
      </c>
      <c r="AG6393">
        <v>-6.9274999999999906E-2</v>
      </c>
      <c r="AH6393">
        <v>0.75749934101469696</v>
      </c>
      <c r="AI6393">
        <v>95.219267987098803</v>
      </c>
      <c r="AJ6393">
        <v>87.240972848529196</v>
      </c>
      <c r="AK6393">
        <v>0.76153587364477704</v>
      </c>
      <c r="AL6393">
        <v>85.226691322541996</v>
      </c>
      <c r="AM6393">
        <v>93.750283118163296</v>
      </c>
      <c r="AN6393">
        <v>1.0000000406677001</v>
      </c>
    </row>
    <row r="6394" spans="1:40" x14ac:dyDescent="0.25">
      <c r="A6394" t="str">
        <f>"20190312151150506"</f>
        <v>20190312151150506</v>
      </c>
      <c r="B6394" t="str">
        <f>"1552374710497958"</f>
        <v>1552374710497958</v>
      </c>
      <c r="C6394" t="s">
        <v>40</v>
      </c>
      <c r="D6394">
        <v>5.1294570000000004</v>
      </c>
      <c r="E6394">
        <v>0.54253719999999905</v>
      </c>
      <c r="F6394" t="s">
        <v>41</v>
      </c>
      <c r="G6394">
        <v>-246.2646</v>
      </c>
      <c r="H6394">
        <v>1.0509189999999999</v>
      </c>
      <c r="I6394">
        <v>-63.892009999999999</v>
      </c>
      <c r="J6394">
        <v>-246.9091</v>
      </c>
      <c r="K6394">
        <v>1.1107129999999901</v>
      </c>
      <c r="L6394">
        <v>-63.880189999999999</v>
      </c>
      <c r="M6394">
        <v>0.99943130000000002</v>
      </c>
      <c r="N6394">
        <v>0</v>
      </c>
      <c r="O6394">
        <v>3.2182130000000003E-2</v>
      </c>
      <c r="P6394">
        <v>0.99255689999999996</v>
      </c>
      <c r="Q6394">
        <v>7.3370409999999997E-2</v>
      </c>
      <c r="R6394">
        <v>9.7198430000000002E-2</v>
      </c>
      <c r="S6394">
        <v>3.0424190000000002</v>
      </c>
      <c r="T6394">
        <v>-0.23572609999999999</v>
      </c>
      <c r="U6394">
        <v>-2.767944E-2</v>
      </c>
      <c r="V6394">
        <v>-6.5359210000000001E-2</v>
      </c>
      <c r="W6394">
        <v>8.3263509999999999E-2</v>
      </c>
      <c r="X6394">
        <v>0.99438190000000004</v>
      </c>
      <c r="Y6394">
        <v>4.1055710000000002E-2</v>
      </c>
      <c r="Z6394">
        <v>-4.0776600000000003E-3</v>
      </c>
      <c r="AA6394">
        <v>0.99914849999999999</v>
      </c>
      <c r="AB6394">
        <v>26</v>
      </c>
      <c r="AC6394">
        <v>0.64449999999999297</v>
      </c>
      <c r="AD6394">
        <v>-5.9793999999999597E-2</v>
      </c>
      <c r="AE6394">
        <v>-1.18200000000001E-2</v>
      </c>
      <c r="AF6394">
        <v>3.2278571699669897E-2</v>
      </c>
      <c r="AG6394">
        <v>-5.9793999999999597E-2</v>
      </c>
      <c r="AH6394">
        <v>0.63829354914700298</v>
      </c>
      <c r="AI6394">
        <v>95.344939640015895</v>
      </c>
      <c r="AJ6394">
        <v>87.105012560440002</v>
      </c>
      <c r="AK6394">
        <v>0.64190021304689504</v>
      </c>
      <c r="AL6394">
        <v>85.223822690570302</v>
      </c>
      <c r="AM6394">
        <v>93.760555183588806</v>
      </c>
      <c r="AN6394">
        <v>1.00000000073847</v>
      </c>
    </row>
    <row r="6395" spans="1:40" x14ac:dyDescent="0.25">
      <c r="A6395" t="str">
        <f>"20190312151150516"</f>
        <v>20190312151150516</v>
      </c>
      <c r="B6395" t="str">
        <f>"1552374710507718"</f>
        <v>1552374710507718</v>
      </c>
      <c r="C6395" t="s">
        <v>40</v>
      </c>
      <c r="D6395">
        <v>5.111294</v>
      </c>
      <c r="E6395">
        <v>0.54283309999999996</v>
      </c>
      <c r="F6395" t="s">
        <v>41</v>
      </c>
      <c r="G6395">
        <v>-246.0351</v>
      </c>
      <c r="H6395">
        <v>1.0430170000000001</v>
      </c>
      <c r="I6395">
        <v>-63.888309999999997</v>
      </c>
      <c r="J6395">
        <v>-246.77180000000001</v>
      </c>
      <c r="K6395">
        <v>1.1106879999999999</v>
      </c>
      <c r="L6395">
        <v>-63.87518</v>
      </c>
      <c r="M6395">
        <v>0.99941380000000002</v>
      </c>
      <c r="N6395">
        <v>0</v>
      </c>
      <c r="O6395">
        <v>3.272593E-2</v>
      </c>
      <c r="P6395">
        <v>0.99248360000000002</v>
      </c>
      <c r="Q6395">
        <v>7.3516059999999994E-2</v>
      </c>
      <c r="R6395">
        <v>9.7837880000000002E-2</v>
      </c>
      <c r="S6395">
        <v>3.042618</v>
      </c>
      <c r="T6395">
        <v>-0.2356626</v>
      </c>
      <c r="U6395">
        <v>-2.758789E-2</v>
      </c>
      <c r="V6395">
        <v>-6.5454170000000006E-2</v>
      </c>
      <c r="W6395">
        <v>8.3413199999999896E-2</v>
      </c>
      <c r="X6395">
        <v>0.99436310000000006</v>
      </c>
      <c r="Y6395">
        <v>4.1565680000000001E-2</v>
      </c>
      <c r="Z6395">
        <v>-4.138063E-3</v>
      </c>
      <c r="AA6395">
        <v>0.99912719999999999</v>
      </c>
      <c r="AB6395">
        <v>26</v>
      </c>
      <c r="AC6395">
        <v>0.73670000000001301</v>
      </c>
      <c r="AD6395">
        <v>-6.7670999999999801E-2</v>
      </c>
      <c r="AE6395">
        <v>-1.31299999999896E-2</v>
      </c>
      <c r="AF6395">
        <v>3.6921940297051099E-2</v>
      </c>
      <c r="AG6395">
        <v>-6.7670999999999801E-2</v>
      </c>
      <c r="AH6395">
        <v>0.72972043969062905</v>
      </c>
      <c r="AI6395">
        <v>95.291469774384296</v>
      </c>
      <c r="AJ6395">
        <v>87.103453960564096</v>
      </c>
      <c r="AK6395">
        <v>0.73378097142034404</v>
      </c>
      <c r="AL6395">
        <v>85.215216106180193</v>
      </c>
      <c r="AM6395">
        <v>93.766074157083096</v>
      </c>
      <c r="AN6395">
        <v>0.99999999247311899</v>
      </c>
    </row>
    <row r="6396" spans="1:40" x14ac:dyDescent="0.25">
      <c r="A6396" t="str">
        <f>"20190312151150528"</f>
        <v>20190312151150528</v>
      </c>
      <c r="B6396" t="str">
        <f>"1552374710517477"</f>
        <v>1552374710517477</v>
      </c>
      <c r="C6396" t="s">
        <v>40</v>
      </c>
      <c r="D6396">
        <v>5.1302490000000001</v>
      </c>
      <c r="E6396">
        <v>0.54310630000000004</v>
      </c>
      <c r="F6396" t="s">
        <v>41</v>
      </c>
      <c r="G6396">
        <v>-246.01900000000001</v>
      </c>
      <c r="H6396">
        <v>1.0526899999999999</v>
      </c>
      <c r="I6396">
        <v>-63.882359999999998</v>
      </c>
      <c r="J6396">
        <v>-246.6429</v>
      </c>
      <c r="K6396">
        <v>1.1106590000000001</v>
      </c>
      <c r="L6396">
        <v>-63.870420000000003</v>
      </c>
      <c r="M6396">
        <v>0.99939809999999996</v>
      </c>
      <c r="N6396">
        <v>0</v>
      </c>
      <c r="O6396">
        <v>3.3201120000000001E-2</v>
      </c>
      <c r="P6396">
        <v>0.9924191</v>
      </c>
      <c r="Q6396">
        <v>7.3720740000000007E-2</v>
      </c>
      <c r="R6396">
        <v>9.8335179999999994E-2</v>
      </c>
      <c r="S6396">
        <v>3.0428769999999998</v>
      </c>
      <c r="T6396">
        <v>-0.234459</v>
      </c>
      <c r="U6396">
        <v>-2.8259280000000001E-2</v>
      </c>
      <c r="V6396">
        <v>-6.54753E-2</v>
      </c>
      <c r="W6396">
        <v>8.3621799999999996E-2</v>
      </c>
      <c r="X6396">
        <v>0.99434420000000001</v>
      </c>
      <c r="Y6396">
        <v>4.225922E-2</v>
      </c>
      <c r="Z6396">
        <v>-4.1798679999999998E-3</v>
      </c>
      <c r="AA6396">
        <v>0.99909789999999998</v>
      </c>
      <c r="AB6396">
        <v>26</v>
      </c>
      <c r="AC6396">
        <v>0.62389999999999102</v>
      </c>
      <c r="AD6396">
        <v>-5.7969000000000097E-2</v>
      </c>
      <c r="AE6396">
        <v>-1.19400000000027E-2</v>
      </c>
      <c r="AF6396">
        <v>3.2369301087769801E-2</v>
      </c>
      <c r="AG6396">
        <v>-5.7969000000000097E-2</v>
      </c>
      <c r="AH6396">
        <v>0.61782780845965102</v>
      </c>
      <c r="AI6396">
        <v>95.352905887737506</v>
      </c>
      <c r="AJ6396">
        <v>87.000895456224299</v>
      </c>
      <c r="AK6396">
        <v>0.62138504771193703</v>
      </c>
      <c r="AL6396">
        <v>85.203222360270203</v>
      </c>
      <c r="AM6396">
        <v>93.767357826048695</v>
      </c>
      <c r="AN6396">
        <v>1.0000000042094801</v>
      </c>
    </row>
    <row r="6397" spans="1:40" x14ac:dyDescent="0.25">
      <c r="A6397" t="str">
        <f>"20190312151150538"</f>
        <v>20190312151150538</v>
      </c>
      <c r="B6397" t="str">
        <f>"1552374710527237"</f>
        <v>1552374710527237</v>
      </c>
      <c r="C6397" t="s">
        <v>40</v>
      </c>
      <c r="D6397">
        <v>5.1353330000000001</v>
      </c>
      <c r="E6397">
        <v>0.54330659999999997</v>
      </c>
      <c r="F6397" t="s">
        <v>41</v>
      </c>
      <c r="G6397">
        <v>-245.7963</v>
      </c>
      <c r="H6397">
        <v>1.0457069999999999</v>
      </c>
      <c r="I6397">
        <v>-63.878610000000002</v>
      </c>
      <c r="J6397">
        <v>-246.5119</v>
      </c>
      <c r="K6397">
        <v>1.1106309999999999</v>
      </c>
      <c r="L6397">
        <v>-63.865569999999998</v>
      </c>
      <c r="M6397">
        <v>0.99938199999999999</v>
      </c>
      <c r="N6397">
        <v>0</v>
      </c>
      <c r="O6397">
        <v>3.3677850000000002E-2</v>
      </c>
      <c r="P6397">
        <v>0.9923362</v>
      </c>
      <c r="Q6397">
        <v>7.4215799999999998E-2</v>
      </c>
      <c r="R6397">
        <v>9.8798140000000007E-2</v>
      </c>
      <c r="S6397">
        <v>3.0431210000000002</v>
      </c>
      <c r="T6397">
        <v>-0.23344290000000001</v>
      </c>
      <c r="U6397">
        <v>-2.8900149999999999E-2</v>
      </c>
      <c r="V6397">
        <v>-6.5461649999999996E-2</v>
      </c>
      <c r="W6397">
        <v>8.4120719999999996E-2</v>
      </c>
      <c r="X6397">
        <v>0.99430300000000005</v>
      </c>
      <c r="Y6397">
        <v>4.2944000000000003E-2</v>
      </c>
      <c r="Z6397">
        <v>-4.2242039999999996E-3</v>
      </c>
      <c r="AA6397">
        <v>0.99906859999999997</v>
      </c>
      <c r="AB6397">
        <v>27</v>
      </c>
      <c r="AC6397">
        <v>0.71559999999999402</v>
      </c>
      <c r="AD6397">
        <v>-6.4923999999999898E-2</v>
      </c>
      <c r="AE6397">
        <v>-1.3039999999996599E-2</v>
      </c>
      <c r="AF6397">
        <v>3.6830629512925303E-2</v>
      </c>
      <c r="AG6397">
        <v>-6.4923999999999898E-2</v>
      </c>
      <c r="AH6397">
        <v>0.70892141911000495</v>
      </c>
      <c r="AI6397">
        <v>95.225621591252306</v>
      </c>
      <c r="AJ6397">
        <v>87.025983354889306</v>
      </c>
      <c r="AK6397">
        <v>0.71284023421750098</v>
      </c>
      <c r="AL6397">
        <v>85.174535202415598</v>
      </c>
      <c r="AM6397">
        <v>93.766730307821803</v>
      </c>
      <c r="AN6397">
        <v>0.99999998948152002</v>
      </c>
    </row>
    <row r="6398" spans="1:40" x14ac:dyDescent="0.25">
      <c r="A6398" t="str">
        <f>"20190312151150550"</f>
        <v>20190312151150550</v>
      </c>
      <c r="B6398" t="str">
        <f>"1552374710537973"</f>
        <v>1552374710537973</v>
      </c>
      <c r="C6398" t="s">
        <v>40</v>
      </c>
      <c r="D6398">
        <v>5.6039729999999999</v>
      </c>
      <c r="E6398">
        <v>0.54317950000000004</v>
      </c>
      <c r="F6398" t="s">
        <v>41</v>
      </c>
      <c r="G6398">
        <v>-245.5634</v>
      </c>
      <c r="H6398">
        <v>1.0383960000000001</v>
      </c>
      <c r="I6398">
        <v>-63.874720000000003</v>
      </c>
      <c r="J6398">
        <v>-246.37970000000001</v>
      </c>
      <c r="K6398">
        <v>1.110603</v>
      </c>
      <c r="L6398">
        <v>-63.860599999999998</v>
      </c>
      <c r="M6398">
        <v>0.99936700000000001</v>
      </c>
      <c r="N6398">
        <v>0</v>
      </c>
      <c r="O6398">
        <v>3.4122769999999997E-2</v>
      </c>
      <c r="P6398">
        <v>0.9922898</v>
      </c>
      <c r="Q6398">
        <v>7.4186329999999995E-2</v>
      </c>
      <c r="R6398">
        <v>9.9284280000000003E-2</v>
      </c>
      <c r="S6398">
        <v>3.0434109999999999</v>
      </c>
      <c r="T6398">
        <v>-0.23177030000000001</v>
      </c>
      <c r="U6398">
        <v>-2.9174800000000001E-2</v>
      </c>
      <c r="V6398">
        <v>-6.5499719999999997E-2</v>
      </c>
      <c r="W6398">
        <v>8.4096009999999999E-2</v>
      </c>
      <c r="X6398">
        <v>0.99430260000000004</v>
      </c>
      <c r="Y6398">
        <v>4.3478459999999997E-2</v>
      </c>
      <c r="Z6398">
        <v>-4.2477690000000002E-3</v>
      </c>
      <c r="AA6398">
        <v>0.99904530000000002</v>
      </c>
      <c r="AB6398">
        <v>27</v>
      </c>
      <c r="AC6398">
        <v>0.81630000000001202</v>
      </c>
      <c r="AD6398">
        <v>-7.2207000000000104E-2</v>
      </c>
      <c r="AE6398">
        <v>-1.4119999999998301E-2</v>
      </c>
      <c r="AF6398">
        <v>4.1641872376432798E-2</v>
      </c>
      <c r="AG6398">
        <v>-7.2207000000000104E-2</v>
      </c>
      <c r="AH6398">
        <v>0.80901446516845099</v>
      </c>
      <c r="AI6398">
        <v>95.093600431461596</v>
      </c>
      <c r="AJ6398">
        <v>87.053452180222493</v>
      </c>
      <c r="AK6398">
        <v>0.81329717891789699</v>
      </c>
      <c r="AL6398">
        <v>85.175956096920999</v>
      </c>
      <c r="AM6398">
        <v>93.768916094575403</v>
      </c>
      <c r="AN6398">
        <v>1.00000000629237</v>
      </c>
    </row>
    <row r="6399" spans="1:40" x14ac:dyDescent="0.25">
      <c r="A6399" t="str">
        <f>"20190312151150562"</f>
        <v>20190312151150562</v>
      </c>
      <c r="B6399" t="str">
        <f>"1552374710557493"</f>
        <v>1552374710557493</v>
      </c>
      <c r="C6399" t="s">
        <v>40</v>
      </c>
      <c r="D6399">
        <v>5.4836919999999996</v>
      </c>
      <c r="E6399">
        <v>0.54314119999999999</v>
      </c>
      <c r="F6399" t="s">
        <v>41</v>
      </c>
      <c r="G6399">
        <v>-245.55629999999999</v>
      </c>
      <c r="H6399">
        <v>1.049004</v>
      </c>
      <c r="I6399">
        <v>-63.867939999999997</v>
      </c>
      <c r="J6399">
        <v>-246.24299999999999</v>
      </c>
      <c r="K6399">
        <v>1.110579</v>
      </c>
      <c r="L6399">
        <v>-63.855440000000002</v>
      </c>
      <c r="M6399">
        <v>0.99935160000000001</v>
      </c>
      <c r="N6399">
        <v>0</v>
      </c>
      <c r="O6399">
        <v>3.4568929999999998E-2</v>
      </c>
      <c r="P6399">
        <v>0.99221250000000005</v>
      </c>
      <c r="Q6399">
        <v>7.4537839999999994E-2</v>
      </c>
      <c r="R6399">
        <v>9.9791710000000006E-2</v>
      </c>
      <c r="S6399">
        <v>3.043015</v>
      </c>
      <c r="T6399">
        <v>-0.22761210000000001</v>
      </c>
      <c r="U6399">
        <v>-2.6947019999999999E-2</v>
      </c>
      <c r="V6399">
        <v>-6.5559359999999997E-2</v>
      </c>
      <c r="W6399">
        <v>8.4451879999999993E-2</v>
      </c>
      <c r="X6399">
        <v>0.9942685</v>
      </c>
      <c r="Y6399">
        <v>4.3201829999999997E-2</v>
      </c>
      <c r="Z6399">
        <v>-4.1953069999999997E-3</v>
      </c>
      <c r="AA6399">
        <v>0.99905750000000004</v>
      </c>
      <c r="AB6399">
        <v>27</v>
      </c>
      <c r="AC6399">
        <v>0.68670000000000098</v>
      </c>
      <c r="AD6399">
        <v>-6.1574999999999901E-2</v>
      </c>
      <c r="AE6399">
        <v>-1.2500000000002801E-2</v>
      </c>
      <c r="AF6399">
        <v>3.5943314718043899E-2</v>
      </c>
      <c r="AG6399">
        <v>-6.1574999999999901E-2</v>
      </c>
      <c r="AH6399">
        <v>0.68038864702398205</v>
      </c>
      <c r="AI6399">
        <v>95.164004870625206</v>
      </c>
      <c r="AJ6399">
        <v>86.976011161909</v>
      </c>
      <c r="AK6399">
        <v>0.68411410853529797</v>
      </c>
      <c r="AL6399">
        <v>85.155493423549601</v>
      </c>
      <c r="AM6399">
        <v>93.772466937131099</v>
      </c>
      <c r="AN6399">
        <v>0.99999999990569699</v>
      </c>
    </row>
    <row r="6400" spans="1:40" x14ac:dyDescent="0.25">
      <c r="A6400" t="str">
        <f>"20190312151150573"</f>
        <v>20190312151150573</v>
      </c>
      <c r="B6400" t="str">
        <f>"1552374710567253"</f>
        <v>1552374710567253</v>
      </c>
      <c r="C6400" t="s">
        <v>40</v>
      </c>
      <c r="D6400">
        <v>5.3715909999999996</v>
      </c>
      <c r="E6400">
        <v>0.54314119999999999</v>
      </c>
      <c r="F6400" t="s">
        <v>41</v>
      </c>
      <c r="G6400">
        <v>-245.32380000000001</v>
      </c>
      <c r="H6400">
        <v>1.0430200000000001</v>
      </c>
      <c r="I6400">
        <v>-63.863019999999999</v>
      </c>
      <c r="J6400">
        <v>-246.11099999999999</v>
      </c>
      <c r="K6400">
        <v>1.110547</v>
      </c>
      <c r="L6400">
        <v>-63.8504</v>
      </c>
      <c r="M6400">
        <v>0.99933760000000005</v>
      </c>
      <c r="N6400">
        <v>0</v>
      </c>
      <c r="O6400">
        <v>3.4974560000000002E-2</v>
      </c>
      <c r="P6400">
        <v>0.99215439999999999</v>
      </c>
      <c r="Q6400">
        <v>7.4552469999999996E-2</v>
      </c>
      <c r="R6400">
        <v>0.1003575</v>
      </c>
      <c r="S6400">
        <v>3.0428769999999998</v>
      </c>
      <c r="T6400">
        <v>-0.2236841</v>
      </c>
      <c r="U6400">
        <v>-2.5207520000000001E-2</v>
      </c>
      <c r="V6400">
        <v>-6.5716650000000001E-2</v>
      </c>
      <c r="W6400">
        <v>8.4471840000000006E-2</v>
      </c>
      <c r="X6400">
        <v>0.99425640000000004</v>
      </c>
      <c r="Y6400">
        <v>4.3043400000000002E-2</v>
      </c>
      <c r="Z6400">
        <v>-4.1472439999999996E-3</v>
      </c>
      <c r="AA6400">
        <v>0.99906459999999997</v>
      </c>
      <c r="AB6400">
        <v>27</v>
      </c>
      <c r="AC6400">
        <v>0.78719999999998402</v>
      </c>
      <c r="AD6400">
        <v>-6.7526999999999796E-2</v>
      </c>
      <c r="AE6400">
        <v>-1.2619999999998299E-2</v>
      </c>
      <c r="AF6400">
        <v>3.9852468422816499E-2</v>
      </c>
      <c r="AG6400">
        <v>-6.7526999999999796E-2</v>
      </c>
      <c r="AH6400">
        <v>0.78053491315814105</v>
      </c>
      <c r="AI6400">
        <v>94.938160423461397</v>
      </c>
      <c r="AJ6400">
        <v>87.077136311142198</v>
      </c>
      <c r="AK6400">
        <v>0.78446342529602897</v>
      </c>
      <c r="AL6400">
        <v>85.154345598992904</v>
      </c>
      <c r="AM6400">
        <v>93.7815374964661</v>
      </c>
      <c r="AN6400">
        <v>0.99999997939058305</v>
      </c>
    </row>
    <row r="6401" spans="1:40" x14ac:dyDescent="0.25">
      <c r="A6401" t="str">
        <f>"20190312151150584"</f>
        <v>20190312151150584</v>
      </c>
      <c r="B6401" t="str">
        <f>"1552374710577989"</f>
        <v>1552374710577989</v>
      </c>
      <c r="C6401" t="s">
        <v>40</v>
      </c>
      <c r="D6401">
        <v>5.4010470000000002</v>
      </c>
      <c r="E6401">
        <v>0.57120899999999997</v>
      </c>
      <c r="F6401" t="s">
        <v>41</v>
      </c>
      <c r="G6401">
        <v>-245.316</v>
      </c>
      <c r="H6401">
        <v>1.052157</v>
      </c>
      <c r="I6401">
        <v>-63.856529999999999</v>
      </c>
      <c r="J6401">
        <v>-245.9727</v>
      </c>
      <c r="K6401">
        <v>1.1105130000000001</v>
      </c>
      <c r="L6401">
        <v>-63.845120000000001</v>
      </c>
      <c r="M6401">
        <v>0.99932350000000003</v>
      </c>
      <c r="N6401">
        <v>0</v>
      </c>
      <c r="O6401">
        <v>3.5373719999999997E-2</v>
      </c>
      <c r="P6401">
        <v>0.99212869999999997</v>
      </c>
      <c r="Q6401">
        <v>7.4016999999999999E-2</v>
      </c>
      <c r="R6401">
        <v>0.1010055</v>
      </c>
      <c r="S6401">
        <v>3.0428920000000002</v>
      </c>
      <c r="T6401">
        <v>-0.22353490000000001</v>
      </c>
      <c r="U6401">
        <v>-2.3590090000000001E-2</v>
      </c>
      <c r="V6401">
        <v>-6.5959980000000001E-2</v>
      </c>
      <c r="W6401">
        <v>8.3942059999999999E-2</v>
      </c>
      <c r="X6401">
        <v>0.99428519999999998</v>
      </c>
      <c r="Y6401">
        <v>4.2910959999999998E-2</v>
      </c>
      <c r="Z6401">
        <v>-4.168883E-3</v>
      </c>
      <c r="AA6401">
        <v>0.99907020000000002</v>
      </c>
      <c r="AB6401">
        <v>27</v>
      </c>
      <c r="AC6401">
        <v>0.65670000000002904</v>
      </c>
      <c r="AD6401">
        <v>-5.8355999999999797E-2</v>
      </c>
      <c r="AE6401">
        <v>-1.14100000000121E-2</v>
      </c>
      <c r="AF6401">
        <v>3.4362691734516802E-2</v>
      </c>
      <c r="AG6401">
        <v>-5.8355999999999797E-2</v>
      </c>
      <c r="AH6401">
        <v>0.65074822037636204</v>
      </c>
      <c r="AI6401">
        <v>95.117214492974696</v>
      </c>
      <c r="AJ6401">
        <v>86.977309714247596</v>
      </c>
      <c r="AK6401">
        <v>0.65426253418810698</v>
      </c>
      <c r="AL6401">
        <v>85.184808165290093</v>
      </c>
      <c r="AM6401">
        <v>93.795388981551497</v>
      </c>
      <c r="AN6401">
        <v>1.00000002366884</v>
      </c>
    </row>
    <row r="6402" spans="1:40" x14ac:dyDescent="0.25">
      <c r="A6402" t="str">
        <f>"20190312151150594"</f>
        <v>20190312151150594</v>
      </c>
      <c r="B6402" t="str">
        <f>"1552374710587749"</f>
        <v>1552374710587749</v>
      </c>
      <c r="C6402" t="s">
        <v>40</v>
      </c>
      <c r="D6402">
        <v>5.3659049999999997</v>
      </c>
      <c r="E6402">
        <v>0.5720248</v>
      </c>
      <c r="F6402" t="s">
        <v>41</v>
      </c>
      <c r="G6402">
        <v>-245.0934</v>
      </c>
      <c r="H6402">
        <v>1.0235730000000001</v>
      </c>
      <c r="I6402">
        <v>-63.914430000000003</v>
      </c>
      <c r="J6402">
        <v>-245.85040000000001</v>
      </c>
      <c r="K6402">
        <v>1.1104769999999999</v>
      </c>
      <c r="L6402">
        <v>-63.840449999999997</v>
      </c>
      <c r="M6402">
        <v>0.99931150000000002</v>
      </c>
      <c r="N6402">
        <v>0</v>
      </c>
      <c r="O6402">
        <v>3.5710810000000003E-2</v>
      </c>
      <c r="P6402">
        <v>0.99209550000000002</v>
      </c>
      <c r="Q6402">
        <v>7.3945109999999994E-2</v>
      </c>
      <c r="R6402">
        <v>0.101384</v>
      </c>
      <c r="S6402">
        <v>3.0710449999999998</v>
      </c>
      <c r="T6402">
        <v>-0.30361830000000001</v>
      </c>
      <c r="U6402">
        <v>-0.24151610000000001</v>
      </c>
      <c r="V6402">
        <v>-6.5997330000000007E-2</v>
      </c>
      <c r="W6402">
        <v>8.3875050000000007E-2</v>
      </c>
      <c r="X6402">
        <v>0.99428830000000001</v>
      </c>
      <c r="Y6402">
        <v>0.1132315</v>
      </c>
      <c r="Z6402">
        <v>-9.0925629999999997E-3</v>
      </c>
      <c r="AA6402">
        <v>0.9935271</v>
      </c>
      <c r="AB6402">
        <v>27</v>
      </c>
      <c r="AC6402">
        <v>0.757000000000005</v>
      </c>
      <c r="AD6402">
        <v>-8.6903999999999801E-2</v>
      </c>
      <c r="AE6402">
        <v>-7.3980000000005902E-2</v>
      </c>
      <c r="AF6402">
        <v>9.9666170081055105E-2</v>
      </c>
      <c r="AG6402">
        <v>-8.6903999999999801E-2</v>
      </c>
      <c r="AH6402">
        <v>0.74416046204206099</v>
      </c>
      <c r="AI6402">
        <v>96.602477370885495</v>
      </c>
      <c r="AJ6402">
        <v>82.371712483792905</v>
      </c>
      <c r="AK6402">
        <v>0.75581773195743396</v>
      </c>
      <c r="AL6402">
        <v>85.188660775963598</v>
      </c>
      <c r="AM6402">
        <v>93.797520037726599</v>
      </c>
      <c r="AN6402">
        <v>0.99999994754825905</v>
      </c>
    </row>
    <row r="6403" spans="1:40" x14ac:dyDescent="0.25">
      <c r="A6403" t="str">
        <f>"20190312151150607"</f>
        <v>20190312151150607</v>
      </c>
      <c r="B6403" t="str">
        <f>"1552374710597508"</f>
        <v>1552374710597508</v>
      </c>
      <c r="C6403" t="s">
        <v>40</v>
      </c>
      <c r="D6403">
        <v>5.3530930000000003</v>
      </c>
      <c r="E6403">
        <v>0.57292580000000004</v>
      </c>
      <c r="F6403" t="s">
        <v>41</v>
      </c>
      <c r="G6403">
        <v>-245.0872</v>
      </c>
      <c r="H6403">
        <v>1.0374859999999999</v>
      </c>
      <c r="I6403">
        <v>-63.902079999999998</v>
      </c>
      <c r="J6403">
        <v>-245.70750000000001</v>
      </c>
      <c r="K6403">
        <v>1.1104369999999999</v>
      </c>
      <c r="L6403">
        <v>-63.834899999999998</v>
      </c>
      <c r="M6403">
        <v>0.99929880000000004</v>
      </c>
      <c r="N6403">
        <v>0</v>
      </c>
      <c r="O6403">
        <v>3.6065159999999999E-2</v>
      </c>
      <c r="P6403">
        <v>0.99204669999999895</v>
      </c>
      <c r="Q6403">
        <v>7.3468030000000004E-2</v>
      </c>
      <c r="R6403">
        <v>0.1022063</v>
      </c>
      <c r="S6403">
        <v>3.0710449999999998</v>
      </c>
      <c r="T6403">
        <v>-0.2936841</v>
      </c>
      <c r="U6403">
        <v>-0.24731449999999999</v>
      </c>
      <c r="V6403">
        <v>-6.6460329999999998E-2</v>
      </c>
      <c r="W6403">
        <v>8.3403690000000003E-2</v>
      </c>
      <c r="X6403">
        <v>0.99429710000000004</v>
      </c>
      <c r="Y6403">
        <v>0.11548219999999999</v>
      </c>
      <c r="Z6403">
        <v>-8.9367679999999994E-3</v>
      </c>
      <c r="AA6403">
        <v>0.99326930000000002</v>
      </c>
      <c r="AB6403">
        <v>27</v>
      </c>
      <c r="AC6403">
        <v>0.62030000000001395</v>
      </c>
      <c r="AD6403">
        <v>-7.2950999999999905E-2</v>
      </c>
      <c r="AE6403">
        <v>-6.7180000000007498E-2</v>
      </c>
      <c r="AF6403">
        <v>8.8301488211977003E-2</v>
      </c>
      <c r="AG6403">
        <v>-7.2950999999999905E-2</v>
      </c>
      <c r="AH6403">
        <v>0.60914591300265197</v>
      </c>
      <c r="AI6403">
        <v>96.759204638077307</v>
      </c>
      <c r="AJ6403">
        <v>81.751885365938406</v>
      </c>
      <c r="AK6403">
        <v>0.61982073581744901</v>
      </c>
      <c r="AL6403">
        <v>85.215762628436593</v>
      </c>
      <c r="AM6403">
        <v>93.824048776392104</v>
      </c>
      <c r="AN6403">
        <v>0.99999993701886503</v>
      </c>
    </row>
    <row r="6404" spans="1:40" x14ac:dyDescent="0.25">
      <c r="A6404" t="str">
        <f>"20190312151150618"</f>
        <v>20190312151150618</v>
      </c>
      <c r="B6404" t="str">
        <f>"1552374710607270"</f>
        <v>1552374710607270</v>
      </c>
      <c r="C6404" t="s">
        <v>40</v>
      </c>
      <c r="D6404">
        <v>5.3039019999999999</v>
      </c>
      <c r="E6404">
        <v>0.57318089999999999</v>
      </c>
      <c r="F6404" t="s">
        <v>41</v>
      </c>
      <c r="G6404">
        <v>-244.8528</v>
      </c>
      <c r="H6404">
        <v>1.028708</v>
      </c>
      <c r="I6404">
        <v>-63.905180000000001</v>
      </c>
      <c r="J6404">
        <v>-245.56720000000001</v>
      </c>
      <c r="K6404">
        <v>1.110395</v>
      </c>
      <c r="L6404">
        <v>-63.829469999999901</v>
      </c>
      <c r="M6404">
        <v>0.99928669999999997</v>
      </c>
      <c r="N6404">
        <v>0</v>
      </c>
      <c r="O6404">
        <v>3.6396539999999998E-2</v>
      </c>
      <c r="P6404">
        <v>0.99197500000000005</v>
      </c>
      <c r="Q6404">
        <v>7.3166120000000001E-2</v>
      </c>
      <c r="R6404">
        <v>0.1031122</v>
      </c>
      <c r="S6404">
        <v>3.0718079999999999</v>
      </c>
      <c r="T6404">
        <v>-0.293734</v>
      </c>
      <c r="U6404">
        <v>-0.25219730000000001</v>
      </c>
      <c r="V6404">
        <v>-6.702951E-2</v>
      </c>
      <c r="W6404">
        <v>8.3108130000000002E-2</v>
      </c>
      <c r="X6404">
        <v>0.99428369999999999</v>
      </c>
      <c r="Y6404">
        <v>0.1173503</v>
      </c>
      <c r="Z6404">
        <v>-9.0560659999999998E-3</v>
      </c>
      <c r="AA6404">
        <v>0.99304930000000002</v>
      </c>
      <c r="AB6404">
        <v>27</v>
      </c>
      <c r="AC6404">
        <v>0.71440000000001103</v>
      </c>
      <c r="AD6404">
        <v>-8.1686999999999996E-2</v>
      </c>
      <c r="AE6404">
        <v>-7.5710000000007896E-2</v>
      </c>
      <c r="AF6404">
        <v>0.10036519341439799</v>
      </c>
      <c r="AG6404">
        <v>-8.1686999999999996E-2</v>
      </c>
      <c r="AH6404">
        <v>0.70209336304654701</v>
      </c>
      <c r="AI6404">
        <v>96.5701995580486</v>
      </c>
      <c r="AJ6404">
        <v>81.864608050085906</v>
      </c>
      <c r="AK6404">
        <v>0.71391948317168097</v>
      </c>
      <c r="AL6404">
        <v>85.232756250828004</v>
      </c>
      <c r="AM6404">
        <v>93.8567521226623</v>
      </c>
      <c r="AN6404">
        <v>0.99999999628431302</v>
      </c>
    </row>
    <row r="6405" spans="1:40" x14ac:dyDescent="0.25">
      <c r="A6405" t="str">
        <f>"20190312151150630"</f>
        <v>20190312151150630</v>
      </c>
      <c r="B6405" t="str">
        <f>"1552374710618005"</f>
        <v>1552374710618005</v>
      </c>
      <c r="C6405" t="s">
        <v>40</v>
      </c>
      <c r="D6405">
        <v>5.346527</v>
      </c>
      <c r="E6405">
        <v>0.57355999999999996</v>
      </c>
      <c r="F6405" t="s">
        <v>41</v>
      </c>
      <c r="G6405">
        <v>-244.62039999999999</v>
      </c>
      <c r="H6405">
        <v>1.0153129999999999</v>
      </c>
      <c r="I6405">
        <v>-63.906959999999998</v>
      </c>
      <c r="J6405">
        <v>-245.4272</v>
      </c>
      <c r="K6405">
        <v>1.110352</v>
      </c>
      <c r="L6405">
        <v>-63.824039999999997</v>
      </c>
      <c r="M6405">
        <v>0.99927659999999996</v>
      </c>
      <c r="N6405">
        <v>0</v>
      </c>
      <c r="O6405">
        <v>3.6675260000000001E-2</v>
      </c>
      <c r="P6405">
        <v>0.99189400000000005</v>
      </c>
      <c r="Q6405">
        <v>7.3071380000000005E-2</v>
      </c>
      <c r="R6405">
        <v>0.10395749999999999</v>
      </c>
      <c r="S6405">
        <v>3.0731350000000002</v>
      </c>
      <c r="T6405">
        <v>-0.30866690000000002</v>
      </c>
      <c r="U6405">
        <v>-0.25115969999999999</v>
      </c>
      <c r="V6405">
        <v>-6.7590880000000006E-2</v>
      </c>
      <c r="W6405">
        <v>8.3019750000000003E-2</v>
      </c>
      <c r="X6405">
        <v>0.9942531</v>
      </c>
      <c r="Y6405">
        <v>0.11718679999999999</v>
      </c>
      <c r="Z6405">
        <v>-9.5299800000000004E-3</v>
      </c>
      <c r="AA6405">
        <v>0.99306419999999995</v>
      </c>
      <c r="AB6405">
        <v>27</v>
      </c>
      <c r="AC6405">
        <v>0.80680000000000895</v>
      </c>
      <c r="AD6405">
        <v>-9.5039000000000096E-2</v>
      </c>
      <c r="AE6405">
        <v>-8.2919999999994304E-2</v>
      </c>
      <c r="AF6405">
        <v>0.110932075227717</v>
      </c>
      <c r="AG6405">
        <v>-9.5039000000000096E-2</v>
      </c>
      <c r="AH6405">
        <v>0.79233616512729999</v>
      </c>
      <c r="AI6405">
        <v>96.774376738442697</v>
      </c>
      <c r="AJ6405">
        <v>82.030034135204005</v>
      </c>
      <c r="AK6405">
        <v>0.80568910592359599</v>
      </c>
      <c r="AL6405">
        <v>85.2378377079459</v>
      </c>
      <c r="AM6405">
        <v>93.889072916619</v>
      </c>
      <c r="AN6405">
        <v>1.00000001640442</v>
      </c>
    </row>
    <row r="6406" spans="1:40" x14ac:dyDescent="0.25">
      <c r="A6406" t="str">
        <f>"20190312151150641"</f>
        <v>20190312151150641</v>
      </c>
      <c r="B6406" t="str">
        <f>"1552374710637525"</f>
        <v>1552374710637525</v>
      </c>
      <c r="C6406" t="s">
        <v>40</v>
      </c>
      <c r="D6406">
        <v>5.3130360000000003</v>
      </c>
      <c r="E6406">
        <v>0.57425519999999997</v>
      </c>
      <c r="F6406" t="s">
        <v>41</v>
      </c>
      <c r="G6406">
        <v>-244.614</v>
      </c>
      <c r="H6406">
        <v>1.0301769999999999</v>
      </c>
      <c r="I6406">
        <v>-63.890819999999998</v>
      </c>
      <c r="J6406">
        <v>-245.29900000000001</v>
      </c>
      <c r="K6406">
        <v>1.110312</v>
      </c>
      <c r="L6406">
        <v>-63.81906</v>
      </c>
      <c r="M6406">
        <v>0.99926780000000004</v>
      </c>
      <c r="N6406">
        <v>0</v>
      </c>
      <c r="O6406">
        <v>3.6914179999999998E-2</v>
      </c>
      <c r="P6406">
        <v>0.99184229999999995</v>
      </c>
      <c r="Q6406">
        <v>7.2991739999999999E-2</v>
      </c>
      <c r="R6406">
        <v>0.104504</v>
      </c>
      <c r="S6406">
        <v>3.0732270000000002</v>
      </c>
      <c r="T6406">
        <v>-0.30302190000000001</v>
      </c>
      <c r="U6406">
        <v>-0.25195309999999999</v>
      </c>
      <c r="V6406">
        <v>-6.789328E-2</v>
      </c>
      <c r="W6406">
        <v>8.2946560000000003E-2</v>
      </c>
      <c r="X6406">
        <v>0.99423859999999997</v>
      </c>
      <c r="Y6406">
        <v>0.11770070000000001</v>
      </c>
      <c r="Z6406">
        <v>-9.4048699999999992E-3</v>
      </c>
      <c r="AA6406">
        <v>0.99300460000000002</v>
      </c>
      <c r="AB6406">
        <v>27</v>
      </c>
      <c r="AC6406">
        <v>0.68500000000000205</v>
      </c>
      <c r="AD6406">
        <v>-8.0134999999999998E-2</v>
      </c>
      <c r="AE6406">
        <v>-7.1759999999997603E-2</v>
      </c>
      <c r="AF6406">
        <v>9.57030449609797E-2</v>
      </c>
      <c r="AG6406">
        <v>-8.0134999999999998E-2</v>
      </c>
      <c r="AH6406">
        <v>0.67277659621166297</v>
      </c>
      <c r="AI6406">
        <v>96.725471741398806</v>
      </c>
      <c r="AJ6406">
        <v>81.903943601998293</v>
      </c>
      <c r="AK6406">
        <v>0.684258021107502</v>
      </c>
      <c r="AL6406">
        <v>85.242045676200405</v>
      </c>
      <c r="AM6406">
        <v>93.906475579993995</v>
      </c>
      <c r="AN6406">
        <v>1.0000000115074701</v>
      </c>
    </row>
    <row r="6407" spans="1:40" x14ac:dyDescent="0.25">
      <c r="A6407" t="str">
        <f>"20190312151150653"</f>
        <v>20190312151150653</v>
      </c>
      <c r="B6407" t="str">
        <f>"1552374710647285"</f>
        <v>1552374710647285</v>
      </c>
      <c r="C6407" t="s">
        <v>40</v>
      </c>
      <c r="D6407">
        <v>5.2719149999999999</v>
      </c>
      <c r="E6407">
        <v>0.57468520000000001</v>
      </c>
      <c r="F6407" t="s">
        <v>41</v>
      </c>
      <c r="G6407">
        <v>-244.38059999999999</v>
      </c>
      <c r="H6407">
        <v>1.0178990000000001</v>
      </c>
      <c r="I6407">
        <v>-63.895499999999998</v>
      </c>
      <c r="J6407">
        <v>-245.16159999999999</v>
      </c>
      <c r="K6407">
        <v>1.110268</v>
      </c>
      <c r="L6407">
        <v>-63.813659999999999</v>
      </c>
      <c r="M6407">
        <v>0.99925969999999997</v>
      </c>
      <c r="N6407">
        <v>0</v>
      </c>
      <c r="O6407">
        <v>3.71347E-2</v>
      </c>
      <c r="P6407">
        <v>0.99177219999999999</v>
      </c>
      <c r="Q6407">
        <v>7.3136309999999996E-2</v>
      </c>
      <c r="R6407">
        <v>0.105069</v>
      </c>
      <c r="S6407">
        <v>3.0744020000000001</v>
      </c>
      <c r="T6407">
        <v>-0.30934460000000003</v>
      </c>
      <c r="U6407">
        <v>-0.25570680000000001</v>
      </c>
      <c r="V6407">
        <v>-6.8232329999999994E-2</v>
      </c>
      <c r="W6407">
        <v>8.3098610000000003E-2</v>
      </c>
      <c r="X6407">
        <v>0.99420269999999999</v>
      </c>
      <c r="Y6407">
        <v>0.11905449999999999</v>
      </c>
      <c r="Z6407">
        <v>-9.6859589999999992E-3</v>
      </c>
      <c r="AA6407">
        <v>0.99284050000000001</v>
      </c>
      <c r="AB6407">
        <v>27</v>
      </c>
      <c r="AC6407">
        <v>0.78100000000000502</v>
      </c>
      <c r="AD6407">
        <v>-9.2369000000000104E-2</v>
      </c>
      <c r="AE6407">
        <v>-8.1839999999999594E-2</v>
      </c>
      <c r="AF6407">
        <v>0.1092752905987</v>
      </c>
      <c r="AG6407">
        <v>-9.2369000000000104E-2</v>
      </c>
      <c r="AH6407">
        <v>0.76681246417454796</v>
      </c>
      <c r="AI6407">
        <v>96.8006104267197</v>
      </c>
      <c r="AJ6407">
        <v>81.889621566827103</v>
      </c>
      <c r="AK6407">
        <v>0.78004773989152199</v>
      </c>
      <c r="AL6407">
        <v>85.233303709760406</v>
      </c>
      <c r="AM6407">
        <v>93.926064464418502</v>
      </c>
      <c r="AN6407">
        <v>1.00000001926422</v>
      </c>
    </row>
    <row r="6408" spans="1:40" x14ac:dyDescent="0.25">
      <c r="A6408" t="str">
        <f>"20190312151150662"</f>
        <v>20190312151150662</v>
      </c>
      <c r="B6408" t="str">
        <f>"1552374710658021"</f>
        <v>1552374710658021</v>
      </c>
      <c r="C6408" t="s">
        <v>40</v>
      </c>
      <c r="D6408">
        <v>5.2817689999999997</v>
      </c>
      <c r="E6408">
        <v>0.57509519999999903</v>
      </c>
      <c r="F6408" t="s">
        <v>41</v>
      </c>
      <c r="G6408">
        <v>-244.37440000000001</v>
      </c>
      <c r="H6408">
        <v>1.032216</v>
      </c>
      <c r="I6408">
        <v>-63.879629999999999</v>
      </c>
      <c r="J6408">
        <v>-245.0384</v>
      </c>
      <c r="K6408">
        <v>1.110231</v>
      </c>
      <c r="L6408">
        <v>-63.808900000000001</v>
      </c>
      <c r="M6408">
        <v>0.99925319999999995</v>
      </c>
      <c r="N6408">
        <v>0</v>
      </c>
      <c r="O6408">
        <v>3.7305959999999999E-2</v>
      </c>
      <c r="P6408">
        <v>0.99172179999999999</v>
      </c>
      <c r="Q6408">
        <v>7.3439370000000004E-2</v>
      </c>
      <c r="R6408">
        <v>0.1053326</v>
      </c>
      <c r="S6408">
        <v>3.0746310000000001</v>
      </c>
      <c r="T6408">
        <v>-0.3048265</v>
      </c>
      <c r="U6408">
        <v>-0.25747680000000001</v>
      </c>
      <c r="V6408">
        <v>-6.831922E-2</v>
      </c>
      <c r="W6408">
        <v>8.3407980000000007E-2</v>
      </c>
      <c r="X6408">
        <v>0.99417080000000002</v>
      </c>
      <c r="Y6408">
        <v>0.11980440000000001</v>
      </c>
      <c r="Z6408">
        <v>-9.5981959999999998E-3</v>
      </c>
      <c r="AA6408">
        <v>0.9927511</v>
      </c>
      <c r="AB6408">
        <v>27</v>
      </c>
      <c r="AC6408">
        <v>0.66399999999998705</v>
      </c>
      <c r="AD6408">
        <v>-7.8014999999999904E-2</v>
      </c>
      <c r="AE6408">
        <v>-7.0730000000004595E-2</v>
      </c>
      <c r="AF6408">
        <v>9.4167818228526906E-2</v>
      </c>
      <c r="AG6408">
        <v>-7.8014999999999904E-2</v>
      </c>
      <c r="AH6408">
        <v>0.65199941958812302</v>
      </c>
      <c r="AI6408">
        <v>96.753865708362099</v>
      </c>
      <c r="AJ6408">
        <v>81.781640864372804</v>
      </c>
      <c r="AK6408">
        <v>0.663368043666689</v>
      </c>
      <c r="AL6408">
        <v>85.215516239802199</v>
      </c>
      <c r="AM6408">
        <v>93.931174159822604</v>
      </c>
      <c r="AN6408">
        <v>0.99999999326086397</v>
      </c>
    </row>
    <row r="6409" spans="1:40" x14ac:dyDescent="0.25">
      <c r="A6409" t="str">
        <f>"20190312151150673"</f>
        <v>20190312151150673</v>
      </c>
      <c r="B6409" t="str">
        <f>"1552374710667781"</f>
        <v>1552374710667781</v>
      </c>
      <c r="C6409" t="s">
        <v>40</v>
      </c>
      <c r="D6409">
        <v>5.2953210000000004</v>
      </c>
      <c r="E6409">
        <v>0.5753509</v>
      </c>
      <c r="F6409" t="s">
        <v>41</v>
      </c>
      <c r="G6409">
        <v>-244.13910000000001</v>
      </c>
      <c r="H6409">
        <v>1.023155</v>
      </c>
      <c r="I6409">
        <v>-63.885219999999997</v>
      </c>
      <c r="J6409">
        <v>-244.91130000000001</v>
      </c>
      <c r="K6409">
        <v>1.110188</v>
      </c>
      <c r="L6409">
        <v>-63.803959999999996</v>
      </c>
      <c r="M6409">
        <v>0.99924760000000001</v>
      </c>
      <c r="N6409">
        <v>0</v>
      </c>
      <c r="O6409">
        <v>3.7456990000000003E-2</v>
      </c>
      <c r="P6409">
        <v>0.99162969999999895</v>
      </c>
      <c r="Q6409">
        <v>7.4029510000000007E-2</v>
      </c>
      <c r="R6409">
        <v>0.1057844</v>
      </c>
      <c r="S6409">
        <v>3.074722</v>
      </c>
      <c r="T6409">
        <v>-0.29764469999999998</v>
      </c>
      <c r="U6409">
        <v>-0.2600403</v>
      </c>
      <c r="V6409">
        <v>-6.8615830000000003E-2</v>
      </c>
      <c r="W6409">
        <v>8.4005250000000004E-2</v>
      </c>
      <c r="X6409">
        <v>0.99410010000000004</v>
      </c>
      <c r="Y6409">
        <v>0.1208041</v>
      </c>
      <c r="Z6409">
        <v>-9.4352870000000005E-3</v>
      </c>
      <c r="AA6409">
        <v>0.9926315</v>
      </c>
      <c r="AB6409">
        <v>27</v>
      </c>
      <c r="AC6409">
        <v>0.772199999999997</v>
      </c>
      <c r="AD6409">
        <v>-8.7032999999999902E-2</v>
      </c>
      <c r="AE6409">
        <v>-8.1260000000000304E-2</v>
      </c>
      <c r="AF6409">
        <v>0.108762239643933</v>
      </c>
      <c r="AG6409">
        <v>-8.7032999999999902E-2</v>
      </c>
      <c r="AH6409">
        <v>0.75907714594373998</v>
      </c>
      <c r="AI6409">
        <v>96.475202433698996</v>
      </c>
      <c r="AJ6409">
        <v>81.846032447486493</v>
      </c>
      <c r="AK6409">
        <v>0.77175260372444399</v>
      </c>
      <c r="AL6409">
        <v>85.181174753133206</v>
      </c>
      <c r="AM6409">
        <v>93.948467517725206</v>
      </c>
      <c r="AN6409">
        <v>1.00000001148708</v>
      </c>
    </row>
    <row r="6410" spans="1:40" x14ac:dyDescent="0.25">
      <c r="A6410" t="str">
        <f>"20190312151150685"</f>
        <v>20190312151150685</v>
      </c>
      <c r="B6410" t="str">
        <f>"1552374710677542"</f>
        <v>1552374710677542</v>
      </c>
      <c r="C6410" t="s">
        <v>40</v>
      </c>
      <c r="D6410">
        <v>5.3700619999999999</v>
      </c>
      <c r="E6410">
        <v>0.57546839999999999</v>
      </c>
      <c r="F6410" t="s">
        <v>41</v>
      </c>
      <c r="G6410">
        <v>-244.13399999999999</v>
      </c>
      <c r="H6410">
        <v>1.0350250000000001</v>
      </c>
      <c r="I6410">
        <v>-63.870060000000002</v>
      </c>
      <c r="J6410">
        <v>-244.77369999999999</v>
      </c>
      <c r="K6410">
        <v>1.110141</v>
      </c>
      <c r="L6410">
        <v>-63.798650000000002</v>
      </c>
      <c r="M6410">
        <v>0.99924279999999999</v>
      </c>
      <c r="N6410">
        <v>0</v>
      </c>
      <c r="O6410">
        <v>3.7581669999999998E-2</v>
      </c>
      <c r="P6410">
        <v>0.99161719999999998</v>
      </c>
      <c r="Q6410">
        <v>7.4176420000000007E-2</v>
      </c>
      <c r="R6410">
        <v>0.1057983</v>
      </c>
      <c r="S6410">
        <v>3.0753020000000002</v>
      </c>
      <c r="T6410">
        <v>-0.29736669999999998</v>
      </c>
      <c r="U6410">
        <v>-0.2605286</v>
      </c>
      <c r="V6410">
        <v>-6.8495959999999995E-2</v>
      </c>
      <c r="W6410">
        <v>8.4160620000000005E-2</v>
      </c>
      <c r="X6410">
        <v>0.99409519999999996</v>
      </c>
      <c r="Y6410">
        <v>0.1210686</v>
      </c>
      <c r="Z6410">
        <v>-9.4494360000000003E-3</v>
      </c>
      <c r="AA6410">
        <v>0.99259920000000001</v>
      </c>
      <c r="AB6410">
        <v>27</v>
      </c>
      <c r="AC6410">
        <v>0.63969999999997595</v>
      </c>
      <c r="AD6410">
        <v>-7.5115999999999905E-2</v>
      </c>
      <c r="AE6410">
        <v>-7.1409999999993007E-2</v>
      </c>
      <c r="AF6410">
        <v>9.4119975681259599E-2</v>
      </c>
      <c r="AG6410">
        <v>-7.5115999999999905E-2</v>
      </c>
      <c r="AH6410">
        <v>0.62801153774516705</v>
      </c>
      <c r="AI6410">
        <v>96.746067903392301</v>
      </c>
      <c r="AJ6410">
        <v>81.476529203736106</v>
      </c>
      <c r="AK6410">
        <v>0.63945248050131898</v>
      </c>
      <c r="AL6410">
        <v>85.172240951117004</v>
      </c>
      <c r="AM6410">
        <v>93.941610780469603</v>
      </c>
      <c r="AN6410">
        <v>0.99999998657907196</v>
      </c>
    </row>
    <row r="6411" spans="1:40" x14ac:dyDescent="0.25">
      <c r="A6411" t="str">
        <f>"20190312151150696"</f>
        <v>20190312151150696</v>
      </c>
      <c r="B6411" t="str">
        <f>"1552374710687301"</f>
        <v>1552374710687301</v>
      </c>
      <c r="C6411" t="s">
        <v>40</v>
      </c>
      <c r="D6411">
        <v>5.3425089999999997</v>
      </c>
      <c r="E6411">
        <v>0.57554110000000003</v>
      </c>
      <c r="F6411" t="s">
        <v>41</v>
      </c>
      <c r="G6411">
        <v>-243.89830000000001</v>
      </c>
      <c r="H6411">
        <v>1.0263930000000001</v>
      </c>
      <c r="I6411">
        <v>-63.873159999999999</v>
      </c>
      <c r="J6411">
        <v>-244.63929999999999</v>
      </c>
      <c r="K6411">
        <v>1.1100950000000001</v>
      </c>
      <c r="L6411">
        <v>-63.793430000000001</v>
      </c>
      <c r="M6411">
        <v>0.99923899999999999</v>
      </c>
      <c r="N6411">
        <v>0</v>
      </c>
      <c r="O6411">
        <v>3.7683170000000002E-2</v>
      </c>
      <c r="P6411">
        <v>0.99157830000000002</v>
      </c>
      <c r="Q6411">
        <v>7.4190729999999996E-2</v>
      </c>
      <c r="R6411">
        <v>0.106154</v>
      </c>
      <c r="S6411">
        <v>3.0753020000000002</v>
      </c>
      <c r="T6411">
        <v>-0.2941916</v>
      </c>
      <c r="U6411">
        <v>-0.26165769999999999</v>
      </c>
      <c r="V6411">
        <v>-6.8742799999999896E-2</v>
      </c>
      <c r="W6411">
        <v>8.4182960000000001E-2</v>
      </c>
      <c r="X6411">
        <v>0.99407630000000002</v>
      </c>
      <c r="Y6411">
        <v>0.12154420000000001</v>
      </c>
      <c r="Z6411">
        <v>-9.3811899999999993E-3</v>
      </c>
      <c r="AA6411">
        <v>0.99254169999999997</v>
      </c>
      <c r="AB6411">
        <v>27</v>
      </c>
      <c r="AC6411">
        <v>0.740999999999985</v>
      </c>
      <c r="AD6411">
        <v>-8.3701999999999901E-2</v>
      </c>
      <c r="AE6411">
        <v>-7.9729999999990697E-2</v>
      </c>
      <c r="AF6411">
        <v>0.106257726186524</v>
      </c>
      <c r="AG6411">
        <v>-8.3701999999999901E-2</v>
      </c>
      <c r="AH6411">
        <v>0.72828280313426297</v>
      </c>
      <c r="AI6411">
        <v>96.488174267271702</v>
      </c>
      <c r="AJ6411">
        <v>81.699017428391798</v>
      </c>
      <c r="AK6411">
        <v>0.74073785546536697</v>
      </c>
      <c r="AL6411">
        <v>85.170956550972505</v>
      </c>
      <c r="AM6411">
        <v>93.955845182628906</v>
      </c>
      <c r="AN6411">
        <v>1.00000001676394</v>
      </c>
    </row>
    <row r="6412" spans="1:40" x14ac:dyDescent="0.25">
      <c r="A6412" t="str">
        <f>"20190312151150707"</f>
        <v>20190312151150707</v>
      </c>
      <c r="B6412" t="str">
        <f>"1552374710698037"</f>
        <v>1552374710698037</v>
      </c>
      <c r="C6412" t="s">
        <v>40</v>
      </c>
      <c r="D6412">
        <v>5.3466319999999996</v>
      </c>
      <c r="E6412">
        <v>0.57574890000000001</v>
      </c>
      <c r="F6412" t="s">
        <v>41</v>
      </c>
      <c r="G6412">
        <v>-243.893</v>
      </c>
      <c r="H6412">
        <v>1.0388660000000001</v>
      </c>
      <c r="I6412">
        <v>-63.856900000000003</v>
      </c>
      <c r="J6412">
        <v>-244.50880000000001</v>
      </c>
      <c r="K6412">
        <v>1.110053</v>
      </c>
      <c r="L6412">
        <v>-63.788420000000002</v>
      </c>
      <c r="M6412">
        <v>0.99923680000000004</v>
      </c>
      <c r="N6412">
        <v>0</v>
      </c>
      <c r="O6412">
        <v>3.7740679999999999E-2</v>
      </c>
      <c r="P6412">
        <v>0.99159280000000005</v>
      </c>
      <c r="Q6412">
        <v>7.4005260000000003E-2</v>
      </c>
      <c r="R6412">
        <v>0.1061465</v>
      </c>
      <c r="S6412">
        <v>3.0754239999999999</v>
      </c>
      <c r="T6412">
        <v>-0.2934813</v>
      </c>
      <c r="U6412">
        <v>-0.26141360000000002</v>
      </c>
      <c r="V6412">
        <v>-6.866891E-2</v>
      </c>
      <c r="W6412">
        <v>8.4005709999999997E-2</v>
      </c>
      <c r="X6412">
        <v>0.99409639999999999</v>
      </c>
      <c r="Y6412">
        <v>0.1215232</v>
      </c>
      <c r="Z6412">
        <v>-9.3627740000000008E-3</v>
      </c>
      <c r="AA6412">
        <v>0.99254439999999999</v>
      </c>
      <c r="AB6412">
        <v>27</v>
      </c>
      <c r="AC6412">
        <v>0.61580000000000701</v>
      </c>
      <c r="AD6412">
        <v>-7.1186999999999806E-2</v>
      </c>
      <c r="AE6412">
        <v>-6.8480000000008007E-2</v>
      </c>
      <c r="AF6412">
        <v>9.0478749617694004E-2</v>
      </c>
      <c r="AG6412">
        <v>-7.1186999999999806E-2</v>
      </c>
      <c r="AH6412">
        <v>0.60479316704909702</v>
      </c>
      <c r="AI6412">
        <v>96.639872865856603</v>
      </c>
      <c r="AJ6412">
        <v>81.491492932480398</v>
      </c>
      <c r="AK6412">
        <v>0.61565312312263798</v>
      </c>
      <c r="AL6412">
        <v>85.181148322981699</v>
      </c>
      <c r="AM6412">
        <v>93.951526970980396</v>
      </c>
      <c r="AN6412">
        <v>1.0000000155030699</v>
      </c>
    </row>
    <row r="6413" spans="1:40" x14ac:dyDescent="0.25">
      <c r="A6413" t="str">
        <f>"20190312151150719"</f>
        <v>20190312151150719</v>
      </c>
      <c r="B6413" t="str">
        <f>"1552374710707797"</f>
        <v>1552374710707797</v>
      </c>
      <c r="C6413" t="s">
        <v>40</v>
      </c>
      <c r="D6413">
        <v>5.3065860000000002</v>
      </c>
      <c r="E6413">
        <v>0.57603700000000002</v>
      </c>
      <c r="F6413" t="s">
        <v>41</v>
      </c>
      <c r="G6413">
        <v>-243.65809999999999</v>
      </c>
      <c r="H6413">
        <v>1.0278879999999999</v>
      </c>
      <c r="I6413">
        <v>-63.861499999999999</v>
      </c>
      <c r="J6413">
        <v>-244.37119999999999</v>
      </c>
      <c r="K6413">
        <v>1.1100110000000001</v>
      </c>
      <c r="L6413">
        <v>-63.783110000000001</v>
      </c>
      <c r="M6413">
        <v>0.99923479999999998</v>
      </c>
      <c r="N6413">
        <v>0</v>
      </c>
      <c r="O6413">
        <v>3.7791610000000003E-2</v>
      </c>
      <c r="P6413">
        <v>0.99162459999999997</v>
      </c>
      <c r="Q6413">
        <v>7.3642050000000001E-2</v>
      </c>
      <c r="R6413">
        <v>0.1061025</v>
      </c>
      <c r="S6413">
        <v>3.07579</v>
      </c>
      <c r="T6413">
        <v>-0.29694599999999999</v>
      </c>
      <c r="U6413">
        <v>-0.26318360000000002</v>
      </c>
      <c r="V6413">
        <v>-6.856479E-2</v>
      </c>
      <c r="W6413">
        <v>8.3650779999999994E-2</v>
      </c>
      <c r="X6413">
        <v>0.9941335</v>
      </c>
      <c r="Y6413">
        <v>0.1221111</v>
      </c>
      <c r="Z6413">
        <v>-9.5046209999999996E-3</v>
      </c>
      <c r="AA6413">
        <v>0.99247090000000004</v>
      </c>
      <c r="AB6413">
        <v>27</v>
      </c>
      <c r="AC6413">
        <v>0.71309999999999696</v>
      </c>
      <c r="AD6413">
        <v>-8.2123000000000099E-2</v>
      </c>
      <c r="AE6413">
        <v>-7.8389999999998794E-2</v>
      </c>
      <c r="AF6413">
        <v>0.10392273297115801</v>
      </c>
      <c r="AG6413">
        <v>-8.2123000000000099E-2</v>
      </c>
      <c r="AH6413">
        <v>0.70044904748014603</v>
      </c>
      <c r="AI6413">
        <v>96.615260905606604</v>
      </c>
      <c r="AJ6413">
        <v>81.560824678284504</v>
      </c>
      <c r="AK6413">
        <v>0.71286253210071204</v>
      </c>
      <c r="AL6413">
        <v>85.201556068494199</v>
      </c>
      <c r="AM6413">
        <v>93.945407583352605</v>
      </c>
      <c r="AN6413">
        <v>0.99999999962230102</v>
      </c>
    </row>
    <row r="6414" spans="1:40" x14ac:dyDescent="0.25">
      <c r="A6414" t="str">
        <f>"20190312151150729"</f>
        <v>20190312151150729</v>
      </c>
      <c r="B6414" t="str">
        <f>"1552374710717557"</f>
        <v>1552374710717557</v>
      </c>
      <c r="C6414" t="s">
        <v>40</v>
      </c>
      <c r="D6414">
        <v>5.3297540000000003</v>
      </c>
      <c r="E6414">
        <v>0.57640119999999995</v>
      </c>
      <c r="F6414" t="s">
        <v>41</v>
      </c>
      <c r="G6414">
        <v>-243.42179999999999</v>
      </c>
      <c r="H6414">
        <v>1.0189809999999999</v>
      </c>
      <c r="I6414">
        <v>-63.865180000000002</v>
      </c>
      <c r="J6414">
        <v>-244.24189999999999</v>
      </c>
      <c r="K6414">
        <v>1.1099779999999999</v>
      </c>
      <c r="L6414">
        <v>-63.778170000000003</v>
      </c>
      <c r="M6414">
        <v>0.99923439999999997</v>
      </c>
      <c r="N6414">
        <v>0</v>
      </c>
      <c r="O6414">
        <v>3.7802629999999997E-2</v>
      </c>
      <c r="P6414">
        <v>0.99163800000000002</v>
      </c>
      <c r="Q6414">
        <v>7.3629449999999999E-2</v>
      </c>
      <c r="R6414">
        <v>0.1059841</v>
      </c>
      <c r="S6414">
        <v>3.0757140000000001</v>
      </c>
      <c r="T6414">
        <v>-0.29491810000000002</v>
      </c>
      <c r="U6414">
        <v>-0.26593020000000001</v>
      </c>
      <c r="V6414">
        <v>-6.842782E-2</v>
      </c>
      <c r="W6414">
        <v>8.3644609999999994E-2</v>
      </c>
      <c r="X6414">
        <v>0.99414349999999996</v>
      </c>
      <c r="Y6414">
        <v>0.1230097</v>
      </c>
      <c r="Z6414">
        <v>-9.4838509999999997E-3</v>
      </c>
      <c r="AA6414">
        <v>0.99236020000000003</v>
      </c>
      <c r="AB6414">
        <v>27</v>
      </c>
      <c r="AC6414">
        <v>0.82009999999999605</v>
      </c>
      <c r="AD6414">
        <v>-9.0997000000000203E-2</v>
      </c>
      <c r="AE6414">
        <v>-8.7010000000006402E-2</v>
      </c>
      <c r="AF6414">
        <v>0.116532560653769</v>
      </c>
      <c r="AG6414">
        <v>-9.0997000000000203E-2</v>
      </c>
      <c r="AH6414">
        <v>0.80640660051189506</v>
      </c>
      <c r="AI6414">
        <v>96.372527969461103</v>
      </c>
      <c r="AJ6414">
        <v>81.777198990846699</v>
      </c>
      <c r="AK6414">
        <v>0.81984870375617203</v>
      </c>
      <c r="AL6414">
        <v>85.201911035178895</v>
      </c>
      <c r="AM6414">
        <v>93.937511285249599</v>
      </c>
      <c r="AN6414">
        <v>1.0000000429621201</v>
      </c>
    </row>
    <row r="6415" spans="1:40" x14ac:dyDescent="0.25">
      <c r="A6415" t="str">
        <f>"20190312151150741"</f>
        <v>20190312151150741</v>
      </c>
      <c r="B6415" t="str">
        <f>"1552374710738054"</f>
        <v>1552374710738054</v>
      </c>
      <c r="C6415" t="s">
        <v>40</v>
      </c>
      <c r="D6415">
        <v>5.3425000000000002</v>
      </c>
      <c r="E6415">
        <v>0.57678369999999901</v>
      </c>
      <c r="F6415" t="s">
        <v>41</v>
      </c>
      <c r="G6415">
        <v>-243.4169</v>
      </c>
      <c r="H6415">
        <v>1.030721</v>
      </c>
      <c r="I6415">
        <v>-63.850349999999999</v>
      </c>
      <c r="J6415">
        <v>-244.10419999999999</v>
      </c>
      <c r="K6415">
        <v>1.109944</v>
      </c>
      <c r="L6415">
        <v>-63.772950000000002</v>
      </c>
      <c r="M6415">
        <v>0.99923430000000002</v>
      </c>
      <c r="N6415">
        <v>0</v>
      </c>
      <c r="O6415">
        <v>3.7803509999999999E-2</v>
      </c>
      <c r="P6415">
        <v>0.99168460000000003</v>
      </c>
      <c r="Q6415">
        <v>7.3266570000000003E-2</v>
      </c>
      <c r="R6415">
        <v>0.1057997</v>
      </c>
      <c r="S6415">
        <v>3.0760040000000002</v>
      </c>
      <c r="T6415">
        <v>-0.29553309999999999</v>
      </c>
      <c r="U6415">
        <v>-0.26916499999999999</v>
      </c>
      <c r="V6415">
        <v>-6.823361E-2</v>
      </c>
      <c r="W6415">
        <v>8.3289169999999996E-2</v>
      </c>
      <c r="X6415">
        <v>0.99418660000000003</v>
      </c>
      <c r="Y6415">
        <v>0.1240308</v>
      </c>
      <c r="Z6415">
        <v>-9.551169E-3</v>
      </c>
      <c r="AA6415">
        <v>0.99223240000000001</v>
      </c>
      <c r="AB6415">
        <v>27</v>
      </c>
      <c r="AC6415">
        <v>0.68729999999999303</v>
      </c>
      <c r="AD6415">
        <v>-7.9223000000000002E-2</v>
      </c>
      <c r="AE6415">
        <v>-7.7399999999997193E-2</v>
      </c>
      <c r="AF6415">
        <v>0.101990221303111</v>
      </c>
      <c r="AG6415">
        <v>-7.9223000000000002E-2</v>
      </c>
      <c r="AH6415">
        <v>0.67502611931453305</v>
      </c>
      <c r="AI6415">
        <v>96.619325462212103</v>
      </c>
      <c r="AJ6415">
        <v>81.4081224748832</v>
      </c>
      <c r="AK6415">
        <v>0.68726890714428202</v>
      </c>
      <c r="AL6415">
        <v>85.222347130053393</v>
      </c>
      <c r="AM6415">
        <v>93.926201266427697</v>
      </c>
      <c r="AN6415">
        <v>0.99999995349623905</v>
      </c>
    </row>
    <row r="6416" spans="1:40" x14ac:dyDescent="0.25">
      <c r="A6416" t="str">
        <f>"20190312151150752"</f>
        <v>20190312151150752</v>
      </c>
      <c r="B6416" t="str">
        <f>"1552374710747813"</f>
        <v>1552374710747813</v>
      </c>
      <c r="C6416" t="s">
        <v>40</v>
      </c>
      <c r="D6416">
        <v>5.3650310000000001</v>
      </c>
      <c r="E6416">
        <v>0.5767388</v>
      </c>
      <c r="F6416" t="s">
        <v>41</v>
      </c>
      <c r="G6416">
        <v>-243.18049999999999</v>
      </c>
      <c r="H6416">
        <v>1.0212669999999999</v>
      </c>
      <c r="I6416">
        <v>-63.854999999999997</v>
      </c>
      <c r="J6416">
        <v>-243.96080000000001</v>
      </c>
      <c r="K6416">
        <v>1.1099110000000001</v>
      </c>
      <c r="L6416">
        <v>-63.767519999999998</v>
      </c>
      <c r="M6416">
        <v>0.99923530000000005</v>
      </c>
      <c r="N6416">
        <v>0</v>
      </c>
      <c r="O6416">
        <v>3.7777129999999999E-2</v>
      </c>
      <c r="P6416">
        <v>0.99171869999999995</v>
      </c>
      <c r="Q6416">
        <v>7.3067549999999995E-2</v>
      </c>
      <c r="R6416">
        <v>0.1056165</v>
      </c>
      <c r="S6416">
        <v>3.0760960000000002</v>
      </c>
      <c r="T6416">
        <v>-0.29529090000000002</v>
      </c>
      <c r="U6416">
        <v>-0.27282709999999999</v>
      </c>
      <c r="V6416">
        <v>-6.8069270000000001E-2</v>
      </c>
      <c r="W6416">
        <v>8.3096260000000005E-2</v>
      </c>
      <c r="X6416">
        <v>0.99421409999999999</v>
      </c>
      <c r="Y6416">
        <v>0.12517029999999901</v>
      </c>
      <c r="Z6416">
        <v>-9.594567E-3</v>
      </c>
      <c r="AA6416">
        <v>0.99208890000000005</v>
      </c>
      <c r="AB6416">
        <v>27</v>
      </c>
      <c r="AC6416">
        <v>0.78030000000001098</v>
      </c>
      <c r="AD6416">
        <v>-8.8644000000000098E-2</v>
      </c>
      <c r="AE6416">
        <v>-8.7479999999999294E-2</v>
      </c>
      <c r="AF6416">
        <v>0.115425408743041</v>
      </c>
      <c r="AG6416">
        <v>-8.8644000000000098E-2</v>
      </c>
      <c r="AH6416">
        <v>0.76666662988329004</v>
      </c>
      <c r="AI6416">
        <v>96.522537308042999</v>
      </c>
      <c r="AJ6416">
        <v>81.438143768397396</v>
      </c>
      <c r="AK6416">
        <v>0.78035793396113995</v>
      </c>
      <c r="AL6416">
        <v>85.233438946483503</v>
      </c>
      <c r="AM6416">
        <v>93.916666515315001</v>
      </c>
      <c r="AN6416">
        <v>1.0000000452915601</v>
      </c>
    </row>
    <row r="6417" spans="1:40" x14ac:dyDescent="0.25">
      <c r="A6417" t="str">
        <f>"20190312151150764"</f>
        <v>20190312151150764</v>
      </c>
      <c r="B6417" t="str">
        <f>"1552374710757573"</f>
        <v>1552374710757573</v>
      </c>
      <c r="C6417" t="s">
        <v>40</v>
      </c>
      <c r="D6417">
        <v>5.3561579999999998</v>
      </c>
      <c r="E6417">
        <v>0.57689440000000003</v>
      </c>
      <c r="F6417" t="s">
        <v>41</v>
      </c>
      <c r="G6417">
        <v>-243.17449999999999</v>
      </c>
      <c r="H6417">
        <v>1.035555</v>
      </c>
      <c r="I6417">
        <v>-63.837470000000003</v>
      </c>
      <c r="J6417">
        <v>-243.8331</v>
      </c>
      <c r="K6417">
        <v>1.109893</v>
      </c>
      <c r="L6417">
        <v>-63.762659999999997</v>
      </c>
      <c r="M6417">
        <v>0.99923709999999999</v>
      </c>
      <c r="N6417">
        <v>0</v>
      </c>
      <c r="O6417">
        <v>3.7735989999999997E-2</v>
      </c>
      <c r="P6417">
        <v>0.99172349999999998</v>
      </c>
      <c r="Q6417">
        <v>7.3212730000000004E-2</v>
      </c>
      <c r="R6417">
        <v>0.105473499999999</v>
      </c>
      <c r="S6417">
        <v>3.0755309999999998</v>
      </c>
      <c r="T6417">
        <v>-0.29083989999999998</v>
      </c>
      <c r="U6417">
        <v>-0.27313229999999999</v>
      </c>
      <c r="V6417">
        <v>-6.7962220000000004E-2</v>
      </c>
      <c r="W6417">
        <v>8.3246890000000004E-2</v>
      </c>
      <c r="X6417">
        <v>0.9942088</v>
      </c>
      <c r="Y6417">
        <v>0.12526489999999901</v>
      </c>
      <c r="Z6417">
        <v>-9.4528440000000002E-3</v>
      </c>
      <c r="AA6417">
        <v>0.99207829999999997</v>
      </c>
      <c r="AB6417">
        <v>27</v>
      </c>
      <c r="AC6417">
        <v>0.65860000000000696</v>
      </c>
      <c r="AD6417">
        <v>-7.4338000000000001E-2</v>
      </c>
      <c r="AE6417">
        <v>-7.4809999999999294E-2</v>
      </c>
      <c r="AF6417">
        <v>9.8373551772204207E-2</v>
      </c>
      <c r="AG6417">
        <v>-7.4338000000000001E-2</v>
      </c>
      <c r="AH6417">
        <v>0.64716763196684102</v>
      </c>
      <c r="AI6417">
        <v>96.478878419176496</v>
      </c>
      <c r="AJ6417">
        <v>81.356845079272901</v>
      </c>
      <c r="AK6417">
        <v>0.65880910573385898</v>
      </c>
      <c r="AL6417">
        <v>85.224778370572906</v>
      </c>
      <c r="AM6417">
        <v>93.910546827812396</v>
      </c>
      <c r="AN6417">
        <v>1.0000000230197199</v>
      </c>
    </row>
    <row r="6418" spans="1:40" x14ac:dyDescent="0.25">
      <c r="A6418" t="str">
        <f>"20190312151150776"</f>
        <v>20190312151150776</v>
      </c>
      <c r="B6418" t="str">
        <f>"1552374710767333"</f>
        <v>1552374710767333</v>
      </c>
      <c r="C6418" t="s">
        <v>40</v>
      </c>
      <c r="D6418">
        <v>5.3450490000000004</v>
      </c>
      <c r="E6418">
        <v>0.57699659999999997</v>
      </c>
      <c r="F6418" t="s">
        <v>41</v>
      </c>
      <c r="G6418">
        <v>-242.93799999999999</v>
      </c>
      <c r="H6418">
        <v>1.025663</v>
      </c>
      <c r="I6418">
        <v>-63.842790000000001</v>
      </c>
      <c r="J6418">
        <v>-243.6799</v>
      </c>
      <c r="K6418">
        <v>1.1098669999999999</v>
      </c>
      <c r="L6418">
        <v>-63.756959999999999</v>
      </c>
      <c r="M6418">
        <v>0.9992394</v>
      </c>
      <c r="N6418">
        <v>0</v>
      </c>
      <c r="O6418">
        <v>3.7670490000000001E-2</v>
      </c>
      <c r="P6418">
        <v>0.99170369999999997</v>
      </c>
      <c r="Q6418">
        <v>7.3124499999999995E-2</v>
      </c>
      <c r="R6418">
        <v>0.1057198</v>
      </c>
      <c r="S6418">
        <v>3.075653</v>
      </c>
      <c r="T6418">
        <v>-0.28939209999999999</v>
      </c>
      <c r="U6418">
        <v>-0.27496340000000002</v>
      </c>
      <c r="V6418">
        <v>-6.8268460000000003E-2</v>
      </c>
      <c r="W6418">
        <v>8.3164199999999994E-2</v>
      </c>
      <c r="X6418">
        <v>0.99419469999999999</v>
      </c>
      <c r="Y6418">
        <v>0.1257876</v>
      </c>
      <c r="Z6418">
        <v>-9.4237379999999992E-3</v>
      </c>
      <c r="AA6418">
        <v>0.99201240000000002</v>
      </c>
      <c r="AB6418">
        <v>27</v>
      </c>
      <c r="AC6418">
        <v>0.74190000000001499</v>
      </c>
      <c r="AD6418">
        <v>-8.4203999999999904E-2</v>
      </c>
      <c r="AE6418">
        <v>-8.5830000000001405E-2</v>
      </c>
      <c r="AF6418">
        <v>0.11229083123096099</v>
      </c>
      <c r="AG6418">
        <v>-8.4203999999999904E-2</v>
      </c>
      <c r="AH6418">
        <v>0.72887476140333096</v>
      </c>
      <c r="AI6418">
        <v>96.513764365146201</v>
      </c>
      <c r="AJ6418">
        <v>81.241839334391798</v>
      </c>
      <c r="AK6418">
        <v>0.74226542571057696</v>
      </c>
      <c r="AL6418">
        <v>85.229532458505901</v>
      </c>
      <c r="AM6418">
        <v>93.928168375123903</v>
      </c>
      <c r="AN6418">
        <v>0.99999998415025004</v>
      </c>
    </row>
    <row r="6419" spans="1:40" x14ac:dyDescent="0.25">
      <c r="A6419" t="str">
        <f>"20190312151150785"</f>
        <v>20190312151150785</v>
      </c>
      <c r="B6419" t="str">
        <f>"1552374710778069"</f>
        <v>1552374710778069</v>
      </c>
      <c r="C6419" t="s">
        <v>40</v>
      </c>
      <c r="D6419">
        <v>5.3003140000000002</v>
      </c>
      <c r="E6419">
        <v>0.57716299999999998</v>
      </c>
      <c r="F6419" t="s">
        <v>41</v>
      </c>
      <c r="G6419">
        <v>-242.93209999999999</v>
      </c>
      <c r="H6419">
        <v>1.0397620000000001</v>
      </c>
      <c r="I6419">
        <v>-63.824019999999997</v>
      </c>
      <c r="J6419">
        <v>-243.56379999999999</v>
      </c>
      <c r="K6419">
        <v>1.1098490000000001</v>
      </c>
      <c r="L6419">
        <v>-63.752619999999901</v>
      </c>
      <c r="M6419">
        <v>0.99924210000000002</v>
      </c>
      <c r="N6419">
        <v>0</v>
      </c>
      <c r="O6419">
        <v>3.7598289999999999E-2</v>
      </c>
      <c r="P6419">
        <v>0.9917125</v>
      </c>
      <c r="Q6419">
        <v>7.3164699999999999E-2</v>
      </c>
      <c r="R6419">
        <v>0.10560940000000001</v>
      </c>
      <c r="S6419">
        <v>3.0756679999999998</v>
      </c>
      <c r="T6419">
        <v>-0.28828969999999998</v>
      </c>
      <c r="U6419">
        <v>-0.27532960000000001</v>
      </c>
      <c r="V6419">
        <v>-6.8225540000000001E-2</v>
      </c>
      <c r="W6419">
        <v>8.3208870000000004E-2</v>
      </c>
      <c r="X6419">
        <v>0.99419389999999996</v>
      </c>
      <c r="Y6419">
        <v>0.12583820000000001</v>
      </c>
      <c r="Z6419">
        <v>-9.383522E-3</v>
      </c>
      <c r="AA6419">
        <v>0.99200639999999995</v>
      </c>
      <c r="AB6419">
        <v>27</v>
      </c>
      <c r="AC6419">
        <v>0.63169999999999504</v>
      </c>
      <c r="AD6419">
        <v>-7.0086999999999997E-2</v>
      </c>
      <c r="AE6419">
        <v>-7.1400000000004099E-2</v>
      </c>
      <c r="AF6419">
        <v>9.3959518034300304E-2</v>
      </c>
      <c r="AG6419">
        <v>-7.0086999999999997E-2</v>
      </c>
      <c r="AH6419">
        <v>0.62102040327256403</v>
      </c>
      <c r="AI6419">
        <v>96.3671717171365</v>
      </c>
      <c r="AJ6419">
        <v>81.396481207661196</v>
      </c>
      <c r="AK6419">
        <v>0.63198648710162797</v>
      </c>
      <c r="AL6419">
        <v>85.226964113215203</v>
      </c>
      <c r="AM6419">
        <v>93.925709630868198</v>
      </c>
      <c r="AN6419">
        <v>0.999999975576088</v>
      </c>
    </row>
    <row r="6420" spans="1:40" x14ac:dyDescent="0.25">
      <c r="A6420" t="str">
        <f>"20190312151150795"</f>
        <v>20190312151150795</v>
      </c>
      <c r="B6420" t="str">
        <f>"1552374710787830"</f>
        <v>1552374710787830</v>
      </c>
      <c r="C6420" t="s">
        <v>40</v>
      </c>
      <c r="D6420">
        <v>5.3137679999999996</v>
      </c>
      <c r="E6420">
        <v>0.57740159999999996</v>
      </c>
      <c r="F6420" t="s">
        <v>41</v>
      </c>
      <c r="G6420">
        <v>-242.69579999999999</v>
      </c>
      <c r="H6420">
        <v>1.0287820000000001</v>
      </c>
      <c r="I6420">
        <v>-63.83099</v>
      </c>
      <c r="J6420">
        <v>-243.44040000000001</v>
      </c>
      <c r="K6420">
        <v>1.1098269999999999</v>
      </c>
      <c r="L6420">
        <v>-63.748019999999997</v>
      </c>
      <c r="M6420">
        <v>0.99924500000000005</v>
      </c>
      <c r="N6420">
        <v>0</v>
      </c>
      <c r="O6420">
        <v>3.7517979999999999E-2</v>
      </c>
      <c r="P6420">
        <v>0.99167269999999996</v>
      </c>
      <c r="Q6420">
        <v>7.3460919999999999E-2</v>
      </c>
      <c r="R6420">
        <v>0.1057761</v>
      </c>
      <c r="S6420">
        <v>3.0757750000000001</v>
      </c>
      <c r="T6420">
        <v>-0.28722409999999998</v>
      </c>
      <c r="U6420">
        <v>-0.276947</v>
      </c>
      <c r="V6420">
        <v>-6.8469849999999999E-2</v>
      </c>
      <c r="W6420">
        <v>8.3509659999999999E-2</v>
      </c>
      <c r="X6420">
        <v>0.99415189999999998</v>
      </c>
      <c r="Y6420">
        <v>0.12627669999999999</v>
      </c>
      <c r="Z6420">
        <v>-9.3613729999999992E-3</v>
      </c>
      <c r="AA6420">
        <v>0.99195089999999997</v>
      </c>
      <c r="AB6420">
        <v>27</v>
      </c>
      <c r="AC6420">
        <v>0.74460000000001902</v>
      </c>
      <c r="AD6420">
        <v>-8.10450000000002E-2</v>
      </c>
      <c r="AE6420">
        <v>-8.2970000000003097E-2</v>
      </c>
      <c r="AF6420">
        <v>0.109566777237422</v>
      </c>
      <c r="AG6420">
        <v>-8.10450000000002E-2</v>
      </c>
      <c r="AH6420">
        <v>0.73239248503720999</v>
      </c>
      <c r="AI6420">
        <v>96.2455942573024</v>
      </c>
      <c r="AJ6420">
        <v>81.491583782295194</v>
      </c>
      <c r="AK6420">
        <v>0.74496437689205997</v>
      </c>
      <c r="AL6420">
        <v>85.209670002541699</v>
      </c>
      <c r="AM6420">
        <v>93.939888998914299</v>
      </c>
      <c r="AN6420">
        <v>0.99999999197297396</v>
      </c>
    </row>
    <row r="6421" spans="1:40" x14ac:dyDescent="0.25">
      <c r="A6421" t="str">
        <f>"20190312151150808"</f>
        <v>20190312151150808</v>
      </c>
      <c r="B6421" t="str">
        <f>"1552374710797592"</f>
        <v>1552374710797592</v>
      </c>
      <c r="C6421" t="s">
        <v>40</v>
      </c>
      <c r="D6421">
        <v>5.3135539999999999</v>
      </c>
      <c r="E6421">
        <v>0.57755919999999905</v>
      </c>
      <c r="F6421" t="s">
        <v>41</v>
      </c>
      <c r="G6421">
        <v>-242.69110000000001</v>
      </c>
      <c r="H6421">
        <v>1.0398769999999999</v>
      </c>
      <c r="I6421">
        <v>-63.816009999999999</v>
      </c>
      <c r="J6421">
        <v>-243.30189999999999</v>
      </c>
      <c r="K6421">
        <v>1.109804</v>
      </c>
      <c r="L6421">
        <v>-63.742890000000003</v>
      </c>
      <c r="M6421">
        <v>0.99924930000000001</v>
      </c>
      <c r="N6421">
        <v>0</v>
      </c>
      <c r="O6421">
        <v>3.7405210000000001E-2</v>
      </c>
      <c r="P6421">
        <v>0.99163699999999999</v>
      </c>
      <c r="Q6421">
        <v>7.3589310000000005E-2</v>
      </c>
      <c r="R6421">
        <v>0.106021699999999</v>
      </c>
      <c r="S6421">
        <v>3.0761409999999998</v>
      </c>
      <c r="T6421">
        <v>-0.28708610000000001</v>
      </c>
      <c r="U6421">
        <v>-0.27828979999999998</v>
      </c>
      <c r="V6421">
        <v>-6.882365E-2</v>
      </c>
      <c r="W6421">
        <v>8.3644609999999994E-2</v>
      </c>
      <c r="X6421">
        <v>0.99411609999999995</v>
      </c>
      <c r="Y6421">
        <v>0.1265838</v>
      </c>
      <c r="Z6421">
        <v>-9.3594019999999993E-3</v>
      </c>
      <c r="AA6421">
        <v>0.99191180000000001</v>
      </c>
      <c r="AB6421">
        <v>27</v>
      </c>
      <c r="AC6421">
        <v>0.61079999999998302</v>
      </c>
      <c r="AD6421">
        <v>-6.9927000000000003E-2</v>
      </c>
      <c r="AE6421">
        <v>-7.3119999999995799E-2</v>
      </c>
      <c r="AF6421">
        <v>9.4693508220276196E-2</v>
      </c>
      <c r="AG6421">
        <v>-6.9927000000000003E-2</v>
      </c>
      <c r="AH6421">
        <v>0.59988588848912305</v>
      </c>
      <c r="AI6421">
        <v>96.5681967534384</v>
      </c>
      <c r="AJ6421">
        <v>81.029732570894296</v>
      </c>
      <c r="AK6421">
        <v>0.61132620182390995</v>
      </c>
      <c r="AL6421">
        <v>85.201910674325603</v>
      </c>
      <c r="AM6421">
        <v>93.960324890883598</v>
      </c>
      <c r="AN6421">
        <v>0.999999967930291</v>
      </c>
    </row>
    <row r="6422" spans="1:40" x14ac:dyDescent="0.25">
      <c r="A6422" t="str">
        <f>"20190312151150819"</f>
        <v>20190312151150819</v>
      </c>
      <c r="B6422" t="str">
        <f>"1552374710807349"</f>
        <v>1552374710807349</v>
      </c>
      <c r="C6422" t="s">
        <v>40</v>
      </c>
      <c r="D6422">
        <v>5.3179639999999999</v>
      </c>
      <c r="E6422">
        <v>0.57774389999999998</v>
      </c>
      <c r="F6422" t="s">
        <v>41</v>
      </c>
      <c r="G6422">
        <v>-242.4537</v>
      </c>
      <c r="H6422">
        <v>1.031053</v>
      </c>
      <c r="I6422">
        <v>-63.819879999999998</v>
      </c>
      <c r="J6422">
        <v>-243.1671</v>
      </c>
      <c r="K6422">
        <v>1.1097840000000001</v>
      </c>
      <c r="L6422">
        <v>-63.737949999999998</v>
      </c>
      <c r="M6422">
        <v>0.99925359999999996</v>
      </c>
      <c r="N6422">
        <v>0</v>
      </c>
      <c r="O6422">
        <v>3.7290780000000003E-2</v>
      </c>
      <c r="P6422">
        <v>0.99162859999999997</v>
      </c>
      <c r="Q6422">
        <v>7.3484030000000006E-2</v>
      </c>
      <c r="R6422">
        <v>0.1061739</v>
      </c>
      <c r="S6422">
        <v>3.0762939999999999</v>
      </c>
      <c r="T6422">
        <v>-0.28562739999999998</v>
      </c>
      <c r="U6422">
        <v>-0.27880860000000002</v>
      </c>
      <c r="V6422">
        <v>-6.9085889999999997E-2</v>
      </c>
      <c r="W6422">
        <v>8.3546720000000005E-2</v>
      </c>
      <c r="X6422">
        <v>0.99410620000000005</v>
      </c>
      <c r="Y6422">
        <v>0.12663920000000001</v>
      </c>
      <c r="Z6422">
        <v>-9.3034989999999998E-3</v>
      </c>
      <c r="AA6422">
        <v>0.99190520000000004</v>
      </c>
      <c r="AB6422">
        <v>27</v>
      </c>
      <c r="AC6422">
        <v>0.71340000000000703</v>
      </c>
      <c r="AD6422">
        <v>-7.8731000000000106E-2</v>
      </c>
      <c r="AE6422">
        <v>-8.19300000000069E-2</v>
      </c>
      <c r="AF6422">
        <v>0.107189100059737</v>
      </c>
      <c r="AG6422">
        <v>-7.8731000000000106E-2</v>
      </c>
      <c r="AH6422">
        <v>0.70141674297477197</v>
      </c>
      <c r="AI6422">
        <v>96.331500131964305</v>
      </c>
      <c r="AJ6422">
        <v>81.3113937335266</v>
      </c>
      <c r="AK6422">
        <v>0.71391422514049496</v>
      </c>
      <c r="AL6422">
        <v>85.207539336825107</v>
      </c>
      <c r="AM6422">
        <v>93.975406159536604</v>
      </c>
      <c r="AN6422">
        <v>1.0000000257491399</v>
      </c>
    </row>
    <row r="6423" spans="1:40" x14ac:dyDescent="0.25">
      <c r="A6423" t="str">
        <f>"20190312151150830"</f>
        <v>20190312151150830</v>
      </c>
      <c r="B6423" t="str">
        <f>"1552374710818086"</f>
        <v>1552374710818086</v>
      </c>
      <c r="C6423" t="s">
        <v>40</v>
      </c>
      <c r="D6423">
        <v>5.3142139999999998</v>
      </c>
      <c r="E6423">
        <v>0.57789330000000005</v>
      </c>
      <c r="F6423" t="s">
        <v>41</v>
      </c>
      <c r="G6423">
        <v>-242.21619999999999</v>
      </c>
      <c r="H6423">
        <v>1.0215860000000001</v>
      </c>
      <c r="I6423">
        <v>-63.824669999999998</v>
      </c>
      <c r="J6423">
        <v>-243.02600000000001</v>
      </c>
      <c r="K6423">
        <v>1.109764</v>
      </c>
      <c r="L6423">
        <v>-63.732790000000001</v>
      </c>
      <c r="M6423">
        <v>0.9992586</v>
      </c>
      <c r="N6423">
        <v>0</v>
      </c>
      <c r="O6423">
        <v>3.715268E-2</v>
      </c>
      <c r="P6423">
        <v>0.99162660000000002</v>
      </c>
      <c r="Q6423">
        <v>7.3467900000000003E-2</v>
      </c>
      <c r="R6423">
        <v>0.1062041</v>
      </c>
      <c r="S6423">
        <v>3.076416</v>
      </c>
      <c r="T6423">
        <v>-0.28525070000000002</v>
      </c>
      <c r="U6423">
        <v>-0.27975460000000002</v>
      </c>
      <c r="V6423">
        <v>-6.9249459999999999E-2</v>
      </c>
      <c r="W6423">
        <v>8.3540059999999999E-2</v>
      </c>
      <c r="X6423">
        <v>0.99409530000000002</v>
      </c>
      <c r="Y6423">
        <v>0.1268029</v>
      </c>
      <c r="Z6423">
        <v>-9.2855939999999994E-3</v>
      </c>
      <c r="AA6423">
        <v>0.99188449999999995</v>
      </c>
      <c r="AB6423">
        <v>27</v>
      </c>
      <c r="AC6423">
        <v>0.80979999999999497</v>
      </c>
      <c r="AD6423">
        <v>-8.8177999999999798E-2</v>
      </c>
      <c r="AE6423">
        <v>-9.1879999999996201E-2</v>
      </c>
      <c r="AF6423">
        <v>0.120493828244194</v>
      </c>
      <c r="AG6423">
        <v>-8.8177999999999798E-2</v>
      </c>
      <c r="AH6423">
        <v>0.79650320020802201</v>
      </c>
      <c r="AI6423">
        <v>96.246781521028296</v>
      </c>
      <c r="AJ6423">
        <v>81.397605796776602</v>
      </c>
      <c r="AK6423">
        <v>0.81037736288136897</v>
      </c>
      <c r="AL6423">
        <v>85.207921889079302</v>
      </c>
      <c r="AM6423">
        <v>93.984831726074603</v>
      </c>
      <c r="AN6423">
        <v>0.99999994740859099</v>
      </c>
    </row>
    <row r="6424" spans="1:40" x14ac:dyDescent="0.25">
      <c r="A6424" t="str">
        <f>"20190312151150841"</f>
        <v>20190312151150841</v>
      </c>
      <c r="B6424" t="str">
        <f>"1552374710837605"</f>
        <v>1552374710837605</v>
      </c>
      <c r="C6424" t="s">
        <v>40</v>
      </c>
      <c r="D6424">
        <v>5.3686099999999897</v>
      </c>
      <c r="E6424">
        <v>0.57853319999999997</v>
      </c>
      <c r="F6424" t="s">
        <v>41</v>
      </c>
      <c r="G6424">
        <v>-242.21100000000001</v>
      </c>
      <c r="H6424">
        <v>1.034154</v>
      </c>
      <c r="I6424">
        <v>-63.807419999999901</v>
      </c>
      <c r="J6424">
        <v>-242.89859999999999</v>
      </c>
      <c r="K6424">
        <v>1.1097459999999999</v>
      </c>
      <c r="L6424">
        <v>-63.728149999999999</v>
      </c>
      <c r="M6424">
        <v>0.99926349999999997</v>
      </c>
      <c r="N6424">
        <v>0</v>
      </c>
      <c r="O6424">
        <v>3.7023739999999999E-2</v>
      </c>
      <c r="P6424">
        <v>0.9916412</v>
      </c>
      <c r="Q6424">
        <v>7.3297349999999997E-2</v>
      </c>
      <c r="R6424">
        <v>0.1061855</v>
      </c>
      <c r="S6424">
        <v>3.0765380000000002</v>
      </c>
      <c r="T6424">
        <v>-0.28533380000000003</v>
      </c>
      <c r="U6424">
        <v>-0.2807617</v>
      </c>
      <c r="V6424">
        <v>-6.9355169999999994E-2</v>
      </c>
      <c r="W6424">
        <v>8.3378510000000003E-2</v>
      </c>
      <c r="X6424">
        <v>0.99410149999999997</v>
      </c>
      <c r="Y6424">
        <v>0.12699279999999999</v>
      </c>
      <c r="Z6424">
        <v>-9.2846430000000004E-3</v>
      </c>
      <c r="AA6424">
        <v>0.99186019999999997</v>
      </c>
      <c r="AB6424">
        <v>27</v>
      </c>
      <c r="AC6424">
        <v>0.68760000000000299</v>
      </c>
      <c r="AD6424">
        <v>-7.5591999999999798E-2</v>
      </c>
      <c r="AE6424">
        <v>-7.9269999999993901E-2</v>
      </c>
      <c r="AF6424">
        <v>0.10344068534313999</v>
      </c>
      <c r="AG6424">
        <v>-7.5591999999999798E-2</v>
      </c>
      <c r="AH6424">
        <v>0.67612903921258605</v>
      </c>
      <c r="AI6424">
        <v>96.306466979280302</v>
      </c>
      <c r="AJ6424">
        <v>81.301788238288097</v>
      </c>
      <c r="AK6424">
        <v>0.68816030364646397</v>
      </c>
      <c r="AL6424">
        <v>85.217210459938997</v>
      </c>
      <c r="AM6424">
        <v>93.990870161039098</v>
      </c>
      <c r="AN6424">
        <v>0.99999995391889795</v>
      </c>
    </row>
    <row r="6425" spans="1:40" x14ac:dyDescent="0.25">
      <c r="A6425" t="str">
        <f>"20190312151150853"</f>
        <v>20190312151150853</v>
      </c>
      <c r="B6425" t="str">
        <f>"1552374710847365"</f>
        <v>1552374710847365</v>
      </c>
      <c r="C6425" t="s">
        <v>40</v>
      </c>
      <c r="D6425">
        <v>5.3311359999999999</v>
      </c>
      <c r="E6425">
        <v>0.57873039999999998</v>
      </c>
      <c r="F6425" t="s">
        <v>41</v>
      </c>
      <c r="G6425">
        <v>-241.97389999999999</v>
      </c>
      <c r="H6425">
        <v>1.023066</v>
      </c>
      <c r="I6425">
        <v>-63.814079999999997</v>
      </c>
      <c r="J6425">
        <v>-242.75360000000001</v>
      </c>
      <c r="K6425">
        <v>1.109726</v>
      </c>
      <c r="L6425">
        <v>-63.722929999999998</v>
      </c>
      <c r="M6425">
        <v>0.99926899999999996</v>
      </c>
      <c r="N6425">
        <v>0</v>
      </c>
      <c r="O6425">
        <v>3.6867320000000002E-2</v>
      </c>
      <c r="P6425">
        <v>0.99161600000000005</v>
      </c>
      <c r="Q6425">
        <v>7.3112499999999997E-2</v>
      </c>
      <c r="R6425">
        <v>0.10654660000000001</v>
      </c>
      <c r="S6425">
        <v>3.077194</v>
      </c>
      <c r="T6425">
        <v>-0.28847460000000003</v>
      </c>
      <c r="U6425">
        <v>-0.28591919999999998</v>
      </c>
      <c r="V6425">
        <v>-6.9869529999999999E-2</v>
      </c>
      <c r="W6425">
        <v>8.3203639999999995E-2</v>
      </c>
      <c r="X6425">
        <v>0.99408019999999997</v>
      </c>
      <c r="Y6425">
        <v>0.128446</v>
      </c>
      <c r="Z6425">
        <v>-9.436949E-3</v>
      </c>
      <c r="AA6425">
        <v>0.99167159999999999</v>
      </c>
      <c r="AB6425">
        <v>27</v>
      </c>
      <c r="AC6425">
        <v>0.77970000000001904</v>
      </c>
      <c r="AD6425">
        <v>-8.6659999999999904E-2</v>
      </c>
      <c r="AE6425">
        <v>-9.1149999999998899E-2</v>
      </c>
      <c r="AF6425">
        <v>0.11839213347256</v>
      </c>
      <c r="AG6425">
        <v>-8.6659999999999904E-2</v>
      </c>
      <c r="AH6425">
        <v>0.766468508821328</v>
      </c>
      <c r="AI6425">
        <v>96.375718030101694</v>
      </c>
      <c r="AJ6425">
        <v>81.219234522256002</v>
      </c>
      <c r="AK6425">
        <v>0.78038492289573003</v>
      </c>
      <c r="AL6425">
        <v>85.2272650276918</v>
      </c>
      <c r="AM6425">
        <v>94.020456883892507</v>
      </c>
      <c r="AN6425">
        <v>1.00000002048185</v>
      </c>
    </row>
    <row r="6426" spans="1:40" x14ac:dyDescent="0.25">
      <c r="A6426" t="str">
        <f>"20190312151150863"</f>
        <v>20190312151150863</v>
      </c>
      <c r="B6426" t="str">
        <f>"1552374710858101"</f>
        <v>1552374710858101</v>
      </c>
      <c r="C6426" t="s">
        <v>40</v>
      </c>
      <c r="D6426">
        <v>5.3376900000000003</v>
      </c>
      <c r="E6426">
        <v>0.57892860000000002</v>
      </c>
      <c r="F6426" t="s">
        <v>41</v>
      </c>
      <c r="G6426">
        <v>-241.9684</v>
      </c>
      <c r="H6426">
        <v>1.0362750000000001</v>
      </c>
      <c r="I6426">
        <v>-63.796010000000003</v>
      </c>
      <c r="J6426">
        <v>-242.63059999999999</v>
      </c>
      <c r="K6426">
        <v>1.10971</v>
      </c>
      <c r="L6426">
        <v>-63.718510000000002</v>
      </c>
      <c r="M6426">
        <v>0.9992742</v>
      </c>
      <c r="N6426">
        <v>0</v>
      </c>
      <c r="O6426">
        <v>3.6729320000000003E-2</v>
      </c>
      <c r="P6426">
        <v>0.99163639999999997</v>
      </c>
      <c r="Q6426">
        <v>7.2701070000000007E-2</v>
      </c>
      <c r="R6426">
        <v>0.1066402</v>
      </c>
      <c r="S6426">
        <v>3.0773619999999999</v>
      </c>
      <c r="T6426">
        <v>-0.28784609999999999</v>
      </c>
      <c r="U6426">
        <v>-0.28631590000000001</v>
      </c>
      <c r="V6426">
        <v>-7.0097549999999995E-2</v>
      </c>
      <c r="W6426">
        <v>8.2799730000000002E-2</v>
      </c>
      <c r="X6426">
        <v>0.99409780000000003</v>
      </c>
      <c r="Y6426">
        <v>0.12843469999999901</v>
      </c>
      <c r="Z6426">
        <v>-9.4025310000000004E-3</v>
      </c>
      <c r="AA6426">
        <v>0.99167340000000004</v>
      </c>
      <c r="AB6426">
        <v>27</v>
      </c>
      <c r="AC6426">
        <v>0.66219999999998402</v>
      </c>
      <c r="AD6426">
        <v>-7.3434999999999903E-2</v>
      </c>
      <c r="AE6426">
        <v>-7.7500000000000499E-2</v>
      </c>
      <c r="AF6426">
        <v>0.100551246189464</v>
      </c>
      <c r="AG6426">
        <v>-7.3434999999999903E-2</v>
      </c>
      <c r="AH6426">
        <v>0.65100866208293096</v>
      </c>
      <c r="AI6426">
        <v>96.361067301804695</v>
      </c>
      <c r="AJ6426">
        <v>81.219788623595605</v>
      </c>
      <c r="AK6426">
        <v>0.66280881892312105</v>
      </c>
      <c r="AL6426">
        <v>85.250487156139101</v>
      </c>
      <c r="AM6426">
        <v>94.033463276706499</v>
      </c>
      <c r="AN6426">
        <v>0.99999994888445598</v>
      </c>
    </row>
    <row r="6427" spans="1:40" x14ac:dyDescent="0.25">
      <c r="A6427" t="str">
        <f>"20190312151150874"</f>
        <v>20190312151150874</v>
      </c>
      <c r="B6427" t="str">
        <f>"1552374710867861"</f>
        <v>1552374710867861</v>
      </c>
      <c r="C6427" t="s">
        <v>40</v>
      </c>
      <c r="D6427">
        <v>5.3548580000000001</v>
      </c>
      <c r="E6427">
        <v>0.57920360000000004</v>
      </c>
      <c r="F6427" t="s">
        <v>41</v>
      </c>
      <c r="G6427">
        <v>-241.73099999999999</v>
      </c>
      <c r="H6427">
        <v>1.0253099999999999</v>
      </c>
      <c r="I6427">
        <v>-63.80283</v>
      </c>
      <c r="J6427">
        <v>-242.4967</v>
      </c>
      <c r="K6427">
        <v>1.1096969999999999</v>
      </c>
      <c r="L6427">
        <v>-63.713709999999999</v>
      </c>
      <c r="M6427">
        <v>0.99927980000000005</v>
      </c>
      <c r="N6427">
        <v>0</v>
      </c>
      <c r="O6427">
        <v>3.657477E-2</v>
      </c>
      <c r="P6427">
        <v>0.99164229999999998</v>
      </c>
      <c r="Q6427">
        <v>7.2324299999999994E-2</v>
      </c>
      <c r="R6427">
        <v>0.10684150000000001</v>
      </c>
      <c r="S6427">
        <v>3.0773929999999998</v>
      </c>
      <c r="T6427">
        <v>-0.28865869999999999</v>
      </c>
      <c r="U6427">
        <v>-0.2877808</v>
      </c>
      <c r="V6427">
        <v>-7.0449999999999999E-2</v>
      </c>
      <c r="W6427">
        <v>8.2431450000000003E-2</v>
      </c>
      <c r="X6427">
        <v>0.99410359999999998</v>
      </c>
      <c r="Y6427">
        <v>0.12874369999999999</v>
      </c>
      <c r="Z6427">
        <v>-9.4286609999999996E-3</v>
      </c>
      <c r="AA6427">
        <v>0.99163310000000005</v>
      </c>
      <c r="AB6427">
        <v>27</v>
      </c>
      <c r="AC6427">
        <v>0.76570000000000904</v>
      </c>
      <c r="AD6427">
        <v>-8.4386999999999907E-2</v>
      </c>
      <c r="AE6427">
        <v>-8.9120000000008304E-2</v>
      </c>
      <c r="AF6427">
        <v>0.115680816172735</v>
      </c>
      <c r="AG6427">
        <v>-8.4386999999999907E-2</v>
      </c>
      <c r="AH6427">
        <v>0.75290534904498796</v>
      </c>
      <c r="AI6427">
        <v>96.321554641853794</v>
      </c>
      <c r="AJ6427">
        <v>81.265046769208297</v>
      </c>
      <c r="AK6427">
        <v>0.76640047078531104</v>
      </c>
      <c r="AL6427">
        <v>85.271660940417206</v>
      </c>
      <c r="AM6427">
        <v>94.053652490421896</v>
      </c>
      <c r="AN6427">
        <v>1.0000000569910199</v>
      </c>
    </row>
    <row r="6428" spans="1:40" x14ac:dyDescent="0.25">
      <c r="A6428" t="str">
        <f>"20190312151150886"</f>
        <v>20190312151150886</v>
      </c>
      <c r="B6428" t="str">
        <f>"1552374710877621"</f>
        <v>1552374710877621</v>
      </c>
      <c r="C6428" t="s">
        <v>40</v>
      </c>
      <c r="D6428">
        <v>5.3483289999999997</v>
      </c>
      <c r="E6428">
        <v>0.57937079999999996</v>
      </c>
      <c r="F6428" t="s">
        <v>41</v>
      </c>
      <c r="G6428">
        <v>-241.72630000000001</v>
      </c>
      <c r="H6428">
        <v>1.036778</v>
      </c>
      <c r="I6428">
        <v>-63.786380000000001</v>
      </c>
      <c r="J6428">
        <v>-242.36019999999999</v>
      </c>
      <c r="K6428">
        <v>1.109688</v>
      </c>
      <c r="L6428">
        <v>-63.708889999999997</v>
      </c>
      <c r="M6428">
        <v>0.99928570000000005</v>
      </c>
      <c r="N6428">
        <v>0</v>
      </c>
      <c r="O6428">
        <v>3.6412449999999999E-2</v>
      </c>
      <c r="P6428">
        <v>0.99165840000000005</v>
      </c>
      <c r="Q6428">
        <v>7.2053889999999995E-2</v>
      </c>
      <c r="R6428">
        <v>0.1068741</v>
      </c>
      <c r="S6428">
        <v>3.077728</v>
      </c>
      <c r="T6428">
        <v>-0.29124889999999998</v>
      </c>
      <c r="U6428">
        <v>-0.28945920000000003</v>
      </c>
      <c r="V6428">
        <v>-7.0642099999999999E-2</v>
      </c>
      <c r="W6428">
        <v>8.2168169999999999E-2</v>
      </c>
      <c r="X6428">
        <v>0.99411170000000004</v>
      </c>
      <c r="Y6428">
        <v>0.12909509999999999</v>
      </c>
      <c r="Z6428">
        <v>-9.5128850000000004E-3</v>
      </c>
      <c r="AA6428">
        <v>0.99158659999999998</v>
      </c>
      <c r="AB6428">
        <v>27</v>
      </c>
      <c r="AC6428">
        <v>0.63389999999998203</v>
      </c>
      <c r="AD6428">
        <v>-7.2910000000000003E-2</v>
      </c>
      <c r="AE6428">
        <v>-7.7489999999997394E-2</v>
      </c>
      <c r="AF6428">
        <v>9.9228258629469795E-2</v>
      </c>
      <c r="AG6428">
        <v>-7.2910000000000003E-2</v>
      </c>
      <c r="AH6428">
        <v>0.62254336342278804</v>
      </c>
      <c r="AI6428">
        <v>96.597310976990897</v>
      </c>
      <c r="AJ6428">
        <v>80.943708135331903</v>
      </c>
      <c r="AK6428">
        <v>0.63460409292124398</v>
      </c>
      <c r="AL6428">
        <v>85.286796819120894</v>
      </c>
      <c r="AM6428">
        <v>94.064635807834506</v>
      </c>
      <c r="AN6428">
        <v>0.99999999326522404</v>
      </c>
    </row>
    <row r="6429" spans="1:40" x14ac:dyDescent="0.25">
      <c r="A6429" t="str">
        <f>"20190312151150897"</f>
        <v>20190312151150897</v>
      </c>
      <c r="B6429" t="str">
        <f>"1552374710887381"</f>
        <v>1552374710887381</v>
      </c>
      <c r="C6429" t="s">
        <v>40</v>
      </c>
      <c r="D6429">
        <v>5.3880229999999996</v>
      </c>
      <c r="E6429">
        <v>0.57962799999999903</v>
      </c>
      <c r="F6429" t="s">
        <v>41</v>
      </c>
      <c r="G6429">
        <v>-241.488</v>
      </c>
      <c r="H6429">
        <v>1.0272539999999999</v>
      </c>
      <c r="I6429">
        <v>-63.79139</v>
      </c>
      <c r="J6429">
        <v>-242.21619999999999</v>
      </c>
      <c r="K6429">
        <v>1.1096839999999999</v>
      </c>
      <c r="L6429">
        <v>-63.703830000000004</v>
      </c>
      <c r="M6429">
        <v>0.99929179999999995</v>
      </c>
      <c r="N6429">
        <v>0</v>
      </c>
      <c r="O6429">
        <v>3.6239239999999999E-2</v>
      </c>
      <c r="P6429">
        <v>0.99165859999999995</v>
      </c>
      <c r="Q6429">
        <v>7.1676180000000006E-2</v>
      </c>
      <c r="R6429">
        <v>0.107125</v>
      </c>
      <c r="S6429">
        <v>3.077728</v>
      </c>
      <c r="T6429">
        <v>-0.29085090000000002</v>
      </c>
      <c r="U6429">
        <v>-0.29083249999999999</v>
      </c>
      <c r="V6429">
        <v>-7.1064260000000004E-2</v>
      </c>
      <c r="W6429">
        <v>8.1797960000000003E-2</v>
      </c>
      <c r="X6429">
        <v>0.99411210000000005</v>
      </c>
      <c r="Y6429">
        <v>0.12936339999999999</v>
      </c>
      <c r="Z6429">
        <v>-9.4960719999999995E-3</v>
      </c>
      <c r="AA6429">
        <v>0.99155179999999998</v>
      </c>
      <c r="AB6429">
        <v>27</v>
      </c>
      <c r="AC6429">
        <v>0.72819999999998597</v>
      </c>
      <c r="AD6429">
        <v>-8.2429999999999906E-2</v>
      </c>
      <c r="AE6429">
        <v>-8.7559999999996294E-2</v>
      </c>
      <c r="AF6429">
        <v>0.11247261520568499</v>
      </c>
      <c r="AG6429">
        <v>-8.2429999999999906E-2</v>
      </c>
      <c r="AH6429">
        <v>0.71551079388972105</v>
      </c>
      <c r="AI6429">
        <v>96.4927224500873</v>
      </c>
      <c r="AJ6429">
        <v>81.066658775793499</v>
      </c>
      <c r="AK6429">
        <v>0.72897221500130205</v>
      </c>
      <c r="AL6429">
        <v>85.308079737633406</v>
      </c>
      <c r="AM6429">
        <v>94.088842450133001</v>
      </c>
      <c r="AN6429">
        <v>0.99999995133795805</v>
      </c>
    </row>
    <row r="6430" spans="1:40" x14ac:dyDescent="0.25">
      <c r="A6430" t="str">
        <f>"20190312151150907"</f>
        <v>20190312151150907</v>
      </c>
      <c r="B6430" t="str">
        <f>"1552374710898118"</f>
        <v>1552374710898118</v>
      </c>
      <c r="C6430" t="s">
        <v>40</v>
      </c>
      <c r="D6430">
        <v>5.3907819999999997</v>
      </c>
      <c r="E6430">
        <v>0.57985710000000001</v>
      </c>
      <c r="F6430" t="s">
        <v>41</v>
      </c>
      <c r="G6430">
        <v>-241.4828</v>
      </c>
      <c r="H6430">
        <v>1.0395970000000001</v>
      </c>
      <c r="I6430">
        <v>-63.773530000000001</v>
      </c>
      <c r="J6430">
        <v>-242.0909</v>
      </c>
      <c r="K6430">
        <v>1.1096809999999999</v>
      </c>
      <c r="L6430">
        <v>-63.69943</v>
      </c>
      <c r="M6430">
        <v>0.99929730000000005</v>
      </c>
      <c r="N6430">
        <v>0</v>
      </c>
      <c r="O6430">
        <v>3.6084739999999997E-2</v>
      </c>
      <c r="P6430">
        <v>0.9916779</v>
      </c>
      <c r="Q6430">
        <v>7.1623439999999997E-2</v>
      </c>
      <c r="R6430">
        <v>0.1069827</v>
      </c>
      <c r="S6430">
        <v>3.078049</v>
      </c>
      <c r="T6430">
        <v>-0.29416429999999999</v>
      </c>
      <c r="U6430">
        <v>-0.29220580000000002</v>
      </c>
      <c r="V6430">
        <v>-7.1074470000000001E-2</v>
      </c>
      <c r="W6430">
        <v>8.1750909999999996E-2</v>
      </c>
      <c r="X6430">
        <v>0.99411530000000004</v>
      </c>
      <c r="Y6430">
        <v>0.12962190000000001</v>
      </c>
      <c r="Z6430">
        <v>-9.6001750000000007E-3</v>
      </c>
      <c r="AA6430">
        <v>0.99151699999999998</v>
      </c>
      <c r="AB6430">
        <v>27</v>
      </c>
      <c r="AC6430">
        <v>0.60810000000000697</v>
      </c>
      <c r="AD6430">
        <v>-7.0083999999999994E-2</v>
      </c>
      <c r="AE6430">
        <v>-7.4100000000001304E-2</v>
      </c>
      <c r="AF6430">
        <v>9.4755793027539406E-2</v>
      </c>
      <c r="AG6430">
        <v>-7.0083999999999994E-2</v>
      </c>
      <c r="AH6430">
        <v>0.597213341785785</v>
      </c>
      <c r="AI6430">
        <v>96.611192180613401</v>
      </c>
      <c r="AJ6430">
        <v>80.984418545740795</v>
      </c>
      <c r="AK6430">
        <v>0.60873163461021396</v>
      </c>
      <c r="AL6430">
        <v>85.310784841692893</v>
      </c>
      <c r="AM6430">
        <v>94.089414793613003</v>
      </c>
      <c r="AN6430">
        <v>1.0000000106328399</v>
      </c>
    </row>
    <row r="6431" spans="1:40" x14ac:dyDescent="0.25">
      <c r="A6431" t="str">
        <f>"20190312151150918"</f>
        <v>20190312151150918</v>
      </c>
      <c r="B6431" t="str">
        <f>"1552374710907877"</f>
        <v>1552374710907877</v>
      </c>
      <c r="C6431" t="s">
        <v>40</v>
      </c>
      <c r="D6431">
        <v>5.3734650000000004</v>
      </c>
      <c r="E6431">
        <v>0.58006849999999999</v>
      </c>
      <c r="F6431" t="s">
        <v>41</v>
      </c>
      <c r="G6431">
        <v>-241.24520000000001</v>
      </c>
      <c r="H6431">
        <v>1.0283370000000001</v>
      </c>
      <c r="I6431">
        <v>-63.7806199999999</v>
      </c>
      <c r="J6431">
        <v>-241.95949999999999</v>
      </c>
      <c r="K6431">
        <v>1.1096820000000001</v>
      </c>
      <c r="L6431">
        <v>-63.694819999999901</v>
      </c>
      <c r="M6431">
        <v>0.99930319999999995</v>
      </c>
      <c r="N6431">
        <v>0</v>
      </c>
      <c r="O6431">
        <v>3.5922620000000002E-2</v>
      </c>
      <c r="P6431">
        <v>0.99169989999999997</v>
      </c>
      <c r="Q6431">
        <v>7.1410340000000003E-2</v>
      </c>
      <c r="R6431">
        <v>0.1069206</v>
      </c>
      <c r="S6431">
        <v>3.0783230000000001</v>
      </c>
      <c r="T6431">
        <v>-0.2960044</v>
      </c>
      <c r="U6431">
        <v>-0.2944946</v>
      </c>
      <c r="V6431">
        <v>-7.1172890000000003E-2</v>
      </c>
      <c r="W6431">
        <v>8.1543229999999994E-2</v>
      </c>
      <c r="X6431">
        <v>0.99412529999999999</v>
      </c>
      <c r="Y6431">
        <v>0.13017229999999999</v>
      </c>
      <c r="Z6431">
        <v>-9.6695940000000001E-3</v>
      </c>
      <c r="AA6431">
        <v>0.9914442</v>
      </c>
      <c r="AB6431">
        <v>27</v>
      </c>
      <c r="AC6431">
        <v>0.71429999999997995</v>
      </c>
      <c r="AD6431">
        <v>-8.1345000000000001E-2</v>
      </c>
      <c r="AE6431">
        <v>-8.5799999999998905E-2</v>
      </c>
      <c r="AF6431">
        <v>0.109999192107076</v>
      </c>
      <c r="AG6431">
        <v>-8.1345000000000001E-2</v>
      </c>
      <c r="AH6431">
        <v>0.70178473521097395</v>
      </c>
      <c r="AI6431">
        <v>96.532682037439102</v>
      </c>
      <c r="AJ6431">
        <v>81.091821296103305</v>
      </c>
      <c r="AK6431">
        <v>0.71499555653468605</v>
      </c>
      <c r="AL6431">
        <v>85.322723818351605</v>
      </c>
      <c r="AM6431">
        <v>94.095017285051597</v>
      </c>
      <c r="AN6431">
        <v>0.999999995364937</v>
      </c>
    </row>
    <row r="6432" spans="1:40" x14ac:dyDescent="0.25">
      <c r="A6432" t="str">
        <f>"20190312151150929"</f>
        <v>20190312151150929</v>
      </c>
      <c r="B6432" t="str">
        <f>"1552374710917637"</f>
        <v>1552374710917637</v>
      </c>
      <c r="C6432" t="s">
        <v>40</v>
      </c>
      <c r="D6432">
        <v>5.4036540000000004</v>
      </c>
      <c r="E6432">
        <v>0.58017450000000004</v>
      </c>
      <c r="F6432" t="s">
        <v>41</v>
      </c>
      <c r="G6432">
        <v>-241.00700000000001</v>
      </c>
      <c r="H6432">
        <v>1.0174129999999999</v>
      </c>
      <c r="I6432">
        <v>-63.786520000000003</v>
      </c>
      <c r="J6432">
        <v>-241.82599999999999</v>
      </c>
      <c r="K6432">
        <v>1.109677</v>
      </c>
      <c r="L6432">
        <v>-63.690219999999997</v>
      </c>
      <c r="M6432">
        <v>0.99930909999999995</v>
      </c>
      <c r="N6432">
        <v>0</v>
      </c>
      <c r="O6432">
        <v>3.5757070000000002E-2</v>
      </c>
      <c r="P6432">
        <v>0.99171010000000004</v>
      </c>
      <c r="Q6432">
        <v>7.1257730000000005E-2</v>
      </c>
      <c r="R6432">
        <v>0.10692749999999999</v>
      </c>
      <c r="S6432">
        <v>3.0785680000000002</v>
      </c>
      <c r="T6432">
        <v>-0.29822700000000002</v>
      </c>
      <c r="U6432">
        <v>-0.29644779999999998</v>
      </c>
      <c r="V6432">
        <v>-7.1343909999999996E-2</v>
      </c>
      <c r="W6432">
        <v>8.1396389999999999E-2</v>
      </c>
      <c r="X6432">
        <v>0.99412509999999998</v>
      </c>
      <c r="Y6432">
        <v>0.13061139999999999</v>
      </c>
      <c r="Z6432">
        <v>-9.7460099999999994E-3</v>
      </c>
      <c r="AA6432">
        <v>0.99138579999999998</v>
      </c>
      <c r="AB6432">
        <v>27</v>
      </c>
      <c r="AC6432">
        <v>0.81899999999998796</v>
      </c>
      <c r="AD6432">
        <v>-9.2264000000000096E-2</v>
      </c>
      <c r="AE6432">
        <v>-9.62999999999994E-2</v>
      </c>
      <c r="AF6432">
        <v>0.12397306632034</v>
      </c>
      <c r="AG6432">
        <v>-9.2264000000000096E-2</v>
      </c>
      <c r="AH6432">
        <v>0.80495621422021801</v>
      </c>
      <c r="AI6432">
        <v>96.463154684360205</v>
      </c>
      <c r="AJ6432">
        <v>81.244544970819604</v>
      </c>
      <c r="AK6432">
        <v>0.81965631436634001</v>
      </c>
      <c r="AL6432">
        <v>85.331165307245996</v>
      </c>
      <c r="AM6432">
        <v>94.104824352974802</v>
      </c>
      <c r="AN6432">
        <v>1.00000002012456</v>
      </c>
    </row>
    <row r="6433" spans="1:40" x14ac:dyDescent="0.25">
      <c r="A6433" t="str">
        <f>"20190312151150941"</f>
        <v>20190312151150941</v>
      </c>
      <c r="B6433" t="str">
        <f>"1552374710927397"</f>
        <v>1552374710927397</v>
      </c>
      <c r="C6433" t="s">
        <v>40</v>
      </c>
      <c r="D6433">
        <v>5.3663889999999999</v>
      </c>
      <c r="E6433">
        <v>0.58044099999999998</v>
      </c>
      <c r="F6433" t="s">
        <v>41</v>
      </c>
      <c r="G6433">
        <v>-241.0017</v>
      </c>
      <c r="H6433">
        <v>1.030087</v>
      </c>
      <c r="I6433">
        <v>-63.769869999999997</v>
      </c>
      <c r="J6433">
        <v>-241.68729999999999</v>
      </c>
      <c r="K6433">
        <v>1.109677</v>
      </c>
      <c r="L6433">
        <v>-63.685389999999998</v>
      </c>
      <c r="M6433">
        <v>0.99931510000000001</v>
      </c>
      <c r="N6433">
        <v>0</v>
      </c>
      <c r="O6433">
        <v>3.5585690000000003E-2</v>
      </c>
      <c r="P6433">
        <v>0.99172320000000003</v>
      </c>
      <c r="Q6433">
        <v>7.1155560000000007E-2</v>
      </c>
      <c r="R6433">
        <v>0.10687480000000001</v>
      </c>
      <c r="S6433">
        <v>3.078506</v>
      </c>
      <c r="T6433">
        <v>-0.29721110000000001</v>
      </c>
      <c r="U6433">
        <v>-0.29757689999999998</v>
      </c>
      <c r="V6433">
        <v>-7.1461570000000002E-2</v>
      </c>
      <c r="W6433">
        <v>8.1298949999999995E-2</v>
      </c>
      <c r="X6433">
        <v>0.99412460000000002</v>
      </c>
      <c r="Y6433">
        <v>0.1308086</v>
      </c>
      <c r="Z6433">
        <v>-9.7059929999999996E-3</v>
      </c>
      <c r="AA6433">
        <v>0.99136009999999997</v>
      </c>
      <c r="AB6433">
        <v>27</v>
      </c>
      <c r="AC6433">
        <v>0.68559999999999299</v>
      </c>
      <c r="AD6433">
        <v>-7.9589999999999994E-2</v>
      </c>
      <c r="AE6433">
        <v>-8.4479999999992103E-2</v>
      </c>
      <c r="AF6433">
        <v>0.107399575259595</v>
      </c>
      <c r="AG6433">
        <v>-7.9589999999999994E-2</v>
      </c>
      <c r="AH6433">
        <v>0.67322232974542895</v>
      </c>
      <c r="AI6433">
        <v>96.658920587361393</v>
      </c>
      <c r="AJ6433">
        <v>80.9359472355994</v>
      </c>
      <c r="AK6433">
        <v>0.68636545814442396</v>
      </c>
      <c r="AL6433">
        <v>85.336766667968902</v>
      </c>
      <c r="AM6433">
        <v>94.1115728709145</v>
      </c>
      <c r="AN6433">
        <v>0.99999999779156301</v>
      </c>
    </row>
    <row r="6434" spans="1:40" x14ac:dyDescent="0.25">
      <c r="A6434" t="str">
        <f>"20190312151150952"</f>
        <v>20190312151150952</v>
      </c>
      <c r="B6434" t="str">
        <f>"1552374710947893"</f>
        <v>1552374710947893</v>
      </c>
      <c r="C6434" t="s">
        <v>40</v>
      </c>
      <c r="D6434">
        <v>5.4119570000000001</v>
      </c>
      <c r="E6434">
        <v>0.58078529999999995</v>
      </c>
      <c r="F6434" t="s">
        <v>41</v>
      </c>
      <c r="G6434">
        <v>-240.7629</v>
      </c>
      <c r="H6434">
        <v>1.0199990000000001</v>
      </c>
      <c r="I6434">
        <v>-63.775649999999999</v>
      </c>
      <c r="J6434">
        <v>-241.5446</v>
      </c>
      <c r="K6434">
        <v>1.1096809999999999</v>
      </c>
      <c r="L6434">
        <v>-63.680480000000003</v>
      </c>
      <c r="M6434">
        <v>0.99932129999999997</v>
      </c>
      <c r="N6434">
        <v>0</v>
      </c>
      <c r="O6434">
        <v>3.541002E-2</v>
      </c>
      <c r="P6434">
        <v>0.99174180000000001</v>
      </c>
      <c r="Q6434">
        <v>7.102166E-2</v>
      </c>
      <c r="R6434">
        <v>0.10679130000000001</v>
      </c>
      <c r="S6434">
        <v>3.0787960000000001</v>
      </c>
      <c r="T6434">
        <v>-0.29865059999999999</v>
      </c>
      <c r="U6434">
        <v>-0.3000488</v>
      </c>
      <c r="V6434">
        <v>-7.1552859999999996E-2</v>
      </c>
      <c r="W6434">
        <v>8.1170640000000002E-2</v>
      </c>
      <c r="X6434">
        <v>0.99412849999999997</v>
      </c>
      <c r="Y6434">
        <v>0.13140479999999999</v>
      </c>
      <c r="Z6434">
        <v>-9.7633249999999998E-3</v>
      </c>
      <c r="AA6434">
        <v>0.99128070000000001</v>
      </c>
      <c r="AB6434">
        <v>27</v>
      </c>
      <c r="AC6434">
        <v>0.78169999999999995</v>
      </c>
      <c r="AD6434">
        <v>-8.9681999999999998E-2</v>
      </c>
      <c r="AE6434">
        <v>-9.5169999999995897E-2</v>
      </c>
      <c r="AF6434">
        <v>0.12121953056672199</v>
      </c>
      <c r="AG6434">
        <v>-8.9681999999999998E-2</v>
      </c>
      <c r="AH6434">
        <v>0.76788016284166605</v>
      </c>
      <c r="AI6434">
        <v>96.580725256291103</v>
      </c>
      <c r="AJ6434">
        <v>81.029171980492805</v>
      </c>
      <c r="AK6434">
        <v>0.78254519371123898</v>
      </c>
      <c r="AL6434">
        <v>85.3441425820386</v>
      </c>
      <c r="AM6434">
        <v>94.116791138796003</v>
      </c>
      <c r="AN6434">
        <v>0.99999997954221898</v>
      </c>
    </row>
    <row r="6435" spans="1:40" x14ac:dyDescent="0.25">
      <c r="A6435" t="str">
        <f>"20190312151150964"</f>
        <v>20190312151150964</v>
      </c>
      <c r="B6435" t="str">
        <f>"1552374710957652"</f>
        <v>1552374710957652</v>
      </c>
      <c r="C6435" t="s">
        <v>40</v>
      </c>
      <c r="D6435">
        <v>5.3662029999999996</v>
      </c>
      <c r="E6435">
        <v>0.58094999999999997</v>
      </c>
      <c r="F6435" t="s">
        <v>41</v>
      </c>
      <c r="G6435">
        <v>-240.75739999999999</v>
      </c>
      <c r="H6435">
        <v>1.033101</v>
      </c>
      <c r="I6435">
        <v>-63.7581699999999</v>
      </c>
      <c r="J6435">
        <v>-241.4117</v>
      </c>
      <c r="K6435">
        <v>1.1096809999999999</v>
      </c>
      <c r="L6435">
        <v>-63.675930000000001</v>
      </c>
      <c r="M6435">
        <v>0.99932690000000002</v>
      </c>
      <c r="N6435">
        <v>0</v>
      </c>
      <c r="O6435">
        <v>3.5248069999999999E-2</v>
      </c>
      <c r="P6435">
        <v>0.99173789999999995</v>
      </c>
      <c r="Q6435">
        <v>7.1168750000000003E-2</v>
      </c>
      <c r="R6435">
        <v>0.106727</v>
      </c>
      <c r="S6435">
        <v>3.0791019999999998</v>
      </c>
      <c r="T6435">
        <v>-0.29950939999999998</v>
      </c>
      <c r="U6435">
        <v>-0.3032532</v>
      </c>
      <c r="V6435">
        <v>-7.1650099999999994E-2</v>
      </c>
      <c r="W6435">
        <v>8.1321749999999998E-2</v>
      </c>
      <c r="X6435">
        <v>0.99410920000000003</v>
      </c>
      <c r="Y6435">
        <v>0.13224900000000001</v>
      </c>
      <c r="Z6435">
        <v>-9.8150089999999995E-3</v>
      </c>
      <c r="AA6435">
        <v>0.99116800000000005</v>
      </c>
      <c r="AB6435">
        <v>27</v>
      </c>
      <c r="AC6435">
        <v>0.65430000000000599</v>
      </c>
      <c r="AD6435">
        <v>-7.6579999999999801E-2</v>
      </c>
      <c r="AE6435">
        <v>-8.2239999999984506E-2</v>
      </c>
      <c r="AF6435">
        <v>0.103852385175426</v>
      </c>
      <c r="AG6435">
        <v>-7.6579999999999801E-2</v>
      </c>
      <c r="AH6435">
        <v>0.64233220364611199</v>
      </c>
      <c r="AI6435">
        <v>96.712457943376805</v>
      </c>
      <c r="AJ6435">
        <v>80.815883561604196</v>
      </c>
      <c r="AK6435">
        <v>0.65516446343456003</v>
      </c>
      <c r="AL6435">
        <v>85.335456147439203</v>
      </c>
      <c r="AM6435">
        <v>94.122446320955106</v>
      </c>
      <c r="AN6435">
        <v>1.0000000326888501</v>
      </c>
    </row>
    <row r="6436" spans="1:40" x14ac:dyDescent="0.25">
      <c r="A6436" t="str">
        <f>"20190312151150974"</f>
        <v>20190312151150974</v>
      </c>
      <c r="B6436" t="str">
        <f>"1552374710967413"</f>
        <v>1552374710967413</v>
      </c>
      <c r="C6436" t="s">
        <v>40</v>
      </c>
      <c r="D6436">
        <v>5.3601219999999996</v>
      </c>
      <c r="E6436">
        <v>0.58116669999999904</v>
      </c>
      <c r="F6436" t="s">
        <v>41</v>
      </c>
      <c r="G6436">
        <v>-240.51820000000001</v>
      </c>
      <c r="H6436">
        <v>1.0231749999999999</v>
      </c>
      <c r="I6436">
        <v>-63.76455</v>
      </c>
      <c r="J6436">
        <v>-241.2782</v>
      </c>
      <c r="K6436">
        <v>1.1096809999999999</v>
      </c>
      <c r="L6436">
        <v>-63.671419999999998</v>
      </c>
      <c r="M6436">
        <v>0.99933269999999996</v>
      </c>
      <c r="N6436">
        <v>0</v>
      </c>
      <c r="O6436">
        <v>3.5086300000000001E-2</v>
      </c>
      <c r="P6436">
        <v>0.99173049999999996</v>
      </c>
      <c r="Q6436">
        <v>7.1154190000000006E-2</v>
      </c>
      <c r="R6436">
        <v>0.10680820000000001</v>
      </c>
      <c r="S6436">
        <v>3.0791930000000001</v>
      </c>
      <c r="T6436">
        <v>-0.29813329999999999</v>
      </c>
      <c r="U6436">
        <v>-0.30487059999999999</v>
      </c>
      <c r="V6436">
        <v>-7.1892849999999994E-2</v>
      </c>
      <c r="W6436">
        <v>8.1311789999999995E-2</v>
      </c>
      <c r="X6436">
        <v>0.99409250000000005</v>
      </c>
      <c r="Y6436">
        <v>0.13260759999999999</v>
      </c>
      <c r="Z6436">
        <v>-9.7712749999999994E-3</v>
      </c>
      <c r="AA6436">
        <v>0.99112049999999996</v>
      </c>
      <c r="AB6436">
        <v>27</v>
      </c>
      <c r="AC6436">
        <v>0.75999999999999002</v>
      </c>
      <c r="AD6436">
        <v>-8.6505999999999902E-2</v>
      </c>
      <c r="AE6436">
        <v>-9.31300000000021E-2</v>
      </c>
      <c r="AF6436">
        <v>0.11823050178594401</v>
      </c>
      <c r="AG6436">
        <v>-8.6505999999999902E-2</v>
      </c>
      <c r="AH6436">
        <v>0.74673283231917598</v>
      </c>
      <c r="AI6436">
        <v>96.527435093953599</v>
      </c>
      <c r="AJ6436">
        <v>81.003021004008303</v>
      </c>
      <c r="AK6436">
        <v>0.76096758304935297</v>
      </c>
      <c r="AL6436">
        <v>85.336028761541598</v>
      </c>
      <c r="AM6436">
        <v>94.136433987946305</v>
      </c>
      <c r="AN6436">
        <v>1.0000000438151799</v>
      </c>
    </row>
    <row r="6437" spans="1:40" x14ac:dyDescent="0.25">
      <c r="A6437" t="str">
        <f>"20190312151150987"</f>
        <v>20190312151150987</v>
      </c>
      <c r="B6437" t="str">
        <f>"1552374710977174"</f>
        <v>1552374710977174</v>
      </c>
      <c r="C6437" t="s">
        <v>40</v>
      </c>
      <c r="D6437">
        <v>5.4143809999999997</v>
      </c>
      <c r="E6437">
        <v>0.58138719999999999</v>
      </c>
      <c r="F6437" t="s">
        <v>41</v>
      </c>
      <c r="G6437">
        <v>-240.51310000000001</v>
      </c>
      <c r="H6437">
        <v>1.0353239999999999</v>
      </c>
      <c r="I6437">
        <v>-63.747729999999997</v>
      </c>
      <c r="J6437">
        <v>-241.13300000000001</v>
      </c>
      <c r="K6437">
        <v>1.1096839999999999</v>
      </c>
      <c r="L6437">
        <v>-63.666469999999997</v>
      </c>
      <c r="M6437">
        <v>0.99933870000000002</v>
      </c>
      <c r="N6437">
        <v>0</v>
      </c>
      <c r="O6437">
        <v>3.4912720000000001E-2</v>
      </c>
      <c r="P6437">
        <v>0.99171399999999998</v>
      </c>
      <c r="Q6437">
        <v>7.1117239999999998E-2</v>
      </c>
      <c r="R6437">
        <v>0.1069846</v>
      </c>
      <c r="S6437">
        <v>3.0794980000000001</v>
      </c>
      <c r="T6437">
        <v>-0.29927769999999998</v>
      </c>
      <c r="U6437">
        <v>-0.30654910000000002</v>
      </c>
      <c r="V6437">
        <v>-7.2242860000000006E-2</v>
      </c>
      <c r="W6437">
        <v>8.1279459999999998E-2</v>
      </c>
      <c r="X6437">
        <v>0.99406969999999995</v>
      </c>
      <c r="Y6437">
        <v>0.13295419999999999</v>
      </c>
      <c r="Z6437">
        <v>-9.8073589999999999E-3</v>
      </c>
      <c r="AA6437">
        <v>0.99107369999999995</v>
      </c>
      <c r="AB6437">
        <v>27</v>
      </c>
      <c r="AC6437">
        <v>0.61989999999997203</v>
      </c>
      <c r="AD6437">
        <v>-7.4360000000000204E-2</v>
      </c>
      <c r="AE6437">
        <v>-8.1260000000007396E-2</v>
      </c>
      <c r="AF6437">
        <v>0.101419283014858</v>
      </c>
      <c r="AG6437">
        <v>-7.4360000000000204E-2</v>
      </c>
      <c r="AH6437">
        <v>0.60808290294502498</v>
      </c>
      <c r="AI6437">
        <v>96.877778898624896</v>
      </c>
      <c r="AJ6437">
        <v>80.531065022405997</v>
      </c>
      <c r="AK6437">
        <v>0.62095096217116597</v>
      </c>
      <c r="AL6437">
        <v>85.337886963890796</v>
      </c>
      <c r="AM6437">
        <v>94.156596786485096</v>
      </c>
      <c r="AN6437">
        <v>0.99999997494848003</v>
      </c>
    </row>
    <row r="6438" spans="1:40" x14ac:dyDescent="0.25">
      <c r="A6438" t="str">
        <f>"20190312151150998"</f>
        <v>20190312151150998</v>
      </c>
      <c r="B6438" t="str">
        <f>"1552374710987910"</f>
        <v>1552374710987910</v>
      </c>
      <c r="C6438" t="s">
        <v>40</v>
      </c>
      <c r="D6438">
        <v>5.4715559999999996</v>
      </c>
      <c r="E6438">
        <v>0.58160959999999995</v>
      </c>
      <c r="F6438" t="s">
        <v>41</v>
      </c>
      <c r="G6438">
        <v>-240.27359999999999</v>
      </c>
      <c r="H6438">
        <v>1.0258080000000001</v>
      </c>
      <c r="I6438">
        <v>-63.752490000000002</v>
      </c>
      <c r="J6438">
        <v>-240.99029999999999</v>
      </c>
      <c r="K6438">
        <v>1.1096870000000001</v>
      </c>
      <c r="L6438">
        <v>-63.661650000000002</v>
      </c>
      <c r="M6438">
        <v>0.99934449999999997</v>
      </c>
      <c r="N6438">
        <v>0</v>
      </c>
      <c r="O6438">
        <v>3.4742969999999998E-2</v>
      </c>
      <c r="P6438">
        <v>0.99169220000000002</v>
      </c>
      <c r="Q6438">
        <v>7.1426340000000005E-2</v>
      </c>
      <c r="R6438">
        <v>0.10698290000000001</v>
      </c>
      <c r="S6438">
        <v>3.079834</v>
      </c>
      <c r="T6438">
        <v>-0.30058600000000002</v>
      </c>
      <c r="U6438">
        <v>-0.30789179999999999</v>
      </c>
      <c r="V6438">
        <v>-7.241119E-2</v>
      </c>
      <c r="W6438">
        <v>8.1592670000000006E-2</v>
      </c>
      <c r="X6438">
        <v>0.99403180000000002</v>
      </c>
      <c r="Y6438">
        <v>0.13319610000000001</v>
      </c>
      <c r="Z6438">
        <v>-9.8440139999999999E-3</v>
      </c>
      <c r="AA6438">
        <v>0.99104080000000006</v>
      </c>
      <c r="AB6438">
        <v>27</v>
      </c>
      <c r="AC6438">
        <v>0.716700000000003</v>
      </c>
      <c r="AD6438">
        <v>-8.3878999999999995E-2</v>
      </c>
      <c r="AE6438">
        <v>-9.0840000000000004E-2</v>
      </c>
      <c r="AF6438">
        <v>0.11414794147856</v>
      </c>
      <c r="AG6438">
        <v>-8.3878999999999995E-2</v>
      </c>
      <c r="AH6438">
        <v>0.70362573627707903</v>
      </c>
      <c r="AI6438">
        <v>96.711206845584499</v>
      </c>
      <c r="AJ6438">
        <v>80.785286375361295</v>
      </c>
      <c r="AK6438">
        <v>0.71774272266338901</v>
      </c>
      <c r="AL6438">
        <v>85.319881580739093</v>
      </c>
      <c r="AM6438">
        <v>94.166406120360094</v>
      </c>
      <c r="AN6438">
        <v>0.99999998182309202</v>
      </c>
    </row>
    <row r="6439" spans="1:40" x14ac:dyDescent="0.25">
      <c r="A6439" t="str">
        <f>"20190312151151008"</f>
        <v>20190312151151008</v>
      </c>
      <c r="B6439" t="str">
        <f>"1552374710997670"</f>
        <v>1552374710997670</v>
      </c>
      <c r="C6439" t="s">
        <v>40</v>
      </c>
      <c r="D6439">
        <v>5.4570420000000004</v>
      </c>
      <c r="E6439">
        <v>0.58149059999999997</v>
      </c>
      <c r="F6439" t="s">
        <v>41</v>
      </c>
      <c r="G6439">
        <v>-240.03389999999999</v>
      </c>
      <c r="H6439">
        <v>1.0160229999999999</v>
      </c>
      <c r="I6439">
        <v>-63.7577199999999</v>
      </c>
      <c r="J6439">
        <v>-240.86799999999999</v>
      </c>
      <c r="K6439">
        <v>1.1096889999999999</v>
      </c>
      <c r="L6439">
        <v>-63.657530000000001</v>
      </c>
      <c r="M6439">
        <v>0.9993495</v>
      </c>
      <c r="N6439">
        <v>0</v>
      </c>
      <c r="O6439">
        <v>3.4599489999999997E-2</v>
      </c>
      <c r="P6439">
        <v>0.99171260000000006</v>
      </c>
      <c r="Q6439">
        <v>7.1201899999999901E-2</v>
      </c>
      <c r="R6439">
        <v>0.1069421</v>
      </c>
      <c r="S6439">
        <v>3.0802610000000001</v>
      </c>
      <c r="T6439">
        <v>-0.30167310000000003</v>
      </c>
      <c r="U6439">
        <v>-0.30950929999999999</v>
      </c>
      <c r="V6439">
        <v>-7.2512510000000002E-2</v>
      </c>
      <c r="W6439">
        <v>8.1371669999999993E-2</v>
      </c>
      <c r="X6439">
        <v>0.9940426</v>
      </c>
      <c r="Y6439">
        <v>0.133549</v>
      </c>
      <c r="Z6439">
        <v>-9.8810489999999994E-3</v>
      </c>
      <c r="AA6439">
        <v>0.99099300000000001</v>
      </c>
      <c r="AB6439">
        <v>27</v>
      </c>
      <c r="AC6439">
        <v>0.83410000000000595</v>
      </c>
      <c r="AD6439">
        <v>-9.3665999999999999E-2</v>
      </c>
      <c r="AE6439">
        <v>-0.10018999999999</v>
      </c>
      <c r="AF6439">
        <v>0.12740713412691501</v>
      </c>
      <c r="AG6439">
        <v>-9.3665999999999999E-2</v>
      </c>
      <c r="AH6439">
        <v>0.81994113988295603</v>
      </c>
      <c r="AI6439">
        <v>96.440310092292407</v>
      </c>
      <c r="AJ6439">
        <v>81.167687345014997</v>
      </c>
      <c r="AK6439">
        <v>0.83505051958249599</v>
      </c>
      <c r="AL6439">
        <v>85.332586520522199</v>
      </c>
      <c r="AM6439">
        <v>94.172170143676993</v>
      </c>
      <c r="AN6439">
        <v>1.0000000516999199</v>
      </c>
    </row>
    <row r="6440" spans="1:40" x14ac:dyDescent="0.25">
      <c r="A6440" t="str">
        <f>"20190312151151021"</f>
        <v>20190312151151021</v>
      </c>
      <c r="B6440" t="str">
        <f>"1552374711017189"</f>
        <v>1552374711017189</v>
      </c>
      <c r="C6440" t="s">
        <v>40</v>
      </c>
      <c r="D6440">
        <v>5.2146239999999997</v>
      </c>
      <c r="E6440">
        <v>0.52933050000000004</v>
      </c>
      <c r="F6440" t="s">
        <v>41</v>
      </c>
      <c r="G6440">
        <v>-240.0292</v>
      </c>
      <c r="H6440">
        <v>1.0273000000000001</v>
      </c>
      <c r="I6440">
        <v>-63.741549999999997</v>
      </c>
      <c r="J6440">
        <v>-240.72309999999999</v>
      </c>
      <c r="K6440">
        <v>1.1096889999999999</v>
      </c>
      <c r="L6440">
        <v>-63.652709999999999</v>
      </c>
      <c r="M6440">
        <v>0.9993554</v>
      </c>
      <c r="N6440">
        <v>0</v>
      </c>
      <c r="O6440">
        <v>3.443003E-2</v>
      </c>
      <c r="P6440">
        <v>0.99168319999999999</v>
      </c>
      <c r="Q6440">
        <v>7.1466829999999995E-2</v>
      </c>
      <c r="R6440">
        <v>0.1070381</v>
      </c>
      <c r="S6440">
        <v>3.0800930000000002</v>
      </c>
      <c r="T6440">
        <v>-0.30254940000000002</v>
      </c>
      <c r="U6440">
        <v>-0.30865479999999901</v>
      </c>
      <c r="V6440">
        <v>-7.2778699999999905E-2</v>
      </c>
      <c r="W6440">
        <v>8.1640649999999995E-2</v>
      </c>
      <c r="X6440">
        <v>0.99400100000000002</v>
      </c>
      <c r="Y6440">
        <v>0.13311229999999999</v>
      </c>
      <c r="Z6440">
        <v>-9.8723660000000005E-3</v>
      </c>
      <c r="AA6440">
        <v>0.99105180000000004</v>
      </c>
      <c r="AB6440">
        <v>27</v>
      </c>
      <c r="AC6440">
        <v>0.69389999999998497</v>
      </c>
      <c r="AD6440">
        <v>-8.2388999999999796E-2</v>
      </c>
      <c r="AE6440">
        <v>-8.8839999999997504E-2</v>
      </c>
      <c r="AF6440">
        <v>0.111138044860353</v>
      </c>
      <c r="AG6440">
        <v>-8.2388999999999796E-2</v>
      </c>
      <c r="AH6440">
        <v>0.68098422345849596</v>
      </c>
      <c r="AI6440">
        <v>96.809189658855502</v>
      </c>
      <c r="AJ6440">
        <v>80.730926535446798</v>
      </c>
      <c r="AK6440">
        <v>0.69489504598590501</v>
      </c>
      <c r="AL6440">
        <v>85.317123231487699</v>
      </c>
      <c r="AM6440">
        <v>94.187606227542702</v>
      </c>
      <c r="AN6440">
        <v>0.99999996145355496</v>
      </c>
    </row>
    <row r="6441" spans="1:40" x14ac:dyDescent="0.25">
      <c r="A6441" t="str">
        <f>"20190312151151031"</f>
        <v>20190312151151031</v>
      </c>
      <c r="B6441" t="str">
        <f>"1552374711027926"</f>
        <v>1552374711027926</v>
      </c>
      <c r="C6441" t="s">
        <v>40</v>
      </c>
      <c r="D6441">
        <v>5.2790869999999996</v>
      </c>
      <c r="E6441">
        <v>0.51909729999999998</v>
      </c>
      <c r="F6441" t="s">
        <v>97</v>
      </c>
      <c r="G6441">
        <v>-216.17089999999999</v>
      </c>
      <c r="H6441" s="1">
        <v>-2.2700380000000001E-6</v>
      </c>
      <c r="I6441">
        <v>-62.840499999999999</v>
      </c>
      <c r="J6441">
        <v>-240.57820000000001</v>
      </c>
      <c r="K6441">
        <v>1.109686</v>
      </c>
      <c r="L6441">
        <v>-63.647889999999997</v>
      </c>
      <c r="M6441">
        <v>0.99936100000000005</v>
      </c>
      <c r="N6441">
        <v>0</v>
      </c>
      <c r="O6441">
        <v>3.426187E-2</v>
      </c>
      <c r="P6441">
        <v>0.99164140000000001</v>
      </c>
      <c r="Q6441">
        <v>7.141016E-2</v>
      </c>
      <c r="R6441">
        <v>0.10746219999999999</v>
      </c>
      <c r="S6441">
        <v>3.024216</v>
      </c>
      <c r="T6441">
        <v>-0.1366861</v>
      </c>
      <c r="U6441">
        <v>0.1000366</v>
      </c>
      <c r="V6441">
        <v>-7.3371019999999995E-2</v>
      </c>
      <c r="W6441">
        <v>8.1587419999999994E-2</v>
      </c>
      <c r="X6441">
        <v>0.99396189999999995</v>
      </c>
      <c r="Y6441">
        <v>1.167773E-3</v>
      </c>
      <c r="Z6441">
        <v>-1.573332E-3</v>
      </c>
      <c r="AA6441">
        <v>0.9999981</v>
      </c>
      <c r="AB6441">
        <v>27</v>
      </c>
      <c r="AC6441">
        <v>24.407299999999999</v>
      </c>
      <c r="AD6441">
        <v>-1.109688270038</v>
      </c>
      <c r="AE6441">
        <v>0.80739000000000505</v>
      </c>
      <c r="AF6441">
        <v>2.9306671079126399E-2</v>
      </c>
      <c r="AG6441">
        <v>-1.109688270038</v>
      </c>
      <c r="AH6441">
        <v>24.370311938148902</v>
      </c>
      <c r="AI6441">
        <v>92.607127929946401</v>
      </c>
      <c r="AJ6441">
        <v>89.9310986351243</v>
      </c>
      <c r="AK6441">
        <v>24.395580970747801</v>
      </c>
      <c r="AL6441">
        <v>85.320183644702794</v>
      </c>
      <c r="AM6441">
        <v>94.221730414784005</v>
      </c>
      <c r="AN6441">
        <v>1.00000003616485</v>
      </c>
    </row>
    <row r="6442" spans="1:40" x14ac:dyDescent="0.25">
      <c r="A6442" t="str">
        <f>"20190312151151043"</f>
        <v>20190312151151043</v>
      </c>
      <c r="B6442" t="str">
        <f>"1552374711037685"</f>
        <v>1552374711037685</v>
      </c>
      <c r="C6442" t="s">
        <v>40</v>
      </c>
      <c r="D6442">
        <v>5.2217449999999896</v>
      </c>
      <c r="E6442">
        <v>0.51171449999999996</v>
      </c>
      <c r="F6442" t="s">
        <v>97</v>
      </c>
      <c r="G6442">
        <v>-219.58969999999999</v>
      </c>
      <c r="H6442" s="1">
        <v>-3.4760109999999999E-6</v>
      </c>
      <c r="I6442">
        <v>-62.373130000000003</v>
      </c>
      <c r="J6442">
        <v>-240.44470000000001</v>
      </c>
      <c r="K6442">
        <v>1.109686</v>
      </c>
      <c r="L6442">
        <v>-63.64349</v>
      </c>
      <c r="M6442">
        <v>0.99936619999999998</v>
      </c>
      <c r="N6442">
        <v>0</v>
      </c>
      <c r="O6442">
        <v>3.4107319999999997E-2</v>
      </c>
      <c r="P6442">
        <v>0.99159759999999997</v>
      </c>
      <c r="Q6442">
        <v>7.1410589999999996E-2</v>
      </c>
      <c r="R6442">
        <v>0.1078663</v>
      </c>
      <c r="S6442">
        <v>3.0169220000000001</v>
      </c>
      <c r="T6442">
        <v>-0.1595085</v>
      </c>
      <c r="U6442">
        <v>0.18322749999999999</v>
      </c>
      <c r="V6442">
        <v>-7.3930709999999997E-2</v>
      </c>
      <c r="W6442">
        <v>8.1591699999999906E-2</v>
      </c>
      <c r="X6442">
        <v>0.99392000000000003</v>
      </c>
      <c r="Y6442">
        <v>-2.655045E-2</v>
      </c>
      <c r="Z6442">
        <v>-1.099006E-3</v>
      </c>
      <c r="AA6442">
        <v>0.99964679999999995</v>
      </c>
      <c r="AB6442">
        <v>27</v>
      </c>
      <c r="AC6442">
        <v>20.855</v>
      </c>
      <c r="AD6442">
        <v>-1.1096894760110001</v>
      </c>
      <c r="AE6442">
        <v>1.2703599999999899</v>
      </c>
      <c r="AF6442">
        <v>-0.55670532651738402</v>
      </c>
      <c r="AG6442">
        <v>-1.1096894760110001</v>
      </c>
      <c r="AH6442">
        <v>20.8274453287029</v>
      </c>
      <c r="AI6442">
        <v>93.048757286506302</v>
      </c>
      <c r="AJ6442">
        <v>91.531117812769807</v>
      </c>
      <c r="AK6442">
        <v>20.864414932459699</v>
      </c>
      <c r="AL6442">
        <v>85.319937245407502</v>
      </c>
      <c r="AM6442">
        <v>94.253995588303198</v>
      </c>
      <c r="AN6442">
        <v>0.99999996089499599</v>
      </c>
    </row>
    <row r="6443" spans="1:40" x14ac:dyDescent="0.25">
      <c r="A6443" t="str">
        <f>"20190312151151055"</f>
        <v>20190312151151055</v>
      </c>
      <c r="B6443" t="str">
        <f>"1552374711047447"</f>
        <v>1552374711047447</v>
      </c>
      <c r="C6443" t="s">
        <v>40</v>
      </c>
      <c r="D6443">
        <v>5.3387370000000001</v>
      </c>
      <c r="E6443">
        <v>0.50569889999999995</v>
      </c>
      <c r="F6443" t="s">
        <v>96</v>
      </c>
      <c r="G6443">
        <v>-223.5574</v>
      </c>
      <c r="H6443" s="1">
        <v>-1.0645200000000001E-6</v>
      </c>
      <c r="I6443">
        <v>-62.274149999999999</v>
      </c>
      <c r="J6443">
        <v>-240.29329999999999</v>
      </c>
      <c r="K6443">
        <v>1.109686</v>
      </c>
      <c r="L6443">
        <v>-63.638489999999997</v>
      </c>
      <c r="M6443">
        <v>0.99937220000000004</v>
      </c>
      <c r="N6443">
        <v>0</v>
      </c>
      <c r="O6443">
        <v>3.3932190000000001E-2</v>
      </c>
      <c r="P6443">
        <v>0.99154600000000004</v>
      </c>
      <c r="Q6443">
        <v>7.1513339999999995E-2</v>
      </c>
      <c r="R6443">
        <v>0.1082711</v>
      </c>
      <c r="S6443">
        <v>3.0130919999999999</v>
      </c>
      <c r="T6443">
        <v>-0.197994</v>
      </c>
      <c r="U6443">
        <v>0.2443237</v>
      </c>
      <c r="V6443">
        <v>-7.4511569999999999E-2</v>
      </c>
      <c r="W6443">
        <v>8.1697690000000003E-2</v>
      </c>
      <c r="X6443">
        <v>0.99386790000000003</v>
      </c>
      <c r="Y6443">
        <v>-4.6924790000000001E-2</v>
      </c>
      <c r="Z6443">
        <v>-6.8515239999999999E-4</v>
      </c>
      <c r="AA6443">
        <v>0.99889819999999996</v>
      </c>
      <c r="AB6443">
        <v>27</v>
      </c>
      <c r="AC6443">
        <v>16.735899999999901</v>
      </c>
      <c r="AD6443">
        <v>-1.1096870645200001</v>
      </c>
      <c r="AE6443">
        <v>1.3643400000000001</v>
      </c>
      <c r="AF6443">
        <v>-0.79217923889200204</v>
      </c>
      <c r="AG6443">
        <v>-1.1096870645200001</v>
      </c>
      <c r="AH6443">
        <v>16.699624383010399</v>
      </c>
      <c r="AI6443">
        <v>93.797447622233904</v>
      </c>
      <c r="AJ6443">
        <v>92.7159010566305</v>
      </c>
      <c r="AK6443">
        <v>16.755190475232698</v>
      </c>
      <c r="AL6443">
        <v>85.313844047224705</v>
      </c>
      <c r="AM6443">
        <v>94.287518220887307</v>
      </c>
      <c r="AN6443">
        <v>0.99999994463280395</v>
      </c>
    </row>
    <row r="6444" spans="1:40" x14ac:dyDescent="0.25">
      <c r="A6444" t="str">
        <f>"20190312151151065"</f>
        <v>20190312151151065</v>
      </c>
      <c r="B6444" t="str">
        <f>"1552374711057205"</f>
        <v>1552374711057205</v>
      </c>
      <c r="C6444" t="s">
        <v>40</v>
      </c>
      <c r="D6444">
        <v>5.284605</v>
      </c>
      <c r="E6444">
        <v>0.50173909999999999</v>
      </c>
      <c r="F6444" t="s">
        <v>96</v>
      </c>
      <c r="G6444">
        <v>-224.93369999999999</v>
      </c>
      <c r="H6444" s="1">
        <v>-1.6246869999999999E-6</v>
      </c>
      <c r="I6444">
        <v>-62.138100000000001</v>
      </c>
      <c r="J6444">
        <v>-240.16720000000001</v>
      </c>
      <c r="K6444">
        <v>1.109685</v>
      </c>
      <c r="L6444">
        <v>-63.634369999999997</v>
      </c>
      <c r="M6444">
        <v>0.99937710000000002</v>
      </c>
      <c r="N6444">
        <v>0</v>
      </c>
      <c r="O6444">
        <v>3.3786330000000003E-2</v>
      </c>
      <c r="P6444">
        <v>0.99149050000000005</v>
      </c>
      <c r="Q6444">
        <v>7.1642769999999995E-2</v>
      </c>
      <c r="R6444">
        <v>0.1086922</v>
      </c>
      <c r="S6444">
        <v>3.0091549999999998</v>
      </c>
      <c r="T6444">
        <v>-0.21740219999999999</v>
      </c>
      <c r="U6444">
        <v>0.29394530000000002</v>
      </c>
      <c r="V6444">
        <v>-7.507896E-2</v>
      </c>
      <c r="W6444">
        <v>8.1829799999999994E-2</v>
      </c>
      <c r="X6444">
        <v>0.99381439999999999</v>
      </c>
      <c r="Y6444">
        <v>-6.3460829999999996E-2</v>
      </c>
      <c r="Z6444">
        <v>-1.467688E-4</v>
      </c>
      <c r="AA6444">
        <v>0.99798430000000005</v>
      </c>
      <c r="AB6444">
        <v>27</v>
      </c>
      <c r="AC6444">
        <v>15.233499999999999</v>
      </c>
      <c r="AD6444">
        <v>-1.1096866246870001</v>
      </c>
      <c r="AE6444">
        <v>1.49626999999999</v>
      </c>
      <c r="AF6444">
        <v>-0.97557750880763305</v>
      </c>
      <c r="AG6444">
        <v>-1.1096866246870001</v>
      </c>
      <c r="AH6444">
        <v>15.195494938459801</v>
      </c>
      <c r="AI6444">
        <v>94.168193044103006</v>
      </c>
      <c r="AJ6444">
        <v>93.673448228469695</v>
      </c>
      <c r="AK6444">
        <v>15.267161566756799</v>
      </c>
      <c r="AL6444">
        <v>85.306249598521106</v>
      </c>
      <c r="AM6444">
        <v>94.320275321226404</v>
      </c>
      <c r="AN6444">
        <v>1.00000001402504</v>
      </c>
    </row>
    <row r="6445" spans="1:40" x14ac:dyDescent="0.25">
      <c r="A6445" t="str">
        <f>"20190312151151075"</f>
        <v>20190312151151075</v>
      </c>
      <c r="B6445" t="str">
        <f>"1552374711067941"</f>
        <v>1552374711067941</v>
      </c>
      <c r="C6445" t="s">
        <v>40</v>
      </c>
      <c r="D6445">
        <v>5.2704559999999896</v>
      </c>
      <c r="E6445">
        <v>0.49896990000000002</v>
      </c>
      <c r="F6445" t="s">
        <v>96</v>
      </c>
      <c r="G6445">
        <v>-225.87209999999999</v>
      </c>
      <c r="H6445" s="1">
        <v>-2.013918E-6</v>
      </c>
      <c r="I6445">
        <v>-62.078099999999999</v>
      </c>
      <c r="J6445">
        <v>-240.04730000000001</v>
      </c>
      <c r="K6445">
        <v>1.109685</v>
      </c>
      <c r="L6445">
        <v>-63.630429999999997</v>
      </c>
      <c r="M6445">
        <v>0.99938170000000004</v>
      </c>
      <c r="N6445">
        <v>0</v>
      </c>
      <c r="O6445">
        <v>3.3647620000000003E-2</v>
      </c>
      <c r="P6445">
        <v>0.99143479999999995</v>
      </c>
      <c r="Q6445">
        <v>7.164645E-2</v>
      </c>
      <c r="R6445">
        <v>0.1091968</v>
      </c>
      <c r="S6445">
        <v>3.006729</v>
      </c>
      <c r="T6445">
        <v>-0.23340230000000001</v>
      </c>
      <c r="U6445">
        <v>0.3273315</v>
      </c>
      <c r="V6445">
        <v>-7.5723399999999996E-2</v>
      </c>
      <c r="W6445">
        <v>8.1836939999999997E-2</v>
      </c>
      <c r="X6445">
        <v>0.99376489999999995</v>
      </c>
      <c r="Y6445">
        <v>-7.4592210000000006E-2</v>
      </c>
      <c r="Z6445">
        <v>2.8338309999999999E-4</v>
      </c>
      <c r="AA6445">
        <v>0.99721409999999999</v>
      </c>
      <c r="AB6445">
        <v>27</v>
      </c>
      <c r="AC6445">
        <v>14.1752</v>
      </c>
      <c r="AD6445">
        <v>-1.109687013918</v>
      </c>
      <c r="AE6445">
        <v>1.55233</v>
      </c>
      <c r="AF6445">
        <v>-1.0679968715638599</v>
      </c>
      <c r="AG6445">
        <v>-1.109687013918</v>
      </c>
      <c r="AH6445">
        <v>14.133817157899101</v>
      </c>
      <c r="AI6445">
        <v>94.476538973289806</v>
      </c>
      <c r="AJ6445">
        <v>94.321242151468496</v>
      </c>
      <c r="AK6445">
        <v>14.2174825492931</v>
      </c>
      <c r="AL6445">
        <v>85.305839051104698</v>
      </c>
      <c r="AM6445">
        <v>94.357432384599804</v>
      </c>
      <c r="AN6445">
        <v>0.99999999726406597</v>
      </c>
    </row>
    <row r="6446" spans="1:40" x14ac:dyDescent="0.25">
      <c r="A6446" t="str">
        <f>"20190312151151086"</f>
        <v>20190312151151086</v>
      </c>
      <c r="B6446" t="str">
        <f>"1552374711077701"</f>
        <v>1552374711077701</v>
      </c>
      <c r="C6446" t="s">
        <v>40</v>
      </c>
      <c r="D6446">
        <v>5.2552500000000002</v>
      </c>
      <c r="E6446">
        <v>0.49693349999999997</v>
      </c>
      <c r="F6446" t="s">
        <v>96</v>
      </c>
      <c r="G6446">
        <v>-226.5197</v>
      </c>
      <c r="H6446" s="1">
        <v>-2.2851680000000001E-6</v>
      </c>
      <c r="I6446">
        <v>-62.048499999999997</v>
      </c>
      <c r="J6446">
        <v>-239.9127</v>
      </c>
      <c r="K6446">
        <v>1.1096870000000001</v>
      </c>
      <c r="L6446">
        <v>-63.626069999999999</v>
      </c>
      <c r="M6446">
        <v>0.99938700000000003</v>
      </c>
      <c r="N6446">
        <v>0</v>
      </c>
      <c r="O6446">
        <v>3.3491510000000002E-2</v>
      </c>
      <c r="P6446">
        <v>0.9913883</v>
      </c>
      <c r="Q6446">
        <v>7.1574609999999997E-2</v>
      </c>
      <c r="R6446">
        <v>0.1096647</v>
      </c>
      <c r="S6446">
        <v>3.00502</v>
      </c>
      <c r="T6446">
        <v>-0.24650559999999999</v>
      </c>
      <c r="U6446">
        <v>0.3514099</v>
      </c>
      <c r="V6446">
        <v>-7.6348360000000004E-2</v>
      </c>
      <c r="W6446">
        <v>8.1768019999999997E-2</v>
      </c>
      <c r="X6446">
        <v>0.99372269999999896</v>
      </c>
      <c r="Y6446">
        <v>-8.2654950000000005E-2</v>
      </c>
      <c r="Z6446">
        <v>6.4112040000000004E-4</v>
      </c>
      <c r="AA6446">
        <v>0.99657799999999996</v>
      </c>
      <c r="AB6446">
        <v>27</v>
      </c>
      <c r="AC6446">
        <v>13.392999999999899</v>
      </c>
      <c r="AD6446">
        <v>-1.109689285168</v>
      </c>
      <c r="AE6446">
        <v>1.5775699999999999</v>
      </c>
      <c r="AF6446">
        <v>-1.1205225547339199</v>
      </c>
      <c r="AG6446">
        <v>-1.109689285168</v>
      </c>
      <c r="AH6446">
        <v>13.3479427240585</v>
      </c>
      <c r="AI6446">
        <v>94.735809119952407</v>
      </c>
      <c r="AJ6446">
        <v>94.798569901044502</v>
      </c>
      <c r="AK6446">
        <v>13.4407795930902</v>
      </c>
      <c r="AL6446">
        <v>85.309800899122294</v>
      </c>
      <c r="AM6446">
        <v>94.393440741140495</v>
      </c>
      <c r="AN6446">
        <v>0.99999994283234805</v>
      </c>
    </row>
    <row r="6447" spans="1:40" x14ac:dyDescent="0.25">
      <c r="A6447" t="str">
        <f>"20190312151151098"</f>
        <v>20190312151151098</v>
      </c>
      <c r="B6447" t="str">
        <f>"1552374711087462"</f>
        <v>1552374711087462</v>
      </c>
      <c r="C6447" t="s">
        <v>40</v>
      </c>
      <c r="D6447">
        <v>5.2501540000000002</v>
      </c>
      <c r="E6447">
        <v>0.49548700000000001</v>
      </c>
      <c r="F6447" t="s">
        <v>96</v>
      </c>
      <c r="G6447">
        <v>-226.8733</v>
      </c>
      <c r="H6447" s="1">
        <v>-2.4311190000000002E-6</v>
      </c>
      <c r="I6447">
        <v>-62.022649999999999</v>
      </c>
      <c r="J6447">
        <v>-239.77500000000001</v>
      </c>
      <c r="K6447">
        <v>1.109686</v>
      </c>
      <c r="L6447">
        <v>-63.621609999999997</v>
      </c>
      <c r="M6447">
        <v>0.99939230000000001</v>
      </c>
      <c r="N6447">
        <v>0</v>
      </c>
      <c r="O6447">
        <v>3.3331699999999902E-2</v>
      </c>
      <c r="P6447">
        <v>0.99133450000000001</v>
      </c>
      <c r="Q6447">
        <v>7.1553800000000001E-2</v>
      </c>
      <c r="R6447">
        <v>0.1101637</v>
      </c>
      <c r="S6447">
        <v>3.0036770000000002</v>
      </c>
      <c r="T6447">
        <v>-0.25562230000000002</v>
      </c>
      <c r="U6447">
        <v>0.36935420000000002</v>
      </c>
      <c r="V6447">
        <v>-7.7007099999999995E-2</v>
      </c>
      <c r="W6447">
        <v>8.1750439999999994E-2</v>
      </c>
      <c r="X6447">
        <v>0.99367340000000004</v>
      </c>
      <c r="Y6447">
        <v>-8.8699029999999998E-2</v>
      </c>
      <c r="Z6447">
        <v>9.3414750000000003E-4</v>
      </c>
      <c r="AA6447">
        <v>0.996058</v>
      </c>
      <c r="AB6447">
        <v>27</v>
      </c>
      <c r="AC6447">
        <v>12.9017</v>
      </c>
      <c r="AD6447">
        <v>-1.1096884311189901</v>
      </c>
      <c r="AE6447">
        <v>1.5989599999999899</v>
      </c>
      <c r="AF6447">
        <v>-1.1595648993019501</v>
      </c>
      <c r="AG6447">
        <v>-1.1096884311189901</v>
      </c>
      <c r="AH6447">
        <v>12.8541738490621</v>
      </c>
      <c r="AI6447">
        <v>94.914199977366806</v>
      </c>
      <c r="AJ6447">
        <v>95.154655010154201</v>
      </c>
      <c r="AK6447">
        <v>12.953987205172201</v>
      </c>
      <c r="AL6447">
        <v>85.310811937500304</v>
      </c>
      <c r="AM6447">
        <v>94.431416353114898</v>
      </c>
      <c r="AN6447">
        <v>1.0000000268790801</v>
      </c>
    </row>
    <row r="6448" spans="1:40" x14ac:dyDescent="0.25">
      <c r="A6448" t="str">
        <f>"20190312151151108"</f>
        <v>20190312151151108</v>
      </c>
      <c r="B6448" t="str">
        <f>"1552374711097221"</f>
        <v>1552374711097221</v>
      </c>
      <c r="C6448" t="s">
        <v>40</v>
      </c>
      <c r="D6448">
        <v>5.3790550000000001</v>
      </c>
      <c r="E6448">
        <v>0.494585</v>
      </c>
      <c r="F6448" t="s">
        <v>96</v>
      </c>
      <c r="G6448">
        <v>-227.13910000000001</v>
      </c>
      <c r="H6448" s="1">
        <v>-2.542676E-6</v>
      </c>
      <c r="I6448">
        <v>-62.011450000000004</v>
      </c>
      <c r="J6448">
        <v>-239.63980000000001</v>
      </c>
      <c r="K6448">
        <v>1.109688</v>
      </c>
      <c r="L6448">
        <v>-63.617280000000001</v>
      </c>
      <c r="M6448">
        <v>0.99939739999999999</v>
      </c>
      <c r="N6448">
        <v>0</v>
      </c>
      <c r="O6448">
        <v>3.3174370000000002E-2</v>
      </c>
      <c r="P6448">
        <v>0.99127860000000001</v>
      </c>
      <c r="Q6448">
        <v>7.1538480000000002E-2</v>
      </c>
      <c r="R6448">
        <v>0.11067630000000001</v>
      </c>
      <c r="S6448">
        <v>3.0027159999999999</v>
      </c>
      <c r="T6448">
        <v>-0.2637004</v>
      </c>
      <c r="U6448">
        <v>0.38262940000000001</v>
      </c>
      <c r="V6448">
        <v>-7.7678559999999994E-2</v>
      </c>
      <c r="W6448">
        <v>8.1740450000000006E-2</v>
      </c>
      <c r="X6448">
        <v>0.99362189999999995</v>
      </c>
      <c r="Y6448">
        <v>-9.3198929999999999E-2</v>
      </c>
      <c r="Z6448">
        <v>1.1737920000000001E-3</v>
      </c>
      <c r="AA6448">
        <v>0.99564680000000005</v>
      </c>
      <c r="AB6448">
        <v>27</v>
      </c>
      <c r="AC6448">
        <v>12.500699999999901</v>
      </c>
      <c r="AD6448">
        <v>-1.109690542676</v>
      </c>
      <c r="AE6448">
        <v>1.6058300000000001</v>
      </c>
      <c r="AF6448">
        <v>-1.1810656510502699</v>
      </c>
      <c r="AG6448">
        <v>-1.109690542676</v>
      </c>
      <c r="AH6448">
        <v>12.4505740286845</v>
      </c>
      <c r="AI6448">
        <v>95.0705379410755</v>
      </c>
      <c r="AJ6448">
        <v>95.418881879876295</v>
      </c>
      <c r="AK6448">
        <v>12.5556012526819</v>
      </c>
      <c r="AL6448">
        <v>85.311385977130399</v>
      </c>
      <c r="AM6448">
        <v>94.470130713454395</v>
      </c>
      <c r="AN6448">
        <v>0.99999997000474194</v>
      </c>
    </row>
    <row r="6449" spans="1:40" x14ac:dyDescent="0.25">
      <c r="A6449" t="str">
        <f>"20190312151151119"</f>
        <v>20190312151151119</v>
      </c>
      <c r="B6449" t="str">
        <f>"1552374711117717"</f>
        <v>1552374711117717</v>
      </c>
      <c r="C6449" t="s">
        <v>40</v>
      </c>
      <c r="D6449">
        <v>5.1968680000000003</v>
      </c>
      <c r="E6449">
        <v>0.49237069999999999</v>
      </c>
      <c r="F6449" t="s">
        <v>96</v>
      </c>
      <c r="G6449">
        <v>-227.60390000000001</v>
      </c>
      <c r="H6449" s="1">
        <v>-2.7497070000000001E-6</v>
      </c>
      <c r="I6449">
        <v>-62.045960000000001</v>
      </c>
      <c r="J6449">
        <v>-239.50710000000001</v>
      </c>
      <c r="K6449">
        <v>1.1096889999999999</v>
      </c>
      <c r="L6449">
        <v>-63.613039999999998</v>
      </c>
      <c r="M6449">
        <v>0.99940249999999997</v>
      </c>
      <c r="N6449">
        <v>0</v>
      </c>
      <c r="O6449">
        <v>3.3020019999999997E-2</v>
      </c>
      <c r="P6449">
        <v>0.99122949999999999</v>
      </c>
      <c r="Q6449">
        <v>7.1489709999999998E-2</v>
      </c>
      <c r="R6449">
        <v>0.11114599999999999</v>
      </c>
      <c r="S6449">
        <v>3.0026090000000001</v>
      </c>
      <c r="T6449">
        <v>-0.27683479999999999</v>
      </c>
      <c r="U6449">
        <v>0.39199830000000002</v>
      </c>
      <c r="V6449">
        <v>-7.8303280000000003E-2</v>
      </c>
      <c r="W6449">
        <v>8.1697220000000001E-2</v>
      </c>
      <c r="X6449">
        <v>0.99357649999999997</v>
      </c>
      <c r="Y6449">
        <v>-9.6375569999999994E-2</v>
      </c>
      <c r="Z6449">
        <v>1.3914929999999999E-3</v>
      </c>
      <c r="AA6449">
        <v>0.99534400000000001</v>
      </c>
      <c r="AB6449">
        <v>27</v>
      </c>
      <c r="AC6449">
        <v>11.903199999999901</v>
      </c>
      <c r="AD6449">
        <v>-1.109691749707</v>
      </c>
      <c r="AE6449">
        <v>1.56708</v>
      </c>
      <c r="AF6449">
        <v>-1.16322345176501</v>
      </c>
      <c r="AG6449">
        <v>-1.109691749707</v>
      </c>
      <c r="AH6449">
        <v>11.8472441589436</v>
      </c>
      <c r="AI6449">
        <v>95.325630853671299</v>
      </c>
      <c r="AJ6449">
        <v>95.607621070322594</v>
      </c>
      <c r="AK6449">
        <v>11.9558227964338</v>
      </c>
      <c r="AL6449">
        <v>85.313871563232198</v>
      </c>
      <c r="AM6449">
        <v>94.506138758155402</v>
      </c>
      <c r="AN6449">
        <v>1.0000000503833599</v>
      </c>
    </row>
    <row r="6450" spans="1:40" x14ac:dyDescent="0.25">
      <c r="A6450" t="str">
        <f>"20190312151151132"</f>
        <v>20190312151151132</v>
      </c>
      <c r="B6450" t="str">
        <f>"1552374711127478"</f>
        <v>1552374711127478</v>
      </c>
      <c r="C6450" t="s">
        <v>40</v>
      </c>
      <c r="D6450">
        <v>5.37676</v>
      </c>
      <c r="E6450">
        <v>0.49211579999999999</v>
      </c>
      <c r="F6450" t="s">
        <v>96</v>
      </c>
      <c r="G6450">
        <v>-227.98140000000001</v>
      </c>
      <c r="H6450" s="1">
        <v>-2.9088099999999999E-6</v>
      </c>
      <c r="I6450">
        <v>-62.033119999999997</v>
      </c>
      <c r="J6450">
        <v>-239.3562</v>
      </c>
      <c r="K6450">
        <v>1.1096969999999999</v>
      </c>
      <c r="L6450">
        <v>-63.608249999999998</v>
      </c>
      <c r="M6450">
        <v>0.99940830000000003</v>
      </c>
      <c r="N6450">
        <v>0</v>
      </c>
      <c r="O6450">
        <v>3.2843909999999997E-2</v>
      </c>
      <c r="P6450">
        <v>0.99114760000000002</v>
      </c>
      <c r="Q6450">
        <v>7.1883630000000004E-2</v>
      </c>
      <c r="R6450">
        <v>0.11162039999999999</v>
      </c>
      <c r="S6450">
        <v>3.0012660000000002</v>
      </c>
      <c r="T6450">
        <v>-0.28896080000000002</v>
      </c>
      <c r="U6450">
        <v>0.41140749999999998</v>
      </c>
      <c r="V6450">
        <v>-7.8954930000000006E-2</v>
      </c>
      <c r="W6450">
        <v>8.20988E-2</v>
      </c>
      <c r="X6450">
        <v>0.99349180000000004</v>
      </c>
      <c r="Y6450">
        <v>-0.1028758</v>
      </c>
      <c r="Z6450">
        <v>1.779852E-3</v>
      </c>
      <c r="AA6450">
        <v>0.99469260000000004</v>
      </c>
      <c r="AB6450">
        <v>27</v>
      </c>
      <c r="AC6450">
        <v>11.374799999999899</v>
      </c>
      <c r="AD6450">
        <v>-1.1096999088099999</v>
      </c>
      <c r="AE6450">
        <v>1.5751299999999999</v>
      </c>
      <c r="AF6450">
        <v>-1.1895590876986999</v>
      </c>
      <c r="AG6450">
        <v>-1.1096999088099999</v>
      </c>
      <c r="AH6450">
        <v>11.3147366472855</v>
      </c>
      <c r="AI6450">
        <v>95.570897334353305</v>
      </c>
      <c r="AJ6450">
        <v>96.0016645425588</v>
      </c>
      <c r="AK6450">
        <v>11.431087004662499</v>
      </c>
      <c r="AL6450">
        <v>85.290785052957403</v>
      </c>
      <c r="AM6450">
        <v>94.543868789506604</v>
      </c>
      <c r="AN6450">
        <v>1.0000000252999901</v>
      </c>
    </row>
    <row r="6451" spans="1:40" x14ac:dyDescent="0.25">
      <c r="A6451" t="str">
        <f>"20190312151151143"</f>
        <v>20190312151151143</v>
      </c>
      <c r="B6451" t="str">
        <f>"1552374711137237"</f>
        <v>1552374711137237</v>
      </c>
      <c r="C6451" t="s">
        <v>40</v>
      </c>
      <c r="D6451">
        <v>5.2746829999999996</v>
      </c>
      <c r="E6451">
        <v>0.49164089999999999</v>
      </c>
      <c r="F6451" t="s">
        <v>96</v>
      </c>
      <c r="G6451">
        <v>-227.85900000000001</v>
      </c>
      <c r="H6451" s="1">
        <v>-2.8530879999999999E-6</v>
      </c>
      <c r="I6451">
        <v>-62.018669999999901</v>
      </c>
      <c r="J6451">
        <v>-239.2319</v>
      </c>
      <c r="K6451">
        <v>1.1096980000000001</v>
      </c>
      <c r="L6451">
        <v>-63.604280000000003</v>
      </c>
      <c r="M6451">
        <v>0.999413</v>
      </c>
      <c r="N6451">
        <v>0</v>
      </c>
      <c r="O6451">
        <v>3.26988E-2</v>
      </c>
      <c r="P6451">
        <v>0.99110790000000004</v>
      </c>
      <c r="Q6451">
        <v>7.1869920000000004E-2</v>
      </c>
      <c r="R6451">
        <v>0.1119829</v>
      </c>
      <c r="S6451">
        <v>3.0010530000000002</v>
      </c>
      <c r="T6451">
        <v>-0.28965740000000001</v>
      </c>
      <c r="U6451">
        <v>0.41491699999999998</v>
      </c>
      <c r="V6451">
        <v>-7.9462809999999995E-2</v>
      </c>
      <c r="W6451">
        <v>8.2091670000000005E-2</v>
      </c>
      <c r="X6451">
        <v>0.99345190000000005</v>
      </c>
      <c r="Y6451">
        <v>-0.1041632</v>
      </c>
      <c r="Z6451">
        <v>1.8597030000000001E-3</v>
      </c>
      <c r="AA6451">
        <v>0.99455850000000001</v>
      </c>
      <c r="AB6451">
        <v>27</v>
      </c>
      <c r="AC6451">
        <v>11.3728999999999</v>
      </c>
      <c r="AD6451">
        <v>-1.1097008530879999</v>
      </c>
      <c r="AE6451">
        <v>1.58561</v>
      </c>
      <c r="AF6451">
        <v>-1.20164007479948</v>
      </c>
      <c r="AG6451">
        <v>-1.1097008530879999</v>
      </c>
      <c r="AH6451">
        <v>11.313013735388401</v>
      </c>
      <c r="AI6451">
        <v>95.571117985610698</v>
      </c>
      <c r="AJ6451">
        <v>96.063081305285806</v>
      </c>
      <c r="AK6451">
        <v>11.430645416151901</v>
      </c>
      <c r="AL6451">
        <v>85.291194973112695</v>
      </c>
      <c r="AM6451">
        <v>94.573156673517104</v>
      </c>
      <c r="AN6451">
        <v>1.0000000290350399</v>
      </c>
    </row>
    <row r="6452" spans="1:40" x14ac:dyDescent="0.25">
      <c r="A6452" t="str">
        <f>"20190312151151153"</f>
        <v>20190312151151153</v>
      </c>
      <c r="B6452" t="str">
        <f>"1552374711147974"</f>
        <v>1552374711147974</v>
      </c>
      <c r="C6452" t="s">
        <v>40</v>
      </c>
      <c r="D6452">
        <v>5.4372600000000002</v>
      </c>
      <c r="E6452">
        <v>0.49151640000000002</v>
      </c>
      <c r="F6452" t="s">
        <v>96</v>
      </c>
      <c r="G6452">
        <v>-227.8664</v>
      </c>
      <c r="H6452" s="1">
        <v>-2.8551809999999999E-6</v>
      </c>
      <c r="I6452">
        <v>-62.01379</v>
      </c>
      <c r="J6452">
        <v>-239.09</v>
      </c>
      <c r="K6452">
        <v>1.109702</v>
      </c>
      <c r="L6452">
        <v>-63.599820000000001</v>
      </c>
      <c r="M6452">
        <v>0.99941829999999998</v>
      </c>
      <c r="N6452">
        <v>0</v>
      </c>
      <c r="O6452">
        <v>3.2532930000000002E-2</v>
      </c>
      <c r="P6452">
        <v>0.99105049999999995</v>
      </c>
      <c r="Q6452">
        <v>7.179953E-2</v>
      </c>
      <c r="R6452">
        <v>0.1125345</v>
      </c>
      <c r="S6452">
        <v>3.0007169999999999</v>
      </c>
      <c r="T6452">
        <v>-0.29298289999999999</v>
      </c>
      <c r="U6452">
        <v>0.41992190000000001</v>
      </c>
      <c r="V6452">
        <v>-8.0181370000000002E-2</v>
      </c>
      <c r="W6452">
        <v>8.202893E-2</v>
      </c>
      <c r="X6452">
        <v>0.99339929999999999</v>
      </c>
      <c r="Y6452">
        <v>-0.10595400000000001</v>
      </c>
      <c r="Z6452">
        <v>1.9838189999999999E-3</v>
      </c>
      <c r="AA6452">
        <v>0.99436899999999995</v>
      </c>
      <c r="AB6452">
        <v>27</v>
      </c>
      <c r="AC6452">
        <v>11.223599999999999</v>
      </c>
      <c r="AD6452">
        <v>-1.109704855181</v>
      </c>
      <c r="AE6452">
        <v>1.5860299999999901</v>
      </c>
      <c r="AF6452">
        <v>-1.2084524097109</v>
      </c>
      <c r="AG6452">
        <v>-1.109704855181</v>
      </c>
      <c r="AH6452">
        <v>11.162275839245</v>
      </c>
      <c r="AI6452">
        <v>95.644673122905999</v>
      </c>
      <c r="AJ6452">
        <v>96.178901115003697</v>
      </c>
      <c r="AK6452">
        <v>11.2822074082841</v>
      </c>
      <c r="AL6452">
        <v>85.294801659514505</v>
      </c>
      <c r="AM6452">
        <v>94.614575938266896</v>
      </c>
      <c r="AN6452">
        <v>0.99999998334625495</v>
      </c>
    </row>
    <row r="6453" spans="1:40" x14ac:dyDescent="0.25">
      <c r="A6453" t="str">
        <f>"20190312151151165"</f>
        <v>20190312151151165</v>
      </c>
      <c r="B6453" t="str">
        <f>"1552374711157734"</f>
        <v>1552374711157734</v>
      </c>
      <c r="C6453" t="s">
        <v>40</v>
      </c>
      <c r="D6453">
        <v>5.2934960000000002</v>
      </c>
      <c r="E6453">
        <v>0.49102610000000002</v>
      </c>
      <c r="F6453" t="s">
        <v>96</v>
      </c>
      <c r="G6453">
        <v>-227.7346</v>
      </c>
      <c r="H6453" s="1">
        <v>-2.7957950000000001E-6</v>
      </c>
      <c r="I6453">
        <v>-62.001069999999999</v>
      </c>
      <c r="J6453">
        <v>-238.9555</v>
      </c>
      <c r="K6453">
        <v>1.109699</v>
      </c>
      <c r="L6453">
        <v>-63.595579999999998</v>
      </c>
      <c r="M6453">
        <v>0.99942330000000001</v>
      </c>
      <c r="N6453">
        <v>0</v>
      </c>
      <c r="O6453">
        <v>3.2375719999999997E-2</v>
      </c>
      <c r="P6453">
        <v>0.9910101</v>
      </c>
      <c r="Q6453">
        <v>7.192867E-2</v>
      </c>
      <c r="R6453">
        <v>0.1128073</v>
      </c>
      <c r="S6453">
        <v>3.0003660000000001</v>
      </c>
      <c r="T6453">
        <v>-0.29320800000000002</v>
      </c>
      <c r="U6453">
        <v>0.42242429999999997</v>
      </c>
      <c r="V6453">
        <v>-8.061103E-2</v>
      </c>
      <c r="W6453">
        <v>8.2165310000000005E-2</v>
      </c>
      <c r="X6453">
        <v>0.99335320000000005</v>
      </c>
      <c r="Y6453">
        <v>-0.10693370000000001</v>
      </c>
      <c r="Z6453">
        <v>2.0482199999999999E-3</v>
      </c>
      <c r="AA6453">
        <v>0.99426409999999998</v>
      </c>
      <c r="AB6453">
        <v>27</v>
      </c>
      <c r="AC6453">
        <v>11.2209</v>
      </c>
      <c r="AD6453">
        <v>-1.1097017957949999</v>
      </c>
      <c r="AE6453">
        <v>1.5945100000000001</v>
      </c>
      <c r="AF6453">
        <v>-1.21868691140459</v>
      </c>
      <c r="AG6453">
        <v>-1.1097017957949999</v>
      </c>
      <c r="AH6453">
        <v>11.159657450529201</v>
      </c>
      <c r="AI6453">
        <v>95.645405388183406</v>
      </c>
      <c r="AJ6453">
        <v>96.23227137376</v>
      </c>
      <c r="AK6453">
        <v>11.280717631284499</v>
      </c>
      <c r="AL6453">
        <v>85.286960933385203</v>
      </c>
      <c r="AM6453">
        <v>94.639410319961996</v>
      </c>
      <c r="AN6453">
        <v>0.99999992813764504</v>
      </c>
    </row>
    <row r="6454" spans="1:40" x14ac:dyDescent="0.25">
      <c r="A6454" t="str">
        <f>"20190312151151176"</f>
        <v>20190312151151176</v>
      </c>
      <c r="B6454" t="str">
        <f>"1552374711167493"</f>
        <v>1552374711167493</v>
      </c>
      <c r="C6454" t="s">
        <v>40</v>
      </c>
      <c r="D6454">
        <v>5.2348509999999999</v>
      </c>
      <c r="E6454">
        <v>0.4906295</v>
      </c>
      <c r="F6454" t="s">
        <v>96</v>
      </c>
      <c r="G6454">
        <v>-227.72120000000001</v>
      </c>
      <c r="H6454" s="1">
        <v>-2.7888069999999999E-6</v>
      </c>
      <c r="I6454">
        <v>-61.995449999999998</v>
      </c>
      <c r="J6454">
        <v>-238.81700000000001</v>
      </c>
      <c r="K6454">
        <v>1.109699</v>
      </c>
      <c r="L6454">
        <v>-63.591250000000002</v>
      </c>
      <c r="M6454">
        <v>0.99942839999999999</v>
      </c>
      <c r="N6454">
        <v>0</v>
      </c>
      <c r="O6454">
        <v>3.2213609999999997E-2</v>
      </c>
      <c r="P6454">
        <v>0.99098730000000002</v>
      </c>
      <c r="Q6454">
        <v>7.1786500000000003E-2</v>
      </c>
      <c r="R6454">
        <v>0.1130974</v>
      </c>
      <c r="S6454">
        <v>3.000076</v>
      </c>
      <c r="T6454">
        <v>-0.29634110000000002</v>
      </c>
      <c r="U6454">
        <v>0.4273071</v>
      </c>
      <c r="V6454">
        <v>-8.1063330000000003E-2</v>
      </c>
      <c r="W6454">
        <v>8.2029889999999994E-2</v>
      </c>
      <c r="X6454">
        <v>0.99332770000000004</v>
      </c>
      <c r="Y6454">
        <v>-0.108678</v>
      </c>
      <c r="Z6454">
        <v>2.1713650000000002E-3</v>
      </c>
      <c r="AA6454">
        <v>0.99407460000000003</v>
      </c>
      <c r="AB6454">
        <v>27</v>
      </c>
      <c r="AC6454">
        <v>11.095799999999899</v>
      </c>
      <c r="AD6454">
        <v>-1.109701788807</v>
      </c>
      <c r="AE6454">
        <v>1.5958000000000001</v>
      </c>
      <c r="AF6454">
        <v>-1.2255077716366001</v>
      </c>
      <c r="AG6454">
        <v>-1.109701788807</v>
      </c>
      <c r="AH6454">
        <v>11.033328826762199</v>
      </c>
      <c r="AI6454">
        <v>95.708465846536697</v>
      </c>
      <c r="AJ6454">
        <v>96.338049322879797</v>
      </c>
      <c r="AK6454">
        <v>11.1565071755404</v>
      </c>
      <c r="AL6454">
        <v>85.294746750679806</v>
      </c>
      <c r="AM6454">
        <v>94.665446210213702</v>
      </c>
      <c r="AN6454">
        <v>1.0000000429556899</v>
      </c>
    </row>
    <row r="6455" spans="1:40" x14ac:dyDescent="0.25">
      <c r="A6455" t="str">
        <f>"20190312151151187"</f>
        <v>20190312151151187</v>
      </c>
      <c r="B6455" t="str">
        <f>"1552374711177254"</f>
        <v>1552374711177254</v>
      </c>
      <c r="C6455" t="s">
        <v>40</v>
      </c>
      <c r="D6455">
        <v>5.2544909999999998</v>
      </c>
      <c r="E6455">
        <v>0.49031799999999998</v>
      </c>
      <c r="F6455" t="s">
        <v>96</v>
      </c>
      <c r="G6455">
        <v>-227.68</v>
      </c>
      <c r="H6455" s="1">
        <v>-2.7699380000000001E-6</v>
      </c>
      <c r="I6455">
        <v>-61.989960000000004</v>
      </c>
      <c r="J6455">
        <v>-238.67830000000001</v>
      </c>
      <c r="K6455">
        <v>1.1096980000000001</v>
      </c>
      <c r="L6455">
        <v>-63.586939999999998</v>
      </c>
      <c r="M6455">
        <v>0.99943369999999998</v>
      </c>
      <c r="N6455">
        <v>0</v>
      </c>
      <c r="O6455">
        <v>3.2051209999999997E-2</v>
      </c>
      <c r="P6455">
        <v>0.99095279999999997</v>
      </c>
      <c r="Q6455">
        <v>7.1834709999999996E-2</v>
      </c>
      <c r="R6455">
        <v>0.1133692</v>
      </c>
      <c r="S6455">
        <v>2.9997099999999999</v>
      </c>
      <c r="T6455">
        <v>-0.29889660000000001</v>
      </c>
      <c r="U6455">
        <v>0.43130489999999999</v>
      </c>
      <c r="V6455">
        <v>-8.149729E-2</v>
      </c>
      <c r="W6455">
        <v>8.2085480000000002E-2</v>
      </c>
      <c r="X6455">
        <v>0.99328760000000005</v>
      </c>
      <c r="Y6455">
        <v>-0.1101404</v>
      </c>
      <c r="Z6455">
        <v>2.2784210000000001E-3</v>
      </c>
      <c r="AA6455">
        <v>0.99391339999999995</v>
      </c>
      <c r="AB6455">
        <v>27</v>
      </c>
      <c r="AC6455">
        <v>10.9983</v>
      </c>
      <c r="AD6455">
        <v>-1.1097007699379999</v>
      </c>
      <c r="AE6455">
        <v>1.5969800000000001</v>
      </c>
      <c r="AF6455">
        <v>-1.23135536946353</v>
      </c>
      <c r="AG6455">
        <v>-1.1097007699379999</v>
      </c>
      <c r="AH6455">
        <v>10.9348154698247</v>
      </c>
      <c r="AI6455">
        <v>95.758574580639802</v>
      </c>
      <c r="AJ6455">
        <v>96.424936944438898</v>
      </c>
      <c r="AK6455">
        <v>11.059740557708601</v>
      </c>
      <c r="AL6455">
        <v>85.291550911795895</v>
      </c>
      <c r="AM6455">
        <v>94.690499326891896</v>
      </c>
      <c r="AN6455">
        <v>1.0000000453089599</v>
      </c>
    </row>
    <row r="6456" spans="1:40" x14ac:dyDescent="0.25">
      <c r="A6456" t="str">
        <f>"20190312151151198"</f>
        <v>20190312151151198</v>
      </c>
      <c r="B6456" t="str">
        <f>"1552374711187990"</f>
        <v>1552374711187990</v>
      </c>
      <c r="C6456" t="s">
        <v>40</v>
      </c>
      <c r="D6456">
        <v>5.2355140000000002</v>
      </c>
      <c r="E6456">
        <v>0.49003940000000001</v>
      </c>
      <c r="F6456" t="s">
        <v>96</v>
      </c>
      <c r="G6456">
        <v>-227.61420000000001</v>
      </c>
      <c r="H6456" s="1">
        <v>-2.7403829999999998E-6</v>
      </c>
      <c r="I6456">
        <v>-61.984180000000002</v>
      </c>
      <c r="J6456">
        <v>-238.54390000000001</v>
      </c>
      <c r="K6456">
        <v>1.109696</v>
      </c>
      <c r="L6456">
        <v>-63.582819999999998</v>
      </c>
      <c r="M6456">
        <v>0.99943850000000001</v>
      </c>
      <c r="N6456">
        <v>0</v>
      </c>
      <c r="O6456">
        <v>3.1893940000000003E-2</v>
      </c>
      <c r="P6456">
        <v>0.99090489999999998</v>
      </c>
      <c r="Q6456">
        <v>7.182347E-2</v>
      </c>
      <c r="R6456">
        <v>0.11379309999999999</v>
      </c>
      <c r="S6456">
        <v>2.9994960000000002</v>
      </c>
      <c r="T6456">
        <v>-0.30083939999999998</v>
      </c>
      <c r="U6456">
        <v>0.43450929999999999</v>
      </c>
      <c r="V6456">
        <v>-8.2078449999999997E-2</v>
      </c>
      <c r="W6456">
        <v>8.2080730000000005E-2</v>
      </c>
      <c r="X6456">
        <v>0.99324009999999996</v>
      </c>
      <c r="Y6456">
        <v>-0.1113353</v>
      </c>
      <c r="Z6456">
        <v>2.3682529999999999E-3</v>
      </c>
      <c r="AA6456">
        <v>0.99378010000000006</v>
      </c>
      <c r="AB6456">
        <v>27</v>
      </c>
      <c r="AC6456">
        <v>10.929699999999899</v>
      </c>
      <c r="AD6456">
        <v>-1.1096987403829901</v>
      </c>
      <c r="AE6456">
        <v>1.5986399999999901</v>
      </c>
      <c r="AF6456">
        <v>-1.2367352394879001</v>
      </c>
      <c r="AG6456">
        <v>-1.1096987403829901</v>
      </c>
      <c r="AH6456">
        <v>10.865468449890299</v>
      </c>
      <c r="AI6456">
        <v>95.794286918208797</v>
      </c>
      <c r="AJ6456">
        <v>96.493604717616606</v>
      </c>
      <c r="AK6456">
        <v>10.991785568439701</v>
      </c>
      <c r="AL6456">
        <v>85.291823808500894</v>
      </c>
      <c r="AM6456">
        <v>94.724021491715007</v>
      </c>
      <c r="AN6456">
        <v>1.00000000721987</v>
      </c>
    </row>
    <row r="6457" spans="1:40" x14ac:dyDescent="0.25">
      <c r="A6457" t="str">
        <f>"20190312151151208"</f>
        <v>20190312151151208</v>
      </c>
      <c r="B6457" t="str">
        <f>"1552374711197749"</f>
        <v>1552374711197749</v>
      </c>
      <c r="C6457" t="s">
        <v>40</v>
      </c>
      <c r="D6457">
        <v>5.2376069999999997</v>
      </c>
      <c r="E6457">
        <v>0.48977920000000003</v>
      </c>
      <c r="F6457" t="s">
        <v>96</v>
      </c>
      <c r="G6457">
        <v>-227.5712</v>
      </c>
      <c r="H6457" s="1">
        <v>-2.7210389999999999E-6</v>
      </c>
      <c r="I6457">
        <v>-61.980089999999997</v>
      </c>
      <c r="J6457">
        <v>-238.4074</v>
      </c>
      <c r="K6457">
        <v>1.109696</v>
      </c>
      <c r="L6457">
        <v>-63.578609999999998</v>
      </c>
      <c r="M6457">
        <v>0.99944359999999999</v>
      </c>
      <c r="N6457">
        <v>0</v>
      </c>
      <c r="O6457">
        <v>3.1733690000000002E-2</v>
      </c>
      <c r="P6457">
        <v>0.99087970000000003</v>
      </c>
      <c r="Q6457">
        <v>7.1572659999999996E-2</v>
      </c>
      <c r="R6457">
        <v>0.1141715</v>
      </c>
      <c r="S6457">
        <v>2.9992220000000001</v>
      </c>
      <c r="T6457">
        <v>-0.30331829999999999</v>
      </c>
      <c r="U6457">
        <v>0.43807980000000002</v>
      </c>
      <c r="V6457">
        <v>-8.2617200000000002E-2</v>
      </c>
      <c r="W6457">
        <v>8.1835980000000003E-2</v>
      </c>
      <c r="X6457">
        <v>0.99321559999999998</v>
      </c>
      <c r="Y6457">
        <v>-0.11265219999999999</v>
      </c>
      <c r="Z6457">
        <v>2.4698300000000001E-3</v>
      </c>
      <c r="AA6457">
        <v>0.99363140000000005</v>
      </c>
      <c r="AB6457">
        <v>28</v>
      </c>
      <c r="AC6457">
        <v>10.8361999999999</v>
      </c>
      <c r="AD6457">
        <v>-1.1096987210389999</v>
      </c>
      <c r="AE6457">
        <v>1.5985199999999899</v>
      </c>
      <c r="AF6457">
        <v>-1.2410858744894899</v>
      </c>
      <c r="AG6457">
        <v>-1.1096987210389999</v>
      </c>
      <c r="AH6457">
        <v>10.770921270888101</v>
      </c>
      <c r="AI6457">
        <v>95.8438779595689</v>
      </c>
      <c r="AJ6457">
        <v>96.572953332038693</v>
      </c>
      <c r="AK6457">
        <v>10.898828855569899</v>
      </c>
      <c r="AL6457">
        <v>85.305894152931003</v>
      </c>
      <c r="AM6457">
        <v>94.755004264010097</v>
      </c>
      <c r="AN6457">
        <v>0.99999997872087898</v>
      </c>
    </row>
    <row r="6458" spans="1:40" x14ac:dyDescent="0.25">
      <c r="A6458" t="str">
        <f>"20190312151151221"</f>
        <v>20190312151151221</v>
      </c>
      <c r="B6458" t="str">
        <f>"1552374711217271"</f>
        <v>1552374711217271</v>
      </c>
      <c r="C6458" t="s">
        <v>40</v>
      </c>
      <c r="D6458">
        <v>5.2247859999999999</v>
      </c>
      <c r="E6458">
        <v>0.48909760000000002</v>
      </c>
      <c r="F6458" t="s">
        <v>96</v>
      </c>
      <c r="G6458">
        <v>-227.5009</v>
      </c>
      <c r="H6458" s="1">
        <v>-2.6895019999999999E-6</v>
      </c>
      <c r="I6458">
        <v>-61.9739199999999</v>
      </c>
      <c r="J6458">
        <v>-238.26390000000001</v>
      </c>
      <c r="K6458">
        <v>1.1096950000000001</v>
      </c>
      <c r="L6458">
        <v>-63.574219999999997</v>
      </c>
      <c r="M6458">
        <v>0.99944889999999997</v>
      </c>
      <c r="N6458">
        <v>0</v>
      </c>
      <c r="O6458">
        <v>3.1565570000000001E-2</v>
      </c>
      <c r="P6458">
        <v>0.99084689999999997</v>
      </c>
      <c r="Q6458">
        <v>7.153495E-2</v>
      </c>
      <c r="R6458">
        <v>0.114479</v>
      </c>
      <c r="S6458">
        <v>2.9988250000000001</v>
      </c>
      <c r="T6458">
        <v>-0.3051199</v>
      </c>
      <c r="U6458">
        <v>0.44122309999999998</v>
      </c>
      <c r="V6458">
        <v>-8.3092890000000003E-2</v>
      </c>
      <c r="W6458">
        <v>8.180461E-2</v>
      </c>
      <c r="X6458">
        <v>0.99317849999999996</v>
      </c>
      <c r="Y6458">
        <v>-0.113846</v>
      </c>
      <c r="Z6458">
        <v>2.5617729999999998E-3</v>
      </c>
      <c r="AA6458">
        <v>0.99349509999999996</v>
      </c>
      <c r="AB6458">
        <v>28</v>
      </c>
      <c r="AC6458">
        <v>10.763</v>
      </c>
      <c r="AD6458">
        <v>-1.1096976895020001</v>
      </c>
      <c r="AE6458">
        <v>1.6003000000000001</v>
      </c>
      <c r="AF6458">
        <v>-1.2467774361720501</v>
      </c>
      <c r="AG6458">
        <v>-1.1096976895020001</v>
      </c>
      <c r="AH6458">
        <v>10.696902026037</v>
      </c>
      <c r="AI6458">
        <v>95.883139433881496</v>
      </c>
      <c r="AJ6458">
        <v>96.648112959549593</v>
      </c>
      <c r="AK6458">
        <v>10.8263380647414</v>
      </c>
      <c r="AL6458">
        <v>85.307697563558406</v>
      </c>
      <c r="AM6458">
        <v>94.782433631337597</v>
      </c>
      <c r="AN6458">
        <v>0.99999997772402605</v>
      </c>
    </row>
    <row r="6459" spans="1:40" x14ac:dyDescent="0.25">
      <c r="A6459" t="str">
        <f>"20190312151151244"</f>
        <v>20190312151151244</v>
      </c>
      <c r="B6459" t="str">
        <f>"1552374711237765"</f>
        <v>1552374711237765</v>
      </c>
      <c r="C6459" t="s">
        <v>40</v>
      </c>
      <c r="D6459">
        <v>5.2709739999999998</v>
      </c>
      <c r="E6459">
        <v>0.48887350000000002</v>
      </c>
      <c r="F6459" t="s">
        <v>96</v>
      </c>
      <c r="G6459">
        <v>-227.4522</v>
      </c>
      <c r="H6459" s="1">
        <v>-2.6656430000000001E-6</v>
      </c>
      <c r="I6459">
        <v>-61.96049</v>
      </c>
      <c r="J6459">
        <v>-237.9862</v>
      </c>
      <c r="K6459">
        <v>1.1096950000000001</v>
      </c>
      <c r="L6459">
        <v>-63.565800000000003</v>
      </c>
      <c r="M6459">
        <v>0.99945890000000004</v>
      </c>
      <c r="N6459">
        <v>0</v>
      </c>
      <c r="O6459">
        <v>3.124E-2</v>
      </c>
      <c r="P6459">
        <v>0.99076909999999896</v>
      </c>
      <c r="Q6459">
        <v>7.1370580000000003E-2</v>
      </c>
      <c r="R6459">
        <v>0.1152528</v>
      </c>
      <c r="S6459">
        <v>2.9982449999999998</v>
      </c>
      <c r="T6459">
        <v>-0.30773450000000002</v>
      </c>
      <c r="U6459">
        <v>0.44750980000000001</v>
      </c>
      <c r="V6459">
        <v>-8.4192619999999996E-2</v>
      </c>
      <c r="W6459">
        <v>8.1652059999999999E-2</v>
      </c>
      <c r="X6459">
        <v>0.99309840000000005</v>
      </c>
      <c r="Y6459">
        <v>-0.11621430000000001</v>
      </c>
      <c r="Z6459">
        <v>2.737396E-3</v>
      </c>
      <c r="AA6459">
        <v>0.9932204</v>
      </c>
      <c r="AB6459">
        <v>28</v>
      </c>
      <c r="AC6459">
        <v>10.533999999999899</v>
      </c>
      <c r="AD6459">
        <v>-1.109697665643</v>
      </c>
      <c r="AE6459">
        <v>1.60531</v>
      </c>
      <c r="AF6459">
        <v>-1.26174247831722</v>
      </c>
      <c r="AG6459">
        <v>-1.109697665643</v>
      </c>
      <c r="AH6459">
        <v>10.4655061644818</v>
      </c>
      <c r="AI6459">
        <v>96.009479563034503</v>
      </c>
      <c r="AJ6459">
        <v>96.874515095973905</v>
      </c>
      <c r="AK6459">
        <v>10.5995397197015</v>
      </c>
      <c r="AL6459">
        <v>85.316467215343394</v>
      </c>
      <c r="AM6459">
        <v>94.845818441154506</v>
      </c>
      <c r="AN6459">
        <v>0.99999994412363202</v>
      </c>
    </row>
    <row r="6460" spans="1:40" x14ac:dyDescent="0.25">
      <c r="A6460" t="str">
        <f>"20190312151151256"</f>
        <v>20190312151151256</v>
      </c>
      <c r="B6460" t="str">
        <f>"1552374711247526"</f>
        <v>1552374711247526</v>
      </c>
      <c r="C6460" t="s">
        <v>40</v>
      </c>
      <c r="D6460">
        <v>5.2695540000000003</v>
      </c>
      <c r="E6460">
        <v>0.4886182</v>
      </c>
      <c r="F6460" t="s">
        <v>96</v>
      </c>
      <c r="G6460">
        <v>-227.25569999999999</v>
      </c>
      <c r="H6460" s="1">
        <v>-2.579137E-6</v>
      </c>
      <c r="I6460">
        <v>-61.950530000000001</v>
      </c>
      <c r="J6460">
        <v>-237.8296</v>
      </c>
      <c r="K6460">
        <v>1.109694</v>
      </c>
      <c r="L6460">
        <v>-63.561100000000003</v>
      </c>
      <c r="M6460">
        <v>0.99946469999999998</v>
      </c>
      <c r="N6460">
        <v>0</v>
      </c>
      <c r="O6460">
        <v>3.105627E-2</v>
      </c>
      <c r="P6460">
        <v>0.99072190000000004</v>
      </c>
      <c r="Q6460">
        <v>7.1218710000000005E-2</v>
      </c>
      <c r="R6460">
        <v>0.1157507</v>
      </c>
      <c r="S6460">
        <v>2.9978030000000002</v>
      </c>
      <c r="T6460">
        <v>-0.31002000000000002</v>
      </c>
      <c r="U6460">
        <v>0.45126339999999998</v>
      </c>
      <c r="V6460">
        <v>-8.4874569999999996E-2</v>
      </c>
      <c r="W6460">
        <v>8.1507099999999999E-2</v>
      </c>
      <c r="X6460">
        <v>0.9930523</v>
      </c>
      <c r="Y6460">
        <v>-0.11761969999999999</v>
      </c>
      <c r="Z6460">
        <v>2.8486739999999998E-3</v>
      </c>
      <c r="AA6460">
        <v>0.99305460000000001</v>
      </c>
      <c r="AB6460">
        <v>28</v>
      </c>
      <c r="AC6460">
        <v>10.5739</v>
      </c>
      <c r="AD6460">
        <v>-1.1096965791369999</v>
      </c>
      <c r="AE6460">
        <v>1.6105699999999901</v>
      </c>
      <c r="AF6460">
        <v>-1.26774365572882</v>
      </c>
      <c r="AG6460">
        <v>-1.1096965791369999</v>
      </c>
      <c r="AH6460">
        <v>10.505735214678699</v>
      </c>
      <c r="AI6460">
        <v>95.986551988015407</v>
      </c>
      <c r="AJ6460">
        <v>96.880702802941499</v>
      </c>
      <c r="AK6460">
        <v>10.639975229075</v>
      </c>
      <c r="AL6460">
        <v>85.324800781302002</v>
      </c>
      <c r="AM6460">
        <v>94.885105483979402</v>
      </c>
      <c r="AN6460">
        <v>0.99999998525919198</v>
      </c>
    </row>
    <row r="6461" spans="1:40" x14ac:dyDescent="0.25">
      <c r="A6461" t="str">
        <f>"20190312151151268"</f>
        <v>20190312151151268</v>
      </c>
      <c r="B6461" t="str">
        <f>"1552374711257286"</f>
        <v>1552374711257286</v>
      </c>
      <c r="C6461" t="s">
        <v>40</v>
      </c>
      <c r="D6461">
        <v>5.2565720000000002</v>
      </c>
      <c r="E6461">
        <v>0.48842609999999997</v>
      </c>
      <c r="F6461" t="s">
        <v>96</v>
      </c>
      <c r="G6461">
        <v>-227.1583</v>
      </c>
      <c r="H6461" s="1">
        <v>-2.5355149999999999E-6</v>
      </c>
      <c r="I6461">
        <v>-61.942230000000002</v>
      </c>
      <c r="J6461">
        <v>-237.68790000000001</v>
      </c>
      <c r="K6461">
        <v>1.109696</v>
      </c>
      <c r="L6461">
        <v>-63.556849999999997</v>
      </c>
      <c r="M6461">
        <v>0.99946970000000002</v>
      </c>
      <c r="N6461">
        <v>0</v>
      </c>
      <c r="O6461">
        <v>3.0890419999999998E-2</v>
      </c>
      <c r="P6461">
        <v>0.99068889999999998</v>
      </c>
      <c r="Q6461">
        <v>7.0843199999999995E-2</v>
      </c>
      <c r="R6461">
        <v>0.11626259999999999</v>
      </c>
      <c r="S6461">
        <v>2.9973749999999999</v>
      </c>
      <c r="T6461">
        <v>-0.31169439999999998</v>
      </c>
      <c r="U6461">
        <v>0.4547119</v>
      </c>
      <c r="V6461">
        <v>-8.5551920000000004E-2</v>
      </c>
      <c r="W6461">
        <v>8.113737E-2</v>
      </c>
      <c r="X6461">
        <v>0.99302449999999998</v>
      </c>
      <c r="Y6461">
        <v>-0.1189096</v>
      </c>
      <c r="Z6461">
        <v>2.9477420000000002E-3</v>
      </c>
      <c r="AA6461">
        <v>0.99290069999999997</v>
      </c>
      <c r="AB6461">
        <v>28</v>
      </c>
      <c r="AC6461">
        <v>10.5296</v>
      </c>
      <c r="AD6461">
        <v>-1.109698535515</v>
      </c>
      <c r="AE6461">
        <v>1.61461999999999</v>
      </c>
      <c r="AF6461">
        <v>-1.2747354758464999</v>
      </c>
      <c r="AG6461">
        <v>-1.109698535515</v>
      </c>
      <c r="AH6461">
        <v>10.460935823722201</v>
      </c>
      <c r="AI6461">
        <v>96.011167582137702</v>
      </c>
      <c r="AJ6461">
        <v>96.947623128258201</v>
      </c>
      <c r="AK6461">
        <v>10.596582452901499</v>
      </c>
      <c r="AL6461">
        <v>85.346055359703001</v>
      </c>
      <c r="AM6461">
        <v>94.924037810109098</v>
      </c>
      <c r="AN6461">
        <v>1.00000003071322</v>
      </c>
    </row>
    <row r="6462" spans="1:40" x14ac:dyDescent="0.25">
      <c r="A6462" t="str">
        <f>"20190312151151277"</f>
        <v>20190312151151277</v>
      </c>
      <c r="B6462" t="str">
        <f>"1552374711268021"</f>
        <v>1552374711268021</v>
      </c>
      <c r="C6462" t="s">
        <v>40</v>
      </c>
      <c r="D6462">
        <v>5.2807370000000002</v>
      </c>
      <c r="E6462">
        <v>0.48829879999999998</v>
      </c>
      <c r="F6462" t="s">
        <v>96</v>
      </c>
      <c r="G6462">
        <v>-227.0881</v>
      </c>
      <c r="H6462" s="1">
        <v>-2.5044449999999999E-6</v>
      </c>
      <c r="I6462">
        <v>-61.938009999999998</v>
      </c>
      <c r="J6462">
        <v>-237.55590000000001</v>
      </c>
      <c r="K6462">
        <v>1.109693</v>
      </c>
      <c r="L6462">
        <v>-63.552889999999998</v>
      </c>
      <c r="M6462">
        <v>0.99947430000000004</v>
      </c>
      <c r="N6462">
        <v>0</v>
      </c>
      <c r="O6462">
        <v>3.07359E-2</v>
      </c>
      <c r="P6462">
        <v>0.99059219999999903</v>
      </c>
      <c r="Q6462">
        <v>7.0897669999999996E-2</v>
      </c>
      <c r="R6462">
        <v>0.1170495</v>
      </c>
      <c r="S6462">
        <v>2.996918</v>
      </c>
      <c r="T6462">
        <v>-0.31374920000000001</v>
      </c>
      <c r="U6462">
        <v>0.45770260000000001</v>
      </c>
      <c r="V6462">
        <v>-8.6495639999999999E-2</v>
      </c>
      <c r="W6462">
        <v>8.1196309999999994E-2</v>
      </c>
      <c r="X6462">
        <v>0.99293790000000004</v>
      </c>
      <c r="Y6462">
        <v>-0.12004090000000001</v>
      </c>
      <c r="Z6462">
        <v>3.0420439999999998E-3</v>
      </c>
      <c r="AA6462">
        <v>0.99276430000000004</v>
      </c>
      <c r="AB6462">
        <v>28</v>
      </c>
      <c r="AC6462">
        <v>10.4678</v>
      </c>
      <c r="AD6462">
        <v>-1.1096955044450001</v>
      </c>
      <c r="AE6462">
        <v>1.6148800000000001</v>
      </c>
      <c r="AF6462">
        <v>-1.27833040255162</v>
      </c>
      <c r="AG6462">
        <v>-1.1096955044450001</v>
      </c>
      <c r="AH6462">
        <v>10.398349089822499</v>
      </c>
      <c r="AI6462">
        <v>96.046283518216399</v>
      </c>
      <c r="AJ6462">
        <v>97.008542143699202</v>
      </c>
      <c r="AK6462">
        <v>10.535236899305399</v>
      </c>
      <c r="AL6462">
        <v>85.342667046723307</v>
      </c>
      <c r="AM6462">
        <v>94.978515208853693</v>
      </c>
      <c r="AN6462">
        <v>1.0000000048765101</v>
      </c>
    </row>
    <row r="6463" spans="1:40" x14ac:dyDescent="0.25">
      <c r="A6463" t="str">
        <f>"20190312151151287"</f>
        <v>20190312151151287</v>
      </c>
      <c r="B6463" t="str">
        <f>"1552374711277781"</f>
        <v>1552374711277781</v>
      </c>
      <c r="C6463" t="s">
        <v>40</v>
      </c>
      <c r="D6463">
        <v>5.2639839999999998</v>
      </c>
      <c r="E6463">
        <v>0.48812169999999999</v>
      </c>
      <c r="F6463" t="s">
        <v>96</v>
      </c>
      <c r="G6463">
        <v>-226.99019999999999</v>
      </c>
      <c r="H6463" s="1">
        <v>-2.460164E-6</v>
      </c>
      <c r="I6463">
        <v>-61.927660000000003</v>
      </c>
      <c r="J6463">
        <v>-237.43279999999999</v>
      </c>
      <c r="K6463">
        <v>1.109694</v>
      </c>
      <c r="L6463">
        <v>-63.549289999999999</v>
      </c>
      <c r="M6463">
        <v>0.99947889999999995</v>
      </c>
      <c r="N6463">
        <v>0</v>
      </c>
      <c r="O6463">
        <v>3.0591630000000002E-2</v>
      </c>
      <c r="P6463">
        <v>0.99055280000000001</v>
      </c>
      <c r="Q6463">
        <v>7.0605399999999999E-2</v>
      </c>
      <c r="R6463">
        <v>0.117559</v>
      </c>
      <c r="S6463">
        <v>2.9965670000000002</v>
      </c>
      <c r="T6463">
        <v>-0.31472489999999997</v>
      </c>
      <c r="U6463">
        <v>0.4609375</v>
      </c>
      <c r="V6463">
        <v>-8.7149160000000003E-2</v>
      </c>
      <c r="W6463">
        <v>8.0908289999999994E-2</v>
      </c>
      <c r="X6463">
        <v>0.99290420000000001</v>
      </c>
      <c r="Y6463">
        <v>-0.1212384</v>
      </c>
      <c r="Z6463">
        <v>3.128923E-3</v>
      </c>
      <c r="AA6463">
        <v>0.99261849999999996</v>
      </c>
      <c r="AB6463">
        <v>28</v>
      </c>
      <c r="AC6463">
        <v>10.442600000000001</v>
      </c>
      <c r="AD6463">
        <v>-1.109696460164</v>
      </c>
      <c r="AE6463">
        <v>1.6216299999999999</v>
      </c>
      <c r="AF6463">
        <v>-1.2872043284227701</v>
      </c>
      <c r="AG6463">
        <v>-1.109696460164</v>
      </c>
      <c r="AH6463">
        <v>10.372944414323401</v>
      </c>
      <c r="AI6463">
        <v>96.060140319698505</v>
      </c>
      <c r="AJ6463">
        <v>97.073813157933103</v>
      </c>
      <c r="AK6463">
        <v>10.511246217240499</v>
      </c>
      <c r="AL6463">
        <v>85.359223544770003</v>
      </c>
      <c r="AM6463">
        <v>95.016108700590095</v>
      </c>
      <c r="AN6463">
        <v>0.99999993892853301</v>
      </c>
    </row>
    <row r="6464" spans="1:40" x14ac:dyDescent="0.25">
      <c r="A6464" t="str">
        <f>"20190312151151299"</f>
        <v>20190312151151299</v>
      </c>
      <c r="B6464" t="str">
        <f>"1552374711287542"</f>
        <v>1552374711287542</v>
      </c>
      <c r="C6464" t="s">
        <v>40</v>
      </c>
      <c r="D6464">
        <v>5.2459110000000004</v>
      </c>
      <c r="E6464">
        <v>0.48803760000000002</v>
      </c>
      <c r="F6464" t="s">
        <v>96</v>
      </c>
      <c r="G6464">
        <v>-226.9503</v>
      </c>
      <c r="H6464" s="1">
        <v>-2.4428900000000001E-6</v>
      </c>
      <c r="I6464">
        <v>-61.926940000000002</v>
      </c>
      <c r="J6464">
        <v>-237.29470000000001</v>
      </c>
      <c r="K6464">
        <v>1.109688</v>
      </c>
      <c r="L6464">
        <v>-63.545200000000001</v>
      </c>
      <c r="M6464">
        <v>0.99948360000000003</v>
      </c>
      <c r="N6464">
        <v>0</v>
      </c>
      <c r="O6464">
        <v>3.0429959999999999E-2</v>
      </c>
      <c r="P6464">
        <v>0.99048820000000004</v>
      </c>
      <c r="Q6464">
        <v>7.0401640000000001E-2</v>
      </c>
      <c r="R6464">
        <v>0.11822340000000001</v>
      </c>
      <c r="S6464">
        <v>2.9962010000000001</v>
      </c>
      <c r="T6464">
        <v>-0.3171834</v>
      </c>
      <c r="U6464">
        <v>0.46371459999999998</v>
      </c>
      <c r="V6464">
        <v>-8.7976260000000001E-2</v>
      </c>
      <c r="W6464">
        <v>8.0709149999999993E-2</v>
      </c>
      <c r="X6464">
        <v>0.99284749999999999</v>
      </c>
      <c r="Y6464">
        <v>-0.1223014</v>
      </c>
      <c r="Z6464">
        <v>3.2261260000000002E-3</v>
      </c>
      <c r="AA6464">
        <v>0.99248769999999997</v>
      </c>
      <c r="AB6464">
        <v>28</v>
      </c>
      <c r="AC6464">
        <v>10.3444</v>
      </c>
      <c r="AD6464">
        <v>-1.1096904428899901</v>
      </c>
      <c r="AE6464">
        <v>1.61825999999999</v>
      </c>
      <c r="AF6464">
        <v>-1.2882433250538301</v>
      </c>
      <c r="AG6464">
        <v>-1.1096904428899901</v>
      </c>
      <c r="AH6464">
        <v>10.273454353067899</v>
      </c>
      <c r="AI6464">
        <v>96.117380259688701</v>
      </c>
      <c r="AJ6464">
        <v>97.147318223263895</v>
      </c>
      <c r="AK6464">
        <v>10.4132054665294</v>
      </c>
      <c r="AL6464">
        <v>85.370671025508997</v>
      </c>
      <c r="AM6464">
        <v>95.063756043062298</v>
      </c>
      <c r="AN6464">
        <v>0.99999997373677896</v>
      </c>
    </row>
    <row r="6465" spans="1:40" x14ac:dyDescent="0.25">
      <c r="A6465" t="str">
        <f>"20190312151151309"</f>
        <v>20190312151151309</v>
      </c>
      <c r="B6465" t="str">
        <f>"1552374711297301"</f>
        <v>1552374711297301</v>
      </c>
      <c r="C6465" t="s">
        <v>40</v>
      </c>
      <c r="D6465">
        <v>5.2419089999999997</v>
      </c>
      <c r="E6465">
        <v>0.48797889999999999</v>
      </c>
      <c r="F6465" t="s">
        <v>96</v>
      </c>
      <c r="G6465">
        <v>-226.84870000000001</v>
      </c>
      <c r="H6465" s="1">
        <v>-2.3973980000000001E-6</v>
      </c>
      <c r="I6465">
        <v>-61.9184699999999</v>
      </c>
      <c r="J6465">
        <v>-237.16380000000001</v>
      </c>
      <c r="K6465">
        <v>1.109686</v>
      </c>
      <c r="L6465">
        <v>-63.541379999999997</v>
      </c>
      <c r="M6465">
        <v>0.9994883</v>
      </c>
      <c r="N6465">
        <v>0</v>
      </c>
      <c r="O6465">
        <v>3.0276689999999998E-2</v>
      </c>
      <c r="P6465">
        <v>0.99038269999999995</v>
      </c>
      <c r="Q6465">
        <v>7.045411E-2</v>
      </c>
      <c r="R6465">
        <v>0.119073499999999</v>
      </c>
      <c r="S6465">
        <v>2.9957579999999999</v>
      </c>
      <c r="T6465">
        <v>-0.31824390000000002</v>
      </c>
      <c r="U6465">
        <v>0.4665222</v>
      </c>
      <c r="V6465">
        <v>-8.8981350000000001E-2</v>
      </c>
      <c r="W6465">
        <v>8.0766180000000007E-2</v>
      </c>
      <c r="X6465">
        <v>0.99275329999999995</v>
      </c>
      <c r="Y6465">
        <v>-0.12337380000000001</v>
      </c>
      <c r="Z6465">
        <v>3.3096850000000001E-3</v>
      </c>
      <c r="AA6465">
        <v>0.99235479999999998</v>
      </c>
      <c r="AB6465">
        <v>28</v>
      </c>
      <c r="AC6465">
        <v>10.315099999999999</v>
      </c>
      <c r="AD6465">
        <v>-1.1096883973979901</v>
      </c>
      <c r="AE6465">
        <v>1.6229100000000101</v>
      </c>
      <c r="AF6465">
        <v>-1.2952144529635099</v>
      </c>
      <c r="AG6465">
        <v>-1.1096883973979901</v>
      </c>
      <c r="AH6465">
        <v>10.243819094097301</v>
      </c>
      <c r="AI6465">
        <v>96.1341445335635</v>
      </c>
      <c r="AJ6465">
        <v>97.206161244028706</v>
      </c>
      <c r="AK6465">
        <v>10.384835985757199</v>
      </c>
      <c r="AL6465">
        <v>85.367392799734503</v>
      </c>
      <c r="AM6465">
        <v>95.121784671040203</v>
      </c>
      <c r="AN6465">
        <v>0.99999998557025205</v>
      </c>
    </row>
    <row r="6466" spans="1:40" x14ac:dyDescent="0.25">
      <c r="A6466" t="str">
        <f>"20190312151151321"</f>
        <v>20190312151151321</v>
      </c>
      <c r="B6466" t="str">
        <f>"1552374711317798"</f>
        <v>1552374711317798</v>
      </c>
      <c r="C6466" t="s">
        <v>40</v>
      </c>
      <c r="D6466">
        <v>5.2781830000000003</v>
      </c>
      <c r="E6466">
        <v>0.48792859999999999</v>
      </c>
      <c r="F6466" t="s">
        <v>96</v>
      </c>
      <c r="G6466">
        <v>-226.75229999999999</v>
      </c>
      <c r="H6466" s="1">
        <v>-2.354061E-6</v>
      </c>
      <c r="I6466">
        <v>-61.909649999999999</v>
      </c>
      <c r="J6466">
        <v>-237.02850000000001</v>
      </c>
      <c r="K6466">
        <v>1.1096839999999999</v>
      </c>
      <c r="L6466">
        <v>-63.537410000000001</v>
      </c>
      <c r="M6466">
        <v>0.99949299999999996</v>
      </c>
      <c r="N6466">
        <v>0</v>
      </c>
      <c r="O6466">
        <v>3.0118470000000001E-2</v>
      </c>
      <c r="P6466">
        <v>0.99029480000000003</v>
      </c>
      <c r="Q6466">
        <v>7.0339020000000002E-2</v>
      </c>
      <c r="R6466">
        <v>0.11986960000000001</v>
      </c>
      <c r="S6466">
        <v>2.995422</v>
      </c>
      <c r="T6466">
        <v>-0.31925799999999999</v>
      </c>
      <c r="U6466">
        <v>0.46945189999999998</v>
      </c>
      <c r="V6466">
        <v>-8.9937420000000004E-2</v>
      </c>
      <c r="W6466">
        <v>8.0654959999999998E-2</v>
      </c>
      <c r="X6466">
        <v>0.99267620000000001</v>
      </c>
      <c r="Y6466">
        <v>-0.1244849</v>
      </c>
      <c r="Z6466">
        <v>3.3956820000000001E-3</v>
      </c>
      <c r="AA6466">
        <v>0.99221570000000003</v>
      </c>
      <c r="AB6466">
        <v>28</v>
      </c>
      <c r="AC6466">
        <v>10.276199999999999</v>
      </c>
      <c r="AD6466">
        <v>-1.109686354061</v>
      </c>
      <c r="AE6466">
        <v>1.6277599999999901</v>
      </c>
      <c r="AF6466">
        <v>-1.3026827880202201</v>
      </c>
      <c r="AG6466">
        <v>-1.109686354061</v>
      </c>
      <c r="AH6466">
        <v>10.204484029059399</v>
      </c>
      <c r="AI6466">
        <v>96.156665770453699</v>
      </c>
      <c r="AJ6466">
        <v>97.274909375666198</v>
      </c>
      <c r="AK6466">
        <v>10.3469744635773</v>
      </c>
      <c r="AL6466">
        <v>85.373786161251701</v>
      </c>
      <c r="AM6466">
        <v>95.176918720555506</v>
      </c>
      <c r="AN6466">
        <v>1.0000000000676399</v>
      </c>
    </row>
    <row r="6467" spans="1:40" x14ac:dyDescent="0.25">
      <c r="A6467" t="str">
        <f>"20190312151151332"</f>
        <v>20190312151151332</v>
      </c>
      <c r="B6467" t="str">
        <f>"1552374711327557"</f>
        <v>1552374711327557</v>
      </c>
      <c r="C6467" t="s">
        <v>40</v>
      </c>
      <c r="D6467">
        <v>5.4066929999999997</v>
      </c>
      <c r="E6467">
        <v>0.4879521</v>
      </c>
      <c r="F6467" t="s">
        <v>96</v>
      </c>
      <c r="G6467">
        <v>-226.6987</v>
      </c>
      <c r="H6467" s="1">
        <v>-2.3309119999999999E-6</v>
      </c>
      <c r="I6467">
        <v>-61.908949999999997</v>
      </c>
      <c r="J6467">
        <v>-236.88829999999999</v>
      </c>
      <c r="K6467">
        <v>1.1096839999999999</v>
      </c>
      <c r="L6467">
        <v>-63.533360000000002</v>
      </c>
      <c r="M6467">
        <v>0.99949779999999999</v>
      </c>
      <c r="N6467">
        <v>0</v>
      </c>
      <c r="O6467">
        <v>2.995424E-2</v>
      </c>
      <c r="P6467">
        <v>0.99017319999999998</v>
      </c>
      <c r="Q6467">
        <v>7.0409860000000005E-2</v>
      </c>
      <c r="R6467">
        <v>0.1208284</v>
      </c>
      <c r="S6467">
        <v>2.9951020000000002</v>
      </c>
      <c r="T6467">
        <v>-0.32174930000000002</v>
      </c>
      <c r="U6467">
        <v>0.47216799999999998</v>
      </c>
      <c r="V6467">
        <v>-9.1062409999999996E-2</v>
      </c>
      <c r="W6467">
        <v>8.0729579999999995E-2</v>
      </c>
      <c r="X6467">
        <v>0.99256750000000005</v>
      </c>
      <c r="Y6467">
        <v>-0.12552730000000001</v>
      </c>
      <c r="Z6467">
        <v>3.495111E-3</v>
      </c>
      <c r="AA6467">
        <v>0.99208399999999997</v>
      </c>
      <c r="AB6467">
        <v>28</v>
      </c>
      <c r="AC6467">
        <v>10.189599999999899</v>
      </c>
      <c r="AD6467">
        <v>-1.109686330912</v>
      </c>
      <c r="AE6467">
        <v>1.6244099999999899</v>
      </c>
      <c r="AF6467">
        <v>-1.3033680816518001</v>
      </c>
      <c r="AG6467">
        <v>-1.109686330912</v>
      </c>
      <c r="AH6467">
        <v>10.116677232577199</v>
      </c>
      <c r="AI6467">
        <v>96.208772281980501</v>
      </c>
      <c r="AJ6467">
        <v>97.341183957732696</v>
      </c>
      <c r="AK6467">
        <v>10.2604741770265</v>
      </c>
      <c r="AL6467">
        <v>85.369496459974002</v>
      </c>
      <c r="AM6467">
        <v>95.241887005327698</v>
      </c>
      <c r="AN6467">
        <v>0.99999993482911498</v>
      </c>
    </row>
    <row r="6468" spans="1:40" x14ac:dyDescent="0.25">
      <c r="A6468" t="str">
        <f>"20190312151151344"</f>
        <v>20190312151151344</v>
      </c>
      <c r="B6468" t="str">
        <f>"1552374711337317"</f>
        <v>1552374711337317</v>
      </c>
      <c r="C6468" t="s">
        <v>40</v>
      </c>
      <c r="D6468">
        <v>5.2701849999999997</v>
      </c>
      <c r="E6468">
        <v>0.4879521</v>
      </c>
      <c r="F6468" t="s">
        <v>96</v>
      </c>
      <c r="G6468">
        <v>-226.52289999999999</v>
      </c>
      <c r="H6468" s="1">
        <v>-2.2512149999999999E-6</v>
      </c>
      <c r="I6468">
        <v>-61.889609999999998</v>
      </c>
      <c r="J6468">
        <v>-236.74680000000001</v>
      </c>
      <c r="K6468">
        <v>1.109685</v>
      </c>
      <c r="L6468">
        <v>-63.529269999999997</v>
      </c>
      <c r="M6468">
        <v>0.99950280000000002</v>
      </c>
      <c r="N6468">
        <v>0</v>
      </c>
      <c r="O6468">
        <v>2.9788640000000002E-2</v>
      </c>
      <c r="P6468">
        <v>0.99007060000000002</v>
      </c>
      <c r="Q6468">
        <v>7.0360359999999997E-2</v>
      </c>
      <c r="R6468">
        <v>0.121694899999999</v>
      </c>
      <c r="S6468">
        <v>2.9945979999999999</v>
      </c>
      <c r="T6468">
        <v>-0.32059189999999999</v>
      </c>
      <c r="U6468">
        <v>0.47488399999999997</v>
      </c>
      <c r="V6468">
        <v>-9.209639E-2</v>
      </c>
      <c r="W6468">
        <v>8.0683950000000004E-2</v>
      </c>
      <c r="X6468">
        <v>0.99247589999999997</v>
      </c>
      <c r="Y6468">
        <v>-0.12659200000000001</v>
      </c>
      <c r="Z6468">
        <v>3.5569740000000001E-3</v>
      </c>
      <c r="AA6468">
        <v>0.99194850000000001</v>
      </c>
      <c r="AB6468">
        <v>28</v>
      </c>
      <c r="AC6468">
        <v>10.2239</v>
      </c>
      <c r="AD6468">
        <v>-1.109687251215</v>
      </c>
      <c r="AE6468">
        <v>1.6396599999999899</v>
      </c>
      <c r="AF6468">
        <v>-1.3192085418181601</v>
      </c>
      <c r="AG6468">
        <v>-1.109687251215</v>
      </c>
      <c r="AH6468">
        <v>10.1516147334802</v>
      </c>
      <c r="AI6468">
        <v>96.186702791491697</v>
      </c>
      <c r="AJ6468">
        <v>97.404129383535604</v>
      </c>
      <c r="AK6468">
        <v>10.296941228798399</v>
      </c>
      <c r="AL6468">
        <v>85.372119857219104</v>
      </c>
      <c r="AM6468">
        <v>95.301555967993906</v>
      </c>
      <c r="AN6468">
        <v>1.0000000284597199</v>
      </c>
    </row>
    <row r="6469" spans="1:40" x14ac:dyDescent="0.25">
      <c r="A6469" t="str">
        <f>"20190312151151353"</f>
        <v>20190312151151353</v>
      </c>
      <c r="B6469" t="str">
        <f>"1552374711348053"</f>
        <v>1552374711348053</v>
      </c>
      <c r="C6469" t="s">
        <v>40</v>
      </c>
      <c r="D6469">
        <v>5.1776689999999999</v>
      </c>
      <c r="E6469">
        <v>0.4557619</v>
      </c>
      <c r="F6469" t="s">
        <v>96</v>
      </c>
      <c r="G6469">
        <v>-226.38820000000001</v>
      </c>
      <c r="H6469" s="1">
        <v>-2.190723E-6</v>
      </c>
      <c r="I6469">
        <v>-61.877400000000002</v>
      </c>
      <c r="J6469">
        <v>-236.6129</v>
      </c>
      <c r="K6469">
        <v>1.1096839999999999</v>
      </c>
      <c r="L6469">
        <v>-63.525419999999997</v>
      </c>
      <c r="M6469">
        <v>0.99950740000000005</v>
      </c>
      <c r="N6469">
        <v>0</v>
      </c>
      <c r="O6469">
        <v>2.9632220000000001E-2</v>
      </c>
      <c r="P6469">
        <v>0.98991629999999997</v>
      </c>
      <c r="Q6469">
        <v>7.0562910000000006E-2</v>
      </c>
      <c r="R6469">
        <v>0.1228276</v>
      </c>
      <c r="S6469">
        <v>2.994186</v>
      </c>
      <c r="T6469">
        <v>-0.32075870000000001</v>
      </c>
      <c r="U6469">
        <v>0.47747800000000001</v>
      </c>
      <c r="V6469">
        <v>-9.3388139999999994E-2</v>
      </c>
      <c r="W6469">
        <v>8.0889279999999994E-2</v>
      </c>
      <c r="X6469">
        <v>0.99233839999999995</v>
      </c>
      <c r="Y6469">
        <v>-0.1275993</v>
      </c>
      <c r="Z6469">
        <v>3.6291169999999998E-3</v>
      </c>
      <c r="AA6469">
        <v>0.99181909999999895</v>
      </c>
      <c r="AB6469">
        <v>28</v>
      </c>
      <c r="AC6469">
        <v>10.224699999999901</v>
      </c>
      <c r="AD6469">
        <v>-1.109686190723</v>
      </c>
      <c r="AE6469">
        <v>1.64801999999999</v>
      </c>
      <c r="AF6469">
        <v>-1.32904141612716</v>
      </c>
      <c r="AG6469">
        <v>-1.109686190723</v>
      </c>
      <c r="AH6469">
        <v>10.152490994735899</v>
      </c>
      <c r="AI6469">
        <v>96.185413539433597</v>
      </c>
      <c r="AJ6469">
        <v>97.458061286484906</v>
      </c>
      <c r="AK6469">
        <v>10.2990692747382</v>
      </c>
      <c r="AL6469">
        <v>85.360316418338996</v>
      </c>
      <c r="AM6469">
        <v>95.3762238104175</v>
      </c>
      <c r="AN6469">
        <v>0.99999996021306803</v>
      </c>
    </row>
    <row r="6470" spans="1:40" x14ac:dyDescent="0.25">
      <c r="A6470" t="str">
        <f>"20190312151151366"</f>
        <v>20190312151151366</v>
      </c>
      <c r="B6470" t="str">
        <f>"1552374711357814"</f>
        <v>1552374711357814</v>
      </c>
      <c r="C6470" t="s">
        <v>40</v>
      </c>
      <c r="D6470">
        <v>5.103326</v>
      </c>
      <c r="E6470">
        <v>0.45183250000000003</v>
      </c>
      <c r="F6470" t="s">
        <v>96</v>
      </c>
      <c r="G6470">
        <v>-225.39500000000001</v>
      </c>
      <c r="H6470" s="1">
        <v>-1.5120709999999999E-6</v>
      </c>
      <c r="I6470">
        <v>-60.741579999999999</v>
      </c>
      <c r="J6470">
        <v>-236.4699</v>
      </c>
      <c r="K6470">
        <v>1.1096839999999999</v>
      </c>
      <c r="L6470">
        <v>-63.521360000000001</v>
      </c>
      <c r="M6470">
        <v>0.99951230000000002</v>
      </c>
      <c r="N6470">
        <v>0</v>
      </c>
      <c r="O6470">
        <v>2.946493E-2</v>
      </c>
      <c r="P6470">
        <v>0.98982009999999998</v>
      </c>
      <c r="Q6470">
        <v>7.0433960000000004E-2</v>
      </c>
      <c r="R6470">
        <v>0.1236753</v>
      </c>
      <c r="S6470">
        <v>2.9602659999999998</v>
      </c>
      <c r="T6470">
        <v>-0.29283130000000002</v>
      </c>
      <c r="U6470">
        <v>0.73461909999999997</v>
      </c>
      <c r="V6470">
        <v>-9.4404500000000002E-2</v>
      </c>
      <c r="W6470">
        <v>8.0766180000000007E-2</v>
      </c>
      <c r="X6470">
        <v>0.99225229999999998</v>
      </c>
      <c r="Y6470">
        <v>-0.211316</v>
      </c>
      <c r="Z6470">
        <v>7.4099099999999996E-3</v>
      </c>
      <c r="AA6470">
        <v>0.97738970000000003</v>
      </c>
      <c r="AB6470">
        <v>28</v>
      </c>
      <c r="AC6470">
        <v>11.0748999999999</v>
      </c>
      <c r="AD6470">
        <v>-1.1096855120710001</v>
      </c>
      <c r="AE6470">
        <v>2.7797799999999802</v>
      </c>
      <c r="AF6470">
        <v>-2.4292904688735399</v>
      </c>
      <c r="AG6470">
        <v>-1.1096855120710001</v>
      </c>
      <c r="AH6470">
        <v>11.0476598030706</v>
      </c>
      <c r="AI6470">
        <v>95.602878104754396</v>
      </c>
      <c r="AJ6470">
        <v>102.401508498412</v>
      </c>
      <c r="AK6470">
        <v>11.3658981713827</v>
      </c>
      <c r="AL6470">
        <v>85.367392895297797</v>
      </c>
      <c r="AM6470">
        <v>95.434854543213504</v>
      </c>
      <c r="AN6470">
        <v>1.00000000615366</v>
      </c>
    </row>
    <row r="6471" spans="1:40" x14ac:dyDescent="0.25">
      <c r="A6471" t="str">
        <f>"20190312151151377"</f>
        <v>20190312151151377</v>
      </c>
      <c r="B6471" t="str">
        <f>"1552374711367574"</f>
        <v>1552374711367574</v>
      </c>
      <c r="C6471" t="s">
        <v>40</v>
      </c>
      <c r="D6471">
        <v>5.1409419999999999</v>
      </c>
      <c r="E6471">
        <v>0.44940200000000002</v>
      </c>
      <c r="F6471" t="s">
        <v>96</v>
      </c>
      <c r="G6471">
        <v>-225.06630000000001</v>
      </c>
      <c r="H6471" s="1">
        <v>-1.3301179999999901E-6</v>
      </c>
      <c r="I6471">
        <v>-60.557419999999901</v>
      </c>
      <c r="J6471">
        <v>-236.32900000000001</v>
      </c>
      <c r="K6471">
        <v>1.109683</v>
      </c>
      <c r="L6471">
        <v>-63.517359999999996</v>
      </c>
      <c r="M6471">
        <v>0.99951710000000005</v>
      </c>
      <c r="N6471">
        <v>0</v>
      </c>
      <c r="O6471">
        <v>2.9299970000000002E-2</v>
      </c>
      <c r="P6471">
        <v>0.98970650000000004</v>
      </c>
      <c r="Q6471">
        <v>7.0414969999999993E-2</v>
      </c>
      <c r="R6471">
        <v>0.1245907</v>
      </c>
      <c r="S6471">
        <v>2.9553219999999998</v>
      </c>
      <c r="T6471">
        <v>-0.28758240000000002</v>
      </c>
      <c r="U6471">
        <v>0.76812740000000002</v>
      </c>
      <c r="V6471">
        <v>-9.5486600000000005E-2</v>
      </c>
      <c r="W6471">
        <v>8.0752859999999996E-2</v>
      </c>
      <c r="X6471">
        <v>0.99214979999999997</v>
      </c>
      <c r="Y6471">
        <v>-0.22223570000000001</v>
      </c>
      <c r="Z6471">
        <v>7.8167840000000002E-3</v>
      </c>
      <c r="AA6471">
        <v>0.97496159999999998</v>
      </c>
      <c r="AB6471">
        <v>28</v>
      </c>
      <c r="AC6471">
        <v>11.262699999999899</v>
      </c>
      <c r="AD6471">
        <v>-1.1096843301179999</v>
      </c>
      <c r="AE6471">
        <v>2.95994</v>
      </c>
      <c r="AF6471">
        <v>-2.6049999905878698</v>
      </c>
      <c r="AG6471">
        <v>-1.1096843301179999</v>
      </c>
      <c r="AH6471">
        <v>11.2425075489805</v>
      </c>
      <c r="AI6471">
        <v>95.492491552740503</v>
      </c>
      <c r="AJ6471">
        <v>103.045776016985</v>
      </c>
      <c r="AK6471">
        <v>11.5935930691204</v>
      </c>
      <c r="AL6471">
        <v>85.368158410158401</v>
      </c>
      <c r="AM6471">
        <v>95.497335894446493</v>
      </c>
      <c r="AN6471">
        <v>0.99999997040888899</v>
      </c>
    </row>
    <row r="6472" spans="1:40" x14ac:dyDescent="0.25">
      <c r="A6472" t="str">
        <f>"20190312151151388"</f>
        <v>20190312151151388</v>
      </c>
      <c r="B6472" t="str">
        <f>"1552374711377334"</f>
        <v>1552374711377334</v>
      </c>
      <c r="C6472" t="s">
        <v>40</v>
      </c>
      <c r="D6472">
        <v>5.1539890000000002</v>
      </c>
      <c r="E6472">
        <v>0.44830560000000003</v>
      </c>
      <c r="F6472" t="s">
        <v>96</v>
      </c>
      <c r="G6472">
        <v>-225.87909999999999</v>
      </c>
      <c r="H6472" s="1">
        <v>-1.7147869999999999E-6</v>
      </c>
      <c r="I6472">
        <v>-60.719360000000002</v>
      </c>
      <c r="J6472">
        <v>-236.196</v>
      </c>
      <c r="K6472">
        <v>1.109683</v>
      </c>
      <c r="L6472">
        <v>-63.513640000000002</v>
      </c>
      <c r="M6472">
        <v>0.99952149999999995</v>
      </c>
      <c r="N6472">
        <v>0</v>
      </c>
      <c r="O6472">
        <v>2.91446E-2</v>
      </c>
      <c r="P6472">
        <v>0.98956940000000004</v>
      </c>
      <c r="Q6472">
        <v>7.0476529999999996E-2</v>
      </c>
      <c r="R6472">
        <v>0.12564069999999999</v>
      </c>
      <c r="S6472">
        <v>2.9539490000000002</v>
      </c>
      <c r="T6472">
        <v>-0.31368010000000002</v>
      </c>
      <c r="U6472">
        <v>0.79092410000000002</v>
      </c>
      <c r="V6472">
        <v>-9.6694749999999996E-2</v>
      </c>
      <c r="W6472">
        <v>8.0821320000000002E-2</v>
      </c>
      <c r="X6472">
        <v>0.9920272</v>
      </c>
      <c r="Y6472">
        <v>-0.22932810000000001</v>
      </c>
      <c r="Z6472">
        <v>8.9034390000000008E-3</v>
      </c>
      <c r="AA6472">
        <v>0.97330839999999996</v>
      </c>
      <c r="AB6472">
        <v>28</v>
      </c>
      <c r="AC6472">
        <v>10.3169</v>
      </c>
      <c r="AD6472">
        <v>-1.1096847147869999</v>
      </c>
      <c r="AE6472">
        <v>2.7942800000000001</v>
      </c>
      <c r="AF6472">
        <v>-2.46581710967686</v>
      </c>
      <c r="AG6472">
        <v>-1.1096847147869999</v>
      </c>
      <c r="AH6472">
        <v>10.2831233162327</v>
      </c>
      <c r="AI6472">
        <v>95.990599676116901</v>
      </c>
      <c r="AJ6472">
        <v>103.484498028937</v>
      </c>
      <c r="AK6472">
        <v>10.632698590736799</v>
      </c>
      <c r="AL6472">
        <v>85.364223043415393</v>
      </c>
      <c r="AM6472">
        <v>95.567140733719199</v>
      </c>
      <c r="AN6472">
        <v>0.99999996299197103</v>
      </c>
    </row>
    <row r="6473" spans="1:40" x14ac:dyDescent="0.25">
      <c r="A6473" t="str">
        <f>"20190312151151399"</f>
        <v>20190312151151399</v>
      </c>
      <c r="B6473" t="str">
        <f>"1552374711388070"</f>
        <v>1552374711388070</v>
      </c>
      <c r="C6473" t="s">
        <v>40</v>
      </c>
      <c r="D6473">
        <v>5.1447629999999904</v>
      </c>
      <c r="E6473">
        <v>0.44769530000000002</v>
      </c>
      <c r="F6473" t="s">
        <v>96</v>
      </c>
      <c r="G6473">
        <v>-226.06739999999999</v>
      </c>
      <c r="H6473" s="1">
        <v>-1.8044020000000001E-6</v>
      </c>
      <c r="I6473">
        <v>-60.758920000000003</v>
      </c>
      <c r="J6473">
        <v>-236.05699999999999</v>
      </c>
      <c r="K6473">
        <v>1.1096870000000001</v>
      </c>
      <c r="L6473">
        <v>-63.509740000000001</v>
      </c>
      <c r="M6473">
        <v>0.99952620000000003</v>
      </c>
      <c r="N6473">
        <v>0</v>
      </c>
      <c r="O6473">
        <v>2.8981779999999999E-2</v>
      </c>
      <c r="P6473">
        <v>0.98944290000000001</v>
      </c>
      <c r="Q6473">
        <v>7.0477499999999998E-2</v>
      </c>
      <c r="R6473">
        <v>0.12663269999999999</v>
      </c>
      <c r="S6473">
        <v>2.9527130000000001</v>
      </c>
      <c r="T6473">
        <v>-0.32350099999999998</v>
      </c>
      <c r="U6473">
        <v>0.80307010000000001</v>
      </c>
      <c r="V6473">
        <v>-9.7851199999999999E-2</v>
      </c>
      <c r="W6473">
        <v>8.0829869999999998E-2</v>
      </c>
      <c r="X6473">
        <v>0.99191309999999999</v>
      </c>
      <c r="Y6473">
        <v>-0.23322979999999999</v>
      </c>
      <c r="Z6473">
        <v>9.4063510000000003E-3</v>
      </c>
      <c r="AA6473">
        <v>0.97237620000000002</v>
      </c>
      <c r="AB6473">
        <v>28</v>
      </c>
      <c r="AC6473">
        <v>9.9896000000000207</v>
      </c>
      <c r="AD6473">
        <v>-1.1096888044019999</v>
      </c>
      <c r="AE6473">
        <v>2.75082</v>
      </c>
      <c r="AF6473">
        <v>-2.4322346886783501</v>
      </c>
      <c r="AG6473">
        <v>-1.1096888044019999</v>
      </c>
      <c r="AH6473">
        <v>9.9509933527749599</v>
      </c>
      <c r="AI6473">
        <v>96.182543619861804</v>
      </c>
      <c r="AJ6473">
        <v>103.735016756479</v>
      </c>
      <c r="AK6473">
        <v>10.303855760364501</v>
      </c>
      <c r="AL6473">
        <v>85.363731549944106</v>
      </c>
      <c r="AM6473">
        <v>95.633940708912405</v>
      </c>
      <c r="AN6473">
        <v>0.99999996158863202</v>
      </c>
    </row>
    <row r="6474" spans="1:40" x14ac:dyDescent="0.25">
      <c r="A6474" t="str">
        <f>"20190312151151409"</f>
        <v>20190312151151409</v>
      </c>
      <c r="B6474" t="str">
        <f>"1552374711397830"</f>
        <v>1552374711397830</v>
      </c>
      <c r="C6474" t="s">
        <v>40</v>
      </c>
      <c r="D6474">
        <v>5.1784889999999999</v>
      </c>
      <c r="E6474">
        <v>0.44725969999999998</v>
      </c>
      <c r="F6474" t="s">
        <v>96</v>
      </c>
      <c r="G6474">
        <v>-226.2295</v>
      </c>
      <c r="H6474" s="1">
        <v>-1.88508E-6</v>
      </c>
      <c r="I6474">
        <v>-60.809080000000002</v>
      </c>
      <c r="J6474">
        <v>-235.9213</v>
      </c>
      <c r="K6474">
        <v>1.1096839999999999</v>
      </c>
      <c r="L6474">
        <v>-63.505949999999999</v>
      </c>
      <c r="M6474">
        <v>0.99953069999999999</v>
      </c>
      <c r="N6474">
        <v>0</v>
      </c>
      <c r="O6474">
        <v>2.8823250000000002E-2</v>
      </c>
      <c r="P6474">
        <v>0.98929049999999996</v>
      </c>
      <c r="Q6474">
        <v>7.0753300000000005E-2</v>
      </c>
      <c r="R6474">
        <v>0.12766520000000001</v>
      </c>
      <c r="S6474">
        <v>2.9519500000000001</v>
      </c>
      <c r="T6474">
        <v>-0.33332610000000001</v>
      </c>
      <c r="U6474">
        <v>0.81121829999999995</v>
      </c>
      <c r="V6474">
        <v>-9.9044999999999994E-2</v>
      </c>
      <c r="W6474">
        <v>8.1112649999999994E-2</v>
      </c>
      <c r="X6474">
        <v>0.99177159999999998</v>
      </c>
      <c r="Y6474">
        <v>-0.23585829999999999</v>
      </c>
      <c r="Z6474">
        <v>9.8520949999999999E-3</v>
      </c>
      <c r="AA6474">
        <v>0.97173750000000003</v>
      </c>
      <c r="AB6474">
        <v>28</v>
      </c>
      <c r="AC6474">
        <v>9.6918000000000006</v>
      </c>
      <c r="AD6474">
        <v>-1.10968588508</v>
      </c>
      <c r="AE6474">
        <v>2.6968699999999899</v>
      </c>
      <c r="AF6474">
        <v>-2.3873372182993502</v>
      </c>
      <c r="AG6474">
        <v>-1.10968588508</v>
      </c>
      <c r="AH6474">
        <v>9.6481159595047092</v>
      </c>
      <c r="AI6474">
        <v>96.3706121824235</v>
      </c>
      <c r="AJ6474">
        <v>103.89815284529701</v>
      </c>
      <c r="AK6474">
        <v>10.000846130476701</v>
      </c>
      <c r="AL6474">
        <v>85.347476439812993</v>
      </c>
      <c r="AM6474">
        <v>95.703033597867503</v>
      </c>
      <c r="AN6474">
        <v>1.00000004029079</v>
      </c>
    </row>
    <row r="6475" spans="1:40" x14ac:dyDescent="0.25">
      <c r="A6475" t="str">
        <f>"20190312151151422"</f>
        <v>20190312151151422</v>
      </c>
      <c r="B6475" t="str">
        <f>"1552374711417350"</f>
        <v>1552374711417350</v>
      </c>
      <c r="C6475" t="s">
        <v>40</v>
      </c>
      <c r="D6475">
        <v>5.1450820000000004</v>
      </c>
      <c r="E6475">
        <v>0.44666620000000001</v>
      </c>
      <c r="F6475" t="s">
        <v>96</v>
      </c>
      <c r="G6475">
        <v>-226.298</v>
      </c>
      <c r="H6475" s="1">
        <v>-1.9210840000000001E-6</v>
      </c>
      <c r="I6475">
        <v>-60.838790000000003</v>
      </c>
      <c r="J6475">
        <v>-235.77809999999999</v>
      </c>
      <c r="K6475">
        <v>1.1096839999999999</v>
      </c>
      <c r="L6475">
        <v>-63.501980000000003</v>
      </c>
      <c r="M6475">
        <v>0.99953550000000002</v>
      </c>
      <c r="N6475">
        <v>0</v>
      </c>
      <c r="O6475">
        <v>2.8655710000000001E-2</v>
      </c>
      <c r="P6475">
        <v>0.98915580000000003</v>
      </c>
      <c r="Q6475">
        <v>7.0837769999999994E-2</v>
      </c>
      <c r="R6475">
        <v>0.12865950000000001</v>
      </c>
      <c r="S6475">
        <v>2.951263</v>
      </c>
      <c r="T6475">
        <v>-0.3403177</v>
      </c>
      <c r="U6475">
        <v>0.81796259999999998</v>
      </c>
      <c r="V6475">
        <v>-0.10020900000000001</v>
      </c>
      <c r="W6475">
        <v>8.1204369999999998E-2</v>
      </c>
      <c r="X6475">
        <v>0.9916471</v>
      </c>
      <c r="Y6475">
        <v>-0.2380758</v>
      </c>
      <c r="Z6475">
        <v>1.020072E-2</v>
      </c>
      <c r="AA6475">
        <v>0.97119299999999997</v>
      </c>
      <c r="AB6475">
        <v>28</v>
      </c>
      <c r="AC6475">
        <v>9.4800999999999895</v>
      </c>
      <c r="AD6475">
        <v>-1.109685921084</v>
      </c>
      <c r="AE6475">
        <v>2.6631900000000002</v>
      </c>
      <c r="AF6475">
        <v>-2.3604461786701099</v>
      </c>
      <c r="AG6475">
        <v>-1.109685921084</v>
      </c>
      <c r="AH6475">
        <v>9.4327354290032606</v>
      </c>
      <c r="AI6475">
        <v>96.510602728951895</v>
      </c>
      <c r="AJ6475">
        <v>104.049176067552</v>
      </c>
      <c r="AK6475">
        <v>9.7867056091119693</v>
      </c>
      <c r="AL6475">
        <v>85.342203606693701</v>
      </c>
      <c r="AM6475">
        <v>95.770326889511097</v>
      </c>
      <c r="AN6475">
        <v>0.99999998216325303</v>
      </c>
    </row>
    <row r="6476" spans="1:40" x14ac:dyDescent="0.25">
      <c r="A6476" t="str">
        <f>"20190312151151434"</f>
        <v>20190312151151434</v>
      </c>
      <c r="B6476" t="str">
        <f>"1552374711428086"</f>
        <v>1552374711428086</v>
      </c>
      <c r="C6476" t="s">
        <v>40</v>
      </c>
      <c r="D6476">
        <v>5.1231499999999999</v>
      </c>
      <c r="E6476">
        <v>0.44649990000000001</v>
      </c>
      <c r="F6476" t="s">
        <v>96</v>
      </c>
      <c r="G6476">
        <v>-226.40799999999999</v>
      </c>
      <c r="H6476" s="1">
        <v>-1.9774360000000001E-6</v>
      </c>
      <c r="I6476">
        <v>-60.880130000000001</v>
      </c>
      <c r="J6476">
        <v>-235.619</v>
      </c>
      <c r="K6476">
        <v>1.109688</v>
      </c>
      <c r="L6476">
        <v>-63.497619999999998</v>
      </c>
      <c r="M6476">
        <v>0.9995406</v>
      </c>
      <c r="N6476">
        <v>0</v>
      </c>
      <c r="O6476">
        <v>2.846976E-2</v>
      </c>
      <c r="P6476">
        <v>0.98902599999999996</v>
      </c>
      <c r="Q6476">
        <v>7.0952520000000005E-2</v>
      </c>
      <c r="R6476">
        <v>0.1295896</v>
      </c>
      <c r="S6476">
        <v>2.9505460000000001</v>
      </c>
      <c r="T6476">
        <v>-0.34942699999999999</v>
      </c>
      <c r="U6476">
        <v>0.82559199999999999</v>
      </c>
      <c r="V6476">
        <v>-0.1013271</v>
      </c>
      <c r="W6476">
        <v>8.1326979999999993E-2</v>
      </c>
      <c r="X6476">
        <v>0.99152340000000005</v>
      </c>
      <c r="Y6476">
        <v>-0.24056060000000001</v>
      </c>
      <c r="Z6476">
        <v>1.06363E-2</v>
      </c>
      <c r="AA6476">
        <v>0.97057590000000005</v>
      </c>
      <c r="AB6476">
        <v>28</v>
      </c>
      <c r="AC6476">
        <v>9.2110000000000394</v>
      </c>
      <c r="AD6476">
        <v>-1.1096899774360001</v>
      </c>
      <c r="AE6476">
        <v>2.6174899999999899</v>
      </c>
      <c r="AF6476">
        <v>-2.3229830063998298</v>
      </c>
      <c r="AG6476">
        <v>-1.1096899774360001</v>
      </c>
      <c r="AH6476">
        <v>9.1587902926499307</v>
      </c>
      <c r="AI6476">
        <v>96.698276793175793</v>
      </c>
      <c r="AJ6476">
        <v>104.23205437825099</v>
      </c>
      <c r="AK6476">
        <v>9.5137322602006709</v>
      </c>
      <c r="AL6476">
        <v>85.335155135239006</v>
      </c>
      <c r="AM6476">
        <v>95.834991493798796</v>
      </c>
      <c r="AN6476">
        <v>0.99999995580894396</v>
      </c>
    </row>
    <row r="6477" spans="1:40" x14ac:dyDescent="0.25">
      <c r="A6477" t="str">
        <f>"20190312151151446"</f>
        <v>20190312151151446</v>
      </c>
      <c r="B6477" t="str">
        <f>"1552374711437845"</f>
        <v>1552374711437845</v>
      </c>
      <c r="C6477" t="s">
        <v>40</v>
      </c>
      <c r="D6477">
        <v>5.3007559999999998</v>
      </c>
      <c r="E6477">
        <v>0.44649990000000001</v>
      </c>
      <c r="F6477" t="s">
        <v>96</v>
      </c>
      <c r="G6477">
        <v>-226.40170000000001</v>
      </c>
      <c r="H6477" s="1">
        <v>-1.980318E-6</v>
      </c>
      <c r="I6477">
        <v>-60.90513</v>
      </c>
      <c r="J6477">
        <v>-235.4692</v>
      </c>
      <c r="K6477">
        <v>1.109686</v>
      </c>
      <c r="L6477">
        <v>-63.49353</v>
      </c>
      <c r="M6477">
        <v>0.99954560000000003</v>
      </c>
      <c r="N6477">
        <v>0</v>
      </c>
      <c r="O6477">
        <v>2.829508E-2</v>
      </c>
      <c r="P6477">
        <v>0.98893949999999997</v>
      </c>
      <c r="Q6477">
        <v>7.0903090000000002E-2</v>
      </c>
      <c r="R6477">
        <v>0.1302748</v>
      </c>
      <c r="S6477">
        <v>2.950043</v>
      </c>
      <c r="T6477">
        <v>-0.35516310000000001</v>
      </c>
      <c r="U6477">
        <v>0.82974239999999999</v>
      </c>
      <c r="V6477">
        <v>-0.102187899999999</v>
      </c>
      <c r="W6477">
        <v>8.1285170000000004E-2</v>
      </c>
      <c r="X6477">
        <v>0.9914385</v>
      </c>
      <c r="Y6477">
        <v>-0.241983</v>
      </c>
      <c r="Z6477">
        <v>1.091374E-2</v>
      </c>
      <c r="AA6477">
        <v>0.9702191</v>
      </c>
      <c r="AB6477">
        <v>28</v>
      </c>
      <c r="AC6477">
        <v>9.0674999999999901</v>
      </c>
      <c r="AD6477">
        <v>-1.109687980318</v>
      </c>
      <c r="AE6477">
        <v>2.5884</v>
      </c>
      <c r="AF6477">
        <v>-2.2989468779343301</v>
      </c>
      <c r="AG6477">
        <v>-1.109687980318</v>
      </c>
      <c r="AH6477">
        <v>9.0123043898576203</v>
      </c>
      <c r="AI6477">
        <v>96.803780984002501</v>
      </c>
      <c r="AJ6477">
        <v>104.31038248937899</v>
      </c>
      <c r="AK6477">
        <v>9.3668668495219496</v>
      </c>
      <c r="AL6477">
        <v>85.337558707534598</v>
      </c>
      <c r="AM6477">
        <v>95.884715247366998</v>
      </c>
      <c r="AN6477">
        <v>0.99999997252529405</v>
      </c>
    </row>
    <row r="6478" spans="1:40" x14ac:dyDescent="0.25">
      <c r="A6478" t="str">
        <f>"20190312151151467"</f>
        <v>20190312151151467</v>
      </c>
      <c r="B6478" t="str">
        <f>"1552374711457365"</f>
        <v>1552374711457365</v>
      </c>
      <c r="C6478" t="s">
        <v>40</v>
      </c>
      <c r="D6478">
        <v>5.1555739999999997</v>
      </c>
      <c r="E6478">
        <v>0.4464185</v>
      </c>
      <c r="F6478" t="s">
        <v>96</v>
      </c>
      <c r="G6478">
        <v>-226.2593</v>
      </c>
      <c r="H6478" s="1">
        <v>-1.9173069999999998E-6</v>
      </c>
      <c r="I6478">
        <v>-60.896500000000003</v>
      </c>
      <c r="J6478">
        <v>-235.21260000000001</v>
      </c>
      <c r="K6478">
        <v>1.109685</v>
      </c>
      <c r="L6478">
        <v>-63.486539999999998</v>
      </c>
      <c r="M6478">
        <v>0.99955369999999999</v>
      </c>
      <c r="N6478">
        <v>0</v>
      </c>
      <c r="O6478">
        <v>2.799652E-2</v>
      </c>
      <c r="P6478">
        <v>0.98878790000000005</v>
      </c>
      <c r="Q6478">
        <v>7.0246669999999997E-2</v>
      </c>
      <c r="R6478">
        <v>0.131772</v>
      </c>
      <c r="S6478">
        <v>2.9494479999999998</v>
      </c>
      <c r="T6478">
        <v>-0.35537649999999998</v>
      </c>
      <c r="U6478">
        <v>0.83169559999999998</v>
      </c>
      <c r="V6478">
        <v>-0.10398549999999999</v>
      </c>
      <c r="W6478">
        <v>8.0640710000000004E-2</v>
      </c>
      <c r="X6478">
        <v>0.99130419999999997</v>
      </c>
      <c r="Y6478">
        <v>-0.24290870000000001</v>
      </c>
      <c r="Z6478">
        <v>1.101102E-2</v>
      </c>
      <c r="AA6478">
        <v>0.96998669999999998</v>
      </c>
      <c r="AB6478">
        <v>28</v>
      </c>
      <c r="AC6478">
        <v>8.9533000000000094</v>
      </c>
      <c r="AD6478">
        <v>-1.1096869173070001</v>
      </c>
      <c r="AE6478">
        <v>2.5900400000000001</v>
      </c>
      <c r="AF6478">
        <v>-2.3056663258881001</v>
      </c>
      <c r="AG6478">
        <v>-1.1096869173070001</v>
      </c>
      <c r="AH6478">
        <v>8.8962000208161101</v>
      </c>
      <c r="AI6478">
        <v>96.885001409007899</v>
      </c>
      <c r="AJ6478">
        <v>104.52989323760499</v>
      </c>
      <c r="AK6478">
        <v>9.2568826864741691</v>
      </c>
      <c r="AL6478">
        <v>85.374605120758403</v>
      </c>
      <c r="AM6478">
        <v>95.988293697824005</v>
      </c>
      <c r="AN6478">
        <v>0.99999996262859603</v>
      </c>
    </row>
    <row r="6479" spans="1:40" x14ac:dyDescent="0.25">
      <c r="A6479" t="str">
        <f>"20190312151151476"</f>
        <v>20190312151151476</v>
      </c>
      <c r="B6479" t="str">
        <f>"1552374711468102"</f>
        <v>1552374711468102</v>
      </c>
      <c r="C6479" t="s">
        <v>40</v>
      </c>
      <c r="D6479">
        <v>5.1443680000000001</v>
      </c>
      <c r="E6479">
        <v>0.44636540000000002</v>
      </c>
      <c r="F6479" t="s">
        <v>96</v>
      </c>
      <c r="G6479">
        <v>-226.23939999999999</v>
      </c>
      <c r="H6479" s="1">
        <v>-1.9182429999999998E-6</v>
      </c>
      <c r="I6479">
        <v>-60.939169999999997</v>
      </c>
      <c r="J6479">
        <v>-235.08260000000001</v>
      </c>
      <c r="K6479">
        <v>1.109683</v>
      </c>
      <c r="L6479">
        <v>-63.483060000000002</v>
      </c>
      <c r="M6479">
        <v>0.9995581</v>
      </c>
      <c r="N6479">
        <v>0</v>
      </c>
      <c r="O6479">
        <v>2.7845390000000001E-2</v>
      </c>
      <c r="P6479">
        <v>0.98875150000000001</v>
      </c>
      <c r="Q6479">
        <v>6.997101E-2</v>
      </c>
      <c r="R6479">
        <v>0.13219210000000001</v>
      </c>
      <c r="S6479">
        <v>2.9483640000000002</v>
      </c>
      <c r="T6479">
        <v>-0.364616</v>
      </c>
      <c r="U6479">
        <v>0.83700560000000002</v>
      </c>
      <c r="V6479">
        <v>-0.10455680000000001</v>
      </c>
      <c r="W6479">
        <v>8.0371219999999993E-2</v>
      </c>
      <c r="X6479">
        <v>0.99126599999999998</v>
      </c>
      <c r="Y6479">
        <v>-0.24467639999999999</v>
      </c>
      <c r="Z6479">
        <v>1.1421600000000001E-2</v>
      </c>
      <c r="AA6479">
        <v>0.9695376</v>
      </c>
      <c r="AB6479">
        <v>28</v>
      </c>
      <c r="AC6479">
        <v>8.8432000000000208</v>
      </c>
      <c r="AD6479">
        <v>-1.109684918243</v>
      </c>
      <c r="AE6479">
        <v>2.54388999999999</v>
      </c>
      <c r="AF6479">
        <v>-2.2637266100579101</v>
      </c>
      <c r="AG6479">
        <v>-1.109684918243</v>
      </c>
      <c r="AH6479">
        <v>8.7828813329497599</v>
      </c>
      <c r="AI6479">
        <v>96.975346224875096</v>
      </c>
      <c r="AJ6479">
        <v>104.453024071215</v>
      </c>
      <c r="AK6479">
        <v>9.1375523687439202</v>
      </c>
      <c r="AL6479">
        <v>85.390096077059596</v>
      </c>
      <c r="AM6479">
        <v>96.021182895713196</v>
      </c>
      <c r="AN6479">
        <v>0.99999997009326302</v>
      </c>
    </row>
    <row r="6480" spans="1:40" x14ac:dyDescent="0.25">
      <c r="A6480" t="str">
        <f>"20190312151151488"</f>
        <v>20190312151151488</v>
      </c>
      <c r="B6480" t="str">
        <f>"1552374711477861"</f>
        <v>1552374711477861</v>
      </c>
      <c r="C6480" t="s">
        <v>40</v>
      </c>
      <c r="D6480">
        <v>5.1464309999999998</v>
      </c>
      <c r="E6480">
        <v>0.44624710000000001</v>
      </c>
      <c r="F6480" t="s">
        <v>96</v>
      </c>
      <c r="G6480">
        <v>-226.2216</v>
      </c>
      <c r="H6480" s="1">
        <v>-1.915526E-6</v>
      </c>
      <c r="I6480">
        <v>-60.96134</v>
      </c>
      <c r="J6480">
        <v>-234.93950000000001</v>
      </c>
      <c r="K6480">
        <v>1.109683</v>
      </c>
      <c r="L6480">
        <v>-63.47925</v>
      </c>
      <c r="M6480">
        <v>0.99956239999999996</v>
      </c>
      <c r="N6480">
        <v>0</v>
      </c>
      <c r="O6480">
        <v>2.767996E-2</v>
      </c>
      <c r="P6480">
        <v>0.9886836</v>
      </c>
      <c r="Q6480">
        <v>6.9739410000000002E-2</v>
      </c>
      <c r="R6480">
        <v>0.1328201</v>
      </c>
      <c r="S6480">
        <v>2.948105</v>
      </c>
      <c r="T6480">
        <v>-0.36919760000000001</v>
      </c>
      <c r="U6480">
        <v>0.83898930000000005</v>
      </c>
      <c r="V6480">
        <v>-0.1053504</v>
      </c>
      <c r="W6480">
        <v>8.0145919999999995E-2</v>
      </c>
      <c r="X6480">
        <v>0.99120030000000003</v>
      </c>
      <c r="Y6480">
        <v>-0.24541779999999999</v>
      </c>
      <c r="Z6480">
        <v>1.1629570000000001E-2</v>
      </c>
      <c r="AA6480">
        <v>0.96934770000000003</v>
      </c>
      <c r="AB6480">
        <v>28</v>
      </c>
      <c r="AC6480">
        <v>8.7179000000000109</v>
      </c>
      <c r="AD6480">
        <v>-1.109684915526</v>
      </c>
      <c r="AE6480">
        <v>2.5179100000000001</v>
      </c>
      <c r="AF6480">
        <v>-2.2420909105083502</v>
      </c>
      <c r="AG6480">
        <v>-1.109684915526</v>
      </c>
      <c r="AH6480">
        <v>8.6548277216455407</v>
      </c>
      <c r="AI6480">
        <v>97.075282853306305</v>
      </c>
      <c r="AJ6480">
        <v>104.523578481678</v>
      </c>
      <c r="AK6480">
        <v>9.0091295447503903</v>
      </c>
      <c r="AL6480">
        <v>85.403046985097504</v>
      </c>
      <c r="AM6480">
        <v>96.066944050461203</v>
      </c>
      <c r="AN6480">
        <v>1.0000000549964401</v>
      </c>
    </row>
    <row r="6481" spans="1:40" x14ac:dyDescent="0.25">
      <c r="A6481" t="str">
        <f>"20190312151151499"</f>
        <v>20190312151151499</v>
      </c>
      <c r="B6481" t="str">
        <f>"1552374711487621"</f>
        <v>1552374711487621</v>
      </c>
      <c r="C6481" t="s">
        <v>40</v>
      </c>
      <c r="D6481">
        <v>5.1424810000000001</v>
      </c>
      <c r="E6481">
        <v>0.44623420000000003</v>
      </c>
      <c r="F6481" t="s">
        <v>96</v>
      </c>
      <c r="G6481">
        <v>-226.1748</v>
      </c>
      <c r="H6481" s="1">
        <v>-1.898735E-6</v>
      </c>
      <c r="I6481">
        <v>-60.976120000000002</v>
      </c>
      <c r="J6481">
        <v>-234.80760000000001</v>
      </c>
      <c r="K6481">
        <v>1.1096870000000001</v>
      </c>
      <c r="L6481">
        <v>-63.475740000000002</v>
      </c>
      <c r="M6481">
        <v>0.99956659999999997</v>
      </c>
      <c r="N6481">
        <v>0</v>
      </c>
      <c r="O6481">
        <v>2.7527530000000001E-2</v>
      </c>
      <c r="P6481">
        <v>0.98860170000000003</v>
      </c>
      <c r="Q6481">
        <v>6.9549230000000004E-2</v>
      </c>
      <c r="R6481">
        <v>0.1335286</v>
      </c>
      <c r="S6481">
        <v>2.9475560000000001</v>
      </c>
      <c r="T6481">
        <v>-0.37318489999999999</v>
      </c>
      <c r="U6481">
        <v>0.84179689999999996</v>
      </c>
      <c r="V6481">
        <v>-0.10621269999999999</v>
      </c>
      <c r="W6481">
        <v>7.9961039999999997E-2</v>
      </c>
      <c r="X6481">
        <v>0.99112310000000003</v>
      </c>
      <c r="Y6481">
        <v>-0.24642420000000001</v>
      </c>
      <c r="Z6481">
        <v>1.183589E-2</v>
      </c>
      <c r="AA6481">
        <v>0.9690898</v>
      </c>
      <c r="AB6481">
        <v>28</v>
      </c>
      <c r="AC6481">
        <v>8.6327999999999996</v>
      </c>
      <c r="AD6481">
        <v>-1.109688898735</v>
      </c>
      <c r="AE6481">
        <v>2.4996200000000002</v>
      </c>
      <c r="AF6481">
        <v>-2.2270678605212799</v>
      </c>
      <c r="AG6481">
        <v>-1.109688898735</v>
      </c>
      <c r="AH6481">
        <v>8.5677232604571198</v>
      </c>
      <c r="AI6481">
        <v>97.144986137568793</v>
      </c>
      <c r="AJ6481">
        <v>104.570832437726</v>
      </c>
      <c r="AK6481">
        <v>8.9217219512334296</v>
      </c>
      <c r="AL6481">
        <v>85.413673463405303</v>
      </c>
      <c r="AM6481">
        <v>96.116700303510896</v>
      </c>
      <c r="AN6481">
        <v>0.99999995245638895</v>
      </c>
    </row>
    <row r="6482" spans="1:40" x14ac:dyDescent="0.25">
      <c r="A6482" t="str">
        <f>"20190312151151511"</f>
        <v>20190312151151511</v>
      </c>
      <c r="B6482" t="str">
        <f>"1552374711508118"</f>
        <v>1552374711508118</v>
      </c>
      <c r="C6482" t="s">
        <v>40</v>
      </c>
      <c r="D6482">
        <v>5.2141799999999998</v>
      </c>
      <c r="E6482">
        <v>0.44635049999999998</v>
      </c>
      <c r="F6482" t="s">
        <v>96</v>
      </c>
      <c r="G6482">
        <v>-226.12139999999999</v>
      </c>
      <c r="H6482" s="1">
        <v>-1.8785230000000001E-6</v>
      </c>
      <c r="I6482">
        <v>-60.988219999999998</v>
      </c>
      <c r="J6482">
        <v>-234.6671</v>
      </c>
      <c r="K6482">
        <v>1.1096839999999999</v>
      </c>
      <c r="L6482">
        <v>-63.472019999999901</v>
      </c>
      <c r="M6482">
        <v>0.99957099999999999</v>
      </c>
      <c r="N6482">
        <v>0</v>
      </c>
      <c r="O6482">
        <v>2.7365199999999999E-2</v>
      </c>
      <c r="P6482">
        <v>0.98855979999999999</v>
      </c>
      <c r="Q6482">
        <v>6.9369970000000003E-2</v>
      </c>
      <c r="R6482">
        <v>0.13393070000000001</v>
      </c>
      <c r="S6482">
        <v>2.9470670000000001</v>
      </c>
      <c r="T6482">
        <v>-0.3764942</v>
      </c>
      <c r="U6482">
        <v>0.84396360000000004</v>
      </c>
      <c r="V6482">
        <v>-0.106777</v>
      </c>
      <c r="W6482">
        <v>7.9787540000000004E-2</v>
      </c>
      <c r="X6482">
        <v>0.99107650000000003</v>
      </c>
      <c r="Y6482">
        <v>-0.24724640000000001</v>
      </c>
      <c r="Z6482">
        <v>1.201227E-2</v>
      </c>
      <c r="AA6482">
        <v>0.96887820000000002</v>
      </c>
      <c r="AB6482">
        <v>28</v>
      </c>
      <c r="AC6482">
        <v>8.5457000000000001</v>
      </c>
      <c r="AD6482">
        <v>-1.1096858785229999</v>
      </c>
      <c r="AE6482">
        <v>2.4837999999999898</v>
      </c>
      <c r="AF6482">
        <v>-2.2145692755005002</v>
      </c>
      <c r="AG6482">
        <v>-1.1096858785229999</v>
      </c>
      <c r="AH6482">
        <v>8.4786437107312302</v>
      </c>
      <c r="AI6482">
        <v>97.217056166496405</v>
      </c>
      <c r="AJ6482">
        <v>104.638266879573</v>
      </c>
      <c r="AK6482">
        <v>8.8330696249099301</v>
      </c>
      <c r="AL6482">
        <v>85.4236463815691</v>
      </c>
      <c r="AM6482">
        <v>96.149236470989706</v>
      </c>
      <c r="AN6482">
        <v>1.0000000040602499</v>
      </c>
    </row>
    <row r="6483" spans="1:40" x14ac:dyDescent="0.25">
      <c r="A6483" t="str">
        <f>"20190312151151522"</f>
        <v>20190312151151522</v>
      </c>
      <c r="B6483" t="str">
        <f>"1552374711517878"</f>
        <v>1552374711517878</v>
      </c>
      <c r="C6483" t="s">
        <v>40</v>
      </c>
      <c r="D6483">
        <v>5.1452210000000003</v>
      </c>
      <c r="E6483">
        <v>0.44632919999999998</v>
      </c>
      <c r="F6483" t="s">
        <v>96</v>
      </c>
      <c r="G6483">
        <v>-226.0513</v>
      </c>
      <c r="H6483" s="1">
        <v>-1.8518800000000001E-6</v>
      </c>
      <c r="I6483">
        <v>-61.003599999999999</v>
      </c>
      <c r="J6483">
        <v>-234.5215</v>
      </c>
      <c r="K6483">
        <v>1.1096839999999999</v>
      </c>
      <c r="L6483">
        <v>-63.468200000000003</v>
      </c>
      <c r="M6483">
        <v>0.99957569999999996</v>
      </c>
      <c r="N6483">
        <v>0</v>
      </c>
      <c r="O6483">
        <v>2.7197269999999999E-2</v>
      </c>
      <c r="P6483">
        <v>0.98852340000000005</v>
      </c>
      <c r="Q6483">
        <v>6.8750210000000006E-2</v>
      </c>
      <c r="R6483">
        <v>0.13451759999999999</v>
      </c>
      <c r="S6483">
        <v>2.9469449999999999</v>
      </c>
      <c r="T6483">
        <v>-0.37955810000000001</v>
      </c>
      <c r="U6483">
        <v>0.84429929999999997</v>
      </c>
      <c r="V6483">
        <v>-0.1075318</v>
      </c>
      <c r="W6483">
        <v>7.9173889999999997E-2</v>
      </c>
      <c r="X6483">
        <v>0.99104409999999998</v>
      </c>
      <c r="Y6483">
        <v>-0.24749160000000001</v>
      </c>
      <c r="Z6483">
        <v>1.214607E-2</v>
      </c>
      <c r="AA6483">
        <v>0.96881390000000001</v>
      </c>
      <c r="AB6483">
        <v>28</v>
      </c>
      <c r="AC6483">
        <v>8.4702000000000002</v>
      </c>
      <c r="AD6483">
        <v>-1.1096858518799999</v>
      </c>
      <c r="AE6483">
        <v>2.4645999999999999</v>
      </c>
      <c r="AF6483">
        <v>-2.1985199307846002</v>
      </c>
      <c r="AG6483">
        <v>-1.1096858518799999</v>
      </c>
      <c r="AH6483">
        <v>8.4011602622087693</v>
      </c>
      <c r="AI6483">
        <v>97.2820280224649</v>
      </c>
      <c r="AJ6483">
        <v>104.665007031131</v>
      </c>
      <c r="AK6483">
        <v>8.7546779682199407</v>
      </c>
      <c r="AL6483">
        <v>85.4589175045612</v>
      </c>
      <c r="AM6483">
        <v>96.192569381103397</v>
      </c>
      <c r="AN6483">
        <v>1.0000000005068901</v>
      </c>
    </row>
    <row r="6484" spans="1:40" x14ac:dyDescent="0.25">
      <c r="A6484" t="str">
        <f>"20190312151151533"</f>
        <v>20190312151151533</v>
      </c>
      <c r="B6484" t="str">
        <f>"1552374711527638"</f>
        <v>1552374711527638</v>
      </c>
      <c r="C6484" t="s">
        <v>40</v>
      </c>
      <c r="D6484">
        <v>5.1502239999999997</v>
      </c>
      <c r="E6484">
        <v>0.44640170000000001</v>
      </c>
      <c r="F6484" t="s">
        <v>96</v>
      </c>
      <c r="G6484">
        <v>-225.9768</v>
      </c>
      <c r="H6484" s="1">
        <v>-1.822394E-6</v>
      </c>
      <c r="I6484">
        <v>-61.014740000000003</v>
      </c>
      <c r="J6484">
        <v>-234.3751</v>
      </c>
      <c r="K6484">
        <v>1.1096839999999999</v>
      </c>
      <c r="L6484">
        <v>-63.464390000000002</v>
      </c>
      <c r="M6484">
        <v>0.99958000000000002</v>
      </c>
      <c r="N6484">
        <v>0</v>
      </c>
      <c r="O6484">
        <v>2.7028799999999999E-2</v>
      </c>
      <c r="P6484">
        <v>0.98847629999999997</v>
      </c>
      <c r="Q6484">
        <v>6.8545149999999999E-2</v>
      </c>
      <c r="R6484">
        <v>0.13496759999999999</v>
      </c>
      <c r="S6484">
        <v>2.946304</v>
      </c>
      <c r="T6484">
        <v>-0.38263019999999998</v>
      </c>
      <c r="U6484">
        <v>0.8459778</v>
      </c>
      <c r="V6484">
        <v>-0.1081502</v>
      </c>
      <c r="W6484">
        <v>7.8974249999999996E-2</v>
      </c>
      <c r="X6484">
        <v>0.99099269999999995</v>
      </c>
      <c r="Y6484">
        <v>-0.2481862</v>
      </c>
      <c r="Z6484">
        <v>1.231058E-2</v>
      </c>
      <c r="AA6484">
        <v>0.96863410000000005</v>
      </c>
      <c r="AB6484">
        <v>28</v>
      </c>
      <c r="AC6484">
        <v>8.3983000000000008</v>
      </c>
      <c r="AD6484">
        <v>-1.109685822394</v>
      </c>
      <c r="AE6484">
        <v>2.4496499999999899</v>
      </c>
      <c r="AF6484">
        <v>-2.1865647611021202</v>
      </c>
      <c r="AG6484">
        <v>-1.109685822394</v>
      </c>
      <c r="AH6484">
        <v>8.3274574180942107</v>
      </c>
      <c r="AI6484">
        <v>97.344208154102006</v>
      </c>
      <c r="AJ6484">
        <v>104.71221218812001</v>
      </c>
      <c r="AK6484">
        <v>8.6809570399287299</v>
      </c>
      <c r="AL6484">
        <v>85.470391800889104</v>
      </c>
      <c r="AM6484">
        <v>96.228223387782606</v>
      </c>
      <c r="AN6484">
        <v>0.99999996468819496</v>
      </c>
    </row>
    <row r="6485" spans="1:40" x14ac:dyDescent="0.25">
      <c r="A6485" t="str">
        <f>"20190312151151544"</f>
        <v>20190312151151544</v>
      </c>
      <c r="B6485" t="str">
        <f>"1552374711538157"</f>
        <v>1552374711538157</v>
      </c>
      <c r="C6485" t="s">
        <v>40</v>
      </c>
      <c r="D6485">
        <v>5.1380990000000004</v>
      </c>
      <c r="E6485">
        <v>0.44629259999999898</v>
      </c>
      <c r="F6485" t="s">
        <v>96</v>
      </c>
      <c r="G6485">
        <v>-225.8801</v>
      </c>
      <c r="H6485" s="1">
        <v>-1.7825749999999901E-6</v>
      </c>
      <c r="I6485">
        <v>-61.022239999999996</v>
      </c>
      <c r="J6485">
        <v>-234.24469999999999</v>
      </c>
      <c r="K6485">
        <v>1.10968</v>
      </c>
      <c r="L6485">
        <v>-63.461030000000001</v>
      </c>
      <c r="M6485">
        <v>0.99958400000000003</v>
      </c>
      <c r="N6485">
        <v>0</v>
      </c>
      <c r="O6485">
        <v>2.687875E-2</v>
      </c>
      <c r="P6485">
        <v>0.98842010000000002</v>
      </c>
      <c r="Q6485">
        <v>6.8653539999999999E-2</v>
      </c>
      <c r="R6485">
        <v>0.13532449999999999</v>
      </c>
      <c r="S6485">
        <v>2.9460299999999999</v>
      </c>
      <c r="T6485">
        <v>-0.38483319999999999</v>
      </c>
      <c r="U6485">
        <v>0.8469238</v>
      </c>
      <c r="V6485">
        <v>-0.1086572</v>
      </c>
      <c r="W6485">
        <v>7.9086909999999996E-2</v>
      </c>
      <c r="X6485">
        <v>0.99092829999999998</v>
      </c>
      <c r="Y6485">
        <v>-0.24861839999999999</v>
      </c>
      <c r="Z6485">
        <v>1.2428120000000001E-2</v>
      </c>
      <c r="AA6485">
        <v>0.96852179999999999</v>
      </c>
      <c r="AB6485">
        <v>28</v>
      </c>
      <c r="AC6485">
        <v>8.3645999999999905</v>
      </c>
      <c r="AD6485">
        <v>-1.1096817825749901</v>
      </c>
      <c r="AE6485">
        <v>2.43879</v>
      </c>
      <c r="AF6485">
        <v>-2.1777416546039001</v>
      </c>
      <c r="AG6485">
        <v>-1.1096817825749901</v>
      </c>
      <c r="AH6485">
        <v>8.2926193896547495</v>
      </c>
      <c r="AI6485">
        <v>97.374626233839294</v>
      </c>
      <c r="AJ6485">
        <v>104.714309070258</v>
      </c>
      <c r="AK6485">
        <v>8.6453159985308705</v>
      </c>
      <c r="AL6485">
        <v>85.463916815904696</v>
      </c>
      <c r="AM6485">
        <v>96.257593194094099</v>
      </c>
      <c r="AN6485">
        <v>1.0000000110930301</v>
      </c>
    </row>
    <row r="6486" spans="1:40" x14ac:dyDescent="0.25">
      <c r="A6486" t="str">
        <f>"20190312151151554"</f>
        <v>20190312151151554</v>
      </c>
      <c r="B6486" t="str">
        <f>"1552374711547917"</f>
        <v>1552374711547917</v>
      </c>
      <c r="C6486" t="s">
        <v>40</v>
      </c>
      <c r="D6486">
        <v>5.1152629999999997</v>
      </c>
      <c r="E6486">
        <v>0.44623449999999998</v>
      </c>
      <c r="F6486" t="s">
        <v>96</v>
      </c>
      <c r="G6486">
        <v>-225.77279999999999</v>
      </c>
      <c r="H6486" s="1">
        <v>-1.7359909999999999E-6</v>
      </c>
      <c r="I6486">
        <v>-61.019739999999999</v>
      </c>
      <c r="J6486">
        <v>-234.10890000000001</v>
      </c>
      <c r="K6486">
        <v>1.1096809999999999</v>
      </c>
      <c r="L6486">
        <v>-63.457520000000002</v>
      </c>
      <c r="M6486">
        <v>0.99958820000000004</v>
      </c>
      <c r="N6486">
        <v>0</v>
      </c>
      <c r="O6486">
        <v>2.6722739999999998E-2</v>
      </c>
      <c r="P6486">
        <v>0.9883883</v>
      </c>
      <c r="Q6486">
        <v>6.8227300000000005E-2</v>
      </c>
      <c r="R6486">
        <v>0.13577069999999999</v>
      </c>
      <c r="S6486">
        <v>2.9457239999999998</v>
      </c>
      <c r="T6486">
        <v>-0.38584079999999998</v>
      </c>
      <c r="U6486">
        <v>0.8488464</v>
      </c>
      <c r="V6486">
        <v>-0.109259</v>
      </c>
      <c r="W6486">
        <v>7.8665260000000001E-2</v>
      </c>
      <c r="X6486">
        <v>0.99089570000000005</v>
      </c>
      <c r="Y6486">
        <v>-0.2493638</v>
      </c>
      <c r="Z6486">
        <v>1.25281E-2</v>
      </c>
      <c r="AA6486">
        <v>0.96832879999999999</v>
      </c>
      <c r="AB6486">
        <v>28</v>
      </c>
      <c r="AC6486">
        <v>8.3361000000000107</v>
      </c>
      <c r="AD6486">
        <v>-1.109682735991</v>
      </c>
      <c r="AE6486">
        <v>2.4377799999999801</v>
      </c>
      <c r="AF6486">
        <v>-2.1785701088695499</v>
      </c>
      <c r="AG6486">
        <v>-1.109682735991</v>
      </c>
      <c r="AH6486">
        <v>8.2633766675296201</v>
      </c>
      <c r="AI6486">
        <v>97.398587264014594</v>
      </c>
      <c r="AJ6486">
        <v>104.7694807579</v>
      </c>
      <c r="AK6486">
        <v>8.6174797616988492</v>
      </c>
      <c r="AL6486">
        <v>85.488151126233404</v>
      </c>
      <c r="AM6486">
        <v>96.292179127831901</v>
      </c>
      <c r="AN6486">
        <v>1.00000002024517</v>
      </c>
    </row>
    <row r="6487" spans="1:40" x14ac:dyDescent="0.25">
      <c r="A6487" t="str">
        <f>"20190312151151567"</f>
        <v>20190312151151567</v>
      </c>
      <c r="B6487" t="str">
        <f>"1552374711557679"</f>
        <v>1552374711557679</v>
      </c>
      <c r="C6487" t="s">
        <v>40</v>
      </c>
      <c r="D6487">
        <v>5.1331419999999897</v>
      </c>
      <c r="E6487">
        <v>0.44622479999999998</v>
      </c>
      <c r="F6487" t="s">
        <v>96</v>
      </c>
      <c r="G6487">
        <v>-225.71979999999999</v>
      </c>
      <c r="H6487" s="1">
        <v>-1.7165589999999999E-6</v>
      </c>
      <c r="I6487">
        <v>-61.03454</v>
      </c>
      <c r="J6487">
        <v>-233.9597</v>
      </c>
      <c r="K6487">
        <v>1.10968</v>
      </c>
      <c r="L6487">
        <v>-63.453699999999998</v>
      </c>
      <c r="M6487">
        <v>0.9995927</v>
      </c>
      <c r="N6487">
        <v>0</v>
      </c>
      <c r="O6487">
        <v>2.655159E-2</v>
      </c>
      <c r="P6487">
        <v>0.98835759999999995</v>
      </c>
      <c r="Q6487">
        <v>6.8363599999999997E-2</v>
      </c>
      <c r="R6487">
        <v>0.13592589999999999</v>
      </c>
      <c r="S6487">
        <v>2.9452820000000002</v>
      </c>
      <c r="T6487">
        <v>-0.38959519999999997</v>
      </c>
      <c r="U6487">
        <v>0.85067749999999998</v>
      </c>
      <c r="V6487">
        <v>-0.10958519999999899</v>
      </c>
      <c r="W6487">
        <v>7.880645E-2</v>
      </c>
      <c r="X6487">
        <v>0.99084839999999996</v>
      </c>
      <c r="Y6487">
        <v>-0.25008239999999998</v>
      </c>
      <c r="Z6487">
        <v>1.2718220000000001E-2</v>
      </c>
      <c r="AA6487">
        <v>0.96814100000000003</v>
      </c>
      <c r="AB6487">
        <v>28</v>
      </c>
      <c r="AC6487">
        <v>8.2399000000000004</v>
      </c>
      <c r="AD6487">
        <v>-1.1096817165590001</v>
      </c>
      <c r="AE6487">
        <v>2.41915999999999</v>
      </c>
      <c r="AF6487">
        <v>-2.16338993776594</v>
      </c>
      <c r="AG6487">
        <v>-1.1096817165590001</v>
      </c>
      <c r="AH6487">
        <v>8.1648993611932603</v>
      </c>
      <c r="AI6487">
        <v>97.484394408614307</v>
      </c>
      <c r="AJ6487">
        <v>104.84020494590401</v>
      </c>
      <c r="AK6487">
        <v>8.51922714295765</v>
      </c>
      <c r="AL6487">
        <v>85.480036080147698</v>
      </c>
      <c r="AM6487">
        <v>96.311112328590497</v>
      </c>
      <c r="AN6487">
        <v>0.99999996220160003</v>
      </c>
    </row>
    <row r="6488" spans="1:40" x14ac:dyDescent="0.25">
      <c r="A6488" t="str">
        <f>"20190312151151578"</f>
        <v>20190312151151578</v>
      </c>
      <c r="B6488" t="str">
        <f>"1552374711567438"</f>
        <v>1552374711567438</v>
      </c>
      <c r="C6488" t="s">
        <v>40</v>
      </c>
      <c r="D6488">
        <v>5.3788099999999996</v>
      </c>
      <c r="E6488">
        <v>0.44636670000000001</v>
      </c>
      <c r="F6488" t="s">
        <v>96</v>
      </c>
      <c r="G6488">
        <v>-225.60910000000001</v>
      </c>
      <c r="H6488" s="1">
        <v>-1.6702990000000001E-6</v>
      </c>
      <c r="I6488">
        <v>-61.040100000000002</v>
      </c>
      <c r="J6488">
        <v>-233.82390000000001</v>
      </c>
      <c r="K6488">
        <v>1.1096779999999999</v>
      </c>
      <c r="L6488">
        <v>-63.450229999999998</v>
      </c>
      <c r="M6488">
        <v>0.99959679999999995</v>
      </c>
      <c r="N6488">
        <v>0</v>
      </c>
      <c r="O6488">
        <v>2.6395700000000001E-2</v>
      </c>
      <c r="P6488">
        <v>0.98829389999999995</v>
      </c>
      <c r="Q6488">
        <v>6.8326349999999994E-2</v>
      </c>
      <c r="R6488">
        <v>0.13640629999999901</v>
      </c>
      <c r="S6488">
        <v>2.9453130000000001</v>
      </c>
      <c r="T6488">
        <v>-0.39139000000000002</v>
      </c>
      <c r="U6488">
        <v>0.85128780000000004</v>
      </c>
      <c r="V6488">
        <v>-0.1102214</v>
      </c>
      <c r="W6488">
        <v>7.8773170000000003E-2</v>
      </c>
      <c r="X6488">
        <v>0.99078049999999995</v>
      </c>
      <c r="Y6488">
        <v>-0.2503957</v>
      </c>
      <c r="Z6488">
        <v>1.2816330000000001E-2</v>
      </c>
      <c r="AA6488">
        <v>0.9680588</v>
      </c>
      <c r="AB6488">
        <v>28</v>
      </c>
      <c r="AC6488">
        <v>8.2147999999999897</v>
      </c>
      <c r="AD6488">
        <v>-1.1096796702989999</v>
      </c>
      <c r="AE6488">
        <v>2.4101300000000001</v>
      </c>
      <c r="AF6488">
        <v>-2.1562158395474702</v>
      </c>
      <c r="AG6488">
        <v>-1.1096796702989999</v>
      </c>
      <c r="AH6488">
        <v>8.1388159882943203</v>
      </c>
      <c r="AI6488">
        <v>97.5081529550569</v>
      </c>
      <c r="AJ6488">
        <v>104.838474984329</v>
      </c>
      <c r="AK6488">
        <v>8.4924072799592896</v>
      </c>
      <c r="AL6488">
        <v>85.481948929867798</v>
      </c>
      <c r="AM6488">
        <v>96.347884924394194</v>
      </c>
      <c r="AN6488">
        <v>0.99999998425502901</v>
      </c>
    </row>
    <row r="6489" spans="1:40" x14ac:dyDescent="0.25">
      <c r="A6489" t="str">
        <f>"20190312151151588"</f>
        <v>20190312151151588</v>
      </c>
      <c r="B6489" t="str">
        <f>"1552374711578174"</f>
        <v>1552374711578174</v>
      </c>
      <c r="C6489" t="s">
        <v>40</v>
      </c>
      <c r="D6489">
        <v>5.1288299999999998</v>
      </c>
      <c r="E6489">
        <v>0.44649800000000001</v>
      </c>
      <c r="F6489" t="s">
        <v>96</v>
      </c>
      <c r="G6489">
        <v>-225.43819999999999</v>
      </c>
      <c r="H6489" s="1">
        <v>-1.593774E-6</v>
      </c>
      <c r="I6489">
        <v>-61.025669999999998</v>
      </c>
      <c r="J6489">
        <v>-233.68960000000001</v>
      </c>
      <c r="K6489">
        <v>1.1096779999999999</v>
      </c>
      <c r="L6489">
        <v>-63.446869999999997</v>
      </c>
      <c r="M6489">
        <v>0.99960079999999996</v>
      </c>
      <c r="N6489">
        <v>0</v>
      </c>
      <c r="O6489">
        <v>2.62416E-2</v>
      </c>
      <c r="P6489">
        <v>0.98827129999999996</v>
      </c>
      <c r="Q6489">
        <v>6.817927E-2</v>
      </c>
      <c r="R6489">
        <v>0.13664379999999901</v>
      </c>
      <c r="S6489">
        <v>2.944931</v>
      </c>
      <c r="T6489">
        <v>-0.38970349999999998</v>
      </c>
      <c r="U6489">
        <v>0.85147090000000003</v>
      </c>
      <c r="V6489">
        <v>-0.1106124</v>
      </c>
      <c r="W6489">
        <v>7.863009E-2</v>
      </c>
      <c r="X6489">
        <v>0.99074830000000003</v>
      </c>
      <c r="Y6489">
        <v>-0.25064570000000003</v>
      </c>
      <c r="Z6489">
        <v>1.2799029999999999E-2</v>
      </c>
      <c r="AA6489">
        <v>0.96799429999999997</v>
      </c>
      <c r="AB6489">
        <v>28</v>
      </c>
      <c r="AC6489">
        <v>8.2514000000000092</v>
      </c>
      <c r="AD6489">
        <v>-1.1096795937740001</v>
      </c>
      <c r="AE6489">
        <v>2.42119999999999</v>
      </c>
      <c r="AF6489">
        <v>-2.1677270334429899</v>
      </c>
      <c r="AG6489">
        <v>-1.1096795937740001</v>
      </c>
      <c r="AH6489">
        <v>8.1759507768543997</v>
      </c>
      <c r="AI6489">
        <v>97.474062734536304</v>
      </c>
      <c r="AJ6489">
        <v>104.849430135847</v>
      </c>
      <c r="AK6489">
        <v>8.5309202550430694</v>
      </c>
      <c r="AL6489">
        <v>85.490172361437303</v>
      </c>
      <c r="AM6489">
        <v>96.370423990023596</v>
      </c>
      <c r="AN6489">
        <v>0.99999999402002904</v>
      </c>
    </row>
    <row r="6490" spans="1:40" x14ac:dyDescent="0.25">
      <c r="A6490" t="str">
        <f>"20190312151151600"</f>
        <v>20190312151151600</v>
      </c>
      <c r="B6490" t="str">
        <f>"1552374711597694"</f>
        <v>1552374711597694</v>
      </c>
      <c r="C6490" t="s">
        <v>40</v>
      </c>
      <c r="D6490">
        <v>5.1994699999999998</v>
      </c>
      <c r="E6490">
        <v>0.44676379999999999</v>
      </c>
      <c r="F6490" t="s">
        <v>96</v>
      </c>
      <c r="G6490">
        <v>-225.28280000000001</v>
      </c>
      <c r="H6490" s="1">
        <v>-1.5252259999999999E-6</v>
      </c>
      <c r="I6490">
        <v>-61.017189999999999</v>
      </c>
      <c r="J6490">
        <v>-233.54730000000001</v>
      </c>
      <c r="K6490">
        <v>1.1096710000000001</v>
      </c>
      <c r="L6490">
        <v>-63.443300000000001</v>
      </c>
      <c r="M6490">
        <v>0.99960510000000002</v>
      </c>
      <c r="N6490">
        <v>0</v>
      </c>
      <c r="O6490">
        <v>2.6078380000000002E-2</v>
      </c>
      <c r="P6490">
        <v>0.98824579999999995</v>
      </c>
      <c r="Q6490">
        <v>6.8091299999999993E-2</v>
      </c>
      <c r="R6490">
        <v>0.13687099999999999</v>
      </c>
      <c r="S6490">
        <v>2.9447480000000001</v>
      </c>
      <c r="T6490">
        <v>-0.38870189999999999</v>
      </c>
      <c r="U6490">
        <v>0.8510742</v>
      </c>
      <c r="V6490">
        <v>-0.1110015</v>
      </c>
      <c r="W6490">
        <v>7.854643E-2</v>
      </c>
      <c r="X6490">
        <v>0.99071149999999997</v>
      </c>
      <c r="Y6490">
        <v>-0.2507066</v>
      </c>
      <c r="Z6490">
        <v>1.27923E-2</v>
      </c>
      <c r="AA6490">
        <v>0.96797860000000002</v>
      </c>
      <c r="AB6490">
        <v>28</v>
      </c>
      <c r="AC6490">
        <v>8.2644999999999893</v>
      </c>
      <c r="AD6490">
        <v>-1.10967252522599</v>
      </c>
      <c r="AE6490">
        <v>2.42611</v>
      </c>
      <c r="AF6490">
        <v>-2.1736696103647501</v>
      </c>
      <c r="AG6490">
        <v>-1.10967252522599</v>
      </c>
      <c r="AH6490">
        <v>8.1890396196000292</v>
      </c>
      <c r="AI6490">
        <v>97.461652368686501</v>
      </c>
      <c r="AJ6490">
        <v>104.86559043773499</v>
      </c>
      <c r="AK6490">
        <v>8.5449741122863401</v>
      </c>
      <c r="AL6490">
        <v>85.494980965088999</v>
      </c>
      <c r="AM6490">
        <v>96.392883458247894</v>
      </c>
      <c r="AN6490">
        <v>1.0000000754501099</v>
      </c>
    </row>
    <row r="6491" spans="1:40" x14ac:dyDescent="0.25">
      <c r="A6491" t="str">
        <f>"20190312151151611"</f>
        <v>20190312151151611</v>
      </c>
      <c r="B6491" t="str">
        <f>"1552374711607453"</f>
        <v>1552374711607453</v>
      </c>
      <c r="C6491" t="s">
        <v>40</v>
      </c>
      <c r="D6491">
        <v>5.1673580000000001</v>
      </c>
      <c r="E6491">
        <v>0.44674900000000001</v>
      </c>
      <c r="F6491" t="s">
        <v>96</v>
      </c>
      <c r="G6491">
        <v>-225.07</v>
      </c>
      <c r="H6491" s="1">
        <v>-1.429552E-6</v>
      </c>
      <c r="I6491">
        <v>-60.997489999999999</v>
      </c>
      <c r="J6491">
        <v>-233.40700000000001</v>
      </c>
      <c r="K6491">
        <v>1.1096710000000001</v>
      </c>
      <c r="L6491">
        <v>-63.439790000000002</v>
      </c>
      <c r="M6491">
        <v>0.99960930000000003</v>
      </c>
      <c r="N6491">
        <v>0</v>
      </c>
      <c r="O6491">
        <v>2.5917309999999999E-2</v>
      </c>
      <c r="P6491">
        <v>0.98819849999999998</v>
      </c>
      <c r="Q6491">
        <v>6.7885349999999997E-2</v>
      </c>
      <c r="R6491">
        <v>0.1373161</v>
      </c>
      <c r="S6491">
        <v>2.9445649999999999</v>
      </c>
      <c r="T6491">
        <v>-0.38544329999999999</v>
      </c>
      <c r="U6491">
        <v>0.84954830000000003</v>
      </c>
      <c r="V6491">
        <v>-0.1116079</v>
      </c>
      <c r="W6491">
        <v>7.8343919999999997E-2</v>
      </c>
      <c r="X6491">
        <v>0.99065930000000002</v>
      </c>
      <c r="Y6491">
        <v>-0.25044559999999999</v>
      </c>
      <c r="Z6491">
        <v>1.269141E-2</v>
      </c>
      <c r="AA6491">
        <v>0.96804749999999995</v>
      </c>
      <c r="AB6491">
        <v>28</v>
      </c>
      <c r="AC6491">
        <v>8.3370000000000104</v>
      </c>
      <c r="AD6491">
        <v>-1.109672429552</v>
      </c>
      <c r="AE6491">
        <v>2.4422999999999999</v>
      </c>
      <c r="AF6491">
        <v>-2.1896684987989898</v>
      </c>
      <c r="AG6491">
        <v>-1.109672429552</v>
      </c>
      <c r="AH6491">
        <v>8.2626867603326009</v>
      </c>
      <c r="AI6491">
        <v>97.396662609073502</v>
      </c>
      <c r="AJ6491">
        <v>104.84259318356099</v>
      </c>
      <c r="AK6491">
        <v>8.6196295474292999</v>
      </c>
      <c r="AL6491">
        <v>85.506619327722206</v>
      </c>
      <c r="AM6491">
        <v>96.427852070844096</v>
      </c>
      <c r="AN6491">
        <v>0.99999997090993198</v>
      </c>
    </row>
    <row r="6492" spans="1:40" x14ac:dyDescent="0.25">
      <c r="A6492" t="str">
        <f>"20190312151151623"</f>
        <v>20190312151151623</v>
      </c>
      <c r="B6492" t="str">
        <f>"1552374711617213"</f>
        <v>1552374711617213</v>
      </c>
      <c r="C6492" t="s">
        <v>40</v>
      </c>
      <c r="D6492">
        <v>5.1858639999999996</v>
      </c>
      <c r="E6492">
        <v>0.44671450000000001</v>
      </c>
      <c r="F6492" t="s">
        <v>96</v>
      </c>
      <c r="G6492">
        <v>-224.995</v>
      </c>
      <c r="H6492" s="1">
        <v>-1.3998309999999999E-6</v>
      </c>
      <c r="I6492">
        <v>-61.008459999999999</v>
      </c>
      <c r="J6492">
        <v>-233.25829999999999</v>
      </c>
      <c r="K6492">
        <v>1.1096710000000001</v>
      </c>
      <c r="L6492">
        <v>-63.436100000000003</v>
      </c>
      <c r="M6492">
        <v>0.99961350000000004</v>
      </c>
      <c r="N6492">
        <v>0</v>
      </c>
      <c r="O6492">
        <v>2.5746580000000002E-2</v>
      </c>
      <c r="P6492">
        <v>0.98814820000000003</v>
      </c>
      <c r="Q6492">
        <v>6.7849789999999993E-2</v>
      </c>
      <c r="R6492">
        <v>0.1376936</v>
      </c>
      <c r="S6492">
        <v>2.9442599999999999</v>
      </c>
      <c r="T6492">
        <v>-0.38839299999999999</v>
      </c>
      <c r="U6492">
        <v>0.85098269999999998</v>
      </c>
      <c r="V6492">
        <v>-0.112156199999999</v>
      </c>
      <c r="W6492">
        <v>7.8312080000000006E-2</v>
      </c>
      <c r="X6492">
        <v>0.99059989999999998</v>
      </c>
      <c r="Y6492">
        <v>-0.25103959999999997</v>
      </c>
      <c r="Z6492">
        <v>1.284835E-2</v>
      </c>
      <c r="AA6492">
        <v>0.96789150000000002</v>
      </c>
      <c r="AB6492">
        <v>28</v>
      </c>
      <c r="AC6492">
        <v>8.2632999999999797</v>
      </c>
      <c r="AD6492">
        <v>-1.1096723998310001</v>
      </c>
      <c r="AE6492">
        <v>2.4276399999999998</v>
      </c>
      <c r="AF6492">
        <v>-2.1779166072403</v>
      </c>
      <c r="AG6492">
        <v>-1.1096723998310001</v>
      </c>
      <c r="AH6492">
        <v>8.1871540807132401</v>
      </c>
      <c r="AI6492">
        <v>97.462288642692101</v>
      </c>
      <c r="AJ6492">
        <v>104.89662331175001</v>
      </c>
      <c r="AK6492">
        <v>8.5442486810941602</v>
      </c>
      <c r="AL6492">
        <v>85.508449281617303</v>
      </c>
      <c r="AM6492">
        <v>96.459548216793806</v>
      </c>
      <c r="AN6492">
        <v>0.99999997847618705</v>
      </c>
    </row>
    <row r="6493" spans="1:40" x14ac:dyDescent="0.25">
      <c r="A6493" t="str">
        <f>"20190312151151636"</f>
        <v>20190312151151636</v>
      </c>
      <c r="B6493" t="str">
        <f>"1552374711627949"</f>
        <v>1552374711627949</v>
      </c>
      <c r="C6493" t="s">
        <v>40</v>
      </c>
      <c r="D6493">
        <v>5.1655730000000002</v>
      </c>
      <c r="E6493">
        <v>0.44669880000000001</v>
      </c>
      <c r="F6493" t="s">
        <v>96</v>
      </c>
      <c r="G6493">
        <v>-224.87639999999999</v>
      </c>
      <c r="H6493" s="1">
        <v>-1.3492459999999999E-6</v>
      </c>
      <c r="I6493">
        <v>-61.009790000000002</v>
      </c>
      <c r="J6493">
        <v>-233.08619999999999</v>
      </c>
      <c r="K6493">
        <v>1.1096710000000001</v>
      </c>
      <c r="L6493">
        <v>-63.431849999999997</v>
      </c>
      <c r="M6493">
        <v>0.99961860000000002</v>
      </c>
      <c r="N6493">
        <v>0</v>
      </c>
      <c r="O6493">
        <v>2.554903E-2</v>
      </c>
      <c r="P6493">
        <v>0.98811839999999995</v>
      </c>
      <c r="Q6493">
        <v>6.8059469999999997E-2</v>
      </c>
      <c r="R6493">
        <v>0.1378056</v>
      </c>
      <c r="S6493">
        <v>2.944016</v>
      </c>
      <c r="T6493">
        <v>-0.38975559999999998</v>
      </c>
      <c r="U6493">
        <v>0.85220339999999895</v>
      </c>
      <c r="V6493">
        <v>-0.1124641</v>
      </c>
      <c r="W6493">
        <v>7.8525990000000004E-2</v>
      </c>
      <c r="X6493">
        <v>0.99054810000000004</v>
      </c>
      <c r="Y6493">
        <v>-0.25160379999999999</v>
      </c>
      <c r="Z6493">
        <v>1.295529E-2</v>
      </c>
      <c r="AA6493">
        <v>0.96774360000000004</v>
      </c>
      <c r="AB6493">
        <v>28</v>
      </c>
      <c r="AC6493">
        <v>8.2097999999999995</v>
      </c>
      <c r="AD6493">
        <v>-1.1096723492459999</v>
      </c>
      <c r="AE6493">
        <v>2.4220599999999899</v>
      </c>
      <c r="AF6493">
        <v>-2.17495177213442</v>
      </c>
      <c r="AG6493">
        <v>-1.1096723492459999</v>
      </c>
      <c r="AH6493">
        <v>8.1323276494199792</v>
      </c>
      <c r="AI6493">
        <v>97.509382973523799</v>
      </c>
      <c r="AJ6493">
        <v>104.97305287254601</v>
      </c>
      <c r="AK6493">
        <v>8.4909681975209708</v>
      </c>
      <c r="AL6493">
        <v>85.496155476451705</v>
      </c>
      <c r="AM6493">
        <v>96.477466819190795</v>
      </c>
      <c r="AN6493">
        <v>1.00000002165395</v>
      </c>
    </row>
    <row r="6494" spans="1:40" x14ac:dyDescent="0.25">
      <c r="A6494" t="str">
        <f>"20190312151151648"</f>
        <v>20190312151151648</v>
      </c>
      <c r="B6494" t="str">
        <f>"1552374711637709"</f>
        <v>1552374711637709</v>
      </c>
      <c r="C6494" t="s">
        <v>40</v>
      </c>
      <c r="D6494">
        <v>5.1545829999999997</v>
      </c>
      <c r="E6494">
        <v>0.44667610000000002</v>
      </c>
      <c r="F6494" t="s">
        <v>96</v>
      </c>
      <c r="G6494">
        <v>-224.7208</v>
      </c>
      <c r="H6494" s="1">
        <v>-1.2822950000000001E-6</v>
      </c>
      <c r="I6494">
        <v>-61.008879999999998</v>
      </c>
      <c r="J6494">
        <v>-232.95240000000001</v>
      </c>
      <c r="K6494">
        <v>1.1096710000000001</v>
      </c>
      <c r="L6494">
        <v>-63.42859</v>
      </c>
      <c r="M6494">
        <v>0.99962240000000002</v>
      </c>
      <c r="N6494">
        <v>0</v>
      </c>
      <c r="O6494">
        <v>2.539541E-2</v>
      </c>
      <c r="P6494">
        <v>0.98806700000000003</v>
      </c>
      <c r="Q6494">
        <v>6.7985390000000007E-2</v>
      </c>
      <c r="R6494">
        <v>0.13820929999999901</v>
      </c>
      <c r="S6494">
        <v>2.9440460000000002</v>
      </c>
      <c r="T6494">
        <v>-0.39052959999999998</v>
      </c>
      <c r="U6494">
        <v>0.85272219999999999</v>
      </c>
      <c r="V6494">
        <v>-0.1130216</v>
      </c>
      <c r="W6494">
        <v>7.8454700000000002E-2</v>
      </c>
      <c r="X6494">
        <v>0.99049030000000005</v>
      </c>
      <c r="Y6494">
        <v>-0.25189640000000002</v>
      </c>
      <c r="Z6494">
        <v>1.301916E-2</v>
      </c>
      <c r="AA6494">
        <v>0.96766660000000004</v>
      </c>
      <c r="AB6494">
        <v>28</v>
      </c>
      <c r="AC6494">
        <v>8.2316000000000091</v>
      </c>
      <c r="AD6494">
        <v>-1.10967228229499</v>
      </c>
      <c r="AE6494">
        <v>2.41970999999999</v>
      </c>
      <c r="AF6494">
        <v>-2.1735159449756098</v>
      </c>
      <c r="AG6494">
        <v>-1.10967228229499</v>
      </c>
      <c r="AH6494">
        <v>8.1540027766119003</v>
      </c>
      <c r="AI6494">
        <v>97.491285003471702</v>
      </c>
      <c r="AJ6494">
        <v>104.925612583893</v>
      </c>
      <c r="AK6494">
        <v>8.5113633113709497</v>
      </c>
      <c r="AL6494">
        <v>85.500252762583401</v>
      </c>
      <c r="AM6494">
        <v>96.509678192676702</v>
      </c>
      <c r="AN6494">
        <v>1.0000000282063599</v>
      </c>
    </row>
    <row r="6495" spans="1:40" x14ac:dyDescent="0.25">
      <c r="A6495" t="str">
        <f>"20190312151151660"</f>
        <v>20190312151151660</v>
      </c>
      <c r="B6495" t="str">
        <f>"1552374711647470"</f>
        <v>1552374711647470</v>
      </c>
      <c r="C6495" t="s">
        <v>40</v>
      </c>
      <c r="D6495">
        <v>5.1666400000000001</v>
      </c>
      <c r="E6495">
        <v>0.44664160000000003</v>
      </c>
      <c r="F6495" t="s">
        <v>96</v>
      </c>
      <c r="G6495">
        <v>-224.6096</v>
      </c>
      <c r="H6495" s="1">
        <v>-1.2344040000000001E-6</v>
      </c>
      <c r="I6495">
        <v>-61.008090000000003</v>
      </c>
      <c r="J6495">
        <v>-232.80529999999999</v>
      </c>
      <c r="K6495">
        <v>1.1096710000000001</v>
      </c>
      <c r="L6495">
        <v>-63.425049999999999</v>
      </c>
      <c r="M6495">
        <v>0.99962680000000004</v>
      </c>
      <c r="N6495">
        <v>0</v>
      </c>
      <c r="O6495">
        <v>2.522659E-2</v>
      </c>
      <c r="P6495">
        <v>0.98799959999999998</v>
      </c>
      <c r="Q6495">
        <v>6.800631E-2</v>
      </c>
      <c r="R6495">
        <v>0.1386792</v>
      </c>
      <c r="S6495">
        <v>2.9437259999999998</v>
      </c>
      <c r="T6495">
        <v>-0.39154470000000002</v>
      </c>
      <c r="U6495">
        <v>0.85406489999999902</v>
      </c>
      <c r="V6495">
        <v>-0.11366039999999999</v>
      </c>
      <c r="W6495">
        <v>7.8478919999999994E-2</v>
      </c>
      <c r="X6495">
        <v>0.9904153</v>
      </c>
      <c r="Y6495">
        <v>-0.25247930000000002</v>
      </c>
      <c r="Z6495">
        <v>1.311296E-2</v>
      </c>
      <c r="AA6495">
        <v>0.96751339999999997</v>
      </c>
      <c r="AB6495">
        <v>28</v>
      </c>
      <c r="AC6495">
        <v>8.1956999999999791</v>
      </c>
      <c r="AD6495">
        <v>-1.10967223440399</v>
      </c>
      <c r="AE6495">
        <v>2.4169599999999898</v>
      </c>
      <c r="AF6495">
        <v>-2.1727846519198102</v>
      </c>
      <c r="AG6495">
        <v>-1.10967223440399</v>
      </c>
      <c r="AH6495">
        <v>8.1171662058454803</v>
      </c>
      <c r="AI6495">
        <v>97.522816059747498</v>
      </c>
      <c r="AJ6495">
        <v>104.9854874447</v>
      </c>
      <c r="AK6495">
        <v>8.4758924500459205</v>
      </c>
      <c r="AL6495">
        <v>85.498860851451298</v>
      </c>
      <c r="AM6495">
        <v>96.546643950422705</v>
      </c>
      <c r="AN6495">
        <v>1.0000000469432999</v>
      </c>
    </row>
    <row r="6496" spans="1:40" x14ac:dyDescent="0.25">
      <c r="A6496" t="str">
        <f>"20190312151151670"</f>
        <v>20190312151151670</v>
      </c>
      <c r="B6496" t="str">
        <f>"1552374711667965"</f>
        <v>1552374711667965</v>
      </c>
      <c r="C6496" t="s">
        <v>40</v>
      </c>
      <c r="D6496">
        <v>5.1639400000000002</v>
      </c>
      <c r="E6496">
        <v>0.44652439999999999</v>
      </c>
      <c r="F6496" t="s">
        <v>96</v>
      </c>
      <c r="G6496">
        <v>-224.49870000000001</v>
      </c>
      <c r="H6496" s="1">
        <v>-1.1872569999999999E-6</v>
      </c>
      <c r="I6496">
        <v>-61.010109999999997</v>
      </c>
      <c r="J6496">
        <v>-232.65870000000001</v>
      </c>
      <c r="K6496">
        <v>1.1096729999999999</v>
      </c>
      <c r="L6496">
        <v>-63.421509999999998</v>
      </c>
      <c r="M6496">
        <v>0.99963089999999999</v>
      </c>
      <c r="N6496">
        <v>0</v>
      </c>
      <c r="O6496">
        <v>2.505831E-2</v>
      </c>
      <c r="P6496">
        <v>0.98797919999999995</v>
      </c>
      <c r="Q6496">
        <v>6.7810120000000002E-2</v>
      </c>
      <c r="R6496">
        <v>0.13892109999999999</v>
      </c>
      <c r="S6496">
        <v>2.94339</v>
      </c>
      <c r="T6496">
        <v>-0.39320290000000002</v>
      </c>
      <c r="U6496">
        <v>0.8557129</v>
      </c>
      <c r="V6496">
        <v>-0.114069699999999</v>
      </c>
      <c r="W6496">
        <v>7.8285450000000006E-2</v>
      </c>
      <c r="X6496">
        <v>0.99038349999999997</v>
      </c>
      <c r="Y6496">
        <v>-0.25314880000000001</v>
      </c>
      <c r="Z6496">
        <v>1.3233999999999999E-2</v>
      </c>
      <c r="AA6496">
        <v>0.9673368</v>
      </c>
      <c r="AB6496">
        <v>28</v>
      </c>
      <c r="AC6496">
        <v>8.1599999999999895</v>
      </c>
      <c r="AD6496">
        <v>-1.109674187257</v>
      </c>
      <c r="AE6496">
        <v>2.4114</v>
      </c>
      <c r="AF6496">
        <v>-2.1692611518427598</v>
      </c>
      <c r="AG6496">
        <v>-1.109674187257</v>
      </c>
      <c r="AH6496">
        <v>8.0804354192498309</v>
      </c>
      <c r="AI6496">
        <v>97.555172688476105</v>
      </c>
      <c r="AJ6496">
        <v>105.027220158981</v>
      </c>
      <c r="AK6496">
        <v>8.4398167818635699</v>
      </c>
      <c r="AL6496">
        <v>85.509979830515405</v>
      </c>
      <c r="AM6496">
        <v>96.570222290303306</v>
      </c>
      <c r="AN6496">
        <v>0.99999999260602102</v>
      </c>
    </row>
    <row r="6497" spans="1:40" x14ac:dyDescent="0.25">
      <c r="A6497" t="str">
        <f>"20190312151151680"</f>
        <v>20190312151151680</v>
      </c>
      <c r="B6497" t="str">
        <f>"1552374711677725"</f>
        <v>1552374711677725</v>
      </c>
      <c r="C6497" t="s">
        <v>40</v>
      </c>
      <c r="D6497">
        <v>5.138674</v>
      </c>
      <c r="E6497">
        <v>0.44646439999999998</v>
      </c>
      <c r="F6497" t="s">
        <v>96</v>
      </c>
      <c r="G6497">
        <v>-224.4331</v>
      </c>
      <c r="H6497" s="1">
        <v>-1.16238E-6</v>
      </c>
      <c r="I6497">
        <v>-61.024679999999996</v>
      </c>
      <c r="J6497">
        <v>-232.54320000000001</v>
      </c>
      <c r="K6497">
        <v>1.109675</v>
      </c>
      <c r="L6497">
        <v>-63.418729999999996</v>
      </c>
      <c r="M6497">
        <v>0.99963429999999998</v>
      </c>
      <c r="N6497">
        <v>0</v>
      </c>
      <c r="O6497">
        <v>2.4925619999999999E-2</v>
      </c>
      <c r="P6497">
        <v>0.98792729999999995</v>
      </c>
      <c r="Q6497">
        <v>6.7693890000000007E-2</v>
      </c>
      <c r="R6497">
        <v>0.13934569999999999</v>
      </c>
      <c r="S6497">
        <v>2.9431759999999998</v>
      </c>
      <c r="T6497">
        <v>-0.39705089999999998</v>
      </c>
      <c r="U6497">
        <v>0.85760499999999995</v>
      </c>
      <c r="V6497">
        <v>-0.1146266</v>
      </c>
      <c r="W6497">
        <v>7.8171350000000001E-2</v>
      </c>
      <c r="X6497">
        <v>0.99032830000000005</v>
      </c>
      <c r="Y6497">
        <v>-0.25382589999999999</v>
      </c>
      <c r="Z6497">
        <v>1.3424169999999999E-2</v>
      </c>
      <c r="AA6497">
        <v>0.96715680000000004</v>
      </c>
      <c r="AB6497">
        <v>28</v>
      </c>
      <c r="AC6497">
        <v>8.1101000000000099</v>
      </c>
      <c r="AD6497">
        <v>-1.10967616238</v>
      </c>
      <c r="AE6497">
        <v>2.39405</v>
      </c>
      <c r="AF6497">
        <v>-2.1540511010632799</v>
      </c>
      <c r="AG6497">
        <v>-1.10967616238</v>
      </c>
      <c r="AH6497">
        <v>8.0289903061740304</v>
      </c>
      <c r="AI6497">
        <v>97.603358528819996</v>
      </c>
      <c r="AJ6497">
        <v>105.017906298216</v>
      </c>
      <c r="AK6497">
        <v>8.3866562268870197</v>
      </c>
      <c r="AL6497">
        <v>85.516537765610494</v>
      </c>
      <c r="AM6497">
        <v>96.602381038560594</v>
      </c>
      <c r="AN6497">
        <v>1.00000007958463</v>
      </c>
    </row>
    <row r="6498" spans="1:40" x14ac:dyDescent="0.25">
      <c r="A6498" t="str">
        <f>"20190312151151689"</f>
        <v>20190312151151689</v>
      </c>
      <c r="B6498" t="str">
        <f>"1552374711677725"</f>
        <v>1552374711677725</v>
      </c>
      <c r="C6498" t="s">
        <v>40</v>
      </c>
      <c r="D6498">
        <v>5.138674</v>
      </c>
      <c r="E6498">
        <v>0.44646439999999998</v>
      </c>
      <c r="F6498" t="s">
        <v>96</v>
      </c>
      <c r="G6498">
        <v>-224.34280000000001</v>
      </c>
      <c r="H6498" s="1">
        <v>-1.123504E-6</v>
      </c>
      <c r="I6498">
        <v>-61.024030000000003</v>
      </c>
      <c r="J6498">
        <v>-232.4203</v>
      </c>
      <c r="K6498">
        <v>1.1096760000000001</v>
      </c>
      <c r="L6498">
        <v>-63.415799999999997</v>
      </c>
      <c r="M6498">
        <v>0.99963780000000002</v>
      </c>
      <c r="N6498">
        <v>0</v>
      </c>
      <c r="O6498">
        <v>2.4784460000000001E-2</v>
      </c>
      <c r="P6498">
        <v>0.98783650000000001</v>
      </c>
      <c r="Q6498">
        <v>6.7719860000000007E-2</v>
      </c>
      <c r="R6498">
        <v>0.13997599999999999</v>
      </c>
      <c r="S6498">
        <v>2.9427340000000002</v>
      </c>
      <c r="T6498">
        <v>-0.39821060000000003</v>
      </c>
      <c r="U6498">
        <v>0.85934449999999996</v>
      </c>
      <c r="V6498">
        <v>-0.1153993</v>
      </c>
      <c r="W6498">
        <v>7.8199399999999905E-2</v>
      </c>
      <c r="X6498">
        <v>0.99023629999999996</v>
      </c>
      <c r="Y6498">
        <v>-0.25451010000000002</v>
      </c>
      <c r="Z6498">
        <v>1.352765E-2</v>
      </c>
      <c r="AA6498">
        <v>0.96697549999999999</v>
      </c>
      <c r="AB6498">
        <v>28</v>
      </c>
      <c r="AC6498">
        <v>8.0774999999999793</v>
      </c>
      <c r="AD6498">
        <v>-1.1096771235039999</v>
      </c>
      <c r="AE6498">
        <v>2.39176999999999</v>
      </c>
      <c r="AF6498">
        <v>-2.1534617235379301</v>
      </c>
      <c r="AG6498">
        <v>-1.1096771235039999</v>
      </c>
      <c r="AH6498">
        <v>7.9955646386903796</v>
      </c>
      <c r="AI6498">
        <v>97.632795262675501</v>
      </c>
      <c r="AJ6498">
        <v>105.073898171045</v>
      </c>
      <c r="AK6498">
        <v>8.3545098362888393</v>
      </c>
      <c r="AL6498">
        <v>85.514925493881094</v>
      </c>
      <c r="AM6498">
        <v>96.647102900556803</v>
      </c>
      <c r="AN6498">
        <v>1.0000000372192599</v>
      </c>
    </row>
    <row r="6499" spans="1:40" x14ac:dyDescent="0.25">
      <c r="A6499" t="str">
        <f>"20190312151151702"</f>
        <v>20190312151151702</v>
      </c>
      <c r="B6499" t="str">
        <f>"1552374711698221"</f>
        <v>1552374711698221</v>
      </c>
      <c r="C6499" t="s">
        <v>40</v>
      </c>
      <c r="D6499">
        <v>5.1706050000000001</v>
      </c>
      <c r="E6499">
        <v>0.44642749999999998</v>
      </c>
      <c r="F6499" t="s">
        <v>96</v>
      </c>
      <c r="G6499">
        <v>-224.22210000000001</v>
      </c>
      <c r="H6499" s="1">
        <v>-1.069995E-6</v>
      </c>
      <c r="I6499">
        <v>-61.016390000000001</v>
      </c>
      <c r="J6499">
        <v>-232.27279999999999</v>
      </c>
      <c r="K6499">
        <v>1.1096760000000001</v>
      </c>
      <c r="L6499">
        <v>-63.412320000000001</v>
      </c>
      <c r="M6499">
        <v>0.99964180000000002</v>
      </c>
      <c r="N6499">
        <v>0</v>
      </c>
      <c r="O6499">
        <v>2.4615290000000001E-2</v>
      </c>
      <c r="P6499">
        <v>0.98773480000000002</v>
      </c>
      <c r="Q6499">
        <v>6.8070800000000001E-2</v>
      </c>
      <c r="R6499">
        <v>0.1405216</v>
      </c>
      <c r="S6499">
        <v>2.9422299999999999</v>
      </c>
      <c r="T6499">
        <v>-0.39824660000000001</v>
      </c>
      <c r="U6499">
        <v>0.8611145</v>
      </c>
      <c r="V6499">
        <v>-0.1161147</v>
      </c>
      <c r="W6499">
        <v>7.8553070000000003E-2</v>
      </c>
      <c r="X6499">
        <v>0.99012460000000002</v>
      </c>
      <c r="Y6499">
        <v>-0.25524590000000003</v>
      </c>
      <c r="Z6499">
        <v>1.360082E-2</v>
      </c>
      <c r="AA6499">
        <v>0.96678050000000004</v>
      </c>
      <c r="AB6499">
        <v>28</v>
      </c>
      <c r="AC6499">
        <v>8.0506999999999707</v>
      </c>
      <c r="AD6499">
        <v>-1.109677069995</v>
      </c>
      <c r="AE6499">
        <v>2.3959299999999901</v>
      </c>
      <c r="AF6499">
        <v>-2.15933581329694</v>
      </c>
      <c r="AG6499">
        <v>-1.109677069995</v>
      </c>
      <c r="AH6499">
        <v>7.9681716343306102</v>
      </c>
      <c r="AI6499">
        <v>97.655555659188295</v>
      </c>
      <c r="AJ6499">
        <v>105.162705157847</v>
      </c>
      <c r="AK6499">
        <v>8.3298183382598694</v>
      </c>
      <c r="AL6499">
        <v>85.494598847611897</v>
      </c>
      <c r="AM6499">
        <v>96.688686084860706</v>
      </c>
      <c r="AN6499">
        <v>0.999999965943836</v>
      </c>
    </row>
    <row r="6500" spans="1:40" x14ac:dyDescent="0.25">
      <c r="A6500" t="str">
        <f>"20190312151151713"</f>
        <v>20190312151151713</v>
      </c>
      <c r="B6500" t="str">
        <f>"1552374711707982"</f>
        <v>1552374711707982</v>
      </c>
      <c r="C6500" t="s">
        <v>40</v>
      </c>
      <c r="D6500">
        <v>5.2082790000000001</v>
      </c>
      <c r="E6500">
        <v>0.4464262</v>
      </c>
      <c r="F6500" t="s">
        <v>96</v>
      </c>
      <c r="G6500">
        <v>-224.10720000000001</v>
      </c>
      <c r="H6500" s="1">
        <v>-1.020831E-6</v>
      </c>
      <c r="I6500">
        <v>-61.016959999999997</v>
      </c>
      <c r="J6500">
        <v>-232.12270000000001</v>
      </c>
      <c r="K6500">
        <v>1.109675</v>
      </c>
      <c r="L6500">
        <v>-63.408810000000003</v>
      </c>
      <c r="M6500">
        <v>0.99964600000000003</v>
      </c>
      <c r="N6500">
        <v>0</v>
      </c>
      <c r="O6500">
        <v>2.4442780000000001E-2</v>
      </c>
      <c r="P6500">
        <v>0.98762689999999997</v>
      </c>
      <c r="Q6500">
        <v>6.8151820000000002E-2</v>
      </c>
      <c r="R6500">
        <v>0.1412389</v>
      </c>
      <c r="S6500">
        <v>2.9420470000000001</v>
      </c>
      <c r="T6500">
        <v>-0.39981080000000002</v>
      </c>
      <c r="U6500">
        <v>0.863037099999999</v>
      </c>
      <c r="V6500">
        <v>-0.1170052</v>
      </c>
      <c r="W6500">
        <v>7.8635800000000006E-2</v>
      </c>
      <c r="X6500">
        <v>0.99001320000000004</v>
      </c>
      <c r="Y6500">
        <v>-0.25598789999999999</v>
      </c>
      <c r="Z6500">
        <v>1.3725370000000001E-2</v>
      </c>
      <c r="AA6500">
        <v>0.96658250000000001</v>
      </c>
      <c r="AB6500">
        <v>28</v>
      </c>
      <c r="AC6500">
        <v>8.0154999999999994</v>
      </c>
      <c r="AD6500">
        <v>-1.1096760208309999</v>
      </c>
      <c r="AE6500">
        <v>2.39184999999999</v>
      </c>
      <c r="AF6500">
        <v>-2.1572383613514798</v>
      </c>
      <c r="AG6500">
        <v>-1.1096760208309999</v>
      </c>
      <c r="AH6500">
        <v>7.9319775442413301</v>
      </c>
      <c r="AI6500">
        <v>97.688196767286698</v>
      </c>
      <c r="AJ6500">
        <v>105.214581148523</v>
      </c>
      <c r="AK6500">
        <v>8.2946564715630302</v>
      </c>
      <c r="AL6500">
        <v>85.489844082443099</v>
      </c>
      <c r="AM6500">
        <v>96.740263856565306</v>
      </c>
      <c r="AN6500">
        <v>0.99999997102145899</v>
      </c>
    </row>
    <row r="6501" spans="1:40" x14ac:dyDescent="0.25">
      <c r="A6501" t="str">
        <f>"20190312151151724"</f>
        <v>20190312151151724</v>
      </c>
      <c r="B6501" t="str">
        <f>"1552374711717742"</f>
        <v>1552374711717742</v>
      </c>
      <c r="C6501" t="s">
        <v>40</v>
      </c>
      <c r="D6501">
        <v>5.1362629999999996</v>
      </c>
      <c r="E6501">
        <v>0.44642599999999999</v>
      </c>
      <c r="F6501" t="s">
        <v>96</v>
      </c>
      <c r="G6501">
        <v>-223.97739999999999</v>
      </c>
      <c r="H6501" s="1">
        <v>-9.6435549999999997E-7</v>
      </c>
      <c r="I6501">
        <v>-61.01343</v>
      </c>
      <c r="J6501">
        <v>-231.98429999999999</v>
      </c>
      <c r="K6501">
        <v>1.109675</v>
      </c>
      <c r="L6501">
        <v>-63.40558</v>
      </c>
      <c r="M6501">
        <v>0.99964989999999998</v>
      </c>
      <c r="N6501">
        <v>0</v>
      </c>
      <c r="O6501">
        <v>2.4283740000000002E-2</v>
      </c>
      <c r="P6501">
        <v>0.98750470000000001</v>
      </c>
      <c r="Q6501">
        <v>6.8260989999999994E-2</v>
      </c>
      <c r="R6501">
        <v>0.1420391</v>
      </c>
      <c r="S6501">
        <v>2.9415279999999999</v>
      </c>
      <c r="T6501">
        <v>-0.40073989999999998</v>
      </c>
      <c r="U6501">
        <v>0.86505129999999997</v>
      </c>
      <c r="V6501">
        <v>-0.1179653</v>
      </c>
      <c r="W6501">
        <v>7.8747029999999996E-2</v>
      </c>
      <c r="X6501">
        <v>0.98989050000000001</v>
      </c>
      <c r="Y6501">
        <v>-0.25677949999999999</v>
      </c>
      <c r="Z6501">
        <v>1.3831680000000001E-2</v>
      </c>
      <c r="AA6501">
        <v>0.96637110000000004</v>
      </c>
      <c r="AB6501">
        <v>28</v>
      </c>
      <c r="AC6501">
        <v>8.0068999999999999</v>
      </c>
      <c r="AD6501">
        <v>-1.1096759643555001</v>
      </c>
      <c r="AE6501">
        <v>2.39215</v>
      </c>
      <c r="AF6501">
        <v>-2.1589273463467902</v>
      </c>
      <c r="AG6501">
        <v>-1.1096759643555001</v>
      </c>
      <c r="AH6501">
        <v>7.9229250782180598</v>
      </c>
      <c r="AI6501">
        <v>97.695865697564898</v>
      </c>
      <c r="AJ6501">
        <v>105.242528285342</v>
      </c>
      <c r="AK6501">
        <v>8.2864401179112495</v>
      </c>
      <c r="AL6501">
        <v>85.483451625868</v>
      </c>
      <c r="AM6501">
        <v>96.795891203689294</v>
      </c>
      <c r="AN6501">
        <v>1.0000000543640699</v>
      </c>
    </row>
    <row r="6502" spans="1:40" x14ac:dyDescent="0.25">
      <c r="A6502" t="str">
        <f>"20190312151151735"</f>
        <v>20190312151151735</v>
      </c>
      <c r="B6502" t="str">
        <f>"1552374711727504"</f>
        <v>1552374711727504</v>
      </c>
      <c r="C6502" t="s">
        <v>40</v>
      </c>
      <c r="D6502">
        <v>5.1797149999999998</v>
      </c>
      <c r="E6502">
        <v>0.44639050000000002</v>
      </c>
      <c r="F6502" t="s">
        <v>96</v>
      </c>
      <c r="G6502">
        <v>-223.84209999999999</v>
      </c>
      <c r="H6502" s="1">
        <v>-9.0424080000000005E-7</v>
      </c>
      <c r="I6502">
        <v>-61.00403</v>
      </c>
      <c r="J6502">
        <v>-231.8477</v>
      </c>
      <c r="K6502">
        <v>1.1096680000000001</v>
      </c>
      <c r="L6502">
        <v>-63.4024</v>
      </c>
      <c r="M6502">
        <v>0.99965369999999998</v>
      </c>
      <c r="N6502">
        <v>0</v>
      </c>
      <c r="O6502">
        <v>2.4126849999999998E-2</v>
      </c>
      <c r="P6502">
        <v>0.98735709999999999</v>
      </c>
      <c r="Q6502">
        <v>6.841303E-2</v>
      </c>
      <c r="R6502">
        <v>0.142989</v>
      </c>
      <c r="S6502">
        <v>2.9409179999999999</v>
      </c>
      <c r="T6502">
        <v>-0.40081119999999998</v>
      </c>
      <c r="U6502">
        <v>0.86743159999999897</v>
      </c>
      <c r="V6502">
        <v>-0.1190744</v>
      </c>
      <c r="W6502">
        <v>7.8901040000000006E-2</v>
      </c>
      <c r="X6502">
        <v>0.9897454</v>
      </c>
      <c r="Y6502">
        <v>-0.2576949</v>
      </c>
      <c r="Z6502">
        <v>1.3916950000000001E-2</v>
      </c>
      <c r="AA6502">
        <v>0.96612609999999999</v>
      </c>
      <c r="AB6502">
        <v>28</v>
      </c>
      <c r="AC6502">
        <v>8.00560000000001</v>
      </c>
      <c r="AD6502">
        <v>-1.1096689042407999</v>
      </c>
      <c r="AE6502">
        <v>2.3983699999999901</v>
      </c>
      <c r="AF6502">
        <v>-2.1663173503425699</v>
      </c>
      <c r="AG6502">
        <v>-1.1096689042407999</v>
      </c>
      <c r="AH6502">
        <v>7.9214759196616997</v>
      </c>
      <c r="AI6502">
        <v>97.695309824258203</v>
      </c>
      <c r="AJ6502">
        <v>105.294931088187</v>
      </c>
      <c r="AK6502">
        <v>8.2869823630326707</v>
      </c>
      <c r="AL6502">
        <v>85.474599814271201</v>
      </c>
      <c r="AM6502">
        <v>96.860175668240601</v>
      </c>
      <c r="AN6502">
        <v>1.0000000218348</v>
      </c>
    </row>
    <row r="6503" spans="1:40" x14ac:dyDescent="0.25">
      <c r="A6503" t="str">
        <f>"20190312151151746"</f>
        <v>20190312151151746</v>
      </c>
      <c r="B6503" t="str">
        <f>"1552374711737943"</f>
        <v>1552374711737943</v>
      </c>
      <c r="C6503" t="s">
        <v>40</v>
      </c>
      <c r="D6503">
        <v>5.1379460000000003</v>
      </c>
      <c r="E6503">
        <v>0.44632189999999999</v>
      </c>
      <c r="F6503" t="s">
        <v>96</v>
      </c>
      <c r="G6503">
        <v>-223.72540000000001</v>
      </c>
      <c r="H6503" s="1">
        <v>-8.5276449999999999E-7</v>
      </c>
      <c r="I6503">
        <v>-60.997610000000002</v>
      </c>
      <c r="J6503">
        <v>-231.7097</v>
      </c>
      <c r="K6503">
        <v>1.1096680000000001</v>
      </c>
      <c r="L6503">
        <v>-63.399230000000003</v>
      </c>
      <c r="M6503">
        <v>0.99965749999999998</v>
      </c>
      <c r="N6503">
        <v>0</v>
      </c>
      <c r="O6503">
        <v>2.396858E-2</v>
      </c>
      <c r="P6503">
        <v>0.98726239999999998</v>
      </c>
      <c r="Q6503">
        <v>6.8314180000000002E-2</v>
      </c>
      <c r="R6503">
        <v>0.1436878</v>
      </c>
      <c r="S6503">
        <v>2.9401860000000002</v>
      </c>
      <c r="T6503">
        <v>-0.40169070000000001</v>
      </c>
      <c r="U6503">
        <v>0.87051389999999995</v>
      </c>
      <c r="V6503">
        <v>-0.11993189999999999</v>
      </c>
      <c r="W6503">
        <v>7.8803579999999998E-2</v>
      </c>
      <c r="X6503">
        <v>0.98964960000000002</v>
      </c>
      <c r="Y6503">
        <v>-0.25882450000000001</v>
      </c>
      <c r="Z6503">
        <v>1.404479E-2</v>
      </c>
      <c r="AA6503">
        <v>0.96582219999999996</v>
      </c>
      <c r="AB6503">
        <v>28</v>
      </c>
      <c r="AC6503">
        <v>7.9842999999999904</v>
      </c>
      <c r="AD6503">
        <v>-1.1096688527645</v>
      </c>
      <c r="AE6503">
        <v>2.4016199999999999</v>
      </c>
      <c r="AF6503">
        <v>-2.1710901317882598</v>
      </c>
      <c r="AG6503">
        <v>-1.1096688527645</v>
      </c>
      <c r="AH6503">
        <v>7.8996446218581298</v>
      </c>
      <c r="AI6503">
        <v>97.713677090826394</v>
      </c>
      <c r="AJ6503">
        <v>105.36740309737</v>
      </c>
      <c r="AK6503">
        <v>8.2673685338683196</v>
      </c>
      <c r="AL6503">
        <v>85.480201193353096</v>
      </c>
      <c r="AM6503">
        <v>96.909764906448899</v>
      </c>
      <c r="AN6503">
        <v>0.99999999781929305</v>
      </c>
    </row>
    <row r="6504" spans="1:40" x14ac:dyDescent="0.25">
      <c r="A6504" t="str">
        <f>"20190312151151758"</f>
        <v>20190312151151758</v>
      </c>
      <c r="B6504" t="str">
        <f>"1552374711747687"</f>
        <v>1552374711747687</v>
      </c>
      <c r="C6504" t="s">
        <v>40</v>
      </c>
      <c r="D6504">
        <v>5.1661250000000001</v>
      </c>
      <c r="E6504">
        <v>0.44632189999999999</v>
      </c>
      <c r="F6504" t="s">
        <v>96</v>
      </c>
      <c r="G6504">
        <v>-223.6174</v>
      </c>
      <c r="H6504" s="1">
        <v>-8.0582149999999898E-7</v>
      </c>
      <c r="I6504">
        <v>-60.994909999999997</v>
      </c>
      <c r="J6504">
        <v>-231.56280000000001</v>
      </c>
      <c r="K6504">
        <v>1.109666</v>
      </c>
      <c r="L6504">
        <v>-63.39584</v>
      </c>
      <c r="M6504">
        <v>0.99966140000000003</v>
      </c>
      <c r="N6504">
        <v>0</v>
      </c>
      <c r="O6504">
        <v>2.3800370000000001E-2</v>
      </c>
      <c r="P6504">
        <v>0.98712619999999895</v>
      </c>
      <c r="Q6504">
        <v>6.8101999999999996E-2</v>
      </c>
      <c r="R6504">
        <v>0.14472019999999999</v>
      </c>
      <c r="S6504">
        <v>2.9394680000000002</v>
      </c>
      <c r="T6504">
        <v>-0.40307880000000001</v>
      </c>
      <c r="U6504">
        <v>0.87335209999999996</v>
      </c>
      <c r="V6504">
        <v>-0.1211339</v>
      </c>
      <c r="W6504">
        <v>7.8593479999999993E-2</v>
      </c>
      <c r="X6504">
        <v>0.98951990000000001</v>
      </c>
      <c r="Y6504">
        <v>-0.25988339999999999</v>
      </c>
      <c r="Z6504">
        <v>1.41875E-2</v>
      </c>
      <c r="AA6504">
        <v>0.96553580000000006</v>
      </c>
      <c r="AB6504">
        <v>28</v>
      </c>
      <c r="AC6504">
        <v>7.9454000000000002</v>
      </c>
      <c r="AD6504">
        <v>-1.1096668058215</v>
      </c>
      <c r="AE6504">
        <v>2.4009299999999998</v>
      </c>
      <c r="AF6504">
        <v>-2.1723095535076999</v>
      </c>
      <c r="AG6504">
        <v>-1.1096668058215</v>
      </c>
      <c r="AH6504">
        <v>7.8598144235236598</v>
      </c>
      <c r="AI6504">
        <v>97.749242683342203</v>
      </c>
      <c r="AJ6504">
        <v>105.44982944153099</v>
      </c>
      <c r="AK6504">
        <v>8.2296398456088902</v>
      </c>
      <c r="AL6504">
        <v>85.492276474416002</v>
      </c>
      <c r="AM6504">
        <v>96.979243180752803</v>
      </c>
      <c r="AN6504">
        <v>0.99999999466186495</v>
      </c>
    </row>
    <row r="6505" spans="1:40" x14ac:dyDescent="0.25">
      <c r="A6505" t="str">
        <f>"20190312151151770"</f>
        <v>20190312151151770</v>
      </c>
      <c r="B6505" t="str">
        <f>"1552374711757447"</f>
        <v>1552374711757447</v>
      </c>
      <c r="C6505" t="s">
        <v>40</v>
      </c>
      <c r="D6505">
        <v>5.2125380000000003</v>
      </c>
      <c r="E6505">
        <v>0.42477930000000003</v>
      </c>
      <c r="F6505" t="s">
        <v>96</v>
      </c>
      <c r="G6505">
        <v>-223.48429999999999</v>
      </c>
      <c r="H6505" s="1">
        <v>-7.4681119999999996E-7</v>
      </c>
      <c r="I6505">
        <v>-60.986240000000002</v>
      </c>
      <c r="J6505">
        <v>-231.41159999999999</v>
      </c>
      <c r="K6505">
        <v>1.109667</v>
      </c>
      <c r="L6505">
        <v>-63.392429999999997</v>
      </c>
      <c r="M6505">
        <v>0.99966560000000004</v>
      </c>
      <c r="N6505">
        <v>0</v>
      </c>
      <c r="O6505">
        <v>2.3627990000000001E-2</v>
      </c>
      <c r="P6505">
        <v>0.98701130000000004</v>
      </c>
      <c r="Q6505">
        <v>6.7910399999999996E-2</v>
      </c>
      <c r="R6505">
        <v>0.14559159999999999</v>
      </c>
      <c r="S6505">
        <v>2.9384459999999999</v>
      </c>
      <c r="T6505">
        <v>-0.40362870000000001</v>
      </c>
      <c r="U6505">
        <v>0.87646480000000004</v>
      </c>
      <c r="V6505">
        <v>-0.12217889999999999</v>
      </c>
      <c r="W6505">
        <v>7.8403340000000002E-2</v>
      </c>
      <c r="X6505">
        <v>0.98940649999999997</v>
      </c>
      <c r="Y6505">
        <v>-0.26106309999999999</v>
      </c>
      <c r="Z6505">
        <v>1.4311300000000001E-2</v>
      </c>
      <c r="AA6505">
        <v>0.96521559999999995</v>
      </c>
      <c r="AB6505">
        <v>28</v>
      </c>
      <c r="AC6505">
        <v>7.9272999999999998</v>
      </c>
      <c r="AD6505">
        <v>-1.1096677468112</v>
      </c>
      <c r="AE6505">
        <v>2.4061900000000001</v>
      </c>
      <c r="AF6505">
        <v>-2.1791051051055899</v>
      </c>
      <c r="AG6505">
        <v>-1.1096677468112</v>
      </c>
      <c r="AH6505">
        <v>7.84125873486947</v>
      </c>
      <c r="AI6505">
        <v>97.764361207052502</v>
      </c>
      <c r="AJ6505">
        <v>105.530742907041</v>
      </c>
      <c r="AK6505">
        <v>8.2137202359574601</v>
      </c>
      <c r="AL6505">
        <v>85.503204415578793</v>
      </c>
      <c r="AM6505">
        <v>97.039649065597104</v>
      </c>
      <c r="AN6505">
        <v>0.99999999478530699</v>
      </c>
    </row>
    <row r="6506" spans="1:40" x14ac:dyDescent="0.25">
      <c r="A6506" t="str">
        <f>"20190312151151780"</f>
        <v>20190312151151780</v>
      </c>
      <c r="B6506" t="str">
        <f>"1552374711777943"</f>
        <v>1552374711777943</v>
      </c>
      <c r="C6506" t="s">
        <v>40</v>
      </c>
      <c r="D6506">
        <v>5.2363289999999996</v>
      </c>
      <c r="E6506">
        <v>0.4157169</v>
      </c>
      <c r="F6506" t="s">
        <v>96</v>
      </c>
      <c r="G6506">
        <v>-225.0378</v>
      </c>
      <c r="H6506" s="1">
        <v>-1.437438E-6</v>
      </c>
      <c r="I6506">
        <v>-61.095149999999997</v>
      </c>
      <c r="J6506">
        <v>-231.279</v>
      </c>
      <c r="K6506">
        <v>1.109669</v>
      </c>
      <c r="L6506">
        <v>-63.389470000000003</v>
      </c>
      <c r="M6506">
        <v>0.99966900000000003</v>
      </c>
      <c r="N6506">
        <v>0</v>
      </c>
      <c r="O6506">
        <v>2.3477370000000001E-2</v>
      </c>
      <c r="P6506">
        <v>0.98689470000000001</v>
      </c>
      <c r="Q6506">
        <v>6.758343E-2</v>
      </c>
      <c r="R6506">
        <v>0.14653050000000001</v>
      </c>
      <c r="S6506">
        <v>2.919235</v>
      </c>
      <c r="T6506">
        <v>-0.50822869999999998</v>
      </c>
      <c r="U6506">
        <v>1.052155</v>
      </c>
      <c r="V6506">
        <v>-0.1232694</v>
      </c>
      <c r="W6506">
        <v>7.80777E-2</v>
      </c>
      <c r="X6506">
        <v>0.98929699999999998</v>
      </c>
      <c r="Y6506">
        <v>-0.31303920000000002</v>
      </c>
      <c r="Z6506">
        <v>2.2306139999999999E-2</v>
      </c>
      <c r="AA6506">
        <v>0.94947820000000005</v>
      </c>
      <c r="AB6506">
        <v>28</v>
      </c>
      <c r="AC6506">
        <v>6.2412000000000196</v>
      </c>
      <c r="AD6506">
        <v>-1.109670437438</v>
      </c>
      <c r="AE6506">
        <v>2.2943199999999901</v>
      </c>
      <c r="AF6506">
        <v>-2.0889773122330801</v>
      </c>
      <c r="AG6506">
        <v>-1.109670437438</v>
      </c>
      <c r="AH6506">
        <v>6.1228345599972398</v>
      </c>
      <c r="AI6506">
        <v>99.733026107820393</v>
      </c>
      <c r="AJ6506">
        <v>108.838519281544</v>
      </c>
      <c r="AK6506">
        <v>6.5638630195826799</v>
      </c>
      <c r="AL6506">
        <v>85.521919667210994</v>
      </c>
      <c r="AM6506">
        <v>97.1026202537834</v>
      </c>
      <c r="AN6506">
        <v>1.00000001321132</v>
      </c>
    </row>
    <row r="6507" spans="1:40" x14ac:dyDescent="0.25">
      <c r="A6507" t="str">
        <f>"20190312151151790"</f>
        <v>20190312151151790</v>
      </c>
      <c r="B6507" t="str">
        <f>"1552374711787704"</f>
        <v>1552374711787704</v>
      </c>
      <c r="C6507" t="s">
        <v>40</v>
      </c>
      <c r="D6507">
        <v>5.2564739999999999</v>
      </c>
      <c r="E6507">
        <v>0.41355520000000001</v>
      </c>
      <c r="F6507" t="s">
        <v>96</v>
      </c>
      <c r="G6507">
        <v>-225.32820000000001</v>
      </c>
      <c r="H6507" s="1">
        <v>-1.559413E-6</v>
      </c>
      <c r="I6507">
        <v>-61.083370000000002</v>
      </c>
      <c r="J6507">
        <v>-231.14699999999999</v>
      </c>
      <c r="K6507">
        <v>1.1096699999999999</v>
      </c>
      <c r="L6507">
        <v>-63.386510000000001</v>
      </c>
      <c r="M6507">
        <v>0.99967249999999996</v>
      </c>
      <c r="N6507">
        <v>0</v>
      </c>
      <c r="O6507">
        <v>2.332878E-2</v>
      </c>
      <c r="P6507">
        <v>0.98670780000000002</v>
      </c>
      <c r="Q6507">
        <v>6.7756730000000001E-2</v>
      </c>
      <c r="R6507">
        <v>0.147706</v>
      </c>
      <c r="S6507">
        <v>2.9095759999999999</v>
      </c>
      <c r="T6507">
        <v>-0.54255739999999997</v>
      </c>
      <c r="U6507">
        <v>1.1275329999999999</v>
      </c>
      <c r="V6507">
        <v>-0.124597</v>
      </c>
      <c r="W6507">
        <v>7.8252169999999996E-2</v>
      </c>
      <c r="X6507">
        <v>0.98911680000000002</v>
      </c>
      <c r="Y6507">
        <v>-0.33482610000000002</v>
      </c>
      <c r="Z6507">
        <v>2.5733200000000001E-2</v>
      </c>
      <c r="AA6507">
        <v>0.94192849999999995</v>
      </c>
      <c r="AB6507">
        <v>28</v>
      </c>
      <c r="AC6507">
        <v>5.8188000000000004</v>
      </c>
      <c r="AD6507">
        <v>-1.109671559413</v>
      </c>
      <c r="AE6507">
        <v>2.3031399999999902</v>
      </c>
      <c r="AF6507">
        <v>-2.1007090000813502</v>
      </c>
      <c r="AG6507">
        <v>-1.109671559413</v>
      </c>
      <c r="AH6507">
        <v>5.6919797463429296</v>
      </c>
      <c r="AI6507">
        <v>100.364562771452</v>
      </c>
      <c r="AJ6507">
        <v>110.25732531802799</v>
      </c>
      <c r="AK6507">
        <v>6.1678993754414497</v>
      </c>
      <c r="AL6507">
        <v>85.511892216795005</v>
      </c>
      <c r="AM6507">
        <v>97.179615165350995</v>
      </c>
      <c r="AN6507">
        <v>0.99999992928047199</v>
      </c>
    </row>
    <row r="6508" spans="1:40" x14ac:dyDescent="0.25">
      <c r="A6508" t="str">
        <f>"20190312151151801"</f>
        <v>20190312151151801</v>
      </c>
      <c r="B6508" t="str">
        <f>"1552374711797463"</f>
        <v>1552374711797463</v>
      </c>
      <c r="C6508" t="s">
        <v>40</v>
      </c>
      <c r="D6508">
        <v>5.2442310000000001</v>
      </c>
      <c r="E6508">
        <v>0.4121494</v>
      </c>
      <c r="F6508" t="s">
        <v>96</v>
      </c>
      <c r="G6508">
        <v>-225.29040000000001</v>
      </c>
      <c r="H6508" s="1">
        <v>-1.5408750000000001E-6</v>
      </c>
      <c r="I6508">
        <v>-61.07291</v>
      </c>
      <c r="J6508">
        <v>-231.01439999999999</v>
      </c>
      <c r="K6508">
        <v>1.109677</v>
      </c>
      <c r="L6508">
        <v>-63.383540000000004</v>
      </c>
      <c r="M6508">
        <v>0.99967589999999995</v>
      </c>
      <c r="N6508">
        <v>0</v>
      </c>
      <c r="O6508">
        <v>2.3181690000000001E-2</v>
      </c>
      <c r="P6508">
        <v>0.9865543</v>
      </c>
      <c r="Q6508">
        <v>6.7835110000000004E-2</v>
      </c>
      <c r="R6508">
        <v>0.14869189999999999</v>
      </c>
      <c r="S6508">
        <v>2.9063569999999999</v>
      </c>
      <c r="T6508">
        <v>-0.55068079999999997</v>
      </c>
      <c r="U6508">
        <v>1.1481319999999999</v>
      </c>
      <c r="V6508">
        <v>-0.1257318</v>
      </c>
      <c r="W6508">
        <v>7.8330609999999995E-2</v>
      </c>
      <c r="X6508">
        <v>0.98896709999999999</v>
      </c>
      <c r="Y6508">
        <v>-0.3408678</v>
      </c>
      <c r="Z6508">
        <v>2.6681159999999999E-2</v>
      </c>
      <c r="AA6508">
        <v>0.93973260000000003</v>
      </c>
      <c r="AB6508">
        <v>28</v>
      </c>
      <c r="AC6508">
        <v>5.7239999999999798</v>
      </c>
      <c r="AD6508">
        <v>-1.1096785408750001</v>
      </c>
      <c r="AE6508">
        <v>2.3106300000000002</v>
      </c>
      <c r="AF6508">
        <v>-2.1091479980261201</v>
      </c>
      <c r="AG6508">
        <v>-1.1096785408750001</v>
      </c>
      <c r="AH6508">
        <v>5.5952077093492898</v>
      </c>
      <c r="AI6508">
        <v>100.513311363105</v>
      </c>
      <c r="AJ6508">
        <v>110.65424350531799</v>
      </c>
      <c r="AK6508">
        <v>6.0816314466118202</v>
      </c>
      <c r="AL6508">
        <v>85.507384629868895</v>
      </c>
      <c r="AM6508">
        <v>97.245398728198793</v>
      </c>
      <c r="AN6508">
        <v>1.0000000474383099</v>
      </c>
    </row>
    <row r="6509" spans="1:40" x14ac:dyDescent="0.25">
      <c r="A6509" t="str">
        <f>"20190312151151813"</f>
        <v>20190312151151813</v>
      </c>
      <c r="B6509" t="str">
        <f>"1552374711807223"</f>
        <v>1552374711807223</v>
      </c>
      <c r="C6509" t="s">
        <v>40</v>
      </c>
      <c r="D6509">
        <v>5.237914</v>
      </c>
      <c r="E6509">
        <v>0.41124549999999999</v>
      </c>
      <c r="F6509" t="s">
        <v>96</v>
      </c>
      <c r="G6509">
        <v>-225.26939999999999</v>
      </c>
      <c r="H6509" s="1">
        <v>-1.5343169999999999E-6</v>
      </c>
      <c r="I6509">
        <v>-61.084009999999999</v>
      </c>
      <c r="J6509">
        <v>-230.8586</v>
      </c>
      <c r="K6509">
        <v>1.109683</v>
      </c>
      <c r="L6509">
        <v>-63.380130000000001</v>
      </c>
      <c r="M6509">
        <v>0.99967969999999895</v>
      </c>
      <c r="N6509">
        <v>0</v>
      </c>
      <c r="O6509">
        <v>2.3014070000000001E-2</v>
      </c>
      <c r="P6509">
        <v>0.98641380000000001</v>
      </c>
      <c r="Q6509">
        <v>6.7954290000000001E-2</v>
      </c>
      <c r="R6509">
        <v>0.14956610000000001</v>
      </c>
      <c r="S6509">
        <v>2.9042509999999999</v>
      </c>
      <c r="T6509">
        <v>-0.560971</v>
      </c>
      <c r="U6509">
        <v>1.1624760000000001</v>
      </c>
      <c r="V6509">
        <v>-0.12677559999999999</v>
      </c>
      <c r="W6509">
        <v>7.8449439999999995E-2</v>
      </c>
      <c r="X6509">
        <v>0.98882440000000005</v>
      </c>
      <c r="Y6509">
        <v>-0.34501409999999899</v>
      </c>
      <c r="Z6509">
        <v>2.7579699999999999E-2</v>
      </c>
      <c r="AA6509">
        <v>0.93819220000000003</v>
      </c>
      <c r="AB6509">
        <v>28</v>
      </c>
      <c r="AC6509">
        <v>5.5891999999999999</v>
      </c>
      <c r="AD6509">
        <v>-1.1096845343170001</v>
      </c>
      <c r="AE6509">
        <v>2.2961200000000002</v>
      </c>
      <c r="AF6509">
        <v>-2.09617764485674</v>
      </c>
      <c r="AG6509">
        <v>-1.1096845343170001</v>
      </c>
      <c r="AH6509">
        <v>5.4565355458072498</v>
      </c>
      <c r="AI6509">
        <v>100.749207770125</v>
      </c>
      <c r="AJ6509">
        <v>111.014732051735</v>
      </c>
      <c r="AK6509">
        <v>5.9497176947446402</v>
      </c>
      <c r="AL6509">
        <v>85.500555081425205</v>
      </c>
      <c r="AM6509">
        <v>97.305944292254097</v>
      </c>
      <c r="AN6509">
        <v>1.00000003071351</v>
      </c>
    </row>
    <row r="6510" spans="1:40" x14ac:dyDescent="0.25">
      <c r="A6510" t="str">
        <f>"20190312151151824"</f>
        <v>20190312151151824</v>
      </c>
      <c r="B6510" t="str">
        <f>"1552374711817959"</f>
        <v>1552374711817959</v>
      </c>
      <c r="C6510" t="s">
        <v>40</v>
      </c>
      <c r="D6510">
        <v>5.2403519999999997</v>
      </c>
      <c r="E6510">
        <v>0.41053729999999999</v>
      </c>
      <c r="F6510" t="s">
        <v>96</v>
      </c>
      <c r="G6510">
        <v>-225.17310000000001</v>
      </c>
      <c r="H6510" s="1">
        <v>-1.4931229999999999E-6</v>
      </c>
      <c r="I6510">
        <v>-61.084429999999998</v>
      </c>
      <c r="J6510">
        <v>-230.7244</v>
      </c>
      <c r="K6510">
        <v>1.1096919999999999</v>
      </c>
      <c r="L6510">
        <v>-63.377139999999997</v>
      </c>
      <c r="M6510">
        <v>0.99968290000000004</v>
      </c>
      <c r="N6510">
        <v>0</v>
      </c>
      <c r="O6510">
        <v>2.2876690000000002E-2</v>
      </c>
      <c r="P6510">
        <v>0.98629040000000001</v>
      </c>
      <c r="Q6510">
        <v>6.8035410000000004E-2</v>
      </c>
      <c r="R6510">
        <v>0.15034169999999999</v>
      </c>
      <c r="S6510">
        <v>2.902603</v>
      </c>
      <c r="T6510">
        <v>-0.56653109999999995</v>
      </c>
      <c r="U6510">
        <v>1.1720280000000001</v>
      </c>
      <c r="V6510">
        <v>-0.12769040000000001</v>
      </c>
      <c r="W6510">
        <v>7.8530260000000005E-2</v>
      </c>
      <c r="X6510">
        <v>0.98870029999999998</v>
      </c>
      <c r="Y6510">
        <v>-0.34783550000000002</v>
      </c>
      <c r="Z6510">
        <v>2.8135210000000001E-2</v>
      </c>
      <c r="AA6510">
        <v>0.93713329999999995</v>
      </c>
      <c r="AB6510">
        <v>28</v>
      </c>
      <c r="AC6510">
        <v>5.5512999999999897</v>
      </c>
      <c r="AD6510">
        <v>-1.10969349312299</v>
      </c>
      <c r="AE6510">
        <v>2.29271</v>
      </c>
      <c r="AF6510">
        <v>-2.0936381364033099</v>
      </c>
      <c r="AG6510">
        <v>-1.10969349312299</v>
      </c>
      <c r="AH6510">
        <v>5.4173697659839197</v>
      </c>
      <c r="AI6510">
        <v>100.816993061377</v>
      </c>
      <c r="AJ6510">
        <v>111.129904194784</v>
      </c>
      <c r="AK6510">
        <v>5.9129210612250303</v>
      </c>
      <c r="AL6510">
        <v>85.495910245934994</v>
      </c>
      <c r="AM6510">
        <v>97.359001004376694</v>
      </c>
      <c r="AN6510">
        <v>1.0000000616039499</v>
      </c>
    </row>
    <row r="6511" spans="1:40" x14ac:dyDescent="0.25">
      <c r="A6511" t="str">
        <f>"20190312151151836"</f>
        <v>20190312151151836</v>
      </c>
      <c r="B6511" t="str">
        <f>"1552374711827719"</f>
        <v>1552374711827719</v>
      </c>
      <c r="C6511" t="s">
        <v>40</v>
      </c>
      <c r="D6511">
        <v>5.217587</v>
      </c>
      <c r="E6511">
        <v>0.410111</v>
      </c>
      <c r="F6511" t="s">
        <v>96</v>
      </c>
      <c r="G6511">
        <v>-225.06989999999999</v>
      </c>
      <c r="H6511" s="1">
        <v>-1.44718E-6</v>
      </c>
      <c r="I6511">
        <v>-61.0768699999999</v>
      </c>
      <c r="J6511">
        <v>-230.57210000000001</v>
      </c>
      <c r="K6511">
        <v>1.109699</v>
      </c>
      <c r="L6511">
        <v>-63.373809999999999</v>
      </c>
      <c r="M6511">
        <v>0.99968630000000003</v>
      </c>
      <c r="N6511">
        <v>0</v>
      </c>
      <c r="O6511">
        <v>2.2725639999999998E-2</v>
      </c>
      <c r="P6511">
        <v>0.98617390000000005</v>
      </c>
      <c r="Q6511">
        <v>6.834527E-2</v>
      </c>
      <c r="R6511">
        <v>0.15096479999999901</v>
      </c>
      <c r="S6511">
        <v>2.9010929999999999</v>
      </c>
      <c r="T6511">
        <v>-0.56933889999999998</v>
      </c>
      <c r="U6511">
        <v>1.1801759999999999</v>
      </c>
      <c r="V6511">
        <v>-0.12846749999999901</v>
      </c>
      <c r="W6511">
        <v>7.8838770000000002E-2</v>
      </c>
      <c r="X6511">
        <v>0.98857499999999998</v>
      </c>
      <c r="Y6511">
        <v>-0.35031230000000002</v>
      </c>
      <c r="Z6511">
        <v>2.853176E-2</v>
      </c>
      <c r="AA6511">
        <v>0.93619830000000004</v>
      </c>
      <c r="AB6511">
        <v>28</v>
      </c>
      <c r="AC6511">
        <v>5.50220000000001</v>
      </c>
      <c r="AD6511">
        <v>-1.10970044718</v>
      </c>
      <c r="AE6511">
        <v>2.2969400000000002</v>
      </c>
      <c r="AF6511">
        <v>-2.09860440248239</v>
      </c>
      <c r="AG6511">
        <v>-1.10970044718</v>
      </c>
      <c r="AH6511">
        <v>5.36706916615893</v>
      </c>
      <c r="AI6511">
        <v>100.899664092368</v>
      </c>
      <c r="AJ6511">
        <v>111.356242477908</v>
      </c>
      <c r="AK6511">
        <v>5.8686460921514003</v>
      </c>
      <c r="AL6511">
        <v>85.4781786287747</v>
      </c>
      <c r="AM6511">
        <v>97.404219110671306</v>
      </c>
      <c r="AN6511">
        <v>0.999999990418181</v>
      </c>
    </row>
    <row r="6512" spans="1:40" x14ac:dyDescent="0.25">
      <c r="A6512" t="str">
        <f>"20190312151151847"</f>
        <v>20190312151151847</v>
      </c>
      <c r="B6512" t="str">
        <f>"1552374711838003"</f>
        <v>1552374711838003</v>
      </c>
      <c r="C6512" t="s">
        <v>40</v>
      </c>
      <c r="D6512">
        <v>5.208723</v>
      </c>
      <c r="E6512">
        <v>0.40976699999999999</v>
      </c>
      <c r="F6512" t="s">
        <v>96</v>
      </c>
      <c r="G6512">
        <v>-224.9271</v>
      </c>
      <c r="H6512" s="1">
        <v>-1.3836350000000001E-6</v>
      </c>
      <c r="I6512">
        <v>-61.06673</v>
      </c>
      <c r="J6512">
        <v>-230.43690000000001</v>
      </c>
      <c r="K6512">
        <v>1.109712</v>
      </c>
      <c r="L6512">
        <v>-63.37088</v>
      </c>
      <c r="M6512">
        <v>0.99968900000000005</v>
      </c>
      <c r="N6512">
        <v>0</v>
      </c>
      <c r="O6512">
        <v>2.2607479999999999E-2</v>
      </c>
      <c r="P6512">
        <v>0.98607590000000001</v>
      </c>
      <c r="Q6512">
        <v>6.8429279999999995E-2</v>
      </c>
      <c r="R6512">
        <v>0.15156600000000001</v>
      </c>
      <c r="S6512">
        <v>2.9001459999999999</v>
      </c>
      <c r="T6512">
        <v>-0.57011460000000003</v>
      </c>
      <c r="U6512">
        <v>1.1852720000000001</v>
      </c>
      <c r="V6512">
        <v>-0.12918969999999999</v>
      </c>
      <c r="W6512">
        <v>7.8920050000000005E-2</v>
      </c>
      <c r="X6512">
        <v>0.98847439999999998</v>
      </c>
      <c r="Y6512">
        <v>-0.35189789999999999</v>
      </c>
      <c r="Z6512">
        <v>2.8740249999999998E-2</v>
      </c>
      <c r="AA6512">
        <v>0.93559709999999996</v>
      </c>
      <c r="AB6512">
        <v>28</v>
      </c>
      <c r="AC6512">
        <v>5.50980000000001</v>
      </c>
      <c r="AD6512">
        <v>-1.1097133836349999</v>
      </c>
      <c r="AE6512">
        <v>2.3041499999999999</v>
      </c>
      <c r="AF6512">
        <v>-2.1062689330731401</v>
      </c>
      <c r="AG6512">
        <v>-1.1097133836349999</v>
      </c>
      <c r="AH6512">
        <v>5.3749077430074701</v>
      </c>
      <c r="AI6512">
        <v>100.88118660089501</v>
      </c>
      <c r="AJ6512">
        <v>111.39875824734</v>
      </c>
      <c r="AK6512">
        <v>5.8785598455820303</v>
      </c>
      <c r="AL6512">
        <v>85.473507098045104</v>
      </c>
      <c r="AM6512">
        <v>97.446126599486902</v>
      </c>
      <c r="AN6512">
        <v>0.99999999616672597</v>
      </c>
    </row>
    <row r="6513" spans="1:40" x14ac:dyDescent="0.25">
      <c r="A6513" t="str">
        <f>"20190312151151859"</f>
        <v>20190312151151859</v>
      </c>
      <c r="B6513" t="str">
        <f>"1552374711847748"</f>
        <v>1552374711847748</v>
      </c>
      <c r="C6513" t="s">
        <v>40</v>
      </c>
      <c r="D6513">
        <v>5.2037230000000001</v>
      </c>
      <c r="E6513">
        <v>0.40945379999999998</v>
      </c>
      <c r="F6513" t="s">
        <v>96</v>
      </c>
      <c r="G6513">
        <v>-224.8075</v>
      </c>
      <c r="H6513" s="1">
        <v>-1.330997E-6</v>
      </c>
      <c r="I6513">
        <v>-61.060749999999999</v>
      </c>
      <c r="J6513">
        <v>-230.28559999999999</v>
      </c>
      <c r="K6513">
        <v>1.109728</v>
      </c>
      <c r="L6513">
        <v>-63.367579999999997</v>
      </c>
      <c r="M6513">
        <v>0.99969169999999996</v>
      </c>
      <c r="N6513">
        <v>0</v>
      </c>
      <c r="O6513">
        <v>2.2480839999999998E-2</v>
      </c>
      <c r="P6513">
        <v>0.98594059999999994</v>
      </c>
      <c r="Q6513">
        <v>6.8578710000000001E-2</v>
      </c>
      <c r="R6513">
        <v>0.15237479999999901</v>
      </c>
      <c r="S6513">
        <v>2.8991549999999999</v>
      </c>
      <c r="T6513">
        <v>-0.57150730000000005</v>
      </c>
      <c r="U6513">
        <v>1.1897279999999999</v>
      </c>
      <c r="V6513">
        <v>-0.13012939999999901</v>
      </c>
      <c r="W6513">
        <v>7.906552E-2</v>
      </c>
      <c r="X6513">
        <v>0.98833950000000004</v>
      </c>
      <c r="Y6513">
        <v>-0.35330800000000001</v>
      </c>
      <c r="Z6513">
        <v>2.8966579999999999E-2</v>
      </c>
      <c r="AA6513">
        <v>0.93505850000000001</v>
      </c>
      <c r="AB6513">
        <v>28</v>
      </c>
      <c r="AC6513">
        <v>5.47809999999998</v>
      </c>
      <c r="AD6513">
        <v>-1.109729330997</v>
      </c>
      <c r="AE6513">
        <v>2.3068300000000002</v>
      </c>
      <c r="AF6513">
        <v>-2.1095570673133999</v>
      </c>
      <c r="AG6513">
        <v>-1.109729330997</v>
      </c>
      <c r="AH6513">
        <v>5.3423642502414497</v>
      </c>
      <c r="AI6513">
        <v>100.93510685439</v>
      </c>
      <c r="AJ6513">
        <v>111.54774066058</v>
      </c>
      <c r="AK6513">
        <v>5.8500073496180196</v>
      </c>
      <c r="AL6513">
        <v>85.465146136685306</v>
      </c>
      <c r="AM6513">
        <v>97.500685879973403</v>
      </c>
      <c r="AN6513">
        <v>0.99999999222874003</v>
      </c>
    </row>
    <row r="6514" spans="1:40" x14ac:dyDescent="0.25">
      <c r="A6514" t="str">
        <f>"20190312151151870"</f>
        <v>20190312151151870</v>
      </c>
      <c r="B6514" t="str">
        <f>"1552374711857507"</f>
        <v>1552374711857507</v>
      </c>
      <c r="C6514" t="s">
        <v>40</v>
      </c>
      <c r="D6514">
        <v>5.2532230000000002</v>
      </c>
      <c r="E6514">
        <v>0.40917199999999998</v>
      </c>
      <c r="F6514" t="s">
        <v>96</v>
      </c>
      <c r="G6514">
        <v>-224.6628</v>
      </c>
      <c r="H6514" s="1">
        <v>-1.266512E-6</v>
      </c>
      <c r="I6514">
        <v>-61.049869999999999</v>
      </c>
      <c r="J6514">
        <v>-230.1403</v>
      </c>
      <c r="K6514">
        <v>1.109747</v>
      </c>
      <c r="L6514">
        <v>-63.364440000000002</v>
      </c>
      <c r="M6514">
        <v>0.99969399999999997</v>
      </c>
      <c r="N6514">
        <v>0</v>
      </c>
      <c r="O6514">
        <v>2.2386119999999999E-2</v>
      </c>
      <c r="P6514">
        <v>0.98584229999999995</v>
      </c>
      <c r="Q6514">
        <v>6.8652080000000004E-2</v>
      </c>
      <c r="R6514">
        <v>0.152977</v>
      </c>
      <c r="S6514">
        <v>2.897964</v>
      </c>
      <c r="T6514">
        <v>-0.57195430000000003</v>
      </c>
      <c r="U6514">
        <v>1.19455</v>
      </c>
      <c r="V6514">
        <v>-0.1308318</v>
      </c>
      <c r="W6514">
        <v>7.9133490000000001E-2</v>
      </c>
      <c r="X6514">
        <v>0.98824129999999999</v>
      </c>
      <c r="Y6514">
        <v>-0.35482649999999999</v>
      </c>
      <c r="Z6514">
        <v>2.915162E-2</v>
      </c>
      <c r="AA6514">
        <v>0.93447760000000002</v>
      </c>
      <c r="AB6514">
        <v>28</v>
      </c>
      <c r="AC6514">
        <v>5.4774999999999903</v>
      </c>
      <c r="AD6514">
        <v>-1.109748266512</v>
      </c>
      <c r="AE6514">
        <v>2.3145699999999998</v>
      </c>
      <c r="AF6514">
        <v>-2.1176101297052798</v>
      </c>
      <c r="AG6514">
        <v>-1.109748266512</v>
      </c>
      <c r="AH6514">
        <v>5.3418945616557902</v>
      </c>
      <c r="AI6514">
        <v>100.930597854935</v>
      </c>
      <c r="AJ6514">
        <v>111.624145067271</v>
      </c>
      <c r="AK6514">
        <v>5.8524910409418398</v>
      </c>
      <c r="AL6514">
        <v>85.461239392118301</v>
      </c>
      <c r="AM6514">
        <v>97.541448374923704</v>
      </c>
      <c r="AN6514">
        <v>0.99999996807825398</v>
      </c>
    </row>
    <row r="6515" spans="1:40" x14ac:dyDescent="0.25">
      <c r="A6515" t="str">
        <f>"20190312151151880"</f>
        <v>20190312151151880</v>
      </c>
      <c r="B6515" t="str">
        <f>"1552374711878003"</f>
        <v>1552374711878003</v>
      </c>
      <c r="C6515" t="s">
        <v>40</v>
      </c>
      <c r="D6515">
        <v>5.2406959999999998</v>
      </c>
      <c r="E6515">
        <v>0.40881030000000002</v>
      </c>
      <c r="F6515" t="s">
        <v>96</v>
      </c>
      <c r="G6515">
        <v>-224.55779999999999</v>
      </c>
      <c r="H6515" s="1">
        <v>-1.2224809999999901E-6</v>
      </c>
      <c r="I6515">
        <v>-61.054340000000003</v>
      </c>
      <c r="J6515">
        <v>-230.00530000000001</v>
      </c>
      <c r="K6515">
        <v>1.1097649999999999</v>
      </c>
      <c r="L6515">
        <v>-63.36148</v>
      </c>
      <c r="M6515">
        <v>0.99969569999999996</v>
      </c>
      <c r="N6515">
        <v>0</v>
      </c>
      <c r="O6515">
        <v>2.2306340000000001E-2</v>
      </c>
      <c r="P6515">
        <v>0.9857534</v>
      </c>
      <c r="Q6515">
        <v>6.9018360000000001E-2</v>
      </c>
      <c r="R6515">
        <v>0.1533844</v>
      </c>
      <c r="S6515">
        <v>2.8971559999999998</v>
      </c>
      <c r="T6515">
        <v>-0.5759301</v>
      </c>
      <c r="U6515">
        <v>1.1988829999999999</v>
      </c>
      <c r="V6515">
        <v>-0.13132369999999999</v>
      </c>
      <c r="W6515">
        <v>7.9493330000000001E-2</v>
      </c>
      <c r="X6515">
        <v>0.9881472</v>
      </c>
      <c r="Y6515">
        <v>-0.35608919999999999</v>
      </c>
      <c r="Z6515">
        <v>2.9485009999999999E-2</v>
      </c>
      <c r="AA6515">
        <v>0.93398669999999995</v>
      </c>
      <c r="AB6515">
        <v>28</v>
      </c>
      <c r="AC6515">
        <v>5.4475000000000096</v>
      </c>
      <c r="AD6515">
        <v>-1.1097662224810001</v>
      </c>
      <c r="AE6515">
        <v>2.30714</v>
      </c>
      <c r="AF6515">
        <v>-2.1107676713155099</v>
      </c>
      <c r="AG6515">
        <v>-1.1097662224810001</v>
      </c>
      <c r="AH6515">
        <v>5.3107272180429304</v>
      </c>
      <c r="AI6515">
        <v>100.989544807054</v>
      </c>
      <c r="AJ6515">
        <v>111.675525224171</v>
      </c>
      <c r="AK6515">
        <v>5.8215758017303596</v>
      </c>
      <c r="AL6515">
        <v>85.440557051531997</v>
      </c>
      <c r="AM6515">
        <v>97.570186934471295</v>
      </c>
      <c r="AN6515">
        <v>0.99999999628200897</v>
      </c>
    </row>
    <row r="6516" spans="1:40" x14ac:dyDescent="0.25">
      <c r="A6516" t="str">
        <f>"20190312151151891"</f>
        <v>20190312151151891</v>
      </c>
      <c r="B6516" t="str">
        <f>"1552374711887764"</f>
        <v>1552374711887764</v>
      </c>
      <c r="C6516" t="s">
        <v>40</v>
      </c>
      <c r="D6516">
        <v>5.2353129999999997</v>
      </c>
      <c r="E6516">
        <v>0.4086555</v>
      </c>
      <c r="F6516" t="s">
        <v>96</v>
      </c>
      <c r="G6516">
        <v>-224.44069999999999</v>
      </c>
      <c r="H6516" s="1">
        <v>-1.171273E-6</v>
      </c>
      <c r="I6516">
        <v>-61.0501199999999</v>
      </c>
      <c r="J6516">
        <v>-229.87029999999999</v>
      </c>
      <c r="K6516">
        <v>1.1097889999999999</v>
      </c>
      <c r="L6516">
        <v>-63.358550000000001</v>
      </c>
      <c r="M6516">
        <v>0.9996969</v>
      </c>
      <c r="N6516">
        <v>0</v>
      </c>
      <c r="O6516">
        <v>2.224634E-2</v>
      </c>
      <c r="P6516">
        <v>0.98565539999999996</v>
      </c>
      <c r="Q6516">
        <v>6.9012329999999997E-2</v>
      </c>
      <c r="R6516">
        <v>0.15401529999999899</v>
      </c>
      <c r="S6516">
        <v>2.8965909999999999</v>
      </c>
      <c r="T6516">
        <v>-0.57767709999999906</v>
      </c>
      <c r="U6516">
        <v>1.2031559999999999</v>
      </c>
      <c r="V6516">
        <v>-0.13202069999999999</v>
      </c>
      <c r="W6516">
        <v>7.9480949999999995E-2</v>
      </c>
      <c r="X6516">
        <v>0.98805529999999997</v>
      </c>
      <c r="Y6516">
        <v>-0.35733100000000001</v>
      </c>
      <c r="Z6516">
        <v>2.969958E-2</v>
      </c>
      <c r="AA6516">
        <v>0.93350549999999999</v>
      </c>
      <c r="AB6516">
        <v>28</v>
      </c>
      <c r="AC6516">
        <v>5.42959999999999</v>
      </c>
      <c r="AD6516">
        <v>-1.1097901712729901</v>
      </c>
      <c r="AE6516">
        <v>2.30843</v>
      </c>
      <c r="AF6516">
        <v>-2.1123244602537801</v>
      </c>
      <c r="AG6516">
        <v>-1.1097901712729901</v>
      </c>
      <c r="AH6516">
        <v>5.2923577112741098</v>
      </c>
      <c r="AI6516">
        <v>101.020800537119</v>
      </c>
      <c r="AJ6516">
        <v>111.758291475787</v>
      </c>
      <c r="AK6516">
        <v>5.8053939568063004</v>
      </c>
      <c r="AL6516">
        <v>85.441268556106905</v>
      </c>
      <c r="AM6516">
        <v>97.610595546091304</v>
      </c>
      <c r="AN6516">
        <v>0.99999998124974099</v>
      </c>
    </row>
    <row r="6517" spans="1:40" x14ac:dyDescent="0.25">
      <c r="A6517" t="str">
        <f>"20190312151151902"</f>
        <v>20190312151151902</v>
      </c>
      <c r="B6517" t="str">
        <f>"1552374711897523"</f>
        <v>1552374711897523</v>
      </c>
      <c r="C6517" t="s">
        <v>40</v>
      </c>
      <c r="D6517">
        <v>5.2047089999999896</v>
      </c>
      <c r="E6517">
        <v>0.40869870000000003</v>
      </c>
      <c r="F6517" t="s">
        <v>96</v>
      </c>
      <c r="G6517">
        <v>-224.30170000000001</v>
      </c>
      <c r="H6517" s="1">
        <v>-1.109074E-6</v>
      </c>
      <c r="I6517">
        <v>-61.038609999999998</v>
      </c>
      <c r="J6517">
        <v>-229.7347</v>
      </c>
      <c r="K6517">
        <v>1.109815</v>
      </c>
      <c r="L6517">
        <v>-63.355589999999999</v>
      </c>
      <c r="M6517">
        <v>0.99969799999999998</v>
      </c>
      <c r="N6517">
        <v>0</v>
      </c>
      <c r="O6517">
        <v>2.219664E-2</v>
      </c>
      <c r="P6517">
        <v>0.98559129999999995</v>
      </c>
      <c r="Q6517">
        <v>6.9002019999999997E-2</v>
      </c>
      <c r="R6517">
        <v>0.1544296</v>
      </c>
      <c r="S6517">
        <v>2.8955839999999999</v>
      </c>
      <c r="T6517">
        <v>-0.57707209999999998</v>
      </c>
      <c r="U6517">
        <v>1.206329</v>
      </c>
      <c r="V6517">
        <v>-0.13248969999999999</v>
      </c>
      <c r="W6517">
        <v>7.9463850000000003E-2</v>
      </c>
      <c r="X6517">
        <v>0.98799389999999998</v>
      </c>
      <c r="Y6517">
        <v>-0.35835719999999999</v>
      </c>
      <c r="Z6517">
        <v>2.977927E-2</v>
      </c>
      <c r="AA6517">
        <v>0.93310950000000004</v>
      </c>
      <c r="AB6517">
        <v>28</v>
      </c>
      <c r="AC6517">
        <v>5.4329999999999901</v>
      </c>
      <c r="AD6517">
        <v>-1.109816109074</v>
      </c>
      <c r="AE6517">
        <v>2.31698</v>
      </c>
      <c r="AF6517">
        <v>-2.12092597231978</v>
      </c>
      <c r="AG6517">
        <v>-1.109816109074</v>
      </c>
      <c r="AH6517">
        <v>5.2961073285641698</v>
      </c>
      <c r="AI6517">
        <v>101.008472453452</v>
      </c>
      <c r="AJ6517">
        <v>111.82456324528501</v>
      </c>
      <c r="AK6517">
        <v>5.8119507578516103</v>
      </c>
      <c r="AL6517">
        <v>85.442251440967496</v>
      </c>
      <c r="AM6517">
        <v>97.637782446344104</v>
      </c>
      <c r="AN6517">
        <v>0.99999998525006095</v>
      </c>
    </row>
    <row r="6518" spans="1:40" x14ac:dyDescent="0.25">
      <c r="A6518" t="str">
        <f>"20190312151151913"</f>
        <v>20190312151151913</v>
      </c>
      <c r="B6518" t="str">
        <f>"1552374711907283"</f>
        <v>1552374711907283</v>
      </c>
      <c r="C6518" t="s">
        <v>40</v>
      </c>
      <c r="D6518">
        <v>5.3022609999999997</v>
      </c>
      <c r="E6518">
        <v>0.40869309999999998</v>
      </c>
      <c r="F6518" t="s">
        <v>96</v>
      </c>
      <c r="G6518">
        <v>-224.16919999999999</v>
      </c>
      <c r="H6518" s="1">
        <v>-1.051383E-6</v>
      </c>
      <c r="I6518">
        <v>-61.034689999999998</v>
      </c>
      <c r="J6518">
        <v>-229.58940000000001</v>
      </c>
      <c r="K6518">
        <v>1.1098399999999999</v>
      </c>
      <c r="L6518">
        <v>-63.352420000000002</v>
      </c>
      <c r="M6518">
        <v>0.9996988</v>
      </c>
      <c r="N6518">
        <v>0</v>
      </c>
      <c r="O6518">
        <v>2.2159600000000002E-2</v>
      </c>
      <c r="P6518">
        <v>0.98551770000000005</v>
      </c>
      <c r="Q6518">
        <v>6.8972749999999999E-2</v>
      </c>
      <c r="R6518">
        <v>0.1549122</v>
      </c>
      <c r="S6518">
        <v>2.895111</v>
      </c>
      <c r="T6518">
        <v>-0.57731429999999995</v>
      </c>
      <c r="U6518">
        <v>1.207306</v>
      </c>
      <c r="V6518">
        <v>-0.13301579999999999</v>
      </c>
      <c r="W6518">
        <v>7.9427250000000005E-2</v>
      </c>
      <c r="X6518">
        <v>0.98792619999999998</v>
      </c>
      <c r="Y6518">
        <v>-0.35870200000000002</v>
      </c>
      <c r="Z6518">
        <v>2.9833889999999998E-2</v>
      </c>
      <c r="AA6518">
        <v>0.9329752</v>
      </c>
      <c r="AB6518">
        <v>28</v>
      </c>
      <c r="AC6518">
        <v>5.4202000000000199</v>
      </c>
      <c r="AD6518">
        <v>-1.1098410513829999</v>
      </c>
      <c r="AE6518">
        <v>2.3177299999999899</v>
      </c>
      <c r="AF6518">
        <v>-2.1218351293530699</v>
      </c>
      <c r="AG6518">
        <v>-1.1098410513829999</v>
      </c>
      <c r="AH6518">
        <v>5.2829740070844604</v>
      </c>
      <c r="AI6518">
        <v>101.031068524651</v>
      </c>
      <c r="AJ6518">
        <v>111.882194782751</v>
      </c>
      <c r="AK6518">
        <v>5.8003229078234702</v>
      </c>
      <c r="AL6518">
        <v>85.444355337769693</v>
      </c>
      <c r="AM6518">
        <v>97.668270197074605</v>
      </c>
      <c r="AN6518">
        <v>1.00000003386932</v>
      </c>
    </row>
    <row r="6519" spans="1:40" x14ac:dyDescent="0.25">
      <c r="A6519" t="str">
        <f>"20190312151151923"</f>
        <v>20190312151151923</v>
      </c>
      <c r="B6519" t="str">
        <f>"1552374711918020"</f>
        <v>1552374711918020</v>
      </c>
      <c r="C6519" t="s">
        <v>40</v>
      </c>
      <c r="D6519">
        <v>5.2052250000000004</v>
      </c>
      <c r="E6519">
        <v>0.40880709999999998</v>
      </c>
      <c r="F6519" t="s">
        <v>96</v>
      </c>
      <c r="G6519">
        <v>-224.01580000000001</v>
      </c>
      <c r="H6519" s="1">
        <v>-9.8326610000000003E-7</v>
      </c>
      <c r="I6519">
        <v>-61.024369999999998</v>
      </c>
      <c r="J6519">
        <v>-229.4522</v>
      </c>
      <c r="K6519">
        <v>1.109864</v>
      </c>
      <c r="L6519">
        <v>-63.349400000000003</v>
      </c>
      <c r="M6519">
        <v>0.99969920000000001</v>
      </c>
      <c r="N6519">
        <v>0</v>
      </c>
      <c r="O6519">
        <v>2.2145080000000001E-2</v>
      </c>
      <c r="P6519">
        <v>0.98546829999999996</v>
      </c>
      <c r="Q6519">
        <v>6.8811709999999998E-2</v>
      </c>
      <c r="R6519">
        <v>0.15529770000000001</v>
      </c>
      <c r="S6519">
        <v>2.8943629999999998</v>
      </c>
      <c r="T6519">
        <v>-0.57633849999999998</v>
      </c>
      <c r="U6519">
        <v>1.2089540000000001</v>
      </c>
      <c r="V6519">
        <v>-0.13342129999999999</v>
      </c>
      <c r="W6519">
        <v>7.925944E-2</v>
      </c>
      <c r="X6519">
        <v>0.98788489999999995</v>
      </c>
      <c r="Y6519">
        <v>-0.35926160000000001</v>
      </c>
      <c r="Z6519">
        <v>2.9844019999999999E-2</v>
      </c>
      <c r="AA6519">
        <v>0.93275960000000002</v>
      </c>
      <c r="AB6519">
        <v>28</v>
      </c>
      <c r="AC6519">
        <v>5.4363999999999901</v>
      </c>
      <c r="AD6519">
        <v>-1.1098649832661001</v>
      </c>
      <c r="AE6519">
        <v>2.3250299999999999</v>
      </c>
      <c r="AF6519">
        <v>-2.12904794082454</v>
      </c>
      <c r="AG6519">
        <v>-1.1098649832661001</v>
      </c>
      <c r="AH6519">
        <v>5.2998217290430896</v>
      </c>
      <c r="AI6519">
        <v>100.99677675214799</v>
      </c>
      <c r="AJ6519">
        <v>111.886347977542</v>
      </c>
      <c r="AK6519">
        <v>5.81831210705018</v>
      </c>
      <c r="AL6519">
        <v>85.454000117514497</v>
      </c>
      <c r="AM6519">
        <v>97.691685285162606</v>
      </c>
      <c r="AN6519">
        <v>0.99999993888540395</v>
      </c>
    </row>
    <row r="6520" spans="1:40" x14ac:dyDescent="0.25">
      <c r="A6520" t="str">
        <f>"20190312151151935"</f>
        <v>20190312151151935</v>
      </c>
      <c r="B6520" t="str">
        <f>"1552374711927779"</f>
        <v>1552374711927779</v>
      </c>
      <c r="C6520" t="s">
        <v>40</v>
      </c>
      <c r="D6520">
        <v>5.2165929999999996</v>
      </c>
      <c r="E6520">
        <v>0.40869420000000001</v>
      </c>
      <c r="F6520" t="s">
        <v>96</v>
      </c>
      <c r="G6520">
        <v>-223.87209999999999</v>
      </c>
      <c r="H6520" s="1">
        <v>-9.2010360000000002E-7</v>
      </c>
      <c r="I6520">
        <v>-61.017400000000002</v>
      </c>
      <c r="J6520">
        <v>-229.3134</v>
      </c>
      <c r="K6520">
        <v>1.109888</v>
      </c>
      <c r="L6520">
        <v>-63.346339999999998</v>
      </c>
      <c r="M6520">
        <v>0.99969920000000001</v>
      </c>
      <c r="N6520">
        <v>0</v>
      </c>
      <c r="O6520">
        <v>2.2143429999999999E-2</v>
      </c>
      <c r="P6520">
        <v>0.98538919999999997</v>
      </c>
      <c r="Q6520">
        <v>6.8847190000000003E-2</v>
      </c>
      <c r="R6520">
        <v>0.15578239999999999</v>
      </c>
      <c r="S6520">
        <v>2.8938290000000002</v>
      </c>
      <c r="T6520">
        <v>-0.5755806</v>
      </c>
      <c r="U6520">
        <v>1.209381</v>
      </c>
      <c r="V6520">
        <v>-0.13391459999999999</v>
      </c>
      <c r="W6520">
        <v>7.9287479999999994E-2</v>
      </c>
      <c r="X6520">
        <v>0.98781600000000003</v>
      </c>
      <c r="Y6520">
        <v>-0.35945169999999999</v>
      </c>
      <c r="Z6520">
        <v>2.9827940000000001E-2</v>
      </c>
      <c r="AA6520">
        <v>0.93268689999999999</v>
      </c>
      <c r="AB6520">
        <v>28</v>
      </c>
      <c r="AC6520">
        <v>5.4413000000000098</v>
      </c>
      <c r="AD6520">
        <v>-1.1098889201036</v>
      </c>
      <c r="AE6520">
        <v>2.3289399999999998</v>
      </c>
      <c r="AF6520">
        <v>-2.1328728971443298</v>
      </c>
      <c r="AG6520">
        <v>-1.1098889201036</v>
      </c>
      <c r="AH6520">
        <v>5.3049946553282599</v>
      </c>
      <c r="AI6520">
        <v>100.985324722532</v>
      </c>
      <c r="AJ6520">
        <v>111.90259143003</v>
      </c>
      <c r="AK6520">
        <v>5.8244285988758602</v>
      </c>
      <c r="AL6520">
        <v>85.452388919874394</v>
      </c>
      <c r="AM6520">
        <v>97.720313485949603</v>
      </c>
      <c r="AN6520">
        <v>1.00000003721695</v>
      </c>
    </row>
    <row r="6521" spans="1:40" x14ac:dyDescent="0.25">
      <c r="A6521" t="str">
        <f>"20190312151151946"</f>
        <v>20190312151151946</v>
      </c>
      <c r="B6521" t="str">
        <f>"1552374711938060"</f>
        <v>1552374711938060</v>
      </c>
      <c r="C6521" t="s">
        <v>40</v>
      </c>
      <c r="D6521">
        <v>5.2250430000000003</v>
      </c>
      <c r="E6521">
        <v>0.40839019999999998</v>
      </c>
      <c r="F6521" t="s">
        <v>96</v>
      </c>
      <c r="G6521">
        <v>-223.74260000000001</v>
      </c>
      <c r="H6521" s="1">
        <v>-8.6350200000000003E-7</v>
      </c>
      <c r="I6521">
        <v>-61.012860000000003</v>
      </c>
      <c r="J6521">
        <v>-229.16560000000001</v>
      </c>
      <c r="K6521">
        <v>1.1099190000000001</v>
      </c>
      <c r="L6521">
        <v>-63.343049999999998</v>
      </c>
      <c r="M6521">
        <v>0.99969830000000004</v>
      </c>
      <c r="N6521">
        <v>0</v>
      </c>
      <c r="O6521">
        <v>2.217713E-2</v>
      </c>
      <c r="P6521">
        <v>0.98531420000000003</v>
      </c>
      <c r="Q6521">
        <v>6.866506E-2</v>
      </c>
      <c r="R6521">
        <v>0.1563358</v>
      </c>
      <c r="S6521">
        <v>2.893173</v>
      </c>
      <c r="T6521">
        <v>-0.57641379999999998</v>
      </c>
      <c r="U6521">
        <v>1.211884</v>
      </c>
      <c r="V6521">
        <v>-0.13444139999999999</v>
      </c>
      <c r="W6521">
        <v>7.9096420000000001E-2</v>
      </c>
      <c r="X6521">
        <v>0.98775970000000002</v>
      </c>
      <c r="Y6521">
        <v>-0.36015449999999999</v>
      </c>
      <c r="Z6521">
        <v>2.99321E-2</v>
      </c>
      <c r="AA6521">
        <v>0.93241229999999997</v>
      </c>
      <c r="AB6521">
        <v>28</v>
      </c>
      <c r="AC6521">
        <v>5.423</v>
      </c>
      <c r="AD6521">
        <v>-1.109919863502</v>
      </c>
      <c r="AE6521">
        <v>2.33019</v>
      </c>
      <c r="AF6521">
        <v>-2.1338877502500901</v>
      </c>
      <c r="AG6521">
        <v>-1.109919863502</v>
      </c>
      <c r="AH6521">
        <v>5.2864144770628601</v>
      </c>
      <c r="AI6521">
        <v>101.01730987831699</v>
      </c>
      <c r="AJ6521">
        <v>111.981713811744</v>
      </c>
      <c r="AK6521">
        <v>5.8078892084270599</v>
      </c>
      <c r="AL6521">
        <v>85.463370076298702</v>
      </c>
      <c r="AM6521">
        <v>97.750752015517307</v>
      </c>
      <c r="AN6521">
        <v>0.99999997931743301</v>
      </c>
    </row>
    <row r="6522" spans="1:40" x14ac:dyDescent="0.25">
      <c r="A6522" t="str">
        <f>"20190312151151957"</f>
        <v>20190312151151957</v>
      </c>
      <c r="B6522" t="str">
        <f>"1552374711947806"</f>
        <v>1552374711947806</v>
      </c>
      <c r="C6522" t="s">
        <v>40</v>
      </c>
      <c r="D6522">
        <v>5.2091260000000004</v>
      </c>
      <c r="E6522">
        <v>0.40841949999999999</v>
      </c>
      <c r="F6522" t="s">
        <v>96</v>
      </c>
      <c r="G6522">
        <v>-223.58799999999999</v>
      </c>
      <c r="H6522" s="1">
        <v>-7.9389740000000003E-7</v>
      </c>
      <c r="I6522">
        <v>-60.997919999999901</v>
      </c>
      <c r="J6522">
        <v>-229.0249</v>
      </c>
      <c r="K6522">
        <v>1.1099490000000001</v>
      </c>
      <c r="L6522">
        <v>-63.3399</v>
      </c>
      <c r="M6522">
        <v>0.99969739999999996</v>
      </c>
      <c r="N6522">
        <v>0</v>
      </c>
      <c r="O6522">
        <v>2.221917E-2</v>
      </c>
      <c r="P6522">
        <v>0.98522169999999998</v>
      </c>
      <c r="Q6522">
        <v>6.8441710000000003E-2</v>
      </c>
      <c r="R6522">
        <v>0.15701660000000001</v>
      </c>
      <c r="S6522">
        <v>2.8918759999999999</v>
      </c>
      <c r="T6522">
        <v>-0.57547760000000003</v>
      </c>
      <c r="U6522">
        <v>1.2159120000000001</v>
      </c>
      <c r="V6522">
        <v>-0.13508909999999999</v>
      </c>
      <c r="W6522">
        <v>7.8864429999999999E-2</v>
      </c>
      <c r="X6522">
        <v>0.98768990000000001</v>
      </c>
      <c r="Y6522">
        <v>-0.36136610000000002</v>
      </c>
      <c r="Z6522">
        <v>2.9995669999999999E-2</v>
      </c>
      <c r="AA6522">
        <v>0.93194140000000003</v>
      </c>
      <c r="AB6522">
        <v>28</v>
      </c>
      <c r="AC6522">
        <v>5.4368999999999996</v>
      </c>
      <c r="AD6522">
        <v>-1.1099497938973999</v>
      </c>
      <c r="AE6522">
        <v>2.34198</v>
      </c>
      <c r="AF6522">
        <v>-2.1451784660105</v>
      </c>
      <c r="AG6522">
        <v>-1.1099497938973999</v>
      </c>
      <c r="AH6522">
        <v>5.3012339491474698</v>
      </c>
      <c r="AI6522">
        <v>100.983821887212</v>
      </c>
      <c r="AJ6522">
        <v>112.031034769782</v>
      </c>
      <c r="AK6522">
        <v>5.82553521829555</v>
      </c>
      <c r="AL6522">
        <v>85.476703874620796</v>
      </c>
      <c r="AM6522">
        <v>97.788179385061198</v>
      </c>
      <c r="AN6522">
        <v>1.0000000009100201</v>
      </c>
    </row>
    <row r="6523" spans="1:40" x14ac:dyDescent="0.25">
      <c r="A6523" t="str">
        <f>"20190312151151968"</f>
        <v>20190312151151968</v>
      </c>
      <c r="B6523" t="str">
        <f>"1552374711957567"</f>
        <v>1552374711957567</v>
      </c>
      <c r="C6523" t="s">
        <v>40</v>
      </c>
      <c r="D6523">
        <v>5.2399149999999999</v>
      </c>
      <c r="E6523">
        <v>0.40831620000000002</v>
      </c>
      <c r="F6523" t="s">
        <v>96</v>
      </c>
      <c r="G6523">
        <v>-223.47389999999999</v>
      </c>
      <c r="H6523" s="1">
        <v>-7.457753E-7</v>
      </c>
      <c r="I6523">
        <v>-61.001779999999997</v>
      </c>
      <c r="J6523">
        <v>-228.88489999999999</v>
      </c>
      <c r="K6523">
        <v>1.1099840000000001</v>
      </c>
      <c r="L6523">
        <v>-63.336730000000003</v>
      </c>
      <c r="M6523">
        <v>0.99969549999999996</v>
      </c>
      <c r="N6523">
        <v>0</v>
      </c>
      <c r="O6523">
        <v>2.2309490000000001E-2</v>
      </c>
      <c r="P6523">
        <v>0.98512739999999999</v>
      </c>
      <c r="Q6523">
        <v>6.8568989999999996E-2</v>
      </c>
      <c r="R6523">
        <v>0.15755139999999901</v>
      </c>
      <c r="S6523">
        <v>2.8910830000000001</v>
      </c>
      <c r="T6523">
        <v>-0.57808349999999997</v>
      </c>
      <c r="U6523">
        <v>1.217743</v>
      </c>
      <c r="V6523">
        <v>-0.13554279999999999</v>
      </c>
      <c r="W6523">
        <v>7.8980419999999996E-2</v>
      </c>
      <c r="X6523">
        <v>0.98761840000000001</v>
      </c>
      <c r="Y6523">
        <v>-0.36181679999999999</v>
      </c>
      <c r="Z6523">
        <v>3.0158919999999999E-2</v>
      </c>
      <c r="AA6523">
        <v>0.93176130000000001</v>
      </c>
      <c r="AB6523">
        <v>28</v>
      </c>
      <c r="AC6523">
        <v>5.4109999999999996</v>
      </c>
      <c r="AD6523">
        <v>-1.1099847457753</v>
      </c>
      <c r="AE6523">
        <v>2.3349499999999899</v>
      </c>
      <c r="AF6523">
        <v>-2.1378075105748602</v>
      </c>
      <c r="AG6523">
        <v>-1.1099847457753</v>
      </c>
      <c r="AH6523">
        <v>5.2746319624295701</v>
      </c>
      <c r="AI6523">
        <v>101.035789396955</v>
      </c>
      <c r="AJ6523">
        <v>112.062704872434</v>
      </c>
      <c r="AK6523">
        <v>5.7986230630389999</v>
      </c>
      <c r="AL6523">
        <v>85.470037023920796</v>
      </c>
      <c r="AM6523">
        <v>97.814572288123898</v>
      </c>
      <c r="AN6523">
        <v>0.99999993069688498</v>
      </c>
    </row>
    <row r="6524" spans="1:40" x14ac:dyDescent="0.25">
      <c r="A6524" t="str">
        <f>"20190312151151980"</f>
        <v>20190312151151980</v>
      </c>
      <c r="B6524" t="str">
        <f>"1552374711978062"</f>
        <v>1552374711978062</v>
      </c>
      <c r="C6524" t="s">
        <v>40</v>
      </c>
      <c r="D6524">
        <v>5.2615889999999998</v>
      </c>
      <c r="E6524">
        <v>0.40800910000000001</v>
      </c>
      <c r="F6524" t="s">
        <v>96</v>
      </c>
      <c r="G6524">
        <v>-223.3262</v>
      </c>
      <c r="H6524" s="1">
        <v>-6.7978680000000001E-7</v>
      </c>
      <c r="I6524">
        <v>-60.98986</v>
      </c>
      <c r="J6524">
        <v>-228.7457</v>
      </c>
      <c r="K6524">
        <v>1.1100219999999901</v>
      </c>
      <c r="L6524">
        <v>-63.333559999999999</v>
      </c>
      <c r="M6524">
        <v>0.99969319999999895</v>
      </c>
      <c r="N6524">
        <v>0</v>
      </c>
      <c r="O6524">
        <v>2.2408290000000001E-2</v>
      </c>
      <c r="P6524">
        <v>0.98503249999999998</v>
      </c>
      <c r="Q6524">
        <v>6.831458E-2</v>
      </c>
      <c r="R6524">
        <v>0.158252799999999</v>
      </c>
      <c r="S6524">
        <v>2.8902890000000001</v>
      </c>
      <c r="T6524">
        <v>-0.57714650000000001</v>
      </c>
      <c r="U6524">
        <v>1.2202759999999999</v>
      </c>
      <c r="V6524">
        <v>-0.13615550000000001</v>
      </c>
      <c r="W6524">
        <v>7.8715170000000001E-2</v>
      </c>
      <c r="X6524">
        <v>0.98755539999999997</v>
      </c>
      <c r="Y6524">
        <v>-0.36251739999999999</v>
      </c>
      <c r="Z6524">
        <v>3.016137E-2</v>
      </c>
      <c r="AA6524">
        <v>0.93148889999999995</v>
      </c>
      <c r="AB6524">
        <v>28</v>
      </c>
      <c r="AC6524">
        <v>5.4194999999999904</v>
      </c>
      <c r="AD6524">
        <v>-1.11002267978679</v>
      </c>
      <c r="AE6524">
        <v>2.3436999999999899</v>
      </c>
      <c r="AF6524">
        <v>-2.1458257846953699</v>
      </c>
      <c r="AG6524">
        <v>-1.11002267978679</v>
      </c>
      <c r="AH6524">
        <v>5.2839175555292304</v>
      </c>
      <c r="AI6524">
        <v>101.014223534319</v>
      </c>
      <c r="AJ6524">
        <v>112.10232113766099</v>
      </c>
      <c r="AK6524">
        <v>5.81003471431407</v>
      </c>
      <c r="AL6524">
        <v>85.485282657210405</v>
      </c>
      <c r="AM6524">
        <v>97.849951973296101</v>
      </c>
      <c r="AN6524">
        <v>1.00000003311876</v>
      </c>
    </row>
    <row r="6525" spans="1:40" x14ac:dyDescent="0.25">
      <c r="A6525" t="str">
        <f>"20190312151151992"</f>
        <v>20190312151151992</v>
      </c>
      <c r="B6525" t="str">
        <f>"1552374711987821"</f>
        <v>1552374711987821</v>
      </c>
      <c r="C6525" t="s">
        <v>40</v>
      </c>
      <c r="D6525">
        <v>5.2421689999999996</v>
      </c>
      <c r="E6525">
        <v>0.40788809999999998</v>
      </c>
      <c r="F6525" t="s">
        <v>96</v>
      </c>
      <c r="G6525">
        <v>-223.2064</v>
      </c>
      <c r="H6525" s="1">
        <v>-6.2736340000000003E-7</v>
      </c>
      <c r="I6525">
        <v>-60.985320000000002</v>
      </c>
      <c r="J6525">
        <v>-228.57939999999999</v>
      </c>
      <c r="K6525">
        <v>1.110069</v>
      </c>
      <c r="L6525">
        <v>-63.329680000000003</v>
      </c>
      <c r="M6525">
        <v>0.99968939999999995</v>
      </c>
      <c r="N6525">
        <v>0</v>
      </c>
      <c r="O6525">
        <v>2.2571879999999999E-2</v>
      </c>
      <c r="P6525">
        <v>0.98490180000000005</v>
      </c>
      <c r="Q6525">
        <v>6.8227460000000004E-2</v>
      </c>
      <c r="R6525">
        <v>0.15910189999999999</v>
      </c>
      <c r="S6525">
        <v>2.888992</v>
      </c>
      <c r="T6525">
        <v>-0.57892200000000005</v>
      </c>
      <c r="U6525">
        <v>1.224701</v>
      </c>
      <c r="V6525">
        <v>-0.13685449999999999</v>
      </c>
      <c r="W6525">
        <v>7.8612970000000004E-2</v>
      </c>
      <c r="X6525">
        <v>0.98746690000000004</v>
      </c>
      <c r="Y6525">
        <v>-0.36367290000000002</v>
      </c>
      <c r="Z6525">
        <v>3.033539E-2</v>
      </c>
      <c r="AA6525">
        <v>0.93103270000000005</v>
      </c>
      <c r="AB6525">
        <v>29</v>
      </c>
      <c r="AC6525">
        <v>5.3729999999999896</v>
      </c>
      <c r="AD6525">
        <v>-1.1100696273634001</v>
      </c>
      <c r="AE6525">
        <v>2.34436</v>
      </c>
      <c r="AF6525">
        <v>-2.1455429747889099</v>
      </c>
      <c r="AG6525">
        <v>-1.1100696273634001</v>
      </c>
      <c r="AH6525">
        <v>5.2367720109144402</v>
      </c>
      <c r="AI6525">
        <v>101.09774292291701</v>
      </c>
      <c r="AJ6525">
        <v>112.27926363721301</v>
      </c>
      <c r="AK6525">
        <v>5.76709548460554</v>
      </c>
      <c r="AL6525">
        <v>85.491156409866605</v>
      </c>
      <c r="AM6525">
        <v>97.890444289931906</v>
      </c>
      <c r="AN6525">
        <v>1.0000000159090401</v>
      </c>
    </row>
    <row r="6526" spans="1:40" x14ac:dyDescent="0.25">
      <c r="A6526" t="str">
        <f>"20190312151152003"</f>
        <v>20190312151152003</v>
      </c>
      <c r="B6526" t="str">
        <f>"1552374711997583"</f>
        <v>1552374711997583</v>
      </c>
      <c r="C6526" t="s">
        <v>40</v>
      </c>
      <c r="D6526">
        <v>5.2473539999999996</v>
      </c>
      <c r="E6526">
        <v>0.40772890000000001</v>
      </c>
      <c r="F6526" t="s">
        <v>96</v>
      </c>
      <c r="G6526">
        <v>-223.0438</v>
      </c>
      <c r="H6526" s="1">
        <v>-5.5542630000000002E-7</v>
      </c>
      <c r="I6526">
        <v>-60.975569999999998</v>
      </c>
      <c r="J6526">
        <v>-228.4434</v>
      </c>
      <c r="K6526">
        <v>1.1101099999999999</v>
      </c>
      <c r="L6526">
        <v>-63.326450000000001</v>
      </c>
      <c r="M6526">
        <v>0.99968590000000002</v>
      </c>
      <c r="N6526">
        <v>0</v>
      </c>
      <c r="O6526">
        <v>2.273236E-2</v>
      </c>
      <c r="P6526">
        <v>0.98477709999999996</v>
      </c>
      <c r="Q6526">
        <v>6.8109710000000004E-2</v>
      </c>
      <c r="R6526">
        <v>0.15992229999999999</v>
      </c>
      <c r="S6526">
        <v>2.8876949999999999</v>
      </c>
      <c r="T6526">
        <v>-0.5790689</v>
      </c>
      <c r="U6526">
        <v>1.228027</v>
      </c>
      <c r="V6526">
        <v>-0.13752690000000001</v>
      </c>
      <c r="W6526">
        <v>7.8481780000000001E-2</v>
      </c>
      <c r="X6526">
        <v>0.98738389999999998</v>
      </c>
      <c r="Y6526">
        <v>-0.36456569999999999</v>
      </c>
      <c r="Z6526">
        <v>3.0403469999999998E-2</v>
      </c>
      <c r="AA6526">
        <v>0.93068119999999999</v>
      </c>
      <c r="AB6526">
        <v>29</v>
      </c>
      <c r="AC6526">
        <v>5.3995999999999897</v>
      </c>
      <c r="AD6526">
        <v>-1.1101105554263</v>
      </c>
      <c r="AE6526">
        <v>2.3508800000000001</v>
      </c>
      <c r="AF6526">
        <v>-2.1510867068187598</v>
      </c>
      <c r="AG6526">
        <v>-1.1101105554263</v>
      </c>
      <c r="AH6526">
        <v>5.2645852692203299</v>
      </c>
      <c r="AI6526">
        <v>101.04515005976199</v>
      </c>
      <c r="AJ6526">
        <v>112.224711906347</v>
      </c>
      <c r="AK6526">
        <v>5.7944264187590599</v>
      </c>
      <c r="AL6526">
        <v>85.498696275815405</v>
      </c>
      <c r="AM6526">
        <v>97.929378156568504</v>
      </c>
      <c r="AN6526">
        <v>1.00000000199739</v>
      </c>
    </row>
    <row r="6527" spans="1:40" x14ac:dyDescent="0.25">
      <c r="A6527" t="str">
        <f>"20190312151152013"</f>
        <v>20190312151152013</v>
      </c>
      <c r="B6527" t="str">
        <f>"1552374712007342"</f>
        <v>1552374712007342</v>
      </c>
      <c r="C6527" t="s">
        <v>40</v>
      </c>
      <c r="D6527">
        <v>5.2135099999999897</v>
      </c>
      <c r="E6527">
        <v>0.40757939999999998</v>
      </c>
      <c r="F6527" t="s">
        <v>96</v>
      </c>
      <c r="G6527">
        <v>-222.9179</v>
      </c>
      <c r="H6527" s="1">
        <v>-4.9991729999999899E-7</v>
      </c>
      <c r="I6527">
        <v>-60.968820000000001</v>
      </c>
      <c r="J6527">
        <v>-228.31219999999999</v>
      </c>
      <c r="K6527">
        <v>1.1101510000000001</v>
      </c>
      <c r="L6527">
        <v>-63.323329999999999</v>
      </c>
      <c r="M6527">
        <v>0.99968170000000001</v>
      </c>
      <c r="N6527">
        <v>0</v>
      </c>
      <c r="O6527">
        <v>2.2909160000000001E-2</v>
      </c>
      <c r="P6527">
        <v>0.98462890000000003</v>
      </c>
      <c r="Q6527">
        <v>6.7876590000000001E-2</v>
      </c>
      <c r="R6527">
        <v>0.1609302</v>
      </c>
      <c r="S6527">
        <v>2.8864749999999999</v>
      </c>
      <c r="T6527">
        <v>-0.57990929999999996</v>
      </c>
      <c r="U6527">
        <v>1.231598</v>
      </c>
      <c r="V6527">
        <v>-0.1383713</v>
      </c>
      <c r="W6527">
        <v>7.8235070000000004E-2</v>
      </c>
      <c r="X6527">
        <v>0.98728550000000004</v>
      </c>
      <c r="Y6527">
        <v>-0.36548720000000001</v>
      </c>
      <c r="Z6527">
        <v>3.0505870000000001E-2</v>
      </c>
      <c r="AA6527">
        <v>0.93031640000000004</v>
      </c>
      <c r="AB6527">
        <v>29</v>
      </c>
      <c r="AC6527">
        <v>5.3942999999999799</v>
      </c>
      <c r="AD6527">
        <v>-1.1101514999173001</v>
      </c>
      <c r="AE6527">
        <v>2.3545100000000101</v>
      </c>
      <c r="AF6527">
        <v>-2.1536863042674899</v>
      </c>
      <c r="AG6527">
        <v>-1.1101514999173001</v>
      </c>
      <c r="AH6527">
        <v>5.25970676072206</v>
      </c>
      <c r="AI6527">
        <v>101.05224112112001</v>
      </c>
      <c r="AJ6527">
        <v>112.26757328499799</v>
      </c>
      <c r="AK6527">
        <v>5.7909685078355704</v>
      </c>
      <c r="AL6527">
        <v>85.512875308622597</v>
      </c>
      <c r="AM6527">
        <v>97.978223622160399</v>
      </c>
      <c r="AN6527">
        <v>1.00000000067592</v>
      </c>
    </row>
    <row r="6528" spans="1:40" x14ac:dyDescent="0.25">
      <c r="A6528" t="str">
        <f>"20190312151152024"</f>
        <v>20190312151152024</v>
      </c>
      <c r="B6528" t="str">
        <f>"1552374712018078"</f>
        <v>1552374712018078</v>
      </c>
      <c r="C6528" t="s">
        <v>40</v>
      </c>
      <c r="D6528">
        <v>5.2671769999999896</v>
      </c>
      <c r="E6528">
        <v>0.4074661</v>
      </c>
      <c r="F6528" t="s">
        <v>96</v>
      </c>
      <c r="G6528">
        <v>-222.8212</v>
      </c>
      <c r="H6528" s="1">
        <v>-4.5911209999999998E-7</v>
      </c>
      <c r="I6528">
        <v>-60.971870000000003</v>
      </c>
      <c r="J6528">
        <v>-228.16900000000001</v>
      </c>
      <c r="K6528">
        <v>1.1101970000000001</v>
      </c>
      <c r="L6528">
        <v>-63.319850000000002</v>
      </c>
      <c r="M6528">
        <v>0.99967649999999997</v>
      </c>
      <c r="N6528">
        <v>0</v>
      </c>
      <c r="O6528">
        <v>2.3140879999999999E-2</v>
      </c>
      <c r="P6528">
        <v>0.98447169999999895</v>
      </c>
      <c r="Q6528">
        <v>6.7692539999999995E-2</v>
      </c>
      <c r="R6528">
        <v>0.16196769999999999</v>
      </c>
      <c r="S6528">
        <v>2.8850859999999998</v>
      </c>
      <c r="T6528">
        <v>-0.58329319999999996</v>
      </c>
      <c r="U6528">
        <v>1.2355039999999999</v>
      </c>
      <c r="V6528">
        <v>-0.13919210000000001</v>
      </c>
      <c r="W6528">
        <v>7.8035389999999996E-2</v>
      </c>
      <c r="X6528">
        <v>0.98718589999999995</v>
      </c>
      <c r="Y6528">
        <v>-0.36641790000000002</v>
      </c>
      <c r="Z6528">
        <v>3.0731459999999999E-2</v>
      </c>
      <c r="AA6528">
        <v>0.92994270000000001</v>
      </c>
      <c r="AB6528">
        <v>29</v>
      </c>
      <c r="AC6528">
        <v>5.3478000000000003</v>
      </c>
      <c r="AD6528">
        <v>-1.11019745911209</v>
      </c>
      <c r="AE6528">
        <v>2.3479800000000002</v>
      </c>
      <c r="AF6528">
        <v>-2.1460501152149698</v>
      </c>
      <c r="AG6528">
        <v>-1.11019745911209</v>
      </c>
      <c r="AH6528">
        <v>5.2123710430762404</v>
      </c>
      <c r="AI6528">
        <v>101.141952386075</v>
      </c>
      <c r="AJ6528">
        <v>112.37806435009</v>
      </c>
      <c r="AK6528">
        <v>5.7451615630835704</v>
      </c>
      <c r="AL6528">
        <v>85.524351130514404</v>
      </c>
      <c r="AM6528">
        <v>98.025733755114004</v>
      </c>
      <c r="AN6528">
        <v>0.99999998197683504</v>
      </c>
    </row>
    <row r="6529" spans="1:40" x14ac:dyDescent="0.25">
      <c r="A6529" t="str">
        <f>"20190312151152035"</f>
        <v>20190312151152035</v>
      </c>
      <c r="B6529" t="str">
        <f>"1552374712027838"</f>
        <v>1552374712027838</v>
      </c>
      <c r="C6529" t="s">
        <v>40</v>
      </c>
      <c r="D6529">
        <v>5.2391300000000003</v>
      </c>
      <c r="E6529">
        <v>0.40738730000000001</v>
      </c>
      <c r="F6529" t="s">
        <v>96</v>
      </c>
      <c r="G6529">
        <v>-222.69409999999999</v>
      </c>
      <c r="H6529" s="1">
        <v>-4.0352979999999998E-7</v>
      </c>
      <c r="I6529">
        <v>-60.967030000000001</v>
      </c>
      <c r="J6529">
        <v>-228.0283</v>
      </c>
      <c r="K6529">
        <v>1.1102399999999999</v>
      </c>
      <c r="L6529">
        <v>-63.316409999999998</v>
      </c>
      <c r="M6529">
        <v>0.99967070000000002</v>
      </c>
      <c r="N6529">
        <v>0</v>
      </c>
      <c r="O6529">
        <v>2.338904E-2</v>
      </c>
      <c r="P6529">
        <v>0.98429319999999998</v>
      </c>
      <c r="Q6529">
        <v>6.7249429999999999E-2</v>
      </c>
      <c r="R6529">
        <v>0.16323190000000001</v>
      </c>
      <c r="S6529">
        <v>2.8836210000000002</v>
      </c>
      <c r="T6529">
        <v>-0.58473909999999996</v>
      </c>
      <c r="U6529">
        <v>1.2392270000000001</v>
      </c>
      <c r="V6529">
        <v>-0.1402233</v>
      </c>
      <c r="W6529">
        <v>7.7575699999999997E-2</v>
      </c>
      <c r="X6529">
        <v>0.98707619999999896</v>
      </c>
      <c r="Y6529">
        <v>-0.3673303</v>
      </c>
      <c r="Z6529">
        <v>3.08533E-2</v>
      </c>
      <c r="AA6529">
        <v>0.92957869999999998</v>
      </c>
      <c r="AB6529">
        <v>29</v>
      </c>
      <c r="AC6529">
        <v>5.3342000000000098</v>
      </c>
      <c r="AD6529">
        <v>-1.1102404035297999</v>
      </c>
      <c r="AE6529">
        <v>2.3493799999999898</v>
      </c>
      <c r="AF6529">
        <v>-2.1461025956098498</v>
      </c>
      <c r="AG6529">
        <v>-1.1102404035297999</v>
      </c>
      <c r="AH6529">
        <v>5.19905881182261</v>
      </c>
      <c r="AI6529">
        <v>101.16610306176101</v>
      </c>
      <c r="AJ6529">
        <v>112.43018660083</v>
      </c>
      <c r="AK6529">
        <v>5.7331145665600998</v>
      </c>
      <c r="AL6529">
        <v>85.550769566956006</v>
      </c>
      <c r="AM6529">
        <v>98.085295517397995</v>
      </c>
      <c r="AN6529">
        <v>0.99999999384990901</v>
      </c>
    </row>
    <row r="6530" spans="1:40" x14ac:dyDescent="0.25">
      <c r="A6530" t="str">
        <f>"20190312151152048"</f>
        <v>20190312151152048</v>
      </c>
      <c r="B6530" t="str">
        <f>"1552374712037598"</f>
        <v>1552374712037598</v>
      </c>
      <c r="C6530" t="s">
        <v>40</v>
      </c>
      <c r="D6530">
        <v>5.2468789999999998</v>
      </c>
      <c r="E6530">
        <v>0.40729500000000002</v>
      </c>
      <c r="F6530" t="s">
        <v>96</v>
      </c>
      <c r="G6530">
        <v>-222.57550000000001</v>
      </c>
      <c r="H6530" s="1">
        <v>-3.5184940000000001E-7</v>
      </c>
      <c r="I6530">
        <v>-60.9634199999999</v>
      </c>
      <c r="J6530">
        <v>-227.87889999999999</v>
      </c>
      <c r="K6530">
        <v>1.110293</v>
      </c>
      <c r="L6530">
        <v>-63.312559999999998</v>
      </c>
      <c r="M6530">
        <v>0.99966310000000003</v>
      </c>
      <c r="N6530">
        <v>0</v>
      </c>
      <c r="O6530">
        <v>2.370999E-2</v>
      </c>
      <c r="P6530">
        <v>0.98409599999999997</v>
      </c>
      <c r="Q6530">
        <v>6.7190600000000003E-2</v>
      </c>
      <c r="R6530">
        <v>0.16444039999999999</v>
      </c>
      <c r="S6530">
        <v>2.8817439999999999</v>
      </c>
      <c r="T6530">
        <v>-0.58675040000000001</v>
      </c>
      <c r="U6530">
        <v>1.24353</v>
      </c>
      <c r="V6530">
        <v>-0.1411297</v>
      </c>
      <c r="W6530">
        <v>7.7497259999999998E-2</v>
      </c>
      <c r="X6530">
        <v>0.98695319999999997</v>
      </c>
      <c r="Y6530">
        <v>-0.36836730000000001</v>
      </c>
      <c r="Z6530">
        <v>3.100555E-2</v>
      </c>
      <c r="AA6530">
        <v>0.92916319999999997</v>
      </c>
      <c r="AB6530">
        <v>29</v>
      </c>
      <c r="AC6530">
        <v>5.3033999999999804</v>
      </c>
      <c r="AD6530">
        <v>-1.1102933518494</v>
      </c>
      <c r="AE6530">
        <v>2.3491399999999998</v>
      </c>
      <c r="AF6530">
        <v>-2.1441656796605102</v>
      </c>
      <c r="AG6530">
        <v>-1.1102933518494</v>
      </c>
      <c r="AH6530">
        <v>5.1682431671909699</v>
      </c>
      <c r="AI6530">
        <v>101.22344882512699</v>
      </c>
      <c r="AJ6530">
        <v>112.53225298926</v>
      </c>
      <c r="AK6530">
        <v>5.7044662523509704</v>
      </c>
      <c r="AL6530">
        <v>85.5552775274613</v>
      </c>
      <c r="AM6530">
        <v>98.137861476978202</v>
      </c>
      <c r="AN6530">
        <v>1.00000001825991</v>
      </c>
    </row>
    <row r="6531" spans="1:40" x14ac:dyDescent="0.25">
      <c r="A6531" t="str">
        <f>"20190312151152060"</f>
        <v>20190312151152060</v>
      </c>
      <c r="B6531" t="str">
        <f>"1552374712047358"</f>
        <v>1552374712047358</v>
      </c>
      <c r="C6531" t="s">
        <v>40</v>
      </c>
      <c r="D6531">
        <v>5.242191</v>
      </c>
      <c r="E6531">
        <v>0.40718969999999999</v>
      </c>
      <c r="F6531" t="s">
        <v>96</v>
      </c>
      <c r="G6531">
        <v>-222.43790000000001</v>
      </c>
      <c r="H6531" s="1">
        <v>-2.9103479999999997E-7</v>
      </c>
      <c r="I6531">
        <v>-60.955319999999901</v>
      </c>
      <c r="J6531">
        <v>-227.7285</v>
      </c>
      <c r="K6531">
        <v>1.1103479999999999</v>
      </c>
      <c r="L6531">
        <v>-63.308720000000001</v>
      </c>
      <c r="M6531">
        <v>0.99965479999999995</v>
      </c>
      <c r="N6531">
        <v>0</v>
      </c>
      <c r="O6531">
        <v>2.40539E-2</v>
      </c>
      <c r="P6531">
        <v>0.98390979999999995</v>
      </c>
      <c r="Q6531">
        <v>6.7275699999999994E-2</v>
      </c>
      <c r="R6531">
        <v>0.16551540000000001</v>
      </c>
      <c r="S6531">
        <v>2.880096</v>
      </c>
      <c r="T6531">
        <v>-0.58771850000000003</v>
      </c>
      <c r="U6531">
        <v>1.2477720000000001</v>
      </c>
      <c r="V6531">
        <v>-0.14187949999999999</v>
      </c>
      <c r="W6531">
        <v>7.756333E-2</v>
      </c>
      <c r="X6531">
        <v>0.98684050000000001</v>
      </c>
      <c r="Y6531">
        <v>-0.36936180000000002</v>
      </c>
      <c r="Z6531">
        <v>3.1093240000000001E-2</v>
      </c>
      <c r="AA6531">
        <v>0.92876539999999996</v>
      </c>
      <c r="AB6531">
        <v>29</v>
      </c>
      <c r="AC6531">
        <v>5.29059999999998</v>
      </c>
      <c r="AD6531">
        <v>-1.1103482910347999</v>
      </c>
      <c r="AE6531">
        <v>2.3534000000000002</v>
      </c>
      <c r="AF6531">
        <v>-2.1465237402186199</v>
      </c>
      <c r="AG6531">
        <v>-1.1103482910347999</v>
      </c>
      <c r="AH6531">
        <v>5.1560890923570497</v>
      </c>
      <c r="AI6531">
        <v>101.244198725831</v>
      </c>
      <c r="AJ6531">
        <v>112.602377232457</v>
      </c>
      <c r="AK6531">
        <v>5.6943561728301999</v>
      </c>
      <c r="AL6531">
        <v>85.551480563395103</v>
      </c>
      <c r="AM6531">
        <v>98.181434582853797</v>
      </c>
      <c r="AN6531">
        <v>1.0000000175605901</v>
      </c>
    </row>
    <row r="6532" spans="1:40" x14ac:dyDescent="0.25">
      <c r="A6532" t="str">
        <f>"20190312151152072"</f>
        <v>20190312151152072</v>
      </c>
      <c r="B6532" t="str">
        <f>"1552374712067854"</f>
        <v>1552374712067854</v>
      </c>
      <c r="C6532" t="s">
        <v>40</v>
      </c>
      <c r="D6532">
        <v>5.2738860000000001</v>
      </c>
      <c r="E6532">
        <v>0.40708909999999998</v>
      </c>
      <c r="F6532" t="s">
        <v>96</v>
      </c>
      <c r="G6532">
        <v>-222.29480000000001</v>
      </c>
      <c r="H6532" s="1">
        <v>-2.274969E-7</v>
      </c>
      <c r="I6532">
        <v>-60.945700000000002</v>
      </c>
      <c r="J6532">
        <v>-227.5608</v>
      </c>
      <c r="K6532">
        <v>1.110412</v>
      </c>
      <c r="L6532">
        <v>-63.304259999999999</v>
      </c>
      <c r="M6532">
        <v>0.99964390000000003</v>
      </c>
      <c r="N6532">
        <v>0</v>
      </c>
      <c r="O6532">
        <v>2.450345E-2</v>
      </c>
      <c r="P6532">
        <v>0.98368990000000001</v>
      </c>
      <c r="Q6532">
        <v>6.7134319999999997E-2</v>
      </c>
      <c r="R6532">
        <v>0.1668753</v>
      </c>
      <c r="S6532">
        <v>2.8786619999999998</v>
      </c>
      <c r="T6532">
        <v>-0.58824719999999997</v>
      </c>
      <c r="U6532">
        <v>1.251892</v>
      </c>
      <c r="V6532">
        <v>-0.14281259999999901</v>
      </c>
      <c r="W6532">
        <v>7.7399330000000002E-2</v>
      </c>
      <c r="X6532">
        <v>0.98671880000000001</v>
      </c>
      <c r="Y6532">
        <v>-0.37021330000000002</v>
      </c>
      <c r="Z6532">
        <v>3.1122070000000002E-2</v>
      </c>
      <c r="AA6532">
        <v>0.92842530000000001</v>
      </c>
      <c r="AB6532">
        <v>29</v>
      </c>
      <c r="AC6532">
        <v>5.2659999999999902</v>
      </c>
      <c r="AD6532">
        <v>-1.1104122274968999</v>
      </c>
      <c r="AE6532">
        <v>2.35855999999999</v>
      </c>
      <c r="AF6532">
        <v>-2.14921399706801</v>
      </c>
      <c r="AG6532">
        <v>-1.1104122274968999</v>
      </c>
      <c r="AH6532">
        <v>5.1321474916700804</v>
      </c>
      <c r="AI6532">
        <v>101.286294558289</v>
      </c>
      <c r="AJ6532">
        <v>112.72270668545001</v>
      </c>
      <c r="AK6532">
        <v>5.6737178284105099</v>
      </c>
      <c r="AL6532">
        <v>85.560905515551994</v>
      </c>
      <c r="AM6532">
        <v>98.235507668576105</v>
      </c>
      <c r="AN6532">
        <v>1.00000004263832</v>
      </c>
    </row>
    <row r="6533" spans="1:40" x14ac:dyDescent="0.25">
      <c r="A6533" t="str">
        <f>"20190312151152083"</f>
        <v>20190312151152083</v>
      </c>
      <c r="B6533" t="str">
        <f>"1552374712077614"</f>
        <v>1552374712077614</v>
      </c>
      <c r="C6533" t="s">
        <v>40</v>
      </c>
      <c r="D6533">
        <v>5.2387420000000002</v>
      </c>
      <c r="E6533">
        <v>0.40703309999999998</v>
      </c>
      <c r="F6533" t="s">
        <v>96</v>
      </c>
      <c r="G6533">
        <v>-222.1514</v>
      </c>
      <c r="H6533" s="1">
        <v>-1.6494820000000001E-7</v>
      </c>
      <c r="I6533">
        <v>-60.941079999999999</v>
      </c>
      <c r="J6533">
        <v>-227.423</v>
      </c>
      <c r="K6533">
        <v>1.1104689999999999</v>
      </c>
      <c r="L6533">
        <v>-63.300510000000003</v>
      </c>
      <c r="M6533">
        <v>0.99963400000000002</v>
      </c>
      <c r="N6533">
        <v>0</v>
      </c>
      <c r="O6533">
        <v>2.490477E-2</v>
      </c>
      <c r="P6533">
        <v>0.98349350000000002</v>
      </c>
      <c r="Q6533">
        <v>6.6754789999999994E-2</v>
      </c>
      <c r="R6533">
        <v>0.16817989999999999</v>
      </c>
      <c r="S6533">
        <v>2.876846</v>
      </c>
      <c r="T6533">
        <v>-0.59054839999999997</v>
      </c>
      <c r="U6533">
        <v>1.2568049999999999</v>
      </c>
      <c r="V6533">
        <v>-0.14373440000000001</v>
      </c>
      <c r="W6533">
        <v>7.7000449999999998E-2</v>
      </c>
      <c r="X6533">
        <v>0.9866161</v>
      </c>
      <c r="Y6533">
        <v>-0.37132690000000002</v>
      </c>
      <c r="Z6533">
        <v>3.1279950000000001E-2</v>
      </c>
      <c r="AA6533">
        <v>0.9279752</v>
      </c>
      <c r="AB6533">
        <v>29</v>
      </c>
      <c r="AC6533">
        <v>5.2716000000000003</v>
      </c>
      <c r="AD6533">
        <v>-1.1104691649481999</v>
      </c>
      <c r="AE6533">
        <v>2.3594299999999802</v>
      </c>
      <c r="AF6533">
        <v>-2.1479949176938198</v>
      </c>
      <c r="AG6533">
        <v>-1.1104691649481999</v>
      </c>
      <c r="AH6533">
        <v>5.1387575939844803</v>
      </c>
      <c r="AI6533">
        <v>101.275746837208</v>
      </c>
      <c r="AJ6533">
        <v>112.684872913242</v>
      </c>
      <c r="AK6533">
        <v>5.6792476211618403</v>
      </c>
      <c r="AL6533">
        <v>85.583827822342201</v>
      </c>
      <c r="AM6533">
        <v>98.288779314802497</v>
      </c>
      <c r="AN6533">
        <v>0.999999987911386</v>
      </c>
    </row>
    <row r="6534" spans="1:40" x14ac:dyDescent="0.25">
      <c r="A6534" t="str">
        <f>"20190312151152093"</f>
        <v>20190312151152093</v>
      </c>
      <c r="B6534" t="str">
        <f>"1552374712087374"</f>
        <v>1552374712087374</v>
      </c>
      <c r="C6534" t="s">
        <v>40</v>
      </c>
      <c r="D6534">
        <v>5.2352780000000001</v>
      </c>
      <c r="E6534">
        <v>0.40693859999999998</v>
      </c>
      <c r="F6534" t="s">
        <v>96</v>
      </c>
      <c r="G6534">
        <v>-222.0342</v>
      </c>
      <c r="H6534" s="1">
        <v>-1.137773E-7</v>
      </c>
      <c r="I6534">
        <v>-60.937130000000003</v>
      </c>
      <c r="J6534">
        <v>-227.28899999999999</v>
      </c>
      <c r="K6534">
        <v>1.11052</v>
      </c>
      <c r="L6534">
        <v>-63.296779999999998</v>
      </c>
      <c r="M6534">
        <v>0.99962340000000005</v>
      </c>
      <c r="N6534">
        <v>0</v>
      </c>
      <c r="O6534">
        <v>2.5322979999999998E-2</v>
      </c>
      <c r="P6534">
        <v>0.98327450000000005</v>
      </c>
      <c r="Q6534">
        <v>6.6841659999999997E-2</v>
      </c>
      <c r="R6534">
        <v>0.1694203</v>
      </c>
      <c r="S6534">
        <v>2.8749539999999998</v>
      </c>
      <c r="T6534">
        <v>-0.59243570000000001</v>
      </c>
      <c r="U6534">
        <v>1.260864</v>
      </c>
      <c r="V6534">
        <v>-0.14457719999999999</v>
      </c>
      <c r="W6534">
        <v>7.7068429999999993E-2</v>
      </c>
      <c r="X6534">
        <v>0.98648769999999997</v>
      </c>
      <c r="Y6534">
        <v>-0.37221310000000002</v>
      </c>
      <c r="Z6534">
        <v>3.1393539999999998E-2</v>
      </c>
      <c r="AA6534">
        <v>0.9276162</v>
      </c>
      <c r="AB6534">
        <v>29</v>
      </c>
      <c r="AC6534">
        <v>5.2548000000000101</v>
      </c>
      <c r="AD6534">
        <v>-1.1105201137773</v>
      </c>
      <c r="AE6534">
        <v>2.3596499999999998</v>
      </c>
      <c r="AF6534">
        <v>-2.1460547848881699</v>
      </c>
      <c r="AG6534">
        <v>-1.1105201137773</v>
      </c>
      <c r="AH6534">
        <v>5.1224808598681602</v>
      </c>
      <c r="AI6534">
        <v>101.307433769071</v>
      </c>
      <c r="AJ6534">
        <v>112.73116545729501</v>
      </c>
      <c r="AK6534">
        <v>5.6637987448850096</v>
      </c>
      <c r="AL6534">
        <v>85.579921503624703</v>
      </c>
      <c r="AM6534">
        <v>98.337770056613607</v>
      </c>
      <c r="AN6534">
        <v>1.0000000459568901</v>
      </c>
    </row>
    <row r="6535" spans="1:40" x14ac:dyDescent="0.25">
      <c r="A6535" t="str">
        <f>"20190312151152103"</f>
        <v>20190312151152103</v>
      </c>
      <c r="B6535" t="str">
        <f>"1552374712098109"</f>
        <v>1552374712098109</v>
      </c>
      <c r="C6535" t="s">
        <v>40</v>
      </c>
      <c r="D6535">
        <v>5.2629199999999896</v>
      </c>
      <c r="E6535">
        <v>0.40686020000000001</v>
      </c>
      <c r="F6535" t="s">
        <v>96</v>
      </c>
      <c r="G6535">
        <v>-221.91059999999999</v>
      </c>
      <c r="H6535" s="1">
        <v>-5.8878070000000002E-8</v>
      </c>
      <c r="I6535">
        <v>-60.92859</v>
      </c>
      <c r="J6535">
        <v>-227.17080000000001</v>
      </c>
      <c r="K6535">
        <v>1.1105700000000001</v>
      </c>
      <c r="L6535">
        <v>-63.293399999999998</v>
      </c>
      <c r="M6535">
        <v>0.99961319999999998</v>
      </c>
      <c r="N6535">
        <v>0</v>
      </c>
      <c r="O6535">
        <v>2.572485E-2</v>
      </c>
      <c r="P6535">
        <v>0.98301260000000001</v>
      </c>
      <c r="Q6535">
        <v>6.6963079999999994E-2</v>
      </c>
      <c r="R6535">
        <v>0.1708865</v>
      </c>
      <c r="S6535">
        <v>2.873367</v>
      </c>
      <c r="T6535">
        <v>-0.59329119999999902</v>
      </c>
      <c r="U6535">
        <v>1.265198</v>
      </c>
      <c r="V6535">
        <v>-0.1456615</v>
      </c>
      <c r="W6535">
        <v>7.7172069999999995E-2</v>
      </c>
      <c r="X6535">
        <v>0.98631999999999997</v>
      </c>
      <c r="Y6535">
        <v>-0.37317280000000003</v>
      </c>
      <c r="Z6535">
        <v>3.1460290000000002E-2</v>
      </c>
      <c r="AA6535">
        <v>0.92722830000000001</v>
      </c>
      <c r="AB6535">
        <v>29</v>
      </c>
      <c r="AC6535">
        <v>5.2602000000000197</v>
      </c>
      <c r="AD6535">
        <v>-1.11057005887807</v>
      </c>
      <c r="AE6535">
        <v>2.3648099999999901</v>
      </c>
      <c r="AF6535">
        <v>-2.1490157570185402</v>
      </c>
      <c r="AG6535">
        <v>-1.11057005887807</v>
      </c>
      <c r="AH6535">
        <v>5.1291079522553096</v>
      </c>
      <c r="AI6535">
        <v>101.293553370627</v>
      </c>
      <c r="AJ6535">
        <v>112.732919298909</v>
      </c>
      <c r="AK6535">
        <v>5.6709243484179099</v>
      </c>
      <c r="AL6535">
        <v>85.573965302136898</v>
      </c>
      <c r="AM6535">
        <v>98.400820584858195</v>
      </c>
      <c r="AN6535">
        <v>0.99999997168516697</v>
      </c>
    </row>
    <row r="6536" spans="1:40" x14ac:dyDescent="0.25">
      <c r="A6536" t="str">
        <f>"20190312151152114"</f>
        <v>20190312151152114</v>
      </c>
      <c r="B6536" t="str">
        <f>"1552374712107870"</f>
        <v>1552374712107870</v>
      </c>
      <c r="C6536" t="s">
        <v>40</v>
      </c>
      <c r="D6536">
        <v>5.2745819999999997</v>
      </c>
      <c r="E6536">
        <v>0.40675820000000001</v>
      </c>
      <c r="F6536" t="s">
        <v>96</v>
      </c>
      <c r="G6536">
        <v>-221.79769999999999</v>
      </c>
      <c r="H6536" s="1">
        <v>-7.7387769999999908E-9</v>
      </c>
      <c r="I6536">
        <v>-60.916550000000001</v>
      </c>
      <c r="J6536">
        <v>-227.02209999999999</v>
      </c>
      <c r="K6536">
        <v>1.1106320000000001</v>
      </c>
      <c r="L6536">
        <v>-63.289090000000002</v>
      </c>
      <c r="M6536">
        <v>0.99959920000000002</v>
      </c>
      <c r="N6536">
        <v>0</v>
      </c>
      <c r="O6536">
        <v>2.6260060000000002E-2</v>
      </c>
      <c r="P6536">
        <v>0.98278169999999998</v>
      </c>
      <c r="Q6536">
        <v>6.6839109999999993E-2</v>
      </c>
      <c r="R6536">
        <v>0.17225750000000001</v>
      </c>
      <c r="S6536">
        <v>2.871445</v>
      </c>
      <c r="T6536">
        <v>-0.59349730000000001</v>
      </c>
      <c r="U6536">
        <v>1.270203</v>
      </c>
      <c r="V6536">
        <v>-0.1465205</v>
      </c>
      <c r="W6536">
        <v>7.7026600000000001E-2</v>
      </c>
      <c r="X6536">
        <v>0.98620410000000003</v>
      </c>
      <c r="Y6536">
        <v>-0.3742431</v>
      </c>
      <c r="Z6536">
        <v>3.1479970000000003E-2</v>
      </c>
      <c r="AA6536">
        <v>0.92679610000000001</v>
      </c>
      <c r="AB6536">
        <v>29</v>
      </c>
      <c r="AC6536">
        <v>5.2244000000000002</v>
      </c>
      <c r="AD6536">
        <v>-1.1106320077387699</v>
      </c>
      <c r="AE6536">
        <v>2.3725399999999999</v>
      </c>
      <c r="AF6536">
        <v>-2.1538258202631102</v>
      </c>
      <c r="AG6536">
        <v>-1.1106320077387699</v>
      </c>
      <c r="AH6536">
        <v>5.0940510953916096</v>
      </c>
      <c r="AI6536">
        <v>101.35472890836</v>
      </c>
      <c r="AJ6536">
        <v>112.919223637396</v>
      </c>
      <c r="AK6536">
        <v>5.6410837330344901</v>
      </c>
      <c r="AL6536">
        <v>85.582324864481805</v>
      </c>
      <c r="AM6536">
        <v>98.450627726689902</v>
      </c>
      <c r="AN6536">
        <v>0.999999940442308</v>
      </c>
    </row>
    <row r="6537" spans="1:40" x14ac:dyDescent="0.25">
      <c r="A6537" t="str">
        <f>"20190312151152125"</f>
        <v>20190312151152125</v>
      </c>
      <c r="B6537" t="str">
        <f>"1552374712117630"</f>
        <v>1552374712117630</v>
      </c>
      <c r="C6537" t="s">
        <v>40</v>
      </c>
      <c r="D6537">
        <v>5.2657439999999998</v>
      </c>
      <c r="E6537">
        <v>0.40666590000000002</v>
      </c>
      <c r="F6537" t="s">
        <v>96</v>
      </c>
      <c r="G6537">
        <v>-221.6722</v>
      </c>
      <c r="H6537" s="1">
        <v>4.7011330000000003E-8</v>
      </c>
      <c r="I6537">
        <v>-60.91234</v>
      </c>
      <c r="J6537">
        <v>-226.88980000000001</v>
      </c>
      <c r="K6537">
        <v>1.110689</v>
      </c>
      <c r="L6537">
        <v>-63.285130000000002</v>
      </c>
      <c r="M6537">
        <v>0.99958519999999895</v>
      </c>
      <c r="N6537">
        <v>0</v>
      </c>
      <c r="O6537">
        <v>2.6785550000000002E-2</v>
      </c>
      <c r="P6537">
        <v>0.98248270000000004</v>
      </c>
      <c r="Q6537">
        <v>6.6724489999999997E-2</v>
      </c>
      <c r="R6537">
        <v>0.17399970000000001</v>
      </c>
      <c r="S6537">
        <v>2.8696290000000002</v>
      </c>
      <c r="T6537">
        <v>-0.59573390000000004</v>
      </c>
      <c r="U6537">
        <v>1.274872</v>
      </c>
      <c r="V6537">
        <v>-0.14776110000000001</v>
      </c>
      <c r="W6537">
        <v>7.6892059999999998E-2</v>
      </c>
      <c r="X6537">
        <v>0.98602959999999995</v>
      </c>
      <c r="Y6537">
        <v>-0.37517879999999998</v>
      </c>
      <c r="Z6537">
        <v>3.1593709999999997E-2</v>
      </c>
      <c r="AA6537">
        <v>0.92641390000000001</v>
      </c>
      <c r="AB6537">
        <v>29</v>
      </c>
      <c r="AC6537">
        <v>5.2176</v>
      </c>
      <c r="AD6537">
        <v>-1.1106889529886601</v>
      </c>
      <c r="AE6537">
        <v>2.3727900000000002</v>
      </c>
      <c r="AF6537">
        <v>-2.1513909139857601</v>
      </c>
      <c r="AG6537">
        <v>-1.1106889529886601</v>
      </c>
      <c r="AH6537">
        <v>5.0882276597201797</v>
      </c>
      <c r="AI6537">
        <v>101.367932493949</v>
      </c>
      <c r="AJ6537">
        <v>112.919484541522</v>
      </c>
      <c r="AK6537">
        <v>5.6349067012873402</v>
      </c>
      <c r="AL6537">
        <v>85.590056861109503</v>
      </c>
      <c r="AM6537">
        <v>98.522619579626195</v>
      </c>
      <c r="AN6537">
        <v>1.0000000518201999</v>
      </c>
    </row>
    <row r="6538" spans="1:40" x14ac:dyDescent="0.25">
      <c r="A6538" t="str">
        <f>"20190312151152137"</f>
        <v>20190312151152137</v>
      </c>
      <c r="B6538" t="str">
        <f>"1552374712127390"</f>
        <v>1552374712127390</v>
      </c>
      <c r="C6538" t="s">
        <v>40</v>
      </c>
      <c r="D6538">
        <v>5.5247019999999996</v>
      </c>
      <c r="E6538">
        <v>0.4067211</v>
      </c>
      <c r="F6538" t="s">
        <v>96</v>
      </c>
      <c r="G6538">
        <v>-221.547</v>
      </c>
      <c r="H6538" s="1">
        <v>1.0376679999999999E-7</v>
      </c>
      <c r="I6538">
        <v>-60.898769999999899</v>
      </c>
      <c r="J6538">
        <v>-226.73580000000001</v>
      </c>
      <c r="K6538">
        <v>1.1107549999999999</v>
      </c>
      <c r="L6538">
        <v>-63.280430000000003</v>
      </c>
      <c r="M6538">
        <v>0.99956789999999995</v>
      </c>
      <c r="N6538">
        <v>0</v>
      </c>
      <c r="O6538">
        <v>2.7420449999999999E-2</v>
      </c>
      <c r="P6538">
        <v>0.98219009999999995</v>
      </c>
      <c r="Q6538">
        <v>6.6851759999999996E-2</v>
      </c>
      <c r="R6538">
        <v>0.175595</v>
      </c>
      <c r="S6538">
        <v>2.8671880000000001</v>
      </c>
      <c r="T6538">
        <v>-0.59603729999999999</v>
      </c>
      <c r="U6538">
        <v>1.2806090000000001</v>
      </c>
      <c r="V6538">
        <v>-0.14874899999999999</v>
      </c>
      <c r="W6538">
        <v>7.6997590000000005E-2</v>
      </c>
      <c r="X6538">
        <v>0.98587270000000005</v>
      </c>
      <c r="Y6538">
        <v>-0.37641059999999998</v>
      </c>
      <c r="Z6538">
        <v>3.1618390000000003E-2</v>
      </c>
      <c r="AA6538">
        <v>0.92591330000000005</v>
      </c>
      <c r="AB6538">
        <v>29</v>
      </c>
      <c r="AC6538">
        <v>5.1888000000000103</v>
      </c>
      <c r="AD6538">
        <v>-1.1107548962331999</v>
      </c>
      <c r="AE6538">
        <v>2.3816600000000099</v>
      </c>
      <c r="AF6538">
        <v>-2.15683947951208</v>
      </c>
      <c r="AG6538">
        <v>-1.1107548962331999</v>
      </c>
      <c r="AH6538">
        <v>5.06061137943923</v>
      </c>
      <c r="AI6538">
        <v>101.415463370103</v>
      </c>
      <c r="AJ6538">
        <v>113.083769095961</v>
      </c>
      <c r="AK6538">
        <v>5.6120870016062501</v>
      </c>
      <c r="AL6538">
        <v>85.583991951985695</v>
      </c>
      <c r="AM6538">
        <v>98.580099973143007</v>
      </c>
      <c r="AN6538">
        <v>0.99999993723604697</v>
      </c>
    </row>
    <row r="6539" spans="1:40" x14ac:dyDescent="0.25">
      <c r="A6539" t="str">
        <f>"20190312151152147"</f>
        <v>20190312151152147</v>
      </c>
      <c r="B6539" t="str">
        <f>"1552374712138127"</f>
        <v>1552374712138127</v>
      </c>
      <c r="C6539" t="s">
        <v>40</v>
      </c>
      <c r="D6539">
        <v>5.26762</v>
      </c>
      <c r="E6539">
        <v>0.40660839999999998</v>
      </c>
      <c r="F6539" t="s">
        <v>96</v>
      </c>
      <c r="G6539">
        <v>-221.3895</v>
      </c>
      <c r="H6539" s="1">
        <v>1.7492599999999999E-7</v>
      </c>
      <c r="I6539">
        <v>-60.8825</v>
      </c>
      <c r="J6539">
        <v>-226.5959</v>
      </c>
      <c r="K6539">
        <v>1.110819</v>
      </c>
      <c r="L6539">
        <v>-63.275970000000001</v>
      </c>
      <c r="M6539">
        <v>0.99954980000000004</v>
      </c>
      <c r="N6539">
        <v>0</v>
      </c>
      <c r="O6539">
        <v>2.806968E-2</v>
      </c>
      <c r="P6539">
        <v>0.98190809999999995</v>
      </c>
      <c r="Q6539">
        <v>6.7183430000000002E-2</v>
      </c>
      <c r="R6539">
        <v>0.17703959999999999</v>
      </c>
      <c r="S6539">
        <v>2.8651580000000001</v>
      </c>
      <c r="T6539">
        <v>-0.59527459999999999</v>
      </c>
      <c r="U6539">
        <v>1.2850950000000001</v>
      </c>
      <c r="V6539">
        <v>-0.14957319999999999</v>
      </c>
      <c r="W6539">
        <v>7.7309939999999994E-2</v>
      </c>
      <c r="X6539">
        <v>0.98572360000000003</v>
      </c>
      <c r="Y6539">
        <v>-0.37727159999999998</v>
      </c>
      <c r="Z6539">
        <v>3.1546820000000003E-2</v>
      </c>
      <c r="AA6539">
        <v>0.92556519999999998</v>
      </c>
      <c r="AB6539">
        <v>29</v>
      </c>
      <c r="AC6539">
        <v>5.2064000000000004</v>
      </c>
      <c r="AD6539">
        <v>-1.1108188250740001</v>
      </c>
      <c r="AE6539">
        <v>2.39346999999999</v>
      </c>
      <c r="AF6539">
        <v>-2.16501736826979</v>
      </c>
      <c r="AG6539">
        <v>-1.1108188250740001</v>
      </c>
      <c r="AH6539">
        <v>5.0806115786486297</v>
      </c>
      <c r="AI6539">
        <v>101.372608301914</v>
      </c>
      <c r="AJ6539">
        <v>113.08046474766699</v>
      </c>
      <c r="AK6539">
        <v>5.63327903446537</v>
      </c>
      <c r="AL6539">
        <v>85.566042353852495</v>
      </c>
      <c r="AM6539">
        <v>98.628213165396005</v>
      </c>
      <c r="AN6539">
        <v>0.99999999228900105</v>
      </c>
    </row>
    <row r="6540" spans="1:40" x14ac:dyDescent="0.25">
      <c r="A6540" t="str">
        <f>"20190312151152158"</f>
        <v>20190312151152158</v>
      </c>
      <c r="B6540" t="str">
        <f>"1552374712147887"</f>
        <v>1552374712147887</v>
      </c>
      <c r="C6540" t="s">
        <v>40</v>
      </c>
      <c r="D6540">
        <v>5.2688769999999998</v>
      </c>
      <c r="E6540">
        <v>0.40652700000000003</v>
      </c>
      <c r="F6540" t="s">
        <v>96</v>
      </c>
      <c r="G6540">
        <v>-221.24289999999999</v>
      </c>
      <c r="H6540" s="1">
        <v>2.4212E-7</v>
      </c>
      <c r="I6540">
        <v>-60.863149999999997</v>
      </c>
      <c r="J6540">
        <v>-226.459</v>
      </c>
      <c r="K6540">
        <v>1.110884</v>
      </c>
      <c r="L6540">
        <v>-63.271549999999998</v>
      </c>
      <c r="M6540">
        <v>0.99953139999999996</v>
      </c>
      <c r="N6540">
        <v>0</v>
      </c>
      <c r="O6540">
        <v>2.8716209999999999E-2</v>
      </c>
      <c r="P6540">
        <v>0.98165060000000004</v>
      </c>
      <c r="Q6540">
        <v>6.7364010000000002E-2</v>
      </c>
      <c r="R6540">
        <v>0.17839340000000001</v>
      </c>
      <c r="S6540">
        <v>2.863235</v>
      </c>
      <c r="T6540">
        <v>-0.59416389999999997</v>
      </c>
      <c r="U6540">
        <v>1.2905879999999901</v>
      </c>
      <c r="V6540">
        <v>-0.15030779999999999</v>
      </c>
      <c r="W6540">
        <v>7.7471590000000007E-2</v>
      </c>
      <c r="X6540">
        <v>0.98559920000000001</v>
      </c>
      <c r="Y6540">
        <v>-0.37839600000000001</v>
      </c>
      <c r="Z6540">
        <v>3.1480380000000002E-2</v>
      </c>
      <c r="AA6540">
        <v>0.92510840000000005</v>
      </c>
      <c r="AB6540">
        <v>29</v>
      </c>
      <c r="AC6540">
        <v>5.2161000000000097</v>
      </c>
      <c r="AD6540">
        <v>-1.1108837578799999</v>
      </c>
      <c r="AE6540">
        <v>2.4083999999999999</v>
      </c>
      <c r="AF6540">
        <v>-2.1762489254001198</v>
      </c>
      <c r="AG6540">
        <v>-1.1108837578799999</v>
      </c>
      <c r="AH6540">
        <v>5.0927130606130104</v>
      </c>
      <c r="AI6540">
        <v>101.3421738401</v>
      </c>
      <c r="AJ6540">
        <v>113.138280432199</v>
      </c>
      <c r="AK6540">
        <v>5.6485262172150001</v>
      </c>
      <c r="AL6540">
        <v>85.556752808729598</v>
      </c>
      <c r="AM6540">
        <v>98.671024268997002</v>
      </c>
      <c r="AN6540">
        <v>1.0000000325192999</v>
      </c>
    </row>
    <row r="6541" spans="1:40" x14ac:dyDescent="0.25">
      <c r="A6541" t="str">
        <f>"20190312151152169"</f>
        <v>20190312151152169</v>
      </c>
      <c r="B6541" t="str">
        <f>"1552374712157646"</f>
        <v>1552374712157646</v>
      </c>
      <c r="C6541" t="s">
        <v>40</v>
      </c>
      <c r="D6541">
        <v>5.274985</v>
      </c>
      <c r="E6541">
        <v>0.406447</v>
      </c>
      <c r="F6541" t="s">
        <v>96</v>
      </c>
      <c r="G6541">
        <v>-221.1062</v>
      </c>
      <c r="H6541" s="1">
        <v>3.0411209999999998E-7</v>
      </c>
      <c r="I6541">
        <v>-60.848129999999998</v>
      </c>
      <c r="J6541">
        <v>-226.31880000000001</v>
      </c>
      <c r="K6541">
        <v>1.110951</v>
      </c>
      <c r="L6541">
        <v>-63.266820000000003</v>
      </c>
      <c r="M6541">
        <v>0.99951000000000001</v>
      </c>
      <c r="N6541">
        <v>0</v>
      </c>
      <c r="O6541">
        <v>2.945292E-2</v>
      </c>
      <c r="P6541">
        <v>0.9814119</v>
      </c>
      <c r="Q6541">
        <v>6.7918190000000003E-2</v>
      </c>
      <c r="R6541">
        <v>0.17949389999999901</v>
      </c>
      <c r="S6541">
        <v>2.8614350000000002</v>
      </c>
      <c r="T6541">
        <v>-0.59383999999999904</v>
      </c>
      <c r="U6541">
        <v>1.29547099999999</v>
      </c>
      <c r="V6541">
        <v>-0.1507019</v>
      </c>
      <c r="W6541">
        <v>7.8005450000000004E-2</v>
      </c>
      <c r="X6541">
        <v>0.98549690000000001</v>
      </c>
      <c r="Y6541">
        <v>-0.37924780000000002</v>
      </c>
      <c r="Z6541">
        <v>3.1410590000000002E-2</v>
      </c>
      <c r="AA6541">
        <v>0.92476179999999997</v>
      </c>
      <c r="AB6541">
        <v>29</v>
      </c>
      <c r="AC6541">
        <v>5.2126000000000001</v>
      </c>
      <c r="AD6541">
        <v>-1.1109506958878901</v>
      </c>
      <c r="AE6541">
        <v>2.41868999999999</v>
      </c>
      <c r="AF6541">
        <v>-2.1825308122909899</v>
      </c>
      <c r="AG6541">
        <v>-1.1109506958878901</v>
      </c>
      <c r="AH6541">
        <v>5.0912865516560597</v>
      </c>
      <c r="AI6541">
        <v>101.34052513364399</v>
      </c>
      <c r="AJ6541">
        <v>113.20382758689399</v>
      </c>
      <c r="AK6541">
        <v>5.6496770656708497</v>
      </c>
      <c r="AL6541">
        <v>85.526072010387495</v>
      </c>
      <c r="AM6541">
        <v>98.694301038582395</v>
      </c>
      <c r="AN6541">
        <v>1.0000000264014599</v>
      </c>
    </row>
    <row r="6542" spans="1:40" x14ac:dyDescent="0.25">
      <c r="A6542" t="str">
        <f>"20190312151152181"</f>
        <v>20190312151152181</v>
      </c>
      <c r="B6542" t="str">
        <f>"1552374712178141"</f>
        <v>1552374712178141</v>
      </c>
      <c r="C6542" t="s">
        <v>40</v>
      </c>
      <c r="D6542">
        <v>5.2576419999999997</v>
      </c>
      <c r="E6542">
        <v>0.40659729999999999</v>
      </c>
      <c r="F6542" t="s">
        <v>96</v>
      </c>
      <c r="G6542">
        <v>-220.95769999999999</v>
      </c>
      <c r="H6542" s="1">
        <v>3.7175339999999998E-7</v>
      </c>
      <c r="I6542">
        <v>-60.830469999999998</v>
      </c>
      <c r="J6542">
        <v>-226.1738</v>
      </c>
      <c r="K6542">
        <v>1.1110260000000001</v>
      </c>
      <c r="L6542">
        <v>-63.261809999999997</v>
      </c>
      <c r="M6542">
        <v>0.99948630000000005</v>
      </c>
      <c r="N6542">
        <v>0</v>
      </c>
      <c r="O6542">
        <v>3.023851E-2</v>
      </c>
      <c r="P6542">
        <v>0.98107960000000005</v>
      </c>
      <c r="Q6542">
        <v>6.8100540000000001E-2</v>
      </c>
      <c r="R6542">
        <v>0.18123239999999999</v>
      </c>
      <c r="S6542">
        <v>2.8601380000000001</v>
      </c>
      <c r="T6542">
        <v>-0.59268669999999901</v>
      </c>
      <c r="U6542">
        <v>1.299774</v>
      </c>
      <c r="V6542">
        <v>-0.15168909999999999</v>
      </c>
      <c r="W6542">
        <v>7.8164230000000001E-2</v>
      </c>
      <c r="X6542">
        <v>0.98533280000000001</v>
      </c>
      <c r="Y6542">
        <v>-0.3798607</v>
      </c>
      <c r="Z6542">
        <v>3.1261160000000003E-2</v>
      </c>
      <c r="AA6542">
        <v>0.92451539999999999</v>
      </c>
      <c r="AB6542">
        <v>29</v>
      </c>
      <c r="AC6542">
        <v>5.2161000000000097</v>
      </c>
      <c r="AD6542">
        <v>-1.1110256282466</v>
      </c>
      <c r="AE6542">
        <v>2.4313399999999898</v>
      </c>
      <c r="AF6542">
        <v>-2.19083765452713</v>
      </c>
      <c r="AG6542">
        <v>-1.1110256282466</v>
      </c>
      <c r="AH6542">
        <v>5.0972594540113096</v>
      </c>
      <c r="AI6542">
        <v>101.323816087015</v>
      </c>
      <c r="AJ6542">
        <v>113.25837032650399</v>
      </c>
      <c r="AK6542">
        <v>5.6582860935642296</v>
      </c>
      <c r="AL6542">
        <v>85.516946508740105</v>
      </c>
      <c r="AM6542">
        <v>98.751810697122707</v>
      </c>
      <c r="AN6542">
        <v>0.99999997833307097</v>
      </c>
    </row>
    <row r="6543" spans="1:40" x14ac:dyDescent="0.25">
      <c r="A6543" t="str">
        <f>"20190312151152191"</f>
        <v>20190312151152191</v>
      </c>
      <c r="B6543" t="str">
        <f>"1552374712187903"</f>
        <v>1552374712187903</v>
      </c>
      <c r="C6543" t="s">
        <v>40</v>
      </c>
      <c r="D6543">
        <v>5.294232</v>
      </c>
      <c r="E6543">
        <v>0.40660740000000001</v>
      </c>
      <c r="F6543" t="s">
        <v>96</v>
      </c>
      <c r="G6543">
        <v>-220.80430000000001</v>
      </c>
      <c r="H6543" s="1">
        <v>4.4160259999999999E-7</v>
      </c>
      <c r="I6543">
        <v>-60.812269999999998</v>
      </c>
      <c r="J6543">
        <v>-226.03049999999999</v>
      </c>
      <c r="K6543">
        <v>1.1111</v>
      </c>
      <c r="L6543">
        <v>-63.25665</v>
      </c>
      <c r="M6543">
        <v>0.99946060000000003</v>
      </c>
      <c r="N6543">
        <v>0</v>
      </c>
      <c r="O6543">
        <v>3.1071720000000001E-2</v>
      </c>
      <c r="P6543">
        <v>0.98077199999999998</v>
      </c>
      <c r="Q6543">
        <v>6.8012359999999994E-2</v>
      </c>
      <c r="R6543">
        <v>0.18292249999999999</v>
      </c>
      <c r="S6543">
        <v>2.8580169999999998</v>
      </c>
      <c r="T6543">
        <v>-0.59135969999999904</v>
      </c>
      <c r="U6543">
        <v>1.3038019999999999</v>
      </c>
      <c r="V6543">
        <v>-0.152579399999999</v>
      </c>
      <c r="W6543">
        <v>7.805347E-2</v>
      </c>
      <c r="X6543">
        <v>0.98520419999999997</v>
      </c>
      <c r="Y6543">
        <v>-0.3804573</v>
      </c>
      <c r="Z6543">
        <v>3.1100820000000001E-2</v>
      </c>
      <c r="AA6543">
        <v>0.92427539999999997</v>
      </c>
      <c r="AB6543">
        <v>29</v>
      </c>
      <c r="AC6543">
        <v>5.2261999999999702</v>
      </c>
      <c r="AD6543">
        <v>-1.1110995583973999</v>
      </c>
      <c r="AE6543">
        <v>2.4443800000000002</v>
      </c>
      <c r="AF6543">
        <v>-2.1992411958298401</v>
      </c>
      <c r="AG6543">
        <v>-1.1110995583973999</v>
      </c>
      <c r="AH6543">
        <v>5.1101152436790098</v>
      </c>
      <c r="AI6543">
        <v>101.294544229115</v>
      </c>
      <c r="AJ6543">
        <v>113.28560223772899</v>
      </c>
      <c r="AK6543">
        <v>5.6731368633046904</v>
      </c>
      <c r="AL6543">
        <v>85.523312433056006</v>
      </c>
      <c r="AM6543">
        <v>98.803506028318495</v>
      </c>
      <c r="AN6543">
        <v>1.00000006659051</v>
      </c>
    </row>
    <row r="6544" spans="1:40" x14ac:dyDescent="0.25">
      <c r="A6544" t="str">
        <f>"20190312151152203"</f>
        <v>20190312151152203</v>
      </c>
      <c r="B6544" t="str">
        <f>"1552374712197662"</f>
        <v>1552374712197662</v>
      </c>
      <c r="C6544" t="s">
        <v>40</v>
      </c>
      <c r="D6544">
        <v>5.2709609999999998</v>
      </c>
      <c r="E6544">
        <v>0.40665800000000002</v>
      </c>
      <c r="F6544" t="s">
        <v>96</v>
      </c>
      <c r="G6544">
        <v>-220.6688</v>
      </c>
      <c r="H6544" s="1">
        <v>5.0252220000000002E-7</v>
      </c>
      <c r="I6544">
        <v>-60.799729999999997</v>
      </c>
      <c r="J6544">
        <v>-225.88200000000001</v>
      </c>
      <c r="K6544">
        <v>1.1111740000000001</v>
      </c>
      <c r="L6544">
        <v>-63.251159999999999</v>
      </c>
      <c r="M6544">
        <v>0.99943199999999999</v>
      </c>
      <c r="N6544">
        <v>0</v>
      </c>
      <c r="O6544">
        <v>3.1979380000000002E-2</v>
      </c>
      <c r="P6544">
        <v>0.98045470000000001</v>
      </c>
      <c r="Q6544">
        <v>6.815264E-2</v>
      </c>
      <c r="R6544">
        <v>0.18456400000000001</v>
      </c>
      <c r="S6544">
        <v>2.8557890000000001</v>
      </c>
      <c r="T6544">
        <v>-0.59180310000000003</v>
      </c>
      <c r="U6544">
        <v>1.308624</v>
      </c>
      <c r="V6544">
        <v>-0.15334929999999999</v>
      </c>
      <c r="W6544">
        <v>7.8169929999999999E-2</v>
      </c>
      <c r="X6544">
        <v>0.98507540000000005</v>
      </c>
      <c r="Y6544">
        <v>-0.38117380000000001</v>
      </c>
      <c r="Z6544">
        <v>3.1028529999999999E-2</v>
      </c>
      <c r="AA6544">
        <v>0.92398259999999999</v>
      </c>
      <c r="AB6544">
        <v>29</v>
      </c>
      <c r="AC6544">
        <v>5.2131999999999996</v>
      </c>
      <c r="AD6544">
        <v>-1.11117349747779</v>
      </c>
      <c r="AE6544">
        <v>2.45142999999999</v>
      </c>
      <c r="AF6544">
        <v>-2.2015442037496502</v>
      </c>
      <c r="AG6544">
        <v>-1.11117349747779</v>
      </c>
      <c r="AH6544">
        <v>5.0992187223960004</v>
      </c>
      <c r="AI6544">
        <v>101.313295627252</v>
      </c>
      <c r="AJ6544">
        <v>113.351860416774</v>
      </c>
      <c r="AK6544">
        <v>5.6642329579029997</v>
      </c>
      <c r="AL6544">
        <v>85.516619218732501</v>
      </c>
      <c r="AM6544">
        <v>98.8483650703443</v>
      </c>
      <c r="AN6544">
        <v>1.0000000447259201</v>
      </c>
    </row>
    <row r="6545" spans="1:40" x14ac:dyDescent="0.25">
      <c r="A6545" t="str">
        <f>"20190312151152214"</f>
        <v>20190312151152214</v>
      </c>
      <c r="B6545" t="str">
        <f>"1552374712207422"</f>
        <v>1552374712207422</v>
      </c>
      <c r="C6545" t="s">
        <v>40</v>
      </c>
      <c r="D6545">
        <v>5.2610929999999998</v>
      </c>
      <c r="E6545">
        <v>0.40658699999999998</v>
      </c>
      <c r="F6545" t="s">
        <v>96</v>
      </c>
      <c r="G6545">
        <v>-220.5213</v>
      </c>
      <c r="H6545" s="1">
        <v>5.6913999999999897E-7</v>
      </c>
      <c r="I6545">
        <v>-60.78463</v>
      </c>
      <c r="J6545">
        <v>-225.7424</v>
      </c>
      <c r="K6545">
        <v>1.111245</v>
      </c>
      <c r="L6545">
        <v>-63.245849999999997</v>
      </c>
      <c r="M6545">
        <v>0.99940300000000004</v>
      </c>
      <c r="N6545">
        <v>0</v>
      </c>
      <c r="O6545">
        <v>3.2871789999999998E-2</v>
      </c>
      <c r="P6545">
        <v>0.98011190000000004</v>
      </c>
      <c r="Q6545">
        <v>6.8010130000000002E-2</v>
      </c>
      <c r="R6545">
        <v>0.1864276</v>
      </c>
      <c r="S6545">
        <v>2.8537599999999999</v>
      </c>
      <c r="T6545">
        <v>-0.59152969999999905</v>
      </c>
      <c r="U6545">
        <v>1.3130489999999999</v>
      </c>
      <c r="V6545">
        <v>-0.15435589999999999</v>
      </c>
      <c r="W6545">
        <v>7.8003539999999996E-2</v>
      </c>
      <c r="X6545">
        <v>0.98493129999999995</v>
      </c>
      <c r="Y6545">
        <v>-0.38179039999999997</v>
      </c>
      <c r="Z6545">
        <v>3.0911350000000001E-2</v>
      </c>
      <c r="AA6545">
        <v>0.92373190000000005</v>
      </c>
      <c r="AB6545">
        <v>29</v>
      </c>
      <c r="AC6545">
        <v>5.2210999999999999</v>
      </c>
      <c r="AD6545">
        <v>-1.11124443086</v>
      </c>
      <c r="AE6545">
        <v>2.4612199999999902</v>
      </c>
      <c r="AF6545">
        <v>-2.2064734185796699</v>
      </c>
      <c r="AG6545">
        <v>-1.11124443086</v>
      </c>
      <c r="AH6545">
        <v>5.1098000649862403</v>
      </c>
      <c r="AI6545">
        <v>101.290890036392</v>
      </c>
      <c r="AJ6545">
        <v>113.35527042327401</v>
      </c>
      <c r="AK6545">
        <v>5.6756890186257998</v>
      </c>
      <c r="AL6545">
        <v>85.526181575893006</v>
      </c>
      <c r="AM6545">
        <v>98.906800665064296</v>
      </c>
      <c r="AN6545">
        <v>0.99999998091851505</v>
      </c>
    </row>
    <row r="6546" spans="1:40" x14ac:dyDescent="0.25">
      <c r="A6546" t="str">
        <f>"20190312151152225"</f>
        <v>20190312151152225</v>
      </c>
      <c r="B6546" t="str">
        <f>"1552374712218158"</f>
        <v>1552374712218158</v>
      </c>
      <c r="C6546" t="s">
        <v>40</v>
      </c>
      <c r="D6546">
        <v>5.2924389999999999</v>
      </c>
      <c r="E6546">
        <v>0.40653830000000002</v>
      </c>
      <c r="F6546" t="s">
        <v>96</v>
      </c>
      <c r="G6546">
        <v>-220.39930000000001</v>
      </c>
      <c r="H6546" s="1">
        <v>6.239125E-7</v>
      </c>
      <c r="I6546">
        <v>-60.773800000000001</v>
      </c>
      <c r="J6546">
        <v>-225.59880000000001</v>
      </c>
      <c r="K6546">
        <v>1.1113200000000001</v>
      </c>
      <c r="L6546">
        <v>-63.240200000000002</v>
      </c>
      <c r="M6546">
        <v>0.99936999999999998</v>
      </c>
      <c r="N6546">
        <v>0</v>
      </c>
      <c r="O6546">
        <v>3.3853849999999998E-2</v>
      </c>
      <c r="P6546">
        <v>0.97982650000000004</v>
      </c>
      <c r="Q6546">
        <v>6.7618059999999994E-2</v>
      </c>
      <c r="R6546">
        <v>0.18806329999999999</v>
      </c>
      <c r="S6546">
        <v>2.8511199999999999</v>
      </c>
      <c r="T6546">
        <v>-0.59296210000000005</v>
      </c>
      <c r="U6546">
        <v>1.3190919999999999</v>
      </c>
      <c r="V6546">
        <v>-0.15504379999999901</v>
      </c>
      <c r="W6546">
        <v>7.7588539999999998E-2</v>
      </c>
      <c r="X6546">
        <v>0.98485610000000001</v>
      </c>
      <c r="Y6546">
        <v>-0.38279030000000003</v>
      </c>
      <c r="Z6546">
        <v>3.0903980000000001E-2</v>
      </c>
      <c r="AA6546">
        <v>0.92331819999999998</v>
      </c>
      <c r="AB6546">
        <v>29</v>
      </c>
      <c r="AC6546">
        <v>5.1994999999999996</v>
      </c>
      <c r="AD6546">
        <v>-1.1113193760875</v>
      </c>
      <c r="AE6546">
        <v>2.4664000000000001</v>
      </c>
      <c r="AF6546">
        <v>-2.2066623510391299</v>
      </c>
      <c r="AG6546">
        <v>-1.1113193760875</v>
      </c>
      <c r="AH6546">
        <v>5.0901979610122297</v>
      </c>
      <c r="AI6546">
        <v>101.32715377217301</v>
      </c>
      <c r="AJ6546">
        <v>113.437315020985</v>
      </c>
      <c r="AK6546">
        <v>5.6581361568500697</v>
      </c>
      <c r="AL6546">
        <v>85.550031913588597</v>
      </c>
      <c r="AM6546">
        <v>98.9465260123511</v>
      </c>
      <c r="AN6546">
        <v>1.0000000495824799</v>
      </c>
    </row>
    <row r="6547" spans="1:40" x14ac:dyDescent="0.25">
      <c r="A6547" t="str">
        <f>"20190312151152236"</f>
        <v>20190312151152236</v>
      </c>
      <c r="B6547" t="str">
        <f>"1552374712227920"</f>
        <v>1552374712227920</v>
      </c>
      <c r="C6547" t="s">
        <v>40</v>
      </c>
      <c r="D6547">
        <v>5.2380060000000004</v>
      </c>
      <c r="E6547">
        <v>0.40651920000000002</v>
      </c>
      <c r="F6547" t="s">
        <v>96</v>
      </c>
      <c r="G6547">
        <v>-220.28100000000001</v>
      </c>
      <c r="H6547" s="1">
        <v>6.7601519999999899E-7</v>
      </c>
      <c r="I6547">
        <v>-60.767609999999998</v>
      </c>
      <c r="J6547">
        <v>-225.45349999999999</v>
      </c>
      <c r="K6547">
        <v>1.1113999999999999</v>
      </c>
      <c r="L6547">
        <v>-63.234310000000001</v>
      </c>
      <c r="M6547">
        <v>0.99933510000000003</v>
      </c>
      <c r="N6547">
        <v>0</v>
      </c>
      <c r="O6547">
        <v>3.4870959999999999E-2</v>
      </c>
      <c r="P6547">
        <v>0.97946909999999998</v>
      </c>
      <c r="Q6547">
        <v>6.7772520000000003E-2</v>
      </c>
      <c r="R6547">
        <v>0.18986120000000001</v>
      </c>
      <c r="S6547">
        <v>2.8486180000000001</v>
      </c>
      <c r="T6547">
        <v>-0.59531489999999998</v>
      </c>
      <c r="U6547">
        <v>1.324524</v>
      </c>
      <c r="V6547">
        <v>-0.155865</v>
      </c>
      <c r="W6547">
        <v>7.7717839999999996E-2</v>
      </c>
      <c r="X6547">
        <v>0.98471620000000004</v>
      </c>
      <c r="Y6547">
        <v>-0.3835633</v>
      </c>
      <c r="Z6547">
        <v>3.0913820000000002E-2</v>
      </c>
      <c r="AA6547">
        <v>0.92299699999999996</v>
      </c>
      <c r="AB6547">
        <v>29</v>
      </c>
      <c r="AC6547">
        <v>5.1725000000000101</v>
      </c>
      <c r="AD6547">
        <v>-1.1113993239847999</v>
      </c>
      <c r="AE6547">
        <v>2.4666999999999999</v>
      </c>
      <c r="AF6547">
        <v>-2.2019943252649101</v>
      </c>
      <c r="AG6547">
        <v>-1.1113993239847999</v>
      </c>
      <c r="AH6547">
        <v>5.0648667843765196</v>
      </c>
      <c r="AI6547">
        <v>101.378080335438</v>
      </c>
      <c r="AJ6547">
        <v>113.49740812635</v>
      </c>
      <c r="AK6547">
        <v>5.6335479947661202</v>
      </c>
      <c r="AL6547">
        <v>85.542600810903906</v>
      </c>
      <c r="AM6547">
        <v>98.994396210395195</v>
      </c>
      <c r="AN6547">
        <v>0.99999997771085203</v>
      </c>
    </row>
    <row r="6548" spans="1:40" x14ac:dyDescent="0.25">
      <c r="A6548" t="str">
        <f>"20190312151152249"</f>
        <v>20190312151152249</v>
      </c>
      <c r="B6548" t="str">
        <f>"1552374712237678"</f>
        <v>1552374712237678</v>
      </c>
      <c r="C6548" t="s">
        <v>40</v>
      </c>
      <c r="D6548">
        <v>5.2187479999999997</v>
      </c>
      <c r="E6548">
        <v>0.40652139999999998</v>
      </c>
      <c r="F6548" t="s">
        <v>96</v>
      </c>
      <c r="G6548">
        <v>-220.1431</v>
      </c>
      <c r="H6548" s="1">
        <v>7.3863229999999997E-7</v>
      </c>
      <c r="I6548">
        <v>-60.752139999999997</v>
      </c>
      <c r="J6548">
        <v>-225.31110000000001</v>
      </c>
      <c r="K6548">
        <v>1.1114740000000001</v>
      </c>
      <c r="L6548">
        <v>-63.228270000000002</v>
      </c>
      <c r="M6548">
        <v>0.99929679999999999</v>
      </c>
      <c r="N6548">
        <v>0</v>
      </c>
      <c r="O6548">
        <v>3.5949420000000003E-2</v>
      </c>
      <c r="P6548">
        <v>0.97913830000000002</v>
      </c>
      <c r="Q6548">
        <v>6.7629439999999999E-2</v>
      </c>
      <c r="R6548">
        <v>0.19161049999999999</v>
      </c>
      <c r="S6548">
        <v>2.8462369999999999</v>
      </c>
      <c r="T6548">
        <v>-0.59568359999999998</v>
      </c>
      <c r="U6548">
        <v>1.3303830000000001</v>
      </c>
      <c r="V6548">
        <v>-0.15657460000000001</v>
      </c>
      <c r="W6548">
        <v>7.7550969999999997E-2</v>
      </c>
      <c r="X6548">
        <v>0.98461679999999996</v>
      </c>
      <c r="Y6548">
        <v>-0.38441940000000002</v>
      </c>
      <c r="Z6548">
        <v>3.081596E-2</v>
      </c>
      <c r="AA6548">
        <v>0.92264409999999997</v>
      </c>
      <c r="AB6548">
        <v>29</v>
      </c>
      <c r="AC6548">
        <v>5.1680000000000001</v>
      </c>
      <c r="AD6548">
        <v>-1.1114732613676901</v>
      </c>
      <c r="AE6548">
        <v>2.4761299999999902</v>
      </c>
      <c r="AF6548">
        <v>-2.2057547892529499</v>
      </c>
      <c r="AG6548">
        <v>-1.1114732613676901</v>
      </c>
      <c r="AH6548">
        <v>5.0632089091976198</v>
      </c>
      <c r="AI6548">
        <v>101.378856753598</v>
      </c>
      <c r="AJ6548">
        <v>113.540043197278</v>
      </c>
      <c r="AK6548">
        <v>5.6335434194852798</v>
      </c>
      <c r="AL6548">
        <v>85.552190803063795</v>
      </c>
      <c r="AM6548">
        <v>99.035567732826394</v>
      </c>
      <c r="AN6548">
        <v>1.0000000005776699</v>
      </c>
    </row>
    <row r="6549" spans="1:40" x14ac:dyDescent="0.25">
      <c r="A6549" t="str">
        <f>"20190312151152261"</f>
        <v>20190312151152261</v>
      </c>
      <c r="B6549" t="str">
        <f>"1552374712258174"</f>
        <v>1552374712258174</v>
      </c>
      <c r="C6549" t="s">
        <v>40</v>
      </c>
      <c r="D6549">
        <v>5.2220170000000001</v>
      </c>
      <c r="E6549">
        <v>0.4065047</v>
      </c>
      <c r="F6549" t="s">
        <v>97</v>
      </c>
      <c r="G6549">
        <v>-220.01740000000001</v>
      </c>
      <c r="H6549" s="1">
        <v>-3.3322169999999999E-6</v>
      </c>
      <c r="I6549">
        <v>-60.74194</v>
      </c>
      <c r="J6549">
        <v>-225.16050000000001</v>
      </c>
      <c r="K6549">
        <v>1.1115520000000001</v>
      </c>
      <c r="L6549">
        <v>-63.2217699999999</v>
      </c>
      <c r="M6549">
        <v>0.99925410000000003</v>
      </c>
      <c r="N6549">
        <v>0</v>
      </c>
      <c r="O6549">
        <v>3.7112840000000001E-2</v>
      </c>
      <c r="P6549">
        <v>0.97875120000000004</v>
      </c>
      <c r="Q6549">
        <v>6.7816070000000006E-2</v>
      </c>
      <c r="R6549">
        <v>0.19351309999999999</v>
      </c>
      <c r="S6549">
        <v>2.8438110000000001</v>
      </c>
      <c r="T6549">
        <v>-0.5970896</v>
      </c>
      <c r="U6549">
        <v>1.3356319999999999</v>
      </c>
      <c r="V6549">
        <v>-0.157358</v>
      </c>
      <c r="W6549">
        <v>7.7711649999999993E-2</v>
      </c>
      <c r="X6549">
        <v>0.9844792</v>
      </c>
      <c r="Y6549">
        <v>-0.38502389999999997</v>
      </c>
      <c r="Z6549">
        <v>3.0730489999999999E-2</v>
      </c>
      <c r="AA6549">
        <v>0.92239479999999996</v>
      </c>
      <c r="AB6549">
        <v>29</v>
      </c>
      <c r="AC6549">
        <v>5.1430999999999996</v>
      </c>
      <c r="AD6549">
        <v>-1.111555332217</v>
      </c>
      <c r="AE6549">
        <v>2.47982999999999</v>
      </c>
      <c r="AF6549">
        <v>-2.20371625974358</v>
      </c>
      <c r="AG6549">
        <v>-1.111555332217</v>
      </c>
      <c r="AH6549">
        <v>5.0405616109084601</v>
      </c>
      <c r="AI6549">
        <v>101.42312744023801</v>
      </c>
      <c r="AJ6549">
        <v>113.61478400806401</v>
      </c>
      <c r="AK6549">
        <v>5.6124132031954197</v>
      </c>
      <c r="AL6549">
        <v>85.542956504166696</v>
      </c>
      <c r="AM6549">
        <v>99.081272634679294</v>
      </c>
      <c r="AN6549">
        <v>0.99999996797117996</v>
      </c>
    </row>
    <row r="6550" spans="1:40" x14ac:dyDescent="0.25">
      <c r="A6550" t="str">
        <f>"20190312151152272"</f>
        <v>20190312151152272</v>
      </c>
      <c r="B6550" t="str">
        <f>"1552374712267934"</f>
        <v>1552374712267934</v>
      </c>
      <c r="C6550" t="s">
        <v>40</v>
      </c>
      <c r="D6550">
        <v>5.2952009999999996</v>
      </c>
      <c r="E6550">
        <v>0.40652630000000001</v>
      </c>
      <c r="F6550" t="s">
        <v>97</v>
      </c>
      <c r="G6550">
        <v>-219.8844</v>
      </c>
      <c r="H6550" s="1">
        <v>-3.28499E-6</v>
      </c>
      <c r="I6550">
        <v>-60.73086</v>
      </c>
      <c r="J6550">
        <v>-224.99629999999999</v>
      </c>
      <c r="K6550">
        <v>1.1116349999999999</v>
      </c>
      <c r="L6550">
        <v>-63.214390000000002</v>
      </c>
      <c r="M6550">
        <v>0.99920319999999996</v>
      </c>
      <c r="N6550">
        <v>0</v>
      </c>
      <c r="O6550">
        <v>3.8456940000000002E-2</v>
      </c>
      <c r="P6550">
        <v>0.97830479999999997</v>
      </c>
      <c r="Q6550">
        <v>6.7880209999999996E-2</v>
      </c>
      <c r="R6550">
        <v>0.1957344</v>
      </c>
      <c r="S6550">
        <v>2.8413849999999998</v>
      </c>
      <c r="T6550">
        <v>-0.59862019999999905</v>
      </c>
      <c r="U6550">
        <v>1.341431</v>
      </c>
      <c r="V6550">
        <v>-0.1582846</v>
      </c>
      <c r="W6550">
        <v>7.7747800000000006E-2</v>
      </c>
      <c r="X6550">
        <v>0.98432779999999998</v>
      </c>
      <c r="Y6550">
        <v>-0.38560929999999999</v>
      </c>
      <c r="Z6550">
        <v>3.0611699999999999E-2</v>
      </c>
      <c r="AA6550">
        <v>0.92215420000000003</v>
      </c>
      <c r="AB6550">
        <v>29</v>
      </c>
      <c r="AC6550">
        <v>5.1118999999999897</v>
      </c>
      <c r="AD6550">
        <v>-1.1116382849899999</v>
      </c>
      <c r="AE6550">
        <v>2.48353</v>
      </c>
      <c r="AF6550">
        <v>-2.2008898546048599</v>
      </c>
      <c r="AG6550">
        <v>-1.1116382849899999</v>
      </c>
      <c r="AH6550">
        <v>5.0118835699731203</v>
      </c>
      <c r="AI6550">
        <v>101.479630169261</v>
      </c>
      <c r="AJ6550">
        <v>113.707924241174</v>
      </c>
      <c r="AK6550">
        <v>5.5855736274553403</v>
      </c>
      <c r="AL6550">
        <v>85.540879013826299</v>
      </c>
      <c r="AM6550">
        <v>99.1352299313277</v>
      </c>
      <c r="AN6550">
        <v>0.999999976427419</v>
      </c>
    </row>
    <row r="6551" spans="1:40" x14ac:dyDescent="0.25">
      <c r="A6551" t="str">
        <f>"20190312151152286"</f>
        <v>20190312151152286</v>
      </c>
      <c r="B6551" t="str">
        <f>"1552374712277694"</f>
        <v>1552374712277694</v>
      </c>
      <c r="C6551" t="s">
        <v>40</v>
      </c>
      <c r="D6551">
        <v>5.26511</v>
      </c>
      <c r="E6551">
        <v>0.40650459999999999</v>
      </c>
      <c r="F6551" t="s">
        <v>97</v>
      </c>
      <c r="G6551">
        <v>-219.72720000000001</v>
      </c>
      <c r="H6551" s="1">
        <v>-3.2281909999999998E-6</v>
      </c>
      <c r="I6551">
        <v>-60.712200000000003</v>
      </c>
      <c r="J6551">
        <v>-224.82740000000001</v>
      </c>
      <c r="K6551">
        <v>1.111713</v>
      </c>
      <c r="L6551">
        <v>-63.206449999999997</v>
      </c>
      <c r="M6551">
        <v>0.99914689999999995</v>
      </c>
      <c r="N6551">
        <v>0</v>
      </c>
      <c r="O6551">
        <v>3.9891080000000002E-2</v>
      </c>
      <c r="P6551">
        <v>0.97784320000000002</v>
      </c>
      <c r="Q6551">
        <v>6.8020460000000005E-2</v>
      </c>
      <c r="R6551">
        <v>0.1979795</v>
      </c>
      <c r="S6551">
        <v>2.8383940000000001</v>
      </c>
      <c r="T6551">
        <v>-0.59882950000000001</v>
      </c>
      <c r="U6551">
        <v>1.3478699999999999</v>
      </c>
      <c r="V6551">
        <v>-0.15914819999999999</v>
      </c>
      <c r="W6551">
        <v>7.7859990000000004E-2</v>
      </c>
      <c r="X6551">
        <v>0.98417969999999999</v>
      </c>
      <c r="Y6551">
        <v>-0.38637650000000001</v>
      </c>
      <c r="Z6551">
        <v>3.0430169999999999E-2</v>
      </c>
      <c r="AA6551">
        <v>0.92183910000000002</v>
      </c>
      <c r="AB6551">
        <v>29</v>
      </c>
      <c r="AC6551">
        <v>5.1002000000000001</v>
      </c>
      <c r="AD6551">
        <v>-1.111716228191</v>
      </c>
      <c r="AE6551">
        <v>2.4942499999999899</v>
      </c>
      <c r="AF6551">
        <v>-2.2042821803174499</v>
      </c>
      <c r="AG6551">
        <v>-1.111716228191</v>
      </c>
      <c r="AH6551">
        <v>5.0037852684430204</v>
      </c>
      <c r="AI6551">
        <v>101.49277298726101</v>
      </c>
      <c r="AJ6551">
        <v>113.774591912943</v>
      </c>
      <c r="AK6551">
        <v>5.5796630646640004</v>
      </c>
      <c r="AL6551">
        <v>85.534431582299703</v>
      </c>
      <c r="AM6551">
        <v>99.185583038228501</v>
      </c>
      <c r="AN6551">
        <v>1.00000000474906</v>
      </c>
    </row>
    <row r="6552" spans="1:40" x14ac:dyDescent="0.25">
      <c r="A6552" t="str">
        <f>"20190312151152298"</f>
        <v>20190312151152298</v>
      </c>
      <c r="B6552" t="str">
        <f>"1552374712287454"</f>
        <v>1552374712287454</v>
      </c>
      <c r="C6552" t="s">
        <v>40</v>
      </c>
      <c r="D6552">
        <v>5.2803290000000001</v>
      </c>
      <c r="E6552">
        <v>0.40648339999999999</v>
      </c>
      <c r="F6552" t="s">
        <v>97</v>
      </c>
      <c r="G6552">
        <v>-219.56209999999999</v>
      </c>
      <c r="H6552" s="1">
        <v>-3.1528640000000002E-6</v>
      </c>
      <c r="I6552">
        <v>-60.690829999999998</v>
      </c>
      <c r="J6552">
        <v>-224.66309999999999</v>
      </c>
      <c r="K6552">
        <v>1.111782</v>
      </c>
      <c r="L6552">
        <v>-63.19858</v>
      </c>
      <c r="M6552">
        <v>0.99908859999999999</v>
      </c>
      <c r="N6552">
        <v>0</v>
      </c>
      <c r="O6552">
        <v>4.1323070000000003E-2</v>
      </c>
      <c r="P6552">
        <v>0.97738899999999995</v>
      </c>
      <c r="Q6552">
        <v>6.7790359999999994E-2</v>
      </c>
      <c r="R6552">
        <v>0.20028760000000001</v>
      </c>
      <c r="S6552">
        <v>2.8353579999999998</v>
      </c>
      <c r="T6552">
        <v>-0.59865310000000005</v>
      </c>
      <c r="U6552">
        <v>1.354614</v>
      </c>
      <c r="V6552">
        <v>-0.16007439999999901</v>
      </c>
      <c r="W6552">
        <v>7.7603740000000004E-2</v>
      </c>
      <c r="X6552">
        <v>0.98404970000000003</v>
      </c>
      <c r="Y6552">
        <v>-0.38723819999999998</v>
      </c>
      <c r="Z6552">
        <v>3.02388E-2</v>
      </c>
      <c r="AA6552">
        <v>0.92148370000000002</v>
      </c>
      <c r="AB6552">
        <v>29</v>
      </c>
      <c r="AC6552">
        <v>5.1009999999999902</v>
      </c>
      <c r="AD6552">
        <v>-1.1117851528639999</v>
      </c>
      <c r="AE6552">
        <v>2.5077500000000001</v>
      </c>
      <c r="AF6552">
        <v>-2.2102478458605201</v>
      </c>
      <c r="AG6552">
        <v>-1.1117851528639999</v>
      </c>
      <c r="AH6552">
        <v>5.00865692327862</v>
      </c>
      <c r="AI6552">
        <v>101.479438371592</v>
      </c>
      <c r="AJ6552">
        <v>113.811174088825</v>
      </c>
      <c r="AK6552">
        <v>5.5864036679572999</v>
      </c>
      <c r="AL6552">
        <v>85.549158087186399</v>
      </c>
      <c r="AM6552">
        <v>99.239320962391403</v>
      </c>
      <c r="AN6552">
        <v>0.99999998303371795</v>
      </c>
    </row>
    <row r="6553" spans="1:40" x14ac:dyDescent="0.25">
      <c r="A6553" t="str">
        <f>"20190312151152308"</f>
        <v>20190312151152308</v>
      </c>
      <c r="B6553" t="str">
        <f>"1552374712298190"</f>
        <v>1552374712298190</v>
      </c>
      <c r="C6553" t="s">
        <v>40</v>
      </c>
      <c r="D6553">
        <v>5.2644199999999897</v>
      </c>
      <c r="E6553">
        <v>0.40647949999999999</v>
      </c>
      <c r="F6553" t="s">
        <v>97</v>
      </c>
      <c r="G6553">
        <v>-219.4186</v>
      </c>
      <c r="H6553" s="1">
        <v>-3.0875850000000001E-6</v>
      </c>
      <c r="I6553">
        <v>-60.676850000000002</v>
      </c>
      <c r="J6553">
        <v>-224.52529999999999</v>
      </c>
      <c r="K6553">
        <v>1.1118349999999999</v>
      </c>
      <c r="L6553">
        <v>-63.191589999999998</v>
      </c>
      <c r="M6553">
        <v>0.99903600000000004</v>
      </c>
      <c r="N6553">
        <v>0</v>
      </c>
      <c r="O6553">
        <v>4.2579680000000002E-2</v>
      </c>
      <c r="P6553">
        <v>0.97696519999999998</v>
      </c>
      <c r="Q6553">
        <v>6.7850869999999994E-2</v>
      </c>
      <c r="R6553">
        <v>0.20232539999999999</v>
      </c>
      <c r="S6553">
        <v>2.832001</v>
      </c>
      <c r="T6553">
        <v>-0.60036129999999999</v>
      </c>
      <c r="U6553">
        <v>1.361694</v>
      </c>
      <c r="V6553">
        <v>-0.16090019999999999</v>
      </c>
      <c r="W6553">
        <v>7.7643190000000001E-2</v>
      </c>
      <c r="X6553">
        <v>0.98391189999999995</v>
      </c>
      <c r="Y6553">
        <v>-0.38834289999999999</v>
      </c>
      <c r="Z6553">
        <v>3.020142E-2</v>
      </c>
      <c r="AA6553">
        <v>0.9210199</v>
      </c>
      <c r="AB6553">
        <v>29</v>
      </c>
      <c r="AC6553">
        <v>5.1066999999999796</v>
      </c>
      <c r="AD6553">
        <v>-1.111838087585</v>
      </c>
      <c r="AE6553">
        <v>2.5147400000000002</v>
      </c>
      <c r="AF6553">
        <v>-2.2106656476939701</v>
      </c>
      <c r="AG6553">
        <v>-1.111838087585</v>
      </c>
      <c r="AH6553">
        <v>5.0177194170186104</v>
      </c>
      <c r="AI6553">
        <v>101.462725428897</v>
      </c>
      <c r="AJ6553">
        <v>113.77693626834299</v>
      </c>
      <c r="AK6553">
        <v>5.5947059517748103</v>
      </c>
      <c r="AL6553">
        <v>85.546890928516106</v>
      </c>
      <c r="AM6553">
        <v>99.287434888778293</v>
      </c>
      <c r="AN6553">
        <v>0.99999998313751204</v>
      </c>
    </row>
    <row r="6554" spans="1:40" x14ac:dyDescent="0.25">
      <c r="A6554" t="str">
        <f>"20190312151152319"</f>
        <v>20190312151152319</v>
      </c>
      <c r="B6554" t="str">
        <f>"1552374712307950"</f>
        <v>1552374712307950</v>
      </c>
      <c r="C6554" t="s">
        <v>40</v>
      </c>
      <c r="D6554">
        <v>5.2861580000000004</v>
      </c>
      <c r="E6554">
        <v>0.40645150000000002</v>
      </c>
      <c r="F6554" t="s">
        <v>97</v>
      </c>
      <c r="G6554">
        <v>-219.2911</v>
      </c>
      <c r="H6554" s="1">
        <v>-3.028651E-6</v>
      </c>
      <c r="I6554">
        <v>-60.660939999999997</v>
      </c>
      <c r="J6554">
        <v>-224.3954</v>
      </c>
      <c r="K6554">
        <v>1.111885</v>
      </c>
      <c r="L6554">
        <v>-63.184939999999997</v>
      </c>
      <c r="M6554">
        <v>0.99898419999999999</v>
      </c>
      <c r="N6554">
        <v>0</v>
      </c>
      <c r="O6554">
        <v>4.3772289999999998E-2</v>
      </c>
      <c r="P6554">
        <v>0.97655239999999999</v>
      </c>
      <c r="Q6554">
        <v>6.7404049999999993E-2</v>
      </c>
      <c r="R6554">
        <v>0.20445569999999999</v>
      </c>
      <c r="S6554">
        <v>2.8291780000000002</v>
      </c>
      <c r="T6554">
        <v>-0.60096819999999995</v>
      </c>
      <c r="U6554">
        <v>1.367828</v>
      </c>
      <c r="V6554">
        <v>-0.16187860000000001</v>
      </c>
      <c r="W6554">
        <v>7.7175859999999999E-2</v>
      </c>
      <c r="X6554">
        <v>0.9837882</v>
      </c>
      <c r="Y6554">
        <v>-0.38921470000000002</v>
      </c>
      <c r="Z6554">
        <v>3.0095469999999999E-2</v>
      </c>
      <c r="AA6554">
        <v>0.92065529999999995</v>
      </c>
      <c r="AB6554">
        <v>29</v>
      </c>
      <c r="AC6554">
        <v>5.1042999999999896</v>
      </c>
      <c r="AD6554">
        <v>-1.111888028651</v>
      </c>
      <c r="AE6554">
        <v>2.524</v>
      </c>
      <c r="AF6554">
        <v>-2.21373453531139</v>
      </c>
      <c r="AG6554">
        <v>-1.111888028651</v>
      </c>
      <c r="AH6554">
        <v>5.0185452546473499</v>
      </c>
      <c r="AI6554">
        <v>101.459170515474</v>
      </c>
      <c r="AJ6554">
        <v>113.802794047153</v>
      </c>
      <c r="AK6554">
        <v>5.5966697288683402</v>
      </c>
      <c r="AL6554">
        <v>85.5737476647639</v>
      </c>
      <c r="AM6554">
        <v>99.344070977401103</v>
      </c>
      <c r="AN6554">
        <v>1.00000000848196</v>
      </c>
    </row>
    <row r="6555" spans="1:40" x14ac:dyDescent="0.25">
      <c r="A6555" t="str">
        <f>"20190312151152329"</f>
        <v>20190312151152329</v>
      </c>
      <c r="B6555" t="str">
        <f>"1552374712317710"</f>
        <v>1552374712317710</v>
      </c>
      <c r="C6555" t="s">
        <v>40</v>
      </c>
      <c r="D6555">
        <v>5.251436</v>
      </c>
      <c r="E6555">
        <v>0.40641490000000002</v>
      </c>
      <c r="F6555" t="s">
        <v>97</v>
      </c>
      <c r="G6555">
        <v>-219.18770000000001</v>
      </c>
      <c r="H6555" s="1">
        <v>-2.9820960000000001E-6</v>
      </c>
      <c r="I6555">
        <v>-60.652749999999997</v>
      </c>
      <c r="J6555">
        <v>-224.26240000000001</v>
      </c>
      <c r="K6555">
        <v>1.111928</v>
      </c>
      <c r="L6555">
        <v>-63.177860000000003</v>
      </c>
      <c r="M6555">
        <v>0.99892800000000004</v>
      </c>
      <c r="N6555">
        <v>0</v>
      </c>
      <c r="O6555">
        <v>4.5034480000000002E-2</v>
      </c>
      <c r="P6555">
        <v>0.9761126</v>
      </c>
      <c r="Q6555">
        <v>6.7190819999999998E-2</v>
      </c>
      <c r="R6555">
        <v>0.20661470000000001</v>
      </c>
      <c r="S6555">
        <v>2.8260040000000002</v>
      </c>
      <c r="T6555">
        <v>-0.60336380000000001</v>
      </c>
      <c r="U6555">
        <v>1.3740540000000001</v>
      </c>
      <c r="V6555">
        <v>-0.1628192</v>
      </c>
      <c r="W6555">
        <v>7.6944349999999995E-2</v>
      </c>
      <c r="X6555">
        <v>0.9836511</v>
      </c>
      <c r="Y6555">
        <v>-0.39005499999999999</v>
      </c>
      <c r="Z6555">
        <v>3.0062709999999999E-2</v>
      </c>
      <c r="AA6555">
        <v>0.92030069999999997</v>
      </c>
      <c r="AB6555">
        <v>29</v>
      </c>
      <c r="AC6555">
        <v>5.0747</v>
      </c>
      <c r="AD6555">
        <v>-1.1119309820959999</v>
      </c>
      <c r="AE6555">
        <v>2.52510999999999</v>
      </c>
      <c r="AF6555">
        <v>-2.2089910374830102</v>
      </c>
      <c r="AG6555">
        <v>-1.1119309820959999</v>
      </c>
      <c r="AH6555">
        <v>4.9912011318000804</v>
      </c>
      <c r="AI6555">
        <v>101.514632237779</v>
      </c>
      <c r="AJ6555">
        <v>113.873081388269</v>
      </c>
      <c r="AK6555">
        <v>5.5702890993832304</v>
      </c>
      <c r="AL6555">
        <v>85.587051758769306</v>
      </c>
      <c r="AM6555">
        <v>99.398685615827702</v>
      </c>
      <c r="AN6555">
        <v>1.00000000570838</v>
      </c>
    </row>
    <row r="6556" spans="1:40" x14ac:dyDescent="0.25">
      <c r="A6556" t="str">
        <f>"20190312151152349"</f>
        <v>20190312151152349</v>
      </c>
      <c r="B6556" t="str">
        <f>"1552374712347966"</f>
        <v>1552374712347966</v>
      </c>
      <c r="C6556" t="s">
        <v>40</v>
      </c>
      <c r="D6556">
        <v>5.2283080000000002</v>
      </c>
      <c r="E6556">
        <v>0.40640850000000001</v>
      </c>
      <c r="F6556" t="s">
        <v>97</v>
      </c>
      <c r="G6556">
        <v>-219.0735</v>
      </c>
      <c r="H6556" s="1">
        <v>-2.9296619999999999E-6</v>
      </c>
      <c r="I6556">
        <v>-60.639789999999998</v>
      </c>
      <c r="J6556">
        <v>-224.00210000000001</v>
      </c>
      <c r="K6556">
        <v>1.1120099999999999</v>
      </c>
      <c r="L6556">
        <v>-63.163539999999998</v>
      </c>
      <c r="M6556">
        <v>0.99881120000000001</v>
      </c>
      <c r="N6556">
        <v>0</v>
      </c>
      <c r="O6556">
        <v>4.7552980000000002E-2</v>
      </c>
      <c r="P6556">
        <v>0.97549560000000002</v>
      </c>
      <c r="Q6556">
        <v>6.6767919999999994E-2</v>
      </c>
      <c r="R6556">
        <v>0.2096431</v>
      </c>
      <c r="S6556">
        <v>2.8228</v>
      </c>
      <c r="T6556">
        <v>-0.6048905</v>
      </c>
      <c r="U6556">
        <v>1.380676</v>
      </c>
      <c r="V6556">
        <v>-0.16340360000000001</v>
      </c>
      <c r="W6556">
        <v>7.6495540000000001E-2</v>
      </c>
      <c r="X6556">
        <v>0.98358920000000005</v>
      </c>
      <c r="Y6556">
        <v>-0.3899089</v>
      </c>
      <c r="Z6556">
        <v>2.9635870000000002E-2</v>
      </c>
      <c r="AA6556">
        <v>0.92037639999999998</v>
      </c>
      <c r="AB6556">
        <v>29</v>
      </c>
      <c r="AC6556">
        <v>4.9286000000000101</v>
      </c>
      <c r="AD6556">
        <v>-1.112012929662</v>
      </c>
      <c r="AE6556">
        <v>2.5237500000000002</v>
      </c>
      <c r="AF6556">
        <v>-2.1978687198370301</v>
      </c>
      <c r="AG6556">
        <v>-1.112012929662</v>
      </c>
      <c r="AH6556">
        <v>4.8475352871816098</v>
      </c>
      <c r="AI6556">
        <v>101.800829802273</v>
      </c>
      <c r="AJ6556">
        <v>114.389502515958</v>
      </c>
      <c r="AK6556">
        <v>5.4374440710543803</v>
      </c>
      <c r="AL6556">
        <v>85.612842707280095</v>
      </c>
      <c r="AM6556">
        <v>99.432397735468101</v>
      </c>
      <c r="AN6556">
        <v>1.0000000092447401</v>
      </c>
    </row>
    <row r="6557" spans="1:40" x14ac:dyDescent="0.25">
      <c r="A6557" t="str">
        <f>"20190312151152360"</f>
        <v>20190312151152360</v>
      </c>
      <c r="B6557" t="str">
        <f>"1552374712357727"</f>
        <v>1552374712357727</v>
      </c>
      <c r="C6557" t="s">
        <v>40</v>
      </c>
      <c r="D6557">
        <v>5.4040049999999997</v>
      </c>
      <c r="E6557">
        <v>0.40640850000000001</v>
      </c>
      <c r="F6557" t="s">
        <v>97</v>
      </c>
      <c r="G6557">
        <v>-218.85149999999999</v>
      </c>
      <c r="H6557" s="1">
        <v>-2.8300649999999999E-6</v>
      </c>
      <c r="I6557">
        <v>-60.623359999999998</v>
      </c>
      <c r="J6557">
        <v>-223.869</v>
      </c>
      <c r="K6557">
        <v>1.1120350000000001</v>
      </c>
      <c r="L6557">
        <v>-63.155940000000001</v>
      </c>
      <c r="M6557">
        <v>0.99874779999999996</v>
      </c>
      <c r="N6557">
        <v>0</v>
      </c>
      <c r="O6557">
        <v>4.8865869999999999E-2</v>
      </c>
      <c r="P6557">
        <v>0.97498830000000003</v>
      </c>
      <c r="Q6557">
        <v>6.5737080000000003E-2</v>
      </c>
      <c r="R6557">
        <v>0.21231230000000001</v>
      </c>
      <c r="S6557">
        <v>2.818298</v>
      </c>
      <c r="T6557">
        <v>-0.60846659999999997</v>
      </c>
      <c r="U6557">
        <v>1.389893</v>
      </c>
      <c r="V6557">
        <v>-0.16480210000000001</v>
      </c>
      <c r="W6557">
        <v>7.5445730000000003E-2</v>
      </c>
      <c r="X6557">
        <v>0.98343689999999995</v>
      </c>
      <c r="Y6557">
        <v>-0.39161869999999999</v>
      </c>
      <c r="Z6557">
        <v>2.973918E-2</v>
      </c>
      <c r="AA6557">
        <v>0.91964690000000004</v>
      </c>
      <c r="AB6557">
        <v>29</v>
      </c>
      <c r="AC6557">
        <v>5.01750000000004</v>
      </c>
      <c r="AD6557">
        <v>-1.112037830065</v>
      </c>
      <c r="AE6557">
        <v>2.5325799999999998</v>
      </c>
      <c r="AF6557">
        <v>-2.19829850239792</v>
      </c>
      <c r="AG6557">
        <v>-1.112037830065</v>
      </c>
      <c r="AH6557">
        <v>4.9418114197419696</v>
      </c>
      <c r="AI6557">
        <v>101.618209662504</v>
      </c>
      <c r="AJ6557">
        <v>113.981248052426</v>
      </c>
      <c r="AK6557">
        <v>5.5218334409354304</v>
      </c>
      <c r="AL6557">
        <v>85.673166525777802</v>
      </c>
      <c r="AM6557">
        <v>99.513102642612296</v>
      </c>
      <c r="AN6557">
        <v>0.99999996331062502</v>
      </c>
    </row>
    <row r="6558" spans="1:40" x14ac:dyDescent="0.25">
      <c r="A6558" t="str">
        <f>"20190312151152371"</f>
        <v>20190312151152371</v>
      </c>
      <c r="B6558" t="str">
        <f>"1552374712367487"</f>
        <v>1552374712367487</v>
      </c>
      <c r="C6558" t="s">
        <v>40</v>
      </c>
      <c r="D6558">
        <v>5.6103779999999999</v>
      </c>
      <c r="E6558">
        <v>0.40735480000000002</v>
      </c>
      <c r="F6558" t="s">
        <v>97</v>
      </c>
      <c r="G6558">
        <v>-218.7533</v>
      </c>
      <c r="H6558" s="1">
        <v>-2.785913E-6</v>
      </c>
      <c r="I6558">
        <v>-60.615720000000003</v>
      </c>
      <c r="J6558">
        <v>-223.72839999999999</v>
      </c>
      <c r="K6558">
        <v>1.1120680000000001</v>
      </c>
      <c r="L6558">
        <v>-63.147669999999998</v>
      </c>
      <c r="M6558">
        <v>0.9986777</v>
      </c>
      <c r="N6558">
        <v>0</v>
      </c>
      <c r="O6558">
        <v>5.0278030000000001E-2</v>
      </c>
      <c r="P6558">
        <v>0.97461660000000006</v>
      </c>
      <c r="Q6558">
        <v>6.5047160000000007E-2</v>
      </c>
      <c r="R6558">
        <v>0.21422279999999999</v>
      </c>
      <c r="S6558">
        <v>2.8139340000000002</v>
      </c>
      <c r="T6558">
        <v>-0.6116878</v>
      </c>
      <c r="U6558">
        <v>1.3972469999999999</v>
      </c>
      <c r="V6558">
        <v>-0.16533979999999901</v>
      </c>
      <c r="W6558">
        <v>7.4743900000000002E-2</v>
      </c>
      <c r="X6558">
        <v>0.9834003</v>
      </c>
      <c r="Y6558">
        <v>-0.3927484</v>
      </c>
      <c r="Z6558">
        <v>2.9748150000000001E-2</v>
      </c>
      <c r="AA6558">
        <v>0.91916469999999995</v>
      </c>
      <c r="AB6558">
        <v>29</v>
      </c>
      <c r="AC6558">
        <v>4.9750999999999896</v>
      </c>
      <c r="AD6558">
        <v>-1.1120707859129999</v>
      </c>
      <c r="AE6558">
        <v>2.5319500000000001</v>
      </c>
      <c r="AF6558">
        <v>-2.1916188284657001</v>
      </c>
      <c r="AG6558">
        <v>-1.1120707859129999</v>
      </c>
      <c r="AH6558">
        <v>4.9015926862232497</v>
      </c>
      <c r="AI6558">
        <v>101.701569288478</v>
      </c>
      <c r="AJ6558">
        <v>114.090555774015</v>
      </c>
      <c r="AK6558">
        <v>5.4832021104281496</v>
      </c>
      <c r="AL6558">
        <v>85.713492554068793</v>
      </c>
      <c r="AM6558">
        <v>99.543919692611297</v>
      </c>
      <c r="AN6558">
        <v>1.00000002504566</v>
      </c>
    </row>
    <row r="6559" spans="1:40" x14ac:dyDescent="0.25">
      <c r="A6559" t="str">
        <f>"20190312151152383"</f>
        <v>20190312151152383</v>
      </c>
      <c r="B6559" t="str">
        <f>"1552374712377246"</f>
        <v>1552374712377246</v>
      </c>
      <c r="C6559" t="s">
        <v>40</v>
      </c>
      <c r="D6559">
        <v>5.531161</v>
      </c>
      <c r="E6559">
        <v>0.40735480000000002</v>
      </c>
      <c r="F6559" t="s">
        <v>97</v>
      </c>
      <c r="G6559">
        <v>-218.6146</v>
      </c>
      <c r="H6559" s="1">
        <v>-2.7251040000000001E-6</v>
      </c>
      <c r="I6559">
        <v>-60.610779999999998</v>
      </c>
      <c r="J6559">
        <v>-223.58260000000001</v>
      </c>
      <c r="K6559">
        <v>1.112096</v>
      </c>
      <c r="L6559">
        <v>-63.138950000000001</v>
      </c>
      <c r="M6559">
        <v>0.99860199999999999</v>
      </c>
      <c r="N6559">
        <v>0</v>
      </c>
      <c r="O6559">
        <v>5.1755929999999999E-2</v>
      </c>
      <c r="P6559">
        <v>0.97423170000000003</v>
      </c>
      <c r="Q6559">
        <v>6.4795649999999996E-2</v>
      </c>
      <c r="R6559">
        <v>0.21604219999999999</v>
      </c>
      <c r="S6559">
        <v>2.8123019999999999</v>
      </c>
      <c r="T6559">
        <v>-0.611573699999999</v>
      </c>
      <c r="U6559">
        <v>1.395111</v>
      </c>
      <c r="V6559">
        <v>-0.16572479999999901</v>
      </c>
      <c r="W6559">
        <v>7.4481430000000001E-2</v>
      </c>
      <c r="X6559">
        <v>0.98335539999999999</v>
      </c>
      <c r="Y6559">
        <v>-0.3910962</v>
      </c>
      <c r="Z6559">
        <v>2.9295649999999999E-2</v>
      </c>
      <c r="AA6559">
        <v>0.91988340000000002</v>
      </c>
      <c r="AB6559">
        <v>29</v>
      </c>
      <c r="AC6559">
        <v>4.9680000000000097</v>
      </c>
      <c r="AD6559">
        <v>-1.112098725104</v>
      </c>
      <c r="AE6559">
        <v>2.52816999999999</v>
      </c>
      <c r="AF6559">
        <v>-2.18084050628305</v>
      </c>
      <c r="AG6559">
        <v>-1.112098725104</v>
      </c>
      <c r="AH6559">
        <v>4.89727353482645</v>
      </c>
      <c r="AI6559">
        <v>101.719548947017</v>
      </c>
      <c r="AJ6559">
        <v>114.004235968047</v>
      </c>
      <c r="AK6559">
        <v>5.47504492795579</v>
      </c>
      <c r="AL6559">
        <v>85.728572981090593</v>
      </c>
      <c r="AM6559">
        <v>99.566161568582103</v>
      </c>
      <c r="AN6559">
        <v>1.0000000177295201</v>
      </c>
    </row>
    <row r="6560" spans="1:40" x14ac:dyDescent="0.25">
      <c r="A6560" t="str">
        <f>"20190312151152393"</f>
        <v>20190312151152393</v>
      </c>
      <c r="B6560" t="str">
        <f>"1552374712387982"</f>
        <v>1552374712387982</v>
      </c>
      <c r="C6560" t="s">
        <v>40</v>
      </c>
      <c r="D6560">
        <v>5.2256640000000001</v>
      </c>
      <c r="E6560">
        <v>0.46376079999999997</v>
      </c>
      <c r="F6560" t="s">
        <v>97</v>
      </c>
      <c r="G6560">
        <v>-218.4812</v>
      </c>
      <c r="H6560" s="1">
        <v>-2.66396E-6</v>
      </c>
      <c r="I6560">
        <v>-60.596110000000003</v>
      </c>
      <c r="J6560">
        <v>-223.43340000000001</v>
      </c>
      <c r="K6560">
        <v>1.1121239999999999</v>
      </c>
      <c r="L6560">
        <v>-63.129730000000002</v>
      </c>
      <c r="M6560">
        <v>0.99852149999999995</v>
      </c>
      <c r="N6560">
        <v>0</v>
      </c>
      <c r="O6560">
        <v>5.3285979999999997E-2</v>
      </c>
      <c r="P6560">
        <v>0.97381790000000001</v>
      </c>
      <c r="Q6560">
        <v>6.4441319999999996E-2</v>
      </c>
      <c r="R6560">
        <v>0.21800430000000001</v>
      </c>
      <c r="S6560">
        <v>2.8095400000000001</v>
      </c>
      <c r="T6560">
        <v>-0.61246959999999995</v>
      </c>
      <c r="U6560">
        <v>1.4003909999999999</v>
      </c>
      <c r="V6560">
        <v>-0.16620199999999999</v>
      </c>
      <c r="W6560">
        <v>7.4115749999999994E-2</v>
      </c>
      <c r="X6560">
        <v>0.98330249999999997</v>
      </c>
      <c r="Y6560">
        <v>-0.39143610000000001</v>
      </c>
      <c r="Z6560">
        <v>2.907684E-2</v>
      </c>
      <c r="AA6560">
        <v>0.91974579999999995</v>
      </c>
      <c r="AB6560">
        <v>29</v>
      </c>
      <c r="AC6560">
        <v>4.9522000000000004</v>
      </c>
      <c r="AD6560">
        <v>-1.11212666395999</v>
      </c>
      <c r="AE6560">
        <v>2.53362</v>
      </c>
      <c r="AF6560">
        <v>-2.17902540239742</v>
      </c>
      <c r="AG6560">
        <v>-1.11212666395999</v>
      </c>
      <c r="AH6560">
        <v>4.8849252000999304</v>
      </c>
      <c r="AI6560">
        <v>101.745436252094</v>
      </c>
      <c r="AJ6560">
        <v>114.040283325847</v>
      </c>
      <c r="AK6560">
        <v>5.4632839603626104</v>
      </c>
      <c r="AL6560">
        <v>85.749583015376501</v>
      </c>
      <c r="AM6560">
        <v>99.593702362146402</v>
      </c>
      <c r="AN6560">
        <v>1.0000000278541501</v>
      </c>
    </row>
    <row r="6561" spans="1:40" x14ac:dyDescent="0.25">
      <c r="A6561" t="str">
        <f>"20190312151152405"</f>
        <v>20190312151152405</v>
      </c>
      <c r="B6561" t="str">
        <f>"1552374712397743"</f>
        <v>1552374712397743</v>
      </c>
      <c r="C6561" t="s">
        <v>40</v>
      </c>
      <c r="D6561">
        <v>5.2450400000000004</v>
      </c>
      <c r="E6561">
        <v>0.46373720000000002</v>
      </c>
      <c r="F6561" t="s">
        <v>97</v>
      </c>
      <c r="G6561">
        <v>-215.15379999999999</v>
      </c>
      <c r="H6561" s="1">
        <v>-1.180777E-6</v>
      </c>
      <c r="I6561">
        <v>-60.386650000000003</v>
      </c>
      <c r="J6561">
        <v>-223.29849999999999</v>
      </c>
      <c r="K6561">
        <v>1.1121509999999999</v>
      </c>
      <c r="L6561">
        <v>-63.12115</v>
      </c>
      <c r="M6561">
        <v>0.99844599999999994</v>
      </c>
      <c r="N6561">
        <v>0</v>
      </c>
      <c r="O6561">
        <v>5.4684139999999999E-2</v>
      </c>
      <c r="P6561">
        <v>0.97346350000000004</v>
      </c>
      <c r="Q6561">
        <v>6.4000520000000005E-2</v>
      </c>
      <c r="R6561">
        <v>0.2197114</v>
      </c>
      <c r="S6561">
        <v>2.891861</v>
      </c>
      <c r="T6561">
        <v>-0.38843729999999999</v>
      </c>
      <c r="U6561">
        <v>0.95806880000000005</v>
      </c>
      <c r="V6561">
        <v>-0.166549799999999</v>
      </c>
      <c r="W6561">
        <v>7.3666380000000004E-2</v>
      </c>
      <c r="X6561">
        <v>0.98327739999999997</v>
      </c>
      <c r="Y6561">
        <v>-0.26044689999999998</v>
      </c>
      <c r="Z6561">
        <v>9.8593680000000003E-3</v>
      </c>
      <c r="AA6561">
        <v>0.96543780000000001</v>
      </c>
      <c r="AB6561">
        <v>29</v>
      </c>
      <c r="AC6561">
        <v>8.1447000000000003</v>
      </c>
      <c r="AD6561">
        <v>-1.1121521807770001</v>
      </c>
      <c r="AE6561">
        <v>2.7344999999999899</v>
      </c>
      <c r="AF6561">
        <v>-2.2473380622746499</v>
      </c>
      <c r="AG6561">
        <v>-1.1121521807770001</v>
      </c>
      <c r="AH6561">
        <v>8.1455603256704308</v>
      </c>
      <c r="AI6561">
        <v>97.498018737428396</v>
      </c>
      <c r="AJ6561">
        <v>105.42403688821599</v>
      </c>
      <c r="AK6561">
        <v>8.5227673826341004</v>
      </c>
      <c r="AL6561">
        <v>85.775400513961401</v>
      </c>
      <c r="AM6561">
        <v>99.613644999683999</v>
      </c>
      <c r="AN6561">
        <v>1.0000000083865499</v>
      </c>
    </row>
    <row r="6562" spans="1:40" x14ac:dyDescent="0.25">
      <c r="A6562" t="str">
        <f>"20190312151152416"</f>
        <v>20190312151152416</v>
      </c>
      <c r="B6562" t="str">
        <f>"1552374712407502"</f>
        <v>1552374712407502</v>
      </c>
      <c r="C6562" t="s">
        <v>40</v>
      </c>
      <c r="D6562">
        <v>5.2287339999999896</v>
      </c>
      <c r="E6562">
        <v>0.46419470000000002</v>
      </c>
      <c r="F6562" t="s">
        <v>97</v>
      </c>
      <c r="G6562">
        <v>-214.91589999999999</v>
      </c>
      <c r="H6562" s="1">
        <v>-1.0878270000000001E-6</v>
      </c>
      <c r="I6562">
        <v>-60.327840000000002</v>
      </c>
      <c r="J6562">
        <v>-223.14490000000001</v>
      </c>
      <c r="K6562">
        <v>1.112179</v>
      </c>
      <c r="L6562">
        <v>-63.111240000000002</v>
      </c>
      <c r="M6562">
        <v>0.99835689999999999</v>
      </c>
      <c r="N6562">
        <v>0</v>
      </c>
      <c r="O6562">
        <v>5.628586E-2</v>
      </c>
      <c r="P6562">
        <v>0.9730335</v>
      </c>
      <c r="Q6562">
        <v>6.3598390000000005E-2</v>
      </c>
      <c r="R6562">
        <v>0.22172339999999999</v>
      </c>
      <c r="S6562">
        <v>2.8896639999999998</v>
      </c>
      <c r="T6562">
        <v>-0.3833801</v>
      </c>
      <c r="U6562">
        <v>0.96289060000000004</v>
      </c>
      <c r="V6562">
        <v>-0.1670073</v>
      </c>
      <c r="W6562">
        <v>7.3254540000000007E-2</v>
      </c>
      <c r="X6562">
        <v>0.98323050000000001</v>
      </c>
      <c r="Y6562">
        <v>-0.2606214</v>
      </c>
      <c r="Z6562">
        <v>9.5429199999999999E-3</v>
      </c>
      <c r="AA6562">
        <v>0.96539390000000003</v>
      </c>
      <c r="AB6562">
        <v>29</v>
      </c>
      <c r="AC6562">
        <v>8.2290000000000099</v>
      </c>
      <c r="AD6562">
        <v>-1.1121800878270001</v>
      </c>
      <c r="AE6562">
        <v>2.7833999999999999</v>
      </c>
      <c r="AF6562">
        <v>-2.27843746523821</v>
      </c>
      <c r="AG6562">
        <v>-1.1121800878270001</v>
      </c>
      <c r="AH6562">
        <v>8.2376035789776108</v>
      </c>
      <c r="AI6562">
        <v>97.414057533040804</v>
      </c>
      <c r="AJ6562">
        <v>105.46090353034501</v>
      </c>
      <c r="AK6562">
        <v>8.6189520566681797</v>
      </c>
      <c r="AL6562">
        <v>85.799060852117606</v>
      </c>
      <c r="AM6562">
        <v>99.640009297007694</v>
      </c>
      <c r="AN6562">
        <v>0.99999994100707401</v>
      </c>
    </row>
    <row r="6563" spans="1:40" x14ac:dyDescent="0.25">
      <c r="A6563" t="str">
        <f>"20190312151152427"</f>
        <v>20190312151152427</v>
      </c>
      <c r="B6563" t="str">
        <f>"1552374712417262"</f>
        <v>1552374712417262</v>
      </c>
      <c r="C6563" t="s">
        <v>40</v>
      </c>
      <c r="D6563">
        <v>5.2266890000000004</v>
      </c>
      <c r="E6563">
        <v>0.46445110000000001</v>
      </c>
      <c r="F6563" t="s">
        <v>97</v>
      </c>
      <c r="G6563">
        <v>-214.7287</v>
      </c>
      <c r="H6563" s="1">
        <v>-1.0124339999999999E-6</v>
      </c>
      <c r="I6563">
        <v>-60.300240000000002</v>
      </c>
      <c r="J6563">
        <v>-223.01050000000001</v>
      </c>
      <c r="K6563">
        <v>1.1122030000000001</v>
      </c>
      <c r="L6563">
        <v>-63.102200000000003</v>
      </c>
      <c r="M6563">
        <v>0.99827549999999998</v>
      </c>
      <c r="N6563">
        <v>0</v>
      </c>
      <c r="O6563">
        <v>5.7708330000000002E-2</v>
      </c>
      <c r="P6563">
        <v>0.97268239999999995</v>
      </c>
      <c r="Q6563">
        <v>6.3031379999999998E-2</v>
      </c>
      <c r="R6563">
        <v>0.22341829999999999</v>
      </c>
      <c r="S6563">
        <v>2.8882750000000001</v>
      </c>
      <c r="T6563">
        <v>-0.38167879999999998</v>
      </c>
      <c r="U6563">
        <v>0.96466059999999998</v>
      </c>
      <c r="V6563">
        <v>-0.16731869999999999</v>
      </c>
      <c r="W6563">
        <v>7.2679090000000002E-2</v>
      </c>
      <c r="X6563">
        <v>0.98322030000000005</v>
      </c>
      <c r="Y6563">
        <v>-0.2599475</v>
      </c>
      <c r="Z6563">
        <v>9.2799600000000003E-3</v>
      </c>
      <c r="AA6563">
        <v>0.96557809999999999</v>
      </c>
      <c r="AB6563">
        <v>29</v>
      </c>
      <c r="AC6563">
        <v>8.2818000000000005</v>
      </c>
      <c r="AD6563">
        <v>-1.112204012434</v>
      </c>
      <c r="AE6563">
        <v>2.8019599999999998</v>
      </c>
      <c r="AF6563">
        <v>-2.2823979185088499</v>
      </c>
      <c r="AG6563">
        <v>-1.112204012434</v>
      </c>
      <c r="AH6563">
        <v>8.2954589602985607</v>
      </c>
      <c r="AI6563">
        <v>97.365785773400404</v>
      </c>
      <c r="AJ6563">
        <v>105.383614293984</v>
      </c>
      <c r="AK6563">
        <v>8.6753084893671399</v>
      </c>
      <c r="AL6563">
        <v>85.832119987989302</v>
      </c>
      <c r="AM6563">
        <v>99.657744030499799</v>
      </c>
      <c r="AN6563">
        <v>0.99999997791250395</v>
      </c>
    </row>
    <row r="6564" spans="1:40" x14ac:dyDescent="0.25">
      <c r="A6564" t="str">
        <f>"20190312151152438"</f>
        <v>20190312151152438</v>
      </c>
      <c r="B6564" t="str">
        <f>"1552374712427998"</f>
        <v>1552374712427998</v>
      </c>
      <c r="C6564" t="s">
        <v>40</v>
      </c>
      <c r="D6564">
        <v>5.2369190000000003</v>
      </c>
      <c r="E6564">
        <v>0.46448200000000001</v>
      </c>
      <c r="F6564" t="s">
        <v>97</v>
      </c>
      <c r="G6564">
        <v>-214.5986</v>
      </c>
      <c r="H6564" s="1">
        <v>-9.5957099999999993E-7</v>
      </c>
      <c r="I6564">
        <v>-60.283670000000001</v>
      </c>
      <c r="J6564">
        <v>-222.86709999999999</v>
      </c>
      <c r="K6564">
        <v>1.1122259999999999</v>
      </c>
      <c r="L6564">
        <v>-63.092500000000001</v>
      </c>
      <c r="M6564">
        <v>0.99818629999999997</v>
      </c>
      <c r="N6564">
        <v>0</v>
      </c>
      <c r="O6564">
        <v>5.923059E-2</v>
      </c>
      <c r="P6564">
        <v>0.97233159999999996</v>
      </c>
      <c r="Q6564">
        <v>6.2253540000000003E-2</v>
      </c>
      <c r="R6564">
        <v>0.22515669999999999</v>
      </c>
      <c r="S6564">
        <v>2.8868260000000001</v>
      </c>
      <c r="T6564">
        <v>-0.38169029999999998</v>
      </c>
      <c r="U6564">
        <v>0.96725459999999996</v>
      </c>
      <c r="V6564">
        <v>-0.16757439999999901</v>
      </c>
      <c r="W6564">
        <v>7.1892949999999997E-2</v>
      </c>
      <c r="X6564">
        <v>0.98323459999999996</v>
      </c>
      <c r="Y6564">
        <v>-0.2594166</v>
      </c>
      <c r="Z6564">
        <v>9.0553999999999999E-3</v>
      </c>
      <c r="AA6564">
        <v>0.965723</v>
      </c>
      <c r="AB6564">
        <v>29</v>
      </c>
      <c r="AC6564">
        <v>8.26849999999998</v>
      </c>
      <c r="AD6564">
        <v>-1.1122269595709999</v>
      </c>
      <c r="AE6564">
        <v>2.8088299999999999</v>
      </c>
      <c r="AF6564">
        <v>-2.2771811732141098</v>
      </c>
      <c r="AG6564">
        <v>-1.1122269595709999</v>
      </c>
      <c r="AH6564">
        <v>8.2859454729803499</v>
      </c>
      <c r="AI6564">
        <v>97.374885117955401</v>
      </c>
      <c r="AJ6564">
        <v>105.366904655803</v>
      </c>
      <c r="AK6564">
        <v>8.6648424848026497</v>
      </c>
      <c r="AL6564">
        <v>85.877280840693501</v>
      </c>
      <c r="AM6564">
        <v>99.672086586662203</v>
      </c>
      <c r="AN6564">
        <v>1.00000002721611</v>
      </c>
    </row>
    <row r="6565" spans="1:40" x14ac:dyDescent="0.25">
      <c r="A6565" t="str">
        <f>"20190312151152449"</f>
        <v>20190312151152449</v>
      </c>
      <c r="B6565" t="str">
        <f>"1552374712437759"</f>
        <v>1552374712437759</v>
      </c>
      <c r="C6565" t="s">
        <v>40</v>
      </c>
      <c r="D6565">
        <v>5.0098019999999996</v>
      </c>
      <c r="E6565">
        <v>0.46365810000000002</v>
      </c>
      <c r="F6565" t="s">
        <v>97</v>
      </c>
      <c r="G6565">
        <v>-214.52010000000001</v>
      </c>
      <c r="H6565" s="1">
        <v>-9.2639900000000001E-7</v>
      </c>
      <c r="I6565">
        <v>-60.280720000000002</v>
      </c>
      <c r="J6565">
        <v>-222.726</v>
      </c>
      <c r="K6565">
        <v>1.1122570000000001</v>
      </c>
      <c r="L6565">
        <v>-63.08258</v>
      </c>
      <c r="M6565">
        <v>0.9980947</v>
      </c>
      <c r="N6565">
        <v>0</v>
      </c>
      <c r="O6565">
        <v>6.0754089999999997E-2</v>
      </c>
      <c r="P6565">
        <v>0.97194970000000003</v>
      </c>
      <c r="Q6565">
        <v>6.1494239999999999E-2</v>
      </c>
      <c r="R6565">
        <v>0.22700699999999999</v>
      </c>
      <c r="S6565">
        <v>2.8849330000000002</v>
      </c>
      <c r="T6565">
        <v>-0.38441340000000002</v>
      </c>
      <c r="U6565">
        <v>0.97180180000000005</v>
      </c>
      <c r="V6565">
        <v>-0.1679437</v>
      </c>
      <c r="W6565">
        <v>7.1126739999999994E-2</v>
      </c>
      <c r="X6565">
        <v>0.98322730000000003</v>
      </c>
      <c r="Y6565">
        <v>-0.2594901</v>
      </c>
      <c r="Z6565">
        <v>8.932209E-3</v>
      </c>
      <c r="AA6565">
        <v>0.96570440000000002</v>
      </c>
      <c r="AB6565">
        <v>29</v>
      </c>
      <c r="AC6565">
        <v>8.2058999999999802</v>
      </c>
      <c r="AD6565">
        <v>-1.112257926399</v>
      </c>
      <c r="AE6565">
        <v>2.8018600000000098</v>
      </c>
      <c r="AF6565">
        <v>-2.2609121546033801</v>
      </c>
      <c r="AG6565">
        <v>-1.112257926399</v>
      </c>
      <c r="AH6565">
        <v>8.2256311862488296</v>
      </c>
      <c r="AI6565">
        <v>97.428494035910205</v>
      </c>
      <c r="AJ6565">
        <v>105.36889176534</v>
      </c>
      <c r="AK6565">
        <v>8.6028977605141801</v>
      </c>
      <c r="AL6565">
        <v>85.921294054212595</v>
      </c>
      <c r="AM6565">
        <v>99.693068560316703</v>
      </c>
      <c r="AN6565">
        <v>1.000000011489</v>
      </c>
    </row>
    <row r="6566" spans="1:40" x14ac:dyDescent="0.25">
      <c r="A6566" t="str">
        <f>"20190312151152472"</f>
        <v>20190312151152472</v>
      </c>
      <c r="B6566" t="str">
        <f>"1552374712468014"</f>
        <v>1552374712468014</v>
      </c>
      <c r="C6566" t="s">
        <v>40</v>
      </c>
      <c r="D6566">
        <v>5.2536779999999998</v>
      </c>
      <c r="E6566">
        <v>0.46375430000000001</v>
      </c>
      <c r="F6566" t="s">
        <v>97</v>
      </c>
      <c r="G6566">
        <v>-214.53960000000001</v>
      </c>
      <c r="H6566" s="1">
        <v>-9.3344690000000002E-7</v>
      </c>
      <c r="I6566">
        <v>-60.288170000000001</v>
      </c>
      <c r="J6566">
        <v>-222.43090000000001</v>
      </c>
      <c r="K6566">
        <v>1.1123160000000001</v>
      </c>
      <c r="L6566">
        <v>-63.061279999999996</v>
      </c>
      <c r="M6566">
        <v>0.99789320000000004</v>
      </c>
      <c r="N6566">
        <v>0</v>
      </c>
      <c r="O6566">
        <v>6.3977010000000001E-2</v>
      </c>
      <c r="P6566">
        <v>0.97111959999999997</v>
      </c>
      <c r="Q6566">
        <v>6.064481E-2</v>
      </c>
      <c r="R6566">
        <v>0.23075770000000001</v>
      </c>
      <c r="S6566">
        <v>2.8816220000000001</v>
      </c>
      <c r="T6566">
        <v>-0.39151550000000002</v>
      </c>
      <c r="U6566">
        <v>0.98361209999999999</v>
      </c>
      <c r="V6566">
        <v>-0.16856670000000001</v>
      </c>
      <c r="W6566">
        <v>7.0264389999999996E-2</v>
      </c>
      <c r="X6566">
        <v>0.98318269999999997</v>
      </c>
      <c r="Y6566">
        <v>-0.26021929999999999</v>
      </c>
      <c r="Z6566">
        <v>8.7268769999999992E-3</v>
      </c>
      <c r="AA6566">
        <v>0.96551010000000004</v>
      </c>
      <c r="AB6566">
        <v>29</v>
      </c>
      <c r="AC6566">
        <v>7.8913000000000002</v>
      </c>
      <c r="AD6566">
        <v>-1.1123169334468901</v>
      </c>
      <c r="AE6566">
        <v>2.77311</v>
      </c>
      <c r="AF6566">
        <v>-2.2232208659800698</v>
      </c>
      <c r="AG6566">
        <v>-1.1123169334468901</v>
      </c>
      <c r="AH6566">
        <v>7.9126273501735502</v>
      </c>
      <c r="AI6566">
        <v>97.707263905122304</v>
      </c>
      <c r="AJ6566">
        <v>105.6938367554</v>
      </c>
      <c r="AK6566">
        <v>8.2939515046855998</v>
      </c>
      <c r="AL6566">
        <v>85.970827036343394</v>
      </c>
      <c r="AM6566">
        <v>99.728772739335298</v>
      </c>
      <c r="AN6566">
        <v>1.0000000192151199</v>
      </c>
    </row>
    <row r="6567" spans="1:40" x14ac:dyDescent="0.25">
      <c r="A6567" t="str">
        <f>"20190312151152484"</f>
        <v>20190312151152484</v>
      </c>
      <c r="B6567" t="str">
        <f>"1552374712477774"</f>
        <v>1552374712477774</v>
      </c>
      <c r="C6567" t="s">
        <v>40</v>
      </c>
      <c r="D6567">
        <v>5.19313</v>
      </c>
      <c r="E6567">
        <v>0.46355770000000002</v>
      </c>
      <c r="F6567" t="s">
        <v>97</v>
      </c>
      <c r="G6567">
        <v>-214.67429999999999</v>
      </c>
      <c r="H6567" s="1">
        <v>-9.7441419999999999E-7</v>
      </c>
      <c r="I6567">
        <v>-60.382950000000001</v>
      </c>
      <c r="J6567">
        <v>-222.27780000000001</v>
      </c>
      <c r="K6567">
        <v>1.112349</v>
      </c>
      <c r="L6567">
        <v>-63.049770000000002</v>
      </c>
      <c r="M6567">
        <v>0.99778250000000002</v>
      </c>
      <c r="N6567">
        <v>0</v>
      </c>
      <c r="O6567">
        <v>6.567887E-2</v>
      </c>
      <c r="P6567">
        <v>0.97063739999999998</v>
      </c>
      <c r="Q6567">
        <v>6.023013E-2</v>
      </c>
      <c r="R6567">
        <v>0.23288519999999999</v>
      </c>
      <c r="S6567">
        <v>2.8788149999999999</v>
      </c>
      <c r="T6567">
        <v>-0.41282829999999898</v>
      </c>
      <c r="U6567">
        <v>0.99401859999999997</v>
      </c>
      <c r="V6567">
        <v>-0.16904620000000001</v>
      </c>
      <c r="W6567">
        <v>6.9842009999999996E-2</v>
      </c>
      <c r="X6567">
        <v>0.98313050000000002</v>
      </c>
      <c r="Y6567">
        <v>-0.26180439999999999</v>
      </c>
      <c r="Z6567">
        <v>9.076598E-3</v>
      </c>
      <c r="AA6567">
        <v>0.96507829999999994</v>
      </c>
      <c r="AB6567">
        <v>29</v>
      </c>
      <c r="AC6567">
        <v>7.6035000000000199</v>
      </c>
      <c r="AD6567">
        <v>-1.11234997441419</v>
      </c>
      <c r="AE6567">
        <v>2.6668199999999902</v>
      </c>
      <c r="AF6567">
        <v>-2.1212173380618502</v>
      </c>
      <c r="AG6567">
        <v>-1.11234997441419</v>
      </c>
      <c r="AH6567">
        <v>7.6170807415220798</v>
      </c>
      <c r="AI6567">
        <v>98.007844543366005</v>
      </c>
      <c r="AJ6567">
        <v>105.561545086617</v>
      </c>
      <c r="AK6567">
        <v>7.98478581326638</v>
      </c>
      <c r="AL6567">
        <v>85.995087360239197</v>
      </c>
      <c r="AM6567">
        <v>99.7564238914306</v>
      </c>
      <c r="AN6567">
        <v>1.0000000520627601</v>
      </c>
    </row>
    <row r="6568" spans="1:40" x14ac:dyDescent="0.25">
      <c r="A6568" t="str">
        <f>"20190312151152496"</f>
        <v>20190312151152496</v>
      </c>
      <c r="B6568" t="str">
        <f>"1552374712487534"</f>
        <v>1552374712487534</v>
      </c>
      <c r="C6568" t="s">
        <v>40</v>
      </c>
      <c r="D6568">
        <v>5.2963750000000003</v>
      </c>
      <c r="E6568">
        <v>0.46366770000000002</v>
      </c>
      <c r="F6568" t="s">
        <v>97</v>
      </c>
      <c r="G6568">
        <v>-214.65430000000001</v>
      </c>
      <c r="H6568" s="1">
        <v>-9.6871370000000008E-7</v>
      </c>
      <c r="I6568">
        <v>-60.394939999999998</v>
      </c>
      <c r="J6568">
        <v>-222.1174</v>
      </c>
      <c r="K6568">
        <v>1.1123829999999999</v>
      </c>
      <c r="L6568">
        <v>-63.037480000000002</v>
      </c>
      <c r="M6568">
        <v>0.99766220000000005</v>
      </c>
      <c r="N6568">
        <v>0</v>
      </c>
      <c r="O6568">
        <v>6.7479449999999996E-2</v>
      </c>
      <c r="P6568">
        <v>0.97011800000000004</v>
      </c>
      <c r="Q6568">
        <v>6.0303830000000003E-2</v>
      </c>
      <c r="R6568">
        <v>0.2350207</v>
      </c>
      <c r="S6568">
        <v>2.8764500000000002</v>
      </c>
      <c r="T6568">
        <v>-0.41970279999999999</v>
      </c>
      <c r="U6568">
        <v>1.0016780000000001</v>
      </c>
      <c r="V6568">
        <v>-0.1694425</v>
      </c>
      <c r="W6568">
        <v>6.9907650000000002E-2</v>
      </c>
      <c r="X6568">
        <v>0.98305759999999998</v>
      </c>
      <c r="Y6568">
        <v>-0.2625519</v>
      </c>
      <c r="Z6568">
        <v>9.0303069999999996E-3</v>
      </c>
      <c r="AA6568">
        <v>0.96487560000000006</v>
      </c>
      <c r="AB6568">
        <v>29</v>
      </c>
      <c r="AC6568">
        <v>7.4630999999999901</v>
      </c>
      <c r="AD6568">
        <v>-1.1123839687136901</v>
      </c>
      <c r="AE6568">
        <v>2.6425399999999901</v>
      </c>
      <c r="AF6568">
        <v>-2.0915902213792301</v>
      </c>
      <c r="AG6568">
        <v>-1.1123839687136901</v>
      </c>
      <c r="AH6568">
        <v>7.4768131103217303</v>
      </c>
      <c r="AI6568">
        <v>98.153688554999505</v>
      </c>
      <c r="AJ6568">
        <v>105.628620121759</v>
      </c>
      <c r="AK6568">
        <v>7.8431423571614003</v>
      </c>
      <c r="AL6568">
        <v>85.991317212551195</v>
      </c>
      <c r="AM6568">
        <v>99.779566238113603</v>
      </c>
      <c r="AN6568">
        <v>1.0000000426262601</v>
      </c>
    </row>
    <row r="6569" spans="1:40" x14ac:dyDescent="0.25">
      <c r="A6569" t="str">
        <f>"20190312151152508"</f>
        <v>20190312151152508</v>
      </c>
      <c r="B6569" t="str">
        <f>"1552374712498272"</f>
        <v>1552374712498272</v>
      </c>
      <c r="C6569" t="s">
        <v>40</v>
      </c>
      <c r="D6569">
        <v>5.2521209999999998</v>
      </c>
      <c r="E6569">
        <v>0.46369090000000002</v>
      </c>
      <c r="F6569" t="s">
        <v>97</v>
      </c>
      <c r="G6569">
        <v>-214.5377</v>
      </c>
      <c r="H6569" s="1">
        <v>-9.1603869999999998E-7</v>
      </c>
      <c r="I6569">
        <v>-60.381630000000001</v>
      </c>
      <c r="J6569">
        <v>-221.96950000000001</v>
      </c>
      <c r="K6569">
        <v>1.1124210000000001</v>
      </c>
      <c r="L6569">
        <v>-63.025730000000003</v>
      </c>
      <c r="M6569">
        <v>0.99754569999999998</v>
      </c>
      <c r="N6569">
        <v>0</v>
      </c>
      <c r="O6569">
        <v>6.917835E-2</v>
      </c>
      <c r="P6569">
        <v>0.96965089999999998</v>
      </c>
      <c r="Q6569">
        <v>6.0176519999999997E-2</v>
      </c>
      <c r="R6569">
        <v>0.2369724</v>
      </c>
      <c r="S6569">
        <v>2.874603</v>
      </c>
      <c r="T6569">
        <v>-0.42186980000000002</v>
      </c>
      <c r="U6569">
        <v>1.0072019999999999</v>
      </c>
      <c r="V6569">
        <v>-0.16975209999999999</v>
      </c>
      <c r="W6569">
        <v>6.9771630000000001E-2</v>
      </c>
      <c r="X6569">
        <v>0.98301380000000005</v>
      </c>
      <c r="Y6569">
        <v>-0.26274920000000002</v>
      </c>
      <c r="Z6569">
        <v>8.854186E-3</v>
      </c>
      <c r="AA6569">
        <v>0.96482349999999995</v>
      </c>
      <c r="AB6569">
        <v>29</v>
      </c>
      <c r="AC6569">
        <v>7.4318000000000097</v>
      </c>
      <c r="AD6569">
        <v>-1.1124219160387001</v>
      </c>
      <c r="AE6569">
        <v>2.6440999999999999</v>
      </c>
      <c r="AF6569">
        <v>-2.0822044340151402</v>
      </c>
      <c r="AG6569">
        <v>-1.1124219160387001</v>
      </c>
      <c r="AH6569">
        <v>7.4487782995033696</v>
      </c>
      <c r="AI6569">
        <v>98.184670703419798</v>
      </c>
      <c r="AJ6569">
        <v>105.617610573544</v>
      </c>
      <c r="AK6569">
        <v>7.8139206535175401</v>
      </c>
      <c r="AL6569">
        <v>85.999129463070702</v>
      </c>
      <c r="AM6569">
        <v>99.797517256528494</v>
      </c>
      <c r="AN6569">
        <v>0.99999999339885304</v>
      </c>
    </row>
    <row r="6570" spans="1:40" x14ac:dyDescent="0.25">
      <c r="A6570" t="str">
        <f>"20190312151152518"</f>
        <v>20190312151152518</v>
      </c>
      <c r="B6570" t="str">
        <f>"1552374712508031"</f>
        <v>1552374712508031</v>
      </c>
      <c r="C6570" t="s">
        <v>40</v>
      </c>
      <c r="D6570">
        <v>5.2897420000000004</v>
      </c>
      <c r="E6570">
        <v>0.46390209999999998</v>
      </c>
      <c r="F6570" t="s">
        <v>97</v>
      </c>
      <c r="G6570">
        <v>-214.44720000000001</v>
      </c>
      <c r="H6570" s="1">
        <v>-8.7878959999999897E-7</v>
      </c>
      <c r="I6570">
        <v>-60.372750000000003</v>
      </c>
      <c r="J6570">
        <v>-221.83439999999999</v>
      </c>
      <c r="K6570">
        <v>1.1124529999999999</v>
      </c>
      <c r="L6570">
        <v>-63.014949999999999</v>
      </c>
      <c r="M6570">
        <v>0.99743649999999995</v>
      </c>
      <c r="N6570">
        <v>0</v>
      </c>
      <c r="O6570">
        <v>7.073604E-2</v>
      </c>
      <c r="P6570">
        <v>0.96920819999999996</v>
      </c>
      <c r="Q6570">
        <v>6.0237909999999999E-2</v>
      </c>
      <c r="R6570">
        <v>0.23876149999999999</v>
      </c>
      <c r="S6570">
        <v>2.872681</v>
      </c>
      <c r="T6570">
        <v>-0.42482189999999997</v>
      </c>
      <c r="U6570">
        <v>1.013123</v>
      </c>
      <c r="V6570">
        <v>-0.17003779999999999</v>
      </c>
      <c r="W6570">
        <v>6.9824410000000003E-2</v>
      </c>
      <c r="X6570">
        <v>0.98296070000000002</v>
      </c>
      <c r="Y6570">
        <v>-0.26319870000000001</v>
      </c>
      <c r="Z6570">
        <v>8.72969E-3</v>
      </c>
      <c r="AA6570">
        <v>0.96470210000000001</v>
      </c>
      <c r="AB6570">
        <v>29</v>
      </c>
      <c r="AC6570">
        <v>7.3871999999999698</v>
      </c>
      <c r="AD6570">
        <v>-1.1124538787895999</v>
      </c>
      <c r="AE6570">
        <v>2.6421999999999901</v>
      </c>
      <c r="AF6570">
        <v>-2.0713624084802</v>
      </c>
      <c r="AG6570">
        <v>-1.1124538787895999</v>
      </c>
      <c r="AH6570">
        <v>7.4066854507676396</v>
      </c>
      <c r="AI6570">
        <v>98.230519905846705</v>
      </c>
      <c r="AJ6570">
        <v>105.624243356362</v>
      </c>
      <c r="AK6570">
        <v>7.7709127666131996</v>
      </c>
      <c r="AL6570">
        <v>85.996098103991898</v>
      </c>
      <c r="AM6570">
        <v>99.814206366979505</v>
      </c>
      <c r="AN6570">
        <v>1.00000001970258</v>
      </c>
    </row>
    <row r="6571" spans="1:40" x14ac:dyDescent="0.25">
      <c r="A6571" t="str">
        <f>"20190312151152527"</f>
        <v>20190312151152527</v>
      </c>
      <c r="B6571" t="str">
        <f>"1552374712517790"</f>
        <v>1552374712517790</v>
      </c>
      <c r="C6571" t="s">
        <v>40</v>
      </c>
      <c r="D6571">
        <v>5.2813429999999997</v>
      </c>
      <c r="E6571">
        <v>0.4638408</v>
      </c>
      <c r="F6571" t="s">
        <v>97</v>
      </c>
      <c r="G6571">
        <v>-214.38579999999999</v>
      </c>
      <c r="H6571" s="1">
        <v>-8.5181E-7</v>
      </c>
      <c r="I6571">
        <v>-60.376390000000001</v>
      </c>
      <c r="J6571">
        <v>-221.708</v>
      </c>
      <c r="K6571">
        <v>1.1124940000000001</v>
      </c>
      <c r="L6571">
        <v>-63.004460000000002</v>
      </c>
      <c r="M6571">
        <v>0.99732880000000002</v>
      </c>
      <c r="N6571">
        <v>0</v>
      </c>
      <c r="O6571">
        <v>7.2236750000000002E-2</v>
      </c>
      <c r="P6571">
        <v>0.96876660000000003</v>
      </c>
      <c r="Q6571">
        <v>6.0034200000000003E-2</v>
      </c>
      <c r="R6571">
        <v>0.2405977</v>
      </c>
      <c r="S6571">
        <v>2.8713989999999998</v>
      </c>
      <c r="T6571">
        <v>-0.4288421</v>
      </c>
      <c r="U6571">
        <v>1.01712</v>
      </c>
      <c r="V6571">
        <v>-0.17042570000000001</v>
      </c>
      <c r="W6571">
        <v>6.9609879999999999E-2</v>
      </c>
      <c r="X6571">
        <v>0.98290869999999997</v>
      </c>
      <c r="Y6571">
        <v>-0.26305770000000001</v>
      </c>
      <c r="Z6571">
        <v>8.5884519999999999E-3</v>
      </c>
      <c r="AA6571">
        <v>0.96474190000000004</v>
      </c>
      <c r="AB6571">
        <v>29</v>
      </c>
      <c r="AC6571">
        <v>7.3221999999999996</v>
      </c>
      <c r="AD6571">
        <v>-1.11249485181</v>
      </c>
      <c r="AE6571">
        <v>2.6280699999999899</v>
      </c>
      <c r="AF6571">
        <v>-2.0503121858255602</v>
      </c>
      <c r="AG6571">
        <v>-1.11249485181</v>
      </c>
      <c r="AH6571">
        <v>7.3427654830090203</v>
      </c>
      <c r="AI6571">
        <v>98.302392473193805</v>
      </c>
      <c r="AJ6571">
        <v>105.601268405254</v>
      </c>
      <c r="AK6571">
        <v>7.7043902934052602</v>
      </c>
      <c r="AL6571">
        <v>86.008419603941107</v>
      </c>
      <c r="AM6571">
        <v>99.836668485606694</v>
      </c>
      <c r="AN6571">
        <v>0.99999998357489694</v>
      </c>
    </row>
    <row r="6572" spans="1:40" x14ac:dyDescent="0.25">
      <c r="A6572" t="str">
        <f>"20190312151152539"</f>
        <v>20190312151152539</v>
      </c>
      <c r="B6572" t="str">
        <f>"1552374712527551"</f>
        <v>1552374712527551</v>
      </c>
      <c r="C6572" t="s">
        <v>40</v>
      </c>
      <c r="D6572">
        <v>5.2507390000000003</v>
      </c>
      <c r="E6572">
        <v>0.46390219999999999</v>
      </c>
      <c r="F6572" t="s">
        <v>97</v>
      </c>
      <c r="G6572">
        <v>-214.3134</v>
      </c>
      <c r="H6572" s="1">
        <v>-8.2230549999999999E-7</v>
      </c>
      <c r="I6572">
        <v>-60.367620000000002</v>
      </c>
      <c r="J6572">
        <v>-221.56880000000001</v>
      </c>
      <c r="K6572">
        <v>1.1125350000000001</v>
      </c>
      <c r="L6572">
        <v>-62.99286</v>
      </c>
      <c r="M6572">
        <v>0.99720750000000002</v>
      </c>
      <c r="N6572">
        <v>0</v>
      </c>
      <c r="O6572">
        <v>7.3892050000000001E-2</v>
      </c>
      <c r="P6572">
        <v>0.96827969999999997</v>
      </c>
      <c r="Q6572">
        <v>5.9828260000000001E-2</v>
      </c>
      <c r="R6572">
        <v>0.2426005</v>
      </c>
      <c r="S6572">
        <v>2.86937</v>
      </c>
      <c r="T6572">
        <v>-0.4316876</v>
      </c>
      <c r="U6572">
        <v>1.0231629999999901</v>
      </c>
      <c r="V6572">
        <v>-0.17083219999999999</v>
      </c>
      <c r="W6572">
        <v>6.9392490000000001E-2</v>
      </c>
      <c r="X6572">
        <v>0.98285350000000005</v>
      </c>
      <c r="Y6572">
        <v>-0.26346249999999999</v>
      </c>
      <c r="Z6572">
        <v>8.4388620000000001E-3</v>
      </c>
      <c r="AA6572">
        <v>0.96463270000000001</v>
      </c>
      <c r="AB6572">
        <v>29</v>
      </c>
      <c r="AC6572">
        <v>7.2553999999999998</v>
      </c>
      <c r="AD6572">
        <v>-1.1125358223055</v>
      </c>
      <c r="AE6572">
        <v>2.6252399999999998</v>
      </c>
      <c r="AF6572">
        <v>-2.03951142326699</v>
      </c>
      <c r="AG6572">
        <v>-1.1125358223055</v>
      </c>
      <c r="AH6572">
        <v>7.2782381379117203</v>
      </c>
      <c r="AI6572">
        <v>98.3731406170496</v>
      </c>
      <c r="AJ6572">
        <v>105.653960250642</v>
      </c>
      <c r="AK6572">
        <v>7.6400322770065703</v>
      </c>
      <c r="AL6572">
        <v>86.020905312913797</v>
      </c>
      <c r="AM6572">
        <v>99.8602138969094</v>
      </c>
      <c r="AN6572">
        <v>0.99999998034374404</v>
      </c>
    </row>
    <row r="6573" spans="1:40" x14ac:dyDescent="0.25">
      <c r="A6573" t="str">
        <f>"20190312151152549"</f>
        <v>20190312151152549</v>
      </c>
      <c r="B6573" t="str">
        <f>"1552374712538286"</f>
        <v>1552374712538286</v>
      </c>
      <c r="C6573" t="s">
        <v>40</v>
      </c>
      <c r="D6573">
        <v>5.4895839999999998</v>
      </c>
      <c r="E6573">
        <v>0.46437040000000002</v>
      </c>
      <c r="F6573" t="s">
        <v>97</v>
      </c>
      <c r="G6573">
        <v>-214.2285</v>
      </c>
      <c r="H6573" s="1">
        <v>-7.8735309999999999E-7</v>
      </c>
      <c r="I6573">
        <v>-60.359360000000002</v>
      </c>
      <c r="J6573">
        <v>-221.42939999999999</v>
      </c>
      <c r="K6573">
        <v>1.1125769999999999</v>
      </c>
      <c r="L6573">
        <v>-62.980800000000002</v>
      </c>
      <c r="M6573">
        <v>0.99707979999999996</v>
      </c>
      <c r="N6573">
        <v>0</v>
      </c>
      <c r="O6573">
        <v>7.5594309999999998E-2</v>
      </c>
      <c r="P6573">
        <v>0.96777650000000004</v>
      </c>
      <c r="Q6573">
        <v>5.9555749999999998E-2</v>
      </c>
      <c r="R6573">
        <v>0.2446673</v>
      </c>
      <c r="S6573">
        <v>2.867416</v>
      </c>
      <c r="T6573">
        <v>-0.43459750000000003</v>
      </c>
      <c r="U6573">
        <v>1.0287170000000001</v>
      </c>
      <c r="V6573">
        <v>-0.171257399999999</v>
      </c>
      <c r="W6573">
        <v>6.9107089999999996E-2</v>
      </c>
      <c r="X6573">
        <v>0.9827996</v>
      </c>
      <c r="Y6573">
        <v>-0.26367000000000002</v>
      </c>
      <c r="Z6573">
        <v>8.2664709999999992E-3</v>
      </c>
      <c r="AA6573">
        <v>0.96457760000000003</v>
      </c>
      <c r="AB6573">
        <v>29</v>
      </c>
      <c r="AC6573">
        <v>7.2008999999999901</v>
      </c>
      <c r="AD6573">
        <v>-1.1125777873531</v>
      </c>
      <c r="AE6573">
        <v>2.6214400000000002</v>
      </c>
      <c r="AF6573">
        <v>-2.0268367108901102</v>
      </c>
      <c r="AG6573">
        <v>-1.1125777873531</v>
      </c>
      <c r="AH6573">
        <v>7.2261548523115096</v>
      </c>
      <c r="AI6573">
        <v>98.432365700489001</v>
      </c>
      <c r="AJ6573">
        <v>105.668075144369</v>
      </c>
      <c r="AK6573">
        <v>7.5870422652775904</v>
      </c>
      <c r="AL6573">
        <v>86.0372968394922</v>
      </c>
      <c r="AM6573">
        <v>99.884803832076599</v>
      </c>
      <c r="AN6573">
        <v>0.99999997035159305</v>
      </c>
    </row>
    <row r="6574" spans="1:40" x14ac:dyDescent="0.25">
      <c r="A6574" t="str">
        <f>"20190312151152561"</f>
        <v>20190312151152561</v>
      </c>
      <c r="B6574" t="str">
        <f>"1552374712557806"</f>
        <v>1552374712557806</v>
      </c>
      <c r="C6574" t="s">
        <v>40</v>
      </c>
      <c r="D6574">
        <v>5.2660780000000003</v>
      </c>
      <c r="E6574">
        <v>0.4645745</v>
      </c>
      <c r="F6574" t="s">
        <v>97</v>
      </c>
      <c r="G6574">
        <v>-214.05600000000001</v>
      </c>
      <c r="H6574" s="1">
        <v>-7.1901769999999996E-7</v>
      </c>
      <c r="I6574">
        <v>-60.327480000000001</v>
      </c>
      <c r="J6574">
        <v>-221.2747</v>
      </c>
      <c r="K6574">
        <v>1.112628</v>
      </c>
      <c r="L6574">
        <v>-62.967219999999998</v>
      </c>
      <c r="M6574">
        <v>0.99693330000000002</v>
      </c>
      <c r="N6574">
        <v>0</v>
      </c>
      <c r="O6574">
        <v>7.7500029999999998E-2</v>
      </c>
      <c r="P6574">
        <v>0.96721349999999995</v>
      </c>
      <c r="Q6574">
        <v>5.9289710000000002E-2</v>
      </c>
      <c r="R6574">
        <v>0.2469471</v>
      </c>
      <c r="S6574">
        <v>2.8658139999999999</v>
      </c>
      <c r="T6574">
        <v>-0.4324286</v>
      </c>
      <c r="U6574">
        <v>1.03125</v>
      </c>
      <c r="V6574">
        <v>-0.17169980000000001</v>
      </c>
      <c r="W6574">
        <v>6.8826890000000002E-2</v>
      </c>
      <c r="X6574">
        <v>0.98274209999999995</v>
      </c>
      <c r="Y6574">
        <v>-0.2627988</v>
      </c>
      <c r="Z6574">
        <v>7.8905090000000004E-3</v>
      </c>
      <c r="AA6574">
        <v>0.96481839999999996</v>
      </c>
      <c r="AB6574">
        <v>29</v>
      </c>
      <c r="AC6574">
        <v>7.2187000000000099</v>
      </c>
      <c r="AD6574">
        <v>-1.1126287190177</v>
      </c>
      <c r="AE6574">
        <v>2.63973999999999</v>
      </c>
      <c r="AF6574">
        <v>-2.02978427708068</v>
      </c>
      <c r="AG6574">
        <v>-1.1126287190177</v>
      </c>
      <c r="AH6574">
        <v>7.2496654986370803</v>
      </c>
      <c r="AI6574">
        <v>98.406873175632896</v>
      </c>
      <c r="AJ6574">
        <v>105.641351898026</v>
      </c>
      <c r="AK6574">
        <v>7.6102310556247703</v>
      </c>
      <c r="AL6574">
        <v>86.053389546540302</v>
      </c>
      <c r="AM6574">
        <v>99.910401459799004</v>
      </c>
      <c r="AN6574">
        <v>0.99999999860976096</v>
      </c>
    </row>
    <row r="6575" spans="1:40" x14ac:dyDescent="0.25">
      <c r="A6575" t="str">
        <f>"20190312151152572"</f>
        <v>20190312151152572</v>
      </c>
      <c r="B6575" t="str">
        <f>"1552374712567567"</f>
        <v>1552374712567567</v>
      </c>
      <c r="C6575" t="s">
        <v>40</v>
      </c>
      <c r="D6575">
        <v>5.4831820000000002</v>
      </c>
      <c r="E6575">
        <v>0.46472039999999998</v>
      </c>
      <c r="F6575" t="s">
        <v>97</v>
      </c>
      <c r="G6575">
        <v>-213.83029999999999</v>
      </c>
      <c r="H6575" s="1">
        <v>-6.3190359999999997E-7</v>
      </c>
      <c r="I6575">
        <v>-60.272779999999997</v>
      </c>
      <c r="J6575">
        <v>-221.1371</v>
      </c>
      <c r="K6575">
        <v>1.1126720000000001</v>
      </c>
      <c r="L6575">
        <v>-62.954830000000001</v>
      </c>
      <c r="M6575">
        <v>0.99679739999999994</v>
      </c>
      <c r="N6575">
        <v>0</v>
      </c>
      <c r="O6575">
        <v>7.9227259999999994E-2</v>
      </c>
      <c r="P6575">
        <v>0.96676580000000001</v>
      </c>
      <c r="Q6575">
        <v>5.8856550000000001E-2</v>
      </c>
      <c r="R6575">
        <v>0.24879660000000001</v>
      </c>
      <c r="S6575">
        <v>2.863327</v>
      </c>
      <c r="T6575">
        <v>-0.42795169999999999</v>
      </c>
      <c r="U6575">
        <v>1.036346</v>
      </c>
      <c r="V6575">
        <v>-0.17187939999999999</v>
      </c>
      <c r="W6575">
        <v>6.8382090000000006E-2</v>
      </c>
      <c r="X6575">
        <v>0.9827418</v>
      </c>
      <c r="Y6575">
        <v>-0.26296599999999998</v>
      </c>
      <c r="Z6575">
        <v>7.5792569999999998E-3</v>
      </c>
      <c r="AA6575">
        <v>0.9647753</v>
      </c>
      <c r="AB6575">
        <v>29</v>
      </c>
      <c r="AC6575">
        <v>7.3068000000000097</v>
      </c>
      <c r="AD6575">
        <v>-1.11267263190359</v>
      </c>
      <c r="AE6575">
        <v>2.6820499999999901</v>
      </c>
      <c r="AF6575">
        <v>-2.0527375040705098</v>
      </c>
      <c r="AG6575">
        <v>-1.11267263190359</v>
      </c>
      <c r="AH6575">
        <v>7.3462092234905496</v>
      </c>
      <c r="AI6575">
        <v>98.299439847933101</v>
      </c>
      <c r="AJ6575">
        <v>105.61185827604901</v>
      </c>
      <c r="AK6575">
        <v>7.7083436354188697</v>
      </c>
      <c r="AL6575">
        <v>86.078935066080305</v>
      </c>
      <c r="AM6575">
        <v>99.920564979279604</v>
      </c>
      <c r="AN6575">
        <v>1.0000000419221799</v>
      </c>
    </row>
    <row r="6576" spans="1:40" x14ac:dyDescent="0.25">
      <c r="A6576" t="str">
        <f>"20190312151152584"</f>
        <v>20190312151152584</v>
      </c>
      <c r="B6576" t="str">
        <f>"1552374712577326"</f>
        <v>1552374712577326</v>
      </c>
      <c r="C6576" t="s">
        <v>40</v>
      </c>
      <c r="D6576">
        <v>5.2454609999999997</v>
      </c>
      <c r="E6576">
        <v>0.46487410000000001</v>
      </c>
      <c r="F6576" t="s">
        <v>97</v>
      </c>
      <c r="G6576">
        <v>-213.68049999999999</v>
      </c>
      <c r="H6576" s="1">
        <v>-5.7299810000000005E-7</v>
      </c>
      <c r="I6576">
        <v>-60.242370000000001</v>
      </c>
      <c r="J6576">
        <v>-220.99010000000001</v>
      </c>
      <c r="K6576">
        <v>1.112717</v>
      </c>
      <c r="L6576">
        <v>-62.941310000000001</v>
      </c>
      <c r="M6576">
        <v>0.99664660000000005</v>
      </c>
      <c r="N6576">
        <v>0</v>
      </c>
      <c r="O6576">
        <v>8.1102919999999995E-2</v>
      </c>
      <c r="P6576">
        <v>0.96622629999999998</v>
      </c>
      <c r="Q6576">
        <v>5.8371439999999997E-2</v>
      </c>
      <c r="R6576">
        <v>0.25099690000000002</v>
      </c>
      <c r="S6576">
        <v>2.8612669999999998</v>
      </c>
      <c r="T6576">
        <v>-0.42695470000000002</v>
      </c>
      <c r="U6576">
        <v>1.040802</v>
      </c>
      <c r="V6576">
        <v>-0.17226949999999999</v>
      </c>
      <c r="W6576">
        <v>6.7884E-2</v>
      </c>
      <c r="X6576">
        <v>0.98270800000000003</v>
      </c>
      <c r="Y6576">
        <v>-0.26272889999999999</v>
      </c>
      <c r="Z6576">
        <v>7.2807459999999899E-3</v>
      </c>
      <c r="AA6576">
        <v>0.96484219999999998</v>
      </c>
      <c r="AB6576">
        <v>29</v>
      </c>
      <c r="AC6576">
        <v>7.3096000000000103</v>
      </c>
      <c r="AD6576">
        <v>-1.1127175729981</v>
      </c>
      <c r="AE6576">
        <v>2.6989399999999999</v>
      </c>
      <c r="AF6576">
        <v>-2.0552703175528202</v>
      </c>
      <c r="AG6576">
        <v>-1.1127175729981</v>
      </c>
      <c r="AH6576">
        <v>7.3544443412618596</v>
      </c>
      <c r="AI6576">
        <v>98.290539245812397</v>
      </c>
      <c r="AJ6576">
        <v>105.613532545483</v>
      </c>
      <c r="AK6576">
        <v>7.7168729446707198</v>
      </c>
      <c r="AL6576">
        <v>86.107539888534205</v>
      </c>
      <c r="AM6576">
        <v>99.942967178782396</v>
      </c>
      <c r="AN6576">
        <v>1.0000000156751201</v>
      </c>
    </row>
    <row r="6577" spans="1:40" x14ac:dyDescent="0.25">
      <c r="A6577" t="str">
        <f>"20190312151152594"</f>
        <v>20190312151152594</v>
      </c>
      <c r="B6577" t="str">
        <f>"1552374712588062"</f>
        <v>1552374712588062</v>
      </c>
      <c r="C6577" t="s">
        <v>40</v>
      </c>
      <c r="D6577">
        <v>5.2716699999999896</v>
      </c>
      <c r="E6577">
        <v>0.46499170000000001</v>
      </c>
      <c r="F6577" t="s">
        <v>97</v>
      </c>
      <c r="G6577">
        <v>-213.5385</v>
      </c>
      <c r="H6577" s="1">
        <v>-5.1700229999999996E-7</v>
      </c>
      <c r="I6577">
        <v>-60.214709999999997</v>
      </c>
      <c r="J6577">
        <v>-220.8484</v>
      </c>
      <c r="K6577">
        <v>1.1127640000000001</v>
      </c>
      <c r="L6577">
        <v>-62.928040000000003</v>
      </c>
      <c r="M6577">
        <v>0.99649569999999998</v>
      </c>
      <c r="N6577">
        <v>0</v>
      </c>
      <c r="O6577">
        <v>8.2934279999999999E-2</v>
      </c>
      <c r="P6577">
        <v>0.96570219999999996</v>
      </c>
      <c r="Q6577">
        <v>5.8016669999999999E-2</v>
      </c>
      <c r="R6577">
        <v>0.25308799999999998</v>
      </c>
      <c r="S6577">
        <v>2.8589169999999999</v>
      </c>
      <c r="T6577">
        <v>-0.42691249999999997</v>
      </c>
      <c r="U6577">
        <v>1.046082</v>
      </c>
      <c r="V6577">
        <v>-0.17259479999999999</v>
      </c>
      <c r="W6577">
        <v>6.7517679999999997E-2</v>
      </c>
      <c r="X6577">
        <v>0.98267610000000005</v>
      </c>
      <c r="Y6577">
        <v>-0.26280009999999998</v>
      </c>
      <c r="Z6577">
        <v>7.0277350000000002E-3</v>
      </c>
      <c r="AA6577">
        <v>0.96482469999999998</v>
      </c>
      <c r="AB6577">
        <v>29</v>
      </c>
      <c r="AC6577">
        <v>7.3098999999999901</v>
      </c>
      <c r="AD6577">
        <v>-1.1127645170022999</v>
      </c>
      <c r="AE6577">
        <v>2.71333</v>
      </c>
      <c r="AF6577">
        <v>-2.0558333494207499</v>
      </c>
      <c r="AG6577">
        <v>-1.1127645170022999</v>
      </c>
      <c r="AH6577">
        <v>7.3598581157362499</v>
      </c>
      <c r="AI6577">
        <v>98.285143493731496</v>
      </c>
      <c r="AJ6577">
        <v>105.606673127134</v>
      </c>
      <c r="AK6577">
        <v>7.7221892695438799</v>
      </c>
      <c r="AL6577">
        <v>86.128576527218598</v>
      </c>
      <c r="AM6577">
        <v>99.961683852633598</v>
      </c>
      <c r="AN6577">
        <v>0.99999995980541501</v>
      </c>
    </row>
    <row r="6578" spans="1:40" x14ac:dyDescent="0.25">
      <c r="A6578" t="str">
        <f>"20190312151152605"</f>
        <v>20190312151152605</v>
      </c>
      <c r="B6578" t="str">
        <f>"1552374712597822"</f>
        <v>1552374712597822</v>
      </c>
      <c r="C6578" t="s">
        <v>40</v>
      </c>
      <c r="D6578">
        <v>5.2807219999999999</v>
      </c>
      <c r="E6578">
        <v>0.46514139999999998</v>
      </c>
      <c r="F6578" t="s">
        <v>97</v>
      </c>
      <c r="G6578">
        <v>-213.38040000000001</v>
      </c>
      <c r="H6578" s="1">
        <v>-4.5553040000000002E-7</v>
      </c>
      <c r="I6578">
        <v>-60.178840000000001</v>
      </c>
      <c r="J6578">
        <v>-220.708</v>
      </c>
      <c r="K6578">
        <v>1.112811</v>
      </c>
      <c r="L6578">
        <v>-62.914520000000003</v>
      </c>
      <c r="M6578">
        <v>0.99633919999999998</v>
      </c>
      <c r="N6578">
        <v>0</v>
      </c>
      <c r="O6578">
        <v>8.4790969999999993E-2</v>
      </c>
      <c r="P6578">
        <v>0.96515450000000003</v>
      </c>
      <c r="Q6578">
        <v>5.7691039999999999E-2</v>
      </c>
      <c r="R6578">
        <v>0.25524219999999997</v>
      </c>
      <c r="S6578">
        <v>2.8565369999999999</v>
      </c>
      <c r="T6578">
        <v>-0.42563079999999998</v>
      </c>
      <c r="U6578">
        <v>1.051544</v>
      </c>
      <c r="V6578">
        <v>-0.17296</v>
      </c>
      <c r="W6578">
        <v>6.7181329999999997E-2</v>
      </c>
      <c r="X6578">
        <v>0.98263500000000004</v>
      </c>
      <c r="Y6578">
        <v>-0.2629146</v>
      </c>
      <c r="Z6578">
        <v>6.7546630000000002E-3</v>
      </c>
      <c r="AA6578">
        <v>0.96479550000000003</v>
      </c>
      <c r="AB6578">
        <v>29</v>
      </c>
      <c r="AC6578">
        <v>7.3275999999999897</v>
      </c>
      <c r="AD6578">
        <v>-1.1128114555303901</v>
      </c>
      <c r="AE6578">
        <v>2.7356799999999901</v>
      </c>
      <c r="AF6578">
        <v>-2.06272247954896</v>
      </c>
      <c r="AG6578">
        <v>-1.1128114555303901</v>
      </c>
      <c r="AH6578">
        <v>7.3837229190205402</v>
      </c>
      <c r="AI6578">
        <v>98.259015016976207</v>
      </c>
      <c r="AJ6578">
        <v>105.60827801175699</v>
      </c>
      <c r="AK6578">
        <v>7.7467759428077896</v>
      </c>
      <c r="AL6578">
        <v>86.147892044341702</v>
      </c>
      <c r="AM6578">
        <v>99.982747761269096</v>
      </c>
      <c r="AN6578">
        <v>1.0000000179627799</v>
      </c>
    </row>
    <row r="6579" spans="1:40" x14ac:dyDescent="0.25">
      <c r="A6579" t="str">
        <f>"20190312151152616"</f>
        <v>20190312151152616</v>
      </c>
      <c r="B6579" t="str">
        <f>"1552374712607583"</f>
        <v>1552374712607583</v>
      </c>
      <c r="C6579" t="s">
        <v>40</v>
      </c>
      <c r="D6579">
        <v>5.2608509999999997</v>
      </c>
      <c r="E6579">
        <v>0.46528009999999997</v>
      </c>
      <c r="F6579" t="s">
        <v>97</v>
      </c>
      <c r="G6579">
        <v>-213.2253</v>
      </c>
      <c r="H6579" s="1">
        <v>-3.9530209999999999E-7</v>
      </c>
      <c r="I6579">
        <v>-60.143340000000002</v>
      </c>
      <c r="J6579">
        <v>-220.55940000000001</v>
      </c>
      <c r="K6579">
        <v>1.11286</v>
      </c>
      <c r="L6579">
        <v>-62.900019999999998</v>
      </c>
      <c r="M6579">
        <v>0.99616870000000002</v>
      </c>
      <c r="N6579">
        <v>0</v>
      </c>
      <c r="O6579">
        <v>8.6771290000000001E-2</v>
      </c>
      <c r="P6579">
        <v>0.96458860000000002</v>
      </c>
      <c r="Q6579">
        <v>5.7347860000000001E-2</v>
      </c>
      <c r="R6579">
        <v>0.25745000000000001</v>
      </c>
      <c r="S6579">
        <v>2.8541720000000002</v>
      </c>
      <c r="T6579">
        <v>-0.42446669999999997</v>
      </c>
      <c r="U6579">
        <v>1.057007</v>
      </c>
      <c r="V6579">
        <v>-0.17325929999999901</v>
      </c>
      <c r="W6579">
        <v>6.6827830000000005E-2</v>
      </c>
      <c r="X6579">
        <v>0.98260639999999999</v>
      </c>
      <c r="Y6579">
        <v>-0.26290920000000001</v>
      </c>
      <c r="Z6579">
        <v>6.4585800000000002E-3</v>
      </c>
      <c r="AA6579">
        <v>0.96479899999999996</v>
      </c>
      <c r="AB6579">
        <v>29</v>
      </c>
      <c r="AC6579">
        <v>7.3341000000000003</v>
      </c>
      <c r="AD6579">
        <v>-1.1128603953020999</v>
      </c>
      <c r="AE6579">
        <v>2.75667999999999</v>
      </c>
      <c r="AF6579">
        <v>-2.0681313625311999</v>
      </c>
      <c r="AG6579">
        <v>-1.1128603953020999</v>
      </c>
      <c r="AH6579">
        <v>7.3964323585729099</v>
      </c>
      <c r="AI6579">
        <v>98.244846626421904</v>
      </c>
      <c r="AJ6579">
        <v>105.621630648687</v>
      </c>
      <c r="AK6579">
        <v>7.7603374428604299</v>
      </c>
      <c r="AL6579">
        <v>86.168191809169002</v>
      </c>
      <c r="AM6579">
        <v>99.999959297626603</v>
      </c>
      <c r="AN6579">
        <v>1.0000000406099701</v>
      </c>
    </row>
    <row r="6580" spans="1:40" x14ac:dyDescent="0.25">
      <c r="A6580" t="str">
        <f>"20190312151152628"</f>
        <v>20190312151152628</v>
      </c>
      <c r="B6580" t="str">
        <f>"1552374712617343"</f>
        <v>1552374712617343</v>
      </c>
      <c r="C6580" t="s">
        <v>40</v>
      </c>
      <c r="D6580">
        <v>5.2725439999999999</v>
      </c>
      <c r="E6580">
        <v>0.46541719999999998</v>
      </c>
      <c r="F6580" t="s">
        <v>97</v>
      </c>
      <c r="G6580">
        <v>-213.07660000000001</v>
      </c>
      <c r="H6580" s="1">
        <v>-3.3710880000000002E-7</v>
      </c>
      <c r="I6580">
        <v>-60.111849999999997</v>
      </c>
      <c r="J6580">
        <v>-220.4194</v>
      </c>
      <c r="K6580">
        <v>1.112905</v>
      </c>
      <c r="L6580">
        <v>-62.885829999999999</v>
      </c>
      <c r="M6580">
        <v>0.99599950000000004</v>
      </c>
      <c r="N6580">
        <v>0</v>
      </c>
      <c r="O6580">
        <v>8.8689539999999997E-2</v>
      </c>
      <c r="P6580">
        <v>0.96399710000000005</v>
      </c>
      <c r="Q6580">
        <v>5.699982E-2</v>
      </c>
      <c r="R6580">
        <v>0.25973190000000002</v>
      </c>
      <c r="S6580">
        <v>2.851715</v>
      </c>
      <c r="T6580">
        <v>-0.42411569999999998</v>
      </c>
      <c r="U6580">
        <v>1.0625610000000001</v>
      </c>
      <c r="V6580">
        <v>-0.17369599999999999</v>
      </c>
      <c r="W6580">
        <v>6.6468630000000001E-2</v>
      </c>
      <c r="X6580">
        <v>0.98255360000000003</v>
      </c>
      <c r="Y6580">
        <v>-0.26299309999999998</v>
      </c>
      <c r="Z6580">
        <v>6.19091E-3</v>
      </c>
      <c r="AA6580">
        <v>0.96477780000000002</v>
      </c>
      <c r="AB6580">
        <v>29</v>
      </c>
      <c r="AC6580">
        <v>7.34279999999998</v>
      </c>
      <c r="AD6580">
        <v>-1.1129053371088</v>
      </c>
      <c r="AE6580">
        <v>2.7739799999999999</v>
      </c>
      <c r="AF6580">
        <v>-2.07016318729683</v>
      </c>
      <c r="AG6580">
        <v>-1.1129053371088</v>
      </c>
      <c r="AH6580">
        <v>7.4109194196583204</v>
      </c>
      <c r="AI6580">
        <v>98.2298513028408</v>
      </c>
      <c r="AJ6580">
        <v>105.607152588155</v>
      </c>
      <c r="AK6580">
        <v>7.7746935988547499</v>
      </c>
      <c r="AL6580">
        <v>86.188818075909893</v>
      </c>
      <c r="AM6580">
        <v>100.025181342262</v>
      </c>
      <c r="AN6580">
        <v>0.99999997803151797</v>
      </c>
    </row>
    <row r="6581" spans="1:40" x14ac:dyDescent="0.25">
      <c r="A6581" t="str">
        <f>"20190312151152639"</f>
        <v>20190312151152639</v>
      </c>
      <c r="B6581" t="str">
        <f>"1552374712628079"</f>
        <v>1552374712628079</v>
      </c>
      <c r="C6581" t="s">
        <v>40</v>
      </c>
      <c r="D6581">
        <v>5.2151399999999999</v>
      </c>
      <c r="E6581">
        <v>0.46550180000000002</v>
      </c>
      <c r="F6581" t="s">
        <v>97</v>
      </c>
      <c r="G6581">
        <v>-212.92740000000001</v>
      </c>
      <c r="H6581" s="1">
        <v>-2.7939190000000003E-7</v>
      </c>
      <c r="I6581">
        <v>-60.076250000000002</v>
      </c>
      <c r="J6581">
        <v>-220.26939999999999</v>
      </c>
      <c r="K6581">
        <v>1.1129549999999999</v>
      </c>
      <c r="L6581">
        <v>-62.870539999999998</v>
      </c>
      <c r="M6581">
        <v>0.99581299999999995</v>
      </c>
      <c r="N6581">
        <v>0</v>
      </c>
      <c r="O6581">
        <v>9.0757710000000005E-2</v>
      </c>
      <c r="P6581">
        <v>0.96340009999999998</v>
      </c>
      <c r="Q6581">
        <v>5.6889040000000002E-2</v>
      </c>
      <c r="R6581">
        <v>0.26196209999999998</v>
      </c>
      <c r="S6581">
        <v>2.8492130000000002</v>
      </c>
      <c r="T6581">
        <v>-0.423234</v>
      </c>
      <c r="U6581">
        <v>1.068451</v>
      </c>
      <c r="V6581">
        <v>-0.1739368</v>
      </c>
      <c r="W6581">
        <v>6.6347290000000003E-2</v>
      </c>
      <c r="X6581">
        <v>0.98251920000000004</v>
      </c>
      <c r="Y6581">
        <v>-0.26304260000000002</v>
      </c>
      <c r="Z6581">
        <v>5.8925139999999997E-3</v>
      </c>
      <c r="AA6581">
        <v>0.96476620000000002</v>
      </c>
      <c r="AB6581">
        <v>29</v>
      </c>
      <c r="AC6581">
        <v>7.3419999999999801</v>
      </c>
      <c r="AD6581">
        <v>-1.11295527939189</v>
      </c>
      <c r="AE6581">
        <v>2.7942900000000002</v>
      </c>
      <c r="AF6581">
        <v>-2.0747308215112099</v>
      </c>
      <c r="AG6581">
        <v>-1.11295527939189</v>
      </c>
      <c r="AH6581">
        <v>7.4164555020963698</v>
      </c>
      <c r="AI6581">
        <v>98.223299386137995</v>
      </c>
      <c r="AJ6581">
        <v>105.628801044008</v>
      </c>
      <c r="AK6581">
        <v>7.7811946158819598</v>
      </c>
      <c r="AL6581">
        <v>86.195785718259202</v>
      </c>
      <c r="AM6581">
        <v>100.039141376329</v>
      </c>
      <c r="AN6581">
        <v>0.99999997582661104</v>
      </c>
    </row>
    <row r="6582" spans="1:40" x14ac:dyDescent="0.25">
      <c r="A6582" t="str">
        <f>"20190312151152651"</f>
        <v>20190312151152651</v>
      </c>
      <c r="B6582" t="str">
        <f>"1552374712647598"</f>
        <v>1552374712647598</v>
      </c>
      <c r="C6582" t="s">
        <v>40</v>
      </c>
      <c r="D6582">
        <v>5.231382</v>
      </c>
      <c r="E6582">
        <v>0.46572000000000002</v>
      </c>
      <c r="F6582" t="s">
        <v>97</v>
      </c>
      <c r="G6582">
        <v>-212.81389999999999</v>
      </c>
      <c r="H6582" s="1">
        <v>-2.3427080000000001E-7</v>
      </c>
      <c r="I6582">
        <v>-60.0561199999999</v>
      </c>
      <c r="J6582">
        <v>-220.11150000000001</v>
      </c>
      <c r="K6582">
        <v>1.1130089999999999</v>
      </c>
      <c r="L6582">
        <v>-62.853909999999999</v>
      </c>
      <c r="M6582">
        <v>0.99560709999999997</v>
      </c>
      <c r="N6582">
        <v>0</v>
      </c>
      <c r="O6582">
        <v>9.298795E-2</v>
      </c>
      <c r="P6582">
        <v>0.96272919999999995</v>
      </c>
      <c r="Q6582">
        <v>5.6536379999999997E-2</v>
      </c>
      <c r="R6582">
        <v>0.26449240000000002</v>
      </c>
      <c r="S6582">
        <v>2.8468629999999999</v>
      </c>
      <c r="T6582">
        <v>-0.42497400000000002</v>
      </c>
      <c r="U6582">
        <v>1.074646</v>
      </c>
      <c r="V6582">
        <v>-0.1743219</v>
      </c>
      <c r="W6582">
        <v>6.5981419999999999E-2</v>
      </c>
      <c r="X6582">
        <v>0.9824756</v>
      </c>
      <c r="Y6582">
        <v>-0.26299109999999998</v>
      </c>
      <c r="Z6582">
        <v>5.5988979999999997E-3</v>
      </c>
      <c r="AA6582">
        <v>0.96478200000000003</v>
      </c>
      <c r="AB6582">
        <v>29</v>
      </c>
      <c r="AC6582">
        <v>7.2976000000000099</v>
      </c>
      <c r="AD6582">
        <v>-1.1130092342708</v>
      </c>
      <c r="AE6582">
        <v>2.79779</v>
      </c>
      <c r="AF6582">
        <v>-2.06515438173696</v>
      </c>
      <c r="AG6582">
        <v>-1.1130092342708</v>
      </c>
      <c r="AH6582">
        <v>7.3765530802129602</v>
      </c>
      <c r="AI6582">
        <v>98.267109204093401</v>
      </c>
      <c r="AJ6582">
        <v>105.640226246883</v>
      </c>
      <c r="AK6582">
        <v>7.7406193241354302</v>
      </c>
      <c r="AL6582">
        <v>86.216794610007497</v>
      </c>
      <c r="AM6582">
        <v>100.06135201900901</v>
      </c>
      <c r="AN6582">
        <v>0.99999998860009298</v>
      </c>
    </row>
    <row r="6583" spans="1:40" x14ac:dyDescent="0.25">
      <c r="A6583" t="str">
        <f>"20190312151152662"</f>
        <v>20190312151152662</v>
      </c>
      <c r="B6583" t="str">
        <f>"1552374712657358"</f>
        <v>1552374712657358</v>
      </c>
      <c r="C6583" t="s">
        <v>40</v>
      </c>
      <c r="D6583">
        <v>5.2112749999999997</v>
      </c>
      <c r="E6583">
        <v>0.46582780000000001</v>
      </c>
      <c r="F6583" t="s">
        <v>97</v>
      </c>
      <c r="G6583">
        <v>-212.73070000000001</v>
      </c>
      <c r="H6583" s="1">
        <v>-1.9980999999999999E-7</v>
      </c>
      <c r="I6583">
        <v>-60.049230000000001</v>
      </c>
      <c r="J6583">
        <v>-219.98660000000001</v>
      </c>
      <c r="K6583">
        <v>1.1130439999999999</v>
      </c>
      <c r="L6583">
        <v>-62.84055</v>
      </c>
      <c r="M6583">
        <v>0.99543910000000002</v>
      </c>
      <c r="N6583">
        <v>0</v>
      </c>
      <c r="O6583">
        <v>9.476706E-2</v>
      </c>
      <c r="P6583">
        <v>0.96223910000000001</v>
      </c>
      <c r="Q6583">
        <v>5.6379789999999999E-2</v>
      </c>
      <c r="R6583">
        <v>0.2663027</v>
      </c>
      <c r="S6583">
        <v>2.8443909999999999</v>
      </c>
      <c r="T6583">
        <v>-0.42892970000000002</v>
      </c>
      <c r="U6583">
        <v>1.0808409999999999</v>
      </c>
      <c r="V6583">
        <v>-0.17441889999999999</v>
      </c>
      <c r="W6583">
        <v>6.581679E-2</v>
      </c>
      <c r="X6583">
        <v>0.98246940000000005</v>
      </c>
      <c r="Y6583">
        <v>-0.26336459999999901</v>
      </c>
      <c r="Z6583">
        <v>5.4254809999999898E-3</v>
      </c>
      <c r="AA6583">
        <v>0.96468109999999996</v>
      </c>
      <c r="AB6583">
        <v>29</v>
      </c>
      <c r="AC6583">
        <v>7.2558999999999898</v>
      </c>
      <c r="AD6583">
        <v>-1.11304419981</v>
      </c>
      <c r="AE6583">
        <v>2.79131999999999</v>
      </c>
      <c r="AF6583">
        <v>-2.04909289743699</v>
      </c>
      <c r="AG6583">
        <v>-1.11304419981</v>
      </c>
      <c r="AH6583">
        <v>7.3373828579611198</v>
      </c>
      <c r="AI6583">
        <v>98.312361294019595</v>
      </c>
      <c r="AJ6583">
        <v>105.603323463343</v>
      </c>
      <c r="AK6583">
        <v>7.6990152810186796</v>
      </c>
      <c r="AL6583">
        <v>86.226247663046905</v>
      </c>
      <c r="AM6583">
        <v>100.06689832568701</v>
      </c>
      <c r="AN6583">
        <v>0.99999996222973597</v>
      </c>
    </row>
    <row r="6584" spans="1:40" x14ac:dyDescent="0.25">
      <c r="A6584" t="str">
        <f>"20190312151152674"</f>
        <v>20190312151152674</v>
      </c>
      <c r="B6584" t="str">
        <f>"1552374712668094"</f>
        <v>1552374712668094</v>
      </c>
      <c r="C6584" t="s">
        <v>40</v>
      </c>
      <c r="D6584">
        <v>5.2259840000000004</v>
      </c>
      <c r="E6584">
        <v>0.46590189999999998</v>
      </c>
      <c r="F6584" t="s">
        <v>97</v>
      </c>
      <c r="G6584">
        <v>-212.63749999999999</v>
      </c>
      <c r="H6584" s="1">
        <v>-1.6271359999999999E-7</v>
      </c>
      <c r="I6584">
        <v>-60.03304</v>
      </c>
      <c r="J6584">
        <v>-219.82220000000001</v>
      </c>
      <c r="K6584">
        <v>1.113097</v>
      </c>
      <c r="L6584">
        <v>-62.822569999999899</v>
      </c>
      <c r="M6584">
        <v>0.99521000000000004</v>
      </c>
      <c r="N6584">
        <v>0</v>
      </c>
      <c r="O6584">
        <v>9.7143930000000003E-2</v>
      </c>
      <c r="P6584">
        <v>0.96153040000000001</v>
      </c>
      <c r="Q6584">
        <v>5.601971E-2</v>
      </c>
      <c r="R6584">
        <v>0.2689261</v>
      </c>
      <c r="S6584">
        <v>2.842438</v>
      </c>
      <c r="T6584">
        <v>-0.4304963</v>
      </c>
      <c r="U6584">
        <v>1.0858460000000001</v>
      </c>
      <c r="V6584">
        <v>-0.17475579999999999</v>
      </c>
      <c r="W6584">
        <v>6.5444219999999997E-2</v>
      </c>
      <c r="X6584">
        <v>0.98243449999999999</v>
      </c>
      <c r="Y6584">
        <v>-0.26278190000000001</v>
      </c>
      <c r="Z6584">
        <v>5.0630600000000003E-3</v>
      </c>
      <c r="AA6584">
        <v>0.96484199999999998</v>
      </c>
      <c r="AB6584">
        <v>29</v>
      </c>
      <c r="AC6584">
        <v>7.1847000000000198</v>
      </c>
      <c r="AD6584">
        <v>-1.1130971627135999</v>
      </c>
      <c r="AE6584">
        <v>2.7895299999999899</v>
      </c>
      <c r="AF6584">
        <v>-2.0358789225899399</v>
      </c>
      <c r="AG6584">
        <v>-1.1130971627135999</v>
      </c>
      <c r="AH6584">
        <v>7.2700787204591197</v>
      </c>
      <c r="AI6584">
        <v>98.386971469565097</v>
      </c>
      <c r="AJ6584">
        <v>105.64412374737</v>
      </c>
      <c r="AK6584">
        <v>7.6313716252558104</v>
      </c>
      <c r="AL6584">
        <v>86.247640772248005</v>
      </c>
      <c r="AM6584">
        <v>100.08629520391599</v>
      </c>
      <c r="AN6584">
        <v>1.00000004117764</v>
      </c>
    </row>
    <row r="6585" spans="1:40" x14ac:dyDescent="0.25">
      <c r="A6585" t="str">
        <f>"20190312151152687"</f>
        <v>20190312151152687</v>
      </c>
      <c r="B6585" t="str">
        <f>"1552374712677856"</f>
        <v>1552374712677856</v>
      </c>
      <c r="C6585" t="s">
        <v>40</v>
      </c>
      <c r="D6585">
        <v>5.2373469999999998</v>
      </c>
      <c r="E6585">
        <v>0.4659314</v>
      </c>
      <c r="F6585" t="s">
        <v>97</v>
      </c>
      <c r="G6585">
        <v>-212.51509999999999</v>
      </c>
      <c r="H6585" s="1">
        <v>-1.1451139999999999E-7</v>
      </c>
      <c r="I6585">
        <v>-60.008819999999901</v>
      </c>
      <c r="J6585">
        <v>-219.65940000000001</v>
      </c>
      <c r="K6585">
        <v>1.113146</v>
      </c>
      <c r="L6585">
        <v>-62.804290000000002</v>
      </c>
      <c r="M6585">
        <v>0.99497310000000005</v>
      </c>
      <c r="N6585">
        <v>0</v>
      </c>
      <c r="O6585">
        <v>9.9538769999999999E-2</v>
      </c>
      <c r="P6585">
        <v>0.96077670000000004</v>
      </c>
      <c r="Q6585">
        <v>5.575633E-2</v>
      </c>
      <c r="R6585">
        <v>0.27166030000000002</v>
      </c>
      <c r="S6585">
        <v>2.8394170000000001</v>
      </c>
      <c r="T6585">
        <v>-0.4325309</v>
      </c>
      <c r="U6585">
        <v>1.093353</v>
      </c>
      <c r="V6585">
        <v>-0.175191299999999</v>
      </c>
      <c r="W6585">
        <v>6.5167299999999997E-2</v>
      </c>
      <c r="X6585">
        <v>0.98237529999999995</v>
      </c>
      <c r="Y6585">
        <v>-0.26303149999999997</v>
      </c>
      <c r="Z6585">
        <v>4.7622050000000003E-3</v>
      </c>
      <c r="AA6585">
        <v>0.96477550000000001</v>
      </c>
      <c r="AB6585">
        <v>29</v>
      </c>
      <c r="AC6585">
        <v>7.1443000000000101</v>
      </c>
      <c r="AD6585">
        <v>-1.1131461145114001</v>
      </c>
      <c r="AE6585">
        <v>2.7954699999999999</v>
      </c>
      <c r="AF6585">
        <v>-2.0277176904274499</v>
      </c>
      <c r="AG6585">
        <v>-1.1131461145114001</v>
      </c>
      <c r="AH6585">
        <v>7.2347748624236496</v>
      </c>
      <c r="AI6585">
        <v>98.427162231757194</v>
      </c>
      <c r="AJ6585">
        <v>105.656791396106</v>
      </c>
      <c r="AK6585">
        <v>7.59557111837427</v>
      </c>
      <c r="AL6585">
        <v>86.263540904616306</v>
      </c>
      <c r="AM6585">
        <v>100.111509507333</v>
      </c>
      <c r="AN6585">
        <v>0.99999999931753503</v>
      </c>
    </row>
    <row r="6586" spans="1:40" x14ac:dyDescent="0.25">
      <c r="A6586" t="str">
        <f>"20190312151152701"</f>
        <v>20190312151152701</v>
      </c>
      <c r="B6586" t="str">
        <f>"1552374712697375"</f>
        <v>1552374712697375</v>
      </c>
      <c r="C6586" t="s">
        <v>40</v>
      </c>
      <c r="D6586">
        <v>5.2585100000000002</v>
      </c>
      <c r="E6586">
        <v>0.46621230000000002</v>
      </c>
      <c r="F6586" t="s">
        <v>97</v>
      </c>
      <c r="G6586">
        <v>-212.38550000000001</v>
      </c>
      <c r="H6586" s="1">
        <v>-6.4167689999999996E-8</v>
      </c>
      <c r="I6586">
        <v>-59.979089999999999</v>
      </c>
      <c r="J6586">
        <v>-219.48269999999999</v>
      </c>
      <c r="K6586">
        <v>1.1132029999999999</v>
      </c>
      <c r="L6586">
        <v>-62.784089999999999</v>
      </c>
      <c r="M6586">
        <v>0.9947066</v>
      </c>
      <c r="N6586">
        <v>0</v>
      </c>
      <c r="O6586">
        <v>0.1021652</v>
      </c>
      <c r="P6586">
        <v>0.96002430000000005</v>
      </c>
      <c r="Q6586">
        <v>5.5675259999999997E-2</v>
      </c>
      <c r="R6586">
        <v>0.27432400000000001</v>
      </c>
      <c r="S6586">
        <v>2.8361969999999999</v>
      </c>
      <c r="T6586">
        <v>-0.4340309</v>
      </c>
      <c r="U6586">
        <v>1.1015629999999901</v>
      </c>
      <c r="V6586">
        <v>-0.1753305</v>
      </c>
      <c r="W6586">
        <v>6.5074510000000002E-2</v>
      </c>
      <c r="X6586">
        <v>0.98235660000000002</v>
      </c>
      <c r="Y6586">
        <v>-0.263293</v>
      </c>
      <c r="Z6586">
        <v>4.4201639999999999E-3</v>
      </c>
      <c r="AA6586">
        <v>0.96470579999999995</v>
      </c>
      <c r="AB6586">
        <v>29</v>
      </c>
      <c r="AC6586">
        <v>7.0971999999999804</v>
      </c>
      <c r="AD6586">
        <v>-1.11320306416769</v>
      </c>
      <c r="AE6586">
        <v>2.8050000000000002</v>
      </c>
      <c r="AF6586">
        <v>-2.02216166033906</v>
      </c>
      <c r="AG6586">
        <v>-1.11320306416769</v>
      </c>
      <c r="AH6586">
        <v>7.1935813727383602</v>
      </c>
      <c r="AI6586">
        <v>98.473339006901497</v>
      </c>
      <c r="AJ6586">
        <v>105.701012228005</v>
      </c>
      <c r="AK6586">
        <v>7.5548641158412604</v>
      </c>
      <c r="AL6586">
        <v>86.268868627227107</v>
      </c>
      <c r="AM6586">
        <v>100.119566385423</v>
      </c>
      <c r="AN6586">
        <v>0.99999998282277403</v>
      </c>
    </row>
    <row r="6587" spans="1:40" x14ac:dyDescent="0.25">
      <c r="A6587" t="str">
        <f>"20190312151152714"</f>
        <v>20190312151152714</v>
      </c>
      <c r="B6587" t="str">
        <f>"1552374712708111"</f>
        <v>1552374712708111</v>
      </c>
      <c r="C6587" t="s">
        <v>40</v>
      </c>
      <c r="D6587">
        <v>5.4890650000000001</v>
      </c>
      <c r="E6587">
        <v>0.46632780000000001</v>
      </c>
      <c r="F6587" t="s">
        <v>97</v>
      </c>
      <c r="G6587">
        <v>-212.17570000000001</v>
      </c>
      <c r="H6587" s="1">
        <v>1.668582E-8</v>
      </c>
      <c r="I6587">
        <v>-59.927610000000001</v>
      </c>
      <c r="J6587">
        <v>-219.3</v>
      </c>
      <c r="K6587">
        <v>1.1132569999999999</v>
      </c>
      <c r="L6587">
        <v>-62.762509999999999</v>
      </c>
      <c r="M6587">
        <v>0.99441860000000004</v>
      </c>
      <c r="N6587">
        <v>0</v>
      </c>
      <c r="O6587">
        <v>0.10492990000000001</v>
      </c>
      <c r="P6587">
        <v>0.95925850000000001</v>
      </c>
      <c r="Q6587">
        <v>5.5250830000000001E-2</v>
      </c>
      <c r="R6587">
        <v>0.27707480000000001</v>
      </c>
      <c r="S6587">
        <v>2.8334350000000001</v>
      </c>
      <c r="T6587">
        <v>-0.43166660000000001</v>
      </c>
      <c r="U6587">
        <v>1.1076349999999999</v>
      </c>
      <c r="V6587">
        <v>-0.17541889999999999</v>
      </c>
      <c r="W6587">
        <v>6.4640069999999994E-2</v>
      </c>
      <c r="X6587">
        <v>0.98236950000000001</v>
      </c>
      <c r="Y6587">
        <v>-0.2627738</v>
      </c>
      <c r="Z6587">
        <v>3.962503E-3</v>
      </c>
      <c r="AA6587">
        <v>0.96484939999999997</v>
      </c>
      <c r="AB6587">
        <v>29</v>
      </c>
      <c r="AC6587">
        <v>7.1242999999999999</v>
      </c>
      <c r="AD6587">
        <v>-1.1132569833141801</v>
      </c>
      <c r="AE6587">
        <v>2.8349000000000002</v>
      </c>
      <c r="AF6587">
        <v>-2.0288821094609699</v>
      </c>
      <c r="AG6587">
        <v>-1.1132569833141801</v>
      </c>
      <c r="AH6587">
        <v>7.2300410287738304</v>
      </c>
      <c r="AI6587">
        <v>98.432683760585306</v>
      </c>
      <c r="AJ6587">
        <v>105.675093790513</v>
      </c>
      <c r="AK6587">
        <v>7.5913896621594601</v>
      </c>
      <c r="AL6587">
        <v>86.293812721179904</v>
      </c>
      <c r="AM6587">
        <v>100.124432850989</v>
      </c>
      <c r="AN6587">
        <v>0.999999981828532</v>
      </c>
    </row>
    <row r="6588" spans="1:40" x14ac:dyDescent="0.25">
      <c r="A6588" t="str">
        <f>"20190312151152730"</f>
        <v>20190312151152730</v>
      </c>
      <c r="B6588" t="str">
        <f>"1552374712727631"</f>
        <v>1552374712727631</v>
      </c>
      <c r="C6588" t="s">
        <v>40</v>
      </c>
      <c r="D6588">
        <v>5.2472669999999999</v>
      </c>
      <c r="E6588">
        <v>0.46653359999999999</v>
      </c>
      <c r="F6588" t="s">
        <v>97</v>
      </c>
      <c r="G6588">
        <v>-211.9864</v>
      </c>
      <c r="H6588" s="1">
        <v>8.9588979999999897E-8</v>
      </c>
      <c r="I6588">
        <v>-59.880710000000001</v>
      </c>
      <c r="J6588">
        <v>-219.09729999999999</v>
      </c>
      <c r="K6588">
        <v>1.113308</v>
      </c>
      <c r="L6588">
        <v>-62.737949999999998</v>
      </c>
      <c r="M6588">
        <v>0.9940852</v>
      </c>
      <c r="N6588">
        <v>0</v>
      </c>
      <c r="O6588">
        <v>0.10804279999999999</v>
      </c>
      <c r="P6588">
        <v>0.95821239999999996</v>
      </c>
      <c r="Q6588">
        <v>5.468717E-2</v>
      </c>
      <c r="R6588">
        <v>0.28078180000000003</v>
      </c>
      <c r="S6588">
        <v>2.8301240000000001</v>
      </c>
      <c r="T6588">
        <v>-0.43079440000000002</v>
      </c>
      <c r="U6588">
        <v>1.115143</v>
      </c>
      <c r="V6588">
        <v>-0.1761422</v>
      </c>
      <c r="W6588">
        <v>6.4059069999999996E-2</v>
      </c>
      <c r="X6588">
        <v>0.98227819999999999</v>
      </c>
      <c r="Y6588">
        <v>-0.26239400000000002</v>
      </c>
      <c r="Z6588">
        <v>3.4818779999999999E-3</v>
      </c>
      <c r="AA6588">
        <v>0.9649546</v>
      </c>
      <c r="AB6588">
        <v>29</v>
      </c>
      <c r="AC6588">
        <v>7.1108999999999796</v>
      </c>
      <c r="AD6588">
        <v>-1.11330791041102</v>
      </c>
      <c r="AE6588">
        <v>2.8572399999999898</v>
      </c>
      <c r="AF6588">
        <v>-2.02935518425998</v>
      </c>
      <c r="AG6588">
        <v>-1.11330791041102</v>
      </c>
      <c r="AH6588">
        <v>7.2255000806430196</v>
      </c>
      <c r="AI6588">
        <v>98.437764176963498</v>
      </c>
      <c r="AJ6588">
        <v>105.687937408274</v>
      </c>
      <c r="AK6588">
        <v>7.5871989813526604</v>
      </c>
      <c r="AL6588">
        <v>86.327170960353797</v>
      </c>
      <c r="AM6588">
        <v>100.166234982064</v>
      </c>
      <c r="AN6588">
        <v>1.0000000506326701</v>
      </c>
    </row>
    <row r="6589" spans="1:40" x14ac:dyDescent="0.25">
      <c r="A6589" t="str">
        <f>"20190312151152743"</f>
        <v>20190312151152743</v>
      </c>
      <c r="B6589" t="str">
        <f>"1552374712737391"</f>
        <v>1552374712737391</v>
      </c>
      <c r="C6589" t="s">
        <v>40</v>
      </c>
      <c r="D6589">
        <v>5.2514219999999998</v>
      </c>
      <c r="E6589">
        <v>0.46659810000000002</v>
      </c>
      <c r="F6589" t="s">
        <v>97</v>
      </c>
      <c r="G6589">
        <v>-211.84649999999999</v>
      </c>
      <c r="H6589" s="1">
        <v>1.4437180000000001E-7</v>
      </c>
      <c r="I6589">
        <v>-59.851190000000003</v>
      </c>
      <c r="J6589">
        <v>-218.93600000000001</v>
      </c>
      <c r="K6589">
        <v>1.1133489999999999</v>
      </c>
      <c r="L6589">
        <v>-62.71799</v>
      </c>
      <c r="M6589">
        <v>0.99380970000000002</v>
      </c>
      <c r="N6589">
        <v>0</v>
      </c>
      <c r="O6589">
        <v>0.110545699999999</v>
      </c>
      <c r="P6589">
        <v>0.9574819</v>
      </c>
      <c r="Q6589">
        <v>5.4448650000000001E-2</v>
      </c>
      <c r="R6589">
        <v>0.28330830000000001</v>
      </c>
      <c r="S6589">
        <v>2.8259280000000002</v>
      </c>
      <c r="T6589">
        <v>-0.43390109999999898</v>
      </c>
      <c r="U6589">
        <v>1.1250610000000001</v>
      </c>
      <c r="V6589">
        <v>-0.176263</v>
      </c>
      <c r="W6589">
        <v>6.3811610000000005E-2</v>
      </c>
      <c r="X6589">
        <v>0.98227260000000005</v>
      </c>
      <c r="Y6589">
        <v>-0.2633723</v>
      </c>
      <c r="Z6589">
        <v>3.2192980000000002E-3</v>
      </c>
      <c r="AA6589">
        <v>0.96468889999999996</v>
      </c>
      <c r="AB6589">
        <v>29</v>
      </c>
      <c r="AC6589">
        <v>7.0894999999999797</v>
      </c>
      <c r="AD6589">
        <v>-1.1133488556282001</v>
      </c>
      <c r="AE6589">
        <v>2.8667999999999898</v>
      </c>
      <c r="AF6589">
        <v>-2.0225944664266202</v>
      </c>
      <c r="AG6589">
        <v>-1.1133488556282001</v>
      </c>
      <c r="AH6589">
        <v>7.2101472781201199</v>
      </c>
      <c r="AI6589">
        <v>98.456514442575099</v>
      </c>
      <c r="AJ6589">
        <v>105.669899625783</v>
      </c>
      <c r="AK6589">
        <v>7.5707765666496396</v>
      </c>
      <c r="AL6589">
        <v>86.341378305946293</v>
      </c>
      <c r="AM6589">
        <v>100.17311830698399</v>
      </c>
      <c r="AN6589">
        <v>1.00000001372527</v>
      </c>
    </row>
    <row r="6590" spans="1:40" x14ac:dyDescent="0.25">
      <c r="A6590" t="str">
        <f>"20190312151152753"</f>
        <v>20190312151152753</v>
      </c>
      <c r="B6590" t="str">
        <f>"1552374712748126"</f>
        <v>1552374712748126</v>
      </c>
      <c r="C6590" t="s">
        <v>40</v>
      </c>
      <c r="D6590">
        <v>5.2485839999999904</v>
      </c>
      <c r="E6590">
        <v>0.46665980000000001</v>
      </c>
      <c r="F6590" t="s">
        <v>97</v>
      </c>
      <c r="G6590">
        <v>-211.71700000000001</v>
      </c>
      <c r="H6590" s="1">
        <v>1.94799E-7</v>
      </c>
      <c r="I6590">
        <v>-59.822339999999997</v>
      </c>
      <c r="J6590">
        <v>-218.78210000000001</v>
      </c>
      <c r="K6590">
        <v>1.1133879999999901</v>
      </c>
      <c r="L6590">
        <v>-62.698520000000002</v>
      </c>
      <c r="M6590">
        <v>0.99353829999999999</v>
      </c>
      <c r="N6590">
        <v>0</v>
      </c>
      <c r="O6590">
        <v>0.11295860000000001</v>
      </c>
      <c r="P6590">
        <v>0.95667009999999997</v>
      </c>
      <c r="Q6590">
        <v>5.3937569999999997E-2</v>
      </c>
      <c r="R6590">
        <v>0.28613450000000001</v>
      </c>
      <c r="S6590">
        <v>2.8229220000000002</v>
      </c>
      <c r="T6590">
        <v>-0.43536520000000001</v>
      </c>
      <c r="U6590">
        <v>1.1322939999999999</v>
      </c>
      <c r="V6590">
        <v>-0.17677709999999999</v>
      </c>
      <c r="W6590">
        <v>6.3288629999999998E-2</v>
      </c>
      <c r="X6590">
        <v>0.98221400000000003</v>
      </c>
      <c r="Y6590">
        <v>-0.26352619999999999</v>
      </c>
      <c r="Z6590">
        <v>2.8927530000000001E-3</v>
      </c>
      <c r="AA6590">
        <v>0.9646479</v>
      </c>
      <c r="AB6590">
        <v>29</v>
      </c>
      <c r="AC6590">
        <v>7.0651000000000002</v>
      </c>
      <c r="AD6590">
        <v>-1.11338780520099</v>
      </c>
      <c r="AE6590">
        <v>2.87617999999999</v>
      </c>
      <c r="AF6590">
        <v>-2.0166933918719598</v>
      </c>
      <c r="AG6590">
        <v>-1.11338780520099</v>
      </c>
      <c r="AH6590">
        <v>7.1915761378791396</v>
      </c>
      <c r="AI6590">
        <v>98.478536304885793</v>
      </c>
      <c r="AJ6590">
        <v>105.664792262383</v>
      </c>
      <c r="AK6590">
        <v>7.5515198462629396</v>
      </c>
      <c r="AL6590">
        <v>86.371403377293603</v>
      </c>
      <c r="AM6590">
        <v>100.202763431204</v>
      </c>
      <c r="AN6590">
        <v>0.99999996778384204</v>
      </c>
    </row>
    <row r="6591" spans="1:40" x14ac:dyDescent="0.25">
      <c r="A6591" t="str">
        <f>"20190312151152766"</f>
        <v>20190312151152766</v>
      </c>
      <c r="B6591" t="str">
        <f>"1552374712757886"</f>
        <v>1552374712757886</v>
      </c>
      <c r="C6591" t="s">
        <v>40</v>
      </c>
      <c r="D6591">
        <v>5.1947289999999997</v>
      </c>
      <c r="E6591">
        <v>0.4667943</v>
      </c>
      <c r="F6591" t="s">
        <v>97</v>
      </c>
      <c r="G6591">
        <v>-211.60749999999999</v>
      </c>
      <c r="H6591" s="1">
        <v>2.372707E-7</v>
      </c>
      <c r="I6591">
        <v>-59.796909999999997</v>
      </c>
      <c r="J6591">
        <v>-218.636</v>
      </c>
      <c r="K6591">
        <v>1.1134200000000001</v>
      </c>
      <c r="L6591">
        <v>-62.679569999999998</v>
      </c>
      <c r="M6591">
        <v>0.99327240000000006</v>
      </c>
      <c r="N6591">
        <v>0</v>
      </c>
      <c r="O6591">
        <v>0.1152729</v>
      </c>
      <c r="P6591">
        <v>0.9559377</v>
      </c>
      <c r="Q6591">
        <v>5.3574169999999997E-2</v>
      </c>
      <c r="R6591">
        <v>0.28864010000000001</v>
      </c>
      <c r="S6591">
        <v>2.8194889999999999</v>
      </c>
      <c r="T6591">
        <v>-0.43754169999999998</v>
      </c>
      <c r="U6591">
        <v>1.1402589999999999</v>
      </c>
      <c r="V6591">
        <v>-0.17706279999999999</v>
      </c>
      <c r="W6591">
        <v>6.2916490000000005E-2</v>
      </c>
      <c r="X6591">
        <v>0.98218649999999996</v>
      </c>
      <c r="Y6591">
        <v>-0.26403219999999999</v>
      </c>
      <c r="Z6591">
        <v>2.6088230000000001E-3</v>
      </c>
      <c r="AA6591">
        <v>0.96451039999999999</v>
      </c>
      <c r="AB6591">
        <v>29</v>
      </c>
      <c r="AC6591">
        <v>7.0285000000000002</v>
      </c>
      <c r="AD6591">
        <v>-1.1134197627293001</v>
      </c>
      <c r="AE6591">
        <v>2.88266</v>
      </c>
      <c r="AF6591">
        <v>-2.0100176349141101</v>
      </c>
      <c r="AG6591">
        <v>-1.1134197627293001</v>
      </c>
      <c r="AH6591">
        <v>7.1601415895248204</v>
      </c>
      <c r="AI6591">
        <v>98.514803181669905</v>
      </c>
      <c r="AJ6591">
        <v>105.680661448054</v>
      </c>
      <c r="AK6591">
        <v>7.51980731420326</v>
      </c>
      <c r="AL6591">
        <v>86.392768197951099</v>
      </c>
      <c r="AM6591">
        <v>100.219185618228</v>
      </c>
      <c r="AN6591">
        <v>1.0000000203199999</v>
      </c>
    </row>
    <row r="6592" spans="1:40" x14ac:dyDescent="0.25">
      <c r="A6592" t="str">
        <f>"20190312151152778"</f>
        <v>20190312151152778</v>
      </c>
      <c r="B6592" t="str">
        <f>"1552374712767647"</f>
        <v>1552374712767647</v>
      </c>
      <c r="C6592" t="s">
        <v>40</v>
      </c>
      <c r="D6592">
        <v>5.2469669999999997</v>
      </c>
      <c r="E6592">
        <v>0.4669064</v>
      </c>
      <c r="F6592" t="s">
        <v>97</v>
      </c>
      <c r="G6592">
        <v>-211.49</v>
      </c>
      <c r="H6592" s="1">
        <v>2.829179E-7</v>
      </c>
      <c r="I6592">
        <v>-59.770090000000003</v>
      </c>
      <c r="J6592">
        <v>-218.477</v>
      </c>
      <c r="K6592">
        <v>1.1134539999999999</v>
      </c>
      <c r="L6592">
        <v>-62.658749999999998</v>
      </c>
      <c r="M6592">
        <v>0.99297539999999995</v>
      </c>
      <c r="N6592">
        <v>0</v>
      </c>
      <c r="O6592">
        <v>0.11780259999999999</v>
      </c>
      <c r="P6592">
        <v>0.95512640000000004</v>
      </c>
      <c r="Q6592">
        <v>5.3375739999999998E-2</v>
      </c>
      <c r="R6592">
        <v>0.29134939999999998</v>
      </c>
      <c r="S6592">
        <v>2.8166199999999999</v>
      </c>
      <c r="T6592">
        <v>-0.4388591</v>
      </c>
      <c r="U6592">
        <v>1.1467590000000001</v>
      </c>
      <c r="V6592">
        <v>-0.1773479</v>
      </c>
      <c r="W6592">
        <v>6.2709000000000001E-2</v>
      </c>
      <c r="X6592">
        <v>0.98214829999999997</v>
      </c>
      <c r="Y6592">
        <v>-0.26384639999999998</v>
      </c>
      <c r="Z6592">
        <v>2.233807E-3</v>
      </c>
      <c r="AA6592">
        <v>0.96456209999999998</v>
      </c>
      <c r="AB6592">
        <v>29</v>
      </c>
      <c r="AC6592">
        <v>6.9869999999999903</v>
      </c>
      <c r="AD6592">
        <v>-1.1134537170820999</v>
      </c>
      <c r="AE6592">
        <v>2.88865999999999</v>
      </c>
      <c r="AF6592">
        <v>-2.0019863164942602</v>
      </c>
      <c r="AG6592">
        <v>-1.1134537170820999</v>
      </c>
      <c r="AH6592">
        <v>7.1241430633638796</v>
      </c>
      <c r="AI6592">
        <v>98.556811426168693</v>
      </c>
      <c r="AJ6592">
        <v>105.69612416844301</v>
      </c>
      <c r="AK6592">
        <v>7.4833911282779999</v>
      </c>
      <c r="AL6592">
        <v>86.404679910903894</v>
      </c>
      <c r="AM6592">
        <v>100.235682284966</v>
      </c>
      <c r="AN6592">
        <v>0.99999998975415005</v>
      </c>
    </row>
    <row r="6593" spans="1:40" x14ac:dyDescent="0.25">
      <c r="A6593" t="str">
        <f>"20190312151152789"</f>
        <v>20190312151152789</v>
      </c>
      <c r="B6593" t="str">
        <f>"1552374712777407"</f>
        <v>1552374712777407</v>
      </c>
      <c r="C6593" t="s">
        <v>40</v>
      </c>
      <c r="D6593">
        <v>5.2209000000000003</v>
      </c>
      <c r="E6593">
        <v>0.466972</v>
      </c>
      <c r="F6593" t="s">
        <v>97</v>
      </c>
      <c r="G6593">
        <v>-211.35669999999999</v>
      </c>
      <c r="H6593" s="1">
        <v>3.3442790000000002E-7</v>
      </c>
      <c r="I6593">
        <v>-59.738079999999997</v>
      </c>
      <c r="J6593">
        <v>-218.33</v>
      </c>
      <c r="K6593">
        <v>1.1134820000000001</v>
      </c>
      <c r="L6593">
        <v>-62.638890000000004</v>
      </c>
      <c r="M6593">
        <v>0.99269189999999996</v>
      </c>
      <c r="N6593">
        <v>0</v>
      </c>
      <c r="O6593">
        <v>0.1201676</v>
      </c>
      <c r="P6593">
        <v>0.95432249999999996</v>
      </c>
      <c r="Q6593">
        <v>5.2951989999999997E-2</v>
      </c>
      <c r="R6593">
        <v>0.29404849999999999</v>
      </c>
      <c r="S6593">
        <v>2.813507</v>
      </c>
      <c r="T6593">
        <v>-0.4399711</v>
      </c>
      <c r="U6593">
        <v>1.154053</v>
      </c>
      <c r="V6593">
        <v>-0.1777841</v>
      </c>
      <c r="W6593">
        <v>6.2275450000000003E-2</v>
      </c>
      <c r="X6593">
        <v>0.982097</v>
      </c>
      <c r="Y6593">
        <v>-0.26407819999999999</v>
      </c>
      <c r="Z6593">
        <v>1.911039E-3</v>
      </c>
      <c r="AA6593">
        <v>0.96449940000000001</v>
      </c>
      <c r="AB6593">
        <v>29</v>
      </c>
      <c r="AC6593">
        <v>6.9733000000000196</v>
      </c>
      <c r="AD6593">
        <v>-1.1134816655720901</v>
      </c>
      <c r="AE6593">
        <v>2.9008099999999999</v>
      </c>
      <c r="AF6593">
        <v>-1.99833567113776</v>
      </c>
      <c r="AG6593">
        <v>-1.1134816655720901</v>
      </c>
      <c r="AH6593">
        <v>7.1166810295413399</v>
      </c>
      <c r="AI6593">
        <v>98.5663419604127</v>
      </c>
      <c r="AJ6593">
        <v>105.68453025848</v>
      </c>
      <c r="AK6593">
        <v>7.4753150937161497</v>
      </c>
      <c r="AL6593">
        <v>86.429569064762305</v>
      </c>
      <c r="AM6593">
        <v>100.26084810339501</v>
      </c>
      <c r="AN6593">
        <v>0.99999996764725496</v>
      </c>
    </row>
    <row r="6594" spans="1:40" x14ac:dyDescent="0.25">
      <c r="A6594" t="str">
        <f>"20190312151152799"</f>
        <v>20190312151152799</v>
      </c>
      <c r="B6594" t="str">
        <f>"1552374712788143"</f>
        <v>1552374712788143</v>
      </c>
      <c r="C6594" t="s">
        <v>40</v>
      </c>
      <c r="D6594">
        <v>5.2248070000000002</v>
      </c>
      <c r="E6594">
        <v>0.46708290000000002</v>
      </c>
      <c r="F6594" t="s">
        <v>97</v>
      </c>
      <c r="G6594">
        <v>-211.2433</v>
      </c>
      <c r="H6594" s="1">
        <v>3.7809420000000001E-7</v>
      </c>
      <c r="I6594">
        <v>-59.709969999999998</v>
      </c>
      <c r="J6594">
        <v>-218.203</v>
      </c>
      <c r="K6594">
        <v>1.113504</v>
      </c>
      <c r="L6594">
        <v>-62.621609999999997</v>
      </c>
      <c r="M6594">
        <v>0.99244200000000005</v>
      </c>
      <c r="N6594">
        <v>0</v>
      </c>
      <c r="O6594">
        <v>0.1222145</v>
      </c>
      <c r="P6594">
        <v>0.95360440000000002</v>
      </c>
      <c r="Q6594">
        <v>5.2644709999999997E-2</v>
      </c>
      <c r="R6594">
        <v>0.29642420000000003</v>
      </c>
      <c r="S6594">
        <v>2.8102420000000001</v>
      </c>
      <c r="T6594">
        <v>-0.44155090000000002</v>
      </c>
      <c r="U6594">
        <v>1.161438</v>
      </c>
      <c r="V6594">
        <v>-0.17820339999999901</v>
      </c>
      <c r="W6594">
        <v>6.195991E-2</v>
      </c>
      <c r="X6594">
        <v>0.98204100000000005</v>
      </c>
      <c r="Y6594">
        <v>-0.2646539</v>
      </c>
      <c r="Z6594">
        <v>1.660941E-3</v>
      </c>
      <c r="AA6594">
        <v>0.96434209999999998</v>
      </c>
      <c r="AB6594">
        <v>29</v>
      </c>
      <c r="AC6594">
        <v>6.95969999999999</v>
      </c>
      <c r="AD6594">
        <v>-1.1135036219058001</v>
      </c>
      <c r="AE6594">
        <v>2.91163999999999</v>
      </c>
      <c r="AF6594">
        <v>-1.99570616509041</v>
      </c>
      <c r="AG6594">
        <v>-1.1135036219058001</v>
      </c>
      <c r="AH6594">
        <v>7.1085293362826398</v>
      </c>
      <c r="AI6594">
        <v>98.576291342439006</v>
      </c>
      <c r="AJ6594">
        <v>105.681986003034</v>
      </c>
      <c r="AK6594">
        <v>7.4668549428904898</v>
      </c>
      <c r="AL6594">
        <v>86.447683286168697</v>
      </c>
      <c r="AM6594">
        <v>100.28510615581</v>
      </c>
      <c r="AN6594">
        <v>1.00000000394988</v>
      </c>
    </row>
    <row r="6595" spans="1:40" x14ac:dyDescent="0.25">
      <c r="A6595" t="str">
        <f>"20190312151152809"</f>
        <v>20190312151152809</v>
      </c>
      <c r="B6595" t="str">
        <f>"1552374712797903"</f>
        <v>1552374712797903</v>
      </c>
      <c r="C6595" t="s">
        <v>40</v>
      </c>
      <c r="D6595">
        <v>5.2088330000000003</v>
      </c>
      <c r="E6595">
        <v>0.46715570000000001</v>
      </c>
      <c r="F6595" t="s">
        <v>97</v>
      </c>
      <c r="G6595">
        <v>-211.14410000000001</v>
      </c>
      <c r="H6595" s="1">
        <v>4.164872E-7</v>
      </c>
      <c r="I6595">
        <v>-59.686489999999999</v>
      </c>
      <c r="J6595">
        <v>-218.07329999999999</v>
      </c>
      <c r="K6595">
        <v>1.1135250000000001</v>
      </c>
      <c r="L6595">
        <v>-62.603490000000001</v>
      </c>
      <c r="M6595">
        <v>0.99217999999999995</v>
      </c>
      <c r="N6595">
        <v>0</v>
      </c>
      <c r="O6595">
        <v>0.1243225</v>
      </c>
      <c r="P6595">
        <v>0.95280310000000001</v>
      </c>
      <c r="Q6595">
        <v>5.2557239999999998E-2</v>
      </c>
      <c r="R6595">
        <v>0.29900520000000003</v>
      </c>
      <c r="S6595">
        <v>2.8075410000000001</v>
      </c>
      <c r="T6595">
        <v>-0.44287130000000002</v>
      </c>
      <c r="U6595">
        <v>1.1673579999999999</v>
      </c>
      <c r="V6595">
        <v>-0.17877860000000001</v>
      </c>
      <c r="W6595">
        <v>6.1862350000000003E-2</v>
      </c>
      <c r="X6595">
        <v>0.9819426</v>
      </c>
      <c r="Y6595">
        <v>-0.26468049999999999</v>
      </c>
      <c r="Z6595">
        <v>1.357399E-3</v>
      </c>
      <c r="AA6595">
        <v>0.96433519999999995</v>
      </c>
      <c r="AB6595">
        <v>29</v>
      </c>
      <c r="AC6595">
        <v>6.9291999999999803</v>
      </c>
      <c r="AD6595">
        <v>-1.1135245835128</v>
      </c>
      <c r="AE6595">
        <v>2.9169999999999998</v>
      </c>
      <c r="AF6595">
        <v>-1.98922089169288</v>
      </c>
      <c r="AG6595">
        <v>-1.1135245835128</v>
      </c>
      <c r="AH6595">
        <v>7.0827329659937197</v>
      </c>
      <c r="AI6595">
        <v>98.606984240229394</v>
      </c>
      <c r="AJ6595">
        <v>105.687662256811</v>
      </c>
      <c r="AK6595">
        <v>7.4405673857313399</v>
      </c>
      <c r="AL6595">
        <v>86.453283805995696</v>
      </c>
      <c r="AM6595">
        <v>100.31860391383</v>
      </c>
      <c r="AN6595">
        <v>1.00000000393012</v>
      </c>
    </row>
    <row r="6596" spans="1:40" x14ac:dyDescent="0.25">
      <c r="A6596" t="str">
        <f>"20190312151152819"</f>
        <v>20190312151152819</v>
      </c>
      <c r="B6596" t="str">
        <f>"1552374712807664"</f>
        <v>1552374712807664</v>
      </c>
      <c r="C6596" t="s">
        <v>40</v>
      </c>
      <c r="D6596">
        <v>5.2515640000000001</v>
      </c>
      <c r="E6596">
        <v>0.46724520000000003</v>
      </c>
      <c r="F6596" t="s">
        <v>97</v>
      </c>
      <c r="G6596">
        <v>-211.03440000000001</v>
      </c>
      <c r="H6596" s="1">
        <v>4.5815200000000001E-7</v>
      </c>
      <c r="I6596">
        <v>-59.656120000000001</v>
      </c>
      <c r="J6596">
        <v>-217.9485</v>
      </c>
      <c r="K6596">
        <v>1.113545</v>
      </c>
      <c r="L6596">
        <v>-62.585970000000003</v>
      </c>
      <c r="M6596">
        <v>0.99192340000000001</v>
      </c>
      <c r="N6596">
        <v>0</v>
      </c>
      <c r="O6596">
        <v>0.1263523</v>
      </c>
      <c r="P6596">
        <v>0.95206500000000005</v>
      </c>
      <c r="Q6596">
        <v>5.2018799999999997E-2</v>
      </c>
      <c r="R6596">
        <v>0.3014406</v>
      </c>
      <c r="S6596">
        <v>2.8045499999999999</v>
      </c>
      <c r="T6596">
        <v>-0.44367020000000001</v>
      </c>
      <c r="U6596">
        <v>1.1743159999999999</v>
      </c>
      <c r="V6596">
        <v>-0.1792753</v>
      </c>
      <c r="W6596">
        <v>6.1315979999999999E-2</v>
      </c>
      <c r="X6596">
        <v>0.98188629999999999</v>
      </c>
      <c r="Y6596">
        <v>-0.26512039999999998</v>
      </c>
      <c r="Z6596">
        <v>1.0935889999999901E-3</v>
      </c>
      <c r="AA6596">
        <v>0.96421469999999998</v>
      </c>
      <c r="AB6596">
        <v>29</v>
      </c>
      <c r="AC6596">
        <v>6.9140999999999897</v>
      </c>
      <c r="AD6596">
        <v>-1.1135445418479999</v>
      </c>
      <c r="AE6596">
        <v>2.9298500000000001</v>
      </c>
      <c r="AF6596">
        <v>-1.9889624244917401</v>
      </c>
      <c r="AG6596">
        <v>-1.1135445418479999</v>
      </c>
      <c r="AH6596">
        <v>7.0733536800512402</v>
      </c>
      <c r="AI6596">
        <v>98.617635437349705</v>
      </c>
      <c r="AJ6596">
        <v>105.705497844965</v>
      </c>
      <c r="AK6596">
        <v>7.4315735383439403</v>
      </c>
      <c r="AL6596">
        <v>86.484648009964502</v>
      </c>
      <c r="AM6596">
        <v>100.34723413509499</v>
      </c>
      <c r="AN6596">
        <v>0.99999999436056997</v>
      </c>
    </row>
    <row r="6597" spans="1:40" x14ac:dyDescent="0.25">
      <c r="A6597" t="str">
        <f>"20190312151152829"</f>
        <v>20190312151152829</v>
      </c>
      <c r="B6597" t="str">
        <f>"1552374712817423"</f>
        <v>1552374712817423</v>
      </c>
      <c r="C6597" t="s">
        <v>40</v>
      </c>
      <c r="D6597">
        <v>5.228218</v>
      </c>
      <c r="E6597">
        <v>0.46738059999999998</v>
      </c>
      <c r="F6597" t="s">
        <v>97</v>
      </c>
      <c r="G6597">
        <v>-210.9426</v>
      </c>
      <c r="H6597" s="1">
        <v>4.9359589999999998E-7</v>
      </c>
      <c r="I6597">
        <v>-59.633839999999999</v>
      </c>
      <c r="J6597">
        <v>-217.81780000000001</v>
      </c>
      <c r="K6597">
        <v>1.113564</v>
      </c>
      <c r="L6597">
        <v>-62.567140000000002</v>
      </c>
      <c r="M6597">
        <v>0.99164859999999999</v>
      </c>
      <c r="N6597">
        <v>0</v>
      </c>
      <c r="O6597">
        <v>0.12849169999999999</v>
      </c>
      <c r="P6597">
        <v>0.95122790000000002</v>
      </c>
      <c r="Q6597">
        <v>5.1910249999999998E-2</v>
      </c>
      <c r="R6597">
        <v>0.30409049999999999</v>
      </c>
      <c r="S6597">
        <v>2.8016049999999999</v>
      </c>
      <c r="T6597">
        <v>-0.4452989</v>
      </c>
      <c r="U6597">
        <v>1.1805110000000001</v>
      </c>
      <c r="V6597">
        <v>-0.1798932</v>
      </c>
      <c r="W6597">
        <v>6.1197950000000001E-2</v>
      </c>
      <c r="X6597">
        <v>0.9817806</v>
      </c>
      <c r="Y6597">
        <v>-0.26522430000000002</v>
      </c>
      <c r="Z6597">
        <v>7.8844089999999896E-4</v>
      </c>
      <c r="AA6597">
        <v>0.9641864</v>
      </c>
      <c r="AB6597">
        <v>29</v>
      </c>
      <c r="AC6597">
        <v>6.8752000000000004</v>
      </c>
      <c r="AD6597">
        <v>-1.1135635064041001</v>
      </c>
      <c r="AE6597">
        <v>2.9333</v>
      </c>
      <c r="AF6597">
        <v>-1.9815433128329201</v>
      </c>
      <c r="AG6597">
        <v>-1.1135635064041001</v>
      </c>
      <c r="AH6597">
        <v>7.03890956701711</v>
      </c>
      <c r="AI6597">
        <v>98.658596619847401</v>
      </c>
      <c r="AJ6597">
        <v>105.722591748673</v>
      </c>
      <c r="AK6597">
        <v>7.3968091415199302</v>
      </c>
      <c r="AL6597">
        <v>86.491423197218893</v>
      </c>
      <c r="AM6597">
        <v>100.38321666331601</v>
      </c>
      <c r="AN6597">
        <v>0.99999994951339999</v>
      </c>
    </row>
    <row r="6598" spans="1:40" x14ac:dyDescent="0.25">
      <c r="A6598" t="str">
        <f>"20190312151152840"</f>
        <v>20190312151152840</v>
      </c>
      <c r="B6598" t="str">
        <f>"1552374712837919"</f>
        <v>1552374712837919</v>
      </c>
      <c r="C6598" t="s">
        <v>40</v>
      </c>
      <c r="D6598">
        <v>5.2540360000000002</v>
      </c>
      <c r="E6598">
        <v>0.47679050000000001</v>
      </c>
      <c r="F6598" t="s">
        <v>97</v>
      </c>
      <c r="G6598">
        <v>-210.828</v>
      </c>
      <c r="H6598" s="1">
        <v>5.3707090000000001E-7</v>
      </c>
      <c r="I6598">
        <v>-59.601759999999999</v>
      </c>
      <c r="J6598">
        <v>-217.6773</v>
      </c>
      <c r="K6598">
        <v>1.113583</v>
      </c>
      <c r="L6598">
        <v>-62.546719999999901</v>
      </c>
      <c r="M6598">
        <v>0.99134730000000004</v>
      </c>
      <c r="N6598">
        <v>0</v>
      </c>
      <c r="O6598">
        <v>0.13079560000000001</v>
      </c>
      <c r="P6598">
        <v>0.95036719999999997</v>
      </c>
      <c r="Q6598">
        <v>5.1493700000000003E-2</v>
      </c>
      <c r="R6598">
        <v>0.30683969999999999</v>
      </c>
      <c r="S6598">
        <v>2.7985989999999998</v>
      </c>
      <c r="T6598">
        <v>-0.44584950000000001</v>
      </c>
      <c r="U6598">
        <v>1.1872560000000001</v>
      </c>
      <c r="V6598">
        <v>-0.18044750000000001</v>
      </c>
      <c r="W6598">
        <v>6.0772449999999999E-2</v>
      </c>
      <c r="X6598">
        <v>0.98170539999999995</v>
      </c>
      <c r="Y6598">
        <v>-0.26534479999999999</v>
      </c>
      <c r="Z6598">
        <v>4.5656599999999999E-4</v>
      </c>
      <c r="AA6598">
        <v>0.9641535</v>
      </c>
      <c r="AB6598">
        <v>29</v>
      </c>
      <c r="AC6598">
        <v>6.8493000000000004</v>
      </c>
      <c r="AD6598">
        <v>-1.1135824629291</v>
      </c>
      <c r="AE6598">
        <v>2.9449599999999898</v>
      </c>
      <c r="AF6598">
        <v>-1.9795816987443999</v>
      </c>
      <c r="AG6598">
        <v>-1.1135824629291</v>
      </c>
      <c r="AH6598">
        <v>7.0190752188064298</v>
      </c>
      <c r="AI6598">
        <v>98.681685358391704</v>
      </c>
      <c r="AJ6598">
        <v>105.749983005947</v>
      </c>
      <c r="AK6598">
        <v>7.37741326828107</v>
      </c>
      <c r="AL6598">
        <v>86.515848336917301</v>
      </c>
      <c r="AM6598">
        <v>100.415291474442</v>
      </c>
      <c r="AN6598">
        <v>1.0000000416621999</v>
      </c>
    </row>
    <row r="6599" spans="1:40" x14ac:dyDescent="0.25">
      <c r="A6599" t="str">
        <f>"20190312151152851"</f>
        <v>20190312151152851</v>
      </c>
      <c r="B6599" t="str">
        <f>"1552374712847680"</f>
        <v>1552374712847680</v>
      </c>
      <c r="C6599" t="s">
        <v>40</v>
      </c>
      <c r="D6599">
        <v>5.2967820000000003</v>
      </c>
      <c r="E6599">
        <v>0.47567510000000002</v>
      </c>
      <c r="F6599" t="s">
        <v>85</v>
      </c>
      <c r="G6599">
        <v>-209.8126</v>
      </c>
      <c r="H6599" s="1">
        <v>-3.4849610000000002E-7</v>
      </c>
      <c r="I6599">
        <v>-59.414769999999997</v>
      </c>
      <c r="J6599">
        <v>-217.53440000000001</v>
      </c>
      <c r="K6599">
        <v>1.113602</v>
      </c>
      <c r="L6599">
        <v>-62.525509999999997</v>
      </c>
      <c r="M6599">
        <v>0.99103370000000002</v>
      </c>
      <c r="N6599">
        <v>0</v>
      </c>
      <c r="O6599">
        <v>0.13315009999999999</v>
      </c>
      <c r="P6599">
        <v>0.94943359999999999</v>
      </c>
      <c r="Q6599">
        <v>5.1258779999999997E-2</v>
      </c>
      <c r="R6599">
        <v>0.30975520000000001</v>
      </c>
      <c r="S6599">
        <v>2.8161770000000002</v>
      </c>
      <c r="T6599">
        <v>-0.3987521</v>
      </c>
      <c r="U6599">
        <v>1.1214900000000001</v>
      </c>
      <c r="V6599">
        <v>-0.1811275</v>
      </c>
      <c r="W6599">
        <v>6.0528279999999997E-2</v>
      </c>
      <c r="X6599">
        <v>0.9815952</v>
      </c>
      <c r="Y6599">
        <v>-0.24203849999999999</v>
      </c>
      <c r="Z6599">
        <v>-1.4941430000000001E-3</v>
      </c>
      <c r="AA6599">
        <v>0.9702655</v>
      </c>
      <c r="AB6599">
        <v>29</v>
      </c>
      <c r="AC6599">
        <v>7.7218</v>
      </c>
      <c r="AD6599">
        <v>-1.1136023484961</v>
      </c>
      <c r="AE6599">
        <v>3.1107399999999998</v>
      </c>
      <c r="AF6599">
        <v>-2.0186937422979598</v>
      </c>
      <c r="AG6599">
        <v>-1.1136023484961</v>
      </c>
      <c r="AH6599">
        <v>7.9254382880316303</v>
      </c>
      <c r="AI6599">
        <v>97.753843042146798</v>
      </c>
      <c r="AJ6599">
        <v>104.289985823283</v>
      </c>
      <c r="AK6599">
        <v>8.2539570312164106</v>
      </c>
      <c r="AL6599">
        <v>86.529863870312397</v>
      </c>
      <c r="AM6599">
        <v>100.45482459454</v>
      </c>
      <c r="AN6599">
        <v>0.99999999029952402</v>
      </c>
    </row>
    <row r="6600" spans="1:40" x14ac:dyDescent="0.25">
      <c r="A6600" t="str">
        <f>"20190312151152863"</f>
        <v>20190312151152863</v>
      </c>
      <c r="B6600" t="str">
        <f>"1552374712857442"</f>
        <v>1552374712857442</v>
      </c>
      <c r="C6600" t="s">
        <v>40</v>
      </c>
      <c r="D6600">
        <v>5.2137979999999997</v>
      </c>
      <c r="E6600">
        <v>0.47532999999999997</v>
      </c>
      <c r="F6600" t="s">
        <v>85</v>
      </c>
      <c r="G6600">
        <v>-209.55080000000001</v>
      </c>
      <c r="H6600" s="1">
        <v>-5.4769119999999896E-7</v>
      </c>
      <c r="I6600">
        <v>-59.291609999999999</v>
      </c>
      <c r="J6600">
        <v>-217.3895</v>
      </c>
      <c r="K6600">
        <v>1.1136159999999999</v>
      </c>
      <c r="L6600">
        <v>-62.503689999999999</v>
      </c>
      <c r="M6600">
        <v>0.99070930000000001</v>
      </c>
      <c r="N6600">
        <v>0</v>
      </c>
      <c r="O6600">
        <v>0.13554179999999999</v>
      </c>
      <c r="P6600">
        <v>0.94848140000000003</v>
      </c>
      <c r="Q6600">
        <v>5.1137750000000003E-2</v>
      </c>
      <c r="R6600">
        <v>0.31267869999999998</v>
      </c>
      <c r="S6600">
        <v>2.809631</v>
      </c>
      <c r="T6600">
        <v>-0.39190550000000002</v>
      </c>
      <c r="U6600">
        <v>1.1380920000000001</v>
      </c>
      <c r="V6600">
        <v>-0.18178320000000001</v>
      </c>
      <c r="W6600">
        <v>6.0397869999999999E-2</v>
      </c>
      <c r="X6600">
        <v>0.98148199999999997</v>
      </c>
      <c r="Y6600">
        <v>-0.2454296</v>
      </c>
      <c r="Z6600">
        <v>-1.555301E-3</v>
      </c>
      <c r="AA6600">
        <v>0.96941319999999997</v>
      </c>
      <c r="AB6600">
        <v>29</v>
      </c>
      <c r="AC6600">
        <v>7.8386999999999798</v>
      </c>
      <c r="AD6600">
        <v>-1.1136165476912001</v>
      </c>
      <c r="AE6600">
        <v>3.2120799999999998</v>
      </c>
      <c r="AF6600">
        <v>-2.0838849953578902</v>
      </c>
      <c r="AG6600">
        <v>-1.1136165476912001</v>
      </c>
      <c r="AH6600">
        <v>8.0624226191808894</v>
      </c>
      <c r="AI6600">
        <v>97.616946869417703</v>
      </c>
      <c r="AJ6600">
        <v>104.492011382923</v>
      </c>
      <c r="AK6600">
        <v>8.4015103986991004</v>
      </c>
      <c r="AL6600">
        <v>86.537349456852894</v>
      </c>
      <c r="AM6600">
        <v>100.493016386981</v>
      </c>
      <c r="AN6600">
        <v>0.99999997541338803</v>
      </c>
    </row>
    <row r="6601" spans="1:40" x14ac:dyDescent="0.25">
      <c r="A6601" t="str">
        <f>"20190312151152874"</f>
        <v>20190312151152874</v>
      </c>
      <c r="B6601" t="str">
        <f>"1552374712868175"</f>
        <v>1552374712868175</v>
      </c>
      <c r="C6601" t="s">
        <v>40</v>
      </c>
      <c r="D6601">
        <v>5.3108279999999999</v>
      </c>
      <c r="E6601">
        <v>0.47532530000000001</v>
      </c>
      <c r="F6601" t="s">
        <v>85</v>
      </c>
      <c r="G6601">
        <v>-209.31309999999999</v>
      </c>
      <c r="H6601" s="1">
        <v>-7.2416939999999899E-7</v>
      </c>
      <c r="I6601">
        <v>-59.196089999999998</v>
      </c>
      <c r="J6601">
        <v>-217.23609999999999</v>
      </c>
      <c r="K6601">
        <v>1.113632</v>
      </c>
      <c r="L6601">
        <v>-62.480220000000003</v>
      </c>
      <c r="M6601">
        <v>0.99035830000000002</v>
      </c>
      <c r="N6601">
        <v>0</v>
      </c>
      <c r="O6601">
        <v>0.13808329999999999</v>
      </c>
      <c r="P6601">
        <v>0.9474496</v>
      </c>
      <c r="Q6601">
        <v>5.0852559999999998E-2</v>
      </c>
      <c r="R6601">
        <v>0.31583749999999999</v>
      </c>
      <c r="S6601">
        <v>2.8051149999999998</v>
      </c>
      <c r="T6601">
        <v>-0.3867834</v>
      </c>
      <c r="U6601">
        <v>1.1488039999999999</v>
      </c>
      <c r="V6601">
        <v>-0.18253340000000001</v>
      </c>
      <c r="W6601">
        <v>6.010277E-2</v>
      </c>
      <c r="X6601">
        <v>0.98136089999999998</v>
      </c>
      <c r="Y6601">
        <v>-0.24669289999999999</v>
      </c>
      <c r="Z6601">
        <v>-1.7804730000000001E-3</v>
      </c>
      <c r="AA6601">
        <v>0.96909210000000001</v>
      </c>
      <c r="AB6601">
        <v>29</v>
      </c>
      <c r="AC6601">
        <v>7.923</v>
      </c>
      <c r="AD6601">
        <v>-1.1136327241694</v>
      </c>
      <c r="AE6601">
        <v>3.28412999999999</v>
      </c>
      <c r="AF6601">
        <v>-2.1227756408466298</v>
      </c>
      <c r="AG6601">
        <v>-1.1136327241694</v>
      </c>
      <c r="AH6601">
        <v>8.1629806003817702</v>
      </c>
      <c r="AI6601">
        <v>97.521450166193006</v>
      </c>
      <c r="AJ6601">
        <v>104.576850484026</v>
      </c>
      <c r="AK6601">
        <v>8.5076792692203593</v>
      </c>
      <c r="AL6601">
        <v>86.554288301283094</v>
      </c>
      <c r="AM6601">
        <v>100.5366233261</v>
      </c>
      <c r="AN6601">
        <v>1.0000000005630201</v>
      </c>
    </row>
    <row r="6602" spans="1:40" x14ac:dyDescent="0.25">
      <c r="A6602" t="str">
        <f>"20190312151152886"</f>
        <v>20190312151152886</v>
      </c>
      <c r="B6602" t="str">
        <f>"1552374712877934"</f>
        <v>1552374712877934</v>
      </c>
      <c r="C6602" t="s">
        <v>40</v>
      </c>
      <c r="D6602">
        <v>5.2685149999999998</v>
      </c>
      <c r="E6602">
        <v>0.4751225</v>
      </c>
      <c r="F6602" t="s">
        <v>85</v>
      </c>
      <c r="G6602">
        <v>-209.1969</v>
      </c>
      <c r="H6602" s="1">
        <v>-8.0836749999999896E-7</v>
      </c>
      <c r="I6602">
        <v>-59.157200000000003</v>
      </c>
      <c r="J6602">
        <v>-217.08029999999999</v>
      </c>
      <c r="K6602">
        <v>1.113645</v>
      </c>
      <c r="L6602">
        <v>-62.455840000000002</v>
      </c>
      <c r="M6602">
        <v>0.98999360000000003</v>
      </c>
      <c r="N6602">
        <v>0</v>
      </c>
      <c r="O6602">
        <v>0.14067289999999999</v>
      </c>
      <c r="P6602">
        <v>0.94640519999999995</v>
      </c>
      <c r="Q6602">
        <v>5.0777950000000002E-2</v>
      </c>
      <c r="R6602">
        <v>0.3189651</v>
      </c>
      <c r="S6602">
        <v>2.8012239999999999</v>
      </c>
      <c r="T6602">
        <v>-0.38804240000000001</v>
      </c>
      <c r="U6602">
        <v>1.1578980000000001</v>
      </c>
      <c r="V6602">
        <v>-0.18321000000000001</v>
      </c>
      <c r="W6602">
        <v>6.0018990000000001E-2</v>
      </c>
      <c r="X6602">
        <v>0.98123990000000005</v>
      </c>
      <c r="Y6602">
        <v>-0.2473303</v>
      </c>
      <c r="Z6602">
        <v>-2.0801690000000002E-3</v>
      </c>
      <c r="AA6602">
        <v>0.96892900000000004</v>
      </c>
      <c r="AB6602">
        <v>29</v>
      </c>
      <c r="AC6602">
        <v>7.8833999999999902</v>
      </c>
      <c r="AD6602">
        <v>-1.1136458083675</v>
      </c>
      <c r="AE6602">
        <v>3.29863999999999</v>
      </c>
      <c r="AF6602">
        <v>-2.12076954005081</v>
      </c>
      <c r="AG6602">
        <v>-1.1136458083675</v>
      </c>
      <c r="AH6602">
        <v>8.1309733776486297</v>
      </c>
      <c r="AI6602">
        <v>97.549390568554998</v>
      </c>
      <c r="AJ6602">
        <v>104.61853873761299</v>
      </c>
      <c r="AK6602">
        <v>8.4764732345789096</v>
      </c>
      <c r="AL6602">
        <v>86.559097091363896</v>
      </c>
      <c r="AM6602">
        <v>100.576074865273</v>
      </c>
      <c r="AN6602">
        <v>0.99999996230631405</v>
      </c>
    </row>
    <row r="6603" spans="1:40" x14ac:dyDescent="0.25">
      <c r="A6603" t="str">
        <f>"20190312151152899"</f>
        <v>20190312151152899</v>
      </c>
      <c r="B6603" t="str">
        <f>"1552374712887696"</f>
        <v>1552374712887696</v>
      </c>
      <c r="C6603" t="s">
        <v>40</v>
      </c>
      <c r="D6603">
        <v>5.5657079999999999</v>
      </c>
      <c r="E6603">
        <v>0.47513430000000001</v>
      </c>
      <c r="F6603" t="s">
        <v>85</v>
      </c>
      <c r="G6603">
        <v>-209.2765</v>
      </c>
      <c r="H6603" s="1">
        <v>-7.4782399999999999E-7</v>
      </c>
      <c r="I6603">
        <v>-59.194560000000003</v>
      </c>
      <c r="J6603">
        <v>-216.92779999999999</v>
      </c>
      <c r="K6603">
        <v>1.1136619999999999</v>
      </c>
      <c r="L6603">
        <v>-62.431820000000002</v>
      </c>
      <c r="M6603">
        <v>0.98962969999999895</v>
      </c>
      <c r="N6603">
        <v>0</v>
      </c>
      <c r="O6603">
        <v>0.1432099</v>
      </c>
      <c r="P6603">
        <v>0.94534189999999996</v>
      </c>
      <c r="Q6603">
        <v>5.0595260000000003E-2</v>
      </c>
      <c r="R6603">
        <v>0.32213199999999997</v>
      </c>
      <c r="S6603">
        <v>2.7973330000000001</v>
      </c>
      <c r="T6603">
        <v>-0.39919719999999997</v>
      </c>
      <c r="U6603">
        <v>1.1690370000000001</v>
      </c>
      <c r="V6603">
        <v>-0.1839799</v>
      </c>
      <c r="W6603">
        <v>5.9825740000000002E-2</v>
      </c>
      <c r="X6603">
        <v>0.98110770000000003</v>
      </c>
      <c r="Y6603">
        <v>-0.2485725</v>
      </c>
      <c r="Z6603">
        <v>-2.3931040000000001E-3</v>
      </c>
      <c r="AA6603">
        <v>0.96861030000000004</v>
      </c>
      <c r="AB6603">
        <v>29</v>
      </c>
      <c r="AC6603">
        <v>7.6512999999999902</v>
      </c>
      <c r="AD6603">
        <v>-1.113662747824</v>
      </c>
      <c r="AE6603">
        <v>3.2372599999999898</v>
      </c>
      <c r="AF6603">
        <v>-2.0708664995297901</v>
      </c>
      <c r="AG6603">
        <v>-1.113662747824</v>
      </c>
      <c r="AH6603">
        <v>7.8942103437059901</v>
      </c>
      <c r="AI6603">
        <v>97.770378584649904</v>
      </c>
      <c r="AJ6603">
        <v>104.699043780403</v>
      </c>
      <c r="AK6603">
        <v>8.2369466263561701</v>
      </c>
      <c r="AL6603">
        <v>86.570189634834307</v>
      </c>
      <c r="AM6603">
        <v>100.62090805232501</v>
      </c>
      <c r="AN6603">
        <v>1.00000002088492</v>
      </c>
    </row>
    <row r="6604" spans="1:40" x14ac:dyDescent="0.25">
      <c r="A6604" t="str">
        <f>"20190312151152910"</f>
        <v>20190312151152910</v>
      </c>
      <c r="B6604" t="str">
        <f>"1552374712897455"</f>
        <v>1552374712897455</v>
      </c>
      <c r="C6604" t="s">
        <v>40</v>
      </c>
      <c r="D6604">
        <v>5.2537609999999999</v>
      </c>
      <c r="E6604">
        <v>0.47528910000000002</v>
      </c>
      <c r="F6604" t="s">
        <v>85</v>
      </c>
      <c r="G6604">
        <v>-209.1473</v>
      </c>
      <c r="H6604" s="1">
        <v>-8.4157129999999999E-7</v>
      </c>
      <c r="I6604">
        <v>-59.151000000000003</v>
      </c>
      <c r="J6604">
        <v>-216.77209999999999</v>
      </c>
      <c r="K6604">
        <v>1.113677</v>
      </c>
      <c r="L6604">
        <v>-62.406559999999999</v>
      </c>
      <c r="M6604">
        <v>0.9892493</v>
      </c>
      <c r="N6604">
        <v>0</v>
      </c>
      <c r="O6604">
        <v>0.14581429999999901</v>
      </c>
      <c r="P6604">
        <v>0.94426770000000004</v>
      </c>
      <c r="Q6604">
        <v>5.0184649999999997E-2</v>
      </c>
      <c r="R6604">
        <v>0.32533030000000002</v>
      </c>
      <c r="S6604">
        <v>2.7934570000000001</v>
      </c>
      <c r="T6604">
        <v>-0.399839</v>
      </c>
      <c r="U6604">
        <v>1.1779170000000001</v>
      </c>
      <c r="V6604">
        <v>-0.1847143</v>
      </c>
      <c r="W6604">
        <v>5.9405449999999999E-2</v>
      </c>
      <c r="X6604">
        <v>0.98099519999999996</v>
      </c>
      <c r="Y6604">
        <v>-0.24913270000000001</v>
      </c>
      <c r="Z6604">
        <v>-2.7071959999999998E-3</v>
      </c>
      <c r="AA6604">
        <v>0.96846560000000004</v>
      </c>
      <c r="AB6604">
        <v>29</v>
      </c>
      <c r="AC6604">
        <v>7.6247999999999898</v>
      </c>
      <c r="AD6604">
        <v>-1.1136778415713</v>
      </c>
      <c r="AE6604">
        <v>3.2555599999999898</v>
      </c>
      <c r="AF6604">
        <v>-2.0715080084180602</v>
      </c>
      <c r="AG6604">
        <v>-1.1136778415713</v>
      </c>
      <c r="AH6604">
        <v>7.8759191889588802</v>
      </c>
      <c r="AI6604">
        <v>97.787002214253803</v>
      </c>
      <c r="AJ6604">
        <v>104.73606289623601</v>
      </c>
      <c r="AK6604">
        <v>8.2195819136229602</v>
      </c>
      <c r="AL6604">
        <v>86.594313248890799</v>
      </c>
      <c r="AM6604">
        <v>100.663528494879</v>
      </c>
      <c r="AN6604">
        <v>0.999999981268616</v>
      </c>
    </row>
    <row r="6605" spans="1:40" x14ac:dyDescent="0.25">
      <c r="A6605" t="str">
        <f>"20190312151152921"</f>
        <v>20190312151152921</v>
      </c>
      <c r="B6605" t="str">
        <f>"1552374712917951"</f>
        <v>1552374712917951</v>
      </c>
      <c r="C6605" t="s">
        <v>40</v>
      </c>
      <c r="D6605">
        <v>5.2157960000000001</v>
      </c>
      <c r="E6605">
        <v>0.47562759999999998</v>
      </c>
      <c r="F6605" t="s">
        <v>85</v>
      </c>
      <c r="G6605">
        <v>-208.98230000000001</v>
      </c>
      <c r="H6605" s="1">
        <v>-9.6139260000000007E-7</v>
      </c>
      <c r="I6605">
        <v>-59.094850000000001</v>
      </c>
      <c r="J6605">
        <v>-216.63050000000001</v>
      </c>
      <c r="K6605">
        <v>1.1136919999999999</v>
      </c>
      <c r="L6605">
        <v>-62.383389999999999</v>
      </c>
      <c r="M6605">
        <v>0.98889689999999997</v>
      </c>
      <c r="N6605">
        <v>0</v>
      </c>
      <c r="O6605">
        <v>0.1481847</v>
      </c>
      <c r="P6605">
        <v>0.94321069999999996</v>
      </c>
      <c r="Q6605">
        <v>5.0094350000000003E-2</v>
      </c>
      <c r="R6605">
        <v>0.32839639999999998</v>
      </c>
      <c r="S6605">
        <v>2.7896580000000002</v>
      </c>
      <c r="T6605">
        <v>-0.39882610000000002</v>
      </c>
      <c r="U6605">
        <v>1.1859740000000001</v>
      </c>
      <c r="V6605">
        <v>-0.1855513</v>
      </c>
      <c r="W6605">
        <v>5.9303590000000003E-2</v>
      </c>
      <c r="X6605">
        <v>0.98084340000000003</v>
      </c>
      <c r="Y6605">
        <v>-0.2496746</v>
      </c>
      <c r="Z6605">
        <v>-2.9802790000000002E-3</v>
      </c>
      <c r="AA6605">
        <v>0.9683252</v>
      </c>
      <c r="AB6605">
        <v>29</v>
      </c>
      <c r="AC6605">
        <v>7.6482000000000001</v>
      </c>
      <c r="AD6605">
        <v>-1.1136929613926001</v>
      </c>
      <c r="AE6605">
        <v>3.2885399999999998</v>
      </c>
      <c r="AF6605">
        <v>-2.0815622534288898</v>
      </c>
      <c r="AG6605">
        <v>-1.1136929613926001</v>
      </c>
      <c r="AH6605">
        <v>7.9095490587983104</v>
      </c>
      <c r="AI6605">
        <v>97.754112942034794</v>
      </c>
      <c r="AJ6605">
        <v>104.744253684113</v>
      </c>
      <c r="AK6605">
        <v>8.2543430835344207</v>
      </c>
      <c r="AL6605">
        <v>86.600159727586799</v>
      </c>
      <c r="AM6605">
        <v>100.71235222136301</v>
      </c>
      <c r="AN6605">
        <v>0.99999998802106804</v>
      </c>
    </row>
    <row r="6606" spans="1:40" x14ac:dyDescent="0.25">
      <c r="A6606" t="str">
        <f>"20190312151152931"</f>
        <v>20190312151152931</v>
      </c>
      <c r="B6606" t="str">
        <f>"1552374712927711"</f>
        <v>1552374712927711</v>
      </c>
      <c r="C6606" t="s">
        <v>40</v>
      </c>
      <c r="D6606">
        <v>5.244237</v>
      </c>
      <c r="E6606">
        <v>0.47577000000000003</v>
      </c>
      <c r="F6606" t="s">
        <v>85</v>
      </c>
      <c r="G6606">
        <v>-208.78649999999999</v>
      </c>
      <c r="H6606" s="1">
        <v>-1.1038689999999999E-6</v>
      </c>
      <c r="I6606">
        <v>-59.027119999999996</v>
      </c>
      <c r="J6606">
        <v>-216.5044</v>
      </c>
      <c r="K6606">
        <v>1.113702</v>
      </c>
      <c r="L6606">
        <v>-62.362369999999999</v>
      </c>
      <c r="M6606">
        <v>0.98857720000000004</v>
      </c>
      <c r="N6606">
        <v>0</v>
      </c>
      <c r="O6606">
        <v>0.15030279999999999</v>
      </c>
      <c r="P6606">
        <v>0.94226180000000004</v>
      </c>
      <c r="Q6606">
        <v>4.9871480000000003E-2</v>
      </c>
      <c r="R6606">
        <v>0.33114270000000001</v>
      </c>
      <c r="S6606">
        <v>2.78653</v>
      </c>
      <c r="T6606">
        <v>-0.39563179999999998</v>
      </c>
      <c r="U6606">
        <v>1.192291</v>
      </c>
      <c r="V6606">
        <v>-0.18630540000000001</v>
      </c>
      <c r="W6606">
        <v>5.9070820000000003E-2</v>
      </c>
      <c r="X6606">
        <v>0.98071450000000004</v>
      </c>
      <c r="Y6606">
        <v>-0.24987819999999999</v>
      </c>
      <c r="Z6606">
        <v>-3.2238620000000001E-3</v>
      </c>
      <c r="AA6606">
        <v>0.96827189999999996</v>
      </c>
      <c r="AB6606">
        <v>29</v>
      </c>
      <c r="AC6606">
        <v>7.71790000000001</v>
      </c>
      <c r="AD6606">
        <v>-1.113703103869</v>
      </c>
      <c r="AE6606">
        <v>3.3352499999999998</v>
      </c>
      <c r="AF6606">
        <v>-2.1004087693068798</v>
      </c>
      <c r="AG6606">
        <v>-1.113703103869</v>
      </c>
      <c r="AH6606">
        <v>7.9913253849269301</v>
      </c>
      <c r="AI6606">
        <v>97.676408330070203</v>
      </c>
      <c r="AJ6606">
        <v>104.72631793581201</v>
      </c>
      <c r="AK6606">
        <v>8.3374656226893293</v>
      </c>
      <c r="AL6606">
        <v>86.613519919106906</v>
      </c>
      <c r="AM6606">
        <v>100.75625545376001</v>
      </c>
      <c r="AN6606">
        <v>0.99999999717744104</v>
      </c>
    </row>
    <row r="6607" spans="1:40" x14ac:dyDescent="0.25">
      <c r="A6607" t="str">
        <f>"20190312151152941"</f>
        <v>20190312151152941</v>
      </c>
      <c r="B6607" t="str">
        <f>"1552374712937471"</f>
        <v>1552374712937471</v>
      </c>
      <c r="C6607" t="s">
        <v>40</v>
      </c>
      <c r="D6607">
        <v>5.2416980000000004</v>
      </c>
      <c r="E6607">
        <v>0.47598980000000002</v>
      </c>
      <c r="F6607" t="s">
        <v>85</v>
      </c>
      <c r="G6607">
        <v>-208.678</v>
      </c>
      <c r="H6607" s="1">
        <v>-1.182649E-6</v>
      </c>
      <c r="I6607">
        <v>-58.990139999999997</v>
      </c>
      <c r="J6607">
        <v>-216.38079999999999</v>
      </c>
      <c r="K6607">
        <v>1.1137140000000001</v>
      </c>
      <c r="L6607">
        <v>-62.34158</v>
      </c>
      <c r="M6607">
        <v>0.98825879999999999</v>
      </c>
      <c r="N6607">
        <v>0</v>
      </c>
      <c r="O6607">
        <v>0.1523822</v>
      </c>
      <c r="P6607">
        <v>0.94126650000000001</v>
      </c>
      <c r="Q6607">
        <v>4.9999099999999998E-2</v>
      </c>
      <c r="R6607">
        <v>0.33394289999999999</v>
      </c>
      <c r="S6607">
        <v>2.783325</v>
      </c>
      <c r="T6607">
        <v>-0.3960708</v>
      </c>
      <c r="U6607">
        <v>1.1992799999999999</v>
      </c>
      <c r="V6607">
        <v>-0.1871631</v>
      </c>
      <c r="W6607">
        <v>5.9186009999999997E-2</v>
      </c>
      <c r="X6607">
        <v>0.98054419999999998</v>
      </c>
      <c r="Y6607">
        <v>-0.25030829999999998</v>
      </c>
      <c r="Z6607">
        <v>-3.47445E-3</v>
      </c>
      <c r="AA6607">
        <v>0.96815989999999996</v>
      </c>
      <c r="AB6607">
        <v>29</v>
      </c>
      <c r="AC6607">
        <v>7.7027999999999901</v>
      </c>
      <c r="AD6607">
        <v>-1.1137151826489999</v>
      </c>
      <c r="AE6607">
        <v>3.3514400000000002</v>
      </c>
      <c r="AF6607">
        <v>-2.1015139039381601</v>
      </c>
      <c r="AG6607">
        <v>-1.1137151826489999</v>
      </c>
      <c r="AH6607">
        <v>7.9832387941094503</v>
      </c>
      <c r="AI6607">
        <v>97.6834177768432</v>
      </c>
      <c r="AJ6607">
        <v>104.748003453145</v>
      </c>
      <c r="AK6607">
        <v>8.3299954285871305</v>
      </c>
      <c r="AL6607">
        <v>86.606908354884993</v>
      </c>
      <c r="AM6607">
        <v>100.80644364870901</v>
      </c>
      <c r="AN6607">
        <v>0.999999968967484</v>
      </c>
    </row>
    <row r="6608" spans="1:40" x14ac:dyDescent="0.25">
      <c r="A6608" t="str">
        <f>"20190312151152952"</f>
        <v>20190312151152952</v>
      </c>
      <c r="B6608" t="str">
        <f>"1552374712948208"</f>
        <v>1552374712948208</v>
      </c>
      <c r="C6608" t="s">
        <v>40</v>
      </c>
      <c r="D6608">
        <v>5.2524600000000001</v>
      </c>
      <c r="E6608">
        <v>0.47570649999999998</v>
      </c>
      <c r="F6608" t="s">
        <v>85</v>
      </c>
      <c r="G6608">
        <v>-208.55009999999999</v>
      </c>
      <c r="H6608" s="1">
        <v>-1.275881E-6</v>
      </c>
      <c r="I6608">
        <v>-58.945340000000002</v>
      </c>
      <c r="J6608">
        <v>-216.2328</v>
      </c>
      <c r="K6608">
        <v>1.113731</v>
      </c>
      <c r="L6608">
        <v>-62.316249999999997</v>
      </c>
      <c r="M6608">
        <v>0.98787020000000003</v>
      </c>
      <c r="N6608">
        <v>0</v>
      </c>
      <c r="O6608">
        <v>0.15488209999999999</v>
      </c>
      <c r="P6608">
        <v>0.94014569999999997</v>
      </c>
      <c r="Q6608">
        <v>4.9876339999999998E-2</v>
      </c>
      <c r="R6608">
        <v>0.33710319999999999</v>
      </c>
      <c r="S6608">
        <v>2.7803650000000002</v>
      </c>
      <c r="T6608">
        <v>-0.3954356</v>
      </c>
      <c r="U6608">
        <v>1.2058719999999901</v>
      </c>
      <c r="V6608">
        <v>-0.18797620000000001</v>
      </c>
      <c r="W6608">
        <v>5.9051310000000003E-2</v>
      </c>
      <c r="X6608">
        <v>0.98039679999999996</v>
      </c>
      <c r="Y6608">
        <v>-0.2501912</v>
      </c>
      <c r="Z6608">
        <v>-3.8081669999999999E-3</v>
      </c>
      <c r="AA6608">
        <v>0.96818890000000002</v>
      </c>
      <c r="AB6608">
        <v>29</v>
      </c>
      <c r="AC6608">
        <v>7.6827000000000103</v>
      </c>
      <c r="AD6608">
        <v>-1.113732275881</v>
      </c>
      <c r="AE6608">
        <v>3.3709099999999901</v>
      </c>
      <c r="AF6608">
        <v>-2.1031780874957602</v>
      </c>
      <c r="AG6608">
        <v>-1.113732275881</v>
      </c>
      <c r="AH6608">
        <v>7.9716262973801104</v>
      </c>
      <c r="AI6608">
        <v>97.693483704656899</v>
      </c>
      <c r="AJ6608">
        <v>104.779732322987</v>
      </c>
      <c r="AK6608">
        <v>8.3192898419963406</v>
      </c>
      <c r="AL6608">
        <v>86.6146397146412</v>
      </c>
      <c r="AM6608">
        <v>100.853870888849</v>
      </c>
      <c r="AN6608">
        <v>0.99999999721469801</v>
      </c>
    </row>
    <row r="6609" spans="1:40" x14ac:dyDescent="0.25">
      <c r="A6609" t="str">
        <f>"20190312151152974"</f>
        <v>20190312151152974</v>
      </c>
      <c r="B6609" t="str">
        <f>"1552374712967727"</f>
        <v>1552374712967727</v>
      </c>
      <c r="C6609" t="s">
        <v>40</v>
      </c>
      <c r="D6609">
        <v>5.2363200000000001</v>
      </c>
      <c r="E6609">
        <v>0.47570649999999998</v>
      </c>
      <c r="F6609" t="s">
        <v>85</v>
      </c>
      <c r="G6609">
        <v>-208.3982</v>
      </c>
      <c r="H6609" s="1">
        <v>-1.3897419999999999E-6</v>
      </c>
      <c r="I6609">
        <v>-58.880220000000001</v>
      </c>
      <c r="J6609">
        <v>-215.9462</v>
      </c>
      <c r="K6609">
        <v>1.1137699999999999</v>
      </c>
      <c r="L6609">
        <v>-62.266170000000002</v>
      </c>
      <c r="M6609">
        <v>0.98709469999999999</v>
      </c>
      <c r="N6609">
        <v>0</v>
      </c>
      <c r="O6609">
        <v>0.15974869999999999</v>
      </c>
      <c r="P6609">
        <v>0.93789350000000005</v>
      </c>
      <c r="Q6609">
        <v>4.980569E-2</v>
      </c>
      <c r="R6609">
        <v>0.34332980000000002</v>
      </c>
      <c r="S6609">
        <v>2.7754819999999998</v>
      </c>
      <c r="T6609">
        <v>-0.39455249999999997</v>
      </c>
      <c r="U6609">
        <v>1.217255</v>
      </c>
      <c r="V6609">
        <v>-0.18965019999999999</v>
      </c>
      <c r="W6609">
        <v>5.8953239999999997E-2</v>
      </c>
      <c r="X6609">
        <v>0.98008019999999996</v>
      </c>
      <c r="Y6609">
        <v>-0.2494268</v>
      </c>
      <c r="Z6609">
        <v>-4.4946500000000002E-3</v>
      </c>
      <c r="AA6609">
        <v>0.9683832</v>
      </c>
      <c r="AB6609">
        <v>29</v>
      </c>
      <c r="AC6609">
        <v>7.548</v>
      </c>
      <c r="AD6609">
        <v>-1.1137713897419901</v>
      </c>
      <c r="AE6609">
        <v>3.3859499999999998</v>
      </c>
      <c r="AF6609">
        <v>-2.0985644899685298</v>
      </c>
      <c r="AG6609">
        <v>-1.1137713897419901</v>
      </c>
      <c r="AH6609">
        <v>7.8497054760709002</v>
      </c>
      <c r="AI6609">
        <v>97.805069089658801</v>
      </c>
      <c r="AJ6609">
        <v>104.96759406927499</v>
      </c>
      <c r="AK6609">
        <v>8.2013618191262694</v>
      </c>
      <c r="AL6609">
        <v>86.620268326587805</v>
      </c>
      <c r="AM6609">
        <v>100.951654141661</v>
      </c>
      <c r="AN6609">
        <v>0.99999994064928699</v>
      </c>
    </row>
    <row r="6610" spans="1:40" x14ac:dyDescent="0.25">
      <c r="A6610" t="str">
        <f>"20190312151152989"</f>
        <v>20190312151152989</v>
      </c>
      <c r="B6610" t="str">
        <f>"1552374712977487"</f>
        <v>1552374712977487</v>
      </c>
      <c r="C6610" t="s">
        <v>40</v>
      </c>
      <c r="D6610">
        <v>5.1320550000000003</v>
      </c>
      <c r="E6610">
        <v>0.43662879999999898</v>
      </c>
      <c r="F6610" t="s">
        <v>85</v>
      </c>
      <c r="G6610">
        <v>-208.1352</v>
      </c>
      <c r="H6610" s="1">
        <v>-1.5843560000000001E-6</v>
      </c>
      <c r="I6610">
        <v>-58.777189999999997</v>
      </c>
      <c r="J6610">
        <v>-215.77690000000001</v>
      </c>
      <c r="K6610">
        <v>1.113794</v>
      </c>
      <c r="L6610">
        <v>-62.235810000000001</v>
      </c>
      <c r="M6610">
        <v>0.98662099999999997</v>
      </c>
      <c r="N6610">
        <v>0</v>
      </c>
      <c r="O6610">
        <v>0.16264819999999999</v>
      </c>
      <c r="P6610">
        <v>0.93655630000000001</v>
      </c>
      <c r="Q6610">
        <v>4.9571810000000001E-2</v>
      </c>
      <c r="R6610">
        <v>0.34699410000000003</v>
      </c>
      <c r="S6610">
        <v>2.767166</v>
      </c>
      <c r="T6610">
        <v>-0.3945688</v>
      </c>
      <c r="U6610">
        <v>1.2360230000000001</v>
      </c>
      <c r="V6610">
        <v>-0.1906021</v>
      </c>
      <c r="W6610">
        <v>5.870239E-2</v>
      </c>
      <c r="X6610">
        <v>0.97991070000000002</v>
      </c>
      <c r="Y6610">
        <v>-0.25313150000000001</v>
      </c>
      <c r="Z6610">
        <v>-4.6297719999999999E-3</v>
      </c>
      <c r="AA6610">
        <v>0.96742079999999997</v>
      </c>
      <c r="AB6610">
        <v>29</v>
      </c>
      <c r="AC6610">
        <v>7.6417000000000099</v>
      </c>
      <c r="AD6610">
        <v>-1.1137955843559999</v>
      </c>
      <c r="AE6610">
        <v>3.45861999999999</v>
      </c>
      <c r="AF6610">
        <v>-2.1319825440037201</v>
      </c>
      <c r="AG6610">
        <v>-1.1137955843559999</v>
      </c>
      <c r="AH6610">
        <v>7.9621172069077799</v>
      </c>
      <c r="AI6610">
        <v>97.695567293493397</v>
      </c>
      <c r="AJ6610">
        <v>104.990194877506</v>
      </c>
      <c r="AK6610">
        <v>8.3175237052986208</v>
      </c>
      <c r="AL6610">
        <v>86.634666295413695</v>
      </c>
      <c r="AM6610">
        <v>101.00714141988701</v>
      </c>
      <c r="AN6610">
        <v>1.0000000555452999</v>
      </c>
    </row>
    <row r="6611" spans="1:40" x14ac:dyDescent="0.25">
      <c r="A6611" t="str">
        <f>"20190312151153001"</f>
        <v>20190312151153001</v>
      </c>
      <c r="B6611" t="str">
        <f>"1552374712997984"</f>
        <v>1552374712997984</v>
      </c>
      <c r="C6611" t="s">
        <v>40</v>
      </c>
      <c r="D6611">
        <v>5.2707810000000004</v>
      </c>
      <c r="E6611">
        <v>0.4248111</v>
      </c>
      <c r="F6611" t="s">
        <v>85</v>
      </c>
      <c r="G6611">
        <v>-206.66460000000001</v>
      </c>
      <c r="H6611" s="1">
        <v>-3.0030790000000002E-6</v>
      </c>
      <c r="I6611">
        <v>-56.955779999999997</v>
      </c>
      <c r="J6611">
        <v>-215.59729999999999</v>
      </c>
      <c r="K6611">
        <v>1.1138220000000001</v>
      </c>
      <c r="L6611">
        <v>-62.203130000000002</v>
      </c>
      <c r="M6611">
        <v>0.98610609999999999</v>
      </c>
      <c r="N6611">
        <v>0</v>
      </c>
      <c r="O6611">
        <v>0.16574159999999999</v>
      </c>
      <c r="P6611">
        <v>0.93523679999999998</v>
      </c>
      <c r="Q6611">
        <v>4.968115E-2</v>
      </c>
      <c r="R6611">
        <v>0.35051969999999999</v>
      </c>
      <c r="S6611">
        <v>2.65123</v>
      </c>
      <c r="T6611">
        <v>-0.32405970000000001</v>
      </c>
      <c r="U6611">
        <v>1.536224</v>
      </c>
      <c r="V6611">
        <v>-0.1912266</v>
      </c>
      <c r="W6611">
        <v>5.8797589999999997E-2</v>
      </c>
      <c r="X6611">
        <v>0.97978319999999997</v>
      </c>
      <c r="Y6611">
        <v>-0.34999360000000002</v>
      </c>
      <c r="Z6611">
        <v>1.314225E-3</v>
      </c>
      <c r="AA6611">
        <v>0.93675120000000001</v>
      </c>
      <c r="AB6611">
        <v>29</v>
      </c>
      <c r="AC6611">
        <v>8.9326999999999792</v>
      </c>
      <c r="AD6611">
        <v>-1.11382500307899</v>
      </c>
      <c r="AE6611">
        <v>5.2473499999999902</v>
      </c>
      <c r="AF6611">
        <v>-3.6519408682455099</v>
      </c>
      <c r="AG6611">
        <v>-1.11382500307899</v>
      </c>
      <c r="AH6611">
        <v>9.5682962946250605</v>
      </c>
      <c r="AI6611">
        <v>96.206848652080794</v>
      </c>
      <c r="AJ6611">
        <v>110.89040339629599</v>
      </c>
      <c r="AK6611">
        <v>10.301920802664901</v>
      </c>
      <c r="AL6611">
        <v>86.629201923501498</v>
      </c>
      <c r="AM6611">
        <v>101.043722467675</v>
      </c>
      <c r="AN6611">
        <v>0.99999994406980197</v>
      </c>
    </row>
    <row r="6612" spans="1:40" x14ac:dyDescent="0.25">
      <c r="A6612" t="str">
        <f>"20190312151153011"</f>
        <v>20190312151153011</v>
      </c>
      <c r="B6612" t="str">
        <f>"1552374713007743"</f>
        <v>1552374713007743</v>
      </c>
      <c r="C6612" t="s">
        <v>40</v>
      </c>
      <c r="D6612">
        <v>5.258648</v>
      </c>
      <c r="E6612">
        <v>0.4216628</v>
      </c>
      <c r="F6612" t="s">
        <v>85</v>
      </c>
      <c r="G6612">
        <v>-207.57730000000001</v>
      </c>
      <c r="H6612" s="1">
        <v>-2.3634000000000001E-6</v>
      </c>
      <c r="I6612">
        <v>-57.181899999999999</v>
      </c>
      <c r="J6612">
        <v>-215.46680000000001</v>
      </c>
      <c r="K6612">
        <v>1.113845</v>
      </c>
      <c r="L6612">
        <v>-62.178890000000003</v>
      </c>
      <c r="M6612">
        <v>0.98572219999999999</v>
      </c>
      <c r="N6612">
        <v>0</v>
      </c>
      <c r="O6612">
        <v>0.16800809999999999</v>
      </c>
      <c r="P6612">
        <v>0.9340541</v>
      </c>
      <c r="Q6612">
        <v>4.9814079999999997E-2</v>
      </c>
      <c r="R6612">
        <v>0.35364020000000002</v>
      </c>
      <c r="S6612">
        <v>2.613693</v>
      </c>
      <c r="T6612">
        <v>-0.3629947</v>
      </c>
      <c r="U6612">
        <v>1.636414</v>
      </c>
      <c r="V6612">
        <v>-0.19225210000000001</v>
      </c>
      <c r="W6612">
        <v>5.8913260000000002E-2</v>
      </c>
      <c r="X6612">
        <v>0.97957559999999999</v>
      </c>
      <c r="Y6612">
        <v>-0.37928050000000002</v>
      </c>
      <c r="Z6612">
        <v>3.0718199999999998E-3</v>
      </c>
      <c r="AA6612">
        <v>0.9252766</v>
      </c>
      <c r="AB6612">
        <v>30</v>
      </c>
      <c r="AC6612">
        <v>7.8894999999999902</v>
      </c>
      <c r="AD6612">
        <v>-1.1138473633999999</v>
      </c>
      <c r="AE6612">
        <v>4.9969900000000003</v>
      </c>
      <c r="AF6612">
        <v>-3.5498708014142299</v>
      </c>
      <c r="AG6612">
        <v>-1.1138473633999999</v>
      </c>
      <c r="AH6612">
        <v>8.4960687677687492</v>
      </c>
      <c r="AI6612">
        <v>96.897383378865698</v>
      </c>
      <c r="AJ6612">
        <v>112.67639658740499</v>
      </c>
      <c r="AK6612">
        <v>9.2749891192573397</v>
      </c>
      <c r="AL6612">
        <v>86.622563198069997</v>
      </c>
      <c r="AM6612">
        <v>101.10377401007101</v>
      </c>
      <c r="AN6612">
        <v>0.99999999913679805</v>
      </c>
    </row>
    <row r="6613" spans="1:40" x14ac:dyDescent="0.25">
      <c r="A6613" t="str">
        <f>"20190312151153021"</f>
        <v>20190312151153021</v>
      </c>
      <c r="B6613" t="str">
        <f>"1552374713017503"</f>
        <v>1552374713017503</v>
      </c>
      <c r="C6613" t="s">
        <v>40</v>
      </c>
      <c r="D6613">
        <v>5.2019900000000003</v>
      </c>
      <c r="E6613">
        <v>0.42001660000000002</v>
      </c>
      <c r="F6613" t="s">
        <v>85</v>
      </c>
      <c r="G6613">
        <v>-207.81899999999999</v>
      </c>
      <c r="H6613" s="1">
        <v>-2.1868279999999999E-6</v>
      </c>
      <c r="I6613">
        <v>-57.2682</v>
      </c>
      <c r="J6613">
        <v>-215.34469999999999</v>
      </c>
      <c r="K6613">
        <v>1.113869</v>
      </c>
      <c r="L6613">
        <v>-62.156039999999997</v>
      </c>
      <c r="M6613">
        <v>0.98535700000000004</v>
      </c>
      <c r="N6613">
        <v>0</v>
      </c>
      <c r="O6613">
        <v>0.17013729999999999</v>
      </c>
      <c r="P6613">
        <v>0.9329018</v>
      </c>
      <c r="Q6613">
        <v>4.9513559999999998E-2</v>
      </c>
      <c r="R6613">
        <v>0.3567109</v>
      </c>
      <c r="S6613">
        <v>2.5999300000000001</v>
      </c>
      <c r="T6613">
        <v>-0.378662</v>
      </c>
      <c r="U6613">
        <v>1.6694340000000001</v>
      </c>
      <c r="V6613">
        <v>-0.19335559999999999</v>
      </c>
      <c r="W6613">
        <v>5.8595759999999997E-2</v>
      </c>
      <c r="X6613">
        <v>0.97937739999999995</v>
      </c>
      <c r="Y6613">
        <v>-0.38766420000000001</v>
      </c>
      <c r="Z6613">
        <v>3.4963939999999999E-3</v>
      </c>
      <c r="AA6613">
        <v>0.921794</v>
      </c>
      <c r="AB6613">
        <v>30</v>
      </c>
      <c r="AC6613">
        <v>7.5256999999999703</v>
      </c>
      <c r="AD6613">
        <v>-1.113871186828</v>
      </c>
      <c r="AE6613">
        <v>4.8878399999999997</v>
      </c>
      <c r="AF6613">
        <v>-3.48243088709313</v>
      </c>
      <c r="AG6613">
        <v>-1.113871186828</v>
      </c>
      <c r="AH6613">
        <v>8.1224743567549993</v>
      </c>
      <c r="AI6613">
        <v>97.183609893576502</v>
      </c>
      <c r="AJ6613">
        <v>113.206757062264</v>
      </c>
      <c r="AK6613">
        <v>8.9074476467935799</v>
      </c>
      <c r="AL6613">
        <v>86.640785995575001</v>
      </c>
      <c r="AM6613">
        <v>101.168113895443</v>
      </c>
      <c r="AN6613">
        <v>0.99999997138604801</v>
      </c>
    </row>
    <row r="6614" spans="1:40" x14ac:dyDescent="0.25">
      <c r="A6614" t="str">
        <f>"20190312151153032"</f>
        <v>20190312151153032</v>
      </c>
      <c r="B6614" t="str">
        <f>"1552374713028239"</f>
        <v>1552374713028239</v>
      </c>
      <c r="C6614" t="s">
        <v>40</v>
      </c>
      <c r="D6614">
        <v>5.2137060000000002</v>
      </c>
      <c r="E6614">
        <v>0.41909030000000003</v>
      </c>
      <c r="F6614" t="s">
        <v>41</v>
      </c>
      <c r="G6614">
        <v>-214.39830000000001</v>
      </c>
      <c r="H6614">
        <v>0.97169170000000005</v>
      </c>
      <c r="I6614">
        <v>-61.538330000000002</v>
      </c>
      <c r="J6614">
        <v>-215.20779999999999</v>
      </c>
      <c r="K6614">
        <v>1.1138969999999999</v>
      </c>
      <c r="L6614">
        <v>-62.129969999999901</v>
      </c>
      <c r="M6614">
        <v>0.98493839999999999</v>
      </c>
      <c r="N6614">
        <v>0</v>
      </c>
      <c r="O6614">
        <v>0.1725428</v>
      </c>
      <c r="P6614">
        <v>0.93175450000000004</v>
      </c>
      <c r="Q6614">
        <v>4.9617519999999998E-2</v>
      </c>
      <c r="R6614">
        <v>0.35968280000000002</v>
      </c>
      <c r="S6614">
        <v>2.5899200000000002</v>
      </c>
      <c r="T6614">
        <v>-0.38909579999999999</v>
      </c>
      <c r="U6614">
        <v>1.6907650000000001</v>
      </c>
      <c r="V6614">
        <v>-0.19409290000000001</v>
      </c>
      <c r="W6614">
        <v>5.8686679999999998E-2</v>
      </c>
      <c r="X6614">
        <v>0.97922620000000005</v>
      </c>
      <c r="Y6614">
        <v>-0.39226529999999998</v>
      </c>
      <c r="Z6614">
        <v>3.597425E-3</v>
      </c>
      <c r="AA6614">
        <v>0.91984509999999997</v>
      </c>
      <c r="AB6614">
        <v>30</v>
      </c>
      <c r="AC6614">
        <v>0.80949999999998501</v>
      </c>
      <c r="AD6614">
        <v>-0.14220529999999901</v>
      </c>
      <c r="AE6614">
        <v>0.59163999999999095</v>
      </c>
      <c r="AF6614">
        <v>-0.43434637360639</v>
      </c>
      <c r="AG6614">
        <v>-0.14220529999999901</v>
      </c>
      <c r="AH6614">
        <v>0.88171144635024201</v>
      </c>
      <c r="AI6614">
        <v>98.232477355579803</v>
      </c>
      <c r="AJ6614">
        <v>116.225658046753</v>
      </c>
      <c r="AK6614">
        <v>0.99312345367439003</v>
      </c>
      <c r="AL6614">
        <v>86.635568000090998</v>
      </c>
      <c r="AM6614">
        <v>101.211310498751</v>
      </c>
      <c r="AN6614">
        <v>1.00000006550313</v>
      </c>
    </row>
    <row r="6615" spans="1:40" x14ac:dyDescent="0.25">
      <c r="A6615" t="str">
        <f>"20190312151153041"</f>
        <v>20190312151153041</v>
      </c>
      <c r="B6615" t="str">
        <f>"1552374713037998"</f>
        <v>1552374713037998</v>
      </c>
      <c r="C6615" t="s">
        <v>40</v>
      </c>
      <c r="D6615">
        <v>5.1369740000000004</v>
      </c>
      <c r="E6615">
        <v>0.41852070000000002</v>
      </c>
      <c r="F6615" t="s">
        <v>85</v>
      </c>
      <c r="G6615">
        <v>-207.9973</v>
      </c>
      <c r="H6615" s="1">
        <v>-2.0476390000000001E-6</v>
      </c>
      <c r="I6615">
        <v>-57.365389999999998</v>
      </c>
      <c r="J6615">
        <v>-215.08510000000001</v>
      </c>
      <c r="K6615">
        <v>1.1139239999999999</v>
      </c>
      <c r="L6615">
        <v>-62.106380000000001</v>
      </c>
      <c r="M6615">
        <v>0.98455599999999999</v>
      </c>
      <c r="N6615">
        <v>0</v>
      </c>
      <c r="O6615">
        <v>0.1747118</v>
      </c>
      <c r="P6615">
        <v>0.9307261</v>
      </c>
      <c r="Q6615">
        <v>4.9515400000000001E-2</v>
      </c>
      <c r="R6615">
        <v>0.3623497</v>
      </c>
      <c r="S6615">
        <v>2.5822910000000001</v>
      </c>
      <c r="T6615">
        <v>-0.3989182</v>
      </c>
      <c r="U6615">
        <v>1.706329</v>
      </c>
      <c r="V6615">
        <v>-0.1947422</v>
      </c>
      <c r="W6615">
        <v>5.8572430000000002E-2</v>
      </c>
      <c r="X6615">
        <v>0.97910399999999997</v>
      </c>
      <c r="Y6615">
        <v>-0.39525739999999998</v>
      </c>
      <c r="Z6615">
        <v>3.6108659999999999E-3</v>
      </c>
      <c r="AA6615">
        <v>0.91856329999999997</v>
      </c>
      <c r="AB6615">
        <v>30</v>
      </c>
      <c r="AC6615">
        <v>7.0878000000000103</v>
      </c>
      <c r="AD6615">
        <v>-1.1139260476389901</v>
      </c>
      <c r="AE6615">
        <v>4.7409899999999903</v>
      </c>
      <c r="AF6615">
        <v>-3.3721189234877298</v>
      </c>
      <c r="AG6615">
        <v>-1.1139260476389901</v>
      </c>
      <c r="AH6615">
        <v>7.6761418791334499</v>
      </c>
      <c r="AI6615">
        <v>97.568028703566299</v>
      </c>
      <c r="AJ6615">
        <v>113.71582023299899</v>
      </c>
      <c r="AK6615">
        <v>8.4578467367492003</v>
      </c>
      <c r="AL6615">
        <v>86.642124928713201</v>
      </c>
      <c r="AM6615">
        <v>101.24922911314</v>
      </c>
      <c r="AN6615">
        <v>0.999999948416471</v>
      </c>
    </row>
    <row r="6616" spans="1:40" x14ac:dyDescent="0.25">
      <c r="A6616" t="str">
        <f>"20190312151153052"</f>
        <v>20190312151153052</v>
      </c>
      <c r="B6616" t="str">
        <f>"1552374713047759"</f>
        <v>1552374713047759</v>
      </c>
      <c r="C6616" t="s">
        <v>40</v>
      </c>
      <c r="D6616">
        <v>5.1898749999999998</v>
      </c>
      <c r="E6616">
        <v>0.41818529999999998</v>
      </c>
      <c r="F6616" t="s">
        <v>41</v>
      </c>
      <c r="G6616">
        <v>-214.16800000000001</v>
      </c>
      <c r="H6616">
        <v>0.97015700000000005</v>
      </c>
      <c r="I6616">
        <v>-61.49465</v>
      </c>
      <c r="J6616">
        <v>-214.93549999999999</v>
      </c>
      <c r="K6616">
        <v>1.11396299999999</v>
      </c>
      <c r="L6616">
        <v>-62.077179999999998</v>
      </c>
      <c r="M6616">
        <v>0.98407909999999998</v>
      </c>
      <c r="N6616">
        <v>0</v>
      </c>
      <c r="O6616">
        <v>0.17737739999999999</v>
      </c>
      <c r="P6616">
        <v>0.9295968</v>
      </c>
      <c r="Q6616">
        <v>4.9187799999999997E-2</v>
      </c>
      <c r="R6616">
        <v>0.36528149999999998</v>
      </c>
      <c r="S6616">
        <v>2.575745</v>
      </c>
      <c r="T6616">
        <v>-0.40381929999999999</v>
      </c>
      <c r="U6616">
        <v>1.7183839999999999</v>
      </c>
      <c r="V6616">
        <v>-0.1951756</v>
      </c>
      <c r="W6616">
        <v>5.8233510000000002E-2</v>
      </c>
      <c r="X6616">
        <v>0.97903790000000002</v>
      </c>
      <c r="Y6616">
        <v>-0.39678960000000002</v>
      </c>
      <c r="Z6616">
        <v>3.4056059999999998E-3</v>
      </c>
      <c r="AA6616">
        <v>0.91790329999999998</v>
      </c>
      <c r="AB6616">
        <v>30</v>
      </c>
      <c r="AC6616">
        <v>0.76749999999998397</v>
      </c>
      <c r="AD6616">
        <v>-0.14380599999999899</v>
      </c>
      <c r="AE6616">
        <v>0.58253000000000499</v>
      </c>
      <c r="AF6616">
        <v>-0.42762059302303601</v>
      </c>
      <c r="AG6616">
        <v>-0.14380599999999899</v>
      </c>
      <c r="AH6616">
        <v>0.83995224642339295</v>
      </c>
      <c r="AI6616">
        <v>98.674891745908894</v>
      </c>
      <c r="AJ6616">
        <v>116.980693369433</v>
      </c>
      <c r="AK6616">
        <v>0.953446020226146</v>
      </c>
      <c r="AL6616">
        <v>86.661576766774004</v>
      </c>
      <c r="AM6616">
        <v>101.274365494663</v>
      </c>
      <c r="AN6616">
        <v>0.99999993307934198</v>
      </c>
    </row>
    <row r="6617" spans="1:40" x14ac:dyDescent="0.25">
      <c r="A6617" t="str">
        <f>"20190312151153064"</f>
        <v>20190312151153064</v>
      </c>
      <c r="B6617" t="str">
        <f>"1552374713057518"</f>
        <v>1552374713057518</v>
      </c>
      <c r="C6617" t="s">
        <v>40</v>
      </c>
      <c r="D6617">
        <v>5.1736230000000001</v>
      </c>
      <c r="E6617">
        <v>0.41800110000000001</v>
      </c>
      <c r="F6617" t="s">
        <v>85</v>
      </c>
      <c r="G6617">
        <v>-207.9725</v>
      </c>
      <c r="H6617" s="1">
        <v>-2.056678E-6</v>
      </c>
      <c r="I6617">
        <v>-57.390790000000003</v>
      </c>
      <c r="J6617">
        <v>-214.79560000000001</v>
      </c>
      <c r="K6617">
        <v>1.1139950000000001</v>
      </c>
      <c r="L6617">
        <v>-62.049439999999997</v>
      </c>
      <c r="M6617">
        <v>0.98362179999999999</v>
      </c>
      <c r="N6617">
        <v>0</v>
      </c>
      <c r="O6617">
        <v>0.17989479999999999</v>
      </c>
      <c r="P6617">
        <v>0.92835769999999995</v>
      </c>
      <c r="Q6617">
        <v>4.9116470000000002E-2</v>
      </c>
      <c r="R6617">
        <v>0.36842859999999999</v>
      </c>
      <c r="S6617">
        <v>2.5694270000000001</v>
      </c>
      <c r="T6617">
        <v>-0.4110605</v>
      </c>
      <c r="U6617">
        <v>1.729309</v>
      </c>
      <c r="V6617">
        <v>-0.19599169999999999</v>
      </c>
      <c r="W6617">
        <v>5.814544E-2</v>
      </c>
      <c r="X6617">
        <v>0.97888019999999998</v>
      </c>
      <c r="Y6617">
        <v>-0.39811809999999997</v>
      </c>
      <c r="Z6617">
        <v>3.218144E-3</v>
      </c>
      <c r="AA6617">
        <v>0.91732849999999999</v>
      </c>
      <c r="AB6617">
        <v>30</v>
      </c>
      <c r="AC6617">
        <v>6.8231000000000099</v>
      </c>
      <c r="AD6617">
        <v>-1.113997056678</v>
      </c>
      <c r="AE6617">
        <v>4.6586499999999997</v>
      </c>
      <c r="AF6617">
        <v>-3.2952108606150099</v>
      </c>
      <c r="AG6617">
        <v>-1.113997056678</v>
      </c>
      <c r="AH6617">
        <v>7.41507941103891</v>
      </c>
      <c r="AI6617">
        <v>97.817164814490098</v>
      </c>
      <c r="AJ6617">
        <v>113.96003709524599</v>
      </c>
      <c r="AK6617">
        <v>8.1904094360548001</v>
      </c>
      <c r="AL6617">
        <v>86.666631735662406</v>
      </c>
      <c r="AM6617">
        <v>101.322069462611</v>
      </c>
      <c r="AN6617">
        <v>1.00000004230686</v>
      </c>
    </row>
    <row r="6618" spans="1:40" x14ac:dyDescent="0.25">
      <c r="A6618" t="str">
        <f>"20190312151153076"</f>
        <v>20190312151153076</v>
      </c>
      <c r="B6618" t="str">
        <f>"1552374713068255"</f>
        <v>1552374713068255</v>
      </c>
      <c r="C6618" t="s">
        <v>40</v>
      </c>
      <c r="D6618">
        <v>5.1775529999999996</v>
      </c>
      <c r="E6618">
        <v>0.41778460000000001</v>
      </c>
      <c r="F6618" t="s">
        <v>85</v>
      </c>
      <c r="G6618">
        <v>-207.92179999999999</v>
      </c>
      <c r="H6618" s="1">
        <v>-2.0908139999999999E-6</v>
      </c>
      <c r="I6618">
        <v>-57.383629999999997</v>
      </c>
      <c r="J6618">
        <v>-214.63310000000001</v>
      </c>
      <c r="K6618">
        <v>1.114036</v>
      </c>
      <c r="L6618">
        <v>-62.016849999999998</v>
      </c>
      <c r="M6618">
        <v>0.98307920000000004</v>
      </c>
      <c r="N6618">
        <v>0</v>
      </c>
      <c r="O6618">
        <v>0.18283640000000001</v>
      </c>
      <c r="P6618">
        <v>0.9269425</v>
      </c>
      <c r="Q6618">
        <v>4.9010409999999997E-2</v>
      </c>
      <c r="R6618">
        <v>0.37198890000000001</v>
      </c>
      <c r="S6618">
        <v>2.5630489999999999</v>
      </c>
      <c r="T6618">
        <v>-0.41537770000000002</v>
      </c>
      <c r="U6618">
        <v>1.739746</v>
      </c>
      <c r="V6618">
        <v>-0.1968239</v>
      </c>
      <c r="W6618">
        <v>5.8020710000000003E-2</v>
      </c>
      <c r="X6618">
        <v>0.97872060000000005</v>
      </c>
      <c r="Y6618">
        <v>-0.39897189999999999</v>
      </c>
      <c r="Z6618">
        <v>2.9069450000000002E-3</v>
      </c>
      <c r="AA6618">
        <v>0.91695859999999996</v>
      </c>
      <c r="AB6618">
        <v>30</v>
      </c>
      <c r="AC6618">
        <v>6.71130000000002</v>
      </c>
      <c r="AD6618">
        <v>-1.114038090814</v>
      </c>
      <c r="AE6618">
        <v>4.6332199999999899</v>
      </c>
      <c r="AF6618">
        <v>-3.2669981995480599</v>
      </c>
      <c r="AG6618">
        <v>-1.114038090814</v>
      </c>
      <c r="AH6618">
        <v>7.3089414292275903</v>
      </c>
      <c r="AI6618">
        <v>97.921992217419003</v>
      </c>
      <c r="AJ6618">
        <v>114.083998958853</v>
      </c>
      <c r="AK6618">
        <v>8.0830058096919792</v>
      </c>
      <c r="AL6618">
        <v>86.673790287859902</v>
      </c>
      <c r="AM6618">
        <v>101.370700278784</v>
      </c>
      <c r="AN6618">
        <v>1.0000000316322299</v>
      </c>
    </row>
    <row r="6619" spans="1:40" x14ac:dyDescent="0.25">
      <c r="A6619" t="str">
        <f>"20190312151153087"</f>
        <v>20190312151153087</v>
      </c>
      <c r="B6619" t="str">
        <f>"1552374713078016"</f>
        <v>1552374713078016</v>
      </c>
      <c r="C6619" t="s">
        <v>40</v>
      </c>
      <c r="D6619">
        <v>5.1631260000000001</v>
      </c>
      <c r="E6619">
        <v>0.41765590000000002</v>
      </c>
      <c r="F6619" t="s">
        <v>85</v>
      </c>
      <c r="G6619">
        <v>-207.82130000000001</v>
      </c>
      <c r="H6619" s="1">
        <v>-2.1637569999999998E-6</v>
      </c>
      <c r="I6619">
        <v>-57.34939</v>
      </c>
      <c r="J6619">
        <v>-214.4907</v>
      </c>
      <c r="K6619">
        <v>1.114072</v>
      </c>
      <c r="L6619">
        <v>-61.987639999999999</v>
      </c>
      <c r="M6619">
        <v>0.98258840000000003</v>
      </c>
      <c r="N6619">
        <v>0</v>
      </c>
      <c r="O6619">
        <v>0.18545519999999999</v>
      </c>
      <c r="P6619">
        <v>0.92574880000000004</v>
      </c>
      <c r="Q6619">
        <v>4.8757229999999999E-2</v>
      </c>
      <c r="R6619">
        <v>0.37498280000000001</v>
      </c>
      <c r="S6619">
        <v>2.555771</v>
      </c>
      <c r="T6619">
        <v>-0.41798469999999999</v>
      </c>
      <c r="U6619">
        <v>1.7512209999999999</v>
      </c>
      <c r="V6619">
        <v>-0.1973799</v>
      </c>
      <c r="W6619">
        <v>5.7751759999999999E-2</v>
      </c>
      <c r="X6619">
        <v>0.97862450000000001</v>
      </c>
      <c r="Y6619">
        <v>-0.40053309999999998</v>
      </c>
      <c r="Z6619">
        <v>2.67636E-3</v>
      </c>
      <c r="AA6619">
        <v>0.91627840000000005</v>
      </c>
      <c r="AB6619">
        <v>30</v>
      </c>
      <c r="AC6619">
        <v>6.6693999999999898</v>
      </c>
      <c r="AD6619">
        <v>-1.114074163757</v>
      </c>
      <c r="AE6619">
        <v>4.6382499999999904</v>
      </c>
      <c r="AF6619">
        <v>-3.2595234137743501</v>
      </c>
      <c r="AG6619">
        <v>-1.114074163757</v>
      </c>
      <c r="AH6619">
        <v>7.2770705889854597</v>
      </c>
      <c r="AI6619">
        <v>97.953774348371695</v>
      </c>
      <c r="AJ6619">
        <v>114.128417439087</v>
      </c>
      <c r="AK6619">
        <v>8.0511744785696493</v>
      </c>
      <c r="AL6619">
        <v>86.689225769560196</v>
      </c>
      <c r="AM6619">
        <v>101.40307105261</v>
      </c>
      <c r="AN6619">
        <v>1.0000000013536701</v>
      </c>
    </row>
    <row r="6620" spans="1:40" x14ac:dyDescent="0.25">
      <c r="A6620" t="str">
        <f>"20190312151153100"</f>
        <v>20190312151153100</v>
      </c>
      <c r="B6620" t="str">
        <f>"1552374713087775"</f>
        <v>1552374713087775</v>
      </c>
      <c r="C6620" t="s">
        <v>40</v>
      </c>
      <c r="D6620">
        <v>5.1590259999999999</v>
      </c>
      <c r="E6620">
        <v>0.4178521</v>
      </c>
      <c r="F6620" t="s">
        <v>85</v>
      </c>
      <c r="G6620">
        <v>-207.72489999999999</v>
      </c>
      <c r="H6620" s="1">
        <v>-2.2337450000000001E-6</v>
      </c>
      <c r="I6620">
        <v>-57.316670000000002</v>
      </c>
      <c r="J6620">
        <v>-214.3339</v>
      </c>
      <c r="K6620">
        <v>1.1141110000000001</v>
      </c>
      <c r="L6620">
        <v>-61.955260000000003</v>
      </c>
      <c r="M6620">
        <v>0.98203759999999996</v>
      </c>
      <c r="N6620">
        <v>0</v>
      </c>
      <c r="O6620">
        <v>0.1883502</v>
      </c>
      <c r="P6620">
        <v>0.92438180000000003</v>
      </c>
      <c r="Q6620">
        <v>4.8210799999999998E-2</v>
      </c>
      <c r="R6620">
        <v>0.37841019999999997</v>
      </c>
      <c r="S6620">
        <v>2.5497130000000001</v>
      </c>
      <c r="T6620">
        <v>-0.41984569999999999</v>
      </c>
      <c r="U6620">
        <v>1.760284</v>
      </c>
      <c r="V6620">
        <v>-0.19811709999999999</v>
      </c>
      <c r="W6620">
        <v>5.7185739999999999E-2</v>
      </c>
      <c r="X6620">
        <v>0.97850879999999996</v>
      </c>
      <c r="Y6620">
        <v>-0.4010608</v>
      </c>
      <c r="Z6620">
        <v>2.3216999999999999E-3</v>
      </c>
      <c r="AA6620">
        <v>0.91604850000000004</v>
      </c>
      <c r="AB6620">
        <v>30</v>
      </c>
      <c r="AC6620">
        <v>6.609</v>
      </c>
      <c r="AD6620">
        <v>-1.1141132337449999</v>
      </c>
      <c r="AE6620">
        <v>4.6385899999999998</v>
      </c>
      <c r="AF6620">
        <v>-3.2488185712105802</v>
      </c>
      <c r="AG6620">
        <v>-1.1141132337449999</v>
      </c>
      <c r="AH6620">
        <v>7.22684008643329</v>
      </c>
      <c r="AI6620">
        <v>98.003802661219495</v>
      </c>
      <c r="AJ6620">
        <v>114.206251722574</v>
      </c>
      <c r="AK6620">
        <v>8.0014553701890794</v>
      </c>
      <c r="AL6620">
        <v>86.721710117211899</v>
      </c>
      <c r="AM6620">
        <v>101.445856399967</v>
      </c>
      <c r="AN6620">
        <v>1.0000000329245899</v>
      </c>
    </row>
    <row r="6621" spans="1:40" x14ac:dyDescent="0.25">
      <c r="A6621" t="str">
        <f>"20190312151153112"</f>
        <v>20190312151153112</v>
      </c>
      <c r="B6621" t="str">
        <f>"1552374713108271"</f>
        <v>1552374713108271</v>
      </c>
      <c r="C6621" t="s">
        <v>40</v>
      </c>
      <c r="D6621">
        <v>5.1941040000000003</v>
      </c>
      <c r="E6621">
        <v>0.4178153</v>
      </c>
      <c r="F6621" t="s">
        <v>41</v>
      </c>
      <c r="G6621">
        <v>-213.46440000000001</v>
      </c>
      <c r="H6621">
        <v>0.96898600000000001</v>
      </c>
      <c r="I6621">
        <v>-61.35098</v>
      </c>
      <c r="J6621">
        <v>-214.17789999999999</v>
      </c>
      <c r="K6621">
        <v>1.1141540000000001</v>
      </c>
      <c r="L6621">
        <v>-61.9223</v>
      </c>
      <c r="M6621">
        <v>0.9814716</v>
      </c>
      <c r="N6621">
        <v>0</v>
      </c>
      <c r="O6621">
        <v>0.191277</v>
      </c>
      <c r="P6621">
        <v>0.92310219999999998</v>
      </c>
      <c r="Q6621">
        <v>4.7987000000000002E-2</v>
      </c>
      <c r="R6621">
        <v>0.38154909999999997</v>
      </c>
      <c r="S6621">
        <v>2.543701</v>
      </c>
      <c r="T6621">
        <v>-0.42457289999999998</v>
      </c>
      <c r="U6621">
        <v>1.7682800000000001</v>
      </c>
      <c r="V6621">
        <v>-0.19852710000000001</v>
      </c>
      <c r="W6621">
        <v>5.6945320000000001E-2</v>
      </c>
      <c r="X6621">
        <v>0.97843970000000002</v>
      </c>
      <c r="Y6621">
        <v>-0.40126699999999998</v>
      </c>
      <c r="Z6621">
        <v>1.9480739999999999E-3</v>
      </c>
      <c r="AA6621">
        <v>0.91595910000000003</v>
      </c>
      <c r="AB6621">
        <v>30</v>
      </c>
      <c r="AC6621">
        <v>0.71349999999998204</v>
      </c>
      <c r="AD6621">
        <v>-0.14516799999999999</v>
      </c>
      <c r="AE6621">
        <v>0.57131999999999294</v>
      </c>
      <c r="AF6621">
        <v>-0.41384651780836201</v>
      </c>
      <c r="AG6621">
        <v>-0.14516799999999999</v>
      </c>
      <c r="AH6621">
        <v>0.78969298652052899</v>
      </c>
      <c r="AI6621">
        <v>99.247984303771503</v>
      </c>
      <c r="AJ6621">
        <v>117.657236220413</v>
      </c>
      <c r="AK6621">
        <v>0.903303770326362</v>
      </c>
      <c r="AL6621">
        <v>86.7355075860537</v>
      </c>
      <c r="AM6621">
        <v>101.469704848821</v>
      </c>
      <c r="AN6621">
        <v>1.0000000127202</v>
      </c>
    </row>
    <row r="6622" spans="1:40" x14ac:dyDescent="0.25">
      <c r="A6622" t="str">
        <f>"20190312151153122"</f>
        <v>20190312151153122</v>
      </c>
      <c r="B6622" t="str">
        <f>"1552374713118031"</f>
        <v>1552374713118031</v>
      </c>
      <c r="C6622" t="s">
        <v>40</v>
      </c>
      <c r="D6622">
        <v>5.1678569999999997</v>
      </c>
      <c r="E6622">
        <v>0.41783559999999997</v>
      </c>
      <c r="F6622" t="s">
        <v>85</v>
      </c>
      <c r="G6622">
        <v>-207.5479</v>
      </c>
      <c r="H6622" s="1">
        <v>-2.3561260000000001E-6</v>
      </c>
      <c r="I6622">
        <v>-57.279490000000003</v>
      </c>
      <c r="J6622">
        <v>-214.04239999999999</v>
      </c>
      <c r="K6622">
        <v>1.114195</v>
      </c>
      <c r="L6622">
        <v>-61.893369999999997</v>
      </c>
      <c r="M6622">
        <v>0.98096879999999997</v>
      </c>
      <c r="N6622">
        <v>0</v>
      </c>
      <c r="O6622">
        <v>0.19383909999999999</v>
      </c>
      <c r="P6622">
        <v>0.92195090000000002</v>
      </c>
      <c r="Q6622">
        <v>4.7547109999999997E-2</v>
      </c>
      <c r="R6622">
        <v>0.38437739999999998</v>
      </c>
      <c r="S6622">
        <v>2.537582</v>
      </c>
      <c r="T6622">
        <v>-0.42643639999999999</v>
      </c>
      <c r="U6622">
        <v>1.7770079999999999</v>
      </c>
      <c r="V6622">
        <v>-0.19896900000000001</v>
      </c>
      <c r="W6622">
        <v>5.6490209999999999E-2</v>
      </c>
      <c r="X6622">
        <v>0.97837629999999998</v>
      </c>
      <c r="Y6622">
        <v>-0.4020263</v>
      </c>
      <c r="Z6622">
        <v>1.6491749999999999E-3</v>
      </c>
      <c r="AA6622">
        <v>0.91562659999999996</v>
      </c>
      <c r="AB6622">
        <v>30</v>
      </c>
      <c r="AC6622">
        <v>6.49449999999998</v>
      </c>
      <c r="AD6622">
        <v>-1.1141973561259999</v>
      </c>
      <c r="AE6622">
        <v>4.6138799999999902</v>
      </c>
      <c r="AF6622">
        <v>-3.2047054669630302</v>
      </c>
      <c r="AG6622">
        <v>-1.1141973561259999</v>
      </c>
      <c r="AH6622">
        <v>7.1263177776442603</v>
      </c>
      <c r="AI6622">
        <v>98.115361076309895</v>
      </c>
      <c r="AJ6622">
        <v>114.21345197124499</v>
      </c>
      <c r="AK6622">
        <v>7.8927801151653503</v>
      </c>
      <c r="AL6622">
        <v>86.761625455924005</v>
      </c>
      <c r="AM6622">
        <v>101.495281407867</v>
      </c>
      <c r="AN6622">
        <v>0.999999995594267</v>
      </c>
    </row>
    <row r="6623" spans="1:40" x14ac:dyDescent="0.25">
      <c r="A6623" t="str">
        <f>"20190312151153132"</f>
        <v>20190312151153132</v>
      </c>
      <c r="B6623" t="str">
        <f>"1552374713127791"</f>
        <v>1552374713127791</v>
      </c>
      <c r="C6623" t="s">
        <v>40</v>
      </c>
      <c r="D6623">
        <v>5.183135</v>
      </c>
      <c r="E6623">
        <v>0.41776750000000001</v>
      </c>
      <c r="F6623" t="s">
        <v>85</v>
      </c>
      <c r="G6623">
        <v>-207.4418</v>
      </c>
      <c r="H6623" s="1">
        <v>-2.4338919999999999E-6</v>
      </c>
      <c r="I6623">
        <v>-57.240780000000001</v>
      </c>
      <c r="J6623">
        <v>-213.90479999999999</v>
      </c>
      <c r="K6623">
        <v>1.114236</v>
      </c>
      <c r="L6623">
        <v>-61.863590000000002</v>
      </c>
      <c r="M6623">
        <v>0.98044620000000005</v>
      </c>
      <c r="N6623">
        <v>0</v>
      </c>
      <c r="O6623">
        <v>0.19646430000000001</v>
      </c>
      <c r="P6623">
        <v>0.92087200000000002</v>
      </c>
      <c r="Q6623">
        <v>4.734476E-2</v>
      </c>
      <c r="R6623">
        <v>0.38697969999999998</v>
      </c>
      <c r="S6623">
        <v>2.5319370000000001</v>
      </c>
      <c r="T6623">
        <v>-0.42739749999999999</v>
      </c>
      <c r="U6623">
        <v>1.7846979999999999</v>
      </c>
      <c r="V6623">
        <v>-0.1991146</v>
      </c>
      <c r="W6623">
        <v>5.6277389999999997E-2</v>
      </c>
      <c r="X6623">
        <v>0.97835890000000003</v>
      </c>
      <c r="Y6623">
        <v>-0.40240629999999999</v>
      </c>
      <c r="Z6623">
        <v>1.3064559999999999E-3</v>
      </c>
      <c r="AA6623">
        <v>0.9154603</v>
      </c>
      <c r="AB6623">
        <v>30</v>
      </c>
      <c r="AC6623">
        <v>6.4629999999999903</v>
      </c>
      <c r="AD6623">
        <v>-1.1142384338919999</v>
      </c>
      <c r="AE6623">
        <v>4.6228099999999896</v>
      </c>
      <c r="AF6623">
        <v>-3.1999547232018699</v>
      </c>
      <c r="AG6623">
        <v>-1.1142384338919999</v>
      </c>
      <c r="AH6623">
        <v>7.1055850197705501</v>
      </c>
      <c r="AI6623">
        <v>98.137085733207996</v>
      </c>
      <c r="AJ6623">
        <v>114.244114698155</v>
      </c>
      <c r="AK6623">
        <v>7.8721392258579703</v>
      </c>
      <c r="AL6623">
        <v>86.773838434875501</v>
      </c>
      <c r="AM6623">
        <v>101.503668307806</v>
      </c>
      <c r="AN6623">
        <v>0.99999995288378996</v>
      </c>
    </row>
    <row r="6624" spans="1:40" x14ac:dyDescent="0.25">
      <c r="A6624" t="str">
        <f>"20190312151153142"</f>
        <v>20190312151153142</v>
      </c>
      <c r="B6624" t="str">
        <f>"1552374713137550"</f>
        <v>1552374713137550</v>
      </c>
      <c r="C6624" t="s">
        <v>40</v>
      </c>
      <c r="D6624">
        <v>5.1459359999999998</v>
      </c>
      <c r="E6624">
        <v>0.41791830000000002</v>
      </c>
      <c r="F6624" t="s">
        <v>85</v>
      </c>
      <c r="G6624">
        <v>-207.38390000000001</v>
      </c>
      <c r="H6624" s="1">
        <v>-2.4715829999999999E-6</v>
      </c>
      <c r="I6624">
        <v>-57.237380000000002</v>
      </c>
      <c r="J6624">
        <v>-213.78720000000001</v>
      </c>
      <c r="K6624">
        <v>1.1142719999999999</v>
      </c>
      <c r="L6624">
        <v>-61.837800000000001</v>
      </c>
      <c r="M6624">
        <v>0.97998940000000001</v>
      </c>
      <c r="N6624">
        <v>0</v>
      </c>
      <c r="O6624">
        <v>0.1987294</v>
      </c>
      <c r="P6624">
        <v>0.91989390000000004</v>
      </c>
      <c r="Q6624">
        <v>4.6999409999999998E-2</v>
      </c>
      <c r="R6624">
        <v>0.3893411</v>
      </c>
      <c r="S6624">
        <v>2.526688</v>
      </c>
      <c r="T6624">
        <v>-0.43174030000000002</v>
      </c>
      <c r="U6624">
        <v>1.7925420000000001</v>
      </c>
      <c r="V6624">
        <v>-0.19936209999999999</v>
      </c>
      <c r="W6624">
        <v>5.5922239999999998E-2</v>
      </c>
      <c r="X6624">
        <v>0.97832889999999995</v>
      </c>
      <c r="Y6624">
        <v>-0.4030551</v>
      </c>
      <c r="Z6624">
        <v>1.0422579999999999E-3</v>
      </c>
      <c r="AA6624">
        <v>0.91517510000000002</v>
      </c>
      <c r="AB6624">
        <v>30</v>
      </c>
      <c r="AC6624">
        <v>6.4032999999999998</v>
      </c>
      <c r="AD6624">
        <v>-1.114274471583</v>
      </c>
      <c r="AE6624">
        <v>4.6004199999999997</v>
      </c>
      <c r="AF6624">
        <v>-3.1726789453671902</v>
      </c>
      <c r="AG6624">
        <v>-1.114274471583</v>
      </c>
      <c r="AH6624">
        <v>7.0490757621002</v>
      </c>
      <c r="AI6624">
        <v>98.202479817927696</v>
      </c>
      <c r="AJ6624">
        <v>114.23176601071501</v>
      </c>
      <c r="AK6624">
        <v>7.8100555944389001</v>
      </c>
      <c r="AL6624">
        <v>86.794219248044101</v>
      </c>
      <c r="AM6624">
        <v>101.51792926329399</v>
      </c>
      <c r="AN6624">
        <v>0.99999999020911801</v>
      </c>
    </row>
    <row r="6625" spans="1:40" x14ac:dyDescent="0.25">
      <c r="A6625" t="str">
        <f>"20190312151153154"</f>
        <v>20190312151153154</v>
      </c>
      <c r="B6625" t="str">
        <f>"1552374713147311"</f>
        <v>1552374713147311</v>
      </c>
      <c r="C6625" t="s">
        <v>40</v>
      </c>
      <c r="D6625">
        <v>5.1894530000000003</v>
      </c>
      <c r="E6625">
        <v>0.41807339999999998</v>
      </c>
      <c r="F6625" t="s">
        <v>85</v>
      </c>
      <c r="G6625">
        <v>-207.29560000000001</v>
      </c>
      <c r="H6625" s="1">
        <v>-2.5351300000000001E-6</v>
      </c>
      <c r="I6625">
        <v>-57.209510000000002</v>
      </c>
      <c r="J6625">
        <v>-213.6397</v>
      </c>
      <c r="K6625">
        <v>1.11432</v>
      </c>
      <c r="L6625">
        <v>-61.805019999999899</v>
      </c>
      <c r="M6625">
        <v>0.97940289999999997</v>
      </c>
      <c r="N6625">
        <v>0</v>
      </c>
      <c r="O6625">
        <v>0.2015989</v>
      </c>
      <c r="P6625">
        <v>0.91867390000000004</v>
      </c>
      <c r="Q6625">
        <v>4.657244E-2</v>
      </c>
      <c r="R6625">
        <v>0.39226169999999999</v>
      </c>
      <c r="S6625">
        <v>2.5222630000000001</v>
      </c>
      <c r="T6625">
        <v>-0.43294189999999999</v>
      </c>
      <c r="U6625">
        <v>1.798279</v>
      </c>
      <c r="V6625">
        <v>-0.1996021</v>
      </c>
      <c r="W6625">
        <v>5.5484220000000001E-2</v>
      </c>
      <c r="X6625">
        <v>0.97830490000000003</v>
      </c>
      <c r="Y6625">
        <v>-0.40253499999999998</v>
      </c>
      <c r="Z6625">
        <v>5.8839470000000003E-4</v>
      </c>
      <c r="AA6625">
        <v>0.91540440000000001</v>
      </c>
      <c r="AB6625">
        <v>30</v>
      </c>
      <c r="AC6625">
        <v>6.3440999999999903</v>
      </c>
      <c r="AD6625">
        <v>-1.1143225351299999</v>
      </c>
      <c r="AE6625">
        <v>4.5955099999999902</v>
      </c>
      <c r="AF6625">
        <v>-3.1581938385730699</v>
      </c>
      <c r="AG6625">
        <v>-1.1143225351299999</v>
      </c>
      <c r="AH6625">
        <v>6.9987207506887499</v>
      </c>
      <c r="AI6625">
        <v>98.257469899658204</v>
      </c>
      <c r="AJ6625">
        <v>114.287419984446</v>
      </c>
      <c r="AK6625">
        <v>7.7587367000318297</v>
      </c>
      <c r="AL6625">
        <v>86.819354962673202</v>
      </c>
      <c r="AM6625">
        <v>101.531699120835</v>
      </c>
      <c r="AN6625">
        <v>0.99999998717871397</v>
      </c>
    </row>
    <row r="6626" spans="1:40" x14ac:dyDescent="0.25">
      <c r="A6626" t="str">
        <f>"20190312151153164"</f>
        <v>20190312151153164</v>
      </c>
      <c r="B6626" t="str">
        <f>"1552374713158047"</f>
        <v>1552374713158047</v>
      </c>
      <c r="C6626" t="s">
        <v>40</v>
      </c>
      <c r="D6626">
        <v>5.1436089999999997</v>
      </c>
      <c r="E6626">
        <v>0.41826249999999998</v>
      </c>
      <c r="F6626" t="s">
        <v>85</v>
      </c>
      <c r="G6626">
        <v>-207.1764</v>
      </c>
      <c r="H6626" s="1">
        <v>-2.6216099999999999E-6</v>
      </c>
      <c r="I6626">
        <v>-57.1693</v>
      </c>
      <c r="J6626">
        <v>-213.49969999999999</v>
      </c>
      <c r="K6626">
        <v>1.1143639999999999</v>
      </c>
      <c r="L6626">
        <v>-61.773409999999998</v>
      </c>
      <c r="M6626">
        <v>0.97883129999999996</v>
      </c>
      <c r="N6626">
        <v>0</v>
      </c>
      <c r="O6626">
        <v>0.20435590000000001</v>
      </c>
      <c r="P6626">
        <v>0.91748059999999998</v>
      </c>
      <c r="Q6626">
        <v>4.6490999999999998E-2</v>
      </c>
      <c r="R6626">
        <v>0.39505449999999998</v>
      </c>
      <c r="S6626">
        <v>2.5167999999999999</v>
      </c>
      <c r="T6626">
        <v>-0.43391629999999998</v>
      </c>
      <c r="U6626">
        <v>1.805145</v>
      </c>
      <c r="V6626">
        <v>-0.19982800000000001</v>
      </c>
      <c r="W6626">
        <v>5.5390429999999997E-2</v>
      </c>
      <c r="X6626">
        <v>0.97826409999999997</v>
      </c>
      <c r="Y6626">
        <v>-0.40256399999999998</v>
      </c>
      <c r="Z6626">
        <v>1.908019E-4</v>
      </c>
      <c r="AA6626">
        <v>0.91539179999999998</v>
      </c>
      <c r="AB6626">
        <v>30</v>
      </c>
      <c r="AC6626">
        <v>6.3232999999999802</v>
      </c>
      <c r="AD6626">
        <v>-1.1143666216100001</v>
      </c>
      <c r="AE6626">
        <v>4.6041099999999897</v>
      </c>
      <c r="AF6626">
        <v>-3.1506990931526402</v>
      </c>
      <c r="AG6626">
        <v>-1.1143666216100001</v>
      </c>
      <c r="AH6626">
        <v>6.9889227213799296</v>
      </c>
      <c r="AI6626">
        <v>98.270553136070404</v>
      </c>
      <c r="AJ6626">
        <v>114.266483489067</v>
      </c>
      <c r="AK6626">
        <v>7.7468547519862501</v>
      </c>
      <c r="AL6626">
        <v>86.824737017435993</v>
      </c>
      <c r="AM6626">
        <v>101.544868512528</v>
      </c>
      <c r="AN6626">
        <v>0.99999998933419698</v>
      </c>
    </row>
    <row r="6627" spans="1:40" x14ac:dyDescent="0.25">
      <c r="A6627" t="str">
        <f>"20190312151153175"</f>
        <v>20190312151153175</v>
      </c>
      <c r="B6627" t="str">
        <f>"1552374713167807"</f>
        <v>1552374713167807</v>
      </c>
      <c r="C6627" t="s">
        <v>40</v>
      </c>
      <c r="D6627">
        <v>5.1948939999999997</v>
      </c>
      <c r="E6627">
        <v>0.4182785</v>
      </c>
      <c r="F6627" t="s">
        <v>85</v>
      </c>
      <c r="G6627">
        <v>-207.0428</v>
      </c>
      <c r="H6627" s="1">
        <v>-2.7204330000000001E-6</v>
      </c>
      <c r="I6627">
        <v>-57.117040000000003</v>
      </c>
      <c r="J6627">
        <v>-213.36160000000001</v>
      </c>
      <c r="K6627">
        <v>1.114411</v>
      </c>
      <c r="L6627">
        <v>-61.741909999999997</v>
      </c>
      <c r="M6627">
        <v>0.97825510000000004</v>
      </c>
      <c r="N6627">
        <v>0</v>
      </c>
      <c r="O6627">
        <v>0.2070958</v>
      </c>
      <c r="P6627">
        <v>0.9164255</v>
      </c>
      <c r="Q6627">
        <v>4.6396189999999997E-2</v>
      </c>
      <c r="R6627">
        <v>0.397507</v>
      </c>
      <c r="S6627">
        <v>2.511841</v>
      </c>
      <c r="T6627">
        <v>-0.43350709999999998</v>
      </c>
      <c r="U6627">
        <v>1.811401</v>
      </c>
      <c r="V6627">
        <v>-0.19970969999999999</v>
      </c>
      <c r="W6627">
        <v>5.5288549999999999E-2</v>
      </c>
      <c r="X6627">
        <v>0.978294</v>
      </c>
      <c r="Y6627">
        <v>-0.40238889999999999</v>
      </c>
      <c r="Z6627">
        <v>-2.2161939999999999E-4</v>
      </c>
      <c r="AA6627">
        <v>0.91546879999999997</v>
      </c>
      <c r="AB6627">
        <v>30</v>
      </c>
      <c r="AC6627">
        <v>6.3188000000000004</v>
      </c>
      <c r="AD6627">
        <v>-1.114413720433</v>
      </c>
      <c r="AE6627">
        <v>4.6248699999999898</v>
      </c>
      <c r="AF6627">
        <v>-3.15206946383439</v>
      </c>
      <c r="AG6627">
        <v>-1.114413720433</v>
      </c>
      <c r="AH6627">
        <v>6.9979105950038001</v>
      </c>
      <c r="AI6627">
        <v>98.261590990969097</v>
      </c>
      <c r="AJ6627">
        <v>114.248234371132</v>
      </c>
      <c r="AK6627">
        <v>7.7555278698998302</v>
      </c>
      <c r="AL6627">
        <v>86.830583206571504</v>
      </c>
      <c r="AM6627">
        <v>101.537873994862</v>
      </c>
      <c r="AN6627">
        <v>0.99999996923559498</v>
      </c>
    </row>
    <row r="6628" spans="1:40" x14ac:dyDescent="0.25">
      <c r="A6628" t="str">
        <f>"20190312151153187"</f>
        <v>20190312151153187</v>
      </c>
      <c r="B6628" t="str">
        <f>"1552374713177567"</f>
        <v>1552374713177567</v>
      </c>
      <c r="C6628" t="s">
        <v>40</v>
      </c>
      <c r="D6628">
        <v>5.218458</v>
      </c>
      <c r="E6628">
        <v>0.41841109999999998</v>
      </c>
      <c r="F6628" t="s">
        <v>85</v>
      </c>
      <c r="G6628">
        <v>-206.88480000000001</v>
      </c>
      <c r="H6628" s="1">
        <v>-2.8399999999999999E-6</v>
      </c>
      <c r="I6628">
        <v>-57.045160000000003</v>
      </c>
      <c r="J6628">
        <v>-213.2176</v>
      </c>
      <c r="K6628">
        <v>1.1144609999999999</v>
      </c>
      <c r="L6628">
        <v>-61.708469999999998</v>
      </c>
      <c r="M6628">
        <v>0.9776357</v>
      </c>
      <c r="N6628">
        <v>0</v>
      </c>
      <c r="O6628">
        <v>0.2099992</v>
      </c>
      <c r="P6628">
        <v>0.91517969999999904</v>
      </c>
      <c r="Q6628">
        <v>4.6287990000000001E-2</v>
      </c>
      <c r="R6628">
        <v>0.40037929999999999</v>
      </c>
      <c r="S6628">
        <v>2.5068820000000001</v>
      </c>
      <c r="T6628">
        <v>-0.43133929999999998</v>
      </c>
      <c r="U6628">
        <v>1.8179019999999999</v>
      </c>
      <c r="V6628">
        <v>-0.1998781</v>
      </c>
      <c r="W6628">
        <v>5.5167140000000003E-2</v>
      </c>
      <c r="X6628">
        <v>0.97826650000000004</v>
      </c>
      <c r="Y6628">
        <v>-0.40213529999999997</v>
      </c>
      <c r="Z6628">
        <v>-6.6077149999999995E-4</v>
      </c>
      <c r="AA6628">
        <v>0.91557999999999995</v>
      </c>
      <c r="AB6628">
        <v>30</v>
      </c>
      <c r="AC6628">
        <v>6.33279999999999</v>
      </c>
      <c r="AD6628">
        <v>-1.11446384</v>
      </c>
      <c r="AE6628">
        <v>4.6633100000000001</v>
      </c>
      <c r="AF6628">
        <v>-3.1657713085455401</v>
      </c>
      <c r="AG6628">
        <v>-1.11446384</v>
      </c>
      <c r="AH6628">
        <v>7.02975947174472</v>
      </c>
      <c r="AI6628">
        <v>98.225317461806696</v>
      </c>
      <c r="AJ6628">
        <v>114.243871672845</v>
      </c>
      <c r="AK6628">
        <v>7.7898431216079302</v>
      </c>
      <c r="AL6628">
        <v>86.837550238750296</v>
      </c>
      <c r="AM6628">
        <v>101.54765768249101</v>
      </c>
      <c r="AN6628">
        <v>1.0000000066088099</v>
      </c>
    </row>
    <row r="6629" spans="1:40" x14ac:dyDescent="0.25">
      <c r="A6629" t="str">
        <f>"20190312151153198"</f>
        <v>20190312151153198</v>
      </c>
      <c r="B6629" t="str">
        <f>"1552374713187327"</f>
        <v>1552374713187327</v>
      </c>
      <c r="C6629" t="s">
        <v>40</v>
      </c>
      <c r="D6629">
        <v>5.1233510000000004</v>
      </c>
      <c r="E6629">
        <v>0.41867959999999899</v>
      </c>
      <c r="F6629" t="s">
        <v>85</v>
      </c>
      <c r="G6629">
        <v>-206.7593</v>
      </c>
      <c r="H6629" s="1">
        <v>-2.9326219999999999E-6</v>
      </c>
      <c r="I6629">
        <v>-56.996839999999999</v>
      </c>
      <c r="J6629">
        <v>-213.0737</v>
      </c>
      <c r="K6629">
        <v>1.114509</v>
      </c>
      <c r="L6629">
        <v>-61.674770000000002</v>
      </c>
      <c r="M6629">
        <v>0.97700480000000001</v>
      </c>
      <c r="N6629">
        <v>0</v>
      </c>
      <c r="O6629">
        <v>0.2129143</v>
      </c>
      <c r="P6629">
        <v>0.91402269999999997</v>
      </c>
      <c r="Q6629">
        <v>4.614029E-2</v>
      </c>
      <c r="R6629">
        <v>0.40303040000000001</v>
      </c>
      <c r="S6629">
        <v>2.5014949999999998</v>
      </c>
      <c r="T6629">
        <v>-0.4316642</v>
      </c>
      <c r="U6629">
        <v>1.824951</v>
      </c>
      <c r="V6629">
        <v>-0.19979910000000001</v>
      </c>
      <c r="W6629">
        <v>5.500907E-2</v>
      </c>
      <c r="X6629">
        <v>0.97829149999999998</v>
      </c>
      <c r="Y6629">
        <v>-0.40205210000000002</v>
      </c>
      <c r="Z6629">
        <v>-1.090642E-3</v>
      </c>
      <c r="AA6629">
        <v>0.91561619999999999</v>
      </c>
      <c r="AB6629">
        <v>30</v>
      </c>
      <c r="AC6629">
        <v>6.3144</v>
      </c>
      <c r="AD6629">
        <v>-1.1145119326220001</v>
      </c>
      <c r="AE6629">
        <v>4.6779299999999902</v>
      </c>
      <c r="AF6629">
        <v>-3.1625309808224702</v>
      </c>
      <c r="AG6629">
        <v>-1.1145119326220001</v>
      </c>
      <c r="AH6629">
        <v>7.0243713570675803</v>
      </c>
      <c r="AI6629">
        <v>98.232242872294805</v>
      </c>
      <c r="AJ6629">
        <v>114.238352367209</v>
      </c>
      <c r="AK6629">
        <v>7.7836708572890103</v>
      </c>
      <c r="AL6629">
        <v>86.846620636060507</v>
      </c>
      <c r="AM6629">
        <v>101.542929035234</v>
      </c>
      <c r="AN6629">
        <v>0.99999996855766105</v>
      </c>
    </row>
    <row r="6630" spans="1:40" x14ac:dyDescent="0.25">
      <c r="A6630" t="str">
        <f>"20190312151153208"</f>
        <v>20190312151153208</v>
      </c>
      <c r="B6630" t="str">
        <f>"1552374713198063"</f>
        <v>1552374713198063</v>
      </c>
      <c r="C6630" t="s">
        <v>40</v>
      </c>
      <c r="D6630">
        <v>5.1837859999999996</v>
      </c>
      <c r="E6630">
        <v>0.41886060000000003</v>
      </c>
      <c r="F6630" t="s">
        <v>85</v>
      </c>
      <c r="G6630">
        <v>-206.61969999999999</v>
      </c>
      <c r="H6630" s="1">
        <v>-3.0302729999999999E-6</v>
      </c>
      <c r="I6630">
        <v>-56.943989999999999</v>
      </c>
      <c r="J6630">
        <v>-212.92930000000001</v>
      </c>
      <c r="K6630">
        <v>1.1145640000000001</v>
      </c>
      <c r="L6630">
        <v>-61.640169999999998</v>
      </c>
      <c r="M6630">
        <v>0.97634969999999999</v>
      </c>
      <c r="N6630">
        <v>0</v>
      </c>
      <c r="O6630">
        <v>0.2158978</v>
      </c>
      <c r="P6630">
        <v>0.91274540000000004</v>
      </c>
      <c r="Q6630">
        <v>4.6050019999999997E-2</v>
      </c>
      <c r="R6630">
        <v>0.40592519999999999</v>
      </c>
      <c r="S6630">
        <v>2.4969329999999998</v>
      </c>
      <c r="T6630">
        <v>-0.43118620000000002</v>
      </c>
      <c r="U6630">
        <v>1.8302609999999999</v>
      </c>
      <c r="V6630">
        <v>-0.19991680000000001</v>
      </c>
      <c r="W6630">
        <v>5.4904799999999997E-2</v>
      </c>
      <c r="X6630">
        <v>0.97827330000000001</v>
      </c>
      <c r="Y6630">
        <v>-0.40135710000000002</v>
      </c>
      <c r="Z6630">
        <v>-1.5759470000000001E-3</v>
      </c>
      <c r="AA6630">
        <v>0.91592030000000002</v>
      </c>
      <c r="AB6630">
        <v>30</v>
      </c>
      <c r="AC6630">
        <v>6.3096000000000103</v>
      </c>
      <c r="AD6630">
        <v>-1.114567030273</v>
      </c>
      <c r="AE6630">
        <v>4.6961799999999903</v>
      </c>
      <c r="AF6630">
        <v>-3.1596476254488102</v>
      </c>
      <c r="AG6630">
        <v>-1.114567030273</v>
      </c>
      <c r="AH6630">
        <v>7.0335016883690802</v>
      </c>
      <c r="AI6630">
        <v>98.225120611834896</v>
      </c>
      <c r="AJ6630">
        <v>114.190962760478</v>
      </c>
      <c r="AK6630">
        <v>7.7907495648536003</v>
      </c>
      <c r="AL6630">
        <v>86.852603872313907</v>
      </c>
      <c r="AM6630">
        <v>101.54975531745001</v>
      </c>
      <c r="AN6630">
        <v>0.99999995673908404</v>
      </c>
    </row>
    <row r="6631" spans="1:40" x14ac:dyDescent="0.25">
      <c r="A6631" t="str">
        <f>"20190312151153219"</f>
        <v>20190312151153219</v>
      </c>
      <c r="B6631" t="str">
        <f>"1552374713207823"</f>
        <v>1552374713207823</v>
      </c>
      <c r="C6631" t="s">
        <v>40</v>
      </c>
      <c r="D6631">
        <v>5.184202</v>
      </c>
      <c r="E6631">
        <v>0.41903629999999997</v>
      </c>
      <c r="F6631" t="s">
        <v>85</v>
      </c>
      <c r="G6631">
        <v>-206.47810000000001</v>
      </c>
      <c r="H6631" s="1">
        <v>-3.1210409999999999E-6</v>
      </c>
      <c r="I6631">
        <v>-56.883899999999997</v>
      </c>
      <c r="J6631">
        <v>-212.7944</v>
      </c>
      <c r="K6631">
        <v>1.114619</v>
      </c>
      <c r="L6631">
        <v>-61.607640000000004</v>
      </c>
      <c r="M6631">
        <v>0.97572639999999999</v>
      </c>
      <c r="N6631">
        <v>0</v>
      </c>
      <c r="O6631">
        <v>0.2186968</v>
      </c>
      <c r="P6631">
        <v>0.91158550000000005</v>
      </c>
      <c r="Q6631">
        <v>4.5946099999999997E-2</v>
      </c>
      <c r="R6631">
        <v>0.40853499999999998</v>
      </c>
      <c r="S6631">
        <v>2.4915620000000001</v>
      </c>
      <c r="T6631">
        <v>-0.43046329999999999</v>
      </c>
      <c r="U6631">
        <v>1.8369450000000001</v>
      </c>
      <c r="V6631">
        <v>-0.19991490000000001</v>
      </c>
      <c r="W6631">
        <v>5.4789099999999903E-2</v>
      </c>
      <c r="X6631">
        <v>0.97828020000000004</v>
      </c>
      <c r="Y6631">
        <v>-0.40129710000000002</v>
      </c>
      <c r="Z6631">
        <v>-1.9836519999999998E-3</v>
      </c>
      <c r="AA6631">
        <v>0.91594580000000003</v>
      </c>
      <c r="AB6631">
        <v>30</v>
      </c>
      <c r="AC6631">
        <v>6.3162999999999796</v>
      </c>
      <c r="AD6631">
        <v>-1.1146221210409999</v>
      </c>
      <c r="AE6631">
        <v>4.7237400000000003</v>
      </c>
      <c r="AF6631">
        <v>-3.16472978848038</v>
      </c>
      <c r="AG6631">
        <v>-1.1146221210409999</v>
      </c>
      <c r="AH6631">
        <v>7.05560676236143</v>
      </c>
      <c r="AI6631">
        <v>98.202178898815902</v>
      </c>
      <c r="AJ6631">
        <v>114.158196004947</v>
      </c>
      <c r="AK6631">
        <v>7.8127769641715297</v>
      </c>
      <c r="AL6631">
        <v>86.859243064623897</v>
      </c>
      <c r="AM6631">
        <v>101.549569225586</v>
      </c>
      <c r="AN6631">
        <v>0.99999998121642897</v>
      </c>
    </row>
    <row r="6632" spans="1:40" x14ac:dyDescent="0.25">
      <c r="A6632" t="str">
        <f>"20190312151153231"</f>
        <v>20190312151153231</v>
      </c>
      <c r="B6632" t="str">
        <f>"1552374713227344"</f>
        <v>1552374713227344</v>
      </c>
      <c r="C6632" t="s">
        <v>40</v>
      </c>
      <c r="D6632">
        <v>5.1478440000000001</v>
      </c>
      <c r="E6632">
        <v>0.41946169999999999</v>
      </c>
      <c r="F6632" t="s">
        <v>85</v>
      </c>
      <c r="G6632">
        <v>-206.35140000000001</v>
      </c>
      <c r="H6632" s="1">
        <v>-3.2013900000000001E-6</v>
      </c>
      <c r="I6632">
        <v>-56.83399</v>
      </c>
      <c r="J6632">
        <v>-212.6497</v>
      </c>
      <c r="K6632">
        <v>1.1146780000000001</v>
      </c>
      <c r="L6632">
        <v>-61.572020000000002</v>
      </c>
      <c r="M6632">
        <v>0.97503830000000002</v>
      </c>
      <c r="N6632">
        <v>0</v>
      </c>
      <c r="O6632">
        <v>0.221744</v>
      </c>
      <c r="P6632">
        <v>0.91023330000000002</v>
      </c>
      <c r="Q6632">
        <v>4.6100799999999997E-2</v>
      </c>
      <c r="R6632">
        <v>0.4115219</v>
      </c>
      <c r="S6632">
        <v>2.4868929999999998</v>
      </c>
      <c r="T6632">
        <v>-0.43022850000000001</v>
      </c>
      <c r="U6632">
        <v>1.84256</v>
      </c>
      <c r="V6632">
        <v>-0.20007749999999999</v>
      </c>
      <c r="W6632">
        <v>5.4928129999999999E-2</v>
      </c>
      <c r="X6632">
        <v>0.97823919999999998</v>
      </c>
      <c r="Y6632">
        <v>-0.40062930000000002</v>
      </c>
      <c r="Z6632">
        <v>-2.4757249999999998E-3</v>
      </c>
      <c r="AA6632">
        <v>0.91623690000000002</v>
      </c>
      <c r="AB6632">
        <v>30</v>
      </c>
      <c r="AC6632">
        <v>6.2982999999999798</v>
      </c>
      <c r="AD6632">
        <v>-1.11468120139</v>
      </c>
      <c r="AE6632">
        <v>4.7380299999999904</v>
      </c>
      <c r="AF6632">
        <v>-3.1601485525398298</v>
      </c>
      <c r="AG6632">
        <v>-1.11468120139</v>
      </c>
      <c r="AH6632">
        <v>7.0511392435174702</v>
      </c>
      <c r="AI6632">
        <v>98.208838829074494</v>
      </c>
      <c r="AJ6632">
        <v>114.140758353816</v>
      </c>
      <c r="AK6632">
        <v>7.8068955216733897</v>
      </c>
      <c r="AL6632">
        <v>86.851265337575796</v>
      </c>
      <c r="AM6632">
        <v>101.55918172537601</v>
      </c>
      <c r="AN6632">
        <v>1.0000000189440901</v>
      </c>
    </row>
    <row r="6633" spans="1:40" x14ac:dyDescent="0.25">
      <c r="A6633" t="str">
        <f>"20190312151153242"</f>
        <v>20190312151153242</v>
      </c>
      <c r="B6633" t="str">
        <f>"1552374713238082"</f>
        <v>1552374713238082</v>
      </c>
      <c r="C6633" t="s">
        <v>40</v>
      </c>
      <c r="D6633">
        <v>5.1970090000000004</v>
      </c>
      <c r="E6633">
        <v>0.419624</v>
      </c>
      <c r="F6633" t="s">
        <v>85</v>
      </c>
      <c r="G6633">
        <v>-206.19560000000001</v>
      </c>
      <c r="H6633" s="1">
        <v>-3.301314E-6</v>
      </c>
      <c r="I6633">
        <v>-56.767780000000002</v>
      </c>
      <c r="J6633">
        <v>-212.49789999999999</v>
      </c>
      <c r="K6633">
        <v>1.1147359999999999</v>
      </c>
      <c r="L6633">
        <v>-61.5342699999999</v>
      </c>
      <c r="M6633">
        <v>0.97429940000000004</v>
      </c>
      <c r="N6633">
        <v>0</v>
      </c>
      <c r="O6633">
        <v>0.22496769999999999</v>
      </c>
      <c r="P6633">
        <v>0.90887070000000003</v>
      </c>
      <c r="Q6633">
        <v>4.6264890000000003E-2</v>
      </c>
      <c r="R6633">
        <v>0.41450419999999999</v>
      </c>
      <c r="S6633">
        <v>2.482224</v>
      </c>
      <c r="T6633">
        <v>-0.42870140000000001</v>
      </c>
      <c r="U6633">
        <v>1.8476870000000001</v>
      </c>
      <c r="V6633">
        <v>-0.2000605</v>
      </c>
      <c r="W6633">
        <v>5.5079059999999999E-2</v>
      </c>
      <c r="X6633">
        <v>0.97823419999999905</v>
      </c>
      <c r="Y6633">
        <v>-0.39969149999999998</v>
      </c>
      <c r="Z6633">
        <v>-3.0051560000000001E-3</v>
      </c>
      <c r="AA6633">
        <v>0.91664480000000004</v>
      </c>
      <c r="AB6633">
        <v>30</v>
      </c>
      <c r="AC6633">
        <v>6.3022999999999696</v>
      </c>
      <c r="AD6633">
        <v>-1.1147393013139999</v>
      </c>
      <c r="AE6633">
        <v>4.7664899999999903</v>
      </c>
      <c r="AF6633">
        <v>-3.1634262499939498</v>
      </c>
      <c r="AG6633">
        <v>-1.1147393013139999</v>
      </c>
      <c r="AH6633">
        <v>7.0723497625199201</v>
      </c>
      <c r="AI6633">
        <v>98.187627153892905</v>
      </c>
      <c r="AJ6633">
        <v>114.098726262472</v>
      </c>
      <c r="AK6633">
        <v>7.8273904024560101</v>
      </c>
      <c r="AL6633">
        <v>86.842604604197007</v>
      </c>
      <c r="AM6633">
        <v>101.55828349327</v>
      </c>
      <c r="AN6633">
        <v>1.00000002828018</v>
      </c>
    </row>
    <row r="6634" spans="1:40" x14ac:dyDescent="0.25">
      <c r="A6634" t="str">
        <f>"20190312151153253"</f>
        <v>20190312151153253</v>
      </c>
      <c r="B6634" t="str">
        <f>"1552374713247839"</f>
        <v>1552374713247839</v>
      </c>
      <c r="C6634" t="s">
        <v>40</v>
      </c>
      <c r="D6634">
        <v>5.1657859999999998</v>
      </c>
      <c r="E6634">
        <v>0.41984050000000001</v>
      </c>
      <c r="F6634" t="s">
        <v>85</v>
      </c>
      <c r="G6634">
        <v>-206.05340000000001</v>
      </c>
      <c r="H6634" s="1">
        <v>-3.3923149999999999E-6</v>
      </c>
      <c r="I6634">
        <v>-56.708100000000002</v>
      </c>
      <c r="J6634">
        <v>-212.36080000000001</v>
      </c>
      <c r="K6634">
        <v>1.1147899999999999</v>
      </c>
      <c r="L6634">
        <v>-61.49973</v>
      </c>
      <c r="M6634">
        <v>0.97361540000000002</v>
      </c>
      <c r="N6634">
        <v>0</v>
      </c>
      <c r="O6634">
        <v>0.22790930000000001</v>
      </c>
      <c r="P6634">
        <v>0.90754040000000002</v>
      </c>
      <c r="Q6634">
        <v>4.6246500000000003E-2</v>
      </c>
      <c r="R6634">
        <v>0.41741099999999998</v>
      </c>
      <c r="S6634">
        <v>2.476715</v>
      </c>
      <c r="T6634">
        <v>-0.42841010000000002</v>
      </c>
      <c r="U6634">
        <v>1.8547670000000001</v>
      </c>
      <c r="V6634">
        <v>-0.2002437</v>
      </c>
      <c r="W6634">
        <v>5.5045249999999997E-2</v>
      </c>
      <c r="X6634">
        <v>0.97819860000000003</v>
      </c>
      <c r="Y6634">
        <v>-0.39960970000000001</v>
      </c>
      <c r="Z6634">
        <v>-3.4345949999999999E-3</v>
      </c>
      <c r="AA6634">
        <v>0.91667900000000002</v>
      </c>
      <c r="AB6634">
        <v>30</v>
      </c>
      <c r="AC6634">
        <v>6.3074000000000003</v>
      </c>
      <c r="AD6634">
        <v>-1.114793392315</v>
      </c>
      <c r="AE6634">
        <v>4.7916299999999996</v>
      </c>
      <c r="AF6634">
        <v>-3.1652061947069301</v>
      </c>
      <c r="AG6634">
        <v>-1.114793392315</v>
      </c>
      <c r="AH6634">
        <v>7.0930175479448199</v>
      </c>
      <c r="AI6634">
        <v>98.167640225716994</v>
      </c>
      <c r="AJ6634">
        <v>114.048461480016</v>
      </c>
      <c r="AK6634">
        <v>7.8467950462601896</v>
      </c>
      <c r="AL6634">
        <v>86.844544659964399</v>
      </c>
      <c r="AM6634">
        <v>101.568992149419</v>
      </c>
      <c r="AN6634">
        <v>1.0000000099896</v>
      </c>
    </row>
    <row r="6635" spans="1:40" x14ac:dyDescent="0.25">
      <c r="A6635" t="str">
        <f>"20190312151153265"</f>
        <v>20190312151153265</v>
      </c>
      <c r="B6635" t="str">
        <f>"1552374713257599"</f>
        <v>1552374713257599</v>
      </c>
      <c r="C6635" t="s">
        <v>40</v>
      </c>
      <c r="D6635">
        <v>5.1607799999999999</v>
      </c>
      <c r="E6635">
        <v>0.41999979999999998</v>
      </c>
      <c r="F6635" t="s">
        <v>85</v>
      </c>
      <c r="G6635">
        <v>-205.93430000000001</v>
      </c>
      <c r="H6635" s="1">
        <v>-3.4678769999999999E-6</v>
      </c>
      <c r="I6635">
        <v>-56.660939999999997</v>
      </c>
      <c r="J6635">
        <v>-212.21950000000001</v>
      </c>
      <c r="K6635">
        <v>1.114846</v>
      </c>
      <c r="L6635">
        <v>-61.463470000000001</v>
      </c>
      <c r="M6635">
        <v>0.97289060000000005</v>
      </c>
      <c r="N6635">
        <v>0</v>
      </c>
      <c r="O6635">
        <v>0.2309832</v>
      </c>
      <c r="P6635">
        <v>0.90610219999999997</v>
      </c>
      <c r="Q6635">
        <v>4.6281320000000001E-2</v>
      </c>
      <c r="R6635">
        <v>0.4205197</v>
      </c>
      <c r="S6635">
        <v>2.4715419999999999</v>
      </c>
      <c r="T6635">
        <v>-0.42873450000000002</v>
      </c>
      <c r="U6635">
        <v>1.8609309999999999</v>
      </c>
      <c r="V6635">
        <v>-0.20051640000000001</v>
      </c>
      <c r="W6635">
        <v>5.5062390000000003E-2</v>
      </c>
      <c r="X6635">
        <v>0.97814179999999995</v>
      </c>
      <c r="Y6635">
        <v>-0.39912510000000001</v>
      </c>
      <c r="Z6635">
        <v>-3.9194929999999996E-3</v>
      </c>
      <c r="AA6635">
        <v>0.91688809999999998</v>
      </c>
      <c r="AB6635">
        <v>30</v>
      </c>
      <c r="AC6635">
        <v>6.2851999999999997</v>
      </c>
      <c r="AD6635">
        <v>-1.114849467877</v>
      </c>
      <c r="AE6635">
        <v>4.8025299999999902</v>
      </c>
      <c r="AF6635">
        <v>-3.1580378963121398</v>
      </c>
      <c r="AG6635">
        <v>-1.114849467877</v>
      </c>
      <c r="AH6635">
        <v>7.0838694033638596</v>
      </c>
      <c r="AI6635">
        <v>98.179758782256997</v>
      </c>
      <c r="AJ6635">
        <v>114.02764284468</v>
      </c>
      <c r="AK6635">
        <v>7.8356428207572</v>
      </c>
      <c r="AL6635">
        <v>86.843561204588696</v>
      </c>
      <c r="AM6635">
        <v>101.584976190235</v>
      </c>
      <c r="AN6635">
        <v>1.00000003718435</v>
      </c>
    </row>
    <row r="6636" spans="1:40" x14ac:dyDescent="0.25">
      <c r="A6636" t="str">
        <f>"20190312151153277"</f>
        <v>20190312151153277</v>
      </c>
      <c r="B6636" t="str">
        <f>"1552374713267359"</f>
        <v>1552374713267359</v>
      </c>
      <c r="C6636" t="s">
        <v>40</v>
      </c>
      <c r="D6636">
        <v>5.2086329999999998</v>
      </c>
      <c r="E6636">
        <v>0.42016399999999998</v>
      </c>
      <c r="F6636" t="s">
        <v>85</v>
      </c>
      <c r="G6636">
        <v>-205.8032</v>
      </c>
      <c r="H6636" s="1">
        <v>-3.5526340000000002E-6</v>
      </c>
      <c r="I6636">
        <v>-56.602150000000002</v>
      </c>
      <c r="J6636">
        <v>-212.06460000000001</v>
      </c>
      <c r="K6636">
        <v>1.114905</v>
      </c>
      <c r="L6636">
        <v>-61.423400000000001</v>
      </c>
      <c r="M6636">
        <v>0.97207940000000004</v>
      </c>
      <c r="N6636">
        <v>0</v>
      </c>
      <c r="O6636">
        <v>0.23437269999999999</v>
      </c>
      <c r="P6636">
        <v>0.90453410000000001</v>
      </c>
      <c r="Q6636">
        <v>4.6391290000000002E-2</v>
      </c>
      <c r="R6636">
        <v>0.42387039999999998</v>
      </c>
      <c r="S6636">
        <v>2.4657439999999999</v>
      </c>
      <c r="T6636">
        <v>-0.42843409999999899</v>
      </c>
      <c r="U6636">
        <v>1.8681950000000001</v>
      </c>
      <c r="V6636">
        <v>-0.20073779999999999</v>
      </c>
      <c r="W6636">
        <v>5.5153809999999998E-2</v>
      </c>
      <c r="X6636">
        <v>0.97809120000000005</v>
      </c>
      <c r="Y6636">
        <v>-0.3987195</v>
      </c>
      <c r="Z6636">
        <v>-4.4385120000000004E-3</v>
      </c>
      <c r="AA6636">
        <v>0.91706220000000005</v>
      </c>
      <c r="AB6636">
        <v>30</v>
      </c>
      <c r="AC6636">
        <v>6.2614000000000001</v>
      </c>
      <c r="AD6636">
        <v>-1.1149085526339999</v>
      </c>
      <c r="AE6636">
        <v>4.8212499999999903</v>
      </c>
      <c r="AF6636">
        <v>-3.15651898475374</v>
      </c>
      <c r="AG6636">
        <v>-1.1149085526339999</v>
      </c>
      <c r="AH6636">
        <v>7.0761734013962503</v>
      </c>
      <c r="AI6636">
        <v>98.188150688944503</v>
      </c>
      <c r="AJ6636">
        <v>114.040556417308</v>
      </c>
      <c r="AK6636">
        <v>7.8280817055313801</v>
      </c>
      <c r="AL6636">
        <v>86.838315139306999</v>
      </c>
      <c r="AM6636">
        <v>101.59800509588401</v>
      </c>
      <c r="AN6636">
        <v>1.0000000013118899</v>
      </c>
    </row>
    <row r="6637" spans="1:40" x14ac:dyDescent="0.25">
      <c r="A6637" t="str">
        <f>"20190312151153288"</f>
        <v>20190312151153288</v>
      </c>
      <c r="B6637" t="str">
        <f>"1552374713278095"</f>
        <v>1552374713278095</v>
      </c>
      <c r="C6637" t="s">
        <v>40</v>
      </c>
      <c r="D6637">
        <v>5.147132</v>
      </c>
      <c r="E6637">
        <v>0.4203945</v>
      </c>
      <c r="F6637" t="s">
        <v>85</v>
      </c>
      <c r="G6637">
        <v>-205.66149999999999</v>
      </c>
      <c r="H6637" s="1">
        <v>-3.6441820000000001E-6</v>
      </c>
      <c r="I6637">
        <v>-56.538760000000003</v>
      </c>
      <c r="J6637">
        <v>-211.9194</v>
      </c>
      <c r="K6637">
        <v>1.1149639999999901</v>
      </c>
      <c r="L6637">
        <v>-61.384979999999999</v>
      </c>
      <c r="M6637">
        <v>0.97129259999999995</v>
      </c>
      <c r="N6637">
        <v>0</v>
      </c>
      <c r="O6637">
        <v>0.23761170000000001</v>
      </c>
      <c r="P6637">
        <v>0.90298500000000004</v>
      </c>
      <c r="Q6637">
        <v>4.6156019999999999E-2</v>
      </c>
      <c r="R6637">
        <v>0.4271858</v>
      </c>
      <c r="S6637">
        <v>2.4594119999999999</v>
      </c>
      <c r="T6637">
        <v>-0.42823660000000002</v>
      </c>
      <c r="U6637">
        <v>1.87619</v>
      </c>
      <c r="V6637">
        <v>-0.20106760000000001</v>
      </c>
      <c r="W6637">
        <v>5.4900989999999997E-2</v>
      </c>
      <c r="X6637">
        <v>0.97803770000000001</v>
      </c>
      <c r="Y6637">
        <v>-0.39871649999999997</v>
      </c>
      <c r="Z6637">
        <v>-4.9058460000000002E-3</v>
      </c>
      <c r="AA6637">
        <v>0.91706109999999996</v>
      </c>
      <c r="AB6637">
        <v>30</v>
      </c>
      <c r="AC6637">
        <v>6.2579000000000002</v>
      </c>
      <c r="AD6637">
        <v>-1.11496764418199</v>
      </c>
      <c r="AE6637">
        <v>4.8462199999999998</v>
      </c>
      <c r="AF6637">
        <v>-3.1576984053992398</v>
      </c>
      <c r="AG6637">
        <v>-1.11496764418199</v>
      </c>
      <c r="AH6637">
        <v>7.0895621501078798</v>
      </c>
      <c r="AI6637">
        <v>98.175350908989799</v>
      </c>
      <c r="AJ6637">
        <v>114.008241309666</v>
      </c>
      <c r="AK6637">
        <v>7.8406698404712802</v>
      </c>
      <c r="AL6637">
        <v>86.852822700015395</v>
      </c>
      <c r="AM6637">
        <v>101.61716058181401</v>
      </c>
      <c r="AN6637">
        <v>1.0000000205470101</v>
      </c>
    </row>
    <row r="6638" spans="1:40" x14ac:dyDescent="0.25">
      <c r="A6638" t="str">
        <f>"20190312151153310"</f>
        <v>20190312151153310</v>
      </c>
      <c r="B6638" t="str">
        <f>"1552374713307376"</f>
        <v>1552374713307376</v>
      </c>
      <c r="C6638" t="s">
        <v>40</v>
      </c>
      <c r="D6638">
        <v>5.1813060000000002</v>
      </c>
      <c r="E6638">
        <v>0.42090080000000002</v>
      </c>
      <c r="F6638" t="s">
        <v>85</v>
      </c>
      <c r="G6638">
        <v>-205.54920000000001</v>
      </c>
      <c r="H6638" s="1">
        <v>-3.7154629999999999E-6</v>
      </c>
      <c r="I6638">
        <v>-56.494349999999997</v>
      </c>
      <c r="J6638">
        <v>-211.64599999999999</v>
      </c>
      <c r="K6638">
        <v>1.1150739999999999</v>
      </c>
      <c r="L6638">
        <v>-61.311369999999997</v>
      </c>
      <c r="M6638">
        <v>0.96976030000000002</v>
      </c>
      <c r="N6638">
        <v>0</v>
      </c>
      <c r="O6638">
        <v>0.2437887</v>
      </c>
      <c r="P6638">
        <v>0.8998332</v>
      </c>
      <c r="Q6638">
        <v>4.6006110000000003E-2</v>
      </c>
      <c r="R6638">
        <v>0.43380150000000001</v>
      </c>
      <c r="S6638">
        <v>2.4532470000000002</v>
      </c>
      <c r="T6638">
        <v>-0.4293901</v>
      </c>
      <c r="U6638">
        <v>1.883453</v>
      </c>
      <c r="V6638">
        <v>-0.20203209999999999</v>
      </c>
      <c r="W6638">
        <v>5.4713390000000001E-2</v>
      </c>
      <c r="X6638">
        <v>0.97784939999999998</v>
      </c>
      <c r="Y6638">
        <v>-0.39577489999999999</v>
      </c>
      <c r="Z6638">
        <v>-6.0411469999999898E-3</v>
      </c>
      <c r="AA6638">
        <v>0.91832769999999997</v>
      </c>
      <c r="AB6638">
        <v>30</v>
      </c>
      <c r="AC6638">
        <v>6.0967999999999698</v>
      </c>
      <c r="AD6638">
        <v>-1.1150777154629901</v>
      </c>
      <c r="AE6638">
        <v>4.8170199999999896</v>
      </c>
      <c r="AF6638">
        <v>-3.1209588591974802</v>
      </c>
      <c r="AG6638">
        <v>-1.1150777154629901</v>
      </c>
      <c r="AH6638">
        <v>6.9442232723802597</v>
      </c>
      <c r="AI6638">
        <v>98.332528335268094</v>
      </c>
      <c r="AJ6638">
        <v>114.20069451749301</v>
      </c>
      <c r="AK6638">
        <v>7.6945447798419497</v>
      </c>
      <c r="AL6638">
        <v>86.863587462093307</v>
      </c>
      <c r="AM6638">
        <v>101.673547347864</v>
      </c>
      <c r="AN6638">
        <v>0.99999998677803004</v>
      </c>
    </row>
    <row r="6639" spans="1:40" x14ac:dyDescent="0.25">
      <c r="A6639" t="str">
        <f>"20190312151153321"</f>
        <v>20190312151153321</v>
      </c>
      <c r="B6639" t="str">
        <f>"1552374713318111"</f>
        <v>1552374713318111</v>
      </c>
      <c r="C6639" t="s">
        <v>40</v>
      </c>
      <c r="D6639">
        <v>5.0701689999999999</v>
      </c>
      <c r="E6639">
        <v>0.42090080000000002</v>
      </c>
      <c r="F6639" t="s">
        <v>85</v>
      </c>
      <c r="G6639">
        <v>-205.32149999999999</v>
      </c>
      <c r="H6639" s="1">
        <v>-3.8620249999999997E-6</v>
      </c>
      <c r="I6639">
        <v>-56.394959999999998</v>
      </c>
      <c r="J6639">
        <v>-211.5138</v>
      </c>
      <c r="K6639">
        <v>1.1151279999999999</v>
      </c>
      <c r="L6639">
        <v>-61.275210000000001</v>
      </c>
      <c r="M6639">
        <v>0.96899429999999998</v>
      </c>
      <c r="N6639">
        <v>0</v>
      </c>
      <c r="O6639">
        <v>0.24681500000000001</v>
      </c>
      <c r="P6639">
        <v>0.898227</v>
      </c>
      <c r="Q6639">
        <v>4.607493E-2</v>
      </c>
      <c r="R6639">
        <v>0.43711050000000001</v>
      </c>
      <c r="S6639">
        <v>2.4411160000000001</v>
      </c>
      <c r="T6639">
        <v>-0.4303997</v>
      </c>
      <c r="U6639">
        <v>1.8976440000000001</v>
      </c>
      <c r="V6639">
        <v>-0.20258780000000001</v>
      </c>
      <c r="W6639">
        <v>5.4762440000000003E-2</v>
      </c>
      <c r="X6639">
        <v>0.97773169999999998</v>
      </c>
      <c r="Y6639">
        <v>-0.3984376</v>
      </c>
      <c r="Z6639">
        <v>-6.2950760000000001E-3</v>
      </c>
      <c r="AA6639">
        <v>0.91717389999999999</v>
      </c>
      <c r="AB6639">
        <v>30</v>
      </c>
      <c r="AC6639">
        <v>6.1923000000000101</v>
      </c>
      <c r="AD6639">
        <v>-1.1151318620249999</v>
      </c>
      <c r="AE6639">
        <v>4.8802499999999904</v>
      </c>
      <c r="AF6639">
        <v>-3.1380187619729498</v>
      </c>
      <c r="AG6639">
        <v>-1.1151318620249999</v>
      </c>
      <c r="AH6639">
        <v>7.0639865585111297</v>
      </c>
      <c r="AI6639">
        <v>98.209267227359405</v>
      </c>
      <c r="AJ6639">
        <v>113.95211978083</v>
      </c>
      <c r="AK6639">
        <v>7.8096470418978301</v>
      </c>
      <c r="AL6639">
        <v>86.860772955307397</v>
      </c>
      <c r="AM6639">
        <v>101.706141461938</v>
      </c>
      <c r="AN6639">
        <v>1.0000000093642401</v>
      </c>
    </row>
    <row r="6640" spans="1:40" x14ac:dyDescent="0.25">
      <c r="A6640" t="str">
        <f>"20190312151153331"</f>
        <v>20190312151153331</v>
      </c>
      <c r="B6640" t="str">
        <f>"1552374713327871"</f>
        <v>1552374713327871</v>
      </c>
      <c r="C6640" t="s">
        <v>40</v>
      </c>
      <c r="D6640">
        <v>5.1561349999999999</v>
      </c>
      <c r="E6640">
        <v>0.43266979999999999</v>
      </c>
      <c r="F6640" t="s">
        <v>85</v>
      </c>
      <c r="G6640">
        <v>-205.202</v>
      </c>
      <c r="H6640" s="1">
        <v>-3.9415920000000003E-6</v>
      </c>
      <c r="I6640">
        <v>-56.330840000000002</v>
      </c>
      <c r="J6640">
        <v>-211.37309999999999</v>
      </c>
      <c r="K6640">
        <v>1.1151879999999901</v>
      </c>
      <c r="L6640">
        <v>-61.235959999999999</v>
      </c>
      <c r="M6640">
        <v>0.96815680000000004</v>
      </c>
      <c r="N6640">
        <v>0</v>
      </c>
      <c r="O6640">
        <v>0.25007929999999901</v>
      </c>
      <c r="P6640">
        <v>0.89655720000000005</v>
      </c>
      <c r="Q6640">
        <v>4.6236779999999998E-2</v>
      </c>
      <c r="R6640">
        <v>0.44050820000000002</v>
      </c>
      <c r="S6640">
        <v>2.4340820000000001</v>
      </c>
      <c r="T6640">
        <v>-0.43004510000000001</v>
      </c>
      <c r="U6640">
        <v>1.9067689999999999</v>
      </c>
      <c r="V6640">
        <v>-0.20300670000000001</v>
      </c>
      <c r="W6640">
        <v>5.4906700000000003E-2</v>
      </c>
      <c r="X6640">
        <v>0.97763670000000003</v>
      </c>
      <c r="Y6640">
        <v>-0.39879249999999999</v>
      </c>
      <c r="Z6640">
        <v>-6.7386629999999998E-3</v>
      </c>
      <c r="AA6640">
        <v>0.91701639999999995</v>
      </c>
      <c r="AB6640">
        <v>30</v>
      </c>
      <c r="AC6640">
        <v>6.1710999999999903</v>
      </c>
      <c r="AD6640">
        <v>-1.11519194159199</v>
      </c>
      <c r="AE6640">
        <v>4.9051199999999904</v>
      </c>
      <c r="AF6640">
        <v>-3.1429738053272902</v>
      </c>
      <c r="AG6640">
        <v>-1.11519194159199</v>
      </c>
      <c r="AH6640">
        <v>7.0604398165326101</v>
      </c>
      <c r="AI6640">
        <v>98.210989544700894</v>
      </c>
      <c r="AJ6640">
        <v>113.996366216882</v>
      </c>
      <c r="AK6640">
        <v>7.8084408053365104</v>
      </c>
      <c r="AL6640">
        <v>86.852494955601898</v>
      </c>
      <c r="AM6640">
        <v>101.730785003276</v>
      </c>
      <c r="AN6640">
        <v>0.99999999156833497</v>
      </c>
    </row>
    <row r="6641" spans="1:40" x14ac:dyDescent="0.25">
      <c r="A6641" t="str">
        <f>"20190312151153343"</f>
        <v>20190312151153343</v>
      </c>
      <c r="B6641" t="str">
        <f>"1552374713337631"</f>
        <v>1552374713337631</v>
      </c>
      <c r="C6641" t="s">
        <v>40</v>
      </c>
      <c r="D6641">
        <v>5.166804</v>
      </c>
      <c r="E6641">
        <v>0.43137209999999998</v>
      </c>
      <c r="F6641" t="s">
        <v>85</v>
      </c>
      <c r="G6641">
        <v>-205.04349999999999</v>
      </c>
      <c r="H6641" s="1">
        <v>-3.9824430000000003E-6</v>
      </c>
      <c r="I6641">
        <v>-56.537689999999998</v>
      </c>
      <c r="J6641">
        <v>-211.22329999999999</v>
      </c>
      <c r="K6641">
        <v>1.115235</v>
      </c>
      <c r="L6641">
        <v>-61.1937</v>
      </c>
      <c r="M6641">
        <v>0.96729330000000002</v>
      </c>
      <c r="N6641">
        <v>0</v>
      </c>
      <c r="O6641">
        <v>0.25340119999999999</v>
      </c>
      <c r="P6641">
        <v>0.89478409999999997</v>
      </c>
      <c r="Q6641">
        <v>4.6350420000000003E-2</v>
      </c>
      <c r="R6641">
        <v>0.4440868</v>
      </c>
      <c r="S6641">
        <v>2.468353</v>
      </c>
      <c r="T6641">
        <v>-0.43489090000000002</v>
      </c>
      <c r="U6641">
        <v>1.832184</v>
      </c>
      <c r="V6641">
        <v>-0.20356769999999999</v>
      </c>
      <c r="W6641">
        <v>5.492909E-2</v>
      </c>
      <c r="X6641">
        <v>0.97751880000000002</v>
      </c>
      <c r="Y6641">
        <v>-0.37190600000000001</v>
      </c>
      <c r="Z6641">
        <v>-9.4093360000000008E-3</v>
      </c>
      <c r="AA6641">
        <v>0.92822269999999896</v>
      </c>
      <c r="AB6641">
        <v>30</v>
      </c>
      <c r="AC6641">
        <v>6.1798000000000002</v>
      </c>
      <c r="AD6641">
        <v>-1.115238982443</v>
      </c>
      <c r="AE6641">
        <v>4.6560099999999904</v>
      </c>
      <c r="AF6641">
        <v>-2.8781583275744298</v>
      </c>
      <c r="AG6641">
        <v>-1.115238982443</v>
      </c>
      <c r="AH6641">
        <v>7.0123084500099502</v>
      </c>
      <c r="AI6641">
        <v>98.369840068111301</v>
      </c>
      <c r="AJ6641">
        <v>112.315392944024</v>
      </c>
      <c r="AK6641">
        <v>7.6615940341829303</v>
      </c>
      <c r="AL6641">
        <v>86.851210218748705</v>
      </c>
      <c r="AM6641">
        <v>101.763679670092</v>
      </c>
      <c r="AN6641">
        <v>1.0000000088824701</v>
      </c>
    </row>
    <row r="6642" spans="1:40" x14ac:dyDescent="0.25">
      <c r="A6642" t="str">
        <f>"20190312151153354"</f>
        <v>20190312151153354</v>
      </c>
      <c r="B6642" t="str">
        <f>"1552374713347392"</f>
        <v>1552374713347392</v>
      </c>
      <c r="C6642" t="s">
        <v>40</v>
      </c>
      <c r="D6642">
        <v>5.1858820000000003</v>
      </c>
      <c r="E6642">
        <v>0.43038749999999998</v>
      </c>
      <c r="F6642" t="s">
        <v>85</v>
      </c>
      <c r="G6642">
        <v>-204.8768</v>
      </c>
      <c r="H6642" s="1">
        <v>-4.09872E-6</v>
      </c>
      <c r="I6642">
        <v>-56.410870000000003</v>
      </c>
      <c r="J6642">
        <v>-211.0855</v>
      </c>
      <c r="K6642">
        <v>1.115262</v>
      </c>
      <c r="L6642">
        <v>-61.154269999999997</v>
      </c>
      <c r="M6642">
        <v>0.96653069999999996</v>
      </c>
      <c r="N6642">
        <v>0</v>
      </c>
      <c r="O6642">
        <v>0.25629990000000002</v>
      </c>
      <c r="P6642">
        <v>0.89309139999999998</v>
      </c>
      <c r="Q6642">
        <v>4.6376269999999997E-2</v>
      </c>
      <c r="R6642">
        <v>0.4474786</v>
      </c>
      <c r="S6642">
        <v>2.4563899999999999</v>
      </c>
      <c r="T6642">
        <v>-0.43164770000000002</v>
      </c>
      <c r="U6642">
        <v>1.8511660000000001</v>
      </c>
      <c r="V6642">
        <v>-0.20435410000000001</v>
      </c>
      <c r="W6642">
        <v>5.4795770000000001E-2</v>
      </c>
      <c r="X6642">
        <v>0.97736219999999996</v>
      </c>
      <c r="Y6642">
        <v>-0.3758782</v>
      </c>
      <c r="Z6642">
        <v>-9.4598679999999997E-3</v>
      </c>
      <c r="AA6642">
        <v>0.92662080000000002</v>
      </c>
      <c r="AB6642">
        <v>30</v>
      </c>
      <c r="AC6642">
        <v>6.2086999999999897</v>
      </c>
      <c r="AD6642">
        <v>-1.11526609872</v>
      </c>
      <c r="AE6642">
        <v>4.7434000000000003</v>
      </c>
      <c r="AF6642">
        <v>-2.93377115030933</v>
      </c>
      <c r="AG6642">
        <v>-1.11526609872</v>
      </c>
      <c r="AH6642">
        <v>7.0729881730491897</v>
      </c>
      <c r="AI6642">
        <v>98.286720038310406</v>
      </c>
      <c r="AJ6642">
        <v>112.52795261569599</v>
      </c>
      <c r="AK6642">
        <v>7.7380871880223197</v>
      </c>
      <c r="AL6642">
        <v>86.858860455961604</v>
      </c>
      <c r="AM6642">
        <v>101.809689128665</v>
      </c>
      <c r="AN6642">
        <v>1.0000000222927701</v>
      </c>
    </row>
    <row r="6643" spans="1:40" x14ac:dyDescent="0.25">
      <c r="A6643" t="str">
        <f>"20190312151153365"</f>
        <v>20190312151153365</v>
      </c>
      <c r="B6643" t="str">
        <f>"1552374713358127"</f>
        <v>1552374713358127</v>
      </c>
      <c r="C6643" t="s">
        <v>40</v>
      </c>
      <c r="D6643">
        <v>5.2074350000000003</v>
      </c>
      <c r="E6643">
        <v>0.43005599999999999</v>
      </c>
      <c r="F6643" t="s">
        <v>85</v>
      </c>
      <c r="G6643">
        <v>-204.6927</v>
      </c>
      <c r="H6643" s="1">
        <v>-4.222943E-6</v>
      </c>
      <c r="I6643">
        <v>-56.2735699999999</v>
      </c>
      <c r="J6643">
        <v>-210.9425</v>
      </c>
      <c r="K6643">
        <v>1.1152519999999999</v>
      </c>
      <c r="L6643">
        <v>-61.112699999999997</v>
      </c>
      <c r="M6643">
        <v>0.96567139999999996</v>
      </c>
      <c r="N6643">
        <v>0</v>
      </c>
      <c r="O6643">
        <v>0.25951659999999999</v>
      </c>
      <c r="P6643">
        <v>0.89124709999999996</v>
      </c>
      <c r="Q6643">
        <v>4.6341930000000003E-2</v>
      </c>
      <c r="R6643">
        <v>0.4511444</v>
      </c>
      <c r="S6643">
        <v>2.4457089999999999</v>
      </c>
      <c r="T6643">
        <v>-0.4266702</v>
      </c>
      <c r="U6643">
        <v>1.867218</v>
      </c>
      <c r="V6643">
        <v>-0.20511560000000001</v>
      </c>
      <c r="W6643">
        <v>5.4791960000000001E-2</v>
      </c>
      <c r="X6643">
        <v>0.97720289999999999</v>
      </c>
      <c r="Y6643">
        <v>-0.3786177</v>
      </c>
      <c r="Z6643">
        <v>-9.6106009999999999E-3</v>
      </c>
      <c r="AA6643">
        <v>0.92550330000000003</v>
      </c>
      <c r="AB6643">
        <v>30</v>
      </c>
      <c r="AC6643">
        <v>6.2497999999999898</v>
      </c>
      <c r="AD6643">
        <v>-1.1152562229430001</v>
      </c>
      <c r="AE6643">
        <v>4.8391299999999999</v>
      </c>
      <c r="AF6643">
        <v>-2.9917215256729301</v>
      </c>
      <c r="AG6643">
        <v>-1.1152562229430001</v>
      </c>
      <c r="AH6643">
        <v>7.1492341744397097</v>
      </c>
      <c r="AI6643">
        <v>98.188913409698998</v>
      </c>
      <c r="AJ6643">
        <v>112.707721248615</v>
      </c>
      <c r="AK6643">
        <v>7.8297984272243202</v>
      </c>
      <c r="AL6643">
        <v>86.859079130724396</v>
      </c>
      <c r="AM6643">
        <v>101.854331379502</v>
      </c>
      <c r="AN6643">
        <v>1.0000000380062</v>
      </c>
    </row>
    <row r="6644" spans="1:40" x14ac:dyDescent="0.25">
      <c r="A6644" t="str">
        <f>"20190312151153376"</f>
        <v>20190312151153376</v>
      </c>
      <c r="B6644" t="str">
        <f>"1552374713367887"</f>
        <v>1552374713367887</v>
      </c>
      <c r="C6644" t="s">
        <v>40</v>
      </c>
      <c r="D6644">
        <v>5.1725700000000003</v>
      </c>
      <c r="E6644">
        <v>0.4299326</v>
      </c>
      <c r="F6644" t="s">
        <v>85</v>
      </c>
      <c r="G6644">
        <v>-204.5667</v>
      </c>
      <c r="H6644" s="1">
        <v>-4.3044580000000001E-6</v>
      </c>
      <c r="I6644">
        <v>-56.195590000000003</v>
      </c>
      <c r="J6644">
        <v>-210.79939999999999</v>
      </c>
      <c r="K6644">
        <v>1.115227</v>
      </c>
      <c r="L6644">
        <v>-61.070799999999998</v>
      </c>
      <c r="M6644">
        <v>0.96477349999999995</v>
      </c>
      <c r="N6644">
        <v>0</v>
      </c>
      <c r="O6644">
        <v>0.26282990000000001</v>
      </c>
      <c r="P6644">
        <v>0.8892833</v>
      </c>
      <c r="Q6644">
        <v>4.5989290000000002E-2</v>
      </c>
      <c r="R6644">
        <v>0.45503860000000002</v>
      </c>
      <c r="S6644">
        <v>2.4369049999999999</v>
      </c>
      <c r="T6644">
        <v>-0.4262609</v>
      </c>
      <c r="U6644">
        <v>1.879364</v>
      </c>
      <c r="V6644">
        <v>-0.2060235</v>
      </c>
      <c r="W6644">
        <v>5.4557229999999998E-2</v>
      </c>
      <c r="X6644">
        <v>0.97702500000000003</v>
      </c>
      <c r="Y6644">
        <v>-0.37996930000000001</v>
      </c>
      <c r="Z6644">
        <v>-9.980325E-3</v>
      </c>
      <c r="AA6644">
        <v>0.92494520000000002</v>
      </c>
      <c r="AB6644">
        <v>30</v>
      </c>
      <c r="AC6644">
        <v>6.2326999999999897</v>
      </c>
      <c r="AD6644">
        <v>-1.115231304458</v>
      </c>
      <c r="AE6644">
        <v>4.8752099999999903</v>
      </c>
      <c r="AF6644">
        <v>-3.0058301882298402</v>
      </c>
      <c r="AG6644">
        <v>-1.115231304458</v>
      </c>
      <c r="AH6644">
        <v>7.1528962666263904</v>
      </c>
      <c r="AI6644">
        <v>98.179536396785494</v>
      </c>
      <c r="AJ6644">
        <v>112.79339297123801</v>
      </c>
      <c r="AK6644">
        <v>7.83853819178261</v>
      </c>
      <c r="AL6644">
        <v>86.872548234832806</v>
      </c>
      <c r="AM6644">
        <v>101.90741375117101</v>
      </c>
      <c r="AN6644">
        <v>1.00000001226126</v>
      </c>
    </row>
    <row r="6645" spans="1:40" x14ac:dyDescent="0.25">
      <c r="A6645" t="str">
        <f>"20190312151153388"</f>
        <v>20190312151153388</v>
      </c>
      <c r="B6645" t="str">
        <f>"1552374713377647"</f>
        <v>1552374713377647</v>
      </c>
      <c r="C6645" t="s">
        <v>40</v>
      </c>
      <c r="D6645">
        <v>5.1601160000000004</v>
      </c>
      <c r="E6645">
        <v>0.42999290000000001</v>
      </c>
      <c r="F6645" t="s">
        <v>85</v>
      </c>
      <c r="G6645">
        <v>-204.4513</v>
      </c>
      <c r="H6645" s="1">
        <v>-4.3781959999999997E-6</v>
      </c>
      <c r="I6645">
        <v>-56.128239999999998</v>
      </c>
      <c r="J6645">
        <v>-210.65530000000001</v>
      </c>
      <c r="K6645">
        <v>1.1151719999999901</v>
      </c>
      <c r="L6645">
        <v>-61.027740000000001</v>
      </c>
      <c r="M6645">
        <v>0.96374990000000005</v>
      </c>
      <c r="N6645">
        <v>0</v>
      </c>
      <c r="O6645">
        <v>0.26655129999999999</v>
      </c>
      <c r="P6645">
        <v>0.88712409999999997</v>
      </c>
      <c r="Q6645">
        <v>4.5513329999999998E-2</v>
      </c>
      <c r="R6645">
        <v>0.45928150000000001</v>
      </c>
      <c r="S6645">
        <v>2.428207</v>
      </c>
      <c r="T6645">
        <v>-0.42658390000000002</v>
      </c>
      <c r="U6645">
        <v>1.8905639999999999</v>
      </c>
      <c r="V6645">
        <v>-0.20690030000000001</v>
      </c>
      <c r="W6645">
        <v>5.4261080000000003E-2</v>
      </c>
      <c r="X6645">
        <v>0.97685619999999995</v>
      </c>
      <c r="Y6645">
        <v>-0.38068550000000001</v>
      </c>
      <c r="Z6645">
        <v>-1.047554E-2</v>
      </c>
      <c r="AA6645">
        <v>0.92464519999999994</v>
      </c>
      <c r="AB6645">
        <v>30</v>
      </c>
      <c r="AC6645">
        <v>6.2039999999999997</v>
      </c>
      <c r="AD6645">
        <v>-1.11517637819599</v>
      </c>
      <c r="AE6645">
        <v>4.89949999999999</v>
      </c>
      <c r="AF6645">
        <v>-3.0085490003559698</v>
      </c>
      <c r="AG6645">
        <v>-1.11517637819599</v>
      </c>
      <c r="AH6645">
        <v>7.1434188513391801</v>
      </c>
      <c r="AI6645">
        <v>98.187134893085897</v>
      </c>
      <c r="AJ6645">
        <v>112.839061359032</v>
      </c>
      <c r="AK6645">
        <v>7.8309270413979197</v>
      </c>
      <c r="AL6645">
        <v>86.889541566977698</v>
      </c>
      <c r="AM6645">
        <v>101.95864071541</v>
      </c>
      <c r="AN6645">
        <v>1.00000001721064</v>
      </c>
    </row>
    <row r="6646" spans="1:40" x14ac:dyDescent="0.25">
      <c r="A6646" t="str">
        <f>"20190312151153399"</f>
        <v>20190312151153399</v>
      </c>
      <c r="B6646" t="str">
        <f>"1552374713387408"</f>
        <v>1552374713387408</v>
      </c>
      <c r="C6646" t="s">
        <v>40</v>
      </c>
      <c r="D6646">
        <v>5.1782959999999996</v>
      </c>
      <c r="E6646">
        <v>0.4301257</v>
      </c>
      <c r="F6646" t="s">
        <v>85</v>
      </c>
      <c r="G6646">
        <v>-204.30930000000001</v>
      </c>
      <c r="H6646" s="1">
        <v>-4.4700709999999996E-6</v>
      </c>
      <c r="I6646">
        <v>-56.040210000000002</v>
      </c>
      <c r="J6646">
        <v>-210.52209999999999</v>
      </c>
      <c r="K6646">
        <v>1.115124</v>
      </c>
      <c r="L6646">
        <v>-60.987760000000002</v>
      </c>
      <c r="M6646">
        <v>0.96277939999999995</v>
      </c>
      <c r="N6646">
        <v>0</v>
      </c>
      <c r="O6646">
        <v>0.27002959999999998</v>
      </c>
      <c r="P6646">
        <v>0.88502139999999996</v>
      </c>
      <c r="Q6646">
        <v>4.5259010000000002E-2</v>
      </c>
      <c r="R6646">
        <v>0.46334520000000001</v>
      </c>
      <c r="S6646">
        <v>2.4191739999999999</v>
      </c>
      <c r="T6646">
        <v>-0.42511860000000001</v>
      </c>
      <c r="U6646">
        <v>1.9013059999999999</v>
      </c>
      <c r="V6646">
        <v>-0.20784130000000001</v>
      </c>
      <c r="W6646">
        <v>5.4162990000000001E-2</v>
      </c>
      <c r="X6646">
        <v>0.97666189999999997</v>
      </c>
      <c r="Y6646">
        <v>-0.38158999999999998</v>
      </c>
      <c r="Z6646">
        <v>-1.0878850000000001E-2</v>
      </c>
      <c r="AA6646">
        <v>0.92426759999999997</v>
      </c>
      <c r="AB6646">
        <v>30</v>
      </c>
      <c r="AC6646">
        <v>6.2127999999999801</v>
      </c>
      <c r="AD6646">
        <v>-1.115128470071</v>
      </c>
      <c r="AE6646">
        <v>4.9475499999999997</v>
      </c>
      <c r="AF6646">
        <v>-3.0263139254726399</v>
      </c>
      <c r="AG6646">
        <v>-1.115128470071</v>
      </c>
      <c r="AH6646">
        <v>7.1765725472534303</v>
      </c>
      <c r="AI6646">
        <v>98.147952429805997</v>
      </c>
      <c r="AJ6646">
        <v>112.86483615124899</v>
      </c>
      <c r="AK6646">
        <v>7.8679909129500203</v>
      </c>
      <c r="AL6646">
        <v>86.895170092396796</v>
      </c>
      <c r="AM6646">
        <v>102.013773607785</v>
      </c>
      <c r="AN6646">
        <v>1.0000000511915099</v>
      </c>
    </row>
    <row r="6647" spans="1:40" x14ac:dyDescent="0.25">
      <c r="A6647" t="str">
        <f>"20190312151153409"</f>
        <v>20190312151153409</v>
      </c>
      <c r="B6647" t="str">
        <f>"1552374713398143"</f>
        <v>1552374713398143</v>
      </c>
      <c r="C6647" t="s">
        <v>40</v>
      </c>
      <c r="D6647">
        <v>5.1883350000000004</v>
      </c>
      <c r="E6647">
        <v>0.43027599999999999</v>
      </c>
      <c r="F6647" t="s">
        <v>85</v>
      </c>
      <c r="G6647">
        <v>-204.18289999999999</v>
      </c>
      <c r="H6647" s="1">
        <v>-4.5516099999999996E-6</v>
      </c>
      <c r="I6647">
        <v>-55.962910000000001</v>
      </c>
      <c r="J6647">
        <v>-210.38220000000001</v>
      </c>
      <c r="K6647">
        <v>1.115129</v>
      </c>
      <c r="L6647">
        <v>-60.944920000000003</v>
      </c>
      <c r="M6647">
        <v>0.96171399999999996</v>
      </c>
      <c r="N6647">
        <v>0</v>
      </c>
      <c r="O6647">
        <v>0.2737964</v>
      </c>
      <c r="P6647">
        <v>0.88277739999999905</v>
      </c>
      <c r="Q6647">
        <v>4.5238680000000003E-2</v>
      </c>
      <c r="R6647">
        <v>0.46760849999999998</v>
      </c>
      <c r="S6647">
        <v>2.4109189999999998</v>
      </c>
      <c r="T6647">
        <v>-0.42410360000000003</v>
      </c>
      <c r="U6647">
        <v>1.911041</v>
      </c>
      <c r="V6647">
        <v>-0.20873220000000001</v>
      </c>
      <c r="W6647">
        <v>5.419156E-2</v>
      </c>
      <c r="X6647">
        <v>0.97647019999999995</v>
      </c>
      <c r="Y6647">
        <v>-0.38183879999999998</v>
      </c>
      <c r="Z6647">
        <v>-1.138192E-2</v>
      </c>
      <c r="AA6647">
        <v>0.92415879999999995</v>
      </c>
      <c r="AB6647">
        <v>30</v>
      </c>
      <c r="AC6647">
        <v>6.1993000000000196</v>
      </c>
      <c r="AD6647">
        <v>-1.1151335516100001</v>
      </c>
      <c r="AE6647">
        <v>4.9820099999999901</v>
      </c>
      <c r="AF6647">
        <v>-3.0344843387300502</v>
      </c>
      <c r="AG6647">
        <v>-1.1151335516100001</v>
      </c>
      <c r="AH6647">
        <v>7.1852675288681302</v>
      </c>
      <c r="AI6647">
        <v>98.1364586183998</v>
      </c>
      <c r="AJ6647">
        <v>112.895320716336</v>
      </c>
      <c r="AK6647">
        <v>7.8790664105166099</v>
      </c>
      <c r="AL6647">
        <v>86.893530442154102</v>
      </c>
      <c r="AM6647">
        <v>102.06606346173</v>
      </c>
      <c r="AN6647">
        <v>0.99999995399005503</v>
      </c>
    </row>
    <row r="6648" spans="1:40" x14ac:dyDescent="0.25">
      <c r="A6648" t="str">
        <f>"20190312151153421"</f>
        <v>20190312151153421</v>
      </c>
      <c r="B6648" t="str">
        <f>"1552374713417663"</f>
        <v>1552374713417663</v>
      </c>
      <c r="C6648" t="s">
        <v>40</v>
      </c>
      <c r="D6648">
        <v>5.1725729999999999</v>
      </c>
      <c r="E6648">
        <v>0.43066169999999998</v>
      </c>
      <c r="F6648" t="s">
        <v>85</v>
      </c>
      <c r="G6648">
        <v>-204.05879999999999</v>
      </c>
      <c r="H6648" s="1">
        <v>-4.631661E-6</v>
      </c>
      <c r="I6648">
        <v>-55.88693</v>
      </c>
      <c r="J6648">
        <v>-210.245</v>
      </c>
      <c r="K6648">
        <v>1.115157</v>
      </c>
      <c r="L6648">
        <v>-60.902589999999996</v>
      </c>
      <c r="M6648">
        <v>0.96066439999999997</v>
      </c>
      <c r="N6648">
        <v>0</v>
      </c>
      <c r="O6648">
        <v>0.27745449999999999</v>
      </c>
      <c r="P6648">
        <v>0.8805712</v>
      </c>
      <c r="Q6648">
        <v>4.513532E-2</v>
      </c>
      <c r="R6648">
        <v>0.4717597</v>
      </c>
      <c r="S6648">
        <v>2.402237</v>
      </c>
      <c r="T6648">
        <v>-0.42363440000000002</v>
      </c>
      <c r="U6648">
        <v>1.9215089999999999</v>
      </c>
      <c r="V6648">
        <v>-0.20961779999999999</v>
      </c>
      <c r="W6648">
        <v>5.4107280000000001E-2</v>
      </c>
      <c r="X6648">
        <v>0.97628519999999996</v>
      </c>
      <c r="Y6648">
        <v>-0.38243440000000001</v>
      </c>
      <c r="Z6648">
        <v>-1.1856129999999999E-2</v>
      </c>
      <c r="AA6648">
        <v>0.92390660000000002</v>
      </c>
      <c r="AB6648">
        <v>30</v>
      </c>
      <c r="AC6648">
        <v>6.1862000000000101</v>
      </c>
      <c r="AD6648">
        <v>-1.115161631661</v>
      </c>
      <c r="AE6648">
        <v>5.0156599999999898</v>
      </c>
      <c r="AF6648">
        <v>-3.0425438073282498</v>
      </c>
      <c r="AG6648">
        <v>-1.115161631661</v>
      </c>
      <c r="AH6648">
        <v>7.1939525984025199</v>
      </c>
      <c r="AI6648">
        <v>98.125213872074497</v>
      </c>
      <c r="AJ6648">
        <v>112.924996733008</v>
      </c>
      <c r="AK6648">
        <v>7.8900958341646801</v>
      </c>
      <c r="AL6648">
        <v>86.898366586616902</v>
      </c>
      <c r="AM6648">
        <v>102.117975401205</v>
      </c>
      <c r="AN6648">
        <v>1.0000000057824301</v>
      </c>
    </row>
    <row r="6649" spans="1:40" x14ac:dyDescent="0.25">
      <c r="A6649" t="str">
        <f>"20190312151153432"</f>
        <v>20190312151153432</v>
      </c>
      <c r="B6649" t="str">
        <f>"1552374713427423"</f>
        <v>1552374713427423</v>
      </c>
      <c r="C6649" t="s">
        <v>40</v>
      </c>
      <c r="D6649">
        <v>5.2610830000000002</v>
      </c>
      <c r="E6649">
        <v>0.43066169999999998</v>
      </c>
      <c r="F6649" t="s">
        <v>85</v>
      </c>
      <c r="G6649">
        <v>-203.9889</v>
      </c>
      <c r="H6649" s="1">
        <v>-4.6732980000000002E-6</v>
      </c>
      <c r="I6649">
        <v>-55.859949999999998</v>
      </c>
      <c r="J6649">
        <v>-210.0975</v>
      </c>
      <c r="K6649">
        <v>1.115238</v>
      </c>
      <c r="L6649">
        <v>-60.856229999999996</v>
      </c>
      <c r="M6649">
        <v>0.95954600000000001</v>
      </c>
      <c r="N6649">
        <v>0</v>
      </c>
      <c r="O6649">
        <v>0.28129710000000002</v>
      </c>
      <c r="P6649">
        <v>0.87815370000000004</v>
      </c>
      <c r="Q6649">
        <v>4.5256680000000001E-2</v>
      </c>
      <c r="R6649">
        <v>0.47623310000000002</v>
      </c>
      <c r="S6649">
        <v>2.3946839999999998</v>
      </c>
      <c r="T6649">
        <v>-0.42685119999999999</v>
      </c>
      <c r="U6649">
        <v>1.9301759999999999</v>
      </c>
      <c r="V6649">
        <v>-0.2106961</v>
      </c>
      <c r="W6649">
        <v>5.41687E-2</v>
      </c>
      <c r="X6649">
        <v>0.97604970000000002</v>
      </c>
      <c r="Y6649">
        <v>-0.38220720000000002</v>
      </c>
      <c r="Z6649">
        <v>-1.252525E-2</v>
      </c>
      <c r="AA6649">
        <v>0.92399180000000003</v>
      </c>
      <c r="AB6649">
        <v>30</v>
      </c>
      <c r="AC6649">
        <v>6.1085999999999903</v>
      </c>
      <c r="AD6649">
        <v>-1.1152426732980001</v>
      </c>
      <c r="AE6649">
        <v>4.9962799999999996</v>
      </c>
      <c r="AF6649">
        <v>-3.0158198885470799</v>
      </c>
      <c r="AG6649">
        <v>-1.1152426732980001</v>
      </c>
      <c r="AH6649">
        <v>7.1251448093931504</v>
      </c>
      <c r="AI6649">
        <v>98.202235960467505</v>
      </c>
      <c r="AJ6649">
        <v>112.941208940145</v>
      </c>
      <c r="AK6649">
        <v>7.8170726218529598</v>
      </c>
      <c r="AL6649">
        <v>86.8948424666672</v>
      </c>
      <c r="AM6649">
        <v>102.181306324261</v>
      </c>
      <c r="AN6649">
        <v>1.00000005574249</v>
      </c>
    </row>
    <row r="6650" spans="1:40" x14ac:dyDescent="0.25">
      <c r="A6650" t="str">
        <f>"20190312151153444"</f>
        <v>20190312151153444</v>
      </c>
      <c r="B6650" t="str">
        <f>"1552374713438159"</f>
        <v>1552374713438159</v>
      </c>
      <c r="C6650" t="s">
        <v>40</v>
      </c>
      <c r="D6650">
        <v>5.26159</v>
      </c>
      <c r="E6650">
        <v>0.41094789999999998</v>
      </c>
      <c r="F6650" t="s">
        <v>85</v>
      </c>
      <c r="G6650">
        <v>-203.85929999999999</v>
      </c>
      <c r="H6650" s="1">
        <v>-4.7581280000000002E-6</v>
      </c>
      <c r="I6650">
        <v>-55.77514</v>
      </c>
      <c r="J6650">
        <v>-209.9579</v>
      </c>
      <c r="K6650">
        <v>1.115332</v>
      </c>
      <c r="L6650">
        <v>-60.81174</v>
      </c>
      <c r="M6650">
        <v>0.95849229999999996</v>
      </c>
      <c r="N6650">
        <v>0</v>
      </c>
      <c r="O6650">
        <v>0.28486610000000001</v>
      </c>
      <c r="P6650">
        <v>0.87595859999999903</v>
      </c>
      <c r="Q6650">
        <v>4.5126970000000002E-2</v>
      </c>
      <c r="R6650">
        <v>0.4802709</v>
      </c>
      <c r="S6650">
        <v>2.384827</v>
      </c>
      <c r="T6650">
        <v>-0.42635109999999898</v>
      </c>
      <c r="U6650">
        <v>1.942474</v>
      </c>
      <c r="V6650">
        <v>-0.21157000000000001</v>
      </c>
      <c r="W6650">
        <v>5.3972529999999998E-2</v>
      </c>
      <c r="X6650">
        <v>0.97587140000000006</v>
      </c>
      <c r="Y6650">
        <v>-0.38352409999999998</v>
      </c>
      <c r="Z6650">
        <v>-1.2933460000000001E-2</v>
      </c>
      <c r="AA6650">
        <v>0.92344029999999999</v>
      </c>
      <c r="AB6650">
        <v>30</v>
      </c>
      <c r="AC6650">
        <v>6.0986000000000002</v>
      </c>
      <c r="AD6650">
        <v>-1.115336758128</v>
      </c>
      <c r="AE6650">
        <v>5.0366</v>
      </c>
      <c r="AF6650">
        <v>-3.0302258003315599</v>
      </c>
      <c r="AG6650">
        <v>-1.115336758128</v>
      </c>
      <c r="AH6650">
        <v>7.1387904161607398</v>
      </c>
      <c r="AI6650">
        <v>98.183944112098999</v>
      </c>
      <c r="AJ6650">
        <v>112.999925536101</v>
      </c>
      <c r="AK6650">
        <v>7.8350860295784202</v>
      </c>
      <c r="AL6650">
        <v>86.906098299931102</v>
      </c>
      <c r="AM6650">
        <v>102.23247995296499</v>
      </c>
      <c r="AN6650">
        <v>0.99999994411627802</v>
      </c>
    </row>
    <row r="6651" spans="1:40" x14ac:dyDescent="0.25">
      <c r="A6651" t="str">
        <f>"20190312151153454"</f>
        <v>20190312151153454</v>
      </c>
      <c r="B6651" t="str">
        <f>"1552374713447920"</f>
        <v>1552374713447920</v>
      </c>
      <c r="C6651" t="s">
        <v>40</v>
      </c>
      <c r="D6651">
        <v>5.266699</v>
      </c>
      <c r="E6651">
        <v>0.40884290000000001</v>
      </c>
      <c r="F6651" t="s">
        <v>85</v>
      </c>
      <c r="G6651">
        <v>-204.82220000000001</v>
      </c>
      <c r="H6651" s="1">
        <v>-4.1869179999999997E-6</v>
      </c>
      <c r="I6651">
        <v>-56.138480000000001</v>
      </c>
      <c r="J6651">
        <v>-209.822</v>
      </c>
      <c r="K6651">
        <v>1.115435</v>
      </c>
      <c r="L6651">
        <v>-60.767879999999998</v>
      </c>
      <c r="M6651">
        <v>0.95746900000000001</v>
      </c>
      <c r="N6651">
        <v>0</v>
      </c>
      <c r="O6651">
        <v>0.28828670000000001</v>
      </c>
      <c r="P6651">
        <v>0.87377629999999995</v>
      </c>
      <c r="Q6651">
        <v>4.5064100000000003E-2</v>
      </c>
      <c r="R6651">
        <v>0.48423579999999999</v>
      </c>
      <c r="S6651">
        <v>2.3020320000000001</v>
      </c>
      <c r="T6651">
        <v>-0.4999422</v>
      </c>
      <c r="U6651">
        <v>2.094757</v>
      </c>
      <c r="V6651">
        <v>-0.2125235</v>
      </c>
      <c r="W6651">
        <v>5.3832079999999997E-2</v>
      </c>
      <c r="X6651">
        <v>0.97567199999999998</v>
      </c>
      <c r="Y6651">
        <v>-0.42942350000000001</v>
      </c>
      <c r="Z6651">
        <v>-1.1530159999999999E-2</v>
      </c>
      <c r="AA6651">
        <v>0.90302969999999905</v>
      </c>
      <c r="AB6651">
        <v>30</v>
      </c>
      <c r="AC6651">
        <v>4.9997999999999898</v>
      </c>
      <c r="AD6651">
        <v>-1.115439186918</v>
      </c>
      <c r="AE6651">
        <v>4.6294000000000004</v>
      </c>
      <c r="AF6651">
        <v>-2.9132769388281501</v>
      </c>
      <c r="AG6651">
        <v>-1.115439186918</v>
      </c>
      <c r="AH6651">
        <v>5.9624089593502498</v>
      </c>
      <c r="AI6651">
        <v>99.541492831693901</v>
      </c>
      <c r="AJ6651">
        <v>116.04047538851501</v>
      </c>
      <c r="AK6651">
        <v>6.7291684256347999</v>
      </c>
      <c r="AL6651">
        <v>86.914157354096702</v>
      </c>
      <c r="AM6651">
        <v>102.28837284407599</v>
      </c>
      <c r="AN6651">
        <v>0.99999999123668804</v>
      </c>
    </row>
    <row r="6652" spans="1:40" x14ac:dyDescent="0.25">
      <c r="A6652" t="str">
        <f>"20190312151153466"</f>
        <v>20190312151153466</v>
      </c>
      <c r="B6652" t="str">
        <f>"1552374713457680"</f>
        <v>1552374713457680</v>
      </c>
      <c r="C6652" t="s">
        <v>40</v>
      </c>
      <c r="D6652">
        <v>5.2888419999999998</v>
      </c>
      <c r="E6652">
        <v>0.40734320000000002</v>
      </c>
      <c r="F6652" t="s">
        <v>85</v>
      </c>
      <c r="G6652">
        <v>-204.9478</v>
      </c>
      <c r="H6652" s="1">
        <v>-4.0997470000000001E-6</v>
      </c>
      <c r="I6652">
        <v>-56.243009999999998</v>
      </c>
      <c r="J6652">
        <v>-209.6824</v>
      </c>
      <c r="K6652">
        <v>1.115529</v>
      </c>
      <c r="L6652">
        <v>-60.722019999999901</v>
      </c>
      <c r="M6652">
        <v>0.95640440000000004</v>
      </c>
      <c r="N6652">
        <v>0</v>
      </c>
      <c r="O6652">
        <v>0.29179959999999899</v>
      </c>
      <c r="P6652">
        <v>0.87156699999999998</v>
      </c>
      <c r="Q6652">
        <v>4.501028E-2</v>
      </c>
      <c r="R6652">
        <v>0.48820629999999998</v>
      </c>
      <c r="S6652">
        <v>2.2848510000000002</v>
      </c>
      <c r="T6652">
        <v>-0.52287659999999903</v>
      </c>
      <c r="U6652">
        <v>2.1210939999999998</v>
      </c>
      <c r="V6652">
        <v>-0.2133939</v>
      </c>
      <c r="W6652">
        <v>5.37078E-2</v>
      </c>
      <c r="X6652">
        <v>0.97548880000000004</v>
      </c>
      <c r="Y6652">
        <v>-0.43490079999999998</v>
      </c>
      <c r="Z6652">
        <v>-1.2148549999999999E-2</v>
      </c>
      <c r="AA6652">
        <v>0.90039639999999999</v>
      </c>
      <c r="AB6652">
        <v>30</v>
      </c>
      <c r="AC6652">
        <v>4.7346000000000004</v>
      </c>
      <c r="AD6652">
        <v>-1.1155330997470001</v>
      </c>
      <c r="AE6652">
        <v>4.4790099999999899</v>
      </c>
      <c r="AF6652">
        <v>-2.8197916510895999</v>
      </c>
      <c r="AG6652">
        <v>-1.1155330997470001</v>
      </c>
      <c r="AH6652">
        <v>5.6694938943730504</v>
      </c>
      <c r="AI6652">
        <v>99.991473290329694</v>
      </c>
      <c r="AJ6652">
        <v>116.444013332438</v>
      </c>
      <c r="AK6652">
        <v>6.42952564895102</v>
      </c>
      <c r="AL6652">
        <v>86.921288236885403</v>
      </c>
      <c r="AM6652">
        <v>102.339408182627</v>
      </c>
      <c r="AN6652">
        <v>0.99999994163174299</v>
      </c>
    </row>
    <row r="6653" spans="1:40" x14ac:dyDescent="0.25">
      <c r="A6653" t="str">
        <f>"20190312151153478"</f>
        <v>20190312151153478</v>
      </c>
      <c r="B6653" t="str">
        <f>"1552374713467439"</f>
        <v>1552374713467439</v>
      </c>
      <c r="C6653" t="s">
        <v>40</v>
      </c>
      <c r="D6653">
        <v>5.289536</v>
      </c>
      <c r="E6653">
        <v>0.40633170000000002</v>
      </c>
      <c r="F6653" t="s">
        <v>85</v>
      </c>
      <c r="G6653">
        <v>-204.82409999999999</v>
      </c>
      <c r="H6653" s="1">
        <v>-4.1864880000000002E-6</v>
      </c>
      <c r="I6653">
        <v>-56.136029999999998</v>
      </c>
      <c r="J6653">
        <v>-209.5299</v>
      </c>
      <c r="K6653">
        <v>1.1156250000000001</v>
      </c>
      <c r="L6653">
        <v>-60.671509999999998</v>
      </c>
      <c r="M6653">
        <v>0.9552252</v>
      </c>
      <c r="N6653">
        <v>0</v>
      </c>
      <c r="O6653">
        <v>0.29563689999999998</v>
      </c>
      <c r="P6653">
        <v>0.86931259999999999</v>
      </c>
      <c r="Q6653">
        <v>4.525129E-2</v>
      </c>
      <c r="R6653">
        <v>0.49218679999999898</v>
      </c>
      <c r="S6653">
        <v>2.2691499999999998</v>
      </c>
      <c r="T6653">
        <v>-0.5210302</v>
      </c>
      <c r="U6653">
        <v>2.1419679999999999</v>
      </c>
      <c r="V6653">
        <v>-0.2139617</v>
      </c>
      <c r="W6653">
        <v>5.388064E-2</v>
      </c>
      <c r="X6653">
        <v>0.97535499999999997</v>
      </c>
      <c r="Y6653">
        <v>-0.43879089999999998</v>
      </c>
      <c r="Z6653">
        <v>-1.2415880000000001E-2</v>
      </c>
      <c r="AA6653">
        <v>0.89850339999999995</v>
      </c>
      <c r="AB6653">
        <v>30</v>
      </c>
      <c r="AC6653">
        <v>4.7058000000000098</v>
      </c>
      <c r="AD6653">
        <v>-1.1156291864879999</v>
      </c>
      <c r="AE6653">
        <v>4.53547999999999</v>
      </c>
      <c r="AF6653">
        <v>-2.8581281269437899</v>
      </c>
      <c r="AG6653">
        <v>-1.1156291864879999</v>
      </c>
      <c r="AH6653">
        <v>5.6711285064320496</v>
      </c>
      <c r="AI6653">
        <v>99.963600064829805</v>
      </c>
      <c r="AJ6653">
        <v>116.747132207871</v>
      </c>
      <c r="AK6653">
        <v>6.4478851888225597</v>
      </c>
      <c r="AL6653">
        <v>86.911371221953004</v>
      </c>
      <c r="AM6653">
        <v>102.372876081897</v>
      </c>
      <c r="AN6653">
        <v>1.0000000542293399</v>
      </c>
    </row>
    <row r="6654" spans="1:40" x14ac:dyDescent="0.25">
      <c r="A6654" t="str">
        <f>"20190312151153489"</f>
        <v>20190312151153489</v>
      </c>
      <c r="B6654" t="str">
        <f>"1552374713478175"</f>
        <v>1552374713478175</v>
      </c>
      <c r="C6654" t="s">
        <v>40</v>
      </c>
      <c r="D6654">
        <v>5.264742</v>
      </c>
      <c r="E6654">
        <v>0.4059045</v>
      </c>
      <c r="F6654" t="s">
        <v>85</v>
      </c>
      <c r="G6654">
        <v>-204.68270000000001</v>
      </c>
      <c r="H6654" s="1">
        <v>-4.2818549999999999E-6</v>
      </c>
      <c r="I6654">
        <v>-56.030889999999999</v>
      </c>
      <c r="J6654">
        <v>-209.38310000000001</v>
      </c>
      <c r="K6654">
        <v>1.1156889999999999</v>
      </c>
      <c r="L6654">
        <v>-60.621729999999999</v>
      </c>
      <c r="M6654">
        <v>0.95404560000000005</v>
      </c>
      <c r="N6654">
        <v>0</v>
      </c>
      <c r="O6654">
        <v>0.2994213</v>
      </c>
      <c r="P6654">
        <v>0.86677919999999997</v>
      </c>
      <c r="Q6654">
        <v>4.5053599999999999E-2</v>
      </c>
      <c r="R6654">
        <v>0.49665280000000001</v>
      </c>
      <c r="S6654">
        <v>2.2554630000000002</v>
      </c>
      <c r="T6654">
        <v>-0.51912150000000001</v>
      </c>
      <c r="U6654">
        <v>2.1593629999999999</v>
      </c>
      <c r="V6654">
        <v>-0.21511749999999999</v>
      </c>
      <c r="W6654">
        <v>5.3623520000000001E-2</v>
      </c>
      <c r="X6654">
        <v>0.97511490000000001</v>
      </c>
      <c r="Y6654">
        <v>-0.44159599999999999</v>
      </c>
      <c r="Z6654">
        <v>-1.2773380000000001E-2</v>
      </c>
      <c r="AA6654">
        <v>0.897123</v>
      </c>
      <c r="AB6654">
        <v>30</v>
      </c>
      <c r="AC6654">
        <v>4.7004000000000001</v>
      </c>
      <c r="AD6654">
        <v>-1.1156932818549901</v>
      </c>
      <c r="AE6654">
        <v>4.59084</v>
      </c>
      <c r="AF6654">
        <v>-2.8893712117454999</v>
      </c>
      <c r="AG6654">
        <v>-1.1156932818549901</v>
      </c>
      <c r="AH6654">
        <v>5.6951948604424096</v>
      </c>
      <c r="AI6654">
        <v>99.909757807552594</v>
      </c>
      <c r="AJ6654">
        <v>116.900271644272</v>
      </c>
      <c r="AK6654">
        <v>6.4829377597544298</v>
      </c>
      <c r="AL6654">
        <v>86.926124410492307</v>
      </c>
      <c r="AM6654">
        <v>102.440605601898</v>
      </c>
      <c r="AN6654">
        <v>1.0000000444527199</v>
      </c>
    </row>
    <row r="6655" spans="1:40" x14ac:dyDescent="0.25">
      <c r="A6655" t="str">
        <f>"20190312151153501"</f>
        <v>20190312151153501</v>
      </c>
      <c r="B6655" t="str">
        <f>"1552374713497695"</f>
        <v>1552374713497695</v>
      </c>
      <c r="C6655" t="s">
        <v>40</v>
      </c>
      <c r="D6655">
        <v>5.2655640000000004</v>
      </c>
      <c r="E6655">
        <v>0.40606209999999998</v>
      </c>
      <c r="F6655" t="s">
        <v>85</v>
      </c>
      <c r="G6655">
        <v>-204.57749999999999</v>
      </c>
      <c r="H6655" s="1">
        <v>-4.3503139999999996E-6</v>
      </c>
      <c r="I6655">
        <v>-55.963819999999998</v>
      </c>
      <c r="J6655">
        <v>-209.24510000000001</v>
      </c>
      <c r="K6655">
        <v>1.115715</v>
      </c>
      <c r="L6655">
        <v>-60.574680000000001</v>
      </c>
      <c r="M6655">
        <v>0.95287759999999999</v>
      </c>
      <c r="N6655">
        <v>0</v>
      </c>
      <c r="O6655">
        <v>0.30311959999999999</v>
      </c>
      <c r="P6655">
        <v>0.86445459999999996</v>
      </c>
      <c r="Q6655">
        <v>4.4768740000000001E-2</v>
      </c>
      <c r="R6655">
        <v>0.50071359999999998</v>
      </c>
      <c r="S6655">
        <v>2.2426300000000001</v>
      </c>
      <c r="T6655">
        <v>-0.52066679999999999</v>
      </c>
      <c r="U6655">
        <v>2.173737</v>
      </c>
      <c r="V6655">
        <v>-0.21590709999999999</v>
      </c>
      <c r="W6655">
        <v>5.3255450000000003E-2</v>
      </c>
      <c r="X6655">
        <v>0.97496050000000001</v>
      </c>
      <c r="Y6655">
        <v>-0.4436543</v>
      </c>
      <c r="Z6655">
        <v>-1.327411E-2</v>
      </c>
      <c r="AA6655">
        <v>0.89609969999999906</v>
      </c>
      <c r="AB6655">
        <v>30</v>
      </c>
      <c r="AC6655">
        <v>4.6676000000000197</v>
      </c>
      <c r="AD6655">
        <v>-1.1157193503139999</v>
      </c>
      <c r="AE6655">
        <v>4.6108599999999997</v>
      </c>
      <c r="AF6655">
        <v>-2.8952318377152699</v>
      </c>
      <c r="AG6655">
        <v>-1.1157193503139999</v>
      </c>
      <c r="AH6655">
        <v>5.6814143717677803</v>
      </c>
      <c r="AI6655">
        <v>99.924649780095095</v>
      </c>
      <c r="AJ6655">
        <v>117.00325544748399</v>
      </c>
      <c r="AK6655">
        <v>6.4734586062254804</v>
      </c>
      <c r="AL6655">
        <v>86.947243301496997</v>
      </c>
      <c r="AM6655">
        <v>102.486755357118</v>
      </c>
      <c r="AN6655">
        <v>0.999999997672681</v>
      </c>
    </row>
    <row r="6656" spans="1:40" x14ac:dyDescent="0.25">
      <c r="A6656" t="str">
        <f>"20190312151153512"</f>
        <v>20190312151153512</v>
      </c>
      <c r="B6656" t="str">
        <f>"1552374713507456"</f>
        <v>1552374713507456</v>
      </c>
      <c r="C6656" t="s">
        <v>40</v>
      </c>
      <c r="D6656">
        <v>5.2988499999999998</v>
      </c>
      <c r="E6656">
        <v>0.40629599999999999</v>
      </c>
      <c r="F6656" t="s">
        <v>85</v>
      </c>
      <c r="G6656">
        <v>-204.5008</v>
      </c>
      <c r="H6656" s="1">
        <v>-4.3953610000000003E-6</v>
      </c>
      <c r="I6656">
        <v>-55.936990000000002</v>
      </c>
      <c r="J6656">
        <v>-209.10329999999999</v>
      </c>
      <c r="K6656">
        <v>1.1156569999999999</v>
      </c>
      <c r="L6656">
        <v>-60.525599999999997</v>
      </c>
      <c r="M6656">
        <v>0.95153940000000004</v>
      </c>
      <c r="N6656">
        <v>0</v>
      </c>
      <c r="O6656">
        <v>0.3073013</v>
      </c>
      <c r="P6656">
        <v>0.86185999999999996</v>
      </c>
      <c r="Q6656">
        <v>4.469998E-2</v>
      </c>
      <c r="R6656">
        <v>0.50517270000000003</v>
      </c>
      <c r="S6656">
        <v>2.2331539999999999</v>
      </c>
      <c r="T6656">
        <v>-0.52517440000000004</v>
      </c>
      <c r="U6656">
        <v>2.1829830000000001</v>
      </c>
      <c r="V6656">
        <v>-0.21665770000000001</v>
      </c>
      <c r="W6656">
        <v>5.3018320000000001E-2</v>
      </c>
      <c r="X6656">
        <v>0.97480690000000003</v>
      </c>
      <c r="Y6656">
        <v>-0.4435383</v>
      </c>
      <c r="Z6656">
        <v>-1.41499E-2</v>
      </c>
      <c r="AA6656">
        <v>0.89614369999999999</v>
      </c>
      <c r="AB6656">
        <v>30</v>
      </c>
      <c r="AC6656">
        <v>4.6024999999999903</v>
      </c>
      <c r="AD6656">
        <v>-1.115661395361</v>
      </c>
      <c r="AE6656">
        <v>4.5886099999999903</v>
      </c>
      <c r="AF6656">
        <v>-2.8675901281614999</v>
      </c>
      <c r="AG6656">
        <v>-1.115661395361</v>
      </c>
      <c r="AH6656">
        <v>5.6242104091699696</v>
      </c>
      <c r="AI6656">
        <v>100.021980284376</v>
      </c>
      <c r="AJ6656">
        <v>117.01545979094401</v>
      </c>
      <c r="AK6656">
        <v>6.4108904388426398</v>
      </c>
      <c r="AL6656">
        <v>86.960849068686898</v>
      </c>
      <c r="AM6656">
        <v>102.530708943419</v>
      </c>
      <c r="AN6656">
        <v>0.99999999675626094</v>
      </c>
    </row>
    <row r="6657" spans="1:40" x14ac:dyDescent="0.25">
      <c r="A6657" t="str">
        <f>"20190312151153523"</f>
        <v>20190312151153523</v>
      </c>
      <c r="B6657" t="str">
        <f>"1552374713518191"</f>
        <v>1552374713518191</v>
      </c>
      <c r="C6657" t="s">
        <v>40</v>
      </c>
      <c r="D6657">
        <v>5.3110239999999997</v>
      </c>
      <c r="E6657">
        <v>0.40650750000000002</v>
      </c>
      <c r="F6657" t="s">
        <v>85</v>
      </c>
      <c r="G6657">
        <v>-204.40260000000001</v>
      </c>
      <c r="H6657" s="1">
        <v>-4.4561559999999901E-6</v>
      </c>
      <c r="I6657">
        <v>-55.888399999999997</v>
      </c>
      <c r="J6657">
        <v>-208.97319999999999</v>
      </c>
      <c r="K6657">
        <v>1.115656</v>
      </c>
      <c r="L6657">
        <v>-60.4801</v>
      </c>
      <c r="M6657">
        <v>0.9503336</v>
      </c>
      <c r="N6657">
        <v>0</v>
      </c>
      <c r="O6657">
        <v>0.31101240000000002</v>
      </c>
      <c r="P6657">
        <v>0.85952609999999996</v>
      </c>
      <c r="Q6657">
        <v>4.4413550000000003E-2</v>
      </c>
      <c r="R6657">
        <v>0.50915840000000001</v>
      </c>
      <c r="S6657">
        <v>2.2228699999999999</v>
      </c>
      <c r="T6657">
        <v>-0.52758190000000005</v>
      </c>
      <c r="U6657">
        <v>2.1928709999999998</v>
      </c>
      <c r="V6657">
        <v>-0.2173611</v>
      </c>
      <c r="W6657">
        <v>5.2643099999999998E-2</v>
      </c>
      <c r="X6657">
        <v>0.97467060000000005</v>
      </c>
      <c r="Y6657">
        <v>-0.4441543</v>
      </c>
      <c r="Z6657">
        <v>-1.4827480000000001E-2</v>
      </c>
      <c r="AA6657">
        <v>0.8958277</v>
      </c>
      <c r="AB6657">
        <v>30</v>
      </c>
      <c r="AC6657">
        <v>4.5705999999999802</v>
      </c>
      <c r="AD6657">
        <v>-1.115660456156</v>
      </c>
      <c r="AE6657">
        <v>4.5917000000000003</v>
      </c>
      <c r="AF6657">
        <v>-2.8575965025245802</v>
      </c>
      <c r="AG6657">
        <v>-1.115660456156</v>
      </c>
      <c r="AH6657">
        <v>5.60583162868625</v>
      </c>
      <c r="AI6657">
        <v>100.05460272064801</v>
      </c>
      <c r="AJ6657">
        <v>117.010406456697</v>
      </c>
      <c r="AK6657">
        <v>6.3902976670770197</v>
      </c>
      <c r="AL6657">
        <v>86.982377548730597</v>
      </c>
      <c r="AM6657">
        <v>102.571802137246</v>
      </c>
      <c r="AN6657">
        <v>0.99999996113758904</v>
      </c>
    </row>
    <row r="6658" spans="1:40" x14ac:dyDescent="0.25">
      <c r="A6658" t="str">
        <f>"20190312151153533"</f>
        <v>20190312151153533</v>
      </c>
      <c r="B6658" t="str">
        <f>"1552374713527951"</f>
        <v>1552374713527951</v>
      </c>
      <c r="C6658" t="s">
        <v>40</v>
      </c>
      <c r="D6658">
        <v>5.3159380000000001</v>
      </c>
      <c r="E6658">
        <v>0.40674090000000002</v>
      </c>
      <c r="F6658" t="s">
        <v>85</v>
      </c>
      <c r="G6658">
        <v>-204.30940000000001</v>
      </c>
      <c r="H6658" s="1">
        <v>-4.5138659999999996E-6</v>
      </c>
      <c r="I6658">
        <v>-55.8422699999999</v>
      </c>
      <c r="J6658">
        <v>-208.83690000000001</v>
      </c>
      <c r="K6658">
        <v>1.115713</v>
      </c>
      <c r="L6658">
        <v>-60.43188</v>
      </c>
      <c r="M6658">
        <v>0.94910079999999997</v>
      </c>
      <c r="N6658">
        <v>0</v>
      </c>
      <c r="O6658">
        <v>0.314753</v>
      </c>
      <c r="P6658">
        <v>0.85719840000000003</v>
      </c>
      <c r="Q6658">
        <v>4.4333600000000001E-2</v>
      </c>
      <c r="R6658">
        <v>0.51307449999999999</v>
      </c>
      <c r="S6658">
        <v>2.213638</v>
      </c>
      <c r="T6658">
        <v>-0.52955030000000003</v>
      </c>
      <c r="U6658">
        <v>2.201355</v>
      </c>
      <c r="V6658">
        <v>-0.21797649999999999</v>
      </c>
      <c r="W6658">
        <v>5.25493E-2</v>
      </c>
      <c r="X6658">
        <v>0.97453829999999997</v>
      </c>
      <c r="Y6658">
        <v>-0.44425110000000001</v>
      </c>
      <c r="Z6658">
        <v>-1.5553869999999999E-2</v>
      </c>
      <c r="AA6658">
        <v>0.89576730000000004</v>
      </c>
      <c r="AB6658">
        <v>30</v>
      </c>
      <c r="AC6658">
        <v>4.5274999999999999</v>
      </c>
      <c r="AD6658">
        <v>-1.115717513866</v>
      </c>
      <c r="AE6658">
        <v>4.5896100000000102</v>
      </c>
      <c r="AF6658">
        <v>-2.8459240709671501</v>
      </c>
      <c r="AG6658">
        <v>-1.115717513866</v>
      </c>
      <c r="AH6658">
        <v>5.5750682037270396</v>
      </c>
      <c r="AI6658">
        <v>100.10656770409101</v>
      </c>
      <c r="AJ6658">
        <v>117.043103007119</v>
      </c>
      <c r="AK6658">
        <v>6.35810465977604</v>
      </c>
      <c r="AL6658">
        <v>86.987759582463895</v>
      </c>
      <c r="AM6658">
        <v>102.607916404759</v>
      </c>
      <c r="AN6658">
        <v>1.00000004082481</v>
      </c>
    </row>
    <row r="6659" spans="1:40" x14ac:dyDescent="0.25">
      <c r="A6659" t="str">
        <f>"20190312151153545"</f>
        <v>20190312151153545</v>
      </c>
      <c r="B6659" t="str">
        <f>"1552374713537711"</f>
        <v>1552374713537711</v>
      </c>
      <c r="C6659" t="s">
        <v>40</v>
      </c>
      <c r="D6659">
        <v>5.2820220000000004</v>
      </c>
      <c r="E6659">
        <v>0.40717740000000002</v>
      </c>
      <c r="F6659" t="s">
        <v>85</v>
      </c>
      <c r="G6659">
        <v>-204.2199</v>
      </c>
      <c r="H6659" s="1">
        <v>-4.5679669999999999E-6</v>
      </c>
      <c r="I6659">
        <v>-55.804029999999997</v>
      </c>
      <c r="J6659">
        <v>-208.6952</v>
      </c>
      <c r="K6659">
        <v>1.1157969999999999</v>
      </c>
      <c r="L6659">
        <v>-60.380949999999999</v>
      </c>
      <c r="M6659">
        <v>0.94787350000000004</v>
      </c>
      <c r="N6659">
        <v>0</v>
      </c>
      <c r="O6659">
        <v>0.31842930000000003</v>
      </c>
      <c r="P6659">
        <v>0.85481339999999995</v>
      </c>
      <c r="Q6659">
        <v>4.4193049999999998E-2</v>
      </c>
      <c r="R6659">
        <v>0.51705029999999996</v>
      </c>
      <c r="S6659">
        <v>2.2046359999999998</v>
      </c>
      <c r="T6659">
        <v>-0.53276469999999998</v>
      </c>
      <c r="U6659">
        <v>2.2098390000000001</v>
      </c>
      <c r="V6659">
        <v>-0.21873519999999999</v>
      </c>
      <c r="W6659">
        <v>5.2356439999999997E-2</v>
      </c>
      <c r="X6659">
        <v>0.97437859999999998</v>
      </c>
      <c r="Y6659">
        <v>-0.44435019999999997</v>
      </c>
      <c r="Z6659">
        <v>-1.631061E-2</v>
      </c>
      <c r="AA6659">
        <v>0.89570469999999902</v>
      </c>
      <c r="AB6659">
        <v>30</v>
      </c>
      <c r="AC6659">
        <v>4.4752999999999998</v>
      </c>
      <c r="AD6659">
        <v>-1.1158015679669999</v>
      </c>
      <c r="AE6659">
        <v>4.5769199999999897</v>
      </c>
      <c r="AF6659">
        <v>-2.8275649012808701</v>
      </c>
      <c r="AG6659">
        <v>-1.1158015679669999</v>
      </c>
      <c r="AH6659">
        <v>5.5317639296960799</v>
      </c>
      <c r="AI6659">
        <v>100.182050855014</v>
      </c>
      <c r="AJ6659">
        <v>117.073877815316</v>
      </c>
      <c r="AK6659">
        <v>6.3119369914408798</v>
      </c>
      <c r="AL6659">
        <v>86.998824666793297</v>
      </c>
      <c r="AM6659">
        <v>102.652396782751</v>
      </c>
      <c r="AN6659">
        <v>0.99999997033323595</v>
      </c>
    </row>
    <row r="6660" spans="1:40" x14ac:dyDescent="0.25">
      <c r="A6660" t="str">
        <f>"20190312151153555"</f>
        <v>20190312151153555</v>
      </c>
      <c r="B6660" t="str">
        <f>"1552374713547472"</f>
        <v>1552374713547472</v>
      </c>
      <c r="C6660" t="s">
        <v>40</v>
      </c>
      <c r="D6660">
        <v>5.280297</v>
      </c>
      <c r="E6660">
        <v>0.40761360000000002</v>
      </c>
      <c r="F6660" t="s">
        <v>85</v>
      </c>
      <c r="G6660">
        <v>-204.08279999999999</v>
      </c>
      <c r="H6660" s="1">
        <v>-4.6555510000000001E-6</v>
      </c>
      <c r="I6660">
        <v>-55.724060000000001</v>
      </c>
      <c r="J6660">
        <v>-208.56460000000001</v>
      </c>
      <c r="K6660">
        <v>1.1158859999999999</v>
      </c>
      <c r="L6660">
        <v>-60.333649999999999</v>
      </c>
      <c r="M6660">
        <v>0.94676689999999997</v>
      </c>
      <c r="N6660">
        <v>0</v>
      </c>
      <c r="O6660">
        <v>0.3217045</v>
      </c>
      <c r="P6660">
        <v>0.85276909999999895</v>
      </c>
      <c r="Q6660">
        <v>4.3833669999999998E-2</v>
      </c>
      <c r="R6660">
        <v>0.52044550000000001</v>
      </c>
      <c r="S6660">
        <v>2.1959379999999999</v>
      </c>
      <c r="T6660">
        <v>-0.53123030000000004</v>
      </c>
      <c r="U6660">
        <v>2.217133</v>
      </c>
      <c r="V6660">
        <v>-0.21924460000000001</v>
      </c>
      <c r="W6660">
        <v>5.1932150000000003E-2</v>
      </c>
      <c r="X6660">
        <v>0.97428689999999996</v>
      </c>
      <c r="Y6660">
        <v>-0.44454759999999999</v>
      </c>
      <c r="Z6660">
        <v>-1.6847620000000001E-2</v>
      </c>
      <c r="AA6660">
        <v>0.89559669999999902</v>
      </c>
      <c r="AB6660">
        <v>30</v>
      </c>
      <c r="AC6660">
        <v>4.4818000000000202</v>
      </c>
      <c r="AD6660">
        <v>-1.115890655551</v>
      </c>
      <c r="AE6660">
        <v>4.6095899999999999</v>
      </c>
      <c r="AF6660">
        <v>-2.8371262273457001</v>
      </c>
      <c r="AG6660">
        <v>-1.115890655551</v>
      </c>
      <c r="AH6660">
        <v>5.5590756546494298</v>
      </c>
      <c r="AI6660">
        <v>100.13703941464701</v>
      </c>
      <c r="AJ6660">
        <v>117.03791849855401</v>
      </c>
      <c r="AK6660">
        <v>6.3401750227541003</v>
      </c>
      <c r="AL6660">
        <v>87.023168058177106</v>
      </c>
      <c r="AM6660">
        <v>102.68206536604001</v>
      </c>
      <c r="AN6660">
        <v>1.00000005317219</v>
      </c>
    </row>
    <row r="6661" spans="1:40" x14ac:dyDescent="0.25">
      <c r="A6661" t="str">
        <f>"20190312151153566"</f>
        <v>20190312151153566</v>
      </c>
      <c r="B6661" t="str">
        <f>"1552374713558208"</f>
        <v>1552374713558208</v>
      </c>
      <c r="C6661" t="s">
        <v>40</v>
      </c>
      <c r="D6661">
        <v>5.2601879999999896</v>
      </c>
      <c r="E6661">
        <v>0.40800910000000001</v>
      </c>
      <c r="F6661" t="s">
        <v>85</v>
      </c>
      <c r="G6661">
        <v>-203.96629999999999</v>
      </c>
      <c r="H6661" s="1">
        <v>-4.7280070000000003E-6</v>
      </c>
      <c r="I6661">
        <v>-55.665050000000001</v>
      </c>
      <c r="J6661">
        <v>-208.4204</v>
      </c>
      <c r="K6661">
        <v>1.1159289999999999</v>
      </c>
      <c r="L6661">
        <v>-60.2804</v>
      </c>
      <c r="M6661">
        <v>0.94547210000000004</v>
      </c>
      <c r="N6661">
        <v>0</v>
      </c>
      <c r="O6661">
        <v>0.32548939999999998</v>
      </c>
      <c r="P6661">
        <v>0.85034959999999904</v>
      </c>
      <c r="Q6661">
        <v>4.3916829999999997E-2</v>
      </c>
      <c r="R6661">
        <v>0.52438240000000003</v>
      </c>
      <c r="S6661">
        <v>2.1889340000000002</v>
      </c>
      <c r="T6661">
        <v>-0.53119490000000003</v>
      </c>
      <c r="U6661">
        <v>2.2223820000000001</v>
      </c>
      <c r="V6661">
        <v>-0.21986520000000001</v>
      </c>
      <c r="W6661">
        <v>5.1976429999999997E-2</v>
      </c>
      <c r="X6661">
        <v>0.97414460000000003</v>
      </c>
      <c r="Y6661">
        <v>-0.44351489999999999</v>
      </c>
      <c r="Z6661">
        <v>-1.7640619999999999E-2</v>
      </c>
      <c r="AA6661">
        <v>0.89609340000000004</v>
      </c>
      <c r="AB6661">
        <v>30</v>
      </c>
      <c r="AC6661">
        <v>4.4541000000000102</v>
      </c>
      <c r="AD6661">
        <v>-1.1159337280069901</v>
      </c>
      <c r="AE6661">
        <v>4.6153499999999896</v>
      </c>
      <c r="AF6661">
        <v>-2.8285071222267999</v>
      </c>
      <c r="AG6661">
        <v>-1.1159337280069901</v>
      </c>
      <c r="AH6661">
        <v>5.54599688677167</v>
      </c>
      <c r="AI6661">
        <v>100.16224351076001</v>
      </c>
      <c r="AJ6661">
        <v>117.021980941782</v>
      </c>
      <c r="AK6661">
        <v>6.3248590572337999</v>
      </c>
      <c r="AL6661">
        <v>87.0206273477297</v>
      </c>
      <c r="AM6661">
        <v>102.718594973105</v>
      </c>
      <c r="AN6661">
        <v>0.99999997857787204</v>
      </c>
    </row>
    <row r="6662" spans="1:40" x14ac:dyDescent="0.25">
      <c r="A6662" t="str">
        <f>"20190312151153577"</f>
        <v>20190312151153577</v>
      </c>
      <c r="B6662" t="str">
        <f>"1552374713567967"</f>
        <v>1552374713567967</v>
      </c>
      <c r="C6662" t="s">
        <v>40</v>
      </c>
      <c r="D6662">
        <v>5.2854419999999998</v>
      </c>
      <c r="E6662">
        <v>0.40829949999999998</v>
      </c>
      <c r="F6662" t="s">
        <v>85</v>
      </c>
      <c r="G6662">
        <v>-203.8212</v>
      </c>
      <c r="H6662" s="1">
        <v>-4.8215329999999998E-6</v>
      </c>
      <c r="I6662">
        <v>-55.576610000000002</v>
      </c>
      <c r="J6662">
        <v>-208.28700000000001</v>
      </c>
      <c r="K6662">
        <v>1.115955</v>
      </c>
      <c r="L6662">
        <v>-60.230899999999998</v>
      </c>
      <c r="M6662">
        <v>0.94424529999999995</v>
      </c>
      <c r="N6662">
        <v>0</v>
      </c>
      <c r="O6662">
        <v>0.32903059999999901</v>
      </c>
      <c r="P6662">
        <v>0.84816320000000001</v>
      </c>
      <c r="Q6662">
        <v>4.373817E-2</v>
      </c>
      <c r="R6662">
        <v>0.52792640000000002</v>
      </c>
      <c r="S6662">
        <v>2.1802220000000001</v>
      </c>
      <c r="T6662">
        <v>-0.52900080000000005</v>
      </c>
      <c r="U6662">
        <v>2.229797</v>
      </c>
      <c r="V6662">
        <v>-0.22028329999999999</v>
      </c>
      <c r="W6662">
        <v>5.1772159999999998E-2</v>
      </c>
      <c r="X6662">
        <v>0.97406110000000001</v>
      </c>
      <c r="Y6662">
        <v>-0.44349319999999998</v>
      </c>
      <c r="Z6662">
        <v>-1.8219550000000001E-2</v>
      </c>
      <c r="AA6662">
        <v>0.89609249999999996</v>
      </c>
      <c r="AB6662">
        <v>30</v>
      </c>
      <c r="AC6662">
        <v>4.4657999999999998</v>
      </c>
      <c r="AD6662">
        <v>-1.115959821533</v>
      </c>
      <c r="AE6662">
        <v>4.6542899999999996</v>
      </c>
      <c r="AF6662">
        <v>-2.84058504117362</v>
      </c>
      <c r="AG6662">
        <v>-1.115959821533</v>
      </c>
      <c r="AH6662">
        <v>5.5815461953030203</v>
      </c>
      <c r="AI6662">
        <v>100.10342630682</v>
      </c>
      <c r="AJ6662">
        <v>116.972653537328</v>
      </c>
      <c r="AK6662">
        <v>6.3614422601888698</v>
      </c>
      <c r="AL6662">
        <v>87.032347170806702</v>
      </c>
      <c r="AM6662">
        <v>102.74304864506</v>
      </c>
      <c r="AN6662">
        <v>1.00000005767158</v>
      </c>
    </row>
    <row r="6663" spans="1:40" x14ac:dyDescent="0.25">
      <c r="A6663" t="str">
        <f>"20190312151153588"</f>
        <v>20190312151153588</v>
      </c>
      <c r="B6663" t="str">
        <f>"1552374713577728"</f>
        <v>1552374713577728</v>
      </c>
      <c r="C6663" t="s">
        <v>40</v>
      </c>
      <c r="D6663">
        <v>5.2833389999999998</v>
      </c>
      <c r="E6663">
        <v>0.40878789999999998</v>
      </c>
      <c r="F6663" t="s">
        <v>85</v>
      </c>
      <c r="G6663">
        <v>-203.69800000000001</v>
      </c>
      <c r="H6663" s="1">
        <v>-4.9000199999999901E-6</v>
      </c>
      <c r="I6663">
        <v>-55.5058199999999</v>
      </c>
      <c r="J6663">
        <v>-208.15209999999999</v>
      </c>
      <c r="K6663">
        <v>1.1159289999999999</v>
      </c>
      <c r="L6663">
        <v>-60.179659999999998</v>
      </c>
      <c r="M6663">
        <v>0.94289310000000004</v>
      </c>
      <c r="N6663">
        <v>0</v>
      </c>
      <c r="O6663">
        <v>0.33288570000000001</v>
      </c>
      <c r="P6663">
        <v>0.84582880000000005</v>
      </c>
      <c r="Q6663">
        <v>4.3510220000000002E-2</v>
      </c>
      <c r="R6663">
        <v>0.53167719999999996</v>
      </c>
      <c r="S6663">
        <v>2.17218</v>
      </c>
      <c r="T6663">
        <v>-0.52822919999999995</v>
      </c>
      <c r="U6663">
        <v>2.2365719999999998</v>
      </c>
      <c r="V6663">
        <v>-0.22061159999999999</v>
      </c>
      <c r="W6663">
        <v>5.1534530000000002E-2</v>
      </c>
      <c r="X6663">
        <v>0.97399930000000001</v>
      </c>
      <c r="Y6663">
        <v>-0.44290580000000002</v>
      </c>
      <c r="Z6663">
        <v>-1.8953560000000001E-2</v>
      </c>
      <c r="AA6663">
        <v>0.89636779999999905</v>
      </c>
      <c r="AB6663">
        <v>30</v>
      </c>
      <c r="AC6663">
        <v>4.4541000000000102</v>
      </c>
      <c r="AD6663">
        <v>-1.1159339000199999</v>
      </c>
      <c r="AE6663">
        <v>4.6738400000000002</v>
      </c>
      <c r="AF6663">
        <v>-2.8395962852838101</v>
      </c>
      <c r="AG6663">
        <v>-1.1159339000199999</v>
      </c>
      <c r="AH6663">
        <v>5.58902395864789</v>
      </c>
      <c r="AI6663">
        <v>100.093382642686</v>
      </c>
      <c r="AJ6663">
        <v>116.93360166811</v>
      </c>
      <c r="AK6663">
        <v>6.36755874279552</v>
      </c>
      <c r="AL6663">
        <v>87.045980280225507</v>
      </c>
      <c r="AM6663">
        <v>102.762202032822</v>
      </c>
      <c r="AN6663">
        <v>0.99999996111868406</v>
      </c>
    </row>
    <row r="6664" spans="1:40" x14ac:dyDescent="0.25">
      <c r="A6664" t="str">
        <f>"20190312151153600"</f>
        <v>20190312151153600</v>
      </c>
      <c r="B6664" t="str">
        <f>"1552374713587487"</f>
        <v>1552374713587487</v>
      </c>
      <c r="C6664" t="s">
        <v>40</v>
      </c>
      <c r="D6664">
        <v>5.280411</v>
      </c>
      <c r="E6664">
        <v>0.40915410000000002</v>
      </c>
      <c r="F6664" t="s">
        <v>85</v>
      </c>
      <c r="G6664">
        <v>-203.58519999999999</v>
      </c>
      <c r="H6664" s="1">
        <v>-4.9704760000000003E-6</v>
      </c>
      <c r="I6664">
        <v>-55.447209999999998</v>
      </c>
      <c r="J6664">
        <v>-208.0164</v>
      </c>
      <c r="K6664">
        <v>1.1159049999999999</v>
      </c>
      <c r="L6664">
        <v>-60.127839999999999</v>
      </c>
      <c r="M6664">
        <v>0.94150730000000005</v>
      </c>
      <c r="N6664">
        <v>0</v>
      </c>
      <c r="O6664">
        <v>0.33678530000000001</v>
      </c>
      <c r="P6664">
        <v>0.84335890000000002</v>
      </c>
      <c r="Q6664">
        <v>4.3527320000000001E-2</v>
      </c>
      <c r="R6664">
        <v>0.53558499999999998</v>
      </c>
      <c r="S6664">
        <v>2.1642610000000002</v>
      </c>
      <c r="T6664">
        <v>-0.52884140000000002</v>
      </c>
      <c r="U6664">
        <v>2.2427060000000001</v>
      </c>
      <c r="V6664">
        <v>-0.22108939999999999</v>
      </c>
      <c r="W6664">
        <v>5.1535959999999999E-2</v>
      </c>
      <c r="X6664">
        <v>0.9738909</v>
      </c>
      <c r="Y6664">
        <v>-0.44211309999999898</v>
      </c>
      <c r="Z6664">
        <v>-1.976646E-2</v>
      </c>
      <c r="AA6664">
        <v>0.89674149999999997</v>
      </c>
      <c r="AB6664">
        <v>30</v>
      </c>
      <c r="AC6664">
        <v>4.4312000000000102</v>
      </c>
      <c r="AD6664">
        <v>-1.1159099704759901</v>
      </c>
      <c r="AE6664">
        <v>4.6806299999999998</v>
      </c>
      <c r="AF6664">
        <v>-2.8298641118816801</v>
      </c>
      <c r="AG6664">
        <v>-1.1159099704759901</v>
      </c>
      <c r="AH6664">
        <v>5.5814741625172797</v>
      </c>
      <c r="AI6664">
        <v>100.110762879804</v>
      </c>
      <c r="AJ6664">
        <v>116.885471444107</v>
      </c>
      <c r="AK6664">
        <v>6.3565902637161997</v>
      </c>
      <c r="AL6664">
        <v>87.045898298601102</v>
      </c>
      <c r="AM6664">
        <v>102.79031100825701</v>
      </c>
      <c r="AN6664">
        <v>0.99999998153414504</v>
      </c>
    </row>
    <row r="6665" spans="1:40" x14ac:dyDescent="0.25">
      <c r="A6665" t="str">
        <f>"20190312151153610"</f>
        <v>20190312151153610</v>
      </c>
      <c r="B6665" t="str">
        <f>"1552374713607983"</f>
        <v>1552374713607983</v>
      </c>
      <c r="C6665" t="s">
        <v>40</v>
      </c>
      <c r="D6665">
        <v>5.2729359999999996</v>
      </c>
      <c r="E6665">
        <v>0.40990660000000001</v>
      </c>
      <c r="F6665" t="s">
        <v>85</v>
      </c>
      <c r="G6665">
        <v>-203.46809999999999</v>
      </c>
      <c r="H6665" s="1">
        <v>-5.0450809999999999E-6</v>
      </c>
      <c r="I6665">
        <v>-55.379969999999901</v>
      </c>
      <c r="J6665">
        <v>-207.87979999999999</v>
      </c>
      <c r="K6665">
        <v>1.115888</v>
      </c>
      <c r="L6665">
        <v>-60.074770000000001</v>
      </c>
      <c r="M6665">
        <v>0.94005669999999997</v>
      </c>
      <c r="N6665">
        <v>0</v>
      </c>
      <c r="O6665">
        <v>0.34081359999999999</v>
      </c>
      <c r="P6665">
        <v>0.84086729999999998</v>
      </c>
      <c r="Q6665">
        <v>4.3416459999999997E-2</v>
      </c>
      <c r="R6665">
        <v>0.53949709999999995</v>
      </c>
      <c r="S6665">
        <v>2.155548</v>
      </c>
      <c r="T6665">
        <v>-0.52884819999999999</v>
      </c>
      <c r="U6665">
        <v>2.250092</v>
      </c>
      <c r="V6665">
        <v>-0.221442</v>
      </c>
      <c r="W6665">
        <v>5.1398810000000003E-2</v>
      </c>
      <c r="X6665">
        <v>0.97381810000000002</v>
      </c>
      <c r="Y6665">
        <v>-0.44160939999999999</v>
      </c>
      <c r="Z6665">
        <v>-2.055303E-2</v>
      </c>
      <c r="AA6665">
        <v>0.89697190000000004</v>
      </c>
      <c r="AB6665">
        <v>30</v>
      </c>
      <c r="AC6665">
        <v>4.41169999999999</v>
      </c>
      <c r="AD6665">
        <v>-1.1158930450810001</v>
      </c>
      <c r="AE6665">
        <v>4.6947999999999999</v>
      </c>
      <c r="AF6665">
        <v>-2.82525017365298</v>
      </c>
      <c r="AG6665">
        <v>-1.1158930450810001</v>
      </c>
      <c r="AH6665">
        <v>5.5802802193095804</v>
      </c>
      <c r="AI6665">
        <v>100.115599991229</v>
      </c>
      <c r="AJ6665">
        <v>116.852720106378</v>
      </c>
      <c r="AK6665">
        <v>6.3534859060049902</v>
      </c>
      <c r="AL6665">
        <v>87.053767028844206</v>
      </c>
      <c r="AM6665">
        <v>102.810962929179</v>
      </c>
      <c r="AN6665">
        <v>1.0000000444605099</v>
      </c>
    </row>
    <row r="6666" spans="1:40" x14ac:dyDescent="0.25">
      <c r="A6666" t="str">
        <f>"20190312151153622"</f>
        <v>20190312151153622</v>
      </c>
      <c r="B6666" t="str">
        <f>"1552374713617742"</f>
        <v>1552374713617742</v>
      </c>
      <c r="C6666" t="s">
        <v>40</v>
      </c>
      <c r="D6666">
        <v>5.2780259999999997</v>
      </c>
      <c r="E6666">
        <v>0.41023979999999999</v>
      </c>
      <c r="F6666" t="s">
        <v>85</v>
      </c>
      <c r="G6666">
        <v>-203.33359999999999</v>
      </c>
      <c r="H6666" s="1">
        <v>-5.1305439999999998E-6</v>
      </c>
      <c r="I6666">
        <v>-55.303489999999996</v>
      </c>
      <c r="J6666">
        <v>-207.74100000000001</v>
      </c>
      <c r="K6666">
        <v>1.115885</v>
      </c>
      <c r="L6666">
        <v>-60.020319999999998</v>
      </c>
      <c r="M6666">
        <v>0.93856609999999996</v>
      </c>
      <c r="N6666">
        <v>0</v>
      </c>
      <c r="O6666">
        <v>0.34489760000000003</v>
      </c>
      <c r="P6666">
        <v>0.83827249999999998</v>
      </c>
      <c r="Q6666">
        <v>4.3400630000000003E-2</v>
      </c>
      <c r="R6666">
        <v>0.54352159999999905</v>
      </c>
      <c r="S6666">
        <v>2.1483460000000001</v>
      </c>
      <c r="T6666">
        <v>-0.52732979999999996</v>
      </c>
      <c r="U6666">
        <v>2.2547299999999999</v>
      </c>
      <c r="V6666">
        <v>-0.2218791</v>
      </c>
      <c r="W6666">
        <v>5.13488E-2</v>
      </c>
      <c r="X6666">
        <v>0.97372119999999995</v>
      </c>
      <c r="Y6666">
        <v>-0.44020670000000001</v>
      </c>
      <c r="Z6666">
        <v>-2.137934E-2</v>
      </c>
      <c r="AA6666">
        <v>0.89764189999999999</v>
      </c>
      <c r="AB6666">
        <v>30</v>
      </c>
      <c r="AC6666">
        <v>4.4073999999999902</v>
      </c>
      <c r="AD6666">
        <v>-1.1158901305439901</v>
      </c>
      <c r="AE6666">
        <v>4.7168299999999901</v>
      </c>
      <c r="AF6666">
        <v>-2.8228118358774901</v>
      </c>
      <c r="AG6666">
        <v>-1.1158901305439901</v>
      </c>
      <c r="AH6666">
        <v>5.5966334521724699</v>
      </c>
      <c r="AI6666">
        <v>100.094243150981</v>
      </c>
      <c r="AJ6666">
        <v>116.76531556206101</v>
      </c>
      <c r="AK6666">
        <v>6.3667718226893903</v>
      </c>
      <c r="AL6666">
        <v>87.056636062553395</v>
      </c>
      <c r="AM6666">
        <v>102.836648443203</v>
      </c>
      <c r="AN6666">
        <v>1.00000000480384</v>
      </c>
    </row>
    <row r="6667" spans="1:40" x14ac:dyDescent="0.25">
      <c r="A6667" t="str">
        <f>"20190312151153634"</f>
        <v>20190312151153634</v>
      </c>
      <c r="B6667" t="str">
        <f>"1552374713627503"</f>
        <v>1552374713627503</v>
      </c>
      <c r="C6667" t="s">
        <v>40</v>
      </c>
      <c r="D6667">
        <v>5.237298</v>
      </c>
      <c r="E6667">
        <v>0.41059210000000002</v>
      </c>
      <c r="F6667" t="s">
        <v>85</v>
      </c>
      <c r="G6667">
        <v>-203.2073</v>
      </c>
      <c r="H6667" s="1">
        <v>-5.2124040000000004E-6</v>
      </c>
      <c r="I6667">
        <v>-55.224559999999997</v>
      </c>
      <c r="J6667">
        <v>-207.5984</v>
      </c>
      <c r="K6667">
        <v>1.1159030000000001</v>
      </c>
      <c r="L6667">
        <v>-59.963590000000003</v>
      </c>
      <c r="M6667">
        <v>0.9370153</v>
      </c>
      <c r="N6667">
        <v>0</v>
      </c>
      <c r="O6667">
        <v>0.34908939999999999</v>
      </c>
      <c r="P6667">
        <v>0.83559450000000002</v>
      </c>
      <c r="Q6667">
        <v>4.3227000000000002E-2</v>
      </c>
      <c r="R6667">
        <v>0.5476434</v>
      </c>
      <c r="S6667">
        <v>2.138992</v>
      </c>
      <c r="T6667">
        <v>-0.52647469999999996</v>
      </c>
      <c r="U6667">
        <v>2.2626339999999998</v>
      </c>
      <c r="V6667">
        <v>-0.2223212</v>
      </c>
      <c r="W6667">
        <v>5.1130700000000001E-2</v>
      </c>
      <c r="X6667">
        <v>0.97363180000000005</v>
      </c>
      <c r="Y6667">
        <v>-0.43977889999999997</v>
      </c>
      <c r="Z6667">
        <v>-2.215263E-2</v>
      </c>
      <c r="AA6667">
        <v>0.89783279999999999</v>
      </c>
      <c r="AB6667">
        <v>30</v>
      </c>
      <c r="AC6667">
        <v>4.39109999999999</v>
      </c>
      <c r="AD6667">
        <v>-1.1159082124040001</v>
      </c>
      <c r="AE6667">
        <v>4.7390299999999996</v>
      </c>
      <c r="AF6667">
        <v>-2.8236209174162901</v>
      </c>
      <c r="AG6667">
        <v>-1.1159082124040001</v>
      </c>
      <c r="AH6667">
        <v>5.6021427843324298</v>
      </c>
      <c r="AI6667">
        <v>100.08607628217599</v>
      </c>
      <c r="AJ6667">
        <v>116.749253741709</v>
      </c>
      <c r="AK6667">
        <v>6.3719769302650002</v>
      </c>
      <c r="AL6667">
        <v>87.069148616204302</v>
      </c>
      <c r="AM6667">
        <v>102.862517693504</v>
      </c>
      <c r="AN6667">
        <v>0.99999997321158396</v>
      </c>
    </row>
    <row r="6668" spans="1:40" x14ac:dyDescent="0.25">
      <c r="A6668" t="str">
        <f>"20190312151153646"</f>
        <v>20190312151153646</v>
      </c>
      <c r="B6668" t="str">
        <f>"1552374713638239"</f>
        <v>1552374713638239</v>
      </c>
      <c r="C6668" t="s">
        <v>40</v>
      </c>
      <c r="D6668">
        <v>5.2708329999999997</v>
      </c>
      <c r="E6668">
        <v>0.41090490000000002</v>
      </c>
      <c r="F6668" t="s">
        <v>85</v>
      </c>
      <c r="G6668">
        <v>-203.08340000000001</v>
      </c>
      <c r="H6668" s="1">
        <v>-5.2923290000000003E-6</v>
      </c>
      <c r="I6668">
        <v>-55.148960000000002</v>
      </c>
      <c r="J6668">
        <v>-207.46299999999999</v>
      </c>
      <c r="K6668">
        <v>1.1159380000000001</v>
      </c>
      <c r="L6668">
        <v>-59.908969999999997</v>
      </c>
      <c r="M6668">
        <v>0.93553430000000004</v>
      </c>
      <c r="N6668">
        <v>0</v>
      </c>
      <c r="O6668">
        <v>0.35303970000000001</v>
      </c>
      <c r="P6668">
        <v>0.8332735</v>
      </c>
      <c r="Q6668">
        <v>4.2849079999999998E-2</v>
      </c>
      <c r="R6668">
        <v>0.55119790000000002</v>
      </c>
      <c r="S6668">
        <v>2.129318</v>
      </c>
      <c r="T6668">
        <v>-0.52627360000000001</v>
      </c>
      <c r="U6668">
        <v>2.2706300000000001</v>
      </c>
      <c r="V6668">
        <v>-0.2223533</v>
      </c>
      <c r="W6668">
        <v>5.0715440000000001E-2</v>
      </c>
      <c r="X6668">
        <v>0.97364620000000002</v>
      </c>
      <c r="Y6668">
        <v>-0.4396523</v>
      </c>
      <c r="Z6668">
        <v>-2.2881459999999999E-2</v>
      </c>
      <c r="AA6668">
        <v>0.89787659999999903</v>
      </c>
      <c r="AB6668">
        <v>30</v>
      </c>
      <c r="AC6668">
        <v>4.3795999999999804</v>
      </c>
      <c r="AD6668">
        <v>-1.11594329232899</v>
      </c>
      <c r="AE6668">
        <v>4.7600100000000003</v>
      </c>
      <c r="AF6668">
        <v>-2.8231500316994098</v>
      </c>
      <c r="AG6668">
        <v>-1.11594329232899</v>
      </c>
      <c r="AH6668">
        <v>5.6111232123777697</v>
      </c>
      <c r="AI6668">
        <v>100.074104277047</v>
      </c>
      <c r="AJ6668">
        <v>116.708548791562</v>
      </c>
      <c r="AK6668">
        <v>6.3796715618958899</v>
      </c>
      <c r="AL6668">
        <v>87.092972203936299</v>
      </c>
      <c r="AM6668">
        <v>102.864129142503</v>
      </c>
      <c r="AN6668">
        <v>0.99999998432486104</v>
      </c>
    </row>
    <row r="6669" spans="1:40" x14ac:dyDescent="0.25">
      <c r="A6669" t="str">
        <f>"20190312151153655"</f>
        <v>20190312151153655</v>
      </c>
      <c r="B6669" t="str">
        <f>"1552374713647669"</f>
        <v>1552374713647669</v>
      </c>
      <c r="C6669" t="s">
        <v>40</v>
      </c>
      <c r="D6669">
        <v>5.2751060000000001</v>
      </c>
      <c r="E6669">
        <v>0.41116629999999899</v>
      </c>
      <c r="F6669" t="s">
        <v>85</v>
      </c>
      <c r="G6669">
        <v>-202.9761</v>
      </c>
      <c r="H6669" s="1">
        <v>-5.359896E-6</v>
      </c>
      <c r="I6669">
        <v>-55.090710000000001</v>
      </c>
      <c r="J6669">
        <v>-207.333</v>
      </c>
      <c r="K6669">
        <v>1.115974</v>
      </c>
      <c r="L6669">
        <v>-59.856050000000003</v>
      </c>
      <c r="M6669">
        <v>0.93409909999999996</v>
      </c>
      <c r="N6669">
        <v>0</v>
      </c>
      <c r="O6669">
        <v>0.35682009999999997</v>
      </c>
      <c r="P6669">
        <v>0.83082160000000005</v>
      </c>
      <c r="Q6669">
        <v>4.2709450000000003E-2</v>
      </c>
      <c r="R6669">
        <v>0.55489759999999999</v>
      </c>
      <c r="S6669">
        <v>2.1208649999999998</v>
      </c>
      <c r="T6669">
        <v>-0.52747809999999995</v>
      </c>
      <c r="U6669">
        <v>2.277466</v>
      </c>
      <c r="V6669">
        <v>-0.2227459</v>
      </c>
      <c r="W6669">
        <v>5.0531149999999997E-2</v>
      </c>
      <c r="X6669">
        <v>0.97356609999999999</v>
      </c>
      <c r="Y6669">
        <v>-0.43919439999999998</v>
      </c>
      <c r="Z6669">
        <v>-2.367209E-2</v>
      </c>
      <c r="AA6669">
        <v>0.89808009999999905</v>
      </c>
      <c r="AB6669">
        <v>30</v>
      </c>
      <c r="AC6669">
        <v>4.3568999999999898</v>
      </c>
      <c r="AD6669">
        <v>-1.1159793598959999</v>
      </c>
      <c r="AE6669">
        <v>4.7653400000000001</v>
      </c>
      <c r="AF6669">
        <v>-2.8128443151070202</v>
      </c>
      <c r="AG6669">
        <v>-1.1159793598959999</v>
      </c>
      <c r="AH6669">
        <v>5.6031647100613604</v>
      </c>
      <c r="AI6669">
        <v>100.09289849280199</v>
      </c>
      <c r="AJ6669">
        <v>116.657105421984</v>
      </c>
      <c r="AK6669">
        <v>6.3681204323427201</v>
      </c>
      <c r="AL6669">
        <v>87.103544966727199</v>
      </c>
      <c r="AM6669">
        <v>102.88711001479101</v>
      </c>
      <c r="AN6669">
        <v>1.0000000420781701</v>
      </c>
    </row>
    <row r="6670" spans="1:40" x14ac:dyDescent="0.25">
      <c r="A6670" t="str">
        <f>"20190312151153668"</f>
        <v>20190312151153668</v>
      </c>
      <c r="B6670" t="str">
        <f>"1552374713657407"</f>
        <v>1552374713657407</v>
      </c>
      <c r="C6670" t="s">
        <v>40</v>
      </c>
      <c r="D6670">
        <v>5.2546889999999999</v>
      </c>
      <c r="E6670">
        <v>0.41116629999999899</v>
      </c>
      <c r="F6670" t="s">
        <v>85</v>
      </c>
      <c r="G6670">
        <v>-202.8647</v>
      </c>
      <c r="H6670" s="1">
        <v>-5.4320639999999999E-6</v>
      </c>
      <c r="I6670">
        <v>-55.021189999999997</v>
      </c>
      <c r="J6670">
        <v>-207.19</v>
      </c>
      <c r="K6670">
        <v>1.1160239999999999</v>
      </c>
      <c r="L6670">
        <v>-59.796719999999901</v>
      </c>
      <c r="M6670">
        <v>0.93250350000000004</v>
      </c>
      <c r="N6670">
        <v>0</v>
      </c>
      <c r="O6670">
        <v>0.36097000000000001</v>
      </c>
      <c r="P6670">
        <v>0.82830499999999996</v>
      </c>
      <c r="Q6670">
        <v>4.2863909999999998E-2</v>
      </c>
      <c r="R6670">
        <v>0.55863549999999995</v>
      </c>
      <c r="S6670">
        <v>2.1118160000000001</v>
      </c>
      <c r="T6670">
        <v>-0.52743790000000002</v>
      </c>
      <c r="U6670">
        <v>2.2850649999999999</v>
      </c>
      <c r="V6670">
        <v>-0.22281509999999999</v>
      </c>
      <c r="W6670">
        <v>5.0647339999999999E-2</v>
      </c>
      <c r="X6670">
        <v>0.97354419999999997</v>
      </c>
      <c r="Y6670">
        <v>-0.43866349999999998</v>
      </c>
      <c r="Z6670">
        <v>-2.4483000000000001E-2</v>
      </c>
      <c r="AA6670">
        <v>0.89831779999999894</v>
      </c>
      <c r="AB6670">
        <v>30</v>
      </c>
      <c r="AC6670">
        <v>4.3252999999999897</v>
      </c>
      <c r="AD6670">
        <v>-1.1160294320639901</v>
      </c>
      <c r="AE6670">
        <v>4.7755299999999803</v>
      </c>
      <c r="AF6670">
        <v>-2.80785167123459</v>
      </c>
      <c r="AG6670">
        <v>-1.1160294320639901</v>
      </c>
      <c r="AH6670">
        <v>5.5898673097586702</v>
      </c>
      <c r="AI6670">
        <v>100.115660999808</v>
      </c>
      <c r="AJ6670">
        <v>116.670880297233</v>
      </c>
      <c r="AK6670">
        <v>6.3542245192939601</v>
      </c>
      <c r="AL6670">
        <v>87.096879158260407</v>
      </c>
      <c r="AM6670">
        <v>102.89126019358299</v>
      </c>
      <c r="AN6670">
        <v>1.0000000155953599</v>
      </c>
    </row>
    <row r="6671" spans="1:40" x14ac:dyDescent="0.25">
      <c r="A6671" t="str">
        <f>"20190312151153678"</f>
        <v>20190312151153678</v>
      </c>
      <c r="B6671" t="str">
        <f>"1552374713668143"</f>
        <v>1552374713668143</v>
      </c>
      <c r="C6671" t="s">
        <v>40</v>
      </c>
      <c r="D6671">
        <v>5.2115220000000004</v>
      </c>
      <c r="E6671">
        <v>0.41933730000000002</v>
      </c>
      <c r="F6671" t="s">
        <v>85</v>
      </c>
      <c r="G6671">
        <v>-202.7373</v>
      </c>
      <c r="H6671" s="1">
        <v>-5.5162179999999999E-6</v>
      </c>
      <c r="I6671">
        <v>-54.934469999999997</v>
      </c>
      <c r="J6671">
        <v>-207.0558</v>
      </c>
      <c r="K6671">
        <v>1.116072</v>
      </c>
      <c r="L6671">
        <v>-59.740810000000003</v>
      </c>
      <c r="M6671">
        <v>0.9309887</v>
      </c>
      <c r="N6671">
        <v>0</v>
      </c>
      <c r="O6671">
        <v>0.36485919999999999</v>
      </c>
      <c r="P6671">
        <v>0.82574249999999905</v>
      </c>
      <c r="Q6671">
        <v>4.2877800000000001E-2</v>
      </c>
      <c r="R6671">
        <v>0.56241509999999995</v>
      </c>
      <c r="S6671">
        <v>2.1014710000000001</v>
      </c>
      <c r="T6671">
        <v>-0.52671619999999997</v>
      </c>
      <c r="U6671">
        <v>2.2947690000000001</v>
      </c>
      <c r="V6671">
        <v>-0.2232063</v>
      </c>
      <c r="W6671">
        <v>5.062067E-2</v>
      </c>
      <c r="X6671">
        <v>0.97345599999999999</v>
      </c>
      <c r="Y6671">
        <v>-0.43905309999999997</v>
      </c>
      <c r="Z6671">
        <v>-2.5124730000000001E-2</v>
      </c>
      <c r="AA6671">
        <v>0.89810970000000001</v>
      </c>
      <c r="AB6671">
        <v>30</v>
      </c>
      <c r="AC6671">
        <v>4.3185000000000002</v>
      </c>
      <c r="AD6671">
        <v>-1.1160775162180001</v>
      </c>
      <c r="AE6671">
        <v>4.8063399999999898</v>
      </c>
      <c r="AF6671">
        <v>-2.8152112139272201</v>
      </c>
      <c r="AG6671">
        <v>-1.1160775162180001</v>
      </c>
      <c r="AH6671">
        <v>5.6072176226873802</v>
      </c>
      <c r="AI6671">
        <v>100.086387259152</v>
      </c>
      <c r="AJ6671">
        <v>116.659817370364</v>
      </c>
      <c r="AK6671">
        <v>6.3727492237969701</v>
      </c>
      <c r="AL6671">
        <v>87.098409282550705</v>
      </c>
      <c r="AM6671">
        <v>102.91426629506699</v>
      </c>
      <c r="AN6671">
        <v>1.00000004426346</v>
      </c>
    </row>
    <row r="6672" spans="1:40" x14ac:dyDescent="0.25">
      <c r="A6672" t="str">
        <f>"20190312151153691"</f>
        <v>20190312151153691</v>
      </c>
      <c r="B6672" t="str">
        <f>"1552374713687662"</f>
        <v>1552374713687662</v>
      </c>
      <c r="C6672" t="s">
        <v>40</v>
      </c>
      <c r="D6672">
        <v>5.2350989999999999</v>
      </c>
      <c r="E6672">
        <v>0.4200373</v>
      </c>
      <c r="F6672" t="s">
        <v>85</v>
      </c>
      <c r="G6672">
        <v>-202.1489</v>
      </c>
      <c r="H6672" s="1">
        <v>-5.8057210000000001E-6</v>
      </c>
      <c r="I6672">
        <v>-54.552680000000002</v>
      </c>
      <c r="J6672">
        <v>-206.90690000000001</v>
      </c>
      <c r="K6672">
        <v>1.1161239999999999</v>
      </c>
      <c r="L6672">
        <v>-59.677430000000001</v>
      </c>
      <c r="M6672">
        <v>0.92927550000000003</v>
      </c>
      <c r="N6672">
        <v>0</v>
      </c>
      <c r="O6672">
        <v>0.3692011</v>
      </c>
      <c r="P6672">
        <v>0.82301429999999998</v>
      </c>
      <c r="Q6672">
        <v>4.3120140000000001E-2</v>
      </c>
      <c r="R6672">
        <v>0.56638169999999899</v>
      </c>
      <c r="S6672">
        <v>2.126709</v>
      </c>
      <c r="T6672">
        <v>-0.48372150000000003</v>
      </c>
      <c r="U6672">
        <v>2.248596</v>
      </c>
      <c r="V6672">
        <v>-0.2233598</v>
      </c>
      <c r="W6672">
        <v>5.0834030000000002E-2</v>
      </c>
      <c r="X6672">
        <v>0.97340959999999999</v>
      </c>
      <c r="Y6672">
        <v>-0.4207362</v>
      </c>
      <c r="Z6672">
        <v>-2.5495759999999999E-2</v>
      </c>
      <c r="AA6672">
        <v>0.90682470000000004</v>
      </c>
      <c r="AB6672">
        <v>30</v>
      </c>
      <c r="AC6672">
        <v>4.7580000000000098</v>
      </c>
      <c r="AD6672">
        <v>-1.1161298057209901</v>
      </c>
      <c r="AE6672">
        <v>5.1247499999999997</v>
      </c>
      <c r="AF6672">
        <v>-2.9311821098401398</v>
      </c>
      <c r="AG6672">
        <v>-1.1161298057209901</v>
      </c>
      <c r="AH6672">
        <v>6.15714033148691</v>
      </c>
      <c r="AI6672">
        <v>99.295371609354802</v>
      </c>
      <c r="AJ6672">
        <v>115.457356179659</v>
      </c>
      <c r="AK6672">
        <v>6.9099892449907996</v>
      </c>
      <c r="AL6672">
        <v>87.086168691964701</v>
      </c>
      <c r="AM6672">
        <v>102.923444763281</v>
      </c>
      <c r="AN6672">
        <v>0.99999997411712005</v>
      </c>
    </row>
    <row r="6673" spans="1:40" x14ac:dyDescent="0.25">
      <c r="A6673" t="str">
        <f>"20190312151153705"</f>
        <v>20190312151153705</v>
      </c>
      <c r="B6673" t="str">
        <f>"1552374713697423"</f>
        <v>1552374713697423</v>
      </c>
      <c r="C6673" t="s">
        <v>40</v>
      </c>
      <c r="D6673">
        <v>5.2017150000000001</v>
      </c>
      <c r="E6673">
        <v>0.4205064</v>
      </c>
      <c r="F6673" t="s">
        <v>85</v>
      </c>
      <c r="G6673">
        <v>-202.16909999999999</v>
      </c>
      <c r="H6673" s="1">
        <v>-5.785136E-6</v>
      </c>
      <c r="I6673">
        <v>-54.635620000000003</v>
      </c>
      <c r="J6673">
        <v>-206.74039999999999</v>
      </c>
      <c r="K6673">
        <v>1.1161749999999999</v>
      </c>
      <c r="L6673">
        <v>-59.605829999999997</v>
      </c>
      <c r="M6673">
        <v>0.92732479999999995</v>
      </c>
      <c r="N6673">
        <v>0</v>
      </c>
      <c r="O6673">
        <v>0.37407370000000001</v>
      </c>
      <c r="P6673">
        <v>0.81985869999999905</v>
      </c>
      <c r="Q6673">
        <v>4.3199389999999997E-2</v>
      </c>
      <c r="R6673">
        <v>0.57093419999999995</v>
      </c>
      <c r="S6673">
        <v>2.119278</v>
      </c>
      <c r="T6673">
        <v>-0.49925580000000003</v>
      </c>
      <c r="U6673">
        <v>2.2552490000000001</v>
      </c>
      <c r="V6673">
        <v>-0.22365260000000001</v>
      </c>
      <c r="W6673">
        <v>5.0885930000000003E-2</v>
      </c>
      <c r="X6673">
        <v>0.97333970000000003</v>
      </c>
      <c r="Y6673">
        <v>-0.41892170000000001</v>
      </c>
      <c r="Z6673">
        <v>-2.7309699999999999E-2</v>
      </c>
      <c r="AA6673">
        <v>0.90761150000000002</v>
      </c>
      <c r="AB6673">
        <v>30</v>
      </c>
      <c r="AC6673">
        <v>4.5712999999999999</v>
      </c>
      <c r="AD6673">
        <v>-1.1161807851359999</v>
      </c>
      <c r="AE6673">
        <v>4.9702099999999998</v>
      </c>
      <c r="AF6673">
        <v>-2.82209123543476</v>
      </c>
      <c r="AG6673">
        <v>-1.1161807851359999</v>
      </c>
      <c r="AH6673">
        <v>5.9365286841169098</v>
      </c>
      <c r="AI6673">
        <v>99.637385642898494</v>
      </c>
      <c r="AJ6673">
        <v>115.42535566338699</v>
      </c>
      <c r="AK6673">
        <v>6.6672656541919402</v>
      </c>
      <c r="AL6673">
        <v>87.083191314008502</v>
      </c>
      <c r="AM6673">
        <v>102.940714103622</v>
      </c>
      <c r="AN6673">
        <v>1.0000000174774</v>
      </c>
    </row>
    <row r="6674" spans="1:40" x14ac:dyDescent="0.25">
      <c r="A6674" t="str">
        <f>"20190312151153718"</f>
        <v>20190312151153718</v>
      </c>
      <c r="B6674" t="str">
        <f>"1552374713708159"</f>
        <v>1552374713708159</v>
      </c>
      <c r="C6674" t="s">
        <v>40</v>
      </c>
      <c r="D6674">
        <v>5.2316890000000003</v>
      </c>
      <c r="E6674">
        <v>0.42110710000000001</v>
      </c>
      <c r="F6674" t="s">
        <v>85</v>
      </c>
      <c r="G6674">
        <v>-201.98500000000001</v>
      </c>
      <c r="H6674" s="1">
        <v>-5.8757829999999999E-6</v>
      </c>
      <c r="I6674">
        <v>-54.501249999999999</v>
      </c>
      <c r="J6674">
        <v>-206.57550000000001</v>
      </c>
      <c r="K6674">
        <v>1.1162240000000001</v>
      </c>
      <c r="L6674">
        <v>-59.534030000000001</v>
      </c>
      <c r="M6674">
        <v>0.9253536</v>
      </c>
      <c r="N6674">
        <v>0</v>
      </c>
      <c r="O6674">
        <v>0.37892350000000002</v>
      </c>
      <c r="P6674">
        <v>0.81670450000000006</v>
      </c>
      <c r="Q6674">
        <v>4.3426319999999997E-2</v>
      </c>
      <c r="R6674">
        <v>0.57541999999999904</v>
      </c>
      <c r="S6674">
        <v>2.1088559999999998</v>
      </c>
      <c r="T6674">
        <v>-0.4949865</v>
      </c>
      <c r="U6674">
        <v>2.2637019999999999</v>
      </c>
      <c r="V6674">
        <v>-0.22390409999999999</v>
      </c>
      <c r="W6674">
        <v>5.1094510000000003E-2</v>
      </c>
      <c r="X6674">
        <v>0.973271</v>
      </c>
      <c r="Y6674">
        <v>-0.41816629999999999</v>
      </c>
      <c r="Z6674">
        <v>-2.7990089999999999E-2</v>
      </c>
      <c r="AA6674">
        <v>0.90793919999999995</v>
      </c>
      <c r="AB6674">
        <v>30</v>
      </c>
      <c r="AC6674">
        <v>4.5904999999999898</v>
      </c>
      <c r="AD6674">
        <v>-1.11622987578299</v>
      </c>
      <c r="AE6674">
        <v>5.0327799999999998</v>
      </c>
      <c r="AF6674">
        <v>-2.8415526362866599</v>
      </c>
      <c r="AG6674">
        <v>-1.11622987578299</v>
      </c>
      <c r="AH6674">
        <v>5.9943388551020398</v>
      </c>
      <c r="AI6674">
        <v>99.551430670599899</v>
      </c>
      <c r="AJ6674">
        <v>115.362793826719</v>
      </c>
      <c r="AK6674">
        <v>6.7269970142823903</v>
      </c>
      <c r="AL6674">
        <v>87.071225139888</v>
      </c>
      <c r="AM6674">
        <v>102.95565902196</v>
      </c>
      <c r="AN6674">
        <v>1.00000006719497</v>
      </c>
    </row>
    <row r="6675" spans="1:40" x14ac:dyDescent="0.25">
      <c r="A6675" t="str">
        <f>"20190312151153732"</f>
        <v>20190312151153732</v>
      </c>
      <c r="B6675" t="str">
        <f>"1552374713727679"</f>
        <v>1552374713727679</v>
      </c>
      <c r="C6675" t="s">
        <v>40</v>
      </c>
      <c r="D6675">
        <v>5.207973</v>
      </c>
      <c r="E6675">
        <v>0.42191780000000001</v>
      </c>
      <c r="F6675" t="s">
        <v>85</v>
      </c>
      <c r="G6675">
        <v>-201.8357</v>
      </c>
      <c r="H6675" s="1">
        <v>-5.9474010000000003E-6</v>
      </c>
      <c r="I6675">
        <v>-54.40448</v>
      </c>
      <c r="J6675">
        <v>-206.39940000000001</v>
      </c>
      <c r="K6675">
        <v>1.116274</v>
      </c>
      <c r="L6675">
        <v>-59.45581</v>
      </c>
      <c r="M6675">
        <v>0.92319759999999995</v>
      </c>
      <c r="N6675">
        <v>0</v>
      </c>
      <c r="O6675">
        <v>0.3841465</v>
      </c>
      <c r="P6675">
        <v>0.81327899999999997</v>
      </c>
      <c r="Q6675">
        <v>4.3422049999999997E-2</v>
      </c>
      <c r="R6675">
        <v>0.58025159999999998</v>
      </c>
      <c r="S6675">
        <v>2.0990449999999998</v>
      </c>
      <c r="T6675">
        <v>-0.49433290000000002</v>
      </c>
      <c r="U6675">
        <v>2.2716669999999999</v>
      </c>
      <c r="V6675">
        <v>-0.22417709999999999</v>
      </c>
      <c r="W6675">
        <v>5.1082610000000001E-2</v>
      </c>
      <c r="X6675">
        <v>0.97320870000000004</v>
      </c>
      <c r="Y6675">
        <v>-0.41680640000000002</v>
      </c>
      <c r="Z6675">
        <v>-2.8978859999999999E-2</v>
      </c>
      <c r="AA6675">
        <v>0.90853329999999999</v>
      </c>
      <c r="AB6675">
        <v>30</v>
      </c>
      <c r="AC6675">
        <v>4.5637000000000096</v>
      </c>
      <c r="AD6675">
        <v>-1.1162799474009999</v>
      </c>
      <c r="AE6675">
        <v>5.0513299999999903</v>
      </c>
      <c r="AF6675">
        <v>-2.8342394977513901</v>
      </c>
      <c r="AG6675">
        <v>-1.1162799474009999</v>
      </c>
      <c r="AH6675">
        <v>5.9929329195948497</v>
      </c>
      <c r="AI6675">
        <v>99.558074408593299</v>
      </c>
      <c r="AJ6675">
        <v>115.31088523707101</v>
      </c>
      <c r="AK6675">
        <v>6.7226660954079298</v>
      </c>
      <c r="AL6675">
        <v>87.0719076234043</v>
      </c>
      <c r="AM6675">
        <v>102.971723842374</v>
      </c>
      <c r="AN6675">
        <v>0.99999998948225599</v>
      </c>
    </row>
    <row r="6676" spans="1:40" x14ac:dyDescent="0.25">
      <c r="A6676" t="str">
        <f>"20190312151153746"</f>
        <v>20190312151153746</v>
      </c>
      <c r="B6676" t="str">
        <f>"1552374713737440"</f>
        <v>1552374713737440</v>
      </c>
      <c r="C6676" t="s">
        <v>40</v>
      </c>
      <c r="D6676">
        <v>5.2214299999999998</v>
      </c>
      <c r="E6676">
        <v>0.42225970000000002</v>
      </c>
      <c r="F6676" t="s">
        <v>85</v>
      </c>
      <c r="G6676">
        <v>-201.67070000000001</v>
      </c>
      <c r="H6676" s="1">
        <v>-6.0264429999999997E-6</v>
      </c>
      <c r="I6676">
        <v>-54.298169999999899</v>
      </c>
      <c r="J6676">
        <v>-206.2406</v>
      </c>
      <c r="K6676">
        <v>1.1163099999999999</v>
      </c>
      <c r="L6676">
        <v>-59.384279999999997</v>
      </c>
      <c r="M6676">
        <v>0.92121379999999997</v>
      </c>
      <c r="N6676">
        <v>0</v>
      </c>
      <c r="O6676">
        <v>0.38887919999999998</v>
      </c>
      <c r="P6676">
        <v>0.80984469999999997</v>
      </c>
      <c r="Q6676">
        <v>4.3460310000000002E-2</v>
      </c>
      <c r="R6676">
        <v>0.58503229999999995</v>
      </c>
      <c r="S6676">
        <v>2.0892490000000001</v>
      </c>
      <c r="T6676">
        <v>-0.49320049999999999</v>
      </c>
      <c r="U6676">
        <v>2.278778</v>
      </c>
      <c r="V6676">
        <v>-0.2249188</v>
      </c>
      <c r="W6676">
        <v>5.110833E-2</v>
      </c>
      <c r="X6676">
        <v>0.97303620000000002</v>
      </c>
      <c r="Y6676">
        <v>-0.41573769999999999</v>
      </c>
      <c r="Z6676">
        <v>-2.983357E-2</v>
      </c>
      <c r="AA6676">
        <v>0.9089952</v>
      </c>
      <c r="AB6676">
        <v>30</v>
      </c>
      <c r="AC6676">
        <v>4.5698999999999899</v>
      </c>
      <c r="AD6676">
        <v>-1.1163160264430001</v>
      </c>
      <c r="AE6676">
        <v>5.0861100000000103</v>
      </c>
      <c r="AF6676">
        <v>-2.8329459321277199</v>
      </c>
      <c r="AG6676">
        <v>-1.1163160264430001</v>
      </c>
      <c r="AH6676">
        <v>6.0275049132807998</v>
      </c>
      <c r="AI6676">
        <v>99.515098051327001</v>
      </c>
      <c r="AJ6676">
        <v>115.17366951899599</v>
      </c>
      <c r="AK6676">
        <v>6.7529667261787001</v>
      </c>
      <c r="AL6676">
        <v>87.070432041958</v>
      </c>
      <c r="AM6676">
        <v>103.01541131293401</v>
      </c>
      <c r="AN6676">
        <v>0.99999998724963401</v>
      </c>
    </row>
    <row r="6677" spans="1:40" x14ac:dyDescent="0.25">
      <c r="A6677" t="str">
        <f>"20190312151153757"</f>
        <v>20190312151153757</v>
      </c>
      <c r="B6677" t="str">
        <f>"1552374713747200"</f>
        <v>1552374713747200</v>
      </c>
      <c r="C6677" t="s">
        <v>40</v>
      </c>
      <c r="D6677">
        <v>5.2352429999999996</v>
      </c>
      <c r="E6677">
        <v>0.42232890000000001</v>
      </c>
      <c r="F6677" t="s">
        <v>85</v>
      </c>
      <c r="G6677">
        <v>-201.5187</v>
      </c>
      <c r="H6677" s="1">
        <v>-6.1023309999999998E-6</v>
      </c>
      <c r="I6677">
        <v>-54.180660000000003</v>
      </c>
      <c r="J6677">
        <v>-206.1054</v>
      </c>
      <c r="K6677">
        <v>1.116344</v>
      </c>
      <c r="L6677">
        <v>-59.323</v>
      </c>
      <c r="M6677">
        <v>0.91950089999999995</v>
      </c>
      <c r="N6677">
        <v>0</v>
      </c>
      <c r="O6677">
        <v>0.39291179999999998</v>
      </c>
      <c r="P6677">
        <v>0.80727479999999996</v>
      </c>
      <c r="Q6677">
        <v>4.3408139999999998E-2</v>
      </c>
      <c r="R6677">
        <v>0.58857729999999997</v>
      </c>
      <c r="S6677">
        <v>2.0771480000000002</v>
      </c>
      <c r="T6677">
        <v>-0.4910716</v>
      </c>
      <c r="U6677">
        <v>2.2890929999999998</v>
      </c>
      <c r="V6677">
        <v>-0.22492119999999999</v>
      </c>
      <c r="W6677">
        <v>5.1059269999999997E-2</v>
      </c>
      <c r="X6677">
        <v>0.97303830000000002</v>
      </c>
      <c r="Y6677">
        <v>-0.41646349999999999</v>
      </c>
      <c r="Z6677">
        <v>-3.0345299999999999E-2</v>
      </c>
      <c r="AA6677">
        <v>0.90864590000000001</v>
      </c>
      <c r="AB6677">
        <v>30</v>
      </c>
      <c r="AC6677">
        <v>4.5867000000000004</v>
      </c>
      <c r="AD6677">
        <v>-1.1163501023310001</v>
      </c>
      <c r="AE6677">
        <v>5.1423399999999999</v>
      </c>
      <c r="AF6677">
        <v>-2.8515754650688501</v>
      </c>
      <c r="AG6677">
        <v>-1.1163501023310001</v>
      </c>
      <c r="AH6677">
        <v>6.0788423442028598</v>
      </c>
      <c r="AI6677">
        <v>99.439700326750199</v>
      </c>
      <c r="AJ6677">
        <v>115.131200447015</v>
      </c>
      <c r="AK6677">
        <v>6.8066176938058502</v>
      </c>
      <c r="AL6677">
        <v>87.073246873370095</v>
      </c>
      <c r="AM6677">
        <v>103.015518331797</v>
      </c>
      <c r="AN6677">
        <v>1.0000000642646201</v>
      </c>
    </row>
    <row r="6678" spans="1:40" x14ac:dyDescent="0.25">
      <c r="A6678" t="str">
        <f>"20190312151153769"</f>
        <v>20190312151153769</v>
      </c>
      <c r="B6678" t="str">
        <f>"1552374713757429"</f>
        <v>1552374713757429</v>
      </c>
      <c r="C6678" t="s">
        <v>40</v>
      </c>
      <c r="D6678">
        <v>5.2152810000000001</v>
      </c>
      <c r="E6678">
        <v>0.42161559999999998</v>
      </c>
      <c r="F6678" t="s">
        <v>85</v>
      </c>
      <c r="G6678">
        <v>-201.40719999999999</v>
      </c>
      <c r="H6678" s="1">
        <v>-6.1570660000000002E-6</v>
      </c>
      <c r="I6678">
        <v>-54.100529999999999</v>
      </c>
      <c r="J6678">
        <v>-205.96709999999999</v>
      </c>
      <c r="K6678">
        <v>1.116385</v>
      </c>
      <c r="L6678">
        <v>-59.258969999999998</v>
      </c>
      <c r="M6678">
        <v>0.91771829999999999</v>
      </c>
      <c r="N6678">
        <v>0</v>
      </c>
      <c r="O6678">
        <v>0.39705760000000001</v>
      </c>
      <c r="P6678">
        <v>0.80440940000000005</v>
      </c>
      <c r="Q6678">
        <v>4.3592869999999999E-2</v>
      </c>
      <c r="R6678">
        <v>0.59247369999999899</v>
      </c>
      <c r="S6678">
        <v>2.0672299999999999</v>
      </c>
      <c r="T6678">
        <v>-0.49120029999999998</v>
      </c>
      <c r="U6678">
        <v>2.2979129999999999</v>
      </c>
      <c r="V6678">
        <v>-0.2252429</v>
      </c>
      <c r="W6678">
        <v>5.1243089999999998E-2</v>
      </c>
      <c r="X6678">
        <v>0.97295419999999999</v>
      </c>
      <c r="Y6678">
        <v>-0.41630640000000002</v>
      </c>
      <c r="Z6678">
        <v>-3.1082060000000002E-2</v>
      </c>
      <c r="AA6678">
        <v>0.90869299999999997</v>
      </c>
      <c r="AB6678">
        <v>30</v>
      </c>
      <c r="AC6678">
        <v>4.5598999999999901</v>
      </c>
      <c r="AD6678">
        <v>-1.1163911570659999</v>
      </c>
      <c r="AE6678">
        <v>5.1584399999999899</v>
      </c>
      <c r="AF6678">
        <v>-2.8487528760501601</v>
      </c>
      <c r="AG6678">
        <v>-1.1163911570659999</v>
      </c>
      <c r="AH6678">
        <v>6.0736406866249801</v>
      </c>
      <c r="AI6678">
        <v>99.448204920737396</v>
      </c>
      <c r="AJ6678">
        <v>115.128242869258</v>
      </c>
      <c r="AK6678">
        <v>6.8007965235408703</v>
      </c>
      <c r="AL6678">
        <v>87.062700907026894</v>
      </c>
      <c r="AM6678">
        <v>103.03458711507101</v>
      </c>
      <c r="AN6678">
        <v>1.00000004678539</v>
      </c>
    </row>
    <row r="6679" spans="1:40" x14ac:dyDescent="0.25">
      <c r="A6679" t="str">
        <f>"20190312151153781"</f>
        <v>20190312151153781</v>
      </c>
      <c r="B6679" t="str">
        <f>"1552374713777924"</f>
        <v>1552374713777924</v>
      </c>
      <c r="C6679" t="s">
        <v>40</v>
      </c>
      <c r="D6679">
        <v>5.2541859999999998</v>
      </c>
      <c r="E6679">
        <v>0.40299269999999998</v>
      </c>
      <c r="F6679" t="s">
        <v>85</v>
      </c>
      <c r="G6679">
        <v>-201.32650000000001</v>
      </c>
      <c r="H6679" s="1">
        <v>-6.1983810000000003E-6</v>
      </c>
      <c r="I6679">
        <v>-54.03143</v>
      </c>
      <c r="J6679">
        <v>-205.82259999999999</v>
      </c>
      <c r="K6679">
        <v>1.1164229999999999</v>
      </c>
      <c r="L6679">
        <v>-59.19171</v>
      </c>
      <c r="M6679">
        <v>0.91583190000000003</v>
      </c>
      <c r="N6679">
        <v>0</v>
      </c>
      <c r="O6679">
        <v>0.40138889999999999</v>
      </c>
      <c r="P6679">
        <v>0.80150549999999998</v>
      </c>
      <c r="Q6679">
        <v>4.3479520000000001E-2</v>
      </c>
      <c r="R6679">
        <v>0.59640459999999995</v>
      </c>
      <c r="S6679">
        <v>2.0529169999999999</v>
      </c>
      <c r="T6679">
        <v>-0.49387540000000002</v>
      </c>
      <c r="U6679">
        <v>2.312592</v>
      </c>
      <c r="V6679">
        <v>-0.2254061</v>
      </c>
      <c r="W6679">
        <v>5.1132120000000003E-2</v>
      </c>
      <c r="X6679">
        <v>0.97292219999999996</v>
      </c>
      <c r="Y6679">
        <v>-0.4180431</v>
      </c>
      <c r="Z6679">
        <v>-3.184087E-2</v>
      </c>
      <c r="AA6679">
        <v>0.90786900000000004</v>
      </c>
      <c r="AB6679">
        <v>30</v>
      </c>
      <c r="AC6679">
        <v>4.4960999999999798</v>
      </c>
      <c r="AD6679">
        <v>-1.116429198381</v>
      </c>
      <c r="AE6679">
        <v>5.1602799999999904</v>
      </c>
      <c r="AF6679">
        <v>-2.84574734100585</v>
      </c>
      <c r="AG6679">
        <v>-1.116429198381</v>
      </c>
      <c r="AH6679">
        <v>6.0289614996603396</v>
      </c>
      <c r="AI6679">
        <v>99.506554688519998</v>
      </c>
      <c r="AJ6679">
        <v>115.26791292632301</v>
      </c>
      <c r="AK6679">
        <v>6.7596648473297902</v>
      </c>
      <c r="AL6679">
        <v>87.069067244152393</v>
      </c>
      <c r="AM6679">
        <v>103.044122849695</v>
      </c>
      <c r="AN6679">
        <v>1.0000000054328699</v>
      </c>
    </row>
    <row r="6680" spans="1:40" x14ac:dyDescent="0.25">
      <c r="A6680" t="str">
        <f>"20190312151153793"</f>
        <v>20190312151153793</v>
      </c>
      <c r="B6680" t="str">
        <f>"1552374713787685"</f>
        <v>1552374713787685</v>
      </c>
      <c r="C6680" t="s">
        <v>40</v>
      </c>
      <c r="D6680">
        <v>5.3024690000000003</v>
      </c>
      <c r="E6680">
        <v>0.40203670000000002</v>
      </c>
      <c r="F6680" t="s">
        <v>85</v>
      </c>
      <c r="G6680">
        <v>-202.21690000000001</v>
      </c>
      <c r="H6680" s="1">
        <v>-5.7605530000000001E-6</v>
      </c>
      <c r="I6680">
        <v>-54.677259999999997</v>
      </c>
      <c r="J6680">
        <v>-205.6679</v>
      </c>
      <c r="K6680">
        <v>1.1164620000000001</v>
      </c>
      <c r="L6680">
        <v>-59.118589999999998</v>
      </c>
      <c r="M6680">
        <v>0.91378190000000004</v>
      </c>
      <c r="N6680">
        <v>0</v>
      </c>
      <c r="O6680">
        <v>0.4060338</v>
      </c>
      <c r="P6680">
        <v>0.79846419999999996</v>
      </c>
      <c r="Q6680">
        <v>4.3240630000000002E-2</v>
      </c>
      <c r="R6680">
        <v>0.60048749999999995</v>
      </c>
      <c r="S6680">
        <v>1.954712</v>
      </c>
      <c r="T6680">
        <v>-0.60523450000000001</v>
      </c>
      <c r="U6680">
        <v>2.4473569999999998</v>
      </c>
      <c r="V6680">
        <v>-0.22542409999999999</v>
      </c>
      <c r="W6680">
        <v>5.0900220000000003E-2</v>
      </c>
      <c r="X6680">
        <v>0.97293019999999997</v>
      </c>
      <c r="Y6680">
        <v>-0.45940189999999997</v>
      </c>
      <c r="Z6680">
        <v>-3.5140350000000001E-2</v>
      </c>
      <c r="AA6680">
        <v>0.88753309999999996</v>
      </c>
      <c r="AB6680">
        <v>30</v>
      </c>
      <c r="AC6680">
        <v>3.4509999999999899</v>
      </c>
      <c r="AD6680">
        <v>-1.116467760553</v>
      </c>
      <c r="AE6680">
        <v>4.4413299999999998</v>
      </c>
      <c r="AF6680">
        <v>-2.55663085372499</v>
      </c>
      <c r="AG6680">
        <v>-1.116467760553</v>
      </c>
      <c r="AH6680">
        <v>4.76921597412057</v>
      </c>
      <c r="AI6680">
        <v>101.657846943636</v>
      </c>
      <c r="AJ6680">
        <v>118.194398191278</v>
      </c>
      <c r="AK6680">
        <v>5.52524050068227</v>
      </c>
      <c r="AL6680">
        <v>87.082371489642398</v>
      </c>
      <c r="AM6680">
        <v>103.04502527789199</v>
      </c>
      <c r="AN6680">
        <v>1.00000001566444</v>
      </c>
    </row>
    <row r="6681" spans="1:40" x14ac:dyDescent="0.25">
      <c r="A6681" t="str">
        <f>"20190312151153805"</f>
        <v>20190312151153805</v>
      </c>
      <c r="B6681" t="str">
        <f>"1552374713797444"</f>
        <v>1552374713797444</v>
      </c>
      <c r="C6681" t="s">
        <v>40</v>
      </c>
      <c r="D6681">
        <v>5.2679999999999998</v>
      </c>
      <c r="E6681">
        <v>0.40162379999999998</v>
      </c>
      <c r="F6681" t="s">
        <v>85</v>
      </c>
      <c r="G6681">
        <v>-202.14109999999999</v>
      </c>
      <c r="H6681" s="1">
        <v>-5.7959930000000001E-6</v>
      </c>
      <c r="I6681">
        <v>-54.633850000000002</v>
      </c>
      <c r="J6681">
        <v>-205.53489999999999</v>
      </c>
      <c r="K6681">
        <v>1.116498</v>
      </c>
      <c r="L6681">
        <v>-59.054900000000004</v>
      </c>
      <c r="M6681">
        <v>0.911995</v>
      </c>
      <c r="N6681">
        <v>0</v>
      </c>
      <c r="O6681">
        <v>0.41003139999999999</v>
      </c>
      <c r="P6681">
        <v>0.79574519999999904</v>
      </c>
      <c r="Q6681">
        <v>4.3174610000000002E-2</v>
      </c>
      <c r="R6681">
        <v>0.60409069999999898</v>
      </c>
      <c r="S6681">
        <v>1.9375150000000001</v>
      </c>
      <c r="T6681">
        <v>-0.61336059999999903</v>
      </c>
      <c r="U6681">
        <v>2.4638059999999999</v>
      </c>
      <c r="V6681">
        <v>-0.22556029999999999</v>
      </c>
      <c r="W6681">
        <v>5.0837359999999998E-2</v>
      </c>
      <c r="X6681">
        <v>0.97290189999999999</v>
      </c>
      <c r="Y6681">
        <v>-0.46220480000000003</v>
      </c>
      <c r="Z6681">
        <v>-3.6139589999999999E-2</v>
      </c>
      <c r="AA6681">
        <v>0.8860365</v>
      </c>
      <c r="AB6681">
        <v>30</v>
      </c>
      <c r="AC6681">
        <v>3.3937999999999899</v>
      </c>
      <c r="AD6681">
        <v>-1.116503795993</v>
      </c>
      <c r="AE6681">
        <v>4.4210500000000001</v>
      </c>
      <c r="AF6681">
        <v>-2.5387162632192699</v>
      </c>
      <c r="AG6681">
        <v>-1.116503795993</v>
      </c>
      <c r="AH6681">
        <v>4.7188716763782397</v>
      </c>
      <c r="AI6681">
        <v>101.769960174007</v>
      </c>
      <c r="AJ6681">
        <v>118.279905923561</v>
      </c>
      <c r="AK6681">
        <v>5.4735190590447003</v>
      </c>
      <c r="AL6681">
        <v>87.085977715474797</v>
      </c>
      <c r="AM6681">
        <v>103.05300388305101</v>
      </c>
      <c r="AN6681">
        <v>0.99999999656573402</v>
      </c>
    </row>
    <row r="6682" spans="1:40" x14ac:dyDescent="0.25">
      <c r="A6682" t="str">
        <f>"20190312151153815"</f>
        <v>20190312151153815</v>
      </c>
      <c r="B6682" t="str">
        <f>"1552374713808180"</f>
        <v>1552374713808180</v>
      </c>
      <c r="C6682" t="s">
        <v>40</v>
      </c>
      <c r="D6682">
        <v>5.264208</v>
      </c>
      <c r="E6682">
        <v>0.40150930000000001</v>
      </c>
      <c r="F6682" t="s">
        <v>85</v>
      </c>
      <c r="G6682">
        <v>-202.08279999999999</v>
      </c>
      <c r="H6682" s="1">
        <v>-5.8211479999999997E-6</v>
      </c>
      <c r="I6682">
        <v>-54.614190000000001</v>
      </c>
      <c r="J6682">
        <v>-205.41149999999999</v>
      </c>
      <c r="K6682">
        <v>1.1165290000000001</v>
      </c>
      <c r="L6682">
        <v>-58.995420000000003</v>
      </c>
      <c r="M6682">
        <v>0.9103194</v>
      </c>
      <c r="N6682">
        <v>0</v>
      </c>
      <c r="O6682">
        <v>0.41373769999999999</v>
      </c>
      <c r="P6682">
        <v>0.79326019999999997</v>
      </c>
      <c r="Q6682">
        <v>4.3110830000000003E-2</v>
      </c>
      <c r="R6682">
        <v>0.60735479999999997</v>
      </c>
      <c r="S6682">
        <v>1.924469</v>
      </c>
      <c r="T6682">
        <v>-0.62243099999999996</v>
      </c>
      <c r="U6682">
        <v>2.475616</v>
      </c>
      <c r="V6682">
        <v>-0.22559850000000001</v>
      </c>
      <c r="W6682">
        <v>5.077831E-2</v>
      </c>
      <c r="X6682">
        <v>0.97289619999999999</v>
      </c>
      <c r="Y6682">
        <v>-0.4635571</v>
      </c>
      <c r="Z6682">
        <v>-3.7310709999999997E-2</v>
      </c>
      <c r="AA6682">
        <v>0.88528109999999904</v>
      </c>
      <c r="AB6682">
        <v>30</v>
      </c>
      <c r="AC6682">
        <v>3.3286999999999898</v>
      </c>
      <c r="AD6682">
        <v>-1.116534821148</v>
      </c>
      <c r="AE6682">
        <v>4.3812299999999897</v>
      </c>
      <c r="AF6682">
        <v>-2.50801974596967</v>
      </c>
      <c r="AG6682">
        <v>-1.116534821148</v>
      </c>
      <c r="AH6682">
        <v>4.6516573846766702</v>
      </c>
      <c r="AI6682">
        <v>101.929824482275</v>
      </c>
      <c r="AJ6682">
        <v>118.332077360835</v>
      </c>
      <c r="AK6682">
        <v>5.4013636683181003</v>
      </c>
      <c r="AL6682">
        <v>87.0893656146621</v>
      </c>
      <c r="AM6682">
        <v>103.055212638695</v>
      </c>
      <c r="AN6682">
        <v>1.0000000679715699</v>
      </c>
    </row>
    <row r="6683" spans="1:40" x14ac:dyDescent="0.25">
      <c r="A6683" t="str">
        <f>"20190312151153825"</f>
        <v>20190312151153825</v>
      </c>
      <c r="B6683" t="str">
        <f>"1552374713817940"</f>
        <v>1552374713817940</v>
      </c>
      <c r="C6683" t="s">
        <v>40</v>
      </c>
      <c r="D6683">
        <v>5.2700100000000001</v>
      </c>
      <c r="E6683">
        <v>0.4016689</v>
      </c>
      <c r="F6683" t="s">
        <v>85</v>
      </c>
      <c r="G6683">
        <v>-201.9375</v>
      </c>
      <c r="H6683" s="1">
        <v>-5.8962249999999996E-6</v>
      </c>
      <c r="I6683">
        <v>-54.48554</v>
      </c>
      <c r="J6683">
        <v>-205.29259999999999</v>
      </c>
      <c r="K6683">
        <v>1.116557</v>
      </c>
      <c r="L6683">
        <v>-58.937159999999999</v>
      </c>
      <c r="M6683">
        <v>0.90868499999999996</v>
      </c>
      <c r="N6683">
        <v>0</v>
      </c>
      <c r="O6683">
        <v>0.41731489999999999</v>
      </c>
      <c r="P6683">
        <v>0.79087079999999998</v>
      </c>
      <c r="Q6683">
        <v>4.3237959999999999E-2</v>
      </c>
      <c r="R6683">
        <v>0.61045380000000005</v>
      </c>
      <c r="S6683">
        <v>1.913422</v>
      </c>
      <c r="T6683">
        <v>-0.61497190000000002</v>
      </c>
      <c r="U6683">
        <v>2.483978</v>
      </c>
      <c r="V6683">
        <v>-0.22558449999999999</v>
      </c>
      <c r="W6683">
        <v>5.0911169999999999E-2</v>
      </c>
      <c r="X6683">
        <v>0.97289250000000005</v>
      </c>
      <c r="Y6683">
        <v>-0.46405970000000002</v>
      </c>
      <c r="Z6683">
        <v>-3.7592399999999998E-2</v>
      </c>
      <c r="AA6683">
        <v>0.88500590000000001</v>
      </c>
      <c r="AB6683">
        <v>30</v>
      </c>
      <c r="AC6683">
        <v>3.35509999999999</v>
      </c>
      <c r="AD6683">
        <v>-1.116562896225</v>
      </c>
      <c r="AE6683">
        <v>4.4516199999999904</v>
      </c>
      <c r="AF6683">
        <v>-2.54313815123753</v>
      </c>
      <c r="AG6683">
        <v>-1.116562896225</v>
      </c>
      <c r="AH6683">
        <v>4.7175263958169698</v>
      </c>
      <c r="AI6683">
        <v>101.768618254597</v>
      </c>
      <c r="AJ6683">
        <v>118.32835106128501</v>
      </c>
      <c r="AK6683">
        <v>5.4744241389150696</v>
      </c>
      <c r="AL6683">
        <v>87.081743431101202</v>
      </c>
      <c r="AM6683">
        <v>103.05447816580801</v>
      </c>
      <c r="AN6683">
        <v>1.0000000652136301</v>
      </c>
    </row>
    <row r="6684" spans="1:40" x14ac:dyDescent="0.25">
      <c r="A6684" t="str">
        <f>"20190312151153835"</f>
        <v>20190312151153835</v>
      </c>
      <c r="B6684" t="str">
        <f>"1552374713827700"</f>
        <v>1552374713827700</v>
      </c>
      <c r="C6684" t="s">
        <v>40</v>
      </c>
      <c r="D6684">
        <v>5.2682449999999896</v>
      </c>
      <c r="E6684">
        <v>0.40232879999999999</v>
      </c>
      <c r="F6684" t="s">
        <v>85</v>
      </c>
      <c r="G6684">
        <v>-201.8006</v>
      </c>
      <c r="H6684" s="1">
        <v>-5.9660909999999999E-6</v>
      </c>
      <c r="I6684">
        <v>-54.36983</v>
      </c>
      <c r="J6684">
        <v>-205.1671</v>
      </c>
      <c r="K6684">
        <v>1.1165830000000001</v>
      </c>
      <c r="L6684">
        <v>-58.875459999999997</v>
      </c>
      <c r="M6684">
        <v>0.90694350000000001</v>
      </c>
      <c r="N6684">
        <v>0</v>
      </c>
      <c r="O6684">
        <v>0.42108590000000001</v>
      </c>
      <c r="P6684">
        <v>0.78835279999999996</v>
      </c>
      <c r="Q6684">
        <v>4.3396299999999999E-2</v>
      </c>
      <c r="R6684">
        <v>0.61369099999999999</v>
      </c>
      <c r="S6684">
        <v>1.9041600000000001</v>
      </c>
      <c r="T6684">
        <v>-0.60886309999999999</v>
      </c>
      <c r="U6684">
        <v>2.49057</v>
      </c>
      <c r="V6684">
        <v>-0.22553899999999999</v>
      </c>
      <c r="W6684">
        <v>5.107594E-2</v>
      </c>
      <c r="X6684">
        <v>0.97289440000000005</v>
      </c>
      <c r="Y6684">
        <v>-0.46367249999999999</v>
      </c>
      <c r="Z6684">
        <v>-3.8077369999999999E-2</v>
      </c>
      <c r="AA6684">
        <v>0.88518809999999903</v>
      </c>
      <c r="AB6684">
        <v>30</v>
      </c>
      <c r="AC6684">
        <v>3.3664999999999998</v>
      </c>
      <c r="AD6684">
        <v>-1.116588966091</v>
      </c>
      <c r="AE6684">
        <v>4.5056299999999796</v>
      </c>
      <c r="AF6684">
        <v>-2.5677520776323202</v>
      </c>
      <c r="AG6684">
        <v>-1.116588966091</v>
      </c>
      <c r="AH6684">
        <v>4.7631044120829102</v>
      </c>
      <c r="AI6684">
        <v>101.659323418268</v>
      </c>
      <c r="AJ6684">
        <v>118.328757375086</v>
      </c>
      <c r="AK6684">
        <v>5.5251502506072203</v>
      </c>
      <c r="AL6684">
        <v>87.072290471496601</v>
      </c>
      <c r="AM6684">
        <v>103.051910642221</v>
      </c>
      <c r="AN6684">
        <v>1.00000005285962</v>
      </c>
    </row>
    <row r="6685" spans="1:40" x14ac:dyDescent="0.25">
      <c r="A6685" t="str">
        <f>"20190312151153846"</f>
        <v>20190312151153846</v>
      </c>
      <c r="B6685" t="str">
        <f>"1552374713837460"</f>
        <v>1552374713837460</v>
      </c>
      <c r="C6685" t="s">
        <v>40</v>
      </c>
      <c r="D6685">
        <v>5.2653460000000001</v>
      </c>
      <c r="E6685">
        <v>0.40271489999999999</v>
      </c>
      <c r="F6685" t="s">
        <v>85</v>
      </c>
      <c r="G6685">
        <v>-201.6944</v>
      </c>
      <c r="H6685" s="1">
        <v>-6.0157730000000004E-6</v>
      </c>
      <c r="I6685">
        <v>-54.309220000000003</v>
      </c>
      <c r="J6685">
        <v>-205.05</v>
      </c>
      <c r="K6685">
        <v>1.1166049999999901</v>
      </c>
      <c r="L6685">
        <v>-58.816890000000001</v>
      </c>
      <c r="M6685">
        <v>0.90529689999999996</v>
      </c>
      <c r="N6685">
        <v>0</v>
      </c>
      <c r="O6685">
        <v>0.42461399999999999</v>
      </c>
      <c r="P6685">
        <v>0.78599669999999999</v>
      </c>
      <c r="Q6685">
        <v>4.3620489999999998E-2</v>
      </c>
      <c r="R6685">
        <v>0.61668990000000001</v>
      </c>
      <c r="S6685">
        <v>1.897125</v>
      </c>
      <c r="T6685">
        <v>-0.60997840000000003</v>
      </c>
      <c r="U6685">
        <v>2.4944760000000001</v>
      </c>
      <c r="V6685">
        <v>-0.22546759999999999</v>
      </c>
      <c r="W6685">
        <v>5.1306909999999997E-2</v>
      </c>
      <c r="X6685">
        <v>0.97289870000000001</v>
      </c>
      <c r="Y6685">
        <v>-0.46253749999999999</v>
      </c>
      <c r="Z6685">
        <v>-3.9033640000000001E-2</v>
      </c>
      <c r="AA6685">
        <v>0.88573999999999997</v>
      </c>
      <c r="AB6685">
        <v>30</v>
      </c>
      <c r="AC6685">
        <v>3.3555999999999999</v>
      </c>
      <c r="AD6685">
        <v>-1.11661101577299</v>
      </c>
      <c r="AE6685">
        <v>4.5076700000000001</v>
      </c>
      <c r="AF6685">
        <v>-2.55524433188191</v>
      </c>
      <c r="AG6685">
        <v>-1.11661101577299</v>
      </c>
      <c r="AH6685">
        <v>4.7640844308240702</v>
      </c>
      <c r="AI6685">
        <v>101.67016226818799</v>
      </c>
      <c r="AJ6685">
        <v>118.20714234451999</v>
      </c>
      <c r="AK6685">
        <v>5.5201987482499701</v>
      </c>
      <c r="AL6685">
        <v>87.059039215981898</v>
      </c>
      <c r="AM6685">
        <v>103.04786444057601</v>
      </c>
      <c r="AN6685">
        <v>0.99999995906259798</v>
      </c>
    </row>
    <row r="6686" spans="1:40" x14ac:dyDescent="0.25">
      <c r="A6686" t="str">
        <f>"20190312151153856"</f>
        <v>20190312151153856</v>
      </c>
      <c r="B6686" t="str">
        <f>"1552374713848195"</f>
        <v>1552374713848195</v>
      </c>
      <c r="C6686" t="s">
        <v>40</v>
      </c>
      <c r="D6686">
        <v>5.2699850000000001</v>
      </c>
      <c r="E6686">
        <v>0.40310240000000003</v>
      </c>
      <c r="F6686" t="s">
        <v>85</v>
      </c>
      <c r="G6686">
        <v>-201.57640000000001</v>
      </c>
      <c r="H6686" s="1">
        <v>-6.0740840000000004E-6</v>
      </c>
      <c r="I6686">
        <v>-54.221760000000003</v>
      </c>
      <c r="J6686">
        <v>-204.91370000000001</v>
      </c>
      <c r="K6686">
        <v>1.116633</v>
      </c>
      <c r="L6686">
        <v>-58.7485</v>
      </c>
      <c r="M6686">
        <v>0.90336349999999999</v>
      </c>
      <c r="N6686">
        <v>0</v>
      </c>
      <c r="O6686">
        <v>0.42871189999999998</v>
      </c>
      <c r="P6686">
        <v>0.78318809999999905</v>
      </c>
      <c r="Q6686">
        <v>4.3557760000000001E-2</v>
      </c>
      <c r="R6686">
        <v>0.62025730000000001</v>
      </c>
      <c r="S6686">
        <v>1.889435</v>
      </c>
      <c r="T6686">
        <v>-0.60737730000000001</v>
      </c>
      <c r="U6686">
        <v>2.4995120000000002</v>
      </c>
      <c r="V6686">
        <v>-0.2254813</v>
      </c>
      <c r="W6686">
        <v>5.1249759999999998E-2</v>
      </c>
      <c r="X6686">
        <v>0.97289859999999995</v>
      </c>
      <c r="Y6686">
        <v>-0.4612018</v>
      </c>
      <c r="Z6686">
        <v>-3.9891650000000001E-2</v>
      </c>
      <c r="AA6686">
        <v>0.88639809999999997</v>
      </c>
      <c r="AB6686">
        <v>30</v>
      </c>
      <c r="AC6686">
        <v>3.3372999999999902</v>
      </c>
      <c r="AD6686">
        <v>-1.116639074084</v>
      </c>
      <c r="AE6686">
        <v>4.5267400000000002</v>
      </c>
      <c r="AF6686">
        <v>-2.5579001742793501</v>
      </c>
      <c r="AG6686">
        <v>-1.116639074084</v>
      </c>
      <c r="AH6686">
        <v>4.7678512453431603</v>
      </c>
      <c r="AI6686">
        <v>101.660850211162</v>
      </c>
      <c r="AJ6686">
        <v>118.213072650847</v>
      </c>
      <c r="AK6686">
        <v>5.5246847530940499</v>
      </c>
      <c r="AL6686">
        <v>87.062318163266298</v>
      </c>
      <c r="AM6686">
        <v>103.048631428151</v>
      </c>
      <c r="AN6686">
        <v>1.0000000202158501</v>
      </c>
    </row>
    <row r="6687" spans="1:40" x14ac:dyDescent="0.25">
      <c r="A6687" t="str">
        <f>"20190312151153869"</f>
        <v>20190312151153869</v>
      </c>
      <c r="B6687" t="str">
        <f>"1552374713857956"</f>
        <v>1552374713857956</v>
      </c>
      <c r="C6687" t="s">
        <v>40</v>
      </c>
      <c r="D6687">
        <v>5.2574920000000001</v>
      </c>
      <c r="E6687">
        <v>0.40371360000000001</v>
      </c>
      <c r="F6687" t="s">
        <v>85</v>
      </c>
      <c r="G6687">
        <v>-201.46010000000001</v>
      </c>
      <c r="H6687" s="1">
        <v>-6.1300730000000003E-6</v>
      </c>
      <c r="I6687">
        <v>-54.145009999999999</v>
      </c>
      <c r="J6687">
        <v>-204.77629999999999</v>
      </c>
      <c r="K6687">
        <v>1.1166609999999999</v>
      </c>
      <c r="L6687">
        <v>-58.678220000000003</v>
      </c>
      <c r="M6687">
        <v>0.90138680000000004</v>
      </c>
      <c r="N6687">
        <v>0</v>
      </c>
      <c r="O6687">
        <v>0.43285220000000002</v>
      </c>
      <c r="P6687">
        <v>0.78032800000000002</v>
      </c>
      <c r="Q6687">
        <v>4.364254E-2</v>
      </c>
      <c r="R6687">
        <v>0.62384580000000001</v>
      </c>
      <c r="S6687">
        <v>1.8798220000000001</v>
      </c>
      <c r="T6687">
        <v>-0.60780059999999902</v>
      </c>
      <c r="U6687">
        <v>2.5057369999999999</v>
      </c>
      <c r="V6687">
        <v>-0.2254872</v>
      </c>
      <c r="W6687">
        <v>5.1340719999999999E-2</v>
      </c>
      <c r="X6687">
        <v>0.97289239999999999</v>
      </c>
      <c r="Y6687">
        <v>-0.46043430000000002</v>
      </c>
      <c r="Z6687">
        <v>-4.0893939999999997E-2</v>
      </c>
      <c r="AA6687">
        <v>0.88675139999999997</v>
      </c>
      <c r="AB6687">
        <v>30</v>
      </c>
      <c r="AC6687">
        <v>3.3161999999999798</v>
      </c>
      <c r="AD6687">
        <v>-1.116667130073</v>
      </c>
      <c r="AE6687">
        <v>4.5332099999999897</v>
      </c>
      <c r="AF6687">
        <v>-2.5501400440877702</v>
      </c>
      <c r="AG6687">
        <v>-1.116667130073</v>
      </c>
      <c r="AH6687">
        <v>4.7634553447016499</v>
      </c>
      <c r="AI6687">
        <v>101.676961942112</v>
      </c>
      <c r="AJ6687">
        <v>118.16259641332</v>
      </c>
      <c r="AK6687">
        <v>5.5173060948992303</v>
      </c>
      <c r="AL6687">
        <v>87.057099563898902</v>
      </c>
      <c r="AM6687">
        <v>103.049041489293</v>
      </c>
      <c r="AN6687">
        <v>0.99999998443585902</v>
      </c>
    </row>
    <row r="6688" spans="1:40" x14ac:dyDescent="0.25">
      <c r="A6688" t="str">
        <f>"20190312151153880"</f>
        <v>20190312151153880</v>
      </c>
      <c r="B6688" t="str">
        <f>"1552374713867716"</f>
        <v>1552374713867716</v>
      </c>
      <c r="C6688" t="s">
        <v>40</v>
      </c>
      <c r="D6688">
        <v>5.2446599999999997</v>
      </c>
      <c r="E6688">
        <v>0.40403119999999998</v>
      </c>
      <c r="F6688" t="s">
        <v>85</v>
      </c>
      <c r="G6688">
        <v>-201.32660000000001</v>
      </c>
      <c r="H6688" s="1">
        <v>-6.1953949999999997E-6</v>
      </c>
      <c r="I6688">
        <v>-54.050289999999997</v>
      </c>
      <c r="J6688">
        <v>-204.65010000000001</v>
      </c>
      <c r="K6688">
        <v>1.1166849999999999</v>
      </c>
      <c r="L6688">
        <v>-58.613370000000003</v>
      </c>
      <c r="M6688">
        <v>0.89955260000000004</v>
      </c>
      <c r="N6688">
        <v>0</v>
      </c>
      <c r="O6688">
        <v>0.43665110000000001</v>
      </c>
      <c r="P6688">
        <v>0.77773000000000003</v>
      </c>
      <c r="Q6688">
        <v>4.3646919999999999E-2</v>
      </c>
      <c r="R6688">
        <v>0.62708140000000001</v>
      </c>
      <c r="S6688">
        <v>1.8713379999999999</v>
      </c>
      <c r="T6688">
        <v>-0.60575519999999905</v>
      </c>
      <c r="U6688">
        <v>2.5104980000000001</v>
      </c>
      <c r="V6688">
        <v>-0.2254244</v>
      </c>
      <c r="W6688">
        <v>5.1352139999999998E-2</v>
      </c>
      <c r="X6688">
        <v>0.97290639999999995</v>
      </c>
      <c r="Y6688">
        <v>-0.4594953</v>
      </c>
      <c r="Z6688">
        <v>-4.1682789999999997E-2</v>
      </c>
      <c r="AA6688">
        <v>0.88720149999999998</v>
      </c>
      <c r="AB6688">
        <v>30</v>
      </c>
      <c r="AC6688">
        <v>3.3234999999999899</v>
      </c>
      <c r="AD6688">
        <v>-1.1166911953949901</v>
      </c>
      <c r="AE6688">
        <v>4.5630799999999896</v>
      </c>
      <c r="AF6688">
        <v>-2.5537759188915499</v>
      </c>
      <c r="AG6688">
        <v>-1.1166911953949901</v>
      </c>
      <c r="AH6688">
        <v>4.7948607090369899</v>
      </c>
      <c r="AI6688">
        <v>101.61570036829499</v>
      </c>
      <c r="AJ6688">
        <v>118.04007302310301</v>
      </c>
      <c r="AK6688">
        <v>5.54612115706552</v>
      </c>
      <c r="AL6688">
        <v>87.056444524264705</v>
      </c>
      <c r="AM6688">
        <v>103.045350247985</v>
      </c>
      <c r="AN6688">
        <v>1.0000000327794401</v>
      </c>
    </row>
    <row r="6689" spans="1:40" x14ac:dyDescent="0.25">
      <c r="A6689" t="str">
        <f>"20190312151153892"</f>
        <v>20190312151153892</v>
      </c>
      <c r="B6689" t="str">
        <f>"1552374713888212"</f>
        <v>1552374713888212</v>
      </c>
      <c r="C6689" t="s">
        <v>40</v>
      </c>
      <c r="D6689">
        <v>5.2491300000000001</v>
      </c>
      <c r="E6689">
        <v>0.40455600000000003</v>
      </c>
      <c r="F6689" t="s">
        <v>85</v>
      </c>
      <c r="G6689">
        <v>-201.20679999999999</v>
      </c>
      <c r="H6689" s="1">
        <v>-6.2547090000000001E-6</v>
      </c>
      <c r="I6689">
        <v>-53.960999999999999</v>
      </c>
      <c r="J6689">
        <v>-204.50880000000001</v>
      </c>
      <c r="K6689">
        <v>1.116709</v>
      </c>
      <c r="L6689">
        <v>-58.539700000000003</v>
      </c>
      <c r="M6689">
        <v>0.89747489999999996</v>
      </c>
      <c r="N6689">
        <v>0</v>
      </c>
      <c r="O6689">
        <v>0.44090560000000001</v>
      </c>
      <c r="P6689">
        <v>0.77481529999999998</v>
      </c>
      <c r="Q6689">
        <v>4.3872479999999998E-2</v>
      </c>
      <c r="R6689">
        <v>0.63066359999999999</v>
      </c>
      <c r="S6689">
        <v>1.8623810000000001</v>
      </c>
      <c r="T6689">
        <v>-0.60398499999999999</v>
      </c>
      <c r="U6689">
        <v>2.516327</v>
      </c>
      <c r="V6689">
        <v>-0.22531780000000001</v>
      </c>
      <c r="W6689">
        <v>5.1585480000000003E-2</v>
      </c>
      <c r="X6689">
        <v>0.97291870000000003</v>
      </c>
      <c r="Y6689">
        <v>-0.45839469999999999</v>
      </c>
      <c r="Z6689">
        <v>-4.2591049999999998E-2</v>
      </c>
      <c r="AA6689">
        <v>0.88772759999999995</v>
      </c>
      <c r="AB6689">
        <v>30</v>
      </c>
      <c r="AC6689">
        <v>3.30200000000002</v>
      </c>
      <c r="AD6689">
        <v>-1.116715254709</v>
      </c>
      <c r="AE6689">
        <v>4.5786999999999898</v>
      </c>
      <c r="AF6689">
        <v>-2.5536550638533901</v>
      </c>
      <c r="AG6689">
        <v>-1.116715254709</v>
      </c>
      <c r="AH6689">
        <v>4.7949510546107001</v>
      </c>
      <c r="AI6689">
        <v>101.61589613239001</v>
      </c>
      <c r="AJ6689">
        <v>118.03850008901399</v>
      </c>
      <c r="AK6689">
        <v>5.5461484618928303</v>
      </c>
      <c r="AL6689">
        <v>87.043057242131795</v>
      </c>
      <c r="AM6689">
        <v>103.039232928121</v>
      </c>
      <c r="AN6689">
        <v>0.99999998477667995</v>
      </c>
    </row>
    <row r="6690" spans="1:40" x14ac:dyDescent="0.25">
      <c r="A6690" t="str">
        <f>"20190312151153905"</f>
        <v>20190312151153905</v>
      </c>
      <c r="B6690" t="str">
        <f>"1552374713897972"</f>
        <v>1552374713897972</v>
      </c>
      <c r="C6690" t="s">
        <v>40</v>
      </c>
      <c r="D6690">
        <v>5.228542</v>
      </c>
      <c r="E6690">
        <v>0.40503139999999999</v>
      </c>
      <c r="F6690" t="s">
        <v>85</v>
      </c>
      <c r="G6690">
        <v>-201.0702</v>
      </c>
      <c r="H6690" s="1">
        <v>-6.3222049999999997E-6</v>
      </c>
      <c r="I6690">
        <v>-53.859760000000001</v>
      </c>
      <c r="J6690">
        <v>-204.35769999999999</v>
      </c>
      <c r="K6690">
        <v>1.116736</v>
      </c>
      <c r="L6690">
        <v>-58.460050000000003</v>
      </c>
      <c r="M6690">
        <v>0.89522429999999997</v>
      </c>
      <c r="N6690">
        <v>0</v>
      </c>
      <c r="O6690">
        <v>0.44545709999999999</v>
      </c>
      <c r="P6690">
        <v>0.77174140000000002</v>
      </c>
      <c r="Q6690">
        <v>4.378452E-2</v>
      </c>
      <c r="R6690">
        <v>0.63442739999999997</v>
      </c>
      <c r="S6690">
        <v>1.853119</v>
      </c>
      <c r="T6690">
        <v>-0.60180840000000002</v>
      </c>
      <c r="U6690">
        <v>2.5220639999999999</v>
      </c>
      <c r="V6690">
        <v>-0.22510949999999999</v>
      </c>
      <c r="W6690">
        <v>5.150834E-2</v>
      </c>
      <c r="X6690">
        <v>0.97297100000000003</v>
      </c>
      <c r="Y6690">
        <v>-0.45705119999999999</v>
      </c>
      <c r="Z6690">
        <v>-4.3556299999999999E-2</v>
      </c>
      <c r="AA6690">
        <v>0.88837330000000003</v>
      </c>
      <c r="AB6690">
        <v>30</v>
      </c>
      <c r="AC6690">
        <v>3.2874999999999899</v>
      </c>
      <c r="AD6690">
        <v>-1.1167423222049999</v>
      </c>
      <c r="AE6690">
        <v>4.6002900000000002</v>
      </c>
      <c r="AF6690">
        <v>-2.5543957891875801</v>
      </c>
      <c r="AG6690">
        <v>-1.1167423222049999</v>
      </c>
      <c r="AH6690">
        <v>4.8051916130008498</v>
      </c>
      <c r="AI6690">
        <v>101.596673163104</v>
      </c>
      <c r="AJ6690">
        <v>117.994702008931</v>
      </c>
      <c r="AK6690">
        <v>5.5553503669594697</v>
      </c>
      <c r="AL6690">
        <v>87.047482912444593</v>
      </c>
      <c r="AM6690">
        <v>103.026913510082</v>
      </c>
      <c r="AN6690">
        <v>0.99999998146040203</v>
      </c>
    </row>
    <row r="6691" spans="1:40" x14ac:dyDescent="0.25">
      <c r="A6691" t="str">
        <f>"20190312151153919"</f>
        <v>20190312151153919</v>
      </c>
      <c r="B6691" t="str">
        <f>"1552374713907733"</f>
        <v>1552374713907733</v>
      </c>
      <c r="C6691" t="s">
        <v>40</v>
      </c>
      <c r="D6691">
        <v>5.2411539999999999</v>
      </c>
      <c r="E6691">
        <v>0.40546149999999997</v>
      </c>
      <c r="F6691" t="s">
        <v>85</v>
      </c>
      <c r="G6691">
        <v>-200.9349</v>
      </c>
      <c r="H6691" s="1">
        <v>-6.3884429999999998E-6</v>
      </c>
      <c r="I6691">
        <v>-53.763590000000001</v>
      </c>
      <c r="J6691">
        <v>-204.19239999999999</v>
      </c>
      <c r="K6691">
        <v>1.11676</v>
      </c>
      <c r="L6691">
        <v>-58.372010000000003</v>
      </c>
      <c r="M6691">
        <v>0.89273040000000004</v>
      </c>
      <c r="N6691">
        <v>0</v>
      </c>
      <c r="O6691">
        <v>0.4504341</v>
      </c>
      <c r="P6691">
        <v>0.76835710000000002</v>
      </c>
      <c r="Q6691">
        <v>4.380382E-2</v>
      </c>
      <c r="R6691">
        <v>0.63852069999999905</v>
      </c>
      <c r="S6691">
        <v>1.842819</v>
      </c>
      <c r="T6691">
        <v>-0.60123669999999996</v>
      </c>
      <c r="U6691">
        <v>2.5285030000000002</v>
      </c>
      <c r="V6691">
        <v>-0.22486600000000001</v>
      </c>
      <c r="W6691">
        <v>5.1539290000000001E-2</v>
      </c>
      <c r="X6691">
        <v>0.97302569999999999</v>
      </c>
      <c r="Y6691">
        <v>-0.45563100000000001</v>
      </c>
      <c r="Z6691">
        <v>-4.4729600000000001E-2</v>
      </c>
      <c r="AA6691">
        <v>0.88904419999999995</v>
      </c>
      <c r="AB6691">
        <v>30</v>
      </c>
      <c r="AC6691">
        <v>3.2574999999999901</v>
      </c>
      <c r="AD6691">
        <v>-1.1167663884429999</v>
      </c>
      <c r="AE6691">
        <v>4.60841999999999</v>
      </c>
      <c r="AF6691">
        <v>-2.5472281236177299</v>
      </c>
      <c r="AG6691">
        <v>-1.1167663884429999</v>
      </c>
      <c r="AH6691">
        <v>4.7963899806505497</v>
      </c>
      <c r="AI6691">
        <v>101.62004942911599</v>
      </c>
      <c r="AJ6691">
        <v>117.971517183548</v>
      </c>
      <c r="AK6691">
        <v>5.5444472336374702</v>
      </c>
      <c r="AL6691">
        <v>87.0457073475756</v>
      </c>
      <c r="AM6691">
        <v>103.01259556236499</v>
      </c>
      <c r="AN6691">
        <v>1.00000001461509</v>
      </c>
    </row>
    <row r="6692" spans="1:40" x14ac:dyDescent="0.25">
      <c r="A6692" t="str">
        <f>"20190312151153931"</f>
        <v>20190312151153931</v>
      </c>
      <c r="B6692" t="str">
        <f>"1552374713928228"</f>
        <v>1552374713928228</v>
      </c>
      <c r="C6692" t="s">
        <v>40</v>
      </c>
      <c r="D6692">
        <v>5.2605309999999896</v>
      </c>
      <c r="E6692">
        <v>0.41327209999999998</v>
      </c>
      <c r="F6692" t="s">
        <v>85</v>
      </c>
      <c r="G6692">
        <v>-200.79509999999999</v>
      </c>
      <c r="H6692" s="1">
        <v>-6.4563990000000003E-6</v>
      </c>
      <c r="I6692">
        <v>-53.667209999999997</v>
      </c>
      <c r="J6692">
        <v>-204.05099999999999</v>
      </c>
      <c r="K6692">
        <v>1.116779</v>
      </c>
      <c r="L6692">
        <v>-58.295380000000002</v>
      </c>
      <c r="M6692">
        <v>0.89056619999999997</v>
      </c>
      <c r="N6692">
        <v>0</v>
      </c>
      <c r="O6692">
        <v>0.45469769999999998</v>
      </c>
      <c r="P6692">
        <v>0.76546020000000004</v>
      </c>
      <c r="Q6692">
        <v>4.372156E-2</v>
      </c>
      <c r="R6692">
        <v>0.64199640000000002</v>
      </c>
      <c r="S6692">
        <v>1.8312839999999999</v>
      </c>
      <c r="T6692">
        <v>-0.60197330000000004</v>
      </c>
      <c r="U6692">
        <v>2.536041</v>
      </c>
      <c r="V6692">
        <v>-0.22462090000000001</v>
      </c>
      <c r="W6692">
        <v>5.1467390000000002E-2</v>
      </c>
      <c r="X6692">
        <v>0.97308609999999895</v>
      </c>
      <c r="Y6692">
        <v>-0.45534859999999999</v>
      </c>
      <c r="Z6692">
        <v>-4.5730020000000003E-2</v>
      </c>
      <c r="AA6692">
        <v>0.88913799999999898</v>
      </c>
      <c r="AB6692">
        <v>30</v>
      </c>
      <c r="AC6692">
        <v>3.2558999999999898</v>
      </c>
      <c r="AD6692">
        <v>-1.1167854563990001</v>
      </c>
      <c r="AE6692">
        <v>4.6281699999999999</v>
      </c>
      <c r="AF6692">
        <v>-2.54240245916928</v>
      </c>
      <c r="AG6692">
        <v>-1.1167854563990001</v>
      </c>
      <c r="AH6692">
        <v>4.8167553671841397</v>
      </c>
      <c r="AI6692">
        <v>101.587569648098</v>
      </c>
      <c r="AJ6692">
        <v>117.826199097797</v>
      </c>
      <c r="AK6692">
        <v>5.5598698084857698</v>
      </c>
      <c r="AL6692">
        <v>87.049832344040297</v>
      </c>
      <c r="AM6692">
        <v>102.99811457411001</v>
      </c>
      <c r="AN6692">
        <v>0.99999999948171503</v>
      </c>
    </row>
    <row r="6693" spans="1:40" x14ac:dyDescent="0.25">
      <c r="A6693" t="str">
        <f>"20190312151153946"</f>
        <v>20190312151153946</v>
      </c>
      <c r="B6693" t="str">
        <f>"1552374713937988"</f>
        <v>1552374713937988</v>
      </c>
      <c r="C6693" t="s">
        <v>40</v>
      </c>
      <c r="D6693">
        <v>5.221101</v>
      </c>
      <c r="E6693">
        <v>0.41295300000000001</v>
      </c>
      <c r="F6693" t="s">
        <v>85</v>
      </c>
      <c r="G6693">
        <v>-200.6114</v>
      </c>
      <c r="H6693" s="1">
        <v>-6.5242119999999996E-6</v>
      </c>
      <c r="I6693">
        <v>-53.678049999999999</v>
      </c>
      <c r="J6693">
        <v>-203.8672</v>
      </c>
      <c r="K6693">
        <v>1.116798</v>
      </c>
      <c r="L6693">
        <v>-58.19473</v>
      </c>
      <c r="M6693">
        <v>0.88771719999999898</v>
      </c>
      <c r="N6693">
        <v>0</v>
      </c>
      <c r="O6693">
        <v>0.4602347</v>
      </c>
      <c r="P6693">
        <v>0.76153769999999998</v>
      </c>
      <c r="Q6693">
        <v>4.335427E-2</v>
      </c>
      <c r="R6693">
        <v>0.64666899999999905</v>
      </c>
      <c r="S6693">
        <v>1.8597870000000001</v>
      </c>
      <c r="T6693">
        <v>-0.60385059999999902</v>
      </c>
      <c r="U6693">
        <v>2.496613</v>
      </c>
      <c r="V6693">
        <v>-0.22450110000000001</v>
      </c>
      <c r="W6693">
        <v>5.110928E-2</v>
      </c>
      <c r="X6693">
        <v>0.97313260000000001</v>
      </c>
      <c r="Y6693">
        <v>-0.43686779999999997</v>
      </c>
      <c r="Z6693">
        <v>-4.9128930000000001E-2</v>
      </c>
      <c r="AA6693">
        <v>0.89818299999999995</v>
      </c>
      <c r="AB6693">
        <v>30</v>
      </c>
      <c r="AC6693">
        <v>3.25579999999999</v>
      </c>
      <c r="AD6693">
        <v>-1.1168045242119999</v>
      </c>
      <c r="AE6693">
        <v>4.51668</v>
      </c>
      <c r="AF6693">
        <v>-2.4141520521381401</v>
      </c>
      <c r="AG6693">
        <v>-1.1168045242119999</v>
      </c>
      <c r="AH6693">
        <v>4.7771174682066899</v>
      </c>
      <c r="AI6693">
        <v>101.785787097965</v>
      </c>
      <c r="AJ6693">
        <v>116.810093415094</v>
      </c>
      <c r="AK6693">
        <v>5.4677448533365798</v>
      </c>
      <c r="AL6693">
        <v>87.070377517873297</v>
      </c>
      <c r="AM6693">
        <v>102.990817635631</v>
      </c>
      <c r="AN6693">
        <v>0.999999979793044</v>
      </c>
    </row>
    <row r="6694" spans="1:40" x14ac:dyDescent="0.25">
      <c r="A6694" t="str">
        <f>"20190312151153958"</f>
        <v>20190312151153958</v>
      </c>
      <c r="B6694" t="str">
        <f>"1552374713947748"</f>
        <v>1552374713947748</v>
      </c>
      <c r="C6694" t="s">
        <v>40</v>
      </c>
      <c r="D6694">
        <v>5.2705010000000003</v>
      </c>
      <c r="E6694">
        <v>0.41317169999999998</v>
      </c>
      <c r="F6694" t="s">
        <v>85</v>
      </c>
      <c r="G6694">
        <v>-200.4923</v>
      </c>
      <c r="H6694" s="1">
        <v>-6.581785E-6</v>
      </c>
      <c r="I6694">
        <v>-53.59798</v>
      </c>
      <c r="J6694">
        <v>-203.7321</v>
      </c>
      <c r="K6694">
        <v>1.116811</v>
      </c>
      <c r="L6694">
        <v>-58.120060000000002</v>
      </c>
      <c r="M6694">
        <v>0.88559650000000001</v>
      </c>
      <c r="N6694">
        <v>0</v>
      </c>
      <c r="O6694">
        <v>0.4643022</v>
      </c>
      <c r="P6694">
        <v>0.75861179999999995</v>
      </c>
      <c r="Q6694">
        <v>4.3347370000000003E-2</v>
      </c>
      <c r="R6694">
        <v>0.65009930000000005</v>
      </c>
      <c r="S6694">
        <v>1.8427579999999999</v>
      </c>
      <c r="T6694">
        <v>-0.60980469999999998</v>
      </c>
      <c r="U6694">
        <v>2.5099490000000002</v>
      </c>
      <c r="V6694">
        <v>-0.2244292</v>
      </c>
      <c r="W6694">
        <v>5.110833E-2</v>
      </c>
      <c r="X6694">
        <v>0.97314920000000005</v>
      </c>
      <c r="Y6694">
        <v>-0.43900050000000002</v>
      </c>
      <c r="Z6694">
        <v>-5.0259329999999998E-2</v>
      </c>
      <c r="AA6694">
        <v>0.89708009999999905</v>
      </c>
      <c r="AB6694">
        <v>30</v>
      </c>
      <c r="AC6694">
        <v>3.2397999999999998</v>
      </c>
      <c r="AD6694">
        <v>-1.1168175817849999</v>
      </c>
      <c r="AE6694">
        <v>4.5220799999999803</v>
      </c>
      <c r="AF6694">
        <v>-2.4037836300265498</v>
      </c>
      <c r="AG6694">
        <v>-1.1168175817849999</v>
      </c>
      <c r="AH6694">
        <v>4.7765965899899001</v>
      </c>
      <c r="AI6694">
        <v>101.79691936031701</v>
      </c>
      <c r="AJ6694">
        <v>116.713456977571</v>
      </c>
      <c r="AK6694">
        <v>5.4627220535618397</v>
      </c>
      <c r="AL6694">
        <v>87.070431921989297</v>
      </c>
      <c r="AM6694">
        <v>102.986584167297</v>
      </c>
      <c r="AN6694">
        <v>0.99999994633433298</v>
      </c>
    </row>
    <row r="6695" spans="1:40" x14ac:dyDescent="0.25">
      <c r="A6695" t="str">
        <f>"20190312151153969"</f>
        <v>20190312151153969</v>
      </c>
      <c r="B6695" t="str">
        <f>"1552374713957509"</f>
        <v>1552374713957509</v>
      </c>
      <c r="C6695" t="s">
        <v>40</v>
      </c>
      <c r="D6695">
        <v>5.2545650000000004</v>
      </c>
      <c r="E6695">
        <v>0.41326879999999999</v>
      </c>
      <c r="F6695" t="s">
        <v>85</v>
      </c>
      <c r="G6695">
        <v>-200.35650000000001</v>
      </c>
      <c r="H6695" s="1">
        <v>-6.6509019999999998E-6</v>
      </c>
      <c r="I6695">
        <v>-53.4846</v>
      </c>
      <c r="J6695">
        <v>-203.60570000000001</v>
      </c>
      <c r="K6695">
        <v>1.116822</v>
      </c>
      <c r="L6695">
        <v>-58.04898</v>
      </c>
      <c r="M6695">
        <v>0.88358829999999999</v>
      </c>
      <c r="N6695">
        <v>0</v>
      </c>
      <c r="O6695">
        <v>0.46811249999999999</v>
      </c>
      <c r="P6695">
        <v>0.755772</v>
      </c>
      <c r="Q6695">
        <v>4.3315350000000002E-2</v>
      </c>
      <c r="R6695">
        <v>0.6534008</v>
      </c>
      <c r="S6695">
        <v>1.8326260000000001</v>
      </c>
      <c r="T6695">
        <v>-0.60632410000000003</v>
      </c>
      <c r="U6695">
        <v>2.5166019999999998</v>
      </c>
      <c r="V6695">
        <v>-0.22447919999999999</v>
      </c>
      <c r="W6695">
        <v>5.107975E-2</v>
      </c>
      <c r="X6695">
        <v>0.97313919999999998</v>
      </c>
      <c r="Y6695">
        <v>-0.43867840000000002</v>
      </c>
      <c r="Z6695">
        <v>-5.0841530000000003E-2</v>
      </c>
      <c r="AA6695">
        <v>0.89720480000000002</v>
      </c>
      <c r="AB6695">
        <v>30</v>
      </c>
      <c r="AC6695">
        <v>3.2492000000000001</v>
      </c>
      <c r="AD6695">
        <v>-1.116828650902</v>
      </c>
      <c r="AE6695">
        <v>4.5643799999999999</v>
      </c>
      <c r="AF6695">
        <v>-2.41621303990263</v>
      </c>
      <c r="AG6695">
        <v>-1.116828650902</v>
      </c>
      <c r="AH6695">
        <v>4.8165701153312801</v>
      </c>
      <c r="AI6695">
        <v>101.709125711588</v>
      </c>
      <c r="AJ6695">
        <v>116.640447698342</v>
      </c>
      <c r="AK6695">
        <v>5.5031572179589299</v>
      </c>
      <c r="AL6695">
        <v>87.072071667943106</v>
      </c>
      <c r="AM6695">
        <v>102.98950825671299</v>
      </c>
      <c r="AN6695">
        <v>0.99999997733467005</v>
      </c>
    </row>
    <row r="6696" spans="1:40" x14ac:dyDescent="0.25">
      <c r="A6696" t="str">
        <f>"20190312151153981"</f>
        <v>20190312151153981</v>
      </c>
      <c r="B6696" t="str">
        <f>"1552374713978004"</f>
        <v>1552374713978004</v>
      </c>
      <c r="C6696" t="s">
        <v>40</v>
      </c>
      <c r="D6696">
        <v>5.2527699999999999</v>
      </c>
      <c r="E6696">
        <v>0.41368290000000002</v>
      </c>
      <c r="F6696" t="s">
        <v>85</v>
      </c>
      <c r="G6696">
        <v>-200.22819999999999</v>
      </c>
      <c r="H6696" s="1">
        <v>-6.7171480000000001E-6</v>
      </c>
      <c r="I6696">
        <v>-53.371229999999997</v>
      </c>
      <c r="J6696">
        <v>-203.47829999999999</v>
      </c>
      <c r="K6696">
        <v>1.1168340000000001</v>
      </c>
      <c r="L6696">
        <v>-57.976959999999998</v>
      </c>
      <c r="M6696">
        <v>0.88154330000000003</v>
      </c>
      <c r="N6696">
        <v>0</v>
      </c>
      <c r="O6696">
        <v>0.47195229999999999</v>
      </c>
      <c r="P6696">
        <v>0.75289640000000002</v>
      </c>
      <c r="Q6696">
        <v>4.2996319999999998E-2</v>
      </c>
      <c r="R6696">
        <v>0.65673309999999996</v>
      </c>
      <c r="S6696">
        <v>1.8221590000000001</v>
      </c>
      <c r="T6696">
        <v>-0.60253069999999997</v>
      </c>
      <c r="U6696">
        <v>2.5236510000000001</v>
      </c>
      <c r="V6696">
        <v>-0.2245306</v>
      </c>
      <c r="W6696">
        <v>5.0763540000000003E-2</v>
      </c>
      <c r="X6696">
        <v>0.97314389999999995</v>
      </c>
      <c r="Y6696">
        <v>-0.4384613</v>
      </c>
      <c r="Z6696">
        <v>-5.1382089999999998E-2</v>
      </c>
      <c r="AA6696">
        <v>0.89728009999999903</v>
      </c>
      <c r="AB6696">
        <v>30</v>
      </c>
      <c r="AC6696">
        <v>3.2501000000000002</v>
      </c>
      <c r="AD6696">
        <v>-1.1168407171479999</v>
      </c>
      <c r="AE6696">
        <v>4.6057299999999897</v>
      </c>
      <c r="AF6696">
        <v>-2.4310111204235301</v>
      </c>
      <c r="AG6696">
        <v>-1.1168407171479999</v>
      </c>
      <c r="AH6696">
        <v>4.8488120567456301</v>
      </c>
      <c r="AI6696">
        <v>101.63480468830799</v>
      </c>
      <c r="AJ6696">
        <v>116.62745617827601</v>
      </c>
      <c r="AK6696">
        <v>5.5378810583782299</v>
      </c>
      <c r="AL6696">
        <v>87.090212735267599</v>
      </c>
      <c r="AM6696">
        <v>102.992320998246</v>
      </c>
      <c r="AN6696">
        <v>0.99999998871844997</v>
      </c>
    </row>
    <row r="6697" spans="1:40" x14ac:dyDescent="0.25">
      <c r="A6697" t="str">
        <f>"20190312151153994"</f>
        <v>20190312151153994</v>
      </c>
      <c r="B6697" t="str">
        <f>"1552374713987765"</f>
        <v>1552374713987765</v>
      </c>
      <c r="C6697" t="s">
        <v>40</v>
      </c>
      <c r="D6697">
        <v>5.1971629999999998</v>
      </c>
      <c r="E6697">
        <v>0.41383740000000002</v>
      </c>
      <c r="F6697" t="s">
        <v>85</v>
      </c>
      <c r="G6697">
        <v>-200.08709999999999</v>
      </c>
      <c r="H6697" s="1">
        <v>-6.7900799999999999E-6</v>
      </c>
      <c r="I6697">
        <v>-53.246369999999999</v>
      </c>
      <c r="J6697">
        <v>-203.31720000000001</v>
      </c>
      <c r="K6697">
        <v>1.1168469999999999</v>
      </c>
      <c r="L6697">
        <v>-57.884770000000003</v>
      </c>
      <c r="M6697">
        <v>0.87892809999999899</v>
      </c>
      <c r="N6697">
        <v>0</v>
      </c>
      <c r="O6697">
        <v>0.47680459999999902</v>
      </c>
      <c r="P6697">
        <v>0.7493109</v>
      </c>
      <c r="Q6697">
        <v>4.2708969999999999E-2</v>
      </c>
      <c r="R6697">
        <v>0.66083970000000003</v>
      </c>
      <c r="S6697">
        <v>1.8128359999999999</v>
      </c>
      <c r="T6697">
        <v>-0.5970316</v>
      </c>
      <c r="U6697">
        <v>2.5288390000000001</v>
      </c>
      <c r="V6697">
        <v>-0.22447439999999999</v>
      </c>
      <c r="W6697">
        <v>5.048209E-2</v>
      </c>
      <c r="X6697">
        <v>0.97317149999999997</v>
      </c>
      <c r="Y6697">
        <v>-0.43665399999999999</v>
      </c>
      <c r="Z6697">
        <v>-5.215202E-2</v>
      </c>
      <c r="AA6697">
        <v>0.89811659999999904</v>
      </c>
      <c r="AB6697">
        <v>30</v>
      </c>
      <c r="AC6697">
        <v>3.2301000000000202</v>
      </c>
      <c r="AD6697">
        <v>-1.11685379008</v>
      </c>
      <c r="AE6697">
        <v>4.6383999999999901</v>
      </c>
      <c r="AF6697">
        <v>-2.4415488928062201</v>
      </c>
      <c r="AG6697">
        <v>-1.11685379008</v>
      </c>
      <c r="AH6697">
        <v>4.8612001070795703</v>
      </c>
      <c r="AI6697">
        <v>101.60206459141</v>
      </c>
      <c r="AJ6697">
        <v>116.668195574896</v>
      </c>
      <c r="AK6697">
        <v>5.55335843120627</v>
      </c>
      <c r="AL6697">
        <v>87.106359318670599</v>
      </c>
      <c r="AM6697">
        <v>102.988823424898</v>
      </c>
      <c r="AN6697">
        <v>0.99999998303918802</v>
      </c>
    </row>
    <row r="6698" spans="1:40" x14ac:dyDescent="0.25">
      <c r="A6698" t="str">
        <f>"20190312151154007"</f>
        <v>20190312151154007</v>
      </c>
      <c r="B6698" t="str">
        <f>"1552374713997524"</f>
        <v>1552374713997524</v>
      </c>
      <c r="C6698" t="s">
        <v>40</v>
      </c>
      <c r="D6698">
        <v>5.2093030000000002</v>
      </c>
      <c r="E6698">
        <v>0.41419289999999997</v>
      </c>
      <c r="F6698" t="s">
        <v>85</v>
      </c>
      <c r="G6698">
        <v>-199.93340000000001</v>
      </c>
      <c r="H6698" s="1">
        <v>-9.8359569999999994E-6</v>
      </c>
      <c r="I6698">
        <v>-53.113759999999999</v>
      </c>
      <c r="J6698">
        <v>-203.178</v>
      </c>
      <c r="K6698">
        <v>1.116859</v>
      </c>
      <c r="L6698">
        <v>-57.80386</v>
      </c>
      <c r="M6698">
        <v>0.87663639999999998</v>
      </c>
      <c r="N6698">
        <v>0</v>
      </c>
      <c r="O6698">
        <v>0.48100480000000001</v>
      </c>
      <c r="P6698">
        <v>0.74615259999999894</v>
      </c>
      <c r="Q6698">
        <v>4.2599619999999998E-2</v>
      </c>
      <c r="R6698">
        <v>0.66441070000000002</v>
      </c>
      <c r="S6698">
        <v>1.7996829999999999</v>
      </c>
      <c r="T6698">
        <v>-0.593997</v>
      </c>
      <c r="U6698">
        <v>2.537445</v>
      </c>
      <c r="V6698">
        <v>-0.2244612</v>
      </c>
      <c r="W6698">
        <v>5.0376850000000001E-2</v>
      </c>
      <c r="X6698">
        <v>0.97318000000000005</v>
      </c>
      <c r="Y6698">
        <v>-0.43693460000000001</v>
      </c>
      <c r="Z6698">
        <v>-5.2766109999999998E-2</v>
      </c>
      <c r="AA6698">
        <v>0.89794430000000003</v>
      </c>
      <c r="AB6698">
        <v>30</v>
      </c>
      <c r="AC6698">
        <v>3.2445999999999899</v>
      </c>
      <c r="AD6698">
        <v>-1.116868835957</v>
      </c>
      <c r="AE6698">
        <v>4.6901000000000002</v>
      </c>
      <c r="AF6698">
        <v>-2.4568020136333502</v>
      </c>
      <c r="AG6698">
        <v>-1.116868835957</v>
      </c>
      <c r="AH6698">
        <v>4.9122620602749096</v>
      </c>
      <c r="AI6698">
        <v>101.49431309321299</v>
      </c>
      <c r="AJ6698">
        <v>116.57131182382901</v>
      </c>
      <c r="AK6698">
        <v>5.6047828396594603</v>
      </c>
      <c r="AL6698">
        <v>87.112396813828397</v>
      </c>
      <c r="AM6698">
        <v>102.987975933603</v>
      </c>
      <c r="AN6698">
        <v>0.99999998486068098</v>
      </c>
    </row>
    <row r="6699" spans="1:40" x14ac:dyDescent="0.25">
      <c r="A6699" t="str">
        <f>"20190312151154018"</f>
        <v>20190312151154018</v>
      </c>
      <c r="B6699" t="str">
        <f>"1552374714008261"</f>
        <v>1552374714008261</v>
      </c>
      <c r="C6699" t="s">
        <v>40</v>
      </c>
      <c r="D6699">
        <v>5.2511919999999996</v>
      </c>
      <c r="E6699">
        <v>0.4143116</v>
      </c>
      <c r="F6699" t="s">
        <v>85</v>
      </c>
      <c r="G6699">
        <v>-199.79599999999999</v>
      </c>
      <c r="H6699" s="1">
        <v>-9.8618829999999997E-6</v>
      </c>
      <c r="I6699">
        <v>-52.995849999999997</v>
      </c>
      <c r="J6699">
        <v>-203.04079999999999</v>
      </c>
      <c r="K6699">
        <v>1.1168709999999999</v>
      </c>
      <c r="L6699">
        <v>-57.723790000000001</v>
      </c>
      <c r="M6699">
        <v>0.87435819999999997</v>
      </c>
      <c r="N6699">
        <v>0</v>
      </c>
      <c r="O6699">
        <v>0.4851338</v>
      </c>
      <c r="P6699">
        <v>0.74290089999999998</v>
      </c>
      <c r="Q6699">
        <v>4.2128430000000001E-2</v>
      </c>
      <c r="R6699">
        <v>0.66807450000000002</v>
      </c>
      <c r="S6699">
        <v>1.789307</v>
      </c>
      <c r="T6699">
        <v>-0.59089899999999995</v>
      </c>
      <c r="U6699">
        <v>2.5437620000000001</v>
      </c>
      <c r="V6699">
        <v>-0.22464010000000001</v>
      </c>
      <c r="W6699">
        <v>4.9905369999999998E-2</v>
      </c>
      <c r="X6699">
        <v>0.973163</v>
      </c>
      <c r="Y6699">
        <v>-0.43625389999999997</v>
      </c>
      <c r="Z6699">
        <v>-5.3447910000000001E-2</v>
      </c>
      <c r="AA6699">
        <v>0.89823489999999995</v>
      </c>
      <c r="AB6699">
        <v>30</v>
      </c>
      <c r="AC6699">
        <v>3.2447999999999899</v>
      </c>
      <c r="AD6699">
        <v>-1.116880861883</v>
      </c>
      <c r="AE6699">
        <v>4.7279400000000003</v>
      </c>
      <c r="AF6699">
        <v>-2.4663692868778102</v>
      </c>
      <c r="AG6699">
        <v>-1.116880861883</v>
      </c>
      <c r="AH6699">
        <v>4.9436254527690897</v>
      </c>
      <c r="AI6699">
        <v>101.428938418653</v>
      </c>
      <c r="AJ6699">
        <v>116.514558119306</v>
      </c>
      <c r="AK6699">
        <v>5.6364734485457397</v>
      </c>
      <c r="AL6699">
        <v>87.139444615601604</v>
      </c>
      <c r="AM6699">
        <v>102.998195563892</v>
      </c>
      <c r="AN6699">
        <v>0.99999997252592299</v>
      </c>
    </row>
    <row r="6700" spans="1:40" x14ac:dyDescent="0.25">
      <c r="A6700" t="str">
        <f>"20190312151154030"</f>
        <v>20190312151154030</v>
      </c>
      <c r="B6700" t="str">
        <f>"1552374714027781"</f>
        <v>1552374714027781</v>
      </c>
      <c r="C6700" t="s">
        <v>40</v>
      </c>
      <c r="D6700">
        <v>5.2274820000000002</v>
      </c>
      <c r="E6700">
        <v>0.41447679999999998</v>
      </c>
      <c r="F6700" t="s">
        <v>85</v>
      </c>
      <c r="G6700">
        <v>-199.68180000000001</v>
      </c>
      <c r="H6700" s="1">
        <v>-9.8820520000000002E-6</v>
      </c>
      <c r="I6700">
        <v>-52.901809999999998</v>
      </c>
      <c r="J6700">
        <v>-202.904</v>
      </c>
      <c r="K6700">
        <v>1.116881</v>
      </c>
      <c r="L6700">
        <v>-57.64255</v>
      </c>
      <c r="M6700">
        <v>0.87205509999999997</v>
      </c>
      <c r="N6700">
        <v>0</v>
      </c>
      <c r="O6700">
        <v>0.48926150000000002</v>
      </c>
      <c r="P6700">
        <v>0.73965009999999998</v>
      </c>
      <c r="Q6700">
        <v>4.1786499999999997E-2</v>
      </c>
      <c r="R6700">
        <v>0.67169309999999904</v>
      </c>
      <c r="S6700">
        <v>1.7773129999999999</v>
      </c>
      <c r="T6700">
        <v>-0.59095379999999997</v>
      </c>
      <c r="U6700">
        <v>2.551361</v>
      </c>
      <c r="V6700">
        <v>-0.22477569999999999</v>
      </c>
      <c r="W6700">
        <v>4.9564379999999998E-2</v>
      </c>
      <c r="X6700">
        <v>0.97314909999999999</v>
      </c>
      <c r="Y6700">
        <v>-0.43615280000000001</v>
      </c>
      <c r="Z6700">
        <v>-5.4346360000000003E-2</v>
      </c>
      <c r="AA6700">
        <v>0.89823009999999903</v>
      </c>
      <c r="AB6700">
        <v>30</v>
      </c>
      <c r="AC6700">
        <v>3.2222000000000102</v>
      </c>
      <c r="AD6700">
        <v>-1.116890882052</v>
      </c>
      <c r="AE6700">
        <v>4.7407399999999997</v>
      </c>
      <c r="AF6700">
        <v>-2.4643118404400499</v>
      </c>
      <c r="AG6700">
        <v>-1.116890882052</v>
      </c>
      <c r="AH6700">
        <v>4.9421331170831202</v>
      </c>
      <c r="AI6700">
        <v>101.433579689745</v>
      </c>
      <c r="AJ6700">
        <v>116.50236919340701</v>
      </c>
      <c r="AK6700">
        <v>5.6342663973505598</v>
      </c>
      <c r="AL6700">
        <v>87.159006068038394</v>
      </c>
      <c r="AM6700">
        <v>103.005954465494</v>
      </c>
      <c r="AN6700">
        <v>0.999999956953041</v>
      </c>
    </row>
    <row r="6701" spans="1:40" x14ac:dyDescent="0.25">
      <c r="A6701" t="str">
        <f>"20190312151154049"</f>
        <v>20190312151154049</v>
      </c>
      <c r="B6701" t="str">
        <f>"1552374714037540"</f>
        <v>1552374714037540</v>
      </c>
      <c r="C6701" t="s">
        <v>40</v>
      </c>
      <c r="D6701">
        <v>5.4169720000000003</v>
      </c>
      <c r="E6701">
        <v>0.41447679999999998</v>
      </c>
      <c r="F6701" t="s">
        <v>85</v>
      </c>
      <c r="G6701">
        <v>-199.54830000000001</v>
      </c>
      <c r="H6701" s="1">
        <v>-9.9102509999999999E-6</v>
      </c>
      <c r="I6701">
        <v>-52.778709999999997</v>
      </c>
      <c r="J6701">
        <v>-202.6977</v>
      </c>
      <c r="K6701">
        <v>1.1168910000000001</v>
      </c>
      <c r="L6701">
        <v>-57.518709999999999</v>
      </c>
      <c r="M6701">
        <v>0.86853639999999999</v>
      </c>
      <c r="N6701">
        <v>0</v>
      </c>
      <c r="O6701">
        <v>0.4954809</v>
      </c>
      <c r="P6701">
        <v>0.73462119999999997</v>
      </c>
      <c r="Q6701">
        <v>4.1380060000000003E-2</v>
      </c>
      <c r="R6701">
        <v>0.67721439999999999</v>
      </c>
      <c r="S6701">
        <v>1.765396</v>
      </c>
      <c r="T6701">
        <v>-0.58758959999999905</v>
      </c>
      <c r="U6701">
        <v>2.5588380000000002</v>
      </c>
      <c r="V6701">
        <v>-0.22509299999999999</v>
      </c>
      <c r="W6701">
        <v>4.9156699999999998E-2</v>
      </c>
      <c r="X6701">
        <v>0.97309650000000003</v>
      </c>
      <c r="Y6701">
        <v>-0.43388910000000003</v>
      </c>
      <c r="Z6701">
        <v>-5.5579160000000002E-2</v>
      </c>
      <c r="AA6701">
        <v>0.89925029999999995</v>
      </c>
      <c r="AB6701">
        <v>30</v>
      </c>
      <c r="AC6701">
        <v>3.14939999999998</v>
      </c>
      <c r="AD6701">
        <v>-1.1169009102509999</v>
      </c>
      <c r="AE6701">
        <v>4.74</v>
      </c>
      <c r="AF6701">
        <v>-2.4617552930352802</v>
      </c>
      <c r="AG6701">
        <v>-1.1169009102509999</v>
      </c>
      <c r="AH6701">
        <v>4.8957363631075603</v>
      </c>
      <c r="AI6701">
        <v>101.520260313205</v>
      </c>
      <c r="AJ6701">
        <v>116.694922507895</v>
      </c>
      <c r="AK6701">
        <v>5.5924897231162003</v>
      </c>
      <c r="AL6701">
        <v>87.182393095704995</v>
      </c>
      <c r="AM6701">
        <v>103.024368554628</v>
      </c>
      <c r="AN6701">
        <v>1.00000001905807</v>
      </c>
    </row>
    <row r="6702" spans="1:40" x14ac:dyDescent="0.25">
      <c r="A6702" t="str">
        <f>"20190312151154061"</f>
        <v>20190312151154061</v>
      </c>
      <c r="B6702" t="str">
        <f>"1552374714058037"</f>
        <v>1552374714058037</v>
      </c>
      <c r="C6702" t="s">
        <v>40</v>
      </c>
      <c r="D6702">
        <v>5.2567059999999897</v>
      </c>
      <c r="E6702">
        <v>0.41491489999999998</v>
      </c>
      <c r="F6702" t="s">
        <v>85</v>
      </c>
      <c r="G6702">
        <v>-199.38470000000001</v>
      </c>
      <c r="H6702" s="1">
        <v>-9.9410619999999998E-6</v>
      </c>
      <c r="I6702">
        <v>-52.638500000000001</v>
      </c>
      <c r="J6702">
        <v>-202.55760000000001</v>
      </c>
      <c r="K6702">
        <v>1.1168979999999999</v>
      </c>
      <c r="L6702">
        <v>-57.43356</v>
      </c>
      <c r="M6702">
        <v>0.86611469999999902</v>
      </c>
      <c r="N6702">
        <v>0</v>
      </c>
      <c r="O6702">
        <v>0.49970179999999997</v>
      </c>
      <c r="P6702">
        <v>0.73108169999999995</v>
      </c>
      <c r="Q6702">
        <v>4.1392270000000002E-2</v>
      </c>
      <c r="R6702">
        <v>0.68103329999999995</v>
      </c>
      <c r="S6702">
        <v>1.7459560000000001</v>
      </c>
      <c r="T6702">
        <v>-0.58861359999999996</v>
      </c>
      <c r="U6702">
        <v>2.5718990000000002</v>
      </c>
      <c r="V6702">
        <v>-0.22542880000000001</v>
      </c>
      <c r="W6702">
        <v>4.9165269999999997E-2</v>
      </c>
      <c r="X6702">
        <v>0.9730183</v>
      </c>
      <c r="Y6702">
        <v>-0.43630000000000002</v>
      </c>
      <c r="Z6702">
        <v>-5.6340670000000002E-2</v>
      </c>
      <c r="AA6702">
        <v>0.89803559999999905</v>
      </c>
      <c r="AB6702">
        <v>30</v>
      </c>
      <c r="AC6702">
        <v>3.1728999999999901</v>
      </c>
      <c r="AD6702">
        <v>-1.116907941062</v>
      </c>
      <c r="AE6702">
        <v>4.7950599999999897</v>
      </c>
      <c r="AF6702">
        <v>-2.4743837815185001</v>
      </c>
      <c r="AG6702">
        <v>-1.116907941062</v>
      </c>
      <c r="AH6702">
        <v>4.95749799864236</v>
      </c>
      <c r="AI6702">
        <v>101.39708606432799</v>
      </c>
      <c r="AJ6702">
        <v>116.524676514291</v>
      </c>
      <c r="AK6702">
        <v>5.65215400122751</v>
      </c>
      <c r="AL6702">
        <v>87.181901394184294</v>
      </c>
      <c r="AM6702">
        <v>103.044147193334</v>
      </c>
      <c r="AN6702">
        <v>0.99999998988925098</v>
      </c>
    </row>
    <row r="6703" spans="1:40" x14ac:dyDescent="0.25">
      <c r="A6703" t="str">
        <f>"20190312151154073"</f>
        <v>20190312151154073</v>
      </c>
      <c r="B6703" t="str">
        <f>"1552374714067796"</f>
        <v>1552374714067796</v>
      </c>
      <c r="C6703" t="s">
        <v>40</v>
      </c>
      <c r="D6703">
        <v>5.2222759999999999</v>
      </c>
      <c r="E6703">
        <v>0.41529850000000001</v>
      </c>
      <c r="F6703" t="s">
        <v>85</v>
      </c>
      <c r="G6703">
        <v>-199.28550000000001</v>
      </c>
      <c r="H6703" s="1">
        <v>-9.9540050000000003E-6</v>
      </c>
      <c r="I6703">
        <v>-52.569819999999901</v>
      </c>
      <c r="J6703">
        <v>-202.4194</v>
      </c>
      <c r="K6703">
        <v>1.116906</v>
      </c>
      <c r="L6703">
        <v>-57.34854</v>
      </c>
      <c r="M6703">
        <v>0.86369819999999997</v>
      </c>
      <c r="N6703">
        <v>0</v>
      </c>
      <c r="O6703">
        <v>0.50386699999999995</v>
      </c>
      <c r="P6703">
        <v>0.7277441</v>
      </c>
      <c r="Q6703">
        <v>4.1409330000000001E-2</v>
      </c>
      <c r="R6703">
        <v>0.68459759999999903</v>
      </c>
      <c r="S6703">
        <v>1.7348479999999999</v>
      </c>
      <c r="T6703">
        <v>-0.59217350000000002</v>
      </c>
      <c r="U6703">
        <v>2.5787049999999998</v>
      </c>
      <c r="V6703">
        <v>-0.2254987</v>
      </c>
      <c r="W6703">
        <v>4.9184329999999998E-2</v>
      </c>
      <c r="X6703">
        <v>0.97300120000000001</v>
      </c>
      <c r="Y6703">
        <v>-0.4357915</v>
      </c>
      <c r="Z6703">
        <v>-5.7619400000000001E-2</v>
      </c>
      <c r="AA6703">
        <v>0.89820140000000004</v>
      </c>
      <c r="AB6703">
        <v>30</v>
      </c>
      <c r="AC6703">
        <v>3.1338999999999801</v>
      </c>
      <c r="AD6703">
        <v>-1.116915954005</v>
      </c>
      <c r="AE6703">
        <v>4.7787199999999999</v>
      </c>
      <c r="AF6703">
        <v>-2.4547168338826202</v>
      </c>
      <c r="AG6703">
        <v>-1.116915954005</v>
      </c>
      <c r="AH6703">
        <v>4.92675042258624</v>
      </c>
      <c r="AI6703">
        <v>101.470326160775</v>
      </c>
      <c r="AJ6703">
        <v>116.484440292762</v>
      </c>
      <c r="AK6703">
        <v>5.6165830991191896</v>
      </c>
      <c r="AL6703">
        <v>87.180808179510507</v>
      </c>
      <c r="AM6703">
        <v>103.048274954356</v>
      </c>
      <c r="AN6703">
        <v>1.00000004861033</v>
      </c>
    </row>
    <row r="6704" spans="1:40" x14ac:dyDescent="0.25">
      <c r="A6704" t="str">
        <f>"20190312151154086"</f>
        <v>20190312151154086</v>
      </c>
      <c r="B6704" t="str">
        <f>"1552374714077556"</f>
        <v>1552374714077556</v>
      </c>
      <c r="C6704" t="s">
        <v>40</v>
      </c>
      <c r="D6704">
        <v>5.1594379999999997</v>
      </c>
      <c r="E6704">
        <v>0.41574450000000002</v>
      </c>
      <c r="F6704" t="s">
        <v>85</v>
      </c>
      <c r="G6704">
        <v>-199.15549999999999</v>
      </c>
      <c r="H6704" s="1">
        <v>-9.9792549999999997E-6</v>
      </c>
      <c r="I6704">
        <v>-52.456229999999998</v>
      </c>
      <c r="J6704">
        <v>-202.28030000000001</v>
      </c>
      <c r="K6704">
        <v>1.116911</v>
      </c>
      <c r="L6704">
        <v>-57.26193</v>
      </c>
      <c r="M6704">
        <v>0.86123689999999997</v>
      </c>
      <c r="N6704">
        <v>0</v>
      </c>
      <c r="O6704">
        <v>0.50806249999999997</v>
      </c>
      <c r="P6704">
        <v>0.72408680000000003</v>
      </c>
      <c r="Q6704">
        <v>4.1439539999999997E-2</v>
      </c>
      <c r="R6704">
        <v>0.68846289999999999</v>
      </c>
      <c r="S6704">
        <v>1.72442599999999</v>
      </c>
      <c r="T6704">
        <v>-0.59009100000000003</v>
      </c>
      <c r="U6704">
        <v>2.5847169999999999</v>
      </c>
      <c r="V6704">
        <v>-0.22594839999999999</v>
      </c>
      <c r="W6704">
        <v>4.920861E-2</v>
      </c>
      <c r="X6704">
        <v>0.97289559999999997</v>
      </c>
      <c r="Y6704">
        <v>-0.43494500000000003</v>
      </c>
      <c r="Z6704">
        <v>-5.8406899999999998E-2</v>
      </c>
      <c r="AA6704">
        <v>0.89856080000000005</v>
      </c>
      <c r="AB6704">
        <v>30</v>
      </c>
      <c r="AC6704">
        <v>3.12480000000002</v>
      </c>
      <c r="AD6704">
        <v>-1.1169209792549999</v>
      </c>
      <c r="AE6704">
        <v>4.8056999999999999</v>
      </c>
      <c r="AF6704">
        <v>-2.4581121384579201</v>
      </c>
      <c r="AG6704">
        <v>-1.1169209792549999</v>
      </c>
      <c r="AH6704">
        <v>4.9454027558241798</v>
      </c>
      <c r="AI6704">
        <v>101.433549132312</v>
      </c>
      <c r="AJ6704">
        <v>116.429670844144</v>
      </c>
      <c r="AK6704">
        <v>5.63443308385569</v>
      </c>
      <c r="AL6704">
        <v>87.179415235822901</v>
      </c>
      <c r="AM6704">
        <v>103.074773716986</v>
      </c>
      <c r="AN6704">
        <v>1.0000000076300199</v>
      </c>
    </row>
    <row r="6705" spans="1:40" x14ac:dyDescent="0.25">
      <c r="A6705" t="str">
        <f>"20190312151154100"</f>
        <v>20190312151154100</v>
      </c>
      <c r="B6705" t="str">
        <f>"1552374714098052"</f>
        <v>1552374714098052</v>
      </c>
      <c r="C6705" t="s">
        <v>40</v>
      </c>
      <c r="D6705">
        <v>5.209689</v>
      </c>
      <c r="E6705">
        <v>0.41631170000000001</v>
      </c>
      <c r="F6705" t="s">
        <v>85</v>
      </c>
      <c r="G6705">
        <v>-199.0395</v>
      </c>
      <c r="H6705" s="1">
        <v>-1.0000480000000001E-5</v>
      </c>
      <c r="I6705">
        <v>-52.358600000000003</v>
      </c>
      <c r="J6705">
        <v>-202.12209999999999</v>
      </c>
      <c r="K6705">
        <v>1.1169169999999999</v>
      </c>
      <c r="L6705">
        <v>-57.16263</v>
      </c>
      <c r="M6705">
        <v>0.8584098</v>
      </c>
      <c r="N6705">
        <v>0</v>
      </c>
      <c r="O6705">
        <v>0.51282450000000002</v>
      </c>
      <c r="P6705">
        <v>0.72012169999999998</v>
      </c>
      <c r="Q6705">
        <v>4.1229500000000002E-2</v>
      </c>
      <c r="R6705">
        <v>0.69262170000000001</v>
      </c>
      <c r="S6705">
        <v>1.7128599999999901</v>
      </c>
      <c r="T6705">
        <v>-0.59033199999999997</v>
      </c>
      <c r="U6705">
        <v>2.591583</v>
      </c>
      <c r="V6705">
        <v>-0.22615389999999999</v>
      </c>
      <c r="W6705">
        <v>4.8998100000000003E-2</v>
      </c>
      <c r="X6705">
        <v>0.97285840000000001</v>
      </c>
      <c r="Y6705">
        <v>-0.43391750000000001</v>
      </c>
      <c r="Z6705">
        <v>-5.9552609999999999E-2</v>
      </c>
      <c r="AA6705">
        <v>0.89898230000000001</v>
      </c>
      <c r="AB6705">
        <v>30</v>
      </c>
      <c r="AC6705">
        <v>3.0825999999999798</v>
      </c>
      <c r="AD6705">
        <v>-1.1169270004799901</v>
      </c>
      <c r="AE6705">
        <v>4.80403</v>
      </c>
      <c r="AF6705">
        <v>-2.4493895760031901</v>
      </c>
      <c r="AG6705">
        <v>-1.1169270004799901</v>
      </c>
      <c r="AH6705">
        <v>4.9216752484275803</v>
      </c>
      <c r="AI6705">
        <v>101.484487021894</v>
      </c>
      <c r="AJ6705">
        <v>116.458333865276</v>
      </c>
      <c r="AK6705">
        <v>5.6098059209226703</v>
      </c>
      <c r="AL6705">
        <v>87.191490928698101</v>
      </c>
      <c r="AM6705">
        <v>103.08673930353</v>
      </c>
      <c r="AN6705">
        <v>0.99999993336968696</v>
      </c>
    </row>
    <row r="6706" spans="1:40" x14ac:dyDescent="0.25">
      <c r="A6706" t="str">
        <f>"20190312151154115"</f>
        <v>20190312151154115</v>
      </c>
      <c r="B6706" t="str">
        <f>"1552374714107812"</f>
        <v>1552374714107812</v>
      </c>
      <c r="C6706" t="s">
        <v>40</v>
      </c>
      <c r="D6706">
        <v>5.1751800000000001</v>
      </c>
      <c r="E6706">
        <v>0.41659420000000003</v>
      </c>
      <c r="F6706" t="s">
        <v>85</v>
      </c>
      <c r="G6706">
        <v>-198.88200000000001</v>
      </c>
      <c r="H6706" s="1">
        <v>-1.003384E-5</v>
      </c>
      <c r="I6706">
        <v>-52.213099999999997</v>
      </c>
      <c r="J6706">
        <v>-201.94139999999999</v>
      </c>
      <c r="K6706">
        <v>1.116922</v>
      </c>
      <c r="L6706">
        <v>-57.047519999999999</v>
      </c>
      <c r="M6706">
        <v>0.85513619999999901</v>
      </c>
      <c r="N6706">
        <v>0</v>
      </c>
      <c r="O6706">
        <v>0.51826479999999997</v>
      </c>
      <c r="P6706">
        <v>0.7156399</v>
      </c>
      <c r="Q6706">
        <v>4.1008500000000003E-2</v>
      </c>
      <c r="R6706">
        <v>0.69726449999999995</v>
      </c>
      <c r="S6706">
        <v>1.7007289999999999</v>
      </c>
      <c r="T6706">
        <v>-0.58627819999999997</v>
      </c>
      <c r="U6706">
        <v>2.5980219999999998</v>
      </c>
      <c r="V6706">
        <v>-0.22625799999999999</v>
      </c>
      <c r="W6706">
        <v>4.8779500000000003E-2</v>
      </c>
      <c r="X6706">
        <v>0.97284530000000002</v>
      </c>
      <c r="Y6706">
        <v>-0.43223660000000003</v>
      </c>
      <c r="Z6706">
        <v>-6.0484589999999998E-2</v>
      </c>
      <c r="AA6706">
        <v>0.89972949999999996</v>
      </c>
      <c r="AB6706">
        <v>30</v>
      </c>
      <c r="AC6706">
        <v>3.0593999999999801</v>
      </c>
      <c r="AD6706">
        <v>-1.1169320338399999</v>
      </c>
      <c r="AE6706">
        <v>4.8344199999999997</v>
      </c>
      <c r="AF6706">
        <v>-2.4551164800677099</v>
      </c>
      <c r="AG6706">
        <v>-1.1169320338399999</v>
      </c>
      <c r="AH6706">
        <v>4.9340248906708002</v>
      </c>
      <c r="AI6706">
        <v>101.45693108934999</v>
      </c>
      <c r="AJ6706">
        <v>116.454432243315</v>
      </c>
      <c r="AK6706">
        <v>5.6231428685991096</v>
      </c>
      <c r="AL6706">
        <v>87.2040311080073</v>
      </c>
      <c r="AM6706">
        <v>103.092725962741</v>
      </c>
      <c r="AN6706">
        <v>1.0000000499581601</v>
      </c>
    </row>
    <row r="6707" spans="1:40" x14ac:dyDescent="0.25">
      <c r="A6707" t="str">
        <f>"20190312151154128"</f>
        <v>20190312151154128</v>
      </c>
      <c r="B6707" t="str">
        <f>"1552374714117573"</f>
        <v>1552374714117573</v>
      </c>
      <c r="C6707" t="s">
        <v>40</v>
      </c>
      <c r="D6707">
        <v>5.2324390000000003</v>
      </c>
      <c r="E6707">
        <v>0.4168384</v>
      </c>
      <c r="F6707" t="s">
        <v>85</v>
      </c>
      <c r="G6707">
        <v>-198.72720000000001</v>
      </c>
      <c r="H6707" s="1">
        <v>-1.0065239999999999E-5</v>
      </c>
      <c r="I6707">
        <v>-52.074039999999997</v>
      </c>
      <c r="J6707">
        <v>-201.8058</v>
      </c>
      <c r="K6707">
        <v>1.1169230000000001</v>
      </c>
      <c r="L6707">
        <v>-56.959780000000002</v>
      </c>
      <c r="M6707">
        <v>0.85264719999999905</v>
      </c>
      <c r="N6707">
        <v>0</v>
      </c>
      <c r="O6707">
        <v>0.52234939999999996</v>
      </c>
      <c r="P6707">
        <v>0.71232390000000001</v>
      </c>
      <c r="Q6707">
        <v>4.1012529999999998E-2</v>
      </c>
      <c r="R6707">
        <v>0.70065159999999904</v>
      </c>
      <c r="S6707">
        <v>1.6851039999999999</v>
      </c>
      <c r="T6707">
        <v>-0.58557680000000001</v>
      </c>
      <c r="U6707">
        <v>2.6074519999999999</v>
      </c>
      <c r="V6707">
        <v>-0.22621939999999999</v>
      </c>
      <c r="W6707">
        <v>4.8788070000000003E-2</v>
      </c>
      <c r="X6707">
        <v>0.97285379999999999</v>
      </c>
      <c r="Y6707">
        <v>-0.43324410000000002</v>
      </c>
      <c r="Z6707">
        <v>-6.1196750000000001E-2</v>
      </c>
      <c r="AA6707">
        <v>0.89919660000000001</v>
      </c>
      <c r="AB6707">
        <v>30</v>
      </c>
      <c r="AC6707">
        <v>3.07859999999999</v>
      </c>
      <c r="AD6707">
        <v>-1.11693306523999</v>
      </c>
      <c r="AE6707">
        <v>4.8857399999999904</v>
      </c>
      <c r="AF6707">
        <v>-2.4656529103074001</v>
      </c>
      <c r="AG6707">
        <v>-1.11693306523999</v>
      </c>
      <c r="AH6707">
        <v>4.9906961822446396</v>
      </c>
      <c r="AI6707">
        <v>101.345782973208</v>
      </c>
      <c r="AJ6707">
        <v>116.29166973057499</v>
      </c>
      <c r="AK6707">
        <v>5.67750227915454</v>
      </c>
      <c r="AL6707">
        <v>87.203539370488201</v>
      </c>
      <c r="AM6707">
        <v>103.090458815243</v>
      </c>
      <c r="AN6707">
        <v>1.0000000044425601</v>
      </c>
    </row>
    <row r="6708" spans="1:40" x14ac:dyDescent="0.25">
      <c r="A6708" t="str">
        <f>"20190312151154141"</f>
        <v>20190312151154141</v>
      </c>
      <c r="B6708" t="str">
        <f>"1552374714138068"</f>
        <v>1552374714138068</v>
      </c>
      <c r="C6708" t="s">
        <v>40</v>
      </c>
      <c r="D6708">
        <v>5.1371000000000002</v>
      </c>
      <c r="E6708">
        <v>0.41770970000000002</v>
      </c>
      <c r="F6708" t="s">
        <v>85</v>
      </c>
      <c r="G6708">
        <v>-198.6003</v>
      </c>
      <c r="H6708" s="1">
        <v>-1.0092770000000001E-5</v>
      </c>
      <c r="I6708">
        <v>-51.954929999999997</v>
      </c>
      <c r="J6708">
        <v>-201.6559</v>
      </c>
      <c r="K6708">
        <v>1.116922</v>
      </c>
      <c r="L6708">
        <v>-56.862119999999997</v>
      </c>
      <c r="M6708">
        <v>0.84987060000000003</v>
      </c>
      <c r="N6708">
        <v>0</v>
      </c>
      <c r="O6708">
        <v>0.52685490000000001</v>
      </c>
      <c r="P6708">
        <v>0.70863980000000004</v>
      </c>
      <c r="Q6708">
        <v>4.0917809999999999E-2</v>
      </c>
      <c r="R6708">
        <v>0.70438299999999998</v>
      </c>
      <c r="S6708">
        <v>1.674118</v>
      </c>
      <c r="T6708">
        <v>-0.58334259999999905</v>
      </c>
      <c r="U6708">
        <v>2.6138919999999999</v>
      </c>
      <c r="V6708">
        <v>-0.22617490000000001</v>
      </c>
      <c r="W6708">
        <v>4.8698060000000001E-2</v>
      </c>
      <c r="X6708">
        <v>0.97286859999999997</v>
      </c>
      <c r="Y6708">
        <v>-0.4322223</v>
      </c>
      <c r="Z6708">
        <v>-6.2024299999999997E-2</v>
      </c>
      <c r="AA6708">
        <v>0.89963150000000003</v>
      </c>
      <c r="AB6708">
        <v>30</v>
      </c>
      <c r="AC6708">
        <v>3.0555999999999899</v>
      </c>
      <c r="AD6708">
        <v>-1.1169320927699999</v>
      </c>
      <c r="AE6708">
        <v>4.9071899999999999</v>
      </c>
      <c r="AF6708">
        <v>-2.46864306395987</v>
      </c>
      <c r="AG6708">
        <v>-1.1169320927699999</v>
      </c>
      <c r="AH6708">
        <v>4.9960992426055197</v>
      </c>
      <c r="AI6708">
        <v>101.33353964377901</v>
      </c>
      <c r="AJ6708">
        <v>116.29462656601601</v>
      </c>
      <c r="AK6708">
        <v>5.6835502565790899</v>
      </c>
      <c r="AL6708">
        <v>87.208702547913603</v>
      </c>
      <c r="AM6708">
        <v>103.087780173447</v>
      </c>
      <c r="AN6708">
        <v>0.99999994965186501</v>
      </c>
    </row>
    <row r="6709" spans="1:40" x14ac:dyDescent="0.25">
      <c r="A6709" t="str">
        <f>"20190312151154154"</f>
        <v>20190312151154154</v>
      </c>
      <c r="B6709" t="str">
        <f>"1552374714147832"</f>
        <v>1552374714147832</v>
      </c>
      <c r="C6709" t="s">
        <v>40</v>
      </c>
      <c r="D6709">
        <v>5.2137279999999997</v>
      </c>
      <c r="E6709">
        <v>0.4178714</v>
      </c>
      <c r="F6709" t="s">
        <v>85</v>
      </c>
      <c r="G6709">
        <v>-198.45179999999999</v>
      </c>
      <c r="H6709" s="1">
        <v>-1.012233E-5</v>
      </c>
      <c r="I6709">
        <v>-51.825429999999997</v>
      </c>
      <c r="J6709">
        <v>-201.5094</v>
      </c>
      <c r="K6709">
        <v>1.1169199999999999</v>
      </c>
      <c r="L6709">
        <v>-56.765529999999998</v>
      </c>
      <c r="M6709">
        <v>0.84712670000000001</v>
      </c>
      <c r="N6709">
        <v>0</v>
      </c>
      <c r="O6709">
        <v>0.53125549999999999</v>
      </c>
      <c r="P6709">
        <v>0.70500890000000005</v>
      </c>
      <c r="Q6709">
        <v>4.0611889999999998E-2</v>
      </c>
      <c r="R6709">
        <v>0.70803479999999996</v>
      </c>
      <c r="S6709">
        <v>1.665146</v>
      </c>
      <c r="T6709">
        <v>-0.58046629999999999</v>
      </c>
      <c r="U6709">
        <v>2.6175540000000002</v>
      </c>
      <c r="V6709">
        <v>-0.22614020000000001</v>
      </c>
      <c r="W6709">
        <v>4.8397530000000001E-2</v>
      </c>
      <c r="X6709">
        <v>0.97289170000000003</v>
      </c>
      <c r="Y6709">
        <v>-0.43037799999999998</v>
      </c>
      <c r="Z6709">
        <v>-6.2853839999999994E-2</v>
      </c>
      <c r="AA6709">
        <v>0.90045769999999903</v>
      </c>
      <c r="AB6709">
        <v>30</v>
      </c>
      <c r="AC6709">
        <v>3.0575999999999999</v>
      </c>
      <c r="AD6709">
        <v>-1.1169301223299899</v>
      </c>
      <c r="AE6709">
        <v>4.9401000000000002</v>
      </c>
      <c r="AF6709">
        <v>-2.4694374532135299</v>
      </c>
      <c r="AG6709">
        <v>-1.1169301223299899</v>
      </c>
      <c r="AH6709">
        <v>5.0291281785431101</v>
      </c>
      <c r="AI6709">
        <v>101.27443092243701</v>
      </c>
      <c r="AJ6709">
        <v>116.15228229905</v>
      </c>
      <c r="AK6709">
        <v>5.7129488418607597</v>
      </c>
      <c r="AL6709">
        <v>87.225942076531993</v>
      </c>
      <c r="AM6709">
        <v>103.08554132481299</v>
      </c>
      <c r="AN6709">
        <v>0.99999998544751501</v>
      </c>
    </row>
    <row r="6710" spans="1:40" x14ac:dyDescent="0.25">
      <c r="A6710" t="str">
        <f>"20190312151154172"</f>
        <v>20190312151154172</v>
      </c>
      <c r="B6710" t="str">
        <f>"1552374714157589"</f>
        <v>1552374714157589</v>
      </c>
      <c r="C6710" t="s">
        <v>40</v>
      </c>
      <c r="D6710">
        <v>5.1925949999999998</v>
      </c>
      <c r="E6710">
        <v>0.41811409999999999</v>
      </c>
      <c r="F6710" t="s">
        <v>85</v>
      </c>
      <c r="G6710">
        <v>-198.3484</v>
      </c>
      <c r="H6710" s="1">
        <v>-1.0141470000000001E-5</v>
      </c>
      <c r="I6710">
        <v>-51.744390000000003</v>
      </c>
      <c r="J6710">
        <v>-201.3271</v>
      </c>
      <c r="K6710">
        <v>1.1169180000000001</v>
      </c>
      <c r="L6710">
        <v>-56.643709999999999</v>
      </c>
      <c r="M6710">
        <v>0.84367219999999998</v>
      </c>
      <c r="N6710">
        <v>0</v>
      </c>
      <c r="O6710">
        <v>0.53672439999999999</v>
      </c>
      <c r="P6710">
        <v>0.70101619999999998</v>
      </c>
      <c r="Q6710">
        <v>4.0590290000000001E-2</v>
      </c>
      <c r="R6710">
        <v>0.71198930000000005</v>
      </c>
      <c r="S6710">
        <v>1.6525570000000001</v>
      </c>
      <c r="T6710">
        <v>-0.5839396</v>
      </c>
      <c r="U6710">
        <v>2.625092</v>
      </c>
      <c r="V6710">
        <v>-0.22531709999999999</v>
      </c>
      <c r="W6710">
        <v>4.8398009999999998E-2</v>
      </c>
      <c r="X6710">
        <v>0.97308269999999997</v>
      </c>
      <c r="Y6710">
        <v>-0.42888870000000001</v>
      </c>
      <c r="Z6710">
        <v>-6.4524189999999995E-2</v>
      </c>
      <c r="AA6710">
        <v>0.90105000000000002</v>
      </c>
      <c r="AB6710">
        <v>30</v>
      </c>
      <c r="AC6710">
        <v>2.9786999999999999</v>
      </c>
      <c r="AD6710">
        <v>-1.1169281414700001</v>
      </c>
      <c r="AE6710">
        <v>4.8993199999999897</v>
      </c>
      <c r="AF6710">
        <v>-2.4421892888697001</v>
      </c>
      <c r="AG6710">
        <v>-1.1169281414700001</v>
      </c>
      <c r="AH6710">
        <v>4.9549776174380904</v>
      </c>
      <c r="AI6710">
        <v>101.430561520059</v>
      </c>
      <c r="AJ6710">
        <v>116.237579056035</v>
      </c>
      <c r="AK6710">
        <v>5.63592230120235</v>
      </c>
      <c r="AL6710">
        <v>87.225914727007407</v>
      </c>
      <c r="AM6710">
        <v>103.037071299025</v>
      </c>
      <c r="AN6710">
        <v>1.00000005198182</v>
      </c>
    </row>
    <row r="6711" spans="1:40" x14ac:dyDescent="0.25">
      <c r="A6711" t="str">
        <f>"20190312151154184"</f>
        <v>20190312151154184</v>
      </c>
      <c r="B6711" t="str">
        <f>"1552374714178084"</f>
        <v>1552374714178084</v>
      </c>
      <c r="C6711" t="s">
        <v>40</v>
      </c>
      <c r="D6711">
        <v>5.2163029999999999</v>
      </c>
      <c r="E6711">
        <v>0.4185818</v>
      </c>
      <c r="F6711" t="s">
        <v>85</v>
      </c>
      <c r="G6711">
        <v>-198.1848</v>
      </c>
      <c r="H6711" s="1">
        <v>-1.017989E-5</v>
      </c>
      <c r="I6711">
        <v>-51.59375</v>
      </c>
      <c r="J6711">
        <v>-201.1883</v>
      </c>
      <c r="K6711">
        <v>1.1169150000000001</v>
      </c>
      <c r="L6711">
        <v>-56.549840000000003</v>
      </c>
      <c r="M6711">
        <v>0.84101079999999995</v>
      </c>
      <c r="N6711">
        <v>0</v>
      </c>
      <c r="O6711">
        <v>0.54088510000000001</v>
      </c>
      <c r="P6711">
        <v>0.69784840000000004</v>
      </c>
      <c r="Q6711">
        <v>4.0578570000000001E-2</v>
      </c>
      <c r="R6711">
        <v>0.71509500000000004</v>
      </c>
      <c r="S6711">
        <v>1.638641</v>
      </c>
      <c r="T6711">
        <v>-0.58244259999999903</v>
      </c>
      <c r="U6711">
        <v>2.6333920000000002</v>
      </c>
      <c r="V6711">
        <v>-0.22483030000000001</v>
      </c>
      <c r="W6711">
        <v>4.8399900000000003E-2</v>
      </c>
      <c r="X6711">
        <v>0.97319509999999998</v>
      </c>
      <c r="Y6711">
        <v>-0.42917430000000001</v>
      </c>
      <c r="Z6711">
        <v>-6.5224359999999995E-2</v>
      </c>
      <c r="AA6711">
        <v>0.90086359999999999</v>
      </c>
      <c r="AB6711">
        <v>30</v>
      </c>
      <c r="AC6711">
        <v>3.0034999999999998</v>
      </c>
      <c r="AD6711">
        <v>-1.11692517989</v>
      </c>
      <c r="AE6711">
        <v>4.9560899999999997</v>
      </c>
      <c r="AF6711">
        <v>-2.4526527125480202</v>
      </c>
      <c r="AG6711">
        <v>-1.11692517989</v>
      </c>
      <c r="AH6711">
        <v>5.0205313371770703</v>
      </c>
      <c r="AI6711">
        <v>101.304073514957</v>
      </c>
      <c r="AJ6711">
        <v>116.036643807937</v>
      </c>
      <c r="AK6711">
        <v>5.6981367211939098</v>
      </c>
      <c r="AL6711">
        <v>87.225806051093201</v>
      </c>
      <c r="AM6711">
        <v>103.008412293894</v>
      </c>
      <c r="AN6711">
        <v>0.99999995839105404</v>
      </c>
    </row>
    <row r="6712" spans="1:40" x14ac:dyDescent="0.25">
      <c r="A6712" t="str">
        <f>"20190312151154196"</f>
        <v>20190312151154196</v>
      </c>
      <c r="B6712" t="str">
        <f>"1552374714187844"</f>
        <v>1552374714187844</v>
      </c>
      <c r="C6712" t="s">
        <v>40</v>
      </c>
      <c r="D6712">
        <v>5.1880379999999997</v>
      </c>
      <c r="E6712">
        <v>0.41876649999999999</v>
      </c>
      <c r="F6712" t="s">
        <v>85</v>
      </c>
      <c r="G6712">
        <v>-198.0505</v>
      </c>
      <c r="H6712" s="1">
        <v>-1.0211799999999999E-5</v>
      </c>
      <c r="I6712">
        <v>-51.469090000000001</v>
      </c>
      <c r="J6712">
        <v>-201.0454</v>
      </c>
      <c r="K6712">
        <v>1.116914</v>
      </c>
      <c r="L6712">
        <v>-56.452390000000001</v>
      </c>
      <c r="M6712">
        <v>0.83824339999999997</v>
      </c>
      <c r="N6712">
        <v>0</v>
      </c>
      <c r="O6712">
        <v>0.54516399999999998</v>
      </c>
      <c r="P6712">
        <v>0.69470390000000004</v>
      </c>
      <c r="Q6712">
        <v>4.0420709999999999E-2</v>
      </c>
      <c r="R6712">
        <v>0.71815929999999994</v>
      </c>
      <c r="S6712">
        <v>1.629318</v>
      </c>
      <c r="T6712">
        <v>-0.57995889999999894</v>
      </c>
      <c r="U6712">
        <v>2.638153</v>
      </c>
      <c r="V6712">
        <v>-0.22414500000000001</v>
      </c>
      <c r="W6712">
        <v>4.8260360000000002E-2</v>
      </c>
      <c r="X6712">
        <v>0.97336009999999995</v>
      </c>
      <c r="Y6712">
        <v>-0.42766280000000001</v>
      </c>
      <c r="Z6712">
        <v>-6.6009719999999994E-2</v>
      </c>
      <c r="AA6712">
        <v>0.90152500000000002</v>
      </c>
      <c r="AB6712">
        <v>30</v>
      </c>
      <c r="AC6712">
        <v>2.9948999999999999</v>
      </c>
      <c r="AD6712">
        <v>-1.1169242118</v>
      </c>
      <c r="AE6712">
        <v>4.9832999999999998</v>
      </c>
      <c r="AF6712">
        <v>-2.4541186789785798</v>
      </c>
      <c r="AG6712">
        <v>-1.1169242118</v>
      </c>
      <c r="AH6712">
        <v>5.0414871911005301</v>
      </c>
      <c r="AI6712">
        <v>101.26580135451999</v>
      </c>
      <c r="AJ6712">
        <v>115.956108931684</v>
      </c>
      <c r="AK6712">
        <v>5.7172380817530497</v>
      </c>
      <c r="AL6712">
        <v>87.233810473359995</v>
      </c>
      <c r="AM6712">
        <v>102.967980035246</v>
      </c>
      <c r="AN6712">
        <v>0.99999996382216905</v>
      </c>
    </row>
    <row r="6713" spans="1:40" x14ac:dyDescent="0.25">
      <c r="A6713" t="str">
        <f>"20190312151154209"</f>
        <v>20190312151154209</v>
      </c>
      <c r="B6713" t="str">
        <f>"1552374714197606"</f>
        <v>1552374714197606</v>
      </c>
      <c r="C6713" t="s">
        <v>40</v>
      </c>
      <c r="D6713">
        <v>5.2230239999999997</v>
      </c>
      <c r="E6713">
        <v>0.4190256</v>
      </c>
      <c r="F6713" t="s">
        <v>85</v>
      </c>
      <c r="G6713">
        <v>-197.92789999999999</v>
      </c>
      <c r="H6713" s="1">
        <v>-1.023961E-5</v>
      </c>
      <c r="I6713">
        <v>-51.358939999999997</v>
      </c>
      <c r="J6713">
        <v>-200.91200000000001</v>
      </c>
      <c r="K6713">
        <v>1.1169100000000001</v>
      </c>
      <c r="L6713">
        <v>-56.359949999999998</v>
      </c>
      <c r="M6713">
        <v>0.83563199999999904</v>
      </c>
      <c r="N6713">
        <v>0</v>
      </c>
      <c r="O6713">
        <v>0.54915829999999999</v>
      </c>
      <c r="P6713">
        <v>0.69169150000000001</v>
      </c>
      <c r="Q6713">
        <v>4.0488789999999997E-2</v>
      </c>
      <c r="R6713">
        <v>0.72105719999999995</v>
      </c>
      <c r="S6713">
        <v>1.6184689999999999</v>
      </c>
      <c r="T6713">
        <v>-0.57986899999999997</v>
      </c>
      <c r="U6713">
        <v>2.6443479999999999</v>
      </c>
      <c r="V6713">
        <v>-0.2235713</v>
      </c>
      <c r="W6713">
        <v>4.8342759999999999E-2</v>
      </c>
      <c r="X6713">
        <v>0.97348800000000002</v>
      </c>
      <c r="Y6713">
        <v>-0.4270331</v>
      </c>
      <c r="Z6713">
        <v>-6.6908720000000005E-2</v>
      </c>
      <c r="AA6713">
        <v>0.90175720000000004</v>
      </c>
      <c r="AB6713">
        <v>30</v>
      </c>
      <c r="AC6713">
        <v>2.98410000000001</v>
      </c>
      <c r="AD6713">
        <v>-1.11692023961</v>
      </c>
      <c r="AE6713">
        <v>5.0010099999999902</v>
      </c>
      <c r="AF6713">
        <v>-2.45031293857439</v>
      </c>
      <c r="AG6713">
        <v>-1.11692023961</v>
      </c>
      <c r="AH6713">
        <v>5.0544146827730199</v>
      </c>
      <c r="AI6713">
        <v>101.24628570871</v>
      </c>
      <c r="AJ6713">
        <v>115.86348980318</v>
      </c>
      <c r="AK6713">
        <v>5.72701074767867</v>
      </c>
      <c r="AL6713">
        <v>87.229083932493396</v>
      </c>
      <c r="AM6713">
        <v>102.93426388821599</v>
      </c>
      <c r="AN6713">
        <v>1.0000000173860499</v>
      </c>
    </row>
    <row r="6714" spans="1:40" x14ac:dyDescent="0.25">
      <c r="A6714" t="str">
        <f>"20190312151154221"</f>
        <v>20190312151154221</v>
      </c>
      <c r="B6714" t="str">
        <f>"1552374714218100"</f>
        <v>1552374714218100</v>
      </c>
      <c r="C6714" t="s">
        <v>40</v>
      </c>
      <c r="D6714">
        <v>5.1770610000000001</v>
      </c>
      <c r="E6714">
        <v>0.41957139999999998</v>
      </c>
      <c r="F6714" t="s">
        <v>85</v>
      </c>
      <c r="G6714">
        <v>-197.81659999999999</v>
      </c>
      <c r="H6714" s="1">
        <v>-1.026405E-5</v>
      </c>
      <c r="I6714">
        <v>-51.261110000000002</v>
      </c>
      <c r="J6714">
        <v>-200.786</v>
      </c>
      <c r="K6714">
        <v>1.116908</v>
      </c>
      <c r="L6714">
        <v>-56.272219999999997</v>
      </c>
      <c r="M6714">
        <v>0.83314409999999905</v>
      </c>
      <c r="N6714">
        <v>0</v>
      </c>
      <c r="O6714">
        <v>0.55292549999999996</v>
      </c>
      <c r="P6714">
        <v>0.68871549999999904</v>
      </c>
      <c r="Q6714">
        <v>4.0693229999999997E-2</v>
      </c>
      <c r="R6714">
        <v>0.7238888</v>
      </c>
      <c r="S6714">
        <v>1.6087340000000001</v>
      </c>
      <c r="T6714">
        <v>-0.58047740000000003</v>
      </c>
      <c r="U6714">
        <v>2.6499329999999999</v>
      </c>
      <c r="V6714">
        <v>-0.22317999999999999</v>
      </c>
      <c r="W6714">
        <v>4.8558030000000002E-2</v>
      </c>
      <c r="X6714">
        <v>0.97356710000000002</v>
      </c>
      <c r="Y6714">
        <v>-0.42626839999999999</v>
      </c>
      <c r="Z6714">
        <v>-6.7849770000000004E-2</v>
      </c>
      <c r="AA6714">
        <v>0.90204859999999998</v>
      </c>
      <c r="AB6714">
        <v>30</v>
      </c>
      <c r="AC6714">
        <v>2.9693999999999701</v>
      </c>
      <c r="AD6714">
        <v>-1.1169182640499999</v>
      </c>
      <c r="AE6714">
        <v>5.0111100000000004</v>
      </c>
      <c r="AF6714">
        <v>-2.4434598816335402</v>
      </c>
      <c r="AG6714">
        <v>-1.1169182640499999</v>
      </c>
      <c r="AH6714">
        <v>5.0590719333922003</v>
      </c>
      <c r="AI6714">
        <v>101.243911309746</v>
      </c>
      <c r="AJ6714">
        <v>115.779882695998</v>
      </c>
      <c r="AK6714">
        <v>5.7281944300938203</v>
      </c>
      <c r="AL6714">
        <v>87.216735448879007</v>
      </c>
      <c r="AM6714">
        <v>102.911371459788</v>
      </c>
      <c r="AN6714">
        <v>1.0000000464399399</v>
      </c>
    </row>
    <row r="6715" spans="1:40" x14ac:dyDescent="0.25">
      <c r="A6715" t="str">
        <f>"20190312151154238"</f>
        <v>20190312151154238</v>
      </c>
      <c r="B6715" t="str">
        <f>"1552374714227860"</f>
        <v>1552374714227860</v>
      </c>
      <c r="C6715" t="s">
        <v>40</v>
      </c>
      <c r="D6715">
        <v>5.1997790000000004</v>
      </c>
      <c r="E6715">
        <v>0.4198385</v>
      </c>
      <c r="F6715" t="s">
        <v>85</v>
      </c>
      <c r="G6715">
        <v>-197.69759999999999</v>
      </c>
      <c r="H6715" s="1">
        <v>-1.0290960000000001E-5</v>
      </c>
      <c r="I6715">
        <v>-51.154420000000002</v>
      </c>
      <c r="J6715">
        <v>-200.5968</v>
      </c>
      <c r="K6715">
        <v>1.116905</v>
      </c>
      <c r="L6715">
        <v>-56.13879</v>
      </c>
      <c r="M6715">
        <v>0.82936449999999995</v>
      </c>
      <c r="N6715">
        <v>0</v>
      </c>
      <c r="O6715">
        <v>0.55857880000000004</v>
      </c>
      <c r="P6715">
        <v>0.68419739999999996</v>
      </c>
      <c r="Q6715">
        <v>4.0546060000000002E-2</v>
      </c>
      <c r="R6715">
        <v>0.72816879999999995</v>
      </c>
      <c r="S6715">
        <v>1.601227</v>
      </c>
      <c r="T6715">
        <v>-0.57907869999999995</v>
      </c>
      <c r="U6715">
        <v>2.653381</v>
      </c>
      <c r="V6715">
        <v>-0.22262100000000001</v>
      </c>
      <c r="W6715">
        <v>4.8426110000000001E-2</v>
      </c>
      <c r="X6715">
        <v>0.97370159999999994</v>
      </c>
      <c r="Y6715">
        <v>-0.42260500000000001</v>
      </c>
      <c r="Z6715">
        <v>-6.9231029999999999E-2</v>
      </c>
      <c r="AA6715">
        <v>0.90366590000000002</v>
      </c>
      <c r="AB6715">
        <v>30</v>
      </c>
      <c r="AC6715">
        <v>2.8992</v>
      </c>
      <c r="AD6715">
        <v>-1.11691529096</v>
      </c>
      <c r="AE6715">
        <v>4.9843699999999904</v>
      </c>
      <c r="AF6715">
        <v>-2.4236740311498002</v>
      </c>
      <c r="AG6715">
        <v>-1.11691529096</v>
      </c>
      <c r="AH6715">
        <v>5.0013815387180998</v>
      </c>
      <c r="AI6715">
        <v>101.363209369855</v>
      </c>
      <c r="AJ6715">
        <v>115.854870450985</v>
      </c>
      <c r="AK6715">
        <v>5.6688193543523999</v>
      </c>
      <c r="AL6715">
        <v>87.224302686269795</v>
      </c>
      <c r="AM6715">
        <v>102.878392282601</v>
      </c>
      <c r="AN6715">
        <v>1.0000000018066399</v>
      </c>
    </row>
    <row r="6716" spans="1:40" x14ac:dyDescent="0.25">
      <c r="A6716" t="str">
        <f>"20190312151154249"</f>
        <v>20190312151154249</v>
      </c>
      <c r="B6716" t="str">
        <f>"1552374714237622"</f>
        <v>1552374714237622</v>
      </c>
      <c r="C6716" t="s">
        <v>40</v>
      </c>
      <c r="D6716">
        <v>5.1766589999999999</v>
      </c>
      <c r="E6716">
        <v>0.42006179999999899</v>
      </c>
      <c r="F6716" t="s">
        <v>85</v>
      </c>
      <c r="G6716">
        <v>-197.53980000000001</v>
      </c>
      <c r="H6716" s="1">
        <v>-1.0328399999999999E-5</v>
      </c>
      <c r="I6716">
        <v>-51.008090000000003</v>
      </c>
      <c r="J6716">
        <v>-200.4709</v>
      </c>
      <c r="K6716">
        <v>1.1169039999999999</v>
      </c>
      <c r="L6716">
        <v>-56.048609999999996</v>
      </c>
      <c r="M6716">
        <v>0.82681839999999995</v>
      </c>
      <c r="N6716">
        <v>0</v>
      </c>
      <c r="O6716">
        <v>0.56234059999999997</v>
      </c>
      <c r="P6716">
        <v>0.68116650000000001</v>
      </c>
      <c r="Q6716">
        <v>4.0287770000000001E-2</v>
      </c>
      <c r="R6716">
        <v>0.73101919999999898</v>
      </c>
      <c r="S6716">
        <v>1.586014</v>
      </c>
      <c r="T6716">
        <v>-0.57948140000000004</v>
      </c>
      <c r="U6716">
        <v>2.6619259999999998</v>
      </c>
      <c r="V6716">
        <v>-0.2222499</v>
      </c>
      <c r="W6716">
        <v>4.8177009999999999E-2</v>
      </c>
      <c r="X6716">
        <v>0.97379879999999996</v>
      </c>
      <c r="Y6716">
        <v>-0.42360639999999999</v>
      </c>
      <c r="Z6716">
        <v>-6.9997149999999994E-2</v>
      </c>
      <c r="AA6716">
        <v>0.90313790000000005</v>
      </c>
      <c r="AB6716">
        <v>30</v>
      </c>
      <c r="AC6716">
        <v>2.9310999999999798</v>
      </c>
      <c r="AD6716">
        <v>-1.1169143284</v>
      </c>
      <c r="AE6716">
        <v>5.0405199999999901</v>
      </c>
      <c r="AF6716">
        <v>-2.4303240152669101</v>
      </c>
      <c r="AG6716">
        <v>-1.1169143284</v>
      </c>
      <c r="AH6716">
        <v>5.0722400629821802</v>
      </c>
      <c r="AI6716">
        <v>101.23184811647801</v>
      </c>
      <c r="AJ6716">
        <v>115.601045192611</v>
      </c>
      <c r="AK6716">
        <v>5.7342472646974096</v>
      </c>
      <c r="AL6716">
        <v>87.238591938840997</v>
      </c>
      <c r="AM6716">
        <v>102.856397864794</v>
      </c>
      <c r="AN6716">
        <v>1.00000007261199</v>
      </c>
    </row>
    <row r="6717" spans="1:40" x14ac:dyDescent="0.25">
      <c r="A6717" t="str">
        <f>"20190312151154261"</f>
        <v>20190312151154261</v>
      </c>
      <c r="B6717" t="str">
        <f>"1552374714258117"</f>
        <v>1552374714258117</v>
      </c>
      <c r="C6717" t="s">
        <v>40</v>
      </c>
      <c r="D6717">
        <v>5.169009</v>
      </c>
      <c r="E6717">
        <v>0.42054190000000002</v>
      </c>
      <c r="F6717" t="s">
        <v>85</v>
      </c>
      <c r="G6717">
        <v>-197.43</v>
      </c>
      <c r="H6717" s="1">
        <v>-1.0355980000000001E-5</v>
      </c>
      <c r="I6717">
        <v>-50.902070000000002</v>
      </c>
      <c r="J6717">
        <v>-200.3562</v>
      </c>
      <c r="K6717">
        <v>1.1169039999999999</v>
      </c>
      <c r="L6717">
        <v>-55.966030000000003</v>
      </c>
      <c r="M6717">
        <v>0.82447950000000003</v>
      </c>
      <c r="N6717">
        <v>0</v>
      </c>
      <c r="O6717">
        <v>0.56576419999999905</v>
      </c>
      <c r="P6717">
        <v>0.67823230000000001</v>
      </c>
      <c r="Q6717">
        <v>4.0230549999999997E-2</v>
      </c>
      <c r="R6717">
        <v>0.73374549999999905</v>
      </c>
      <c r="S6717">
        <v>1.5759890000000001</v>
      </c>
      <c r="T6717">
        <v>-0.57884979999999997</v>
      </c>
      <c r="U6717">
        <v>2.6672359999999999</v>
      </c>
      <c r="V6717">
        <v>-0.2221149</v>
      </c>
      <c r="W6717">
        <v>4.812462E-2</v>
      </c>
      <c r="X6717">
        <v>0.97383209999999998</v>
      </c>
      <c r="Y6717">
        <v>-0.42319449999999997</v>
      </c>
      <c r="Z6717">
        <v>-7.0696549999999997E-2</v>
      </c>
      <c r="AA6717">
        <v>0.90327650000000004</v>
      </c>
      <c r="AB6717">
        <v>30</v>
      </c>
      <c r="AC6717">
        <v>2.9261999999999899</v>
      </c>
      <c r="AD6717">
        <v>-1.1169143559799899</v>
      </c>
      <c r="AE6717">
        <v>5.0639599999999998</v>
      </c>
      <c r="AF6717">
        <v>-2.43111185118011</v>
      </c>
      <c r="AG6717">
        <v>-1.1169143559799899</v>
      </c>
      <c r="AH6717">
        <v>5.0922664879131201</v>
      </c>
      <c r="AI6717">
        <v>101.196138222112</v>
      </c>
      <c r="AJ6717">
        <v>115.520394298049</v>
      </c>
      <c r="AK6717">
        <v>5.7523021909028396</v>
      </c>
      <c r="AL6717">
        <v>87.241596904111901</v>
      </c>
      <c r="AM6717">
        <v>102.84842306828</v>
      </c>
      <c r="AN6717">
        <v>0.99999998342128105</v>
      </c>
    </row>
    <row r="6718" spans="1:40" x14ac:dyDescent="0.25">
      <c r="A6718" t="str">
        <f>"20190312151154271"</f>
        <v>20190312151154271</v>
      </c>
      <c r="B6718" t="str">
        <f>"1552374714267876"</f>
        <v>1552374714267876</v>
      </c>
      <c r="C6718" t="s">
        <v>40</v>
      </c>
      <c r="D6718">
        <v>5.1814140000000002</v>
      </c>
      <c r="E6718">
        <v>0.42080909999999999</v>
      </c>
      <c r="F6718" t="s">
        <v>85</v>
      </c>
      <c r="G6718">
        <v>-197.3252</v>
      </c>
      <c r="H6718" s="1">
        <v>-1.038169E-5</v>
      </c>
      <c r="I6718">
        <v>-50.80256</v>
      </c>
      <c r="J6718">
        <v>-200.23159999999999</v>
      </c>
      <c r="K6718">
        <v>1.116908</v>
      </c>
      <c r="L6718">
        <v>-55.875210000000003</v>
      </c>
      <c r="M6718">
        <v>0.82191270000000005</v>
      </c>
      <c r="N6718">
        <v>0</v>
      </c>
      <c r="O6718">
        <v>0.56948669999999901</v>
      </c>
      <c r="P6718">
        <v>0.67515729999999996</v>
      </c>
      <c r="Q6718">
        <v>4.022448E-2</v>
      </c>
      <c r="R6718">
        <v>0.73657629999999996</v>
      </c>
      <c r="S6718">
        <v>1.5679019999999999</v>
      </c>
      <c r="T6718">
        <v>-0.57777009999999995</v>
      </c>
      <c r="U6718">
        <v>2.6710210000000001</v>
      </c>
      <c r="V6718">
        <v>-0.22178429999999999</v>
      </c>
      <c r="W6718">
        <v>4.8126049999999997E-2</v>
      </c>
      <c r="X6718">
        <v>0.97390739999999998</v>
      </c>
      <c r="Y6718">
        <v>-0.42174339999999999</v>
      </c>
      <c r="Z6718">
        <v>-7.1502029999999994E-2</v>
      </c>
      <c r="AA6718">
        <v>0.90389160000000002</v>
      </c>
      <c r="AB6718">
        <v>30</v>
      </c>
      <c r="AC6718">
        <v>2.9063999999999899</v>
      </c>
      <c r="AD6718">
        <v>-1.1169183816899999</v>
      </c>
      <c r="AE6718">
        <v>5.0726499999999897</v>
      </c>
      <c r="AF6718">
        <v>-2.4257622895270599</v>
      </c>
      <c r="AG6718">
        <v>-1.1169183816899999</v>
      </c>
      <c r="AH6718">
        <v>5.0921356123574499</v>
      </c>
      <c r="AI6718">
        <v>101.20086146357001</v>
      </c>
      <c r="AJ6718">
        <v>115.471927674512</v>
      </c>
      <c r="AK6718">
        <v>5.7499282127073199</v>
      </c>
      <c r="AL6718">
        <v>87.241514944214899</v>
      </c>
      <c r="AM6718">
        <v>102.82897342233601</v>
      </c>
      <c r="AN6718">
        <v>1.0000000080949201</v>
      </c>
    </row>
    <row r="6719" spans="1:40" x14ac:dyDescent="0.25">
      <c r="A6719" t="str">
        <f>"20190312151154282"</f>
        <v>20190312151154282</v>
      </c>
      <c r="B6719" t="str">
        <f>"1552374714277637"</f>
        <v>1552374714277637</v>
      </c>
      <c r="C6719" t="s">
        <v>40</v>
      </c>
      <c r="D6719">
        <v>5.1465620000000003</v>
      </c>
      <c r="E6719">
        <v>0.42107739999999999</v>
      </c>
      <c r="F6719" t="s">
        <v>85</v>
      </c>
      <c r="G6719">
        <v>-197.21629999999999</v>
      </c>
      <c r="H6719" s="1">
        <v>-1.0409740000000001E-5</v>
      </c>
      <c r="I6719">
        <v>-50.69547</v>
      </c>
      <c r="J6719">
        <v>-200.1182</v>
      </c>
      <c r="K6719">
        <v>1.116906</v>
      </c>
      <c r="L6719">
        <v>-55.791989999999998</v>
      </c>
      <c r="M6719">
        <v>0.819557599999999</v>
      </c>
      <c r="N6719">
        <v>0</v>
      </c>
      <c r="O6719">
        <v>0.57287080000000001</v>
      </c>
      <c r="P6719">
        <v>0.67212879999999997</v>
      </c>
      <c r="Q6719">
        <v>4.0352150000000003E-2</v>
      </c>
      <c r="R6719">
        <v>0.73933389999999999</v>
      </c>
      <c r="S6719">
        <v>1.557968</v>
      </c>
      <c r="T6719">
        <v>-0.5771096</v>
      </c>
      <c r="U6719">
        <v>2.676361</v>
      </c>
      <c r="V6719">
        <v>-0.2217624</v>
      </c>
      <c r="W6719">
        <v>4.8255600000000003E-2</v>
      </c>
      <c r="X6719">
        <v>0.97390600000000005</v>
      </c>
      <c r="Y6719">
        <v>-0.42133379999999998</v>
      </c>
      <c r="Z6719">
        <v>-7.2183449999999996E-2</v>
      </c>
      <c r="AA6719">
        <v>0.90402839999999995</v>
      </c>
      <c r="AB6719">
        <v>30</v>
      </c>
      <c r="AC6719">
        <v>2.9019000000000101</v>
      </c>
      <c r="AD6719">
        <v>-1.1169164097399999</v>
      </c>
      <c r="AE6719">
        <v>5.0965199999999999</v>
      </c>
      <c r="AF6719">
        <v>-2.42664668836112</v>
      </c>
      <c r="AG6719">
        <v>-1.1169164097399999</v>
      </c>
      <c r="AH6719">
        <v>5.1128641830413901</v>
      </c>
      <c r="AI6719">
        <v>101.163992360526</v>
      </c>
      <c r="AJ6719">
        <v>115.38975992789599</v>
      </c>
      <c r="AK6719">
        <v>5.7686650596743796</v>
      </c>
      <c r="AL6719">
        <v>87.234083705110095</v>
      </c>
      <c r="AM6719">
        <v>102.827766372243</v>
      </c>
      <c r="AN6719">
        <v>1.0000000309105499</v>
      </c>
    </row>
    <row r="6720" spans="1:40" x14ac:dyDescent="0.25">
      <c r="A6720" t="str">
        <f>"20190312151154294"</f>
        <v>20190312151154294</v>
      </c>
      <c r="B6720" t="str">
        <f>"1552374714288372"</f>
        <v>1552374714288372</v>
      </c>
      <c r="C6720" t="s">
        <v>40</v>
      </c>
      <c r="D6720">
        <v>5.1589219999999996</v>
      </c>
      <c r="E6720">
        <v>0.42128979999999999</v>
      </c>
      <c r="F6720" t="s">
        <v>85</v>
      </c>
      <c r="G6720">
        <v>-197.11429999999999</v>
      </c>
      <c r="H6720" s="1">
        <v>-1.043716E-5</v>
      </c>
      <c r="I6720">
        <v>-50.592030000000001</v>
      </c>
      <c r="J6720">
        <v>-199.98820000000001</v>
      </c>
      <c r="K6720">
        <v>1.116906</v>
      </c>
      <c r="L6720">
        <v>-55.695770000000003</v>
      </c>
      <c r="M6720">
        <v>0.81683419999999995</v>
      </c>
      <c r="N6720">
        <v>0</v>
      </c>
      <c r="O6720">
        <v>0.57674729999999996</v>
      </c>
      <c r="P6720">
        <v>0.66874359999999999</v>
      </c>
      <c r="Q6720">
        <v>4.0157060000000001E-2</v>
      </c>
      <c r="R6720">
        <v>0.74240790000000001</v>
      </c>
      <c r="S6720">
        <v>1.5487979999999999</v>
      </c>
      <c r="T6720">
        <v>-0.57588739999999905</v>
      </c>
      <c r="U6720">
        <v>2.6811219999999998</v>
      </c>
      <c r="V6720">
        <v>-0.22160289999999999</v>
      </c>
      <c r="W6720">
        <v>4.8065080000000003E-2</v>
      </c>
      <c r="X6720">
        <v>0.97395169999999998</v>
      </c>
      <c r="Y6720">
        <v>-0.42010130000000001</v>
      </c>
      <c r="Z6720">
        <v>-7.2971930000000004E-2</v>
      </c>
      <c r="AA6720">
        <v>0.90453859999999997</v>
      </c>
      <c r="AB6720">
        <v>30</v>
      </c>
      <c r="AC6720">
        <v>2.8739000000000199</v>
      </c>
      <c r="AD6720">
        <v>-1.11691643716</v>
      </c>
      <c r="AE6720">
        <v>5.1037399999999904</v>
      </c>
      <c r="AF6720">
        <v>-2.4234540589135798</v>
      </c>
      <c r="AG6720">
        <v>-1.11691643716</v>
      </c>
      <c r="AH6720">
        <v>5.1057913192887598</v>
      </c>
      <c r="AI6720">
        <v>101.17893263278999</v>
      </c>
      <c r="AJ6720">
        <v>115.39126434682299</v>
      </c>
      <c r="AK6720">
        <v>5.76105345396026</v>
      </c>
      <c r="AL6720">
        <v>87.245012308270105</v>
      </c>
      <c r="AM6720">
        <v>102.818263452548</v>
      </c>
      <c r="AN6720">
        <v>1.00000000556835</v>
      </c>
    </row>
    <row r="6721" spans="1:40" x14ac:dyDescent="0.25">
      <c r="A6721" t="str">
        <f>"20190312151154307"</f>
        <v>20190312151154307</v>
      </c>
      <c r="B6721" t="str">
        <f>"1552374714298133"</f>
        <v>1552374714298133</v>
      </c>
      <c r="C6721" t="s">
        <v>40</v>
      </c>
      <c r="D6721">
        <v>5.1523649999999996</v>
      </c>
      <c r="E6721">
        <v>0.42153289999999999</v>
      </c>
      <c r="F6721" t="s">
        <v>85</v>
      </c>
      <c r="G6721">
        <v>-197.01339999999999</v>
      </c>
      <c r="H6721" s="1">
        <v>-1.0461440000000001E-5</v>
      </c>
      <c r="I6721">
        <v>-50.497540000000001</v>
      </c>
      <c r="J6721">
        <v>-199.85489999999999</v>
      </c>
      <c r="K6721">
        <v>1.116905</v>
      </c>
      <c r="L6721">
        <v>-55.595829999999999</v>
      </c>
      <c r="M6721">
        <v>0.81400939999999999</v>
      </c>
      <c r="N6721">
        <v>0</v>
      </c>
      <c r="O6721">
        <v>0.58072729999999995</v>
      </c>
      <c r="P6721">
        <v>0.66525959999999995</v>
      </c>
      <c r="Q6721">
        <v>4.0065280000000002E-2</v>
      </c>
      <c r="R6721">
        <v>0.74553639999999999</v>
      </c>
      <c r="S6721">
        <v>1.53772</v>
      </c>
      <c r="T6721">
        <v>-0.57734370000000002</v>
      </c>
      <c r="U6721">
        <v>2.6870120000000002</v>
      </c>
      <c r="V6721">
        <v>-0.2214129</v>
      </c>
      <c r="W6721">
        <v>4.7977440000000003E-2</v>
      </c>
      <c r="X6721">
        <v>0.97399919999999995</v>
      </c>
      <c r="Y6721">
        <v>-0.41939320000000002</v>
      </c>
      <c r="Z6721">
        <v>-7.4067980000000005E-2</v>
      </c>
      <c r="AA6721">
        <v>0.90477810000000003</v>
      </c>
      <c r="AB6721">
        <v>30</v>
      </c>
      <c r="AC6721">
        <v>2.8414999999999901</v>
      </c>
      <c r="AD6721">
        <v>-1.1169154614399901</v>
      </c>
      <c r="AE6721">
        <v>5.0982900000000004</v>
      </c>
      <c r="AF6721">
        <v>-2.4117820821909701</v>
      </c>
      <c r="AG6721">
        <v>-1.1169154614399901</v>
      </c>
      <c r="AH6721">
        <v>5.0877932297924797</v>
      </c>
      <c r="AI6721">
        <v>101.22007152732201</v>
      </c>
      <c r="AJ6721">
        <v>115.362497432401</v>
      </c>
      <c r="AK6721">
        <v>5.7401945009819402</v>
      </c>
      <c r="AL6721">
        <v>87.250039424170495</v>
      </c>
      <c r="AM6721">
        <v>102.807031817192</v>
      </c>
      <c r="AN6721">
        <v>0.99999997431800103</v>
      </c>
    </row>
    <row r="6722" spans="1:40" x14ac:dyDescent="0.25">
      <c r="A6722" t="str">
        <f>"20190312151154321"</f>
        <v>20190312151154321</v>
      </c>
      <c r="B6722" t="str">
        <f>"1552374714317653"</f>
        <v>1552374714317653</v>
      </c>
      <c r="C6722" t="s">
        <v>40</v>
      </c>
      <c r="D6722">
        <v>5.1190870000000004</v>
      </c>
      <c r="E6722">
        <v>0.42206369999999999</v>
      </c>
      <c r="F6722" t="s">
        <v>85</v>
      </c>
      <c r="G6722">
        <v>-196.89879999999999</v>
      </c>
      <c r="H6722" s="1">
        <v>-2.418223E-6</v>
      </c>
      <c r="I6722">
        <v>-50.380870000000002</v>
      </c>
      <c r="J6722">
        <v>-199.70529999999999</v>
      </c>
      <c r="K6722">
        <v>1.116905</v>
      </c>
      <c r="L6722">
        <v>-55.482790000000001</v>
      </c>
      <c r="M6722">
        <v>0.81080730000000001</v>
      </c>
      <c r="N6722">
        <v>0</v>
      </c>
      <c r="O6722">
        <v>0.58518959999999998</v>
      </c>
      <c r="P6722">
        <v>0.66132309999999905</v>
      </c>
      <c r="Q6722">
        <v>3.9909449999999999E-2</v>
      </c>
      <c r="R6722">
        <v>0.7490388</v>
      </c>
      <c r="S6722">
        <v>1.526443</v>
      </c>
      <c r="T6722">
        <v>-0.57674320000000001</v>
      </c>
      <c r="U6722">
        <v>2.6928709999999998</v>
      </c>
      <c r="V6722">
        <v>-0.22119759999999999</v>
      </c>
      <c r="W6722">
        <v>4.7826939999999998E-2</v>
      </c>
      <c r="X6722">
        <v>0.97405549999999996</v>
      </c>
      <c r="Y6722">
        <v>-0.41817720000000003</v>
      </c>
      <c r="Z6722">
        <v>-7.5056280000000003E-2</v>
      </c>
      <c r="AA6722">
        <v>0.90525929999999999</v>
      </c>
      <c r="AB6722">
        <v>30</v>
      </c>
      <c r="AC6722">
        <v>2.8065000000000002</v>
      </c>
      <c r="AD6722">
        <v>-1.1169074182230001</v>
      </c>
      <c r="AE6722">
        <v>5.1019199999999998</v>
      </c>
      <c r="AF6722">
        <v>-2.4059975170278598</v>
      </c>
      <c r="AG6722">
        <v>-1.1169074182230001</v>
      </c>
      <c r="AH6722">
        <v>5.0747884333424098</v>
      </c>
      <c r="AI6722">
        <v>101.247695463244</v>
      </c>
      <c r="AJ6722">
        <v>115.36600173079999</v>
      </c>
      <c r="AK6722">
        <v>5.72623644953749</v>
      </c>
      <c r="AL6722">
        <v>87.258672298628298</v>
      </c>
      <c r="AM6722">
        <v>102.79427327578399</v>
      </c>
      <c r="AN6722">
        <v>0.99999995575788503</v>
      </c>
    </row>
    <row r="6723" spans="1:40" x14ac:dyDescent="0.25">
      <c r="A6723" t="str">
        <f>"20190312151154335"</f>
        <v>20190312151154335</v>
      </c>
      <c r="B6723" t="str">
        <f>"1552374714327413"</f>
        <v>1552374714327413</v>
      </c>
      <c r="C6723" t="s">
        <v>40</v>
      </c>
      <c r="D6723">
        <v>5.1624309999999998</v>
      </c>
      <c r="E6723">
        <v>0.42231649999999998</v>
      </c>
      <c r="F6723" t="s">
        <v>85</v>
      </c>
      <c r="G6723">
        <v>-196.7664</v>
      </c>
      <c r="H6723" s="1">
        <v>-2.46702E-6</v>
      </c>
      <c r="I6723">
        <v>-50.24868</v>
      </c>
      <c r="J6723">
        <v>-199.56270000000001</v>
      </c>
      <c r="K6723">
        <v>1.116905</v>
      </c>
      <c r="L6723">
        <v>-55.373719999999999</v>
      </c>
      <c r="M6723">
        <v>0.80771979999999999</v>
      </c>
      <c r="N6723">
        <v>0</v>
      </c>
      <c r="O6723">
        <v>0.58944390000000002</v>
      </c>
      <c r="P6723">
        <v>0.65753969999999995</v>
      </c>
      <c r="Q6723">
        <v>3.9739120000000003E-2</v>
      </c>
      <c r="R6723">
        <v>0.75237109999999996</v>
      </c>
      <c r="S6723">
        <v>1.515015</v>
      </c>
      <c r="T6723">
        <v>-0.57577250000000002</v>
      </c>
      <c r="U6723">
        <v>2.6982119999999998</v>
      </c>
      <c r="V6723">
        <v>-0.2209904</v>
      </c>
      <c r="W6723">
        <v>4.7661189999999999E-2</v>
      </c>
      <c r="X6723">
        <v>0.9741107</v>
      </c>
      <c r="Y6723">
        <v>-0.4171339</v>
      </c>
      <c r="Z6723">
        <v>-7.5947899999999999E-2</v>
      </c>
      <c r="AA6723">
        <v>0.90566619999999998</v>
      </c>
      <c r="AB6723">
        <v>30</v>
      </c>
      <c r="AC6723">
        <v>2.7963</v>
      </c>
      <c r="AD6723">
        <v>-1.1169074670200001</v>
      </c>
      <c r="AE6723">
        <v>5.1250399999999896</v>
      </c>
      <c r="AF6723">
        <v>-2.4035475002866198</v>
      </c>
      <c r="AG6723">
        <v>-1.1169074670200001</v>
      </c>
      <c r="AH6723">
        <v>5.09351564573441</v>
      </c>
      <c r="AI6723">
        <v>101.216785076688</v>
      </c>
      <c r="AJ6723">
        <v>115.261865327281</v>
      </c>
      <c r="AK6723">
        <v>5.74181369511067</v>
      </c>
      <c r="AL6723">
        <v>87.2681800403696</v>
      </c>
      <c r="AM6723">
        <v>102.78198198893701</v>
      </c>
      <c r="AN6723">
        <v>1.0000000008894301</v>
      </c>
    </row>
    <row r="6724" spans="1:40" x14ac:dyDescent="0.25">
      <c r="A6724" t="str">
        <f>"20190312151154350"</f>
        <v>20190312151154350</v>
      </c>
      <c r="B6724" t="str">
        <f>"1552374714347908"</f>
        <v>1552374714347908</v>
      </c>
      <c r="C6724" t="s">
        <v>40</v>
      </c>
      <c r="D6724">
        <v>5.144933</v>
      </c>
      <c r="E6724">
        <v>0.42277439999999999</v>
      </c>
      <c r="F6724" t="s">
        <v>85</v>
      </c>
      <c r="G6724">
        <v>-196.6448</v>
      </c>
      <c r="H6724" s="1">
        <v>-2.514347E-6</v>
      </c>
      <c r="I6724">
        <v>-50.123049999999999</v>
      </c>
      <c r="J6724">
        <v>-199.40090000000001</v>
      </c>
      <c r="K6724">
        <v>1.1169070000000001</v>
      </c>
      <c r="L6724">
        <v>-55.248289999999997</v>
      </c>
      <c r="M6724">
        <v>0.80417109999999903</v>
      </c>
      <c r="N6724">
        <v>0</v>
      </c>
      <c r="O6724">
        <v>0.59427619999999903</v>
      </c>
      <c r="P6724">
        <v>0.65357790000000004</v>
      </c>
      <c r="Q6724">
        <v>3.9352129999999999E-2</v>
      </c>
      <c r="R6724">
        <v>0.75583549999999999</v>
      </c>
      <c r="S6724">
        <v>1.502869</v>
      </c>
      <c r="T6724">
        <v>-0.57526089999999996</v>
      </c>
      <c r="U6724">
        <v>2.7043460000000001</v>
      </c>
      <c r="V6724">
        <v>-0.22027749999999999</v>
      </c>
      <c r="W6724">
        <v>4.7289200000000003E-2</v>
      </c>
      <c r="X6724">
        <v>0.97429030000000005</v>
      </c>
      <c r="Y6724">
        <v>-0.41572789999999998</v>
      </c>
      <c r="Z6724">
        <v>-7.7041280000000004E-2</v>
      </c>
      <c r="AA6724">
        <v>0.90622020000000003</v>
      </c>
      <c r="AB6724">
        <v>30</v>
      </c>
      <c r="AC6724">
        <v>2.7561</v>
      </c>
      <c r="AD6724">
        <v>-1.11690951434699</v>
      </c>
      <c r="AE6724">
        <v>5.1252399999999998</v>
      </c>
      <c r="AF6724">
        <v>-2.3956153232745598</v>
      </c>
      <c r="AG6724">
        <v>-1.11690951434699</v>
      </c>
      <c r="AH6724">
        <v>5.0755903521818002</v>
      </c>
      <c r="AI6724">
        <v>101.254970427743</v>
      </c>
      <c r="AJ6724">
        <v>115.266725912753</v>
      </c>
      <c r="AK6724">
        <v>5.7225935609221601</v>
      </c>
      <c r="AL6724">
        <v>87.289517601171198</v>
      </c>
      <c r="AM6724">
        <v>102.739824220217</v>
      </c>
      <c r="AN6724">
        <v>1.00000001705849</v>
      </c>
    </row>
    <row r="6725" spans="1:40" x14ac:dyDescent="0.25">
      <c r="A6725" t="str">
        <f>"20190312151154362"</f>
        <v>20190312151154362</v>
      </c>
      <c r="B6725" t="str">
        <f>"1552374714357669"</f>
        <v>1552374714357669</v>
      </c>
      <c r="C6725" t="s">
        <v>40</v>
      </c>
      <c r="D6725">
        <v>5.1367960000000004</v>
      </c>
      <c r="E6725">
        <v>0.42302820000000002</v>
      </c>
      <c r="F6725" t="s">
        <v>85</v>
      </c>
      <c r="G6725">
        <v>-196.50290000000001</v>
      </c>
      <c r="H6725" s="1">
        <v>-2.5663930000000001E-6</v>
      </c>
      <c r="I6725">
        <v>-49.981830000000002</v>
      </c>
      <c r="J6725">
        <v>-199.2783</v>
      </c>
      <c r="K6725">
        <v>1.116908</v>
      </c>
      <c r="L6725">
        <v>-55.152470000000001</v>
      </c>
      <c r="M6725">
        <v>0.80145440000000001</v>
      </c>
      <c r="N6725">
        <v>0</v>
      </c>
      <c r="O6725">
        <v>0.59793490000000005</v>
      </c>
      <c r="P6725">
        <v>0.65035339999999997</v>
      </c>
      <c r="Q6725">
        <v>3.914335E-2</v>
      </c>
      <c r="R6725">
        <v>0.75862259999999904</v>
      </c>
      <c r="S6725">
        <v>1.491074</v>
      </c>
      <c r="T6725">
        <v>-0.57467539999999995</v>
      </c>
      <c r="U6725">
        <v>2.7097169999999999</v>
      </c>
      <c r="V6725">
        <v>-0.21999150000000001</v>
      </c>
      <c r="W6725">
        <v>4.7086290000000003E-2</v>
      </c>
      <c r="X6725">
        <v>0.97436469999999997</v>
      </c>
      <c r="Y6725">
        <v>-0.415408</v>
      </c>
      <c r="Z6725">
        <v>-7.7793319999999999E-2</v>
      </c>
      <c r="AA6725">
        <v>0.90630259999999996</v>
      </c>
      <c r="AB6725">
        <v>30</v>
      </c>
      <c r="AC6725">
        <v>2.7753999999999901</v>
      </c>
      <c r="AD6725">
        <v>-1.1169105663929999</v>
      </c>
      <c r="AE6725">
        <v>5.1706399999999899</v>
      </c>
      <c r="AF6725">
        <v>-2.39784434040094</v>
      </c>
      <c r="AG6725">
        <v>-1.1169105663929999</v>
      </c>
      <c r="AH6725">
        <v>5.1305974520316502</v>
      </c>
      <c r="AI6725">
        <v>101.15668906424899</v>
      </c>
      <c r="AJ6725">
        <v>115.049581977491</v>
      </c>
      <c r="AK6725">
        <v>5.7723631996701998</v>
      </c>
      <c r="AL6725">
        <v>87.301156335727597</v>
      </c>
      <c r="AM6725">
        <v>102.722882196318</v>
      </c>
      <c r="AN6725">
        <v>0.99999997369215099</v>
      </c>
    </row>
    <row r="6726" spans="1:40" x14ac:dyDescent="0.25">
      <c r="A6726" t="str">
        <f>"20190312151154373"</f>
        <v>20190312151154373</v>
      </c>
      <c r="B6726" t="str">
        <f>"1552374714367429"</f>
        <v>1552374714367429</v>
      </c>
      <c r="C6726" t="s">
        <v>40</v>
      </c>
      <c r="D6726">
        <v>5.1418730000000004</v>
      </c>
      <c r="E6726">
        <v>0.42327049999999999</v>
      </c>
      <c r="F6726" t="s">
        <v>85</v>
      </c>
      <c r="G6726">
        <v>-196.4025</v>
      </c>
      <c r="H6726" s="1">
        <v>-2.6037479999999998E-6</v>
      </c>
      <c r="I6726">
        <v>-49.880989999999997</v>
      </c>
      <c r="J6726">
        <v>-199.15520000000001</v>
      </c>
      <c r="K6726">
        <v>1.1169100000000001</v>
      </c>
      <c r="L6726">
        <v>-55.055239999999998</v>
      </c>
      <c r="M6726">
        <v>0.79869919999999905</v>
      </c>
      <c r="N6726">
        <v>0</v>
      </c>
      <c r="O6726">
        <v>0.60161039999999999</v>
      </c>
      <c r="P6726">
        <v>0.64713189999999998</v>
      </c>
      <c r="Q6726">
        <v>3.9213360000000003E-2</v>
      </c>
      <c r="R6726">
        <v>0.76136890000000002</v>
      </c>
      <c r="S6726">
        <v>1.4809270000000001</v>
      </c>
      <c r="T6726">
        <v>-0.57517059999999998</v>
      </c>
      <c r="U6726">
        <v>2.7146300000000001</v>
      </c>
      <c r="V6726">
        <v>-0.21964320000000001</v>
      </c>
      <c r="W6726">
        <v>4.7163459999999997E-2</v>
      </c>
      <c r="X6726">
        <v>0.97443959999999996</v>
      </c>
      <c r="Y6726">
        <v>-0.41457899999999998</v>
      </c>
      <c r="Z6726">
        <v>-7.8725000000000003E-2</v>
      </c>
      <c r="AA6726">
        <v>0.90660169999999995</v>
      </c>
      <c r="AB6726">
        <v>30</v>
      </c>
      <c r="AC6726">
        <v>2.7526999999999999</v>
      </c>
      <c r="AD6726">
        <v>-1.1169126037479999</v>
      </c>
      <c r="AE6726">
        <v>5.1742499999999998</v>
      </c>
      <c r="AF6726">
        <v>-2.38999802402954</v>
      </c>
      <c r="AG6726">
        <v>-1.1169126037479999</v>
      </c>
      <c r="AH6726">
        <v>5.1256962966781998</v>
      </c>
      <c r="AI6726">
        <v>101.171632494967</v>
      </c>
      <c r="AJ6726">
        <v>114.99859140261501</v>
      </c>
      <c r="AK6726">
        <v>5.7647503714433999</v>
      </c>
      <c r="AL6726">
        <v>87.296730056669006</v>
      </c>
      <c r="AM6726">
        <v>102.702448194798</v>
      </c>
      <c r="AN6726">
        <v>1.00000003065678</v>
      </c>
    </row>
    <row r="6727" spans="1:40" x14ac:dyDescent="0.25">
      <c r="A6727" t="str">
        <f>"20190312151154385"</f>
        <v>20190312151154385</v>
      </c>
      <c r="B6727" t="str">
        <f>"1552374714378164"</f>
        <v>1552374714378164</v>
      </c>
      <c r="C6727" t="s">
        <v>40</v>
      </c>
      <c r="D6727">
        <v>5.1447880000000001</v>
      </c>
      <c r="E6727">
        <v>0.42355549999999997</v>
      </c>
      <c r="F6727" t="s">
        <v>85</v>
      </c>
      <c r="G6727">
        <v>-196.29589999999999</v>
      </c>
      <c r="H6727" s="1">
        <v>-2.6472030000000001E-6</v>
      </c>
      <c r="I6727">
        <v>-49.767530000000001</v>
      </c>
      <c r="J6727">
        <v>-199.029</v>
      </c>
      <c r="K6727">
        <v>1.1169119999999999</v>
      </c>
      <c r="L6727">
        <v>-54.954469999999901</v>
      </c>
      <c r="M6727">
        <v>0.79584560000000004</v>
      </c>
      <c r="N6727">
        <v>0</v>
      </c>
      <c r="O6727">
        <v>0.60538019999999904</v>
      </c>
      <c r="P6727">
        <v>0.64376820000000001</v>
      </c>
      <c r="Q6727">
        <v>3.8907150000000001E-2</v>
      </c>
      <c r="R6727">
        <v>0.76423079999999999</v>
      </c>
      <c r="S6727">
        <v>1.4707030000000001</v>
      </c>
      <c r="T6727">
        <v>-0.57450259999999997</v>
      </c>
      <c r="U6727">
        <v>2.7198180000000001</v>
      </c>
      <c r="V6727">
        <v>-0.21934010000000001</v>
      </c>
      <c r="W6727">
        <v>4.6863380000000003E-2</v>
      </c>
      <c r="X6727">
        <v>0.97452229999999995</v>
      </c>
      <c r="Y6727">
        <v>-0.41368110000000002</v>
      </c>
      <c r="Z6727">
        <v>-7.9521369999999994E-2</v>
      </c>
      <c r="AA6727">
        <v>0.90694220000000003</v>
      </c>
      <c r="AB6727">
        <v>30</v>
      </c>
      <c r="AC6727">
        <v>2.7331000000000301</v>
      </c>
      <c r="AD6727">
        <v>-1.116914647203</v>
      </c>
      <c r="AE6727">
        <v>5.1869399999999901</v>
      </c>
      <c r="AF6727">
        <v>-2.38698962547759</v>
      </c>
      <c r="AG6727">
        <v>-1.116914647203</v>
      </c>
      <c r="AH6727">
        <v>5.1294250227143996</v>
      </c>
      <c r="AI6727">
        <v>101.16759127409701</v>
      </c>
      <c r="AJ6727">
        <v>114.955021126692</v>
      </c>
      <c r="AK6727">
        <v>5.7668205161009602</v>
      </c>
      <c r="AL6727">
        <v>87.313942282139607</v>
      </c>
      <c r="AM6727">
        <v>102.68444519436299</v>
      </c>
      <c r="AN6727">
        <v>0.99999998452516203</v>
      </c>
    </row>
    <row r="6728" spans="1:40" x14ac:dyDescent="0.25">
      <c r="A6728" t="str">
        <f>"20190312151154397"</f>
        <v>20190312151154397</v>
      </c>
      <c r="B6728" t="str">
        <f>"1552374714387925"</f>
        <v>1552374714387925</v>
      </c>
      <c r="C6728" t="s">
        <v>40</v>
      </c>
      <c r="D6728">
        <v>5.1490269999999896</v>
      </c>
      <c r="E6728">
        <v>0.42382009999999998</v>
      </c>
      <c r="F6728" t="s">
        <v>85</v>
      </c>
      <c r="G6728">
        <v>-196.19399999999999</v>
      </c>
      <c r="H6728" s="1">
        <v>-2.68515E-6</v>
      </c>
      <c r="I6728">
        <v>-49.665120000000002</v>
      </c>
      <c r="J6728">
        <v>-198.90710000000001</v>
      </c>
      <c r="K6728">
        <v>1.116914</v>
      </c>
      <c r="L6728">
        <v>-54.85669</v>
      </c>
      <c r="M6728">
        <v>0.79306699999999997</v>
      </c>
      <c r="N6728">
        <v>0</v>
      </c>
      <c r="O6728">
        <v>0.60901569999999905</v>
      </c>
      <c r="P6728">
        <v>0.64049129999999999</v>
      </c>
      <c r="Q6728">
        <v>3.8766349999999998E-2</v>
      </c>
      <c r="R6728">
        <v>0.76698630000000001</v>
      </c>
      <c r="S6728">
        <v>1.4603729999999999</v>
      </c>
      <c r="T6728">
        <v>-0.57534300000000005</v>
      </c>
      <c r="U6728">
        <v>2.72464</v>
      </c>
      <c r="V6728">
        <v>-0.21905520000000001</v>
      </c>
      <c r="W6728">
        <v>4.6729050000000001E-2</v>
      </c>
      <c r="X6728">
        <v>0.97459289999999998</v>
      </c>
      <c r="Y6728">
        <v>-0.4129041</v>
      </c>
      <c r="Z6728">
        <v>-8.049212E-2</v>
      </c>
      <c r="AA6728">
        <v>0.90721070000000004</v>
      </c>
      <c r="AB6728">
        <v>30</v>
      </c>
      <c r="AC6728">
        <v>2.7130999999999901</v>
      </c>
      <c r="AD6728">
        <v>-1.1169166851500001</v>
      </c>
      <c r="AE6728">
        <v>5.1915699999999898</v>
      </c>
      <c r="AF6728">
        <v>-2.3786421188847102</v>
      </c>
      <c r="AG6728">
        <v>-1.1169166851500001</v>
      </c>
      <c r="AH6728">
        <v>5.12738935878905</v>
      </c>
      <c r="AI6728">
        <v>101.177941491684</v>
      </c>
      <c r="AJ6728">
        <v>114.887010181259</v>
      </c>
      <c r="AK6728">
        <v>5.7615590639966596</v>
      </c>
      <c r="AL6728">
        <v>87.321647448318998</v>
      </c>
      <c r="AM6728">
        <v>102.667613405656</v>
      </c>
      <c r="AN6728">
        <v>1.0000000527456701</v>
      </c>
    </row>
    <row r="6729" spans="1:40" x14ac:dyDescent="0.25">
      <c r="A6729" t="str">
        <f>"20190312151154409"</f>
        <v>20190312151154409</v>
      </c>
      <c r="B6729" t="str">
        <f>"1552374714397686"</f>
        <v>1552374714397686</v>
      </c>
      <c r="C6729" t="s">
        <v>40</v>
      </c>
      <c r="D6729">
        <v>5.1296239999999997</v>
      </c>
      <c r="E6729">
        <v>0.4240835</v>
      </c>
      <c r="F6729" t="s">
        <v>85</v>
      </c>
      <c r="G6729">
        <v>-196.08879999999999</v>
      </c>
      <c r="H6729" s="1">
        <v>-2.727903E-6</v>
      </c>
      <c r="I6729">
        <v>-49.55339</v>
      </c>
      <c r="J6729">
        <v>-198.7901</v>
      </c>
      <c r="K6729">
        <v>1.1169169999999999</v>
      </c>
      <c r="L6729">
        <v>-54.76126</v>
      </c>
      <c r="M6729">
        <v>0.79036619999999902</v>
      </c>
      <c r="N6729">
        <v>0</v>
      </c>
      <c r="O6729">
        <v>0.61251650000000002</v>
      </c>
      <c r="P6729">
        <v>0.63738779999999995</v>
      </c>
      <c r="Q6729">
        <v>3.9079389999999999E-2</v>
      </c>
      <c r="R6729">
        <v>0.7695516</v>
      </c>
      <c r="S6729">
        <v>1.450394</v>
      </c>
      <c r="T6729">
        <v>-0.57480810000000004</v>
      </c>
      <c r="U6729">
        <v>2.729279</v>
      </c>
      <c r="V6729">
        <v>-0.21867600000000001</v>
      </c>
      <c r="W6729">
        <v>4.7049149999999998E-2</v>
      </c>
      <c r="X6729">
        <v>0.97466260000000005</v>
      </c>
      <c r="Y6729">
        <v>-0.41214299999999998</v>
      </c>
      <c r="Z6729">
        <v>-8.1245040000000004E-2</v>
      </c>
      <c r="AA6729">
        <v>0.90748969999999995</v>
      </c>
      <c r="AB6729">
        <v>30</v>
      </c>
      <c r="AC6729">
        <v>2.7012999999999998</v>
      </c>
      <c r="AD6729">
        <v>-1.1169197279030001</v>
      </c>
      <c r="AE6729">
        <v>5.2078699999999998</v>
      </c>
      <c r="AF6729">
        <v>-2.3756082337428199</v>
      </c>
      <c r="AG6729">
        <v>-1.1169197279030001</v>
      </c>
      <c r="AH6729">
        <v>5.1390441235222797</v>
      </c>
      <c r="AI6729">
        <v>101.16006910371</v>
      </c>
      <c r="AJ6729">
        <v>114.809521964966</v>
      </c>
      <c r="AK6729">
        <v>5.7706844188808697</v>
      </c>
      <c r="AL6729">
        <v>87.303286732167905</v>
      </c>
      <c r="AM6729">
        <v>102.645515470321</v>
      </c>
      <c r="AN6729">
        <v>0.999999999665241</v>
      </c>
    </row>
    <row r="6730" spans="1:40" x14ac:dyDescent="0.25">
      <c r="A6730" t="str">
        <f>"20190312151154420"</f>
        <v>20190312151154420</v>
      </c>
      <c r="B6730" t="str">
        <f>"1552374714418181"</f>
        <v>1552374714418181</v>
      </c>
      <c r="C6730" t="s">
        <v>40</v>
      </c>
      <c r="D6730">
        <v>5.1213419999999896</v>
      </c>
      <c r="E6730">
        <v>0.42458469999999998</v>
      </c>
      <c r="F6730" t="s">
        <v>85</v>
      </c>
      <c r="G6730">
        <v>-195.9836</v>
      </c>
      <c r="H6730" s="1">
        <v>-2.774198E-6</v>
      </c>
      <c r="I6730">
        <v>-49.435630000000003</v>
      </c>
      <c r="J6730">
        <v>-198.6722</v>
      </c>
      <c r="K6730">
        <v>1.1169180000000001</v>
      </c>
      <c r="L6730">
        <v>-54.664729999999999</v>
      </c>
      <c r="M6730">
        <v>0.78762559999999904</v>
      </c>
      <c r="N6730">
        <v>0</v>
      </c>
      <c r="O6730">
        <v>0.61603669999999899</v>
      </c>
      <c r="P6730">
        <v>0.63396649999999999</v>
      </c>
      <c r="Q6730">
        <v>3.9174710000000001E-2</v>
      </c>
      <c r="R6730">
        <v>0.77236769999999999</v>
      </c>
      <c r="S6730">
        <v>1.440842</v>
      </c>
      <c r="T6730">
        <v>-0.57341690000000001</v>
      </c>
      <c r="U6730">
        <v>2.7341310000000001</v>
      </c>
      <c r="V6730">
        <v>-0.21865029999999999</v>
      </c>
      <c r="W6730">
        <v>4.714488E-2</v>
      </c>
      <c r="X6730">
        <v>0.97466370000000002</v>
      </c>
      <c r="Y6730">
        <v>-0.41126020000000002</v>
      </c>
      <c r="Z6730">
        <v>-8.1880930000000005E-2</v>
      </c>
      <c r="AA6730">
        <v>0.90783290000000005</v>
      </c>
      <c r="AB6730">
        <v>30</v>
      </c>
      <c r="AC6730">
        <v>2.6886000000000001</v>
      </c>
      <c r="AD6730">
        <v>-1.1169207741980001</v>
      </c>
      <c r="AE6730">
        <v>5.2291000000000096</v>
      </c>
      <c r="AF6730">
        <v>-2.3767126613894902</v>
      </c>
      <c r="AG6730">
        <v>-1.1169207741980001</v>
      </c>
      <c r="AH6730">
        <v>5.15335815491086</v>
      </c>
      <c r="AI6730">
        <v>101.134274698504</v>
      </c>
      <c r="AJ6730">
        <v>114.75900380425099</v>
      </c>
      <c r="AK6730">
        <v>5.7838892938428996</v>
      </c>
      <c r="AL6730">
        <v>87.297795608679806</v>
      </c>
      <c r="AM6730">
        <v>102.64406327479701</v>
      </c>
      <c r="AN6730">
        <v>0.999999960748996</v>
      </c>
    </row>
    <row r="6731" spans="1:40" x14ac:dyDescent="0.25">
      <c r="A6731" t="str">
        <f>"20190312151154431"</f>
        <v>20190312151154431</v>
      </c>
      <c r="B6731" t="str">
        <f>"1552374714427940"</f>
        <v>1552374714427940</v>
      </c>
      <c r="C6731" t="s">
        <v>40</v>
      </c>
      <c r="D6731">
        <v>5.1661659999999996</v>
      </c>
      <c r="E6731">
        <v>0.42482969999999998</v>
      </c>
      <c r="F6731" t="s">
        <v>85</v>
      </c>
      <c r="G6731">
        <v>-195.87620000000001</v>
      </c>
      <c r="H6731" s="1">
        <v>-2.8198219999999999E-6</v>
      </c>
      <c r="I6731">
        <v>-49.31823</v>
      </c>
      <c r="J6731">
        <v>-198.5573</v>
      </c>
      <c r="K6731">
        <v>1.1169199999999999</v>
      </c>
      <c r="L6731">
        <v>-54.569519999999997</v>
      </c>
      <c r="M6731">
        <v>0.78492709999999999</v>
      </c>
      <c r="N6731">
        <v>0</v>
      </c>
      <c r="O6731">
        <v>0.61947140000000001</v>
      </c>
      <c r="P6731">
        <v>0.63073029999999997</v>
      </c>
      <c r="Q6731">
        <v>3.9380369999999998E-2</v>
      </c>
      <c r="R6731">
        <v>0.77500219999999997</v>
      </c>
      <c r="S6731">
        <v>1.4317930000000001</v>
      </c>
      <c r="T6731">
        <v>-0.57196939999999996</v>
      </c>
      <c r="U6731">
        <v>2.7379150000000001</v>
      </c>
      <c r="V6731">
        <v>-0.21846499999999999</v>
      </c>
      <c r="W6731">
        <v>4.7354449999999999E-2</v>
      </c>
      <c r="X6731">
        <v>0.97469510000000004</v>
      </c>
      <c r="Y6731">
        <v>-0.41018650000000001</v>
      </c>
      <c r="Z6731">
        <v>-8.2520570000000001E-2</v>
      </c>
      <c r="AA6731">
        <v>0.90826059999999997</v>
      </c>
      <c r="AB6731">
        <v>30</v>
      </c>
      <c r="AC6731">
        <v>2.6810999999999798</v>
      </c>
      <c r="AD6731">
        <v>-1.116922819822</v>
      </c>
      <c r="AE6731">
        <v>5.2512899999999902</v>
      </c>
      <c r="AF6731">
        <v>-2.37593283066894</v>
      </c>
      <c r="AG6731">
        <v>-1.116922819822</v>
      </c>
      <c r="AH6731">
        <v>5.1722727647567899</v>
      </c>
      <c r="AI6731">
        <v>101.102141913273</v>
      </c>
      <c r="AJ6731">
        <v>114.672135858728</v>
      </c>
      <c r="AK6731">
        <v>5.8004292043205297</v>
      </c>
      <c r="AL6731">
        <v>87.285774728236603</v>
      </c>
      <c r="AM6731">
        <v>102.633297954154</v>
      </c>
      <c r="AN6731">
        <v>0.99999996906190503</v>
      </c>
    </row>
    <row r="6732" spans="1:40" x14ac:dyDescent="0.25">
      <c r="A6732" t="str">
        <f>"20190312151154442"</f>
        <v>20190312151154442</v>
      </c>
      <c r="B6732" t="str">
        <f>"1552374714437701"</f>
        <v>1552374714437701</v>
      </c>
      <c r="C6732" t="s">
        <v>40</v>
      </c>
      <c r="D6732">
        <v>5.1132049999999998</v>
      </c>
      <c r="E6732">
        <v>0.42507200000000001</v>
      </c>
      <c r="F6732" t="s">
        <v>85</v>
      </c>
      <c r="G6732">
        <v>-195.77459999999999</v>
      </c>
      <c r="H6732" s="1">
        <v>-2.8660530000000002E-6</v>
      </c>
      <c r="I6732">
        <v>-49.201929999999997</v>
      </c>
      <c r="J6732">
        <v>-198.44730000000001</v>
      </c>
      <c r="K6732">
        <v>1.1169150000000001</v>
      </c>
      <c r="L6732">
        <v>-54.477809999999998</v>
      </c>
      <c r="M6732">
        <v>0.78232309999999905</v>
      </c>
      <c r="N6732">
        <v>0</v>
      </c>
      <c r="O6732">
        <v>0.62275669999999905</v>
      </c>
      <c r="P6732">
        <v>0.62753190000000003</v>
      </c>
      <c r="Q6732">
        <v>3.9181479999999998E-2</v>
      </c>
      <c r="R6732">
        <v>0.77760430000000003</v>
      </c>
      <c r="S6732">
        <v>1.421921</v>
      </c>
      <c r="T6732">
        <v>-0.57072639999999997</v>
      </c>
      <c r="U6732">
        <v>2.742737</v>
      </c>
      <c r="V6732">
        <v>-0.21839919999999999</v>
      </c>
      <c r="W6732">
        <v>4.7156780000000002E-2</v>
      </c>
      <c r="X6732">
        <v>0.97471949999999996</v>
      </c>
      <c r="Y6732">
        <v>-0.40962300000000001</v>
      </c>
      <c r="Z6732">
        <v>-8.3097279999999996E-2</v>
      </c>
      <c r="AA6732">
        <v>0.90846229999999994</v>
      </c>
      <c r="AB6732">
        <v>30</v>
      </c>
      <c r="AC6732">
        <v>2.6727000000000198</v>
      </c>
      <c r="AD6732">
        <v>-1.1169178660529999</v>
      </c>
      <c r="AE6732">
        <v>5.2758799999999999</v>
      </c>
      <c r="AF6732">
        <v>-2.3783546539126599</v>
      </c>
      <c r="AG6732">
        <v>-1.1169178660529999</v>
      </c>
      <c r="AH6732">
        <v>5.1917294567074297</v>
      </c>
      <c r="AI6732">
        <v>101.066647951768</v>
      </c>
      <c r="AJ6732">
        <v>114.612729025904</v>
      </c>
      <c r="AK6732">
        <v>5.8187740230172196</v>
      </c>
      <c r="AL6732">
        <v>87.297113238845697</v>
      </c>
      <c r="AM6732">
        <v>102.62930896733</v>
      </c>
      <c r="AN6732">
        <v>1.0000000380704199</v>
      </c>
    </row>
    <row r="6733" spans="1:40" x14ac:dyDescent="0.25">
      <c r="A6733" t="str">
        <f>"20190312151154454"</f>
        <v>20190312151154454</v>
      </c>
      <c r="B6733" t="str">
        <f>"1552374714447461"</f>
        <v>1552374714447461</v>
      </c>
      <c r="C6733" t="s">
        <v>40</v>
      </c>
      <c r="D6733">
        <v>5.162763</v>
      </c>
      <c r="E6733">
        <v>0.42531259999999999</v>
      </c>
      <c r="F6733" t="s">
        <v>85</v>
      </c>
      <c r="G6733">
        <v>-195.68260000000001</v>
      </c>
      <c r="H6733" s="1">
        <v>-2.9068319999999999E-6</v>
      </c>
      <c r="I6733">
        <v>-49.098480000000002</v>
      </c>
      <c r="J6733">
        <v>-198.32470000000001</v>
      </c>
      <c r="K6733">
        <v>1.116916</v>
      </c>
      <c r="L6733">
        <v>-54.374569999999999</v>
      </c>
      <c r="M6733">
        <v>0.77939119999999995</v>
      </c>
      <c r="N6733">
        <v>0</v>
      </c>
      <c r="O6733">
        <v>0.62642189999999998</v>
      </c>
      <c r="P6733">
        <v>0.6239133</v>
      </c>
      <c r="Q6733">
        <v>3.9165419999999999E-2</v>
      </c>
      <c r="R6733">
        <v>0.78051150000000002</v>
      </c>
      <c r="S6733">
        <v>1.4119870000000001</v>
      </c>
      <c r="T6733">
        <v>-0.57041569999999997</v>
      </c>
      <c r="U6733">
        <v>2.7472530000000002</v>
      </c>
      <c r="V6733">
        <v>-0.21835199999999999</v>
      </c>
      <c r="W6733">
        <v>4.7142030000000001E-2</v>
      </c>
      <c r="X6733">
        <v>0.97473069999999895</v>
      </c>
      <c r="Y6733">
        <v>-0.40859050000000002</v>
      </c>
      <c r="Z6733">
        <v>-8.3931099999999995E-2</v>
      </c>
      <c r="AA6733">
        <v>0.90885059999999995</v>
      </c>
      <c r="AB6733">
        <v>30</v>
      </c>
      <c r="AC6733">
        <v>2.6420999999999899</v>
      </c>
      <c r="AD6733">
        <v>-1.116918906832</v>
      </c>
      <c r="AE6733">
        <v>5.2760899999999902</v>
      </c>
      <c r="AF6733">
        <v>-2.37225019170014</v>
      </c>
      <c r="AG6733">
        <v>-1.116918906832</v>
      </c>
      <c r="AH6733">
        <v>5.1791112708853504</v>
      </c>
      <c r="AI6733">
        <v>101.093208672928</v>
      </c>
      <c r="AJ6733">
        <v>114.609766193954</v>
      </c>
      <c r="AK6733">
        <v>5.8050213068232397</v>
      </c>
      <c r="AL6733">
        <v>87.297959060329404</v>
      </c>
      <c r="AM6733">
        <v>102.626526639255</v>
      </c>
      <c r="AN6733">
        <v>0.99999995220950399</v>
      </c>
    </row>
    <row r="6734" spans="1:40" x14ac:dyDescent="0.25">
      <c r="A6734" t="str">
        <f>"20190312151154466"</f>
        <v>20190312151154466</v>
      </c>
      <c r="B6734" t="str">
        <f>"1552374714458196"</f>
        <v>1552374714458196</v>
      </c>
      <c r="C6734" t="s">
        <v>40</v>
      </c>
      <c r="D6734">
        <v>5.144806</v>
      </c>
      <c r="E6734">
        <v>0.42555739999999997</v>
      </c>
      <c r="F6734" t="s">
        <v>85</v>
      </c>
      <c r="G6734">
        <v>-195.5795</v>
      </c>
      <c r="H6734" s="1">
        <v>-2.953952E-6</v>
      </c>
      <c r="I6734">
        <v>-48.980170000000001</v>
      </c>
      <c r="J6734">
        <v>-198.2079</v>
      </c>
      <c r="K6734">
        <v>1.116916</v>
      </c>
      <c r="L6734">
        <v>-54.275149999999996</v>
      </c>
      <c r="M6734">
        <v>0.77656999999999998</v>
      </c>
      <c r="N6734">
        <v>0</v>
      </c>
      <c r="O6734">
        <v>0.62991600000000003</v>
      </c>
      <c r="P6734">
        <v>0.62054919999999902</v>
      </c>
      <c r="Q6734">
        <v>3.9084269999999997E-2</v>
      </c>
      <c r="R6734">
        <v>0.78319289999999997</v>
      </c>
      <c r="S6734">
        <v>1.4007419999999999</v>
      </c>
      <c r="T6734">
        <v>-0.56991610000000004</v>
      </c>
      <c r="U6734">
        <v>2.7525330000000001</v>
      </c>
      <c r="V6734">
        <v>-0.21817010000000001</v>
      </c>
      <c r="W6734">
        <v>4.7064389999999998E-2</v>
      </c>
      <c r="X6734">
        <v>0.97477530000000001</v>
      </c>
      <c r="Y6734">
        <v>-0.40818019999999999</v>
      </c>
      <c r="Z6734">
        <v>-8.4647070000000005E-2</v>
      </c>
      <c r="AA6734">
        <v>0.90896860000000002</v>
      </c>
      <c r="AB6734">
        <v>30</v>
      </c>
      <c r="AC6734">
        <v>2.6283999999999899</v>
      </c>
      <c r="AD6734">
        <v>-1.1169189539519999</v>
      </c>
      <c r="AE6734">
        <v>5.29497999999999</v>
      </c>
      <c r="AF6734">
        <v>-2.3717601658231402</v>
      </c>
      <c r="AG6734">
        <v>-1.1169189539519999</v>
      </c>
      <c r="AH6734">
        <v>5.1915849444804198</v>
      </c>
      <c r="AI6734">
        <v>101.072094692223</v>
      </c>
      <c r="AJ6734">
        <v>114.553149983759</v>
      </c>
      <c r="AK6734">
        <v>5.8159529287674196</v>
      </c>
      <c r="AL6734">
        <v>87.302412759008504</v>
      </c>
      <c r="AM6734">
        <v>102.615786091232</v>
      </c>
      <c r="AN6734">
        <v>1.00000006741508</v>
      </c>
    </row>
    <row r="6735" spans="1:40" x14ac:dyDescent="0.25">
      <c r="A6735" t="str">
        <f>"20190312151154477"</f>
        <v>20190312151154477</v>
      </c>
      <c r="B6735" t="str">
        <f>"1552374714467957"</f>
        <v>1552374714467957</v>
      </c>
      <c r="C6735" t="s">
        <v>40</v>
      </c>
      <c r="D6735">
        <v>5.1585910000000004</v>
      </c>
      <c r="E6735">
        <v>0.42555739999999997</v>
      </c>
      <c r="F6735" t="s">
        <v>85</v>
      </c>
      <c r="G6735">
        <v>-195.48140000000001</v>
      </c>
      <c r="H6735" s="1">
        <v>-2.9986540000000002E-6</v>
      </c>
      <c r="I6735">
        <v>-48.86777</v>
      </c>
      <c r="J6735">
        <v>-198.08250000000001</v>
      </c>
      <c r="K6735">
        <v>1.1169119999999999</v>
      </c>
      <c r="L6735">
        <v>-54.167909999999999</v>
      </c>
      <c r="M6735">
        <v>0.7735185</v>
      </c>
      <c r="N6735">
        <v>0</v>
      </c>
      <c r="O6735">
        <v>0.63365950000000004</v>
      </c>
      <c r="P6735">
        <v>0.61702219999999997</v>
      </c>
      <c r="Q6735">
        <v>3.8688760000000003E-2</v>
      </c>
      <c r="R6735">
        <v>0.78599410000000003</v>
      </c>
      <c r="S6735">
        <v>1.3902890000000001</v>
      </c>
      <c r="T6735">
        <v>-0.56953869999999995</v>
      </c>
      <c r="U6735">
        <v>2.7573240000000001</v>
      </c>
      <c r="V6735">
        <v>-0.21785199999999999</v>
      </c>
      <c r="W6735">
        <v>4.6674760000000003E-2</v>
      </c>
      <c r="X6735">
        <v>0.97486510000000004</v>
      </c>
      <c r="Y6735">
        <v>-0.40719620000000001</v>
      </c>
      <c r="Z6735">
        <v>-8.5480619999999993E-2</v>
      </c>
      <c r="AA6735">
        <v>0.90933180000000002</v>
      </c>
      <c r="AB6735">
        <v>30</v>
      </c>
      <c r="AC6735">
        <v>2.6011000000000002</v>
      </c>
      <c r="AD6735">
        <v>-1.1169149986539999</v>
      </c>
      <c r="AE6735">
        <v>5.3001399999999901</v>
      </c>
      <c r="AF6735">
        <v>-2.3670095513928802</v>
      </c>
      <c r="AG6735">
        <v>-1.1169149986539999</v>
      </c>
      <c r="AH6735">
        <v>5.1852960558298697</v>
      </c>
      <c r="AI6735">
        <v>101.086631797713</v>
      </c>
      <c r="AJ6735">
        <v>114.535983585544</v>
      </c>
      <c r="AK6735">
        <v>5.8084015457962499</v>
      </c>
      <c r="AL6735">
        <v>87.324761279621995</v>
      </c>
      <c r="AM6735">
        <v>102.596855938673</v>
      </c>
      <c r="AN6735">
        <v>0.99999999516153304</v>
      </c>
    </row>
    <row r="6736" spans="1:40" x14ac:dyDescent="0.25">
      <c r="A6736" t="str">
        <f>"20190312151154496"</f>
        <v>20190312151154496</v>
      </c>
      <c r="B6736" t="str">
        <f>"1552374714487476"</f>
        <v>1552374714487476</v>
      </c>
      <c r="C6736" t="s">
        <v>40</v>
      </c>
      <c r="D6736">
        <v>5.1600250000000001</v>
      </c>
      <c r="E6736">
        <v>0.43986249999999999</v>
      </c>
      <c r="F6736" t="s">
        <v>85</v>
      </c>
      <c r="G6736">
        <v>-195.386</v>
      </c>
      <c r="H6736" s="1">
        <v>-3.041668E-6</v>
      </c>
      <c r="I6736">
        <v>-48.759279999999997</v>
      </c>
      <c r="J6736">
        <v>-197.90020000000001</v>
      </c>
      <c r="K6736">
        <v>1.1169119999999999</v>
      </c>
      <c r="L6736">
        <v>-54.00949</v>
      </c>
      <c r="M6736">
        <v>0.76901850000000005</v>
      </c>
      <c r="N6736">
        <v>0</v>
      </c>
      <c r="O6736">
        <v>0.63911319999999905</v>
      </c>
      <c r="P6736">
        <v>0.61214639999999998</v>
      </c>
      <c r="Q6736">
        <v>3.8684860000000001E-2</v>
      </c>
      <c r="R6736">
        <v>0.78979769999999905</v>
      </c>
      <c r="S6736">
        <v>1.3777010000000001</v>
      </c>
      <c r="T6736">
        <v>-0.57065919999999903</v>
      </c>
      <c r="U6736">
        <v>2.7633969999999999</v>
      </c>
      <c r="V6736">
        <v>-0.21699180000000001</v>
      </c>
      <c r="W6736">
        <v>4.6687619999999999E-2</v>
      </c>
      <c r="X6736">
        <v>0.97505640000000005</v>
      </c>
      <c r="Y6736">
        <v>-0.40493259999999998</v>
      </c>
      <c r="Z6736">
        <v>-8.6996970000000007E-2</v>
      </c>
      <c r="AA6736">
        <v>0.91019839999999996</v>
      </c>
      <c r="AB6736">
        <v>30</v>
      </c>
      <c r="AC6736">
        <v>2.51420000000001</v>
      </c>
      <c r="AD6736">
        <v>-1.116915041668</v>
      </c>
      <c r="AE6736">
        <v>5.25021</v>
      </c>
      <c r="AF6736">
        <v>-2.3445137371186502</v>
      </c>
      <c r="AG6736">
        <v>-1.116915041668</v>
      </c>
      <c r="AH6736">
        <v>5.10151717517373</v>
      </c>
      <c r="AI6736">
        <v>101.251260742017</v>
      </c>
      <c r="AJ6736">
        <v>114.682180474595</v>
      </c>
      <c r="AK6736">
        <v>5.7244843752459396</v>
      </c>
      <c r="AL6736">
        <v>87.324023876688102</v>
      </c>
      <c r="AM6736">
        <v>102.54631094983699</v>
      </c>
      <c r="AN6736">
        <v>1.0000000791547199</v>
      </c>
    </row>
    <row r="6737" spans="1:40" x14ac:dyDescent="0.25">
      <c r="A6737" t="str">
        <f>"20190312151154508"</f>
        <v>20190312151154508</v>
      </c>
      <c r="B6737" t="str">
        <f>"1552374714498212"</f>
        <v>1552374714498212</v>
      </c>
      <c r="C6737" t="s">
        <v>40</v>
      </c>
      <c r="D6737">
        <v>5.1212540000000004</v>
      </c>
      <c r="E6737">
        <v>0.44038359999999899</v>
      </c>
      <c r="F6737" t="s">
        <v>85</v>
      </c>
      <c r="G6737">
        <v>-194.98830000000001</v>
      </c>
      <c r="H6737" s="1">
        <v>-3.0542509999999998E-6</v>
      </c>
      <c r="I6737">
        <v>-48.588590000000003</v>
      </c>
      <c r="J6737">
        <v>-197.77250000000001</v>
      </c>
      <c r="K6737">
        <v>1.116914</v>
      </c>
      <c r="L6737">
        <v>-53.896999999999998</v>
      </c>
      <c r="M6737">
        <v>0.76582439999999996</v>
      </c>
      <c r="N6737">
        <v>0</v>
      </c>
      <c r="O6737">
        <v>0.64293710000000004</v>
      </c>
      <c r="P6737">
        <v>0.60862950000000005</v>
      </c>
      <c r="Q6737">
        <v>3.8357710000000003E-2</v>
      </c>
      <c r="R6737">
        <v>0.79252679999999998</v>
      </c>
      <c r="S6737">
        <v>1.450958</v>
      </c>
      <c r="T6737">
        <v>-0.55653379999999997</v>
      </c>
      <c r="U6737">
        <v>2.701111</v>
      </c>
      <c r="V6737">
        <v>-0.21647420000000001</v>
      </c>
      <c r="W6737">
        <v>4.637086E-2</v>
      </c>
      <c r="X6737">
        <v>0.97518649999999996</v>
      </c>
      <c r="Y6737">
        <v>-0.37267800000000001</v>
      </c>
      <c r="Z6737">
        <v>-8.8784020000000005E-2</v>
      </c>
      <c r="AA6737">
        <v>0.92370370000000002</v>
      </c>
      <c r="AB6737">
        <v>30</v>
      </c>
      <c r="AC6737">
        <v>2.78419999999999</v>
      </c>
      <c r="AD6737">
        <v>-1.1169170542510001</v>
      </c>
      <c r="AE6737">
        <v>5.3084099999999896</v>
      </c>
      <c r="AF6737">
        <v>-2.1990591576551801</v>
      </c>
      <c r="AG6737">
        <v>-1.1169170542510001</v>
      </c>
      <c r="AH6737">
        <v>5.3595047444297599</v>
      </c>
      <c r="AI6737">
        <v>100.912773123899</v>
      </c>
      <c r="AJ6737">
        <v>112.308840139582</v>
      </c>
      <c r="AK6737">
        <v>5.8998013517837196</v>
      </c>
      <c r="AL6737">
        <v>87.342192414685499</v>
      </c>
      <c r="AM6737">
        <v>102.515710645151</v>
      </c>
      <c r="AN6737">
        <v>1.0000000228525101</v>
      </c>
    </row>
    <row r="6738" spans="1:40" x14ac:dyDescent="0.25">
      <c r="A6738" t="str">
        <f>"20190312151154530"</f>
        <v>20190312151154530</v>
      </c>
      <c r="B6738" t="str">
        <f>"1552374714517732"</f>
        <v>1552374714517732</v>
      </c>
      <c r="C6738" t="s">
        <v>40</v>
      </c>
      <c r="D6738">
        <v>5.166512</v>
      </c>
      <c r="E6738">
        <v>0.44131389999999998</v>
      </c>
      <c r="F6738" t="s">
        <v>85</v>
      </c>
      <c r="G6738">
        <v>-194.90790000000001</v>
      </c>
      <c r="H6738" s="1">
        <v>-3.0745290000000001E-6</v>
      </c>
      <c r="I6738">
        <v>-48.524160000000002</v>
      </c>
      <c r="J6738">
        <v>-197.56379999999999</v>
      </c>
      <c r="K6738">
        <v>1.1169169999999999</v>
      </c>
      <c r="L6738">
        <v>-53.711120000000001</v>
      </c>
      <c r="M6738">
        <v>0.76053950000000003</v>
      </c>
      <c r="N6738">
        <v>0</v>
      </c>
      <c r="O6738">
        <v>0.64918009999999904</v>
      </c>
      <c r="P6738">
        <v>0.60315750000000001</v>
      </c>
      <c r="Q6738">
        <v>3.8064099999999997E-2</v>
      </c>
      <c r="R6738">
        <v>0.79671329999999996</v>
      </c>
      <c r="S6738">
        <v>1.442215</v>
      </c>
      <c r="T6738">
        <v>-0.56233060000000001</v>
      </c>
      <c r="U6738">
        <v>2.7050480000000001</v>
      </c>
      <c r="V6738">
        <v>-0.21521789999999999</v>
      </c>
      <c r="W6738">
        <v>4.6101740000000002E-2</v>
      </c>
      <c r="X6738">
        <v>0.97547729999999999</v>
      </c>
      <c r="Y6738">
        <v>-0.36811240000000001</v>
      </c>
      <c r="Z6738">
        <v>-9.1366639999999999E-2</v>
      </c>
      <c r="AA6738">
        <v>0.92528129999999997</v>
      </c>
      <c r="AB6738">
        <v>30</v>
      </c>
      <c r="AC6738">
        <v>2.6558999999999702</v>
      </c>
      <c r="AD6738">
        <v>-1.116920074529</v>
      </c>
      <c r="AE6738">
        <v>5.1869599999999902</v>
      </c>
      <c r="AF6738">
        <v>-2.1421947235837999</v>
      </c>
      <c r="AG6738">
        <v>-1.116920074529</v>
      </c>
      <c r="AH6738">
        <v>5.1966709438822898</v>
      </c>
      <c r="AI6738">
        <v>101.23878064252899</v>
      </c>
      <c r="AJ6738">
        <v>112.402653155691</v>
      </c>
      <c r="AK6738">
        <v>5.7307850758536301</v>
      </c>
      <c r="AL6738">
        <v>87.357628405175802</v>
      </c>
      <c r="AM6738">
        <v>102.441751113243</v>
      </c>
      <c r="AN6738">
        <v>1.0000000388633601</v>
      </c>
    </row>
    <row r="6739" spans="1:40" x14ac:dyDescent="0.25">
      <c r="A6739" t="str">
        <f>"20190312151154542"</f>
        <v>20190312151154542</v>
      </c>
      <c r="B6739" t="str">
        <f>"1552374714538228"</f>
        <v>1552374714538228</v>
      </c>
      <c r="C6739" t="s">
        <v>40</v>
      </c>
      <c r="D6739">
        <v>5.1734920000000004</v>
      </c>
      <c r="E6739">
        <v>0.44171359999999898</v>
      </c>
      <c r="F6739" t="s">
        <v>85</v>
      </c>
      <c r="G6739">
        <v>-194.74879999999999</v>
      </c>
      <c r="H6739" s="1">
        <v>-3.1292520000000002E-6</v>
      </c>
      <c r="I6739">
        <v>-48.371940000000002</v>
      </c>
      <c r="J6739">
        <v>-197.44120000000001</v>
      </c>
      <c r="K6739">
        <v>1.1169199999999999</v>
      </c>
      <c r="L6739">
        <v>-53.600560000000002</v>
      </c>
      <c r="M6739">
        <v>0.75739250000000002</v>
      </c>
      <c r="N6739">
        <v>0</v>
      </c>
      <c r="O6739">
        <v>0.65284900000000001</v>
      </c>
      <c r="P6739">
        <v>0.59983330000000001</v>
      </c>
      <c r="Q6739">
        <v>3.7680959999999999E-2</v>
      </c>
      <c r="R6739">
        <v>0.79923730000000004</v>
      </c>
      <c r="S6739">
        <v>1.429138</v>
      </c>
      <c r="T6739">
        <v>-0.56704619999999994</v>
      </c>
      <c r="U6739">
        <v>2.7106319999999999</v>
      </c>
      <c r="V6739">
        <v>-0.2145736</v>
      </c>
      <c r="W6739">
        <v>4.5731149999999998E-2</v>
      </c>
      <c r="X6739">
        <v>0.97563670000000002</v>
      </c>
      <c r="Y6739">
        <v>-0.36797279999999999</v>
      </c>
      <c r="Z6739">
        <v>-9.2936190000000002E-2</v>
      </c>
      <c r="AA6739">
        <v>0.92518040000000001</v>
      </c>
      <c r="AB6739">
        <v>30</v>
      </c>
      <c r="AC6739">
        <v>2.6924000000000201</v>
      </c>
      <c r="AD6739">
        <v>-1.1169231292520001</v>
      </c>
      <c r="AE6739">
        <v>5.2286199999999896</v>
      </c>
      <c r="AF6739">
        <v>-2.1258695402540799</v>
      </c>
      <c r="AG6739">
        <v>-1.1169231292520001</v>
      </c>
      <c r="AH6739">
        <v>5.2632600035322996</v>
      </c>
      <c r="AI6739">
        <v>101.13170904127701</v>
      </c>
      <c r="AJ6739">
        <v>111.994145783685</v>
      </c>
      <c r="AK6739">
        <v>5.78521775248098</v>
      </c>
      <c r="AL6739">
        <v>87.37888414551</v>
      </c>
      <c r="AM6739">
        <v>102.40369490603899</v>
      </c>
      <c r="AN6739">
        <v>1.0000000691420801</v>
      </c>
    </row>
    <row r="6740" spans="1:40" x14ac:dyDescent="0.25">
      <c r="A6740" t="str">
        <f>"20190312151154553"</f>
        <v>20190312151154553</v>
      </c>
      <c r="B6740" t="str">
        <f>"1552374714547989"</f>
        <v>1552374714547989</v>
      </c>
      <c r="C6740" t="s">
        <v>40</v>
      </c>
      <c r="D6740">
        <v>5.1897000000000002</v>
      </c>
      <c r="E6740">
        <v>0.4419669</v>
      </c>
      <c r="F6740" t="s">
        <v>85</v>
      </c>
      <c r="G6740">
        <v>-194.64840000000001</v>
      </c>
      <c r="H6740" s="1">
        <v>-3.171935E-6</v>
      </c>
      <c r="I6740">
        <v>-48.262090000000001</v>
      </c>
      <c r="J6740">
        <v>-197.32429999999999</v>
      </c>
      <c r="K6740">
        <v>1.116922</v>
      </c>
      <c r="L6740">
        <v>-53.494079999999997</v>
      </c>
      <c r="M6740">
        <v>0.75436210000000004</v>
      </c>
      <c r="N6740">
        <v>0</v>
      </c>
      <c r="O6740">
        <v>0.65634820000000005</v>
      </c>
      <c r="P6740">
        <v>0.5967346</v>
      </c>
      <c r="Q6740">
        <v>3.762708E-2</v>
      </c>
      <c r="R6740">
        <v>0.80155609999999999</v>
      </c>
      <c r="S6740">
        <v>1.4201349999999999</v>
      </c>
      <c r="T6740">
        <v>-0.5679476</v>
      </c>
      <c r="U6740">
        <v>2.714569</v>
      </c>
      <c r="V6740">
        <v>-0.21383469999999999</v>
      </c>
      <c r="W6740">
        <v>4.5691620000000002E-2</v>
      </c>
      <c r="X6740">
        <v>0.97580069999999997</v>
      </c>
      <c r="Y6740">
        <v>-0.36668089999999998</v>
      </c>
      <c r="Z6740">
        <v>-9.3942890000000001E-2</v>
      </c>
      <c r="AA6740">
        <v>0.92559159999999996</v>
      </c>
      <c r="AB6740">
        <v>30</v>
      </c>
      <c r="AC6740">
        <v>2.67589999999998</v>
      </c>
      <c r="AD6740">
        <v>-1.116925171935</v>
      </c>
      <c r="AE6740">
        <v>5.2319899999999997</v>
      </c>
      <c r="AF6740">
        <v>-2.11427482638631</v>
      </c>
      <c r="AG6740">
        <v>-1.116925171935</v>
      </c>
      <c r="AH6740">
        <v>5.2628818990828501</v>
      </c>
      <c r="AI6740">
        <v>101.140690345384</v>
      </c>
      <c r="AJ6740">
        <v>111.886970209913</v>
      </c>
      <c r="AK6740">
        <v>5.7806233024550897</v>
      </c>
      <c r="AL6740">
        <v>87.381151248357</v>
      </c>
      <c r="AM6740">
        <v>102.360283542754</v>
      </c>
      <c r="AN6740">
        <v>1.0000000045913999</v>
      </c>
    </row>
    <row r="6741" spans="1:40" x14ac:dyDescent="0.25">
      <c r="A6741" t="str">
        <f>"20190312151154565"</f>
        <v>20190312151154565</v>
      </c>
      <c r="B6741" t="str">
        <f>"1552374714557749"</f>
        <v>1552374714557749</v>
      </c>
      <c r="C6741" t="s">
        <v>40</v>
      </c>
      <c r="D6741">
        <v>5.2051080000000001</v>
      </c>
      <c r="E6741">
        <v>0.44206849999999998</v>
      </c>
      <c r="F6741" t="s">
        <v>85</v>
      </c>
      <c r="G6741">
        <v>-194.5316</v>
      </c>
      <c r="H6741" s="1">
        <v>-3.2332459999999998E-6</v>
      </c>
      <c r="I6741">
        <v>-48.114620000000002</v>
      </c>
      <c r="J6741">
        <v>-197.2097</v>
      </c>
      <c r="K6741">
        <v>1.1169260000000001</v>
      </c>
      <c r="L6741">
        <v>-53.388489999999997</v>
      </c>
      <c r="M6741">
        <v>0.75135889999999905</v>
      </c>
      <c r="N6741">
        <v>0</v>
      </c>
      <c r="O6741">
        <v>0.65978389999999998</v>
      </c>
      <c r="P6741">
        <v>0.59361459999999999</v>
      </c>
      <c r="Q6741">
        <v>3.7471209999999998E-2</v>
      </c>
      <c r="R6741">
        <v>0.80387659999999905</v>
      </c>
      <c r="S6741">
        <v>1.4113309999999999</v>
      </c>
      <c r="T6741">
        <v>-0.5644441</v>
      </c>
      <c r="U6741">
        <v>2.7185359999999998</v>
      </c>
      <c r="V6741">
        <v>-0.21317720000000001</v>
      </c>
      <c r="W6741">
        <v>4.5548239999999997E-2</v>
      </c>
      <c r="X6741">
        <v>0.97595129999999997</v>
      </c>
      <c r="Y6741">
        <v>-0.36536259999999998</v>
      </c>
      <c r="Z6741">
        <v>-9.4219399999999995E-2</v>
      </c>
      <c r="AA6741">
        <v>0.92608469999999998</v>
      </c>
      <c r="AB6741">
        <v>30</v>
      </c>
      <c r="AC6741">
        <v>2.6781000000000001</v>
      </c>
      <c r="AD6741">
        <v>-1.1169292332459999</v>
      </c>
      <c r="AE6741">
        <v>5.2738699999999996</v>
      </c>
      <c r="AF6741">
        <v>-2.1201602618207098</v>
      </c>
      <c r="AG6741">
        <v>-1.1169292332459999</v>
      </c>
      <c r="AH6741">
        <v>5.3031276580201103</v>
      </c>
      <c r="AI6741">
        <v>101.065497486775</v>
      </c>
      <c r="AJ6741">
        <v>111.791249127589</v>
      </c>
      <c r="AK6741">
        <v>5.8194306770629201</v>
      </c>
      <c r="AL6741">
        <v>87.389374998661395</v>
      </c>
      <c r="AM6741">
        <v>102.321597564767</v>
      </c>
      <c r="AN6741">
        <v>1.0000000503693101</v>
      </c>
    </row>
    <row r="6742" spans="1:40" x14ac:dyDescent="0.25">
      <c r="A6742" t="str">
        <f>"20190312151154577"</f>
        <v>20190312151154577</v>
      </c>
      <c r="B6742" t="str">
        <f>"1552374714567510"</f>
        <v>1552374714567510</v>
      </c>
      <c r="C6742" t="s">
        <v>40</v>
      </c>
      <c r="D6742">
        <v>5.1476550000000003</v>
      </c>
      <c r="E6742">
        <v>0.44217459999999997</v>
      </c>
      <c r="F6742" t="s">
        <v>85</v>
      </c>
      <c r="G6742">
        <v>-194.4117</v>
      </c>
      <c r="H6742" s="1">
        <v>-3.3028080000000002E-6</v>
      </c>
      <c r="I6742">
        <v>-47.952089999999998</v>
      </c>
      <c r="J6742">
        <v>-197.09200000000001</v>
      </c>
      <c r="K6742">
        <v>1.1169290000000001</v>
      </c>
      <c r="L6742">
        <v>-53.27966</v>
      </c>
      <c r="M6742">
        <v>0.74825419999999998</v>
      </c>
      <c r="N6742">
        <v>0</v>
      </c>
      <c r="O6742">
        <v>0.66330279999999997</v>
      </c>
      <c r="P6742">
        <v>0.59028380000000003</v>
      </c>
      <c r="Q6742">
        <v>3.7461710000000002E-2</v>
      </c>
      <c r="R6742">
        <v>0.80632609999999905</v>
      </c>
      <c r="S6742">
        <v>1.4014740000000001</v>
      </c>
      <c r="T6742">
        <v>-0.55946830000000003</v>
      </c>
      <c r="U6742">
        <v>2.7230829999999999</v>
      </c>
      <c r="V6742">
        <v>-0.21263499999999999</v>
      </c>
      <c r="W6742">
        <v>4.5548709999999999E-2</v>
      </c>
      <c r="X6742">
        <v>0.97606950000000003</v>
      </c>
      <c r="Y6742">
        <v>-0.36427219999999999</v>
      </c>
      <c r="Z6742">
        <v>-9.4242229999999996E-2</v>
      </c>
      <c r="AA6742">
        <v>0.9265118</v>
      </c>
      <c r="AB6742">
        <v>30</v>
      </c>
      <c r="AC6742">
        <v>2.6803000000000101</v>
      </c>
      <c r="AD6742">
        <v>-1.116932302808</v>
      </c>
      <c r="AE6742">
        <v>5.3275699999999899</v>
      </c>
      <c r="AF6742">
        <v>-2.13384037739322</v>
      </c>
      <c r="AG6742">
        <v>-1.116932302808</v>
      </c>
      <c r="AH6742">
        <v>5.3520139733021903</v>
      </c>
      <c r="AI6742">
        <v>100.970952504355</v>
      </c>
      <c r="AJ6742">
        <v>111.737099784344</v>
      </c>
      <c r="AK6742">
        <v>5.8689748760470497</v>
      </c>
      <c r="AL6742">
        <v>87.389347906211498</v>
      </c>
      <c r="AM6742">
        <v>102.289769138198</v>
      </c>
      <c r="AN6742">
        <v>0.99999999851895605</v>
      </c>
    </row>
    <row r="6743" spans="1:40" x14ac:dyDescent="0.25">
      <c r="A6743" t="str">
        <f>"20190312151154588"</f>
        <v>20190312151154588</v>
      </c>
      <c r="B6743" t="str">
        <f>"1552374714578245"</f>
        <v>1552374714578245</v>
      </c>
      <c r="C6743" t="s">
        <v>40</v>
      </c>
      <c r="D6743">
        <v>5.1469680000000002</v>
      </c>
      <c r="E6743">
        <v>0.44230619999999998</v>
      </c>
      <c r="F6743" t="s">
        <v>85</v>
      </c>
      <c r="G6743">
        <v>-194.30340000000001</v>
      </c>
      <c r="H6743" s="1">
        <v>-3.3631090000000001E-6</v>
      </c>
      <c r="I6743">
        <v>-47.8095</v>
      </c>
      <c r="J6743">
        <v>-196.98</v>
      </c>
      <c r="K6743">
        <v>1.11693</v>
      </c>
      <c r="L6743">
        <v>-53.174379999999999</v>
      </c>
      <c r="M6743">
        <v>0.74526079999999995</v>
      </c>
      <c r="N6743">
        <v>0</v>
      </c>
      <c r="O6743">
        <v>0.66666440000000005</v>
      </c>
      <c r="P6743">
        <v>0.58710109999999904</v>
      </c>
      <c r="Q6743">
        <v>3.7369550000000001E-2</v>
      </c>
      <c r="R6743">
        <v>0.80865069999999994</v>
      </c>
      <c r="S6743">
        <v>1.390854</v>
      </c>
      <c r="T6743">
        <v>-0.55707600000000002</v>
      </c>
      <c r="U6743">
        <v>2.7282709999999999</v>
      </c>
      <c r="V6743">
        <v>-0.21208979999999999</v>
      </c>
      <c r="W6743">
        <v>4.5466779999999998E-2</v>
      </c>
      <c r="X6743">
        <v>0.9761919</v>
      </c>
      <c r="Y6743">
        <v>-0.3636703</v>
      </c>
      <c r="Z6743">
        <v>-9.4602199999999997E-2</v>
      </c>
      <c r="AA6743">
        <v>0.92671159999999997</v>
      </c>
      <c r="AB6743">
        <v>30</v>
      </c>
      <c r="AC6743">
        <v>2.6765999999999699</v>
      </c>
      <c r="AD6743">
        <v>-1.1169333631089999</v>
      </c>
      <c r="AE6743">
        <v>5.3648800000000003</v>
      </c>
      <c r="AF6743">
        <v>-2.13973980936573</v>
      </c>
      <c r="AG6743">
        <v>-1.1169333631089999</v>
      </c>
      <c r="AH6743">
        <v>5.3848573513776099</v>
      </c>
      <c r="AI6743">
        <v>100.91054553825801</v>
      </c>
      <c r="AJ6743">
        <v>111.671012075669</v>
      </c>
      <c r="AK6743">
        <v>5.9010774680642797</v>
      </c>
      <c r="AL6743">
        <v>87.394046939464204</v>
      </c>
      <c r="AM6743">
        <v>102.257721429889</v>
      </c>
      <c r="AN6743">
        <v>0.99999996848660799</v>
      </c>
    </row>
    <row r="6744" spans="1:40" x14ac:dyDescent="0.25">
      <c r="A6744" t="str">
        <f>"20190312151154608"</f>
        <v>20190312151154608</v>
      </c>
      <c r="B6744" t="str">
        <f>"1552374714597765"</f>
        <v>1552374714597765</v>
      </c>
      <c r="C6744" t="s">
        <v>40</v>
      </c>
      <c r="D6744">
        <v>5.1693220000000002</v>
      </c>
      <c r="E6744">
        <v>0.44248920000000003</v>
      </c>
      <c r="F6744" t="s">
        <v>85</v>
      </c>
      <c r="G6744">
        <v>-194.19900000000001</v>
      </c>
      <c r="H6744" s="1">
        <v>-3.421676E-6</v>
      </c>
      <c r="I6744">
        <v>-47.671370000000003</v>
      </c>
      <c r="J6744">
        <v>-196.79599999999999</v>
      </c>
      <c r="K6744">
        <v>1.1169389999999999</v>
      </c>
      <c r="L6744">
        <v>-53</v>
      </c>
      <c r="M6744">
        <v>0.74029080000000003</v>
      </c>
      <c r="N6744">
        <v>0</v>
      </c>
      <c r="O6744">
        <v>0.67217890000000002</v>
      </c>
      <c r="P6744">
        <v>0.58205220000000002</v>
      </c>
      <c r="Q6744">
        <v>3.7158910000000003E-2</v>
      </c>
      <c r="R6744">
        <v>0.81230199999999997</v>
      </c>
      <c r="S6744">
        <v>1.3810420000000001</v>
      </c>
      <c r="T6744">
        <v>-0.55468030000000002</v>
      </c>
      <c r="U6744">
        <v>2.7328489999999999</v>
      </c>
      <c r="V6744">
        <v>-0.21092730000000001</v>
      </c>
      <c r="W6744">
        <v>4.5278619999999999E-2</v>
      </c>
      <c r="X6744">
        <v>0.97645249999999995</v>
      </c>
      <c r="Y6744">
        <v>-0.36008449999999997</v>
      </c>
      <c r="Z6744">
        <v>-9.5627770000000001E-2</v>
      </c>
      <c r="AA6744">
        <v>0.92800570000000004</v>
      </c>
      <c r="AB6744">
        <v>30</v>
      </c>
      <c r="AC6744">
        <v>2.59699999999998</v>
      </c>
      <c r="AD6744">
        <v>-1.116942421676</v>
      </c>
      <c r="AE6744">
        <v>5.3286299999999898</v>
      </c>
      <c r="AF6744">
        <v>-2.12384204702319</v>
      </c>
      <c r="AG6744">
        <v>-1.116942421676</v>
      </c>
      <c r="AH6744">
        <v>5.3159889016740998</v>
      </c>
      <c r="AI6744">
        <v>101.040530998297</v>
      </c>
      <c r="AJ6744">
        <v>111.777679872181</v>
      </c>
      <c r="AK6744">
        <v>5.8324954707882304</v>
      </c>
      <c r="AL6744">
        <v>87.404838863134898</v>
      </c>
      <c r="AM6744">
        <v>102.189393398646</v>
      </c>
      <c r="AN6744">
        <v>0.99999998203532203</v>
      </c>
    </row>
    <row r="6745" spans="1:40" x14ac:dyDescent="0.25">
      <c r="A6745" t="str">
        <f>"20190312151154620"</f>
        <v>20190312151154620</v>
      </c>
      <c r="B6745" t="str">
        <f>"1552374714618261"</f>
        <v>1552374714618261</v>
      </c>
      <c r="C6745" t="s">
        <v>40</v>
      </c>
      <c r="D6745">
        <v>5.1735620000000004</v>
      </c>
      <c r="E6745">
        <v>0.44261210000000001</v>
      </c>
      <c r="F6745" t="s">
        <v>85</v>
      </c>
      <c r="G6745">
        <v>-194.02699999999999</v>
      </c>
      <c r="H6745" s="1">
        <v>-3.5200000000000002E-6</v>
      </c>
      <c r="I6745">
        <v>-47.44061</v>
      </c>
      <c r="J6745">
        <v>-196.67679999999999</v>
      </c>
      <c r="K6745">
        <v>1.116938</v>
      </c>
      <c r="L6745">
        <v>-52.885710000000003</v>
      </c>
      <c r="M6745">
        <v>0.73703079999999999</v>
      </c>
      <c r="N6745">
        <v>0</v>
      </c>
      <c r="O6745">
        <v>0.67575180000000001</v>
      </c>
      <c r="P6745">
        <v>0.57851719999999995</v>
      </c>
      <c r="Q6745">
        <v>3.7113420000000001E-2</v>
      </c>
      <c r="R6745">
        <v>0.81482540000000003</v>
      </c>
      <c r="S6745">
        <v>1.3649290000000001</v>
      </c>
      <c r="T6745">
        <v>-0.55056759999999905</v>
      </c>
      <c r="U6745">
        <v>2.7403559999999998</v>
      </c>
      <c r="V6745">
        <v>-0.21044760000000001</v>
      </c>
      <c r="W6745">
        <v>4.5241950000000003E-2</v>
      </c>
      <c r="X6745">
        <v>0.97655769999999997</v>
      </c>
      <c r="Y6745">
        <v>-0.36094599999999999</v>
      </c>
      <c r="Z6745">
        <v>-9.5627249999999997E-2</v>
      </c>
      <c r="AA6745">
        <v>0.92767100000000002</v>
      </c>
      <c r="AB6745">
        <v>30</v>
      </c>
      <c r="AC6745">
        <v>2.6497999999999702</v>
      </c>
      <c r="AD6745">
        <v>-1.1169415199999999</v>
      </c>
      <c r="AE6745">
        <v>5.4450999999999903</v>
      </c>
      <c r="AF6745">
        <v>-2.1496286639984699</v>
      </c>
      <c r="AG6745">
        <v>-1.1169415199999999</v>
      </c>
      <c r="AH6745">
        <v>5.4475978782985699</v>
      </c>
      <c r="AI6745">
        <v>100.79789153564801</v>
      </c>
      <c r="AJ6745">
        <v>111.53425163968301</v>
      </c>
      <c r="AK6745">
        <v>5.9619446823856697</v>
      </c>
      <c r="AL6745">
        <v>87.406942059556698</v>
      </c>
      <c r="AM6745">
        <v>102.161226742211</v>
      </c>
      <c r="AN6745">
        <v>0.99999998390742595</v>
      </c>
    </row>
    <row r="6746" spans="1:40" x14ac:dyDescent="0.25">
      <c r="A6746" t="str">
        <f>"20190312151154631"</f>
        <v>20190312151154631</v>
      </c>
      <c r="B6746" t="str">
        <f>"1552374714628021"</f>
        <v>1552374714628021</v>
      </c>
      <c r="C6746" t="s">
        <v>40</v>
      </c>
      <c r="D6746">
        <v>5.1557979999999999</v>
      </c>
      <c r="E6746">
        <v>0.4427893</v>
      </c>
      <c r="F6746" t="s">
        <v>85</v>
      </c>
      <c r="G6746">
        <v>-193.9195</v>
      </c>
      <c r="H6746" s="1">
        <v>-3.5768819999999999E-6</v>
      </c>
      <c r="I6746">
        <v>-47.293500000000002</v>
      </c>
      <c r="J6746">
        <v>-196.5626</v>
      </c>
      <c r="K6746">
        <v>1.11694</v>
      </c>
      <c r="L6746">
        <v>-52.775019999999998</v>
      </c>
      <c r="M6746">
        <v>0.73387500000000006</v>
      </c>
      <c r="N6746">
        <v>0</v>
      </c>
      <c r="O6746">
        <v>0.67917780000000005</v>
      </c>
      <c r="P6746">
        <v>0.57509290000000002</v>
      </c>
      <c r="Q6746">
        <v>3.7035489999999997E-2</v>
      </c>
      <c r="R6746">
        <v>0.81724940000000001</v>
      </c>
      <c r="S6746">
        <v>1.3537600000000001</v>
      </c>
      <c r="T6746">
        <v>-0.54838989999999999</v>
      </c>
      <c r="U6746">
        <v>2.7456360000000002</v>
      </c>
      <c r="V6746">
        <v>-0.2099984</v>
      </c>
      <c r="W6746">
        <v>4.5171919999999997E-2</v>
      </c>
      <c r="X6746">
        <v>0.97665769999999996</v>
      </c>
      <c r="Y6746">
        <v>-0.3603596</v>
      </c>
      <c r="Z6746">
        <v>-9.6014020000000005E-2</v>
      </c>
      <c r="AA6746">
        <v>0.92785890000000004</v>
      </c>
      <c r="AB6746">
        <v>30</v>
      </c>
      <c r="AC6746">
        <v>2.6431</v>
      </c>
      <c r="AD6746">
        <v>-1.116943576882</v>
      </c>
      <c r="AE6746">
        <v>5.48151999999999</v>
      </c>
      <c r="AF6746">
        <v>-2.1551740177438798</v>
      </c>
      <c r="AG6746">
        <v>-1.116943576882</v>
      </c>
      <c r="AH6746">
        <v>5.4784840211886703</v>
      </c>
      <c r="AI6746">
        <v>100.742792848468</v>
      </c>
      <c r="AJ6746">
        <v>111.47411833256299</v>
      </c>
      <c r="AK6746">
        <v>5.9921719911160602</v>
      </c>
      <c r="AL6746">
        <v>87.410958751975798</v>
      </c>
      <c r="AM6746">
        <v>102.13483310282599</v>
      </c>
      <c r="AN6746">
        <v>1.0000000466641601</v>
      </c>
    </row>
    <row r="6747" spans="1:40" x14ac:dyDescent="0.25">
      <c r="A6747" t="str">
        <f>"20190312151154643"</f>
        <v>20190312151154643</v>
      </c>
      <c r="B6747" t="str">
        <f>"1552374714637781"</f>
        <v>1552374714637781</v>
      </c>
      <c r="C6747" t="s">
        <v>40</v>
      </c>
      <c r="D6747">
        <v>5.1758069999999998</v>
      </c>
      <c r="E6747">
        <v>0.44300909999999899</v>
      </c>
      <c r="F6747" t="s">
        <v>85</v>
      </c>
      <c r="G6747">
        <v>-193.8229</v>
      </c>
      <c r="H6747" s="1">
        <v>-3.624347E-6</v>
      </c>
      <c r="I6747">
        <v>-47.165019999999998</v>
      </c>
      <c r="J6747">
        <v>-196.4554</v>
      </c>
      <c r="K6747">
        <v>1.116943</v>
      </c>
      <c r="L6747">
        <v>-52.670169999999999</v>
      </c>
      <c r="M6747">
        <v>0.73088379999999997</v>
      </c>
      <c r="N6747">
        <v>0</v>
      </c>
      <c r="O6747">
        <v>0.68239569999999905</v>
      </c>
      <c r="P6747">
        <v>0.57193760000000005</v>
      </c>
      <c r="Q6747">
        <v>3.6873280000000001E-2</v>
      </c>
      <c r="R6747">
        <v>0.81946799999999997</v>
      </c>
      <c r="S6747">
        <v>1.3431850000000001</v>
      </c>
      <c r="T6747">
        <v>-0.54761269999999995</v>
      </c>
      <c r="U6747">
        <v>2.7504580000000001</v>
      </c>
      <c r="V6747">
        <v>-0.20947540000000001</v>
      </c>
      <c r="W6747">
        <v>4.5019490000000002E-2</v>
      </c>
      <c r="X6747">
        <v>0.97677700000000001</v>
      </c>
      <c r="Y6747">
        <v>-0.3598073</v>
      </c>
      <c r="Z6747">
        <v>-9.6594639999999996E-2</v>
      </c>
      <c r="AA6747">
        <v>0.92801299999999998</v>
      </c>
      <c r="AB6747">
        <v>30</v>
      </c>
      <c r="AC6747">
        <v>2.6324999999999901</v>
      </c>
      <c r="AD6747">
        <v>-1.1169466243469901</v>
      </c>
      <c r="AE6747">
        <v>5.5051500000000004</v>
      </c>
      <c r="AF6747">
        <v>-2.1551733740043399</v>
      </c>
      <c r="AG6747">
        <v>-1.1169466243469901</v>
      </c>
      <c r="AH6747">
        <v>5.4969845966882396</v>
      </c>
      <c r="AI6747">
        <v>100.71221633811101</v>
      </c>
      <c r="AJ6747">
        <v>111.408390438525</v>
      </c>
      <c r="AK6747">
        <v>6.0090915860789798</v>
      </c>
      <c r="AL6747">
        <v>87.419701127733703</v>
      </c>
      <c r="AM6747">
        <v>102.104068895178</v>
      </c>
      <c r="AN6747">
        <v>1.0000000027070099</v>
      </c>
    </row>
    <row r="6748" spans="1:40" x14ac:dyDescent="0.25">
      <c r="A6748" t="str">
        <f>"20190312151154655"</f>
        <v>20190312151154655</v>
      </c>
      <c r="B6748" t="str">
        <f>"1552374714647540"</f>
        <v>1552374714647540</v>
      </c>
      <c r="C6748" t="s">
        <v>40</v>
      </c>
      <c r="D6748">
        <v>5.1599629999999896</v>
      </c>
      <c r="E6748">
        <v>0.4431601</v>
      </c>
      <c r="F6748" t="s">
        <v>85</v>
      </c>
      <c r="G6748">
        <v>-193.73820000000001</v>
      </c>
      <c r="H6748" s="1">
        <v>-3.6628080000000001E-6</v>
      </c>
      <c r="I6748">
        <v>-47.058610000000002</v>
      </c>
      <c r="J6748">
        <v>-196.34129999999999</v>
      </c>
      <c r="K6748">
        <v>1.1169469999999999</v>
      </c>
      <c r="L6748">
        <v>-52.557859999999998</v>
      </c>
      <c r="M6748">
        <v>0.72767590000000004</v>
      </c>
      <c r="N6748">
        <v>0</v>
      </c>
      <c r="O6748">
        <v>0.68581530000000002</v>
      </c>
      <c r="P6748">
        <v>0.56842119999999996</v>
      </c>
      <c r="Q6748">
        <v>3.6406229999999998E-2</v>
      </c>
      <c r="R6748">
        <v>0.82193179999999999</v>
      </c>
      <c r="S6748">
        <v>1.333847</v>
      </c>
      <c r="T6748">
        <v>-0.54830100000000004</v>
      </c>
      <c r="U6748">
        <v>2.7546689999999998</v>
      </c>
      <c r="V6748">
        <v>-0.20908750000000001</v>
      </c>
      <c r="W6748">
        <v>4.4559809999999998E-2</v>
      </c>
      <c r="X6748">
        <v>0.97688120000000001</v>
      </c>
      <c r="Y6748">
        <v>-0.35858119999999999</v>
      </c>
      <c r="Z6748">
        <v>-9.7516950000000005E-2</v>
      </c>
      <c r="AA6748">
        <v>0.92839110000000002</v>
      </c>
      <c r="AB6748">
        <v>30</v>
      </c>
      <c r="AC6748">
        <v>2.60309999999998</v>
      </c>
      <c r="AD6748">
        <v>-1.1169506628079999</v>
      </c>
      <c r="AE6748">
        <v>5.49925</v>
      </c>
      <c r="AF6748">
        <v>-2.14431881090362</v>
      </c>
      <c r="AG6748">
        <v>-1.1169506628079999</v>
      </c>
      <c r="AH6748">
        <v>5.4813610276061002</v>
      </c>
      <c r="AI6748">
        <v>100.745152009541</v>
      </c>
      <c r="AJ6748">
        <v>111.365531358908</v>
      </c>
      <c r="AK6748">
        <v>5.9909098358180399</v>
      </c>
      <c r="AL6748">
        <v>87.446065351801195</v>
      </c>
      <c r="AM6748">
        <v>102.081063226673</v>
      </c>
      <c r="AN6748">
        <v>1.0000000191184599</v>
      </c>
    </row>
    <row r="6749" spans="1:40" x14ac:dyDescent="0.25">
      <c r="A6749" t="str">
        <f>"20190312151154668"</f>
        <v>20190312151154668</v>
      </c>
      <c r="B6749" t="str">
        <f>"1552374714658277"</f>
        <v>1552374714658277</v>
      </c>
      <c r="C6749" t="s">
        <v>40</v>
      </c>
      <c r="D6749">
        <v>5.2057710000000004</v>
      </c>
      <c r="E6749">
        <v>0.44328960000000001</v>
      </c>
      <c r="F6749" t="s">
        <v>85</v>
      </c>
      <c r="G6749">
        <v>-193.64840000000001</v>
      </c>
      <c r="H6749" s="1">
        <v>-3.706201E-6</v>
      </c>
      <c r="I6749">
        <v>-46.940629999999999</v>
      </c>
      <c r="J6749">
        <v>-196.22579999999999</v>
      </c>
      <c r="K6749">
        <v>1.1169500000000001</v>
      </c>
      <c r="L6749">
        <v>-52.442570000000003</v>
      </c>
      <c r="M6749">
        <v>0.72438689999999994</v>
      </c>
      <c r="N6749">
        <v>0</v>
      </c>
      <c r="O6749">
        <v>0.68928840000000002</v>
      </c>
      <c r="P6749">
        <v>0.56482670000000001</v>
      </c>
      <c r="Q6749">
        <v>3.6385569999999999E-2</v>
      </c>
      <c r="R6749">
        <v>0.824407</v>
      </c>
      <c r="S6749">
        <v>1.3228610000000001</v>
      </c>
      <c r="T6749">
        <v>-0.54868879999999998</v>
      </c>
      <c r="U6749">
        <v>2.7593990000000002</v>
      </c>
      <c r="V6749">
        <v>-0.20868049999999999</v>
      </c>
      <c r="W6749">
        <v>4.4545990000000001E-2</v>
      </c>
      <c r="X6749">
        <v>0.97696879999999997</v>
      </c>
      <c r="Y6749">
        <v>-0.35777999999999999</v>
      </c>
      <c r="Z6749">
        <v>-9.8376340000000007E-2</v>
      </c>
      <c r="AA6749">
        <v>0.92860949999999998</v>
      </c>
      <c r="AB6749">
        <v>30</v>
      </c>
      <c r="AC6749">
        <v>2.5773999999999799</v>
      </c>
      <c r="AD6749">
        <v>-1.116953706201</v>
      </c>
      <c r="AE6749">
        <v>5.5019399999999896</v>
      </c>
      <c r="AF6749">
        <v>-2.1369012606583899</v>
      </c>
      <c r="AG6749">
        <v>-1.116953706201</v>
      </c>
      <c r="AH6749">
        <v>5.4748370580729198</v>
      </c>
      <c r="AI6749">
        <v>100.760851875827</v>
      </c>
      <c r="AJ6749">
        <v>111.32135871287301</v>
      </c>
      <c r="AK6749">
        <v>5.9822883073325803</v>
      </c>
      <c r="AL6749">
        <v>87.446857831407002</v>
      </c>
      <c r="AM6749">
        <v>102.057186131183</v>
      </c>
      <c r="AN6749">
        <v>0.99999996623938403</v>
      </c>
    </row>
    <row r="6750" spans="1:40" x14ac:dyDescent="0.25">
      <c r="A6750" t="str">
        <f>"20190312151154686"</f>
        <v>20190312151154686</v>
      </c>
      <c r="B6750" t="str">
        <f>"1552374714677796"</f>
        <v>1552374714677796</v>
      </c>
      <c r="C6750" t="s">
        <v>40</v>
      </c>
      <c r="D6750">
        <v>5.1700239999999997</v>
      </c>
      <c r="E6750">
        <v>0.44349490000000003</v>
      </c>
      <c r="F6750" t="s">
        <v>85</v>
      </c>
      <c r="G6750">
        <v>-193.56960000000001</v>
      </c>
      <c r="H6750" s="1">
        <v>-3.741567E-6</v>
      </c>
      <c r="I6750">
        <v>-46.842480000000002</v>
      </c>
      <c r="J6750">
        <v>-196.04990000000001</v>
      </c>
      <c r="K6750">
        <v>1.1169519999999999</v>
      </c>
      <c r="L6750">
        <v>-52.265169999999998</v>
      </c>
      <c r="M6750">
        <v>0.71931789999999995</v>
      </c>
      <c r="N6750">
        <v>0</v>
      </c>
      <c r="O6750">
        <v>0.69457639999999998</v>
      </c>
      <c r="P6750">
        <v>0.55932519999999997</v>
      </c>
      <c r="Q6750">
        <v>3.5904850000000002E-2</v>
      </c>
      <c r="R6750">
        <v>0.82817039999999997</v>
      </c>
      <c r="S6750">
        <v>1.3113859999999999</v>
      </c>
      <c r="T6750">
        <v>-0.55145390000000005</v>
      </c>
      <c r="U6750">
        <v>2.7648320000000002</v>
      </c>
      <c r="V6750">
        <v>-0.2080359</v>
      </c>
      <c r="W6750">
        <v>4.4078199999999998E-2</v>
      </c>
      <c r="X6750">
        <v>0.97712759999999999</v>
      </c>
      <c r="Y6750">
        <v>-0.3548809</v>
      </c>
      <c r="Z6750">
        <v>-0.10016890000000001</v>
      </c>
      <c r="AA6750">
        <v>0.92952979999999996</v>
      </c>
      <c r="AB6750">
        <v>30</v>
      </c>
      <c r="AC6750">
        <v>2.4803000000000002</v>
      </c>
      <c r="AD6750">
        <v>-1.1169557415669999</v>
      </c>
      <c r="AE6750">
        <v>5.4226899999999896</v>
      </c>
      <c r="AF6750">
        <v>-2.1042089360496101</v>
      </c>
      <c r="AG6750">
        <v>-1.1169557415669999</v>
      </c>
      <c r="AH6750">
        <v>5.36283652246148</v>
      </c>
      <c r="AI6750">
        <v>100.972728124798</v>
      </c>
      <c r="AJ6750">
        <v>111.423485925809</v>
      </c>
      <c r="AK6750">
        <v>5.8681599281050003</v>
      </c>
      <c r="AL6750">
        <v>87.473686878481303</v>
      </c>
      <c r="AM6750">
        <v>102.019130458094</v>
      </c>
      <c r="AN6750">
        <v>1.0000000850429001</v>
      </c>
    </row>
    <row r="6751" spans="1:40" x14ac:dyDescent="0.25">
      <c r="A6751" t="str">
        <f>"20190312151154699"</f>
        <v>20190312151154699</v>
      </c>
      <c r="B6751" t="str">
        <f>"1552374714687556"</f>
        <v>1552374714687556</v>
      </c>
      <c r="C6751" t="s">
        <v>40</v>
      </c>
      <c r="D6751">
        <v>5.23149</v>
      </c>
      <c r="E6751">
        <v>0.44366100000000003</v>
      </c>
      <c r="F6751" t="s">
        <v>85</v>
      </c>
      <c r="G6751">
        <v>-193.42439999999999</v>
      </c>
      <c r="H6751" s="1">
        <v>-3.8175390000000003E-6</v>
      </c>
      <c r="I6751">
        <v>-46.640129999999999</v>
      </c>
      <c r="J6751">
        <v>-195.93520000000001</v>
      </c>
      <c r="K6751">
        <v>1.116957</v>
      </c>
      <c r="L6751">
        <v>-52.148499999999999</v>
      </c>
      <c r="M6751">
        <v>0.71597690000000003</v>
      </c>
      <c r="N6751">
        <v>0</v>
      </c>
      <c r="O6751">
        <v>0.69801990000000003</v>
      </c>
      <c r="P6751">
        <v>0.55561439999999995</v>
      </c>
      <c r="Q6751">
        <v>3.5974640000000002E-2</v>
      </c>
      <c r="R6751">
        <v>0.83066149999999905</v>
      </c>
      <c r="S6751">
        <v>1.2939909999999999</v>
      </c>
      <c r="T6751">
        <v>-0.55050540000000003</v>
      </c>
      <c r="U6751">
        <v>2.7723689999999999</v>
      </c>
      <c r="V6751">
        <v>-0.20771829999999999</v>
      </c>
      <c r="W6751">
        <v>4.4155850000000003E-2</v>
      </c>
      <c r="X6751">
        <v>0.97719160000000005</v>
      </c>
      <c r="Y6751">
        <v>-0.35616189999999998</v>
      </c>
      <c r="Z6751">
        <v>-0.100646</v>
      </c>
      <c r="AA6751">
        <v>0.92898820000000004</v>
      </c>
      <c r="AB6751">
        <v>30</v>
      </c>
      <c r="AC6751">
        <v>2.5108000000000099</v>
      </c>
      <c r="AD6751">
        <v>-1.116960817539</v>
      </c>
      <c r="AE6751">
        <v>5.5083699999999904</v>
      </c>
      <c r="AF6751">
        <v>-2.1192865875315401</v>
      </c>
      <c r="AG6751">
        <v>-1.116960817539</v>
      </c>
      <c r="AH6751">
        <v>5.4572476843345701</v>
      </c>
      <c r="AI6751">
        <v>100.80181070149401</v>
      </c>
      <c r="AJ6751">
        <v>111.223356337589</v>
      </c>
      <c r="AK6751">
        <v>5.9599101835668202</v>
      </c>
      <c r="AL6751">
        <v>87.469233379122997</v>
      </c>
      <c r="AM6751">
        <v>102.000550517088</v>
      </c>
      <c r="AN6751">
        <v>1.0000000271773299</v>
      </c>
    </row>
    <row r="6752" spans="1:40" x14ac:dyDescent="0.25">
      <c r="A6752" t="str">
        <f>"20190312151154712"</f>
        <v>20190312151154712</v>
      </c>
      <c r="B6752" t="str">
        <f>"1552374714708053"</f>
        <v>1552374714708053</v>
      </c>
      <c r="C6752" t="s">
        <v>40</v>
      </c>
      <c r="D6752">
        <v>5.187538</v>
      </c>
      <c r="E6752">
        <v>0.443859</v>
      </c>
      <c r="F6752" t="s">
        <v>85</v>
      </c>
      <c r="G6752">
        <v>-193.3289</v>
      </c>
      <c r="H6752" s="1">
        <v>-3.869178E-6</v>
      </c>
      <c r="I6752">
        <v>-46.503749999999997</v>
      </c>
      <c r="J6752">
        <v>-195.8</v>
      </c>
      <c r="K6752">
        <v>1.1169659999999999</v>
      </c>
      <c r="L6752">
        <v>-52.008850000000002</v>
      </c>
      <c r="M6752">
        <v>0.711982</v>
      </c>
      <c r="N6752">
        <v>0</v>
      </c>
      <c r="O6752">
        <v>0.70209409999999906</v>
      </c>
      <c r="P6752">
        <v>0.55110749999999997</v>
      </c>
      <c r="Q6752">
        <v>3.6001169999999999E-2</v>
      </c>
      <c r="R6752">
        <v>0.83365730000000005</v>
      </c>
      <c r="S6752">
        <v>1.28244</v>
      </c>
      <c r="T6752">
        <v>-0.54961759999999904</v>
      </c>
      <c r="U6752">
        <v>2.7775880000000002</v>
      </c>
      <c r="V6752">
        <v>-0.2074347</v>
      </c>
      <c r="W6752">
        <v>4.4191580000000001E-2</v>
      </c>
      <c r="X6752">
        <v>0.97725019999999996</v>
      </c>
      <c r="Y6752">
        <v>-0.35471350000000001</v>
      </c>
      <c r="Z6752">
        <v>-0.10144160000000001</v>
      </c>
      <c r="AA6752">
        <v>0.9294557</v>
      </c>
      <c r="AB6752">
        <v>30</v>
      </c>
      <c r="AC6752">
        <v>2.4710999999999999</v>
      </c>
      <c r="AD6752">
        <v>-1.1169698691779999</v>
      </c>
      <c r="AE6752">
        <v>5.5050999999999997</v>
      </c>
      <c r="AF6752">
        <v>-2.11236898331076</v>
      </c>
      <c r="AG6752">
        <v>-1.1169698691779999</v>
      </c>
      <c r="AH6752">
        <v>5.4385422062273898</v>
      </c>
      <c r="AI6752">
        <v>100.83794250003101</v>
      </c>
      <c r="AJ6752">
        <v>111.226528739762</v>
      </c>
      <c r="AK6752">
        <v>5.9403253900120303</v>
      </c>
      <c r="AL6752">
        <v>87.467184136773</v>
      </c>
      <c r="AM6752">
        <v>101.98394222081799</v>
      </c>
      <c r="AN6752">
        <v>1.00000000195351</v>
      </c>
    </row>
    <row r="6753" spans="1:40" x14ac:dyDescent="0.25">
      <c r="A6753" t="str">
        <f>"20190312151154733"</f>
        <v>20190312151154733</v>
      </c>
      <c r="B6753" t="str">
        <f>"1552374714727573"</f>
        <v>1552374714727573</v>
      </c>
      <c r="C6753" t="s">
        <v>40</v>
      </c>
      <c r="D6753">
        <v>5.107939</v>
      </c>
      <c r="E6753">
        <v>0.43164609999999898</v>
      </c>
      <c r="F6753" t="s">
        <v>85</v>
      </c>
      <c r="G6753">
        <v>-193.22730000000001</v>
      </c>
      <c r="H6753" s="1">
        <v>-3.9217169999999999E-6</v>
      </c>
      <c r="I6753">
        <v>-46.363379999999999</v>
      </c>
      <c r="J6753">
        <v>-195.61850000000001</v>
      </c>
      <c r="K6753">
        <v>1.116981</v>
      </c>
      <c r="L6753">
        <v>-51.81915</v>
      </c>
      <c r="M6753">
        <v>0.70654110000000003</v>
      </c>
      <c r="N6753">
        <v>0</v>
      </c>
      <c r="O6753">
        <v>0.707569</v>
      </c>
      <c r="P6753">
        <v>0.54497959999999901</v>
      </c>
      <c r="Q6753">
        <v>3.5917480000000002E-2</v>
      </c>
      <c r="R6753">
        <v>0.83767969999999903</v>
      </c>
      <c r="S6753">
        <v>1.2685850000000001</v>
      </c>
      <c r="T6753">
        <v>-0.5507725</v>
      </c>
      <c r="U6753">
        <v>2.7837519999999998</v>
      </c>
      <c r="V6753">
        <v>-0.2070602</v>
      </c>
      <c r="W6753">
        <v>4.4119169999999999E-2</v>
      </c>
      <c r="X6753">
        <v>0.97733289999999995</v>
      </c>
      <c r="Y6753">
        <v>-0.35217510000000002</v>
      </c>
      <c r="Z6753">
        <v>-0.1029756</v>
      </c>
      <c r="AA6753">
        <v>0.93025199999999997</v>
      </c>
      <c r="AB6753">
        <v>30</v>
      </c>
      <c r="AC6753">
        <v>2.3911999999999898</v>
      </c>
      <c r="AD6753">
        <v>-1.116984921717</v>
      </c>
      <c r="AE6753">
        <v>5.4557700000000002</v>
      </c>
      <c r="AF6753">
        <v>-2.0894747256235502</v>
      </c>
      <c r="AG6753">
        <v>-1.116984921717</v>
      </c>
      <c r="AH6753">
        <v>5.3616926355919796</v>
      </c>
      <c r="AI6753">
        <v>100.984973306199</v>
      </c>
      <c r="AJ6753">
        <v>111.29107697729501</v>
      </c>
      <c r="AK6753">
        <v>5.8618519141073504</v>
      </c>
      <c r="AL6753">
        <v>87.471337001219297</v>
      </c>
      <c r="AM6753">
        <v>101.961947315839</v>
      </c>
      <c r="AN6753">
        <v>1.0000000125039601</v>
      </c>
    </row>
    <row r="6754" spans="1:40" x14ac:dyDescent="0.25">
      <c r="A6754" t="str">
        <f>"20190312151154754"</f>
        <v>20190312151154754</v>
      </c>
      <c r="B6754" t="str">
        <f>"1552374714748069"</f>
        <v>1552374714748069</v>
      </c>
      <c r="C6754" t="s">
        <v>40</v>
      </c>
      <c r="D6754">
        <v>5.1420450000000004</v>
      </c>
      <c r="E6754">
        <v>0.42996410000000002</v>
      </c>
      <c r="F6754" t="s">
        <v>85</v>
      </c>
      <c r="G6754">
        <v>-193.05619999999999</v>
      </c>
      <c r="H6754" s="1">
        <v>-4.288873E-6</v>
      </c>
      <c r="I6754">
        <v>-45.573250000000002</v>
      </c>
      <c r="J6754">
        <v>-195.41980000000001</v>
      </c>
      <c r="K6754">
        <v>1.117003</v>
      </c>
      <c r="L6754">
        <v>-51.608060000000002</v>
      </c>
      <c r="M6754">
        <v>0.7004686</v>
      </c>
      <c r="N6754">
        <v>0</v>
      </c>
      <c r="O6754">
        <v>0.71358089999999996</v>
      </c>
      <c r="P6754">
        <v>0.53802169999999905</v>
      </c>
      <c r="Q6754">
        <v>3.6025699999999897E-2</v>
      </c>
      <c r="R6754">
        <v>0.84216080000000004</v>
      </c>
      <c r="S6754">
        <v>1.1667479999999999</v>
      </c>
      <c r="T6754">
        <v>-0.50862189999999996</v>
      </c>
      <c r="U6754">
        <v>2.8440859999999999</v>
      </c>
      <c r="V6754">
        <v>-0.20680470000000001</v>
      </c>
      <c r="W6754">
        <v>4.4234929999999999E-2</v>
      </c>
      <c r="X6754">
        <v>0.97738179999999997</v>
      </c>
      <c r="Y6754">
        <v>-0.37915130000000002</v>
      </c>
      <c r="Z6754">
        <v>-9.4249929999999996E-2</v>
      </c>
      <c r="AA6754">
        <v>0.92052230000000002</v>
      </c>
      <c r="AB6754">
        <v>30</v>
      </c>
      <c r="AC6754">
        <v>2.3636000000000101</v>
      </c>
      <c r="AD6754">
        <v>-1.117007288873</v>
      </c>
      <c r="AE6754">
        <v>6.0348099999999896</v>
      </c>
      <c r="AF6754">
        <v>-2.4674685402866601</v>
      </c>
      <c r="AG6754">
        <v>-1.117007288873</v>
      </c>
      <c r="AH6754">
        <v>5.7903940052780003</v>
      </c>
      <c r="AI6754">
        <v>100.063274076143</v>
      </c>
      <c r="AJ6754">
        <v>113.08037515545701</v>
      </c>
      <c r="AK6754">
        <v>6.3925557500157399</v>
      </c>
      <c r="AL6754">
        <v>87.464698050265895</v>
      </c>
      <c r="AM6754">
        <v>101.947030825225</v>
      </c>
      <c r="AN6754">
        <v>1.00000004797271</v>
      </c>
    </row>
    <row r="6755" spans="1:40" x14ac:dyDescent="0.25">
      <c r="A6755" t="str">
        <f>"20190312151154776"</f>
        <v>20190312151154776</v>
      </c>
      <c r="B6755" t="str">
        <f>"1552374714767589"</f>
        <v>1552374714767589</v>
      </c>
      <c r="C6755" t="s">
        <v>40</v>
      </c>
      <c r="D6755">
        <v>5.1367620000000001</v>
      </c>
      <c r="E6755">
        <v>0.43124970000000001</v>
      </c>
      <c r="F6755" t="s">
        <v>85</v>
      </c>
      <c r="G6755">
        <v>-192.94409999999999</v>
      </c>
      <c r="H6755" s="1">
        <v>-4.380437E-6</v>
      </c>
      <c r="I6755">
        <v>-45.349080000000001</v>
      </c>
      <c r="J6755">
        <v>-195.22380000000001</v>
      </c>
      <c r="K6755">
        <v>1.1170230000000001</v>
      </c>
      <c r="L6755">
        <v>-51.396299999999997</v>
      </c>
      <c r="M6755">
        <v>0.69435619999999998</v>
      </c>
      <c r="N6755">
        <v>0</v>
      </c>
      <c r="O6755">
        <v>0.7195298</v>
      </c>
      <c r="P6755">
        <v>0.53101369999999903</v>
      </c>
      <c r="Q6755">
        <v>3.6205840000000003E-2</v>
      </c>
      <c r="R6755">
        <v>0.84658940000000005</v>
      </c>
      <c r="S6755">
        <v>1.1316679999999999</v>
      </c>
      <c r="T6755">
        <v>-0.51061369999999995</v>
      </c>
      <c r="U6755">
        <v>2.861145</v>
      </c>
      <c r="V6755">
        <v>-0.20658019999999999</v>
      </c>
      <c r="W6755">
        <v>4.4420229999999998E-2</v>
      </c>
      <c r="X6755">
        <v>0.97742079999999998</v>
      </c>
      <c r="Y6755">
        <v>-0.38292860000000001</v>
      </c>
      <c r="Z6755">
        <v>-9.5455880000000007E-2</v>
      </c>
      <c r="AA6755">
        <v>0.91883289999999995</v>
      </c>
      <c r="AB6755">
        <v>30</v>
      </c>
      <c r="AC6755">
        <v>2.27970000000002</v>
      </c>
      <c r="AD6755">
        <v>-1.1170273804369999</v>
      </c>
      <c r="AE6755">
        <v>6.0472199999999896</v>
      </c>
      <c r="AF6755">
        <v>-2.4845735720934399</v>
      </c>
      <c r="AG6755">
        <v>-1.1170273804369999</v>
      </c>
      <c r="AH6755">
        <v>5.7623632986895599</v>
      </c>
      <c r="AI6755">
        <v>100.09333449912999</v>
      </c>
      <c r="AJ6755">
        <v>113.324385094978</v>
      </c>
      <c r="AK6755">
        <v>6.3738282679936997</v>
      </c>
      <c r="AL6755">
        <v>87.454070518569793</v>
      </c>
      <c r="AM6755">
        <v>101.933971084584</v>
      </c>
      <c r="AN6755">
        <v>0.99999997806896601</v>
      </c>
    </row>
    <row r="6756" spans="1:40" x14ac:dyDescent="0.25">
      <c r="A6756" t="str">
        <f>"20190312151154798"</f>
        <v>20190312151154798</v>
      </c>
      <c r="B6756" t="str">
        <f>"1552374714788096"</f>
        <v>1552374714788096</v>
      </c>
      <c r="C6756" t="s">
        <v>40</v>
      </c>
      <c r="D6756">
        <v>5.1304470000000002</v>
      </c>
      <c r="E6756">
        <v>0.43213360000000001</v>
      </c>
      <c r="F6756" t="s">
        <v>85</v>
      </c>
      <c r="G6756">
        <v>-192.6688</v>
      </c>
      <c r="H6756" s="1">
        <v>-4.5674410000000002E-6</v>
      </c>
      <c r="I6756">
        <v>-44.842399999999998</v>
      </c>
      <c r="J6756">
        <v>-195.0206</v>
      </c>
      <c r="K6756">
        <v>1.117059</v>
      </c>
      <c r="L6756">
        <v>-51.172730000000001</v>
      </c>
      <c r="M6756">
        <v>0.68787739999999997</v>
      </c>
      <c r="N6756">
        <v>0</v>
      </c>
      <c r="O6756">
        <v>0.72572590000000003</v>
      </c>
      <c r="P6756">
        <v>0.52391940000000004</v>
      </c>
      <c r="Q6756">
        <v>3.5966619999999998E-2</v>
      </c>
      <c r="R6756">
        <v>0.85100810000000005</v>
      </c>
      <c r="S6756">
        <v>1.1165620000000001</v>
      </c>
      <c r="T6756">
        <v>-0.48815459999999999</v>
      </c>
      <c r="U6756">
        <v>2.8641359999999998</v>
      </c>
      <c r="V6756">
        <v>-0.20599219999999999</v>
      </c>
      <c r="W6756">
        <v>4.4191099999999997E-2</v>
      </c>
      <c r="X6756">
        <v>0.97755530000000002</v>
      </c>
      <c r="Y6756">
        <v>-0.37907390000000002</v>
      </c>
      <c r="Z6756">
        <v>-9.2825840000000007E-2</v>
      </c>
      <c r="AA6756">
        <v>0.92069880000000004</v>
      </c>
      <c r="AB6756">
        <v>30</v>
      </c>
      <c r="AC6756">
        <v>2.3517999999999901</v>
      </c>
      <c r="AD6756">
        <v>-1.1170635674410001</v>
      </c>
      <c r="AE6756">
        <v>6.33033</v>
      </c>
      <c r="AF6756">
        <v>-2.57739932210449</v>
      </c>
      <c r="AG6756">
        <v>-1.1170635674410001</v>
      </c>
      <c r="AH6756">
        <v>6.0468346404373197</v>
      </c>
      <c r="AI6756">
        <v>99.644796273712402</v>
      </c>
      <c r="AJ6756">
        <v>113.085614522897</v>
      </c>
      <c r="AK6756">
        <v>6.6674603446950798</v>
      </c>
      <c r="AL6756">
        <v>87.467211666186799</v>
      </c>
      <c r="AM6756">
        <v>101.899381990938</v>
      </c>
      <c r="AN6756">
        <v>1.00000000216907</v>
      </c>
    </row>
    <row r="6757" spans="1:40" x14ac:dyDescent="0.25">
      <c r="A6757" t="str">
        <f>"20190312151154811"</f>
        <v>20190312151154811</v>
      </c>
      <c r="B6757" t="str">
        <f>"1552374714807605"</f>
        <v>1552374714807605</v>
      </c>
      <c r="C6757" t="s">
        <v>40</v>
      </c>
      <c r="D6757">
        <v>5.1552350000000002</v>
      </c>
      <c r="E6757">
        <v>0.432506</v>
      </c>
      <c r="F6757" t="s">
        <v>85</v>
      </c>
      <c r="G6757">
        <v>-192.44649999999999</v>
      </c>
      <c r="H6757" s="1">
        <v>-4.7115620000000001E-6</v>
      </c>
      <c r="I6757">
        <v>-44.448059999999998</v>
      </c>
      <c r="J6757">
        <v>-194.899</v>
      </c>
      <c r="K6757">
        <v>1.1170789999999999</v>
      </c>
      <c r="L6757">
        <v>-51.036740000000002</v>
      </c>
      <c r="M6757">
        <v>0.68392280000000005</v>
      </c>
      <c r="N6757">
        <v>0</v>
      </c>
      <c r="O6757">
        <v>0.72945369999999998</v>
      </c>
      <c r="P6757">
        <v>0.51960790000000001</v>
      </c>
      <c r="Q6757">
        <v>3.5958999999999998E-2</v>
      </c>
      <c r="R6757">
        <v>0.85364779999999996</v>
      </c>
      <c r="S6757">
        <v>1.098282</v>
      </c>
      <c r="T6757">
        <v>-0.47661520000000002</v>
      </c>
      <c r="U6757">
        <v>2.869202</v>
      </c>
      <c r="V6757">
        <v>-0.20562630000000001</v>
      </c>
      <c r="W6757">
        <v>4.4188720000000001E-2</v>
      </c>
      <c r="X6757">
        <v>0.97763250000000002</v>
      </c>
      <c r="Y6757">
        <v>-0.37964039999999999</v>
      </c>
      <c r="Z6757">
        <v>-9.138259E-2</v>
      </c>
      <c r="AA6757">
        <v>0.92060980000000003</v>
      </c>
      <c r="AB6757">
        <v>30</v>
      </c>
      <c r="AC6757">
        <v>2.4525000000000099</v>
      </c>
      <c r="AD6757">
        <v>-1.117083711562</v>
      </c>
      <c r="AE6757">
        <v>6.5886800000000001</v>
      </c>
      <c r="AF6757">
        <v>-2.6504453967916302</v>
      </c>
      <c r="AG6757">
        <v>-1.117083711562</v>
      </c>
      <c r="AH6757">
        <v>6.3242612985379401</v>
      </c>
      <c r="AI6757">
        <v>99.252591412896294</v>
      </c>
      <c r="AJ6757">
        <v>112.738153071653</v>
      </c>
      <c r="AK6757">
        <v>6.9475907904967897</v>
      </c>
      <c r="AL6757">
        <v>87.467348314200606</v>
      </c>
      <c r="AM6757">
        <v>101.877934976216</v>
      </c>
      <c r="AN6757">
        <v>1.0000000616415801</v>
      </c>
    </row>
    <row r="6758" spans="1:40" x14ac:dyDescent="0.25">
      <c r="A6758" t="str">
        <f>"20190312151154824"</f>
        <v>20190312151154824</v>
      </c>
      <c r="B6758" t="str">
        <f>"1552374714818174"</f>
        <v>1552374714818174</v>
      </c>
      <c r="C6758" t="s">
        <v>40</v>
      </c>
      <c r="D6758">
        <v>5.1474849999999996</v>
      </c>
      <c r="E6758">
        <v>0.43227310000000002</v>
      </c>
      <c r="F6758" t="s">
        <v>85</v>
      </c>
      <c r="G6758">
        <v>-192.3477</v>
      </c>
      <c r="H6758" s="1">
        <v>-4.7676459999999999E-6</v>
      </c>
      <c r="I6758">
        <v>-44.289920000000002</v>
      </c>
      <c r="J6758">
        <v>-194.79079999999999</v>
      </c>
      <c r="K6758">
        <v>1.1171</v>
      </c>
      <c r="L6758">
        <v>-50.914549999999998</v>
      </c>
      <c r="M6758">
        <v>0.68035959999999995</v>
      </c>
      <c r="N6758">
        <v>0</v>
      </c>
      <c r="O6758">
        <v>0.73277819999999905</v>
      </c>
      <c r="P6758">
        <v>0.51564049999999995</v>
      </c>
      <c r="Q6758">
        <v>3.5556989999999997E-2</v>
      </c>
      <c r="R6758">
        <v>0.85606700000000002</v>
      </c>
      <c r="S6758">
        <v>1.0864259999999999</v>
      </c>
      <c r="T6758">
        <v>-0.47569549999999999</v>
      </c>
      <c r="U6758">
        <v>2.8730470000000001</v>
      </c>
      <c r="V6758">
        <v>-0.20540520000000001</v>
      </c>
      <c r="W6758">
        <v>4.378903E-2</v>
      </c>
      <c r="X6758">
        <v>0.97769689999999998</v>
      </c>
      <c r="Y6758">
        <v>-0.3788782</v>
      </c>
      <c r="Z6758">
        <v>-9.1887330000000003E-2</v>
      </c>
      <c r="AA6758">
        <v>0.92087350000000001</v>
      </c>
      <c r="AB6758">
        <v>30</v>
      </c>
      <c r="AC6758">
        <v>2.4430999999999798</v>
      </c>
      <c r="AD6758">
        <v>-1.117104767646</v>
      </c>
      <c r="AE6758">
        <v>6.62462999999999</v>
      </c>
      <c r="AF6758">
        <v>-2.6507285653588601</v>
      </c>
      <c r="AG6758">
        <v>-1.117104767646</v>
      </c>
      <c r="AH6758">
        <v>6.3579030398146799</v>
      </c>
      <c r="AI6758">
        <v>99.211641635112002</v>
      </c>
      <c r="AJ6758">
        <v>112.632167328557</v>
      </c>
      <c r="AK6758">
        <v>6.9783390611800797</v>
      </c>
      <c r="AL6758">
        <v>87.490270901507202</v>
      </c>
      <c r="AM6758">
        <v>101.864766021175</v>
      </c>
      <c r="AN6758">
        <v>1.0000000018024899</v>
      </c>
    </row>
    <row r="6759" spans="1:40" x14ac:dyDescent="0.25">
      <c r="A6759" t="str">
        <f>"20190312151154841"</f>
        <v>20190312151154841</v>
      </c>
      <c r="B6759" t="str">
        <f>"1552374714837849"</f>
        <v>1552374714837849</v>
      </c>
      <c r="C6759" t="s">
        <v>40</v>
      </c>
      <c r="D6759">
        <v>5.1196190000000001</v>
      </c>
      <c r="E6759">
        <v>0.43205060000000001</v>
      </c>
      <c r="F6759" t="s">
        <v>85</v>
      </c>
      <c r="G6759">
        <v>-192.30719999999999</v>
      </c>
      <c r="H6759" s="1">
        <v>-4.7831629999999998E-6</v>
      </c>
      <c r="I6759">
        <v>-44.241129999999998</v>
      </c>
      <c r="J6759">
        <v>-194.6353</v>
      </c>
      <c r="K6759">
        <v>1.1171260000000001</v>
      </c>
      <c r="L6759">
        <v>-50.73706</v>
      </c>
      <c r="M6759">
        <v>0.67516730000000003</v>
      </c>
      <c r="N6759">
        <v>0</v>
      </c>
      <c r="O6759">
        <v>0.73756480000000002</v>
      </c>
      <c r="P6759">
        <v>0.51010230000000001</v>
      </c>
      <c r="Q6759">
        <v>3.544187E-2</v>
      </c>
      <c r="R6759">
        <v>0.85938320000000001</v>
      </c>
      <c r="S6759">
        <v>1.071442</v>
      </c>
      <c r="T6759">
        <v>-0.48193859999999999</v>
      </c>
      <c r="U6759">
        <v>2.8790279999999999</v>
      </c>
      <c r="V6759">
        <v>-0.20481679999999999</v>
      </c>
      <c r="W6759">
        <v>4.3682810000000002E-2</v>
      </c>
      <c r="X6759">
        <v>0.97782500000000006</v>
      </c>
      <c r="Y6759">
        <v>-0.37725350000000002</v>
      </c>
      <c r="Z6759">
        <v>-9.4054100000000002E-2</v>
      </c>
      <c r="AA6759">
        <v>0.92132170000000002</v>
      </c>
      <c r="AB6759">
        <v>30</v>
      </c>
      <c r="AC6759">
        <v>2.3281000000000001</v>
      </c>
      <c r="AD6759">
        <v>-1.117130783163</v>
      </c>
      <c r="AE6759">
        <v>6.4959300000000004</v>
      </c>
      <c r="AF6759">
        <v>-2.6007493392365499</v>
      </c>
      <c r="AG6759">
        <v>-1.117130783163</v>
      </c>
      <c r="AH6759">
        <v>6.2009757582543799</v>
      </c>
      <c r="AI6759">
        <v>99.4326129922419</v>
      </c>
      <c r="AJ6759">
        <v>112.75364916390301</v>
      </c>
      <c r="AK6759">
        <v>6.8164491244847003</v>
      </c>
      <c r="AL6759">
        <v>87.496362483428101</v>
      </c>
      <c r="AM6759">
        <v>101.83023143174999</v>
      </c>
      <c r="AN6759">
        <v>0.99999992003836402</v>
      </c>
    </row>
    <row r="6760" spans="1:40" x14ac:dyDescent="0.25">
      <c r="A6760" t="str">
        <f>"20190312151154854"</f>
        <v>20190312151154854</v>
      </c>
      <c r="B6760" t="str">
        <f>"1552374714847609"</f>
        <v>1552374714847609</v>
      </c>
      <c r="C6760" t="s">
        <v>40</v>
      </c>
      <c r="D6760">
        <v>5.1346800000000004</v>
      </c>
      <c r="E6760">
        <v>0.43200559999999899</v>
      </c>
      <c r="F6760" t="s">
        <v>85</v>
      </c>
      <c r="G6760">
        <v>-192.23939999999999</v>
      </c>
      <c r="H6760" s="1">
        <v>-4.8092620000000001E-6</v>
      </c>
      <c r="I6760">
        <v>-44.159190000000002</v>
      </c>
      <c r="J6760">
        <v>-194.5249</v>
      </c>
      <c r="K6760">
        <v>1.117143</v>
      </c>
      <c r="L6760">
        <v>-50.609499999999997</v>
      </c>
      <c r="M6760">
        <v>0.67142329999999995</v>
      </c>
      <c r="N6760">
        <v>0</v>
      </c>
      <c r="O6760">
        <v>0.74097469999999999</v>
      </c>
      <c r="P6760">
        <v>0.50591469999999905</v>
      </c>
      <c r="Q6760">
        <v>3.5238419999999999E-2</v>
      </c>
      <c r="R6760">
        <v>0.86186339999999995</v>
      </c>
      <c r="S6760">
        <v>1.0515139999999901</v>
      </c>
      <c r="T6760">
        <v>-0.49029830000000002</v>
      </c>
      <c r="U6760">
        <v>2.8869630000000002</v>
      </c>
      <c r="V6760">
        <v>-0.20462659999999999</v>
      </c>
      <c r="W6760">
        <v>4.3480339999999999E-2</v>
      </c>
      <c r="X6760">
        <v>0.97787389999999996</v>
      </c>
      <c r="Y6760">
        <v>-0.3790596</v>
      </c>
      <c r="Z6760">
        <v>-9.6180000000000002E-2</v>
      </c>
      <c r="AA6760">
        <v>0.92036039999999997</v>
      </c>
      <c r="AB6760">
        <v>30</v>
      </c>
      <c r="AC6760">
        <v>2.2855000000000101</v>
      </c>
      <c r="AD6760">
        <v>-1.117147809262</v>
      </c>
      <c r="AE6760">
        <v>6.4503099999999902</v>
      </c>
      <c r="AF6760">
        <v>-2.5691179781544702</v>
      </c>
      <c r="AG6760">
        <v>-1.117147809262</v>
      </c>
      <c r="AH6760">
        <v>6.1506058046194703</v>
      </c>
      <c r="AI6760">
        <v>99.514278592123503</v>
      </c>
      <c r="AJ6760">
        <v>112.67037263186801</v>
      </c>
      <c r="AK6760">
        <v>6.7585751588063401</v>
      </c>
      <c r="AL6760">
        <v>87.507974330140996</v>
      </c>
      <c r="AM6760">
        <v>101.818980210359</v>
      </c>
      <c r="AN6760">
        <v>0.99999997484764203</v>
      </c>
    </row>
    <row r="6761" spans="1:40" x14ac:dyDescent="0.25">
      <c r="A6761" t="str">
        <f>"20190312151154867"</f>
        <v>20190312151154867</v>
      </c>
      <c r="B6761" t="str">
        <f>"1552374714858345"</f>
        <v>1552374714858345</v>
      </c>
      <c r="C6761" t="s">
        <v>40</v>
      </c>
      <c r="D6761">
        <v>5.1393209999999998</v>
      </c>
      <c r="E6761">
        <v>0.43201240000000002</v>
      </c>
      <c r="F6761" t="s">
        <v>85</v>
      </c>
      <c r="G6761">
        <v>-192.17410000000001</v>
      </c>
      <c r="H6761" s="1">
        <v>-4.846602E-6</v>
      </c>
      <c r="I6761">
        <v>-44.054070000000003</v>
      </c>
      <c r="J6761">
        <v>-194.42060000000001</v>
      </c>
      <c r="K6761">
        <v>1.117157</v>
      </c>
      <c r="L6761">
        <v>-50.487400000000001</v>
      </c>
      <c r="M6761">
        <v>0.66783269999999995</v>
      </c>
      <c r="N6761">
        <v>0</v>
      </c>
      <c r="O6761">
        <v>0.74421230000000005</v>
      </c>
      <c r="P6761">
        <v>0.50207760000000001</v>
      </c>
      <c r="Q6761">
        <v>3.505842E-2</v>
      </c>
      <c r="R6761">
        <v>0.86411170000000004</v>
      </c>
      <c r="S6761">
        <v>1.0371549999999901</v>
      </c>
      <c r="T6761">
        <v>-0.49286790000000003</v>
      </c>
      <c r="U6761">
        <v>2.8921510000000001</v>
      </c>
      <c r="V6761">
        <v>-0.20424990000000001</v>
      </c>
      <c r="W6761">
        <v>4.3305990000000003E-2</v>
      </c>
      <c r="X6761">
        <v>0.97796039999999995</v>
      </c>
      <c r="Y6761">
        <v>-0.37919360000000002</v>
      </c>
      <c r="Z6761">
        <v>-9.7289139999999996E-2</v>
      </c>
      <c r="AA6761">
        <v>0.92018860000000002</v>
      </c>
      <c r="AB6761">
        <v>30</v>
      </c>
      <c r="AC6761">
        <v>2.2464999999999899</v>
      </c>
      <c r="AD6761">
        <v>-1.1171618466019999</v>
      </c>
      <c r="AE6761">
        <v>6.43332999999999</v>
      </c>
      <c r="AF6761">
        <v>-2.5560092935334899</v>
      </c>
      <c r="AG6761">
        <v>-1.1171618466019999</v>
      </c>
      <c r="AH6761">
        <v>6.1239168388240701</v>
      </c>
      <c r="AI6761">
        <v>99.556165930368493</v>
      </c>
      <c r="AJ6761">
        <v>112.654751893854</v>
      </c>
      <c r="AK6761">
        <v>6.7293084004944896</v>
      </c>
      <c r="AL6761">
        <v>87.517973298496202</v>
      </c>
      <c r="AM6761">
        <v>101.796818566908</v>
      </c>
      <c r="AN6761">
        <v>0.99999998719402405</v>
      </c>
    </row>
    <row r="6762" spans="1:40" x14ac:dyDescent="0.25">
      <c r="A6762" t="str">
        <f>"20190312151154878"</f>
        <v>20190312151154878</v>
      </c>
      <c r="B6762" t="str">
        <f>"1552374714868104"</f>
        <v>1552374714868104</v>
      </c>
      <c r="C6762" t="s">
        <v>40</v>
      </c>
      <c r="D6762">
        <v>5.135065</v>
      </c>
      <c r="E6762">
        <v>0.43202489999999999</v>
      </c>
      <c r="F6762" t="s">
        <v>85</v>
      </c>
      <c r="G6762">
        <v>-192.11590000000001</v>
      </c>
      <c r="H6762" s="1">
        <v>-4.8766489999999999E-6</v>
      </c>
      <c r="I6762">
        <v>-43.967329999999997</v>
      </c>
      <c r="J6762">
        <v>-194.31280000000001</v>
      </c>
      <c r="K6762">
        <v>1.117173</v>
      </c>
      <c r="L6762">
        <v>-50.360529999999997</v>
      </c>
      <c r="M6762">
        <v>0.66408819999999902</v>
      </c>
      <c r="N6762">
        <v>0</v>
      </c>
      <c r="O6762">
        <v>0.74755539999999998</v>
      </c>
      <c r="P6762">
        <v>0.49800159999999999</v>
      </c>
      <c r="Q6762">
        <v>3.4846969999999998E-2</v>
      </c>
      <c r="R6762">
        <v>0.86647559999999901</v>
      </c>
      <c r="S6762">
        <v>1.0240020000000001</v>
      </c>
      <c r="T6762">
        <v>-0.49636839999999999</v>
      </c>
      <c r="U6762">
        <v>2.8969420000000001</v>
      </c>
      <c r="V6762">
        <v>-0.20395050000000001</v>
      </c>
      <c r="W6762">
        <v>4.3098270000000001E-2</v>
      </c>
      <c r="X6762">
        <v>0.97803209999999996</v>
      </c>
      <c r="Y6762">
        <v>-0.3787855</v>
      </c>
      <c r="Z6762">
        <v>-9.8636160000000001E-2</v>
      </c>
      <c r="AA6762">
        <v>0.92021330000000001</v>
      </c>
      <c r="AB6762">
        <v>30</v>
      </c>
      <c r="AC6762">
        <v>2.1968999999999901</v>
      </c>
      <c r="AD6762">
        <v>-1.1171778766489999</v>
      </c>
      <c r="AE6762">
        <v>6.3932000000000002</v>
      </c>
      <c r="AF6762">
        <v>-2.5343222506857099</v>
      </c>
      <c r="AG6762">
        <v>-1.1171778766489999</v>
      </c>
      <c r="AH6762">
        <v>6.0728141634913699</v>
      </c>
      <c r="AI6762">
        <v>99.635413215123705</v>
      </c>
      <c r="AJ6762">
        <v>112.651877427079</v>
      </c>
      <c r="AK6762">
        <v>6.6745747087508196</v>
      </c>
      <c r="AL6762">
        <v>87.529886000971601</v>
      </c>
      <c r="AM6762">
        <v>101.779170265735</v>
      </c>
      <c r="AN6762">
        <v>1.0000000279788199</v>
      </c>
    </row>
    <row r="6763" spans="1:40" x14ac:dyDescent="0.25">
      <c r="A6763" t="str">
        <f>"20190312151154891"</f>
        <v>20190312151154891</v>
      </c>
      <c r="B6763" t="str">
        <f>"1552374714887624"</f>
        <v>1552374714887624</v>
      </c>
      <c r="C6763" t="s">
        <v>40</v>
      </c>
      <c r="D6763">
        <v>5.1449210000000001</v>
      </c>
      <c r="E6763">
        <v>0.43221310000000002</v>
      </c>
      <c r="F6763" t="s">
        <v>85</v>
      </c>
      <c r="G6763">
        <v>-192.04689999999999</v>
      </c>
      <c r="H6763" s="1">
        <v>-4.9168839999999999E-6</v>
      </c>
      <c r="I6763">
        <v>-43.854559999999999</v>
      </c>
      <c r="J6763">
        <v>-194.2047</v>
      </c>
      <c r="K6763">
        <v>1.117191</v>
      </c>
      <c r="L6763">
        <v>-50.231290000000001</v>
      </c>
      <c r="M6763">
        <v>0.66026809999999903</v>
      </c>
      <c r="N6763">
        <v>0</v>
      </c>
      <c r="O6763">
        <v>0.75093160000000003</v>
      </c>
      <c r="P6763">
        <v>0.49383880000000002</v>
      </c>
      <c r="Q6763">
        <v>3.438662E-2</v>
      </c>
      <c r="R6763">
        <v>0.86887329999999996</v>
      </c>
      <c r="S6763">
        <v>1.010559</v>
      </c>
      <c r="T6763">
        <v>-0.49823679999999898</v>
      </c>
      <c r="U6763">
        <v>2.9015200000000001</v>
      </c>
      <c r="V6763">
        <v>-0.20366210000000001</v>
      </c>
      <c r="W6763">
        <v>4.2641409999999998E-2</v>
      </c>
      <c r="X6763">
        <v>0.97811219999999999</v>
      </c>
      <c r="Y6763">
        <v>-0.37835360000000001</v>
      </c>
      <c r="Z6763">
        <v>-9.9688470000000001E-2</v>
      </c>
      <c r="AA6763">
        <v>0.92027749999999997</v>
      </c>
      <c r="AB6763">
        <v>30</v>
      </c>
      <c r="AC6763">
        <v>2.1577999999999999</v>
      </c>
      <c r="AD6763">
        <v>-1.117195916884</v>
      </c>
      <c r="AE6763">
        <v>6.3767300000000002</v>
      </c>
      <c r="AF6763">
        <v>-2.52075825955554</v>
      </c>
      <c r="AG6763">
        <v>-1.117195916884</v>
      </c>
      <c r="AH6763">
        <v>6.0471294155514004</v>
      </c>
      <c r="AI6763">
        <v>99.677307122020196</v>
      </c>
      <c r="AJ6763">
        <v>112.628914506198</v>
      </c>
      <c r="AK6763">
        <v>6.6460607195726702</v>
      </c>
      <c r="AL6763">
        <v>87.556086188960293</v>
      </c>
      <c r="AM6763">
        <v>101.762041674128</v>
      </c>
      <c r="AN6763">
        <v>1.0000000083060101</v>
      </c>
    </row>
    <row r="6764" spans="1:40" x14ac:dyDescent="0.25">
      <c r="A6764" t="str">
        <f>"20190312151154910"</f>
        <v>20190312151154910</v>
      </c>
      <c r="B6764" t="str">
        <f>"1552374714898376"</f>
        <v>1552374714898376</v>
      </c>
      <c r="C6764" t="s">
        <v>40</v>
      </c>
      <c r="D6764">
        <v>5.1395530000000003</v>
      </c>
      <c r="E6764">
        <v>0.43229469999999998</v>
      </c>
      <c r="F6764" t="s">
        <v>85</v>
      </c>
      <c r="G6764">
        <v>-191.98840000000001</v>
      </c>
      <c r="H6764" s="1">
        <v>-4.942618E-6</v>
      </c>
      <c r="I6764">
        <v>-43.776989999999998</v>
      </c>
      <c r="J6764">
        <v>-194.05090000000001</v>
      </c>
      <c r="K6764">
        <v>1.117213</v>
      </c>
      <c r="L6764">
        <v>-50.045439999999999</v>
      </c>
      <c r="M6764">
        <v>0.65475629999999996</v>
      </c>
      <c r="N6764">
        <v>0</v>
      </c>
      <c r="O6764">
        <v>0.75574209999999997</v>
      </c>
      <c r="P6764">
        <v>0.48733779999999999</v>
      </c>
      <c r="Q6764">
        <v>3.4074010000000002E-2</v>
      </c>
      <c r="R6764">
        <v>0.87254849999999995</v>
      </c>
      <c r="S6764">
        <v>0.99769589999999997</v>
      </c>
      <c r="T6764">
        <v>-0.5029361</v>
      </c>
      <c r="U6764">
        <v>2.9055789999999999</v>
      </c>
      <c r="V6764">
        <v>-0.2038141</v>
      </c>
      <c r="W6764">
        <v>4.2322209999999999E-2</v>
      </c>
      <c r="X6764">
        <v>0.97809440000000003</v>
      </c>
      <c r="Y6764">
        <v>-0.37569170000000002</v>
      </c>
      <c r="Z6764">
        <v>-0.1017284</v>
      </c>
      <c r="AA6764">
        <v>0.92114439999999997</v>
      </c>
      <c r="AB6764">
        <v>30</v>
      </c>
      <c r="AC6764">
        <v>2.0625</v>
      </c>
      <c r="AD6764">
        <v>-1.117217942618</v>
      </c>
      <c r="AE6764">
        <v>6.2684499999999899</v>
      </c>
      <c r="AF6764">
        <v>-2.4748423904552799</v>
      </c>
      <c r="AG6764">
        <v>-1.117217942618</v>
      </c>
      <c r="AH6764">
        <v>5.9185760767784297</v>
      </c>
      <c r="AI6764">
        <v>99.879126070622107</v>
      </c>
      <c r="AJ6764">
        <v>112.692159219274</v>
      </c>
      <c r="AK6764">
        <v>6.5117250836868097</v>
      </c>
      <c r="AL6764">
        <v>87.574391521586406</v>
      </c>
      <c r="AM6764">
        <v>101.770783497031</v>
      </c>
      <c r="AN6764">
        <v>1.0000000060647201</v>
      </c>
    </row>
    <row r="6765" spans="1:40" x14ac:dyDescent="0.25">
      <c r="A6765" t="str">
        <f>"20190312151154933"</f>
        <v>20190312151154933</v>
      </c>
      <c r="B6765" t="str">
        <f>"1552374714927640"</f>
        <v>1552374714927640</v>
      </c>
      <c r="C6765" t="s">
        <v>40</v>
      </c>
      <c r="D6765">
        <v>5.1170549999999997</v>
      </c>
      <c r="E6765">
        <v>0.4324924</v>
      </c>
      <c r="F6765" t="s">
        <v>85</v>
      </c>
      <c r="G6765">
        <v>-191.89320000000001</v>
      </c>
      <c r="H6765" s="1">
        <v>-5.0011240000000001E-6</v>
      </c>
      <c r="I6765">
        <v>-43.615009999999998</v>
      </c>
      <c r="J6765">
        <v>-193.8494</v>
      </c>
      <c r="K6765">
        <v>1.1172390000000001</v>
      </c>
      <c r="L6765">
        <v>-49.797910000000002</v>
      </c>
      <c r="M6765">
        <v>0.64738669999999998</v>
      </c>
      <c r="N6765">
        <v>0</v>
      </c>
      <c r="O6765">
        <v>0.76206450000000003</v>
      </c>
      <c r="P6765">
        <v>0.4785412</v>
      </c>
      <c r="Q6765">
        <v>3.3432530000000002E-2</v>
      </c>
      <c r="R6765">
        <v>0.8774284</v>
      </c>
      <c r="S6765">
        <v>0.97714230000000002</v>
      </c>
      <c r="T6765">
        <v>-0.50596390000000002</v>
      </c>
      <c r="U6765">
        <v>2.912201</v>
      </c>
      <c r="V6765">
        <v>-0.2041569</v>
      </c>
      <c r="W6765">
        <v>4.1669049999999999E-2</v>
      </c>
      <c r="X6765">
        <v>0.97805089999999995</v>
      </c>
      <c r="Y6765">
        <v>-0.37323400000000001</v>
      </c>
      <c r="Z6765">
        <v>-0.103740899999999</v>
      </c>
      <c r="AA6765">
        <v>0.92191869999999998</v>
      </c>
      <c r="AB6765">
        <v>30</v>
      </c>
      <c r="AC6765">
        <v>1.9561999999999899</v>
      </c>
      <c r="AD6765">
        <v>-1.1172440011239999</v>
      </c>
      <c r="AE6765">
        <v>6.1828999999999903</v>
      </c>
      <c r="AF6765">
        <v>-2.4397485489138702</v>
      </c>
      <c r="AG6765">
        <v>-1.1172440011239999</v>
      </c>
      <c r="AH6765">
        <v>5.8062927158304998</v>
      </c>
      <c r="AI6765">
        <v>100.059352675409</v>
      </c>
      <c r="AJ6765">
        <v>112.791679161369</v>
      </c>
      <c r="AK6765">
        <v>6.3963772748237098</v>
      </c>
      <c r="AL6765">
        <v>87.611847758592504</v>
      </c>
      <c r="AM6765">
        <v>101.790537063212</v>
      </c>
      <c r="AN6765">
        <v>0.99999995626815996</v>
      </c>
    </row>
    <row r="6766" spans="1:40" x14ac:dyDescent="0.25">
      <c r="A6766" t="str">
        <f>"20190312151154950"</f>
        <v>20190312151154950</v>
      </c>
      <c r="B6766" t="str">
        <f>"1552374714938377"</f>
        <v>1552374714938377</v>
      </c>
      <c r="C6766" t="s">
        <v>40</v>
      </c>
      <c r="D6766">
        <v>5.123907</v>
      </c>
      <c r="E6766">
        <v>0.43260460000000001</v>
      </c>
      <c r="F6766" t="s">
        <v>85</v>
      </c>
      <c r="G6766">
        <v>-191.77930000000001</v>
      </c>
      <c r="H6766" s="1">
        <v>-5.0677739999999997E-6</v>
      </c>
      <c r="I6766">
        <v>-43.428370000000001</v>
      </c>
      <c r="J6766">
        <v>-193.71870000000001</v>
      </c>
      <c r="K6766">
        <v>1.1172550000000001</v>
      </c>
      <c r="L6766">
        <v>-49.634399999999999</v>
      </c>
      <c r="M6766">
        <v>0.64250620000000003</v>
      </c>
      <c r="N6766">
        <v>0</v>
      </c>
      <c r="O6766">
        <v>0.76618359999999996</v>
      </c>
      <c r="P6766">
        <v>0.47285670000000002</v>
      </c>
      <c r="Q6766">
        <v>3.2966570000000001E-2</v>
      </c>
      <c r="R6766">
        <v>0.88052240000000004</v>
      </c>
      <c r="S6766">
        <v>0.949295</v>
      </c>
      <c r="T6766">
        <v>-0.51233240000000002</v>
      </c>
      <c r="U6766">
        <v>2.920868</v>
      </c>
      <c r="V6766">
        <v>-0.20424059999999999</v>
      </c>
      <c r="W6766">
        <v>4.1198810000000002E-2</v>
      </c>
      <c r="X6766">
        <v>0.97805339999999996</v>
      </c>
      <c r="Y6766">
        <v>-0.3761137</v>
      </c>
      <c r="Z6766">
        <v>-0.1056942</v>
      </c>
      <c r="AA6766">
        <v>0.92052560000000005</v>
      </c>
      <c r="AB6766">
        <v>30</v>
      </c>
      <c r="AC6766">
        <v>1.9394</v>
      </c>
      <c r="AD6766">
        <v>-1.1172600677740001</v>
      </c>
      <c r="AE6766">
        <v>6.2060299999999904</v>
      </c>
      <c r="AF6766">
        <v>-2.4299148134753299</v>
      </c>
      <c r="AG6766">
        <v>-1.1172600677740001</v>
      </c>
      <c r="AH6766">
        <v>5.8293591672348599</v>
      </c>
      <c r="AI6766">
        <v>100.032215673891</v>
      </c>
      <c r="AJ6766">
        <v>112.628366250074</v>
      </c>
      <c r="AK6766">
        <v>6.4135937165067096</v>
      </c>
      <c r="AL6766">
        <v>87.638813808922706</v>
      </c>
      <c r="AM6766">
        <v>101.79520623260601</v>
      </c>
      <c r="AN6766">
        <v>1.0000000089426599</v>
      </c>
    </row>
    <row r="6767" spans="1:40" x14ac:dyDescent="0.25">
      <c r="A6767" t="str">
        <f>"20190312151154966"</f>
        <v>20190312151154966</v>
      </c>
      <c r="B6767" t="str">
        <f>"1552374714957896"</f>
        <v>1552374714957896</v>
      </c>
      <c r="C6767" t="s">
        <v>40</v>
      </c>
      <c r="D6767">
        <v>5.1138849999999998</v>
      </c>
      <c r="E6767">
        <v>0.43284650000000002</v>
      </c>
      <c r="F6767" t="s">
        <v>85</v>
      </c>
      <c r="G6767">
        <v>-191.69710000000001</v>
      </c>
      <c r="H6767" s="1">
        <v>-5.1214949999999997E-6</v>
      </c>
      <c r="I6767">
        <v>-43.281660000000002</v>
      </c>
      <c r="J6767">
        <v>-193.57239999999999</v>
      </c>
      <c r="K6767">
        <v>1.1172740000000001</v>
      </c>
      <c r="L6767">
        <v>-49.449039999999997</v>
      </c>
      <c r="M6767">
        <v>0.63695900000000005</v>
      </c>
      <c r="N6767">
        <v>0</v>
      </c>
      <c r="O6767">
        <v>0.77080130000000002</v>
      </c>
      <c r="P6767">
        <v>0.4658487</v>
      </c>
      <c r="Q6767">
        <v>3.2213230000000002E-2</v>
      </c>
      <c r="R6767">
        <v>0.88427789999999995</v>
      </c>
      <c r="S6767">
        <v>0.93118290000000004</v>
      </c>
      <c r="T6767">
        <v>-0.51464469999999995</v>
      </c>
      <c r="U6767">
        <v>2.9262700000000001</v>
      </c>
      <c r="V6767">
        <v>-0.20495450000000001</v>
      </c>
      <c r="W6767">
        <v>4.0427930000000001E-2</v>
      </c>
      <c r="X6767">
        <v>0.97793620000000003</v>
      </c>
      <c r="Y6767">
        <v>-0.37513600000000002</v>
      </c>
      <c r="Z6767">
        <v>-0.107171</v>
      </c>
      <c r="AA6767">
        <v>0.92075370000000001</v>
      </c>
      <c r="AB6767">
        <v>30</v>
      </c>
      <c r="AC6767">
        <v>1.87529999999998</v>
      </c>
      <c r="AD6767">
        <v>-1.117279121495</v>
      </c>
      <c r="AE6767">
        <v>6.1673799999999996</v>
      </c>
      <c r="AF6767">
        <v>-2.4106501315508901</v>
      </c>
      <c r="AG6767">
        <v>-1.117279121495</v>
      </c>
      <c r="AH6767">
        <v>5.7752598533241803</v>
      </c>
      <c r="AI6767">
        <v>100.122421220294</v>
      </c>
      <c r="AJ6767">
        <v>112.65613579884101</v>
      </c>
      <c r="AK6767">
        <v>6.3571356022577596</v>
      </c>
      <c r="AL6767">
        <v>87.683018763602604</v>
      </c>
      <c r="AM6767">
        <v>101.836652535083</v>
      </c>
      <c r="AN6767">
        <v>0.99999998793238698</v>
      </c>
    </row>
    <row r="6768" spans="1:40" x14ac:dyDescent="0.25">
      <c r="A6768" t="str">
        <f>"20190312151154990"</f>
        <v>20190312151154990</v>
      </c>
      <c r="B6768" t="str">
        <f>"1552374714977419"</f>
        <v>1552374714977419</v>
      </c>
      <c r="C6768" t="s">
        <v>40</v>
      </c>
      <c r="D6768">
        <v>5.125197</v>
      </c>
      <c r="E6768">
        <v>0.43322280000000002</v>
      </c>
      <c r="F6768" t="s">
        <v>85</v>
      </c>
      <c r="G6768">
        <v>-191.60560000000001</v>
      </c>
      <c r="H6768" s="1">
        <v>-5.1853699999999898E-6</v>
      </c>
      <c r="I6768">
        <v>-43.109569999999998</v>
      </c>
      <c r="J6768">
        <v>-193.3811</v>
      </c>
      <c r="K6768">
        <v>1.117297</v>
      </c>
      <c r="L6768">
        <v>-49.202449999999999</v>
      </c>
      <c r="M6768">
        <v>0.62956069999999997</v>
      </c>
      <c r="N6768">
        <v>0</v>
      </c>
      <c r="O6768">
        <v>0.77685550000000003</v>
      </c>
      <c r="P6768">
        <v>0.45689600000000002</v>
      </c>
      <c r="Q6768">
        <v>3.1740150000000002E-2</v>
      </c>
      <c r="R6768">
        <v>0.88895360000000001</v>
      </c>
      <c r="S6768">
        <v>0.90968320000000003</v>
      </c>
      <c r="T6768">
        <v>-0.51677439999999997</v>
      </c>
      <c r="U6768">
        <v>2.9321899999999999</v>
      </c>
      <c r="V6768">
        <v>-0.2054841</v>
      </c>
      <c r="W6768">
        <v>3.994052E-2</v>
      </c>
      <c r="X6768">
        <v>0.97784510000000002</v>
      </c>
      <c r="Y6768">
        <v>-0.37301450000000003</v>
      </c>
      <c r="Z6768">
        <v>-0.1089956</v>
      </c>
      <c r="AA6768">
        <v>0.92140120000000003</v>
      </c>
      <c r="AB6768">
        <v>30</v>
      </c>
      <c r="AC6768">
        <v>1.7754999999999901</v>
      </c>
      <c r="AD6768">
        <v>-1.11730218537</v>
      </c>
      <c r="AE6768">
        <v>6.0928800000000001</v>
      </c>
      <c r="AF6768">
        <v>-2.38285577658786</v>
      </c>
      <c r="AG6768">
        <v>-1.11730218537</v>
      </c>
      <c r="AH6768">
        <v>5.6755898397714297</v>
      </c>
      <c r="AI6768">
        <v>100.28789089221</v>
      </c>
      <c r="AJ6768">
        <v>112.774751095824</v>
      </c>
      <c r="AK6768">
        <v>6.2560918994822501</v>
      </c>
      <c r="AL6768">
        <v>87.710967902682995</v>
      </c>
      <c r="AM6768">
        <v>101.86744639797701</v>
      </c>
      <c r="AN6768">
        <v>1.0000000000423399</v>
      </c>
    </row>
    <row r="6769" spans="1:40" x14ac:dyDescent="0.25">
      <c r="A6769" t="str">
        <f>"20190312151155011"</f>
        <v>20190312151155011</v>
      </c>
      <c r="B6769" t="str">
        <f>"1552374715007672"</f>
        <v>1552374715007672</v>
      </c>
      <c r="C6769" t="s">
        <v>40</v>
      </c>
      <c r="D6769">
        <v>5.1344200000000004</v>
      </c>
      <c r="E6769">
        <v>0.43398249999999999</v>
      </c>
      <c r="F6769" t="s">
        <v>85</v>
      </c>
      <c r="G6769">
        <v>-191.4776</v>
      </c>
      <c r="H6769" s="1">
        <v>-5.2771650000000002E-6</v>
      </c>
      <c r="I6769">
        <v>-42.863599999999998</v>
      </c>
      <c r="J6769">
        <v>-193.20939999999999</v>
      </c>
      <c r="K6769">
        <v>1.1173139999999999</v>
      </c>
      <c r="L6769">
        <v>-48.976649999999999</v>
      </c>
      <c r="M6769">
        <v>0.62277039999999995</v>
      </c>
      <c r="N6769">
        <v>0</v>
      </c>
      <c r="O6769">
        <v>0.78230949999999999</v>
      </c>
      <c r="P6769">
        <v>0.4485961</v>
      </c>
      <c r="Q6769">
        <v>3.1834710000000002E-2</v>
      </c>
      <c r="R6769">
        <v>0.893167499999999</v>
      </c>
      <c r="S6769">
        <v>0.88272090000000003</v>
      </c>
      <c r="T6769">
        <v>-0.51813129999999996</v>
      </c>
      <c r="U6769">
        <v>2.9395449999999999</v>
      </c>
      <c r="V6769">
        <v>-0.20607690000000001</v>
      </c>
      <c r="W6769">
        <v>4.0019140000000002E-2</v>
      </c>
      <c r="X6769">
        <v>0.97771710000000001</v>
      </c>
      <c r="Y6769">
        <v>-0.37335590000000002</v>
      </c>
      <c r="Z6769">
        <v>-0.1104068</v>
      </c>
      <c r="AA6769">
        <v>0.92109479999999999</v>
      </c>
      <c r="AB6769">
        <v>30</v>
      </c>
      <c r="AC6769">
        <v>1.73179999999999</v>
      </c>
      <c r="AD6769">
        <v>-1.117319277165</v>
      </c>
      <c r="AE6769">
        <v>6.1130500000000003</v>
      </c>
      <c r="AF6769">
        <v>-2.3788395830906901</v>
      </c>
      <c r="AG6769">
        <v>-1.117319277165</v>
      </c>
      <c r="AH6769">
        <v>5.6854245604378297</v>
      </c>
      <c r="AI6769">
        <v>100.275762834923</v>
      </c>
      <c r="AJ6769">
        <v>112.704931272257</v>
      </c>
      <c r="AK6769">
        <v>6.2634920421146303</v>
      </c>
      <c r="AL6769">
        <v>87.706459644271703</v>
      </c>
      <c r="AM6769">
        <v>101.90222142487499</v>
      </c>
      <c r="AN6769">
        <v>0.99999997395617901</v>
      </c>
    </row>
    <row r="6770" spans="1:40" x14ac:dyDescent="0.25">
      <c r="A6770" t="str">
        <f>"20190312151155024"</f>
        <v>20190312151155024</v>
      </c>
      <c r="B6770" t="str">
        <f>"1552374715017432"</f>
        <v>1552374715017432</v>
      </c>
      <c r="C6770" t="s">
        <v>40</v>
      </c>
      <c r="D6770">
        <v>5.110703</v>
      </c>
      <c r="E6770">
        <v>0.43420310000000001</v>
      </c>
      <c r="F6770" t="s">
        <v>85</v>
      </c>
      <c r="G6770">
        <v>-191.357</v>
      </c>
      <c r="H6770" s="1">
        <v>-5.3586870000000003E-6</v>
      </c>
      <c r="I6770">
        <v>-42.642499999999998</v>
      </c>
      <c r="J6770">
        <v>-193.10329999999999</v>
      </c>
      <c r="K6770">
        <v>1.117326</v>
      </c>
      <c r="L6770">
        <v>-48.835209999999996</v>
      </c>
      <c r="M6770">
        <v>0.61850819999999995</v>
      </c>
      <c r="N6770">
        <v>0</v>
      </c>
      <c r="O6770">
        <v>0.78568359999999904</v>
      </c>
      <c r="P6770">
        <v>0.44342880000000001</v>
      </c>
      <c r="Q6770">
        <v>3.1760610000000002E-2</v>
      </c>
      <c r="R6770">
        <v>0.89574669999999901</v>
      </c>
      <c r="S6770">
        <v>0.86116029999999999</v>
      </c>
      <c r="T6770">
        <v>-0.51945540000000001</v>
      </c>
      <c r="U6770">
        <v>2.9448240000000001</v>
      </c>
      <c r="V6770">
        <v>-0.20641139999999999</v>
      </c>
      <c r="W6770">
        <v>3.9935760000000001E-2</v>
      </c>
      <c r="X6770">
        <v>0.97765000000000002</v>
      </c>
      <c r="Y6770">
        <v>-0.37498779999999998</v>
      </c>
      <c r="Z6770">
        <v>-0.11132359999999999</v>
      </c>
      <c r="AA6770">
        <v>0.92032130000000001</v>
      </c>
      <c r="AB6770">
        <v>30</v>
      </c>
      <c r="AC6770">
        <v>1.74629999999999</v>
      </c>
      <c r="AD6770">
        <v>-1.117331358687</v>
      </c>
      <c r="AE6770">
        <v>6.1927099999999902</v>
      </c>
      <c r="AF6770">
        <v>-2.3864210679906002</v>
      </c>
      <c r="AG6770">
        <v>-1.117331358687</v>
      </c>
      <c r="AH6770">
        <v>5.7719947179073197</v>
      </c>
      <c r="AI6770">
        <v>100.142422996942</v>
      </c>
      <c r="AJ6770">
        <v>112.46256186900401</v>
      </c>
      <c r="AK6770">
        <v>6.3450262333897998</v>
      </c>
      <c r="AL6770">
        <v>87.711240909495402</v>
      </c>
      <c r="AM6770">
        <v>101.92178333804701</v>
      </c>
      <c r="AN6770">
        <v>1.00000002673836</v>
      </c>
    </row>
    <row r="6771" spans="1:40" x14ac:dyDescent="0.25">
      <c r="A6771" t="str">
        <f>"20190312151155036"</f>
        <v>20190312151155036</v>
      </c>
      <c r="B6771" t="str">
        <f>"1552374715028168"</f>
        <v>1552374715028168</v>
      </c>
      <c r="C6771" t="s">
        <v>40</v>
      </c>
      <c r="D6771">
        <v>5.129289</v>
      </c>
      <c r="E6771">
        <v>0.4344189</v>
      </c>
      <c r="F6771" t="s">
        <v>85</v>
      </c>
      <c r="G6771">
        <v>-191.28809999999999</v>
      </c>
      <c r="H6771" s="1">
        <v>-5.4092300000000002E-6</v>
      </c>
      <c r="I6771">
        <v>-42.507640000000002</v>
      </c>
      <c r="J6771">
        <v>-192.99639999999999</v>
      </c>
      <c r="K6771">
        <v>1.1173409999999999</v>
      </c>
      <c r="L6771">
        <v>-48.691279999999999</v>
      </c>
      <c r="M6771">
        <v>0.6141626</v>
      </c>
      <c r="N6771">
        <v>0</v>
      </c>
      <c r="O6771">
        <v>0.78908500000000004</v>
      </c>
      <c r="P6771">
        <v>0.43812849999999998</v>
      </c>
      <c r="Q6771">
        <v>3.1678869999999998E-2</v>
      </c>
      <c r="R6771">
        <v>0.89835399999999999</v>
      </c>
      <c r="S6771">
        <v>0.84596249999999995</v>
      </c>
      <c r="T6771">
        <v>-0.52071270000000003</v>
      </c>
      <c r="U6771">
        <v>2.9488530000000002</v>
      </c>
      <c r="V6771">
        <v>-0.20679400000000001</v>
      </c>
      <c r="W6771">
        <v>3.984381E-2</v>
      </c>
      <c r="X6771">
        <v>0.97757289999999997</v>
      </c>
      <c r="Y6771">
        <v>-0.37461509999999998</v>
      </c>
      <c r="Z6771">
        <v>-0.11232880000000001</v>
      </c>
      <c r="AA6771">
        <v>0.92035089999999997</v>
      </c>
      <c r="AB6771">
        <v>30</v>
      </c>
      <c r="AC6771">
        <v>1.7082999999999999</v>
      </c>
      <c r="AD6771">
        <v>-1.1173464092299901</v>
      </c>
      <c r="AE6771">
        <v>6.1836399999999898</v>
      </c>
      <c r="AF6771">
        <v>-2.37781784573626</v>
      </c>
      <c r="AG6771">
        <v>-1.1173464092299901</v>
      </c>
      <c r="AH6771">
        <v>5.7544711623783202</v>
      </c>
      <c r="AI6771">
        <v>100.173628802526</v>
      </c>
      <c r="AJ6771">
        <v>112.45101236870499</v>
      </c>
      <c r="AK6771">
        <v>6.3258532281712601</v>
      </c>
      <c r="AL6771">
        <v>87.716513463020206</v>
      </c>
      <c r="AM6771">
        <v>101.944162192523</v>
      </c>
      <c r="AN6771">
        <v>1.0000000312228601</v>
      </c>
    </row>
    <row r="6772" spans="1:40" x14ac:dyDescent="0.25">
      <c r="A6772" t="str">
        <f>"20190312151155055"</f>
        <v>20190312151155055</v>
      </c>
      <c r="B6772" t="str">
        <f>"1552374715047688"</f>
        <v>1552374715047688</v>
      </c>
      <c r="C6772" t="s">
        <v>40</v>
      </c>
      <c r="D6772">
        <v>5.1010150000000003</v>
      </c>
      <c r="E6772">
        <v>0.43499850000000001</v>
      </c>
      <c r="F6772" t="s">
        <v>85</v>
      </c>
      <c r="G6772">
        <v>-191.21960000000001</v>
      </c>
      <c r="H6772" s="1">
        <v>-5.4593520000000001E-6</v>
      </c>
      <c r="I6772">
        <v>-42.373860000000001</v>
      </c>
      <c r="J6772">
        <v>-192.8554</v>
      </c>
      <c r="K6772">
        <v>1.1173580000000001</v>
      </c>
      <c r="L6772">
        <v>-48.498350000000002</v>
      </c>
      <c r="M6772">
        <v>0.60833029999999999</v>
      </c>
      <c r="N6772">
        <v>0</v>
      </c>
      <c r="O6772">
        <v>0.79358989999999996</v>
      </c>
      <c r="P6772">
        <v>0.43093019999999999</v>
      </c>
      <c r="Q6772">
        <v>3.1614419999999997E-2</v>
      </c>
      <c r="R6772">
        <v>0.9018313</v>
      </c>
      <c r="S6772">
        <v>0.83049010000000001</v>
      </c>
      <c r="T6772">
        <v>-0.522258</v>
      </c>
      <c r="U6772">
        <v>2.95282</v>
      </c>
      <c r="V6772">
        <v>-0.2074095</v>
      </c>
      <c r="W6772">
        <v>3.9762810000000003E-2</v>
      </c>
      <c r="X6772">
        <v>0.97744580000000003</v>
      </c>
      <c r="Y6772">
        <v>-0.37261470000000002</v>
      </c>
      <c r="Z6772">
        <v>-0.1137262</v>
      </c>
      <c r="AA6772">
        <v>0.92099109999999995</v>
      </c>
      <c r="AB6772">
        <v>30</v>
      </c>
      <c r="AC6772">
        <v>1.6357999999999799</v>
      </c>
      <c r="AD6772">
        <v>-1.1173634593520001</v>
      </c>
      <c r="AE6772">
        <v>6.1244899999999998</v>
      </c>
      <c r="AF6772">
        <v>-2.3545858990735602</v>
      </c>
      <c r="AG6772">
        <v>-1.1173634593520001</v>
      </c>
      <c r="AH6772">
        <v>5.6794251628450798</v>
      </c>
      <c r="AI6772">
        <v>100.300472139726</v>
      </c>
      <c r="AJ6772">
        <v>112.518002807298</v>
      </c>
      <c r="AK6772">
        <v>6.2488755817962103</v>
      </c>
      <c r="AL6772">
        <v>87.721158114549297</v>
      </c>
      <c r="AM6772">
        <v>101.98019986996</v>
      </c>
      <c r="AN6772">
        <v>1.00000003684349</v>
      </c>
    </row>
    <row r="6773" spans="1:40" x14ac:dyDescent="0.25">
      <c r="A6773" t="str">
        <f>"20190312151155069"</f>
        <v>20190312151155069</v>
      </c>
      <c r="B6773" t="str">
        <f>"1552374715057448"</f>
        <v>1552374715057448</v>
      </c>
      <c r="C6773" t="s">
        <v>40</v>
      </c>
      <c r="D6773">
        <v>5.129283</v>
      </c>
      <c r="E6773">
        <v>0.43527840000000001</v>
      </c>
      <c r="F6773" t="s">
        <v>85</v>
      </c>
      <c r="G6773">
        <v>-191.12280000000001</v>
      </c>
      <c r="H6773" s="1">
        <v>-5.5327639999999996E-6</v>
      </c>
      <c r="I6773">
        <v>-42.179279999999999</v>
      </c>
      <c r="J6773">
        <v>-192.7475</v>
      </c>
      <c r="K6773">
        <v>1.1173770000000001</v>
      </c>
      <c r="L6773">
        <v>-48.34845</v>
      </c>
      <c r="M6773">
        <v>0.60379059999999996</v>
      </c>
      <c r="N6773">
        <v>0</v>
      </c>
      <c r="O6773">
        <v>0.79704929999999996</v>
      </c>
      <c r="P6773">
        <v>0.42574879999999998</v>
      </c>
      <c r="Q6773">
        <v>3.1742510000000002E-2</v>
      </c>
      <c r="R6773">
        <v>0.90428450000000005</v>
      </c>
      <c r="S6773">
        <v>0.8108978</v>
      </c>
      <c r="T6773">
        <v>-0.52294370000000001</v>
      </c>
      <c r="U6773">
        <v>2.9574280000000002</v>
      </c>
      <c r="V6773">
        <v>-0.20743919999999999</v>
      </c>
      <c r="W6773">
        <v>3.9886680000000001E-2</v>
      </c>
      <c r="X6773">
        <v>0.97743440000000004</v>
      </c>
      <c r="Y6773">
        <v>-0.3733766</v>
      </c>
      <c r="Z6773">
        <v>-0.11458359999999999</v>
      </c>
      <c r="AA6773">
        <v>0.92057619999999896</v>
      </c>
      <c r="AB6773">
        <v>30</v>
      </c>
      <c r="AC6773">
        <v>1.62469999999998</v>
      </c>
      <c r="AD6773">
        <v>-1.1173825327639999</v>
      </c>
      <c r="AE6773">
        <v>6.1691700000000003</v>
      </c>
      <c r="AF6773">
        <v>-2.3577705581175299</v>
      </c>
      <c r="AG6773">
        <v>-1.1173825327639999</v>
      </c>
      <c r="AH6773">
        <v>5.7229818542275899</v>
      </c>
      <c r="AI6773">
        <v>100.233092578338</v>
      </c>
      <c r="AJ6773">
        <v>112.390822590236</v>
      </c>
      <c r="AK6773">
        <v>6.2896857658447702</v>
      </c>
      <c r="AL6773">
        <v>87.714055139176097</v>
      </c>
      <c r="AM6773">
        <v>101.982001505906</v>
      </c>
      <c r="AN6773">
        <v>0.99999998762071096</v>
      </c>
    </row>
    <row r="6774" spans="1:40" x14ac:dyDescent="0.25">
      <c r="A6774" t="str">
        <f>"20190312151155081"</f>
        <v>20190312151155081</v>
      </c>
      <c r="B6774" t="str">
        <f>"1552374715077944"</f>
        <v>1552374715077944</v>
      </c>
      <c r="C6774" t="s">
        <v>40</v>
      </c>
      <c r="D6774">
        <v>5.1417000000000002</v>
      </c>
      <c r="E6774">
        <v>0.43587809999999999</v>
      </c>
      <c r="F6774" t="s">
        <v>85</v>
      </c>
      <c r="G6774">
        <v>-191.0462</v>
      </c>
      <c r="H6774" s="1">
        <v>-5.5944199999999999E-6</v>
      </c>
      <c r="I6774">
        <v>-42.017650000000003</v>
      </c>
      <c r="J6774">
        <v>-192.6489</v>
      </c>
      <c r="K6774">
        <v>1.1173930000000001</v>
      </c>
      <c r="L6774">
        <v>-48.210239999999999</v>
      </c>
      <c r="M6774">
        <v>0.59959200000000001</v>
      </c>
      <c r="N6774">
        <v>0</v>
      </c>
      <c r="O6774">
        <v>0.80021239999999905</v>
      </c>
      <c r="P6774">
        <v>0.4207476</v>
      </c>
      <c r="Q6774">
        <v>3.197792E-2</v>
      </c>
      <c r="R6774">
        <v>0.90661389999999997</v>
      </c>
      <c r="S6774">
        <v>0.79579160000000004</v>
      </c>
      <c r="T6774">
        <v>-0.52265249999999996</v>
      </c>
      <c r="U6774">
        <v>2.9612120000000002</v>
      </c>
      <c r="V6774">
        <v>-0.20770060000000001</v>
      </c>
      <c r="W6774">
        <v>4.0113009999999998E-2</v>
      </c>
      <c r="X6774">
        <v>0.97736959999999995</v>
      </c>
      <c r="Y6774">
        <v>-0.37318899999999999</v>
      </c>
      <c r="Z6774">
        <v>-0.1152084</v>
      </c>
      <c r="AA6774">
        <v>0.92057420000000001</v>
      </c>
      <c r="AB6774">
        <v>30</v>
      </c>
      <c r="AC6774">
        <v>1.60269999999999</v>
      </c>
      <c r="AD6774">
        <v>-1.11739859442</v>
      </c>
      <c r="AE6774">
        <v>6.1925899999999903</v>
      </c>
      <c r="AF6774">
        <v>-2.3587318991839199</v>
      </c>
      <c r="AG6774">
        <v>-1.11739859442</v>
      </c>
      <c r="AH6774">
        <v>5.7415907931941099</v>
      </c>
      <c r="AI6774">
        <v>100.20487166134799</v>
      </c>
      <c r="AJ6774">
        <v>112.333596171023</v>
      </c>
      <c r="AK6774">
        <v>6.3069850663792604</v>
      </c>
      <c r="AL6774">
        <v>87.701076944078807</v>
      </c>
      <c r="AM6774">
        <v>101.99743552373</v>
      </c>
      <c r="AN6774">
        <v>0.99999996390788903</v>
      </c>
    </row>
    <row r="6775" spans="1:40" x14ac:dyDescent="0.25">
      <c r="A6775" t="str">
        <f>"20190312151155100"</f>
        <v>20190312151155100</v>
      </c>
      <c r="B6775" t="str">
        <f>"1552374715087705"</f>
        <v>1552374715087705</v>
      </c>
      <c r="C6775" t="s">
        <v>40</v>
      </c>
      <c r="D6775">
        <v>5.107488</v>
      </c>
      <c r="E6775">
        <v>0.43614900000000001</v>
      </c>
      <c r="F6775" t="s">
        <v>85</v>
      </c>
      <c r="G6775">
        <v>-190.96979999999999</v>
      </c>
      <c r="H6775" s="1">
        <v>-5.6525179999999997E-6</v>
      </c>
      <c r="I6775">
        <v>-41.86374</v>
      </c>
      <c r="J6775">
        <v>-192.50360000000001</v>
      </c>
      <c r="K6775">
        <v>1.1174230000000001</v>
      </c>
      <c r="L6775">
        <v>-48.003599999999999</v>
      </c>
      <c r="M6775">
        <v>0.59330079999999996</v>
      </c>
      <c r="N6775">
        <v>0</v>
      </c>
      <c r="O6775">
        <v>0.80488800000000005</v>
      </c>
      <c r="P6775">
        <v>0.41318060000000001</v>
      </c>
      <c r="Q6775">
        <v>3.2307450000000001E-2</v>
      </c>
      <c r="R6775">
        <v>0.91007579999999999</v>
      </c>
      <c r="S6775">
        <v>0.78404240000000003</v>
      </c>
      <c r="T6775">
        <v>-0.52178139999999995</v>
      </c>
      <c r="U6775">
        <v>2.963562</v>
      </c>
      <c r="V6775">
        <v>-0.2081826</v>
      </c>
      <c r="W6775">
        <v>4.0425549999999998E-2</v>
      </c>
      <c r="X6775">
        <v>0.97725419999999996</v>
      </c>
      <c r="Y6775">
        <v>-0.36953760000000002</v>
      </c>
      <c r="Z6775">
        <v>-0.11623699999999999</v>
      </c>
      <c r="AA6775">
        <v>0.92191699999999999</v>
      </c>
      <c r="AB6775">
        <v>30</v>
      </c>
      <c r="AC6775">
        <v>1.53380000000001</v>
      </c>
      <c r="AD6775">
        <v>-1.1174286525179999</v>
      </c>
      <c r="AE6775">
        <v>6.1398599999999899</v>
      </c>
      <c r="AF6775">
        <v>-2.33560963839366</v>
      </c>
      <c r="AG6775">
        <v>-1.1174286525179999</v>
      </c>
      <c r="AH6775">
        <v>5.6754005692534202</v>
      </c>
      <c r="AI6775">
        <v>100.31906844140499</v>
      </c>
      <c r="AJ6775">
        <v>112.36873992150799</v>
      </c>
      <c r="AK6775">
        <v>6.2380999349086697</v>
      </c>
      <c r="AL6775">
        <v>87.683155257195395</v>
      </c>
      <c r="AM6775">
        <v>102.02584649262501</v>
      </c>
      <c r="AN6775">
        <v>0.99999999572660103</v>
      </c>
    </row>
    <row r="6776" spans="1:40" x14ac:dyDescent="0.25">
      <c r="A6776" t="str">
        <f>"20190312151155113"</f>
        <v>20190312151155113</v>
      </c>
      <c r="B6776" t="str">
        <f>"1552374715108201"</f>
        <v>1552374715108201</v>
      </c>
      <c r="C6776" t="s">
        <v>40</v>
      </c>
      <c r="D6776">
        <v>5.0784549999999999</v>
      </c>
      <c r="E6776">
        <v>0.43662879999999898</v>
      </c>
      <c r="F6776" t="s">
        <v>85</v>
      </c>
      <c r="G6776">
        <v>-190.8708</v>
      </c>
      <c r="H6776" s="1">
        <v>-5.7396220000000003E-6</v>
      </c>
      <c r="I6776">
        <v>-41.638890000000004</v>
      </c>
      <c r="J6776">
        <v>-192.404</v>
      </c>
      <c r="K6776">
        <v>1.1174409999999999</v>
      </c>
      <c r="L6776">
        <v>-47.859769999999997</v>
      </c>
      <c r="M6776">
        <v>0.58890940000000003</v>
      </c>
      <c r="N6776">
        <v>0</v>
      </c>
      <c r="O6776">
        <v>0.8081064</v>
      </c>
      <c r="P6776">
        <v>0.40808719999999998</v>
      </c>
      <c r="Q6776">
        <v>3.235387E-2</v>
      </c>
      <c r="R6776">
        <v>0.91236950000000006</v>
      </c>
      <c r="S6776">
        <v>0.76171880000000003</v>
      </c>
      <c r="T6776">
        <v>-0.52127670000000004</v>
      </c>
      <c r="U6776">
        <v>2.9691160000000001</v>
      </c>
      <c r="V6776">
        <v>-0.20832539999999999</v>
      </c>
      <c r="W6776">
        <v>4.0464149999999997E-2</v>
      </c>
      <c r="X6776">
        <v>0.97722220000000004</v>
      </c>
      <c r="Y6776">
        <v>-0.37140010000000001</v>
      </c>
      <c r="Z6776">
        <v>-0.1167112</v>
      </c>
      <c r="AA6776">
        <v>0.92110820000000004</v>
      </c>
      <c r="AB6776">
        <v>30</v>
      </c>
      <c r="AC6776">
        <v>1.5332000000000201</v>
      </c>
      <c r="AD6776">
        <v>-1.11744673962199</v>
      </c>
      <c r="AE6776">
        <v>6.2208800000000002</v>
      </c>
      <c r="AF6776">
        <v>-2.3531479617746198</v>
      </c>
      <c r="AG6776">
        <v>-1.11744673962199</v>
      </c>
      <c r="AH6776">
        <v>5.7554207944913101</v>
      </c>
      <c r="AI6776">
        <v>100.188141652939</v>
      </c>
      <c r="AJ6776">
        <v>112.23757517246899</v>
      </c>
      <c r="AK6776">
        <v>6.3175043385469003</v>
      </c>
      <c r="AL6776">
        <v>87.680941894487901</v>
      </c>
      <c r="AM6776">
        <v>102.034237649006</v>
      </c>
      <c r="AN6776">
        <v>1.00000002394661</v>
      </c>
    </row>
    <row r="6777" spans="1:40" x14ac:dyDescent="0.25">
      <c r="A6777" t="str">
        <f>"20190312151155127"</f>
        <v>20190312151155127</v>
      </c>
      <c r="B6777" t="str">
        <f>"1552374715117960"</f>
        <v>1552374715117960</v>
      </c>
      <c r="C6777" t="s">
        <v>40</v>
      </c>
      <c r="D6777">
        <v>5.0880260000000002</v>
      </c>
      <c r="E6777">
        <v>0.43667790000000001</v>
      </c>
      <c r="F6777" t="s">
        <v>85</v>
      </c>
      <c r="G6777">
        <v>-190.79769999999999</v>
      </c>
      <c r="H6777" s="1">
        <v>-5.7988049999999998E-6</v>
      </c>
      <c r="I6777">
        <v>-41.483919999999998</v>
      </c>
      <c r="J6777">
        <v>-192.297</v>
      </c>
      <c r="K6777">
        <v>1.1174599999999999</v>
      </c>
      <c r="L6777">
        <v>-47.703249999999997</v>
      </c>
      <c r="M6777">
        <v>0.58412159999999902</v>
      </c>
      <c r="N6777">
        <v>0</v>
      </c>
      <c r="O6777">
        <v>0.81157389999999996</v>
      </c>
      <c r="P6777">
        <v>0.40240920000000002</v>
      </c>
      <c r="Q6777">
        <v>3.2209590000000003E-2</v>
      </c>
      <c r="R6777">
        <v>0.91489310000000001</v>
      </c>
      <c r="S6777">
        <v>0.74868769999999996</v>
      </c>
      <c r="T6777">
        <v>-0.52083519999999905</v>
      </c>
      <c r="U6777">
        <v>2.9717410000000002</v>
      </c>
      <c r="V6777">
        <v>-0.208624</v>
      </c>
      <c r="W6777">
        <v>4.030835E-2</v>
      </c>
      <c r="X6777">
        <v>0.9771649</v>
      </c>
      <c r="Y6777">
        <v>-0.36992069999999999</v>
      </c>
      <c r="Z6777">
        <v>-0.11745269999999999</v>
      </c>
      <c r="AA6777">
        <v>0.92160920000000002</v>
      </c>
      <c r="AB6777">
        <v>30</v>
      </c>
      <c r="AC6777">
        <v>1.4993000000000001</v>
      </c>
      <c r="AD6777">
        <v>-1.1174657988050001</v>
      </c>
      <c r="AE6777">
        <v>6.2193299999999896</v>
      </c>
      <c r="AF6777">
        <v>-2.3446955117745598</v>
      </c>
      <c r="AG6777">
        <v>-1.1174657988050001</v>
      </c>
      <c r="AH6777">
        <v>5.7482804976606996</v>
      </c>
      <c r="AI6777">
        <v>100.20406675290801</v>
      </c>
      <c r="AJ6777">
        <v>112.19030727685301</v>
      </c>
      <c r="AK6777">
        <v>6.3078566513690699</v>
      </c>
      <c r="AL6777">
        <v>87.689875785089001</v>
      </c>
      <c r="AM6777">
        <v>102.051668847939</v>
      </c>
      <c r="AN6777">
        <v>0.99999998912386601</v>
      </c>
    </row>
    <row r="6778" spans="1:40" x14ac:dyDescent="0.25">
      <c r="A6778" t="str">
        <f>"20190312151155147"</f>
        <v>20190312151155147</v>
      </c>
      <c r="B6778" t="str">
        <f>"1552374715137736"</f>
        <v>1552374715137736</v>
      </c>
      <c r="C6778" t="s">
        <v>40</v>
      </c>
      <c r="D6778">
        <v>5.1139570000000001</v>
      </c>
      <c r="E6778">
        <v>0.4359809</v>
      </c>
      <c r="F6778" t="s">
        <v>85</v>
      </c>
      <c r="G6778">
        <v>-190.7296</v>
      </c>
      <c r="H6778" s="1">
        <v>-5.8629820000000004E-6</v>
      </c>
      <c r="I6778">
        <v>-41.320129999999999</v>
      </c>
      <c r="J6778">
        <v>-192.15389999999999</v>
      </c>
      <c r="K6778">
        <v>1.1174869999999999</v>
      </c>
      <c r="L6778">
        <v>-47.491030000000002</v>
      </c>
      <c r="M6778">
        <v>0.57760829999999996</v>
      </c>
      <c r="N6778">
        <v>0</v>
      </c>
      <c r="O6778">
        <v>0.81622220000000001</v>
      </c>
      <c r="P6778">
        <v>0.3947386</v>
      </c>
      <c r="Q6778">
        <v>3.1850589999999998E-2</v>
      </c>
      <c r="R6778">
        <v>0.91824130000000004</v>
      </c>
      <c r="S6778">
        <v>0.73075869999999998</v>
      </c>
      <c r="T6778">
        <v>-0.5209937</v>
      </c>
      <c r="U6778">
        <v>2.9759829999999998</v>
      </c>
      <c r="V6778">
        <v>-0.20898539999999999</v>
      </c>
      <c r="W6778">
        <v>3.993385E-2</v>
      </c>
      <c r="X6778">
        <v>0.9771031</v>
      </c>
      <c r="Y6778">
        <v>-0.36805589999999999</v>
      </c>
      <c r="Z6778">
        <v>-0.11858050000000001</v>
      </c>
      <c r="AA6778">
        <v>0.92221120000000001</v>
      </c>
      <c r="AB6778">
        <v>30</v>
      </c>
      <c r="AC6778">
        <v>1.4242999999999799</v>
      </c>
      <c r="AD6778">
        <v>-1.117492862982</v>
      </c>
      <c r="AE6778">
        <v>6.1708999999999996</v>
      </c>
      <c r="AF6778">
        <v>-2.32946941430379</v>
      </c>
      <c r="AG6778">
        <v>-1.117492862982</v>
      </c>
      <c r="AH6778">
        <v>5.6830108477723602</v>
      </c>
      <c r="AI6778">
        <v>100.311909925507</v>
      </c>
      <c r="AJ6778">
        <v>112.288752153479</v>
      </c>
      <c r="AK6778">
        <v>6.2427422137143296</v>
      </c>
      <c r="AL6778">
        <v>87.711350459668395</v>
      </c>
      <c r="AM6778">
        <v>102.072675230237</v>
      </c>
      <c r="AN6778">
        <v>1.00000003890929</v>
      </c>
    </row>
    <row r="6779" spans="1:40" x14ac:dyDescent="0.25">
      <c r="A6779" t="str">
        <f>"20190312151155168"</f>
        <v>20190312151155168</v>
      </c>
      <c r="B6779" t="str">
        <f>"1552374715158231"</f>
        <v>1552374715158231</v>
      </c>
      <c r="C6779" t="s">
        <v>40</v>
      </c>
      <c r="D6779">
        <v>5.0979349999999997</v>
      </c>
      <c r="E6779">
        <v>0.43517889999999998</v>
      </c>
      <c r="F6779" t="s">
        <v>85</v>
      </c>
      <c r="G6779">
        <v>-190.64670000000001</v>
      </c>
      <c r="H6779" s="1">
        <v>-5.9642030000000003E-6</v>
      </c>
      <c r="I6779">
        <v>-41.071150000000003</v>
      </c>
      <c r="J6779">
        <v>-191.98699999999999</v>
      </c>
      <c r="K6779">
        <v>1.117515</v>
      </c>
      <c r="L6779">
        <v>-47.238680000000002</v>
      </c>
      <c r="M6779">
        <v>0.56982940000000004</v>
      </c>
      <c r="N6779">
        <v>0</v>
      </c>
      <c r="O6779">
        <v>0.82167169999999901</v>
      </c>
      <c r="P6779">
        <v>0.38547870000000001</v>
      </c>
      <c r="Q6779">
        <v>3.154452E-2</v>
      </c>
      <c r="R6779">
        <v>0.92217740000000004</v>
      </c>
      <c r="S6779">
        <v>0.70056149999999995</v>
      </c>
      <c r="T6779">
        <v>-0.51940869999999995</v>
      </c>
      <c r="U6779">
        <v>2.9839479999999998</v>
      </c>
      <c r="V6779">
        <v>-0.20954030000000001</v>
      </c>
      <c r="W6779">
        <v>3.960557E-2</v>
      </c>
      <c r="X6779">
        <v>0.97699760000000002</v>
      </c>
      <c r="Y6779">
        <v>-0.36863059999999997</v>
      </c>
      <c r="Z6779">
        <v>-0.1193246</v>
      </c>
      <c r="AA6779">
        <v>0.92188570000000003</v>
      </c>
      <c r="AB6779">
        <v>30</v>
      </c>
      <c r="AC6779">
        <v>1.3402999999999801</v>
      </c>
      <c r="AD6779">
        <v>-1.117520964203</v>
      </c>
      <c r="AE6779">
        <v>6.1675299999999904</v>
      </c>
      <c r="AF6779">
        <v>-2.3399744052610498</v>
      </c>
      <c r="AG6779">
        <v>-1.117520964203</v>
      </c>
      <c r="AH6779">
        <v>5.6545890307633</v>
      </c>
      <c r="AI6779">
        <v>100.348897200593</v>
      </c>
      <c r="AJ6779">
        <v>112.48068416551</v>
      </c>
      <c r="AK6779">
        <v>6.2208287574517502</v>
      </c>
      <c r="AL6779">
        <v>87.730174376838505</v>
      </c>
      <c r="AM6779">
        <v>102.105055155985</v>
      </c>
      <c r="AN6779">
        <v>1.0000000244524301</v>
      </c>
    </row>
    <row r="6780" spans="1:40" x14ac:dyDescent="0.25">
      <c r="A6780" t="str">
        <f>"20190312151155190"</f>
        <v>20190312151155190</v>
      </c>
      <c r="B6780" t="str">
        <f>"1552374715177751"</f>
        <v>1552374715177751</v>
      </c>
      <c r="C6780" t="s">
        <v>40</v>
      </c>
      <c r="D6780">
        <v>5.1455570000000002</v>
      </c>
      <c r="E6780">
        <v>0.43458039999999998</v>
      </c>
      <c r="F6780" t="s">
        <v>85</v>
      </c>
      <c r="G6780">
        <v>-190.55549999999999</v>
      </c>
      <c r="H6780" s="1">
        <v>-6.076372E-6</v>
      </c>
      <c r="I6780">
        <v>-40.795490000000001</v>
      </c>
      <c r="J6780">
        <v>-191.83529999999999</v>
      </c>
      <c r="K6780">
        <v>1.1175459999999999</v>
      </c>
      <c r="L6780">
        <v>-47.00461</v>
      </c>
      <c r="M6780">
        <v>0.56258169999999996</v>
      </c>
      <c r="N6780">
        <v>0</v>
      </c>
      <c r="O6780">
        <v>0.82665069999999996</v>
      </c>
      <c r="P6780">
        <v>0.37678119999999998</v>
      </c>
      <c r="Q6780">
        <v>3.100806E-2</v>
      </c>
      <c r="R6780">
        <v>0.92578320000000003</v>
      </c>
      <c r="S6780">
        <v>0.66497799999999996</v>
      </c>
      <c r="T6780">
        <v>-0.51910440000000002</v>
      </c>
      <c r="U6780">
        <v>2.99295</v>
      </c>
      <c r="V6780">
        <v>-0.21014910000000001</v>
      </c>
      <c r="W6780">
        <v>3.9047159999999997E-2</v>
      </c>
      <c r="X6780">
        <v>0.97688929999999996</v>
      </c>
      <c r="Y6780">
        <v>-0.37149739999999998</v>
      </c>
      <c r="Z6780">
        <v>-0.1201305</v>
      </c>
      <c r="AA6780">
        <v>0.92062929999999998</v>
      </c>
      <c r="AB6780">
        <v>30</v>
      </c>
      <c r="AC6780">
        <v>1.2797999999999901</v>
      </c>
      <c r="AD6780">
        <v>-1.1175520763719999</v>
      </c>
      <c r="AE6780">
        <v>6.2091199999999898</v>
      </c>
      <c r="AF6780">
        <v>-2.3619753962800401</v>
      </c>
      <c r="AG6780">
        <v>-1.1175520763719999</v>
      </c>
      <c r="AH6780">
        <v>5.6768012337623404</v>
      </c>
      <c r="AI6780">
        <v>100.301499632991</v>
      </c>
      <c r="AJ6780">
        <v>112.590976450504</v>
      </c>
      <c r="AK6780">
        <v>6.2493137754221699</v>
      </c>
      <c r="AL6780">
        <v>87.762193660380902</v>
      </c>
      <c r="AM6780">
        <v>102.14048949490299</v>
      </c>
      <c r="AN6780">
        <v>1.0000000146946799</v>
      </c>
    </row>
    <row r="6781" spans="1:40" x14ac:dyDescent="0.25">
      <c r="A6781" t="str">
        <f>"20190312151155204"</f>
        <v>20190312151155204</v>
      </c>
      <c r="B6781" t="str">
        <f>"1552374715198248"</f>
        <v>1552374715198248</v>
      </c>
      <c r="C6781" t="s">
        <v>40</v>
      </c>
      <c r="D6781">
        <v>5.136895</v>
      </c>
      <c r="E6781">
        <v>0.4340194</v>
      </c>
      <c r="F6781" t="s">
        <v>85</v>
      </c>
      <c r="G6781">
        <v>-190.47479999999999</v>
      </c>
      <c r="H6781" s="1">
        <v>-6.1644319999999998E-6</v>
      </c>
      <c r="I6781">
        <v>-40.549579999999999</v>
      </c>
      <c r="J6781">
        <v>-191.73410000000001</v>
      </c>
      <c r="K6781">
        <v>1.11757</v>
      </c>
      <c r="L6781">
        <v>-46.84592</v>
      </c>
      <c r="M6781">
        <v>0.557650599999999</v>
      </c>
      <c r="N6781">
        <v>0</v>
      </c>
      <c r="O6781">
        <v>0.82998519999999898</v>
      </c>
      <c r="P6781">
        <v>0.37122119999999997</v>
      </c>
      <c r="Q6781">
        <v>3.0893279999999999E-2</v>
      </c>
      <c r="R6781">
        <v>0.92803040000000003</v>
      </c>
      <c r="S6781">
        <v>0.63240050000000003</v>
      </c>
      <c r="T6781">
        <v>-0.51947699999999997</v>
      </c>
      <c r="U6781">
        <v>3.0005190000000002</v>
      </c>
      <c r="V6781">
        <v>-0.2101953</v>
      </c>
      <c r="W6781">
        <v>3.8924699999999902E-2</v>
      </c>
      <c r="X6781">
        <v>0.97688419999999998</v>
      </c>
      <c r="Y6781">
        <v>-0.37600610000000001</v>
      </c>
      <c r="Z6781">
        <v>-0.1206716</v>
      </c>
      <c r="AA6781">
        <v>0.91872609999999999</v>
      </c>
      <c r="AB6781">
        <v>30</v>
      </c>
      <c r="AC6781">
        <v>1.2593000000000201</v>
      </c>
      <c r="AD6781">
        <v>-1.1175761644319999</v>
      </c>
      <c r="AE6781">
        <v>6.2963399999999998</v>
      </c>
      <c r="AF6781">
        <v>-2.3936323033177098</v>
      </c>
      <c r="AG6781">
        <v>-1.1175761644319999</v>
      </c>
      <c r="AH6781">
        <v>5.7542501102454802</v>
      </c>
      <c r="AI6781">
        <v>100.16632083730001</v>
      </c>
      <c r="AJ6781">
        <v>112.58615831305799</v>
      </c>
      <c r="AK6781">
        <v>6.3316543192164803</v>
      </c>
      <c r="AL6781">
        <v>87.769215336156606</v>
      </c>
      <c r="AM6781">
        <v>102.143140821554</v>
      </c>
      <c r="AN6781">
        <v>0.99999996831090898</v>
      </c>
    </row>
    <row r="6782" spans="1:40" x14ac:dyDescent="0.25">
      <c r="A6782" t="str">
        <f>"20190312151155223"</f>
        <v>20190312151155223</v>
      </c>
      <c r="B6782" t="str">
        <f>"1552374715217767"</f>
        <v>1552374715217767</v>
      </c>
      <c r="C6782" t="s">
        <v>40</v>
      </c>
      <c r="D6782">
        <v>5.1304169999999996</v>
      </c>
      <c r="E6782">
        <v>0.43359209999999898</v>
      </c>
      <c r="F6782" t="s">
        <v>42</v>
      </c>
      <c r="G6782">
        <v>-190.41970000000001</v>
      </c>
      <c r="H6782" s="1">
        <v>-1.290819E-7</v>
      </c>
      <c r="I6782">
        <v>-40.37032</v>
      </c>
      <c r="J6782">
        <v>-191.5926</v>
      </c>
      <c r="K6782">
        <v>1.1175999999999999</v>
      </c>
      <c r="L6782">
        <v>-46.62039</v>
      </c>
      <c r="M6782">
        <v>0.55061729999999998</v>
      </c>
      <c r="N6782">
        <v>0</v>
      </c>
      <c r="O6782">
        <v>0.83466759999999995</v>
      </c>
      <c r="P6782">
        <v>0.36311179999999998</v>
      </c>
      <c r="Q6782">
        <v>3.058808E-2</v>
      </c>
      <c r="R6782">
        <v>0.93124340000000005</v>
      </c>
      <c r="S6782">
        <v>0.61010739999999997</v>
      </c>
      <c r="T6782">
        <v>-0.51875640000000001</v>
      </c>
      <c r="U6782">
        <v>3.0058590000000001</v>
      </c>
      <c r="V6782">
        <v>-0.21046529999999999</v>
      </c>
      <c r="W6782">
        <v>3.8603560000000002E-2</v>
      </c>
      <c r="X6782">
        <v>0.97683880000000001</v>
      </c>
      <c r="Y6782">
        <v>-0.3750578</v>
      </c>
      <c r="Z6782">
        <v>-0.1215347</v>
      </c>
      <c r="AA6782">
        <v>0.91900000000000004</v>
      </c>
      <c r="AB6782">
        <v>30</v>
      </c>
      <c r="AC6782">
        <v>1.1728999999999901</v>
      </c>
      <c r="AD6782">
        <v>-1.1176001290819</v>
      </c>
      <c r="AE6782">
        <v>6.25007</v>
      </c>
      <c r="AF6782">
        <v>-2.3888177297147801</v>
      </c>
      <c r="AG6782">
        <v>-1.1176001290819</v>
      </c>
      <c r="AH6782">
        <v>5.6873285178612196</v>
      </c>
      <c r="AI6782">
        <v>100.269136295964</v>
      </c>
      <c r="AJ6782">
        <v>112.783602510102</v>
      </c>
      <c r="AK6782">
        <v>6.2690657888078603</v>
      </c>
      <c r="AL6782">
        <v>87.787629123461301</v>
      </c>
      <c r="AM6782">
        <v>102.158823417115</v>
      </c>
      <c r="AN6782">
        <v>0.99999995926710095</v>
      </c>
    </row>
    <row r="6783" spans="1:40" x14ac:dyDescent="0.25">
      <c r="A6783" t="str">
        <f>"20190312151155238"</f>
        <v>20190312151155238</v>
      </c>
      <c r="B6783" t="str">
        <f>"1552374715227528"</f>
        <v>1552374715227528</v>
      </c>
      <c r="C6783" t="s">
        <v>40</v>
      </c>
      <c r="D6783">
        <v>5.1354569999999997</v>
      </c>
      <c r="E6783">
        <v>0.43344860000000002</v>
      </c>
      <c r="F6783" t="s">
        <v>42</v>
      </c>
      <c r="G6783">
        <v>-190.3425</v>
      </c>
      <c r="H6783" s="1">
        <v>-2.0788419999999999E-7</v>
      </c>
      <c r="I6783">
        <v>-40.138730000000002</v>
      </c>
      <c r="J6783">
        <v>-191.49100000000001</v>
      </c>
      <c r="K6783">
        <v>1.1176250000000001</v>
      </c>
      <c r="L6783">
        <v>-46.456209999999999</v>
      </c>
      <c r="M6783">
        <v>0.54547690000000004</v>
      </c>
      <c r="N6783">
        <v>0</v>
      </c>
      <c r="O6783">
        <v>0.83803589999999994</v>
      </c>
      <c r="P6783">
        <v>0.35723739999999998</v>
      </c>
      <c r="Q6783">
        <v>3.033166E-2</v>
      </c>
      <c r="R6783">
        <v>0.93352100000000005</v>
      </c>
      <c r="S6783">
        <v>0.58093260000000002</v>
      </c>
      <c r="T6783">
        <v>-0.51935319999999996</v>
      </c>
      <c r="U6783">
        <v>3.012054</v>
      </c>
      <c r="V6783">
        <v>-0.2106179</v>
      </c>
      <c r="W6783">
        <v>3.8337200000000002E-2</v>
      </c>
      <c r="X6783">
        <v>0.97681649999999998</v>
      </c>
      <c r="Y6783">
        <v>-0.37829810000000003</v>
      </c>
      <c r="Z6783">
        <v>-0.1222147</v>
      </c>
      <c r="AA6783">
        <v>0.91758059999999997</v>
      </c>
      <c r="AB6783">
        <v>30</v>
      </c>
      <c r="AC6783">
        <v>1.1484999999999801</v>
      </c>
      <c r="AD6783">
        <v>-1.1176252078841999</v>
      </c>
      <c r="AE6783">
        <v>6.3174799999999998</v>
      </c>
      <c r="AF6783">
        <v>-2.41070797760023</v>
      </c>
      <c r="AG6783">
        <v>-1.1176252078841999</v>
      </c>
      <c r="AH6783">
        <v>5.7470887199237399</v>
      </c>
      <c r="AI6783">
        <v>100.166799729574</v>
      </c>
      <c r="AJ6783">
        <v>112.756389780777</v>
      </c>
      <c r="AK6783">
        <v>6.33163705634162</v>
      </c>
      <c r="AL6783">
        <v>87.802901949995402</v>
      </c>
      <c r="AM6783">
        <v>102.167646215083</v>
      </c>
      <c r="AN6783">
        <v>1.00000005768824</v>
      </c>
    </row>
    <row r="6784" spans="1:40" x14ac:dyDescent="0.25">
      <c r="A6784" t="str">
        <f>"20190312151155256"</f>
        <v>20190312151155256</v>
      </c>
      <c r="B6784" t="str">
        <f>"1552374715248023"</f>
        <v>1552374715248023</v>
      </c>
      <c r="C6784" t="s">
        <v>40</v>
      </c>
      <c r="D6784">
        <v>5.0972289999999996</v>
      </c>
      <c r="E6784">
        <v>0.43314320000000001</v>
      </c>
      <c r="F6784" t="s">
        <v>42</v>
      </c>
      <c r="G6784">
        <v>-190.28540000000001</v>
      </c>
      <c r="H6784" s="1">
        <v>-2.6290219999999999E-7</v>
      </c>
      <c r="I6784">
        <v>-39.975079999999998</v>
      </c>
      <c r="J6784">
        <v>-191.35659999999999</v>
      </c>
      <c r="K6784">
        <v>1.1176539999999999</v>
      </c>
      <c r="L6784">
        <v>-46.234859999999998</v>
      </c>
      <c r="M6784">
        <v>0.53852860000000002</v>
      </c>
      <c r="N6784">
        <v>0</v>
      </c>
      <c r="O6784">
        <v>0.84251769999999904</v>
      </c>
      <c r="P6784">
        <v>0.34915600000000002</v>
      </c>
      <c r="Q6784">
        <v>2.997375E-2</v>
      </c>
      <c r="R6784">
        <v>0.93658509999999995</v>
      </c>
      <c r="S6784">
        <v>0.56098939999999997</v>
      </c>
      <c r="T6784">
        <v>-0.52006049999999904</v>
      </c>
      <c r="U6784">
        <v>3.0158390000000002</v>
      </c>
      <c r="V6784">
        <v>-0.21098510000000001</v>
      </c>
      <c r="W6784">
        <v>3.7962679999999999E-2</v>
      </c>
      <c r="X6784">
        <v>0.97675179999999995</v>
      </c>
      <c r="Y6784">
        <v>-0.3767411</v>
      </c>
      <c r="Z6784">
        <v>-0.123428</v>
      </c>
      <c r="AA6784">
        <v>0.91805870000000001</v>
      </c>
      <c r="AB6784">
        <v>30</v>
      </c>
      <c r="AC6784">
        <v>1.07119999999997</v>
      </c>
      <c r="AD6784">
        <v>-1.1176542629021999</v>
      </c>
      <c r="AE6784">
        <v>6.2597799999999904</v>
      </c>
      <c r="AF6784">
        <v>-2.39458793323073</v>
      </c>
      <c r="AG6784">
        <v>-1.1176542629021999</v>
      </c>
      <c r="AH6784">
        <v>5.6755098221742601</v>
      </c>
      <c r="AI6784">
        <v>100.283743076292</v>
      </c>
      <c r="AJ6784">
        <v>112.87565534484899</v>
      </c>
      <c r="AK6784">
        <v>6.2605602115908301</v>
      </c>
      <c r="AL6784">
        <v>87.824375823640693</v>
      </c>
      <c r="AM6784">
        <v>102.189009328499</v>
      </c>
      <c r="AN6784">
        <v>0.99999997814901498</v>
      </c>
    </row>
    <row r="6785" spans="1:40" x14ac:dyDescent="0.25">
      <c r="A6785" t="str">
        <f>"20190312151155270"</f>
        <v>20190312151155270</v>
      </c>
      <c r="B6785" t="str">
        <f>"1552374715268227"</f>
        <v>1552374715268227</v>
      </c>
      <c r="C6785" t="s">
        <v>40</v>
      </c>
      <c r="D6785">
        <v>5.0874759999999997</v>
      </c>
      <c r="E6785">
        <v>0.4330676</v>
      </c>
      <c r="F6785" t="s">
        <v>42</v>
      </c>
      <c r="G6785">
        <v>-190.20830000000001</v>
      </c>
      <c r="H6785" s="1">
        <v>-3.501107E-7</v>
      </c>
      <c r="I6785">
        <v>-39.723930000000003</v>
      </c>
      <c r="J6785">
        <v>-191.26920000000001</v>
      </c>
      <c r="K6785">
        <v>1.1176740000000001</v>
      </c>
      <c r="L6785">
        <v>-46.088039999999999</v>
      </c>
      <c r="M6785">
        <v>0.53390780000000004</v>
      </c>
      <c r="N6785">
        <v>0</v>
      </c>
      <c r="O6785">
        <v>0.84545349999999997</v>
      </c>
      <c r="P6785">
        <v>0.34391670000000002</v>
      </c>
      <c r="Q6785">
        <v>2.997679E-2</v>
      </c>
      <c r="R6785">
        <v>0.93852159999999996</v>
      </c>
      <c r="S6785">
        <v>0.53283689999999995</v>
      </c>
      <c r="T6785">
        <v>-0.51859429999999995</v>
      </c>
      <c r="U6785">
        <v>3.0210880000000002</v>
      </c>
      <c r="V6785">
        <v>-0.21109739999999999</v>
      </c>
      <c r="W6785">
        <v>3.7957909999999997E-2</v>
      </c>
      <c r="X6785">
        <v>0.97672769999999998</v>
      </c>
      <c r="Y6785">
        <v>-0.3802297</v>
      </c>
      <c r="Z6785">
        <v>-0.1235446</v>
      </c>
      <c r="AA6785">
        <v>0.91660359999999996</v>
      </c>
      <c r="AB6785">
        <v>30</v>
      </c>
      <c r="AC6785">
        <v>1.0609</v>
      </c>
      <c r="AD6785">
        <v>-1.1176743501107</v>
      </c>
      <c r="AE6785">
        <v>6.3641100000000002</v>
      </c>
      <c r="AF6785">
        <v>-2.42822639433159</v>
      </c>
      <c r="AG6785">
        <v>-1.1176743501107</v>
      </c>
      <c r="AH6785">
        <v>5.7741539626869098</v>
      </c>
      <c r="AI6785">
        <v>100.116790120812</v>
      </c>
      <c r="AJ6785">
        <v>112.808394820194</v>
      </c>
      <c r="AK6785">
        <v>6.3628871874202497</v>
      </c>
      <c r="AL6785">
        <v>87.824649276878901</v>
      </c>
      <c r="AM6785">
        <v>102.195594882582</v>
      </c>
      <c r="AN6785">
        <v>0.99999995758280802</v>
      </c>
    </row>
    <row r="6786" spans="1:40" x14ac:dyDescent="0.25">
      <c r="A6786" t="str">
        <f>"20190312151155290"</f>
        <v>20190312151155290</v>
      </c>
      <c r="B6786" t="str">
        <f>"1552374715277987"</f>
        <v>1552374715277987</v>
      </c>
      <c r="C6786" t="s">
        <v>40</v>
      </c>
      <c r="D6786">
        <v>5.0226089999999903</v>
      </c>
      <c r="E6786">
        <v>0.43306660000000002</v>
      </c>
      <c r="F6786" t="s">
        <v>42</v>
      </c>
      <c r="G6786">
        <v>-190.15649999999999</v>
      </c>
      <c r="H6786" s="1">
        <v>-4.059758E-7</v>
      </c>
      <c r="I6786">
        <v>-39.561599999999999</v>
      </c>
      <c r="J6786">
        <v>-191.13399999999999</v>
      </c>
      <c r="K6786">
        <v>1.1176999999999999</v>
      </c>
      <c r="L6786">
        <v>-45.858150000000002</v>
      </c>
      <c r="M6786">
        <v>0.52664880000000003</v>
      </c>
      <c r="N6786">
        <v>0</v>
      </c>
      <c r="O6786">
        <v>0.84999409999999898</v>
      </c>
      <c r="P6786">
        <v>0.33539540000000001</v>
      </c>
      <c r="Q6786">
        <v>3.02289E-2</v>
      </c>
      <c r="R6786">
        <v>0.94159230000000005</v>
      </c>
      <c r="S6786">
        <v>0.51557920000000002</v>
      </c>
      <c r="T6786">
        <v>-0.51789359999999995</v>
      </c>
      <c r="U6786">
        <v>3.0241389999999999</v>
      </c>
      <c r="V6786">
        <v>-0.21159059999999999</v>
      </c>
      <c r="W6786">
        <v>3.8190920000000003E-2</v>
      </c>
      <c r="X6786">
        <v>0.97661200000000004</v>
      </c>
      <c r="Y6786">
        <v>-0.37756640000000002</v>
      </c>
      <c r="Z6786">
        <v>-0.1245005</v>
      </c>
      <c r="AA6786">
        <v>0.91757469999999997</v>
      </c>
      <c r="AB6786">
        <v>30</v>
      </c>
      <c r="AC6786">
        <v>0.97750000000002002</v>
      </c>
      <c r="AD6786">
        <v>-1.1177004059758</v>
      </c>
      <c r="AE6786">
        <v>6.2965499999999999</v>
      </c>
      <c r="AF6786">
        <v>-2.41120057586464</v>
      </c>
      <c r="AG6786">
        <v>-1.1177004059758</v>
      </c>
      <c r="AH6786">
        <v>5.6921356721568301</v>
      </c>
      <c r="AI6786">
        <v>100.248690097752</v>
      </c>
      <c r="AJ6786">
        <v>112.957617328206</v>
      </c>
      <c r="AK6786">
        <v>6.2820021430121198</v>
      </c>
      <c r="AL6786">
        <v>87.811289331170599</v>
      </c>
      <c r="AM6786">
        <v>102.224637018537</v>
      </c>
      <c r="AN6786">
        <v>1.0000000634613999</v>
      </c>
    </row>
    <row r="6787" spans="1:40" x14ac:dyDescent="0.25">
      <c r="A6787" t="str">
        <f>"20190312151155304"</f>
        <v>20190312151155304</v>
      </c>
      <c r="B6787" t="str">
        <f>"1552374715297508"</f>
        <v>1552374715297508</v>
      </c>
      <c r="C6787" t="s">
        <v>40</v>
      </c>
      <c r="D6787">
        <v>5.1226010000000004</v>
      </c>
      <c r="E6787">
        <v>0.43293110000000001</v>
      </c>
      <c r="F6787" t="s">
        <v>42</v>
      </c>
      <c r="G6787">
        <v>-190.07939999999999</v>
      </c>
      <c r="H6787" s="1">
        <v>-4.8896539999999995E-7</v>
      </c>
      <c r="I6787">
        <v>-39.320320000000002</v>
      </c>
      <c r="J6787">
        <v>-191.03729999999999</v>
      </c>
      <c r="K6787">
        <v>1.117718</v>
      </c>
      <c r="L6787">
        <v>-45.691099999999999</v>
      </c>
      <c r="M6787">
        <v>0.52135849999999995</v>
      </c>
      <c r="N6787">
        <v>0</v>
      </c>
      <c r="O6787">
        <v>0.85324909999999998</v>
      </c>
      <c r="P6787">
        <v>0.32937620000000001</v>
      </c>
      <c r="Q6787">
        <v>3.0396690000000001E-2</v>
      </c>
      <c r="R6787">
        <v>0.94370940000000003</v>
      </c>
      <c r="S6787">
        <v>0.48854059999999999</v>
      </c>
      <c r="T6787">
        <v>-0.51778069999999998</v>
      </c>
      <c r="U6787">
        <v>3.0286870000000001</v>
      </c>
      <c r="V6787">
        <v>-0.21176249999999999</v>
      </c>
      <c r="W6787">
        <v>3.834912E-2</v>
      </c>
      <c r="X6787">
        <v>0.97656849999999995</v>
      </c>
      <c r="Y6787">
        <v>-0.3800173</v>
      </c>
      <c r="Z6787">
        <v>-0.12506229999999999</v>
      </c>
      <c r="AA6787">
        <v>0.91648580000000002</v>
      </c>
      <c r="AB6787">
        <v>30</v>
      </c>
      <c r="AC6787">
        <v>0.95789999999999498</v>
      </c>
      <c r="AD6787">
        <v>-1.1177184889653999</v>
      </c>
      <c r="AE6787">
        <v>6.3707799999999901</v>
      </c>
      <c r="AF6787">
        <v>-2.43114429685202</v>
      </c>
      <c r="AG6787">
        <v>-1.1177184889653999</v>
      </c>
      <c r="AH6787">
        <v>5.7622745152683397</v>
      </c>
      <c r="AI6787">
        <v>100.132730428637</v>
      </c>
      <c r="AJ6787">
        <v>112.875224517692</v>
      </c>
      <c r="AK6787">
        <v>6.3532326261519998</v>
      </c>
      <c r="AL6787">
        <v>87.802218406130095</v>
      </c>
      <c r="AM6787">
        <v>102.234798053578</v>
      </c>
      <c r="AN6787">
        <v>1.00000002330163</v>
      </c>
    </row>
    <row r="6788" spans="1:40" x14ac:dyDescent="0.25">
      <c r="A6788" t="str">
        <f>"20190312151155318"</f>
        <v>20190312151155318</v>
      </c>
      <c r="B6788" t="str">
        <f>"1552374715308243"</f>
        <v>1552374715308243</v>
      </c>
      <c r="C6788" t="s">
        <v>40</v>
      </c>
      <c r="D6788">
        <v>5.1093080000000004</v>
      </c>
      <c r="E6788">
        <v>0.43285659999999998</v>
      </c>
      <c r="F6788" t="s">
        <v>42</v>
      </c>
      <c r="G6788">
        <v>-190.02029999999999</v>
      </c>
      <c r="H6788" s="1">
        <v>-5.6399159999999898E-7</v>
      </c>
      <c r="I6788">
        <v>-39.108800000000002</v>
      </c>
      <c r="J6788">
        <v>-190.94329999999999</v>
      </c>
      <c r="K6788">
        <v>1.117737</v>
      </c>
      <c r="L6788">
        <v>-45.526580000000003</v>
      </c>
      <c r="M6788">
        <v>0.51613679999999995</v>
      </c>
      <c r="N6788">
        <v>0</v>
      </c>
      <c r="O6788">
        <v>0.85641780000000001</v>
      </c>
      <c r="P6788">
        <v>0.32313839999999999</v>
      </c>
      <c r="Q6788">
        <v>3.0330369999999999E-2</v>
      </c>
      <c r="R6788">
        <v>0.94586559999999997</v>
      </c>
      <c r="S6788">
        <v>0.46847529999999998</v>
      </c>
      <c r="T6788">
        <v>-0.51485599999999998</v>
      </c>
      <c r="U6788">
        <v>3.0320130000000001</v>
      </c>
      <c r="V6788">
        <v>-0.2122465</v>
      </c>
      <c r="W6788">
        <v>3.826715E-2</v>
      </c>
      <c r="X6788">
        <v>0.97646659999999996</v>
      </c>
      <c r="Y6788">
        <v>-0.38044020000000001</v>
      </c>
      <c r="Z6788">
        <v>-0.12503810000000001</v>
      </c>
      <c r="AA6788">
        <v>0.91631359999999995</v>
      </c>
      <c r="AB6788">
        <v>30</v>
      </c>
      <c r="AC6788">
        <v>0.92300000000000104</v>
      </c>
      <c r="AD6788">
        <v>-1.1177375639916001</v>
      </c>
      <c r="AE6788">
        <v>6.4177799999999898</v>
      </c>
      <c r="AF6788">
        <v>-2.4493791707646002</v>
      </c>
      <c r="AG6788">
        <v>-1.1177375639916001</v>
      </c>
      <c r="AH6788">
        <v>5.8007606692677998</v>
      </c>
      <c r="AI6788">
        <v>100.06583451469901</v>
      </c>
      <c r="AJ6788">
        <v>112.89196927050099</v>
      </c>
      <c r="AK6788">
        <v>6.3951246998207596</v>
      </c>
      <c r="AL6788">
        <v>87.806918309624393</v>
      </c>
      <c r="AM6788">
        <v>102.26315740955</v>
      </c>
      <c r="AN6788">
        <v>0.99999998622346598</v>
      </c>
    </row>
    <row r="6789" spans="1:40" x14ac:dyDescent="0.25">
      <c r="A6789" t="str">
        <f>"20190312151155335"</f>
        <v>20190312151155335</v>
      </c>
      <c r="B6789" t="str">
        <f>"1552374715327763"</f>
        <v>1552374715327763</v>
      </c>
      <c r="C6789" t="s">
        <v>40</v>
      </c>
      <c r="D6789">
        <v>5.0982279999999998</v>
      </c>
      <c r="E6789">
        <v>0.43280410000000002</v>
      </c>
      <c r="F6789" t="s">
        <v>42</v>
      </c>
      <c r="G6789">
        <v>-189.96899999999999</v>
      </c>
      <c r="H6789" s="1">
        <v>-6.2776619999999899E-7</v>
      </c>
      <c r="I6789">
        <v>-38.928319999999999</v>
      </c>
      <c r="J6789">
        <v>-190.8262</v>
      </c>
      <c r="K6789">
        <v>1.117753</v>
      </c>
      <c r="L6789">
        <v>-45.317500000000003</v>
      </c>
      <c r="M6789">
        <v>0.50948729999999998</v>
      </c>
      <c r="N6789">
        <v>0</v>
      </c>
      <c r="O6789">
        <v>0.86039019999999999</v>
      </c>
      <c r="P6789">
        <v>0.31499389999999999</v>
      </c>
      <c r="Q6789">
        <v>3.028264E-2</v>
      </c>
      <c r="R6789">
        <v>0.94861050000000002</v>
      </c>
      <c r="S6789">
        <v>0.44816590000000001</v>
      </c>
      <c r="T6789">
        <v>-0.51413659999999906</v>
      </c>
      <c r="U6789">
        <v>3.0350649999999999</v>
      </c>
      <c r="V6789">
        <v>-0.21307999999999999</v>
      </c>
      <c r="W6789">
        <v>3.8195199999999999E-2</v>
      </c>
      <c r="X6789">
        <v>0.97628789999999999</v>
      </c>
      <c r="Y6789">
        <v>-0.37942310000000001</v>
      </c>
      <c r="Z6789">
        <v>-0.1257857</v>
      </c>
      <c r="AA6789">
        <v>0.91663300000000003</v>
      </c>
      <c r="AB6789">
        <v>30</v>
      </c>
      <c r="AC6789">
        <v>0.85719999999997698</v>
      </c>
      <c r="AD6789">
        <v>-1.1177536277661999</v>
      </c>
      <c r="AE6789">
        <v>6.3891799999999996</v>
      </c>
      <c r="AF6789">
        <v>-2.44438107342223</v>
      </c>
      <c r="AG6789">
        <v>-1.1177536277661999</v>
      </c>
      <c r="AH6789">
        <v>5.7611630633252604</v>
      </c>
      <c r="AI6789">
        <v>100.12648713494001</v>
      </c>
      <c r="AJ6789">
        <v>112.990834694284</v>
      </c>
      <c r="AK6789">
        <v>6.3573085379516199</v>
      </c>
      <c r="AL6789">
        <v>87.811043812827094</v>
      </c>
      <c r="AM6789">
        <v>102.31203416551099</v>
      </c>
      <c r="AN6789">
        <v>1.0000000116947201</v>
      </c>
    </row>
    <row r="6790" spans="1:40" x14ac:dyDescent="0.25">
      <c r="A6790" t="str">
        <f>"20190312151155360"</f>
        <v>20190312151155360</v>
      </c>
      <c r="B6790" t="str">
        <f>"1552374715348258"</f>
        <v>1552374715348258</v>
      </c>
      <c r="C6790" t="s">
        <v>40</v>
      </c>
      <c r="D6790">
        <v>5.0785720000000003</v>
      </c>
      <c r="E6790">
        <v>0.43279620000000002</v>
      </c>
      <c r="F6790" t="s">
        <v>42</v>
      </c>
      <c r="G6790">
        <v>-189.90639999999999</v>
      </c>
      <c r="H6790" s="1">
        <v>-7.3553119999999903E-7</v>
      </c>
      <c r="I6790">
        <v>-38.691389999999998</v>
      </c>
      <c r="J6790">
        <v>-190.67500000000001</v>
      </c>
      <c r="K6790">
        <v>1.1177760000000001</v>
      </c>
      <c r="L6790">
        <v>-45.042140000000003</v>
      </c>
      <c r="M6790">
        <v>0.50071129999999997</v>
      </c>
      <c r="N6790">
        <v>0</v>
      </c>
      <c r="O6790">
        <v>0.86552680000000004</v>
      </c>
      <c r="P6790">
        <v>0.30478670000000002</v>
      </c>
      <c r="Q6790">
        <v>2.9893659999999999E-2</v>
      </c>
      <c r="R6790">
        <v>0.9519514</v>
      </c>
      <c r="S6790">
        <v>0.42182920000000002</v>
      </c>
      <c r="T6790">
        <v>-0.51261570000000001</v>
      </c>
      <c r="U6790">
        <v>3.038818</v>
      </c>
      <c r="V6790">
        <v>-0.2136391</v>
      </c>
      <c r="W6790">
        <v>3.7787800000000003E-2</v>
      </c>
      <c r="X6790">
        <v>0.97618159999999998</v>
      </c>
      <c r="Y6790">
        <v>-0.37797599999999998</v>
      </c>
      <c r="Z6790">
        <v>-0.12661629999999999</v>
      </c>
      <c r="AA6790">
        <v>0.9171163</v>
      </c>
      <c r="AB6790">
        <v>30</v>
      </c>
      <c r="AC6790">
        <v>0.76860000000002004</v>
      </c>
      <c r="AD6790">
        <v>-1.1177767355312</v>
      </c>
      <c r="AE6790">
        <v>6.3507499999999899</v>
      </c>
      <c r="AF6790">
        <v>-2.4403324742600399</v>
      </c>
      <c r="AG6790">
        <v>-1.1177767355312</v>
      </c>
      <c r="AH6790">
        <v>5.7077711733438496</v>
      </c>
      <c r="AI6790">
        <v>100.207682789202</v>
      </c>
      <c r="AJ6790">
        <v>113.148916985369</v>
      </c>
      <c r="AK6790">
        <v>6.3074003505943699</v>
      </c>
      <c r="AL6790">
        <v>87.834403059120405</v>
      </c>
      <c r="AM6790">
        <v>102.344653495674</v>
      </c>
      <c r="AN6790">
        <v>1.0000000495281001</v>
      </c>
    </row>
    <row r="6791" spans="1:40" x14ac:dyDescent="0.25">
      <c r="A6791" t="str">
        <f>"20190312151155380"</f>
        <v>20190312151155380</v>
      </c>
      <c r="B6791" t="str">
        <f>"1552374715377931"</f>
        <v>1552374715377931</v>
      </c>
      <c r="C6791" t="s">
        <v>40</v>
      </c>
      <c r="D6791">
        <v>5.0912009999999999</v>
      </c>
      <c r="E6791">
        <v>0.43289129999999998</v>
      </c>
      <c r="F6791" t="s">
        <v>42</v>
      </c>
      <c r="G6791">
        <v>-189.8254</v>
      </c>
      <c r="H6791" s="1">
        <v>-8.7436870000000001E-7</v>
      </c>
      <c r="I6791">
        <v>-38.401249999999997</v>
      </c>
      <c r="J6791">
        <v>-190.5429</v>
      </c>
      <c r="K6791">
        <v>1.1177870000000001</v>
      </c>
      <c r="L6791">
        <v>-44.795810000000003</v>
      </c>
      <c r="M6791">
        <v>0.49284450000000002</v>
      </c>
      <c r="N6791">
        <v>0</v>
      </c>
      <c r="O6791">
        <v>0.87003030000000003</v>
      </c>
      <c r="P6791">
        <v>0.29566959999999998</v>
      </c>
      <c r="Q6791">
        <v>2.9735810000000001E-2</v>
      </c>
      <c r="R6791">
        <v>0.95482739999999999</v>
      </c>
      <c r="S6791">
        <v>0.38929750000000002</v>
      </c>
      <c r="T6791">
        <v>-0.51216300000000003</v>
      </c>
      <c r="U6791">
        <v>3.0428470000000001</v>
      </c>
      <c r="V6791">
        <v>-0.21412600000000001</v>
      </c>
      <c r="W6791">
        <v>3.7614830000000002E-2</v>
      </c>
      <c r="X6791">
        <v>0.97608159999999999</v>
      </c>
      <c r="Y6791">
        <v>-0.37939040000000002</v>
      </c>
      <c r="Z6791">
        <v>-0.12744539999999999</v>
      </c>
      <c r="AA6791">
        <v>0.91641729999999999</v>
      </c>
      <c r="AB6791">
        <v>30</v>
      </c>
      <c r="AC6791">
        <v>0.71750000000000103</v>
      </c>
      <c r="AD6791">
        <v>-1.1177878743687</v>
      </c>
      <c r="AE6791">
        <v>6.3945599999999896</v>
      </c>
      <c r="AF6791">
        <v>-2.4534333659840102</v>
      </c>
      <c r="AG6791">
        <v>-1.1177878743687</v>
      </c>
      <c r="AH6791">
        <v>5.7441878901328796</v>
      </c>
      <c r="AI6791">
        <v>100.145958642541</v>
      </c>
      <c r="AJ6791">
        <v>113.128093275514</v>
      </c>
      <c r="AK6791">
        <v>6.3454298144852697</v>
      </c>
      <c r="AL6791">
        <v>87.844320571351204</v>
      </c>
      <c r="AM6791">
        <v>102.373150907519</v>
      </c>
      <c r="AN6791">
        <v>1.0000000545852401</v>
      </c>
    </row>
    <row r="6792" spans="1:40" x14ac:dyDescent="0.25">
      <c r="A6792" t="str">
        <f>"20190312151155403"</f>
        <v>20190312151155403</v>
      </c>
      <c r="B6792" t="str">
        <f>"1552374715397451"</f>
        <v>1552374715397451</v>
      </c>
      <c r="C6792" t="s">
        <v>40</v>
      </c>
      <c r="D6792">
        <v>5.1705209999999999</v>
      </c>
      <c r="E6792">
        <v>0.4329964</v>
      </c>
      <c r="F6792" t="s">
        <v>42</v>
      </c>
      <c r="G6792">
        <v>-189.75149999999999</v>
      </c>
      <c r="H6792" s="1">
        <v>-1.0056820000000001E-6</v>
      </c>
      <c r="I6792">
        <v>-38.125680000000003</v>
      </c>
      <c r="J6792">
        <v>-190.4007</v>
      </c>
      <c r="K6792">
        <v>1.117807</v>
      </c>
      <c r="L6792">
        <v>-44.524290000000001</v>
      </c>
      <c r="M6792">
        <v>0.4841627</v>
      </c>
      <c r="N6792">
        <v>0</v>
      </c>
      <c r="O6792">
        <v>0.87489119999999998</v>
      </c>
      <c r="P6792">
        <v>0.28587309999999999</v>
      </c>
      <c r="Q6792">
        <v>2.9489910000000001E-2</v>
      </c>
      <c r="R6792">
        <v>0.95781360000000004</v>
      </c>
      <c r="S6792">
        <v>0.36137390000000003</v>
      </c>
      <c r="T6792">
        <v>-0.51044060000000002</v>
      </c>
      <c r="U6792">
        <v>3.0459290000000001</v>
      </c>
      <c r="V6792">
        <v>-0.21441289999999999</v>
      </c>
      <c r="W6792">
        <v>3.7359429999999999E-2</v>
      </c>
      <c r="X6792">
        <v>0.97602840000000002</v>
      </c>
      <c r="Y6792">
        <v>-0.37858629999999999</v>
      </c>
      <c r="Z6792">
        <v>-0.12815070000000001</v>
      </c>
      <c r="AA6792">
        <v>0.91665140000000001</v>
      </c>
      <c r="AB6792">
        <v>30</v>
      </c>
      <c r="AC6792">
        <v>0.64920000000000699</v>
      </c>
      <c r="AD6792">
        <v>-1.1178080056819999</v>
      </c>
      <c r="AE6792">
        <v>6.3986099999999997</v>
      </c>
      <c r="AF6792">
        <v>-2.4559915963496199</v>
      </c>
      <c r="AG6792">
        <v>-1.1178080056819999</v>
      </c>
      <c r="AH6792">
        <v>5.7394794543413603</v>
      </c>
      <c r="AI6792">
        <v>100.151427147519</v>
      </c>
      <c r="AJ6792">
        <v>113.16665869577901</v>
      </c>
      <c r="AK6792">
        <v>6.3421616082936101</v>
      </c>
      <c r="AL6792">
        <v>87.858964148913302</v>
      </c>
      <c r="AM6792">
        <v>102.389872074382</v>
      </c>
      <c r="AN6792">
        <v>1.0000000281514401</v>
      </c>
    </row>
    <row r="6793" spans="1:40" x14ac:dyDescent="0.25">
      <c r="A6793" t="str">
        <f>"20190312151155425"</f>
        <v>20190312151155425</v>
      </c>
      <c r="B6793" t="str">
        <f>"1552374715417947"</f>
        <v>1552374715417947</v>
      </c>
      <c r="C6793" t="s">
        <v>40</v>
      </c>
      <c r="D6793">
        <v>5.0708449999999896</v>
      </c>
      <c r="E6793">
        <v>0.43317250000000002</v>
      </c>
      <c r="F6793" t="s">
        <v>42</v>
      </c>
      <c r="G6793">
        <v>-189.67410000000001</v>
      </c>
      <c r="H6793" s="1">
        <v>-1.1441669999999999E-6</v>
      </c>
      <c r="I6793">
        <v>-37.834910000000001</v>
      </c>
      <c r="J6793">
        <v>-190.2637</v>
      </c>
      <c r="K6793">
        <v>1.117815</v>
      </c>
      <c r="L6793">
        <v>-44.25647</v>
      </c>
      <c r="M6793">
        <v>0.47558889999999998</v>
      </c>
      <c r="N6793">
        <v>0</v>
      </c>
      <c r="O6793">
        <v>0.87958130000000001</v>
      </c>
      <c r="P6793">
        <v>0.2764202</v>
      </c>
      <c r="Q6793">
        <v>2.9390280000000001E-2</v>
      </c>
      <c r="R6793">
        <v>0.96058739999999998</v>
      </c>
      <c r="S6793">
        <v>0.33117679999999999</v>
      </c>
      <c r="T6793">
        <v>-0.50949029999999995</v>
      </c>
      <c r="U6793">
        <v>3.0489809999999999</v>
      </c>
      <c r="V6793">
        <v>-0.21449280000000001</v>
      </c>
      <c r="W6793">
        <v>3.7255070000000001E-2</v>
      </c>
      <c r="X6793">
        <v>0.97601479999999996</v>
      </c>
      <c r="Y6793">
        <v>-0.37862030000000002</v>
      </c>
      <c r="Z6793">
        <v>-0.128970899999999</v>
      </c>
      <c r="AA6793">
        <v>0.91652230000000001</v>
      </c>
      <c r="AB6793">
        <v>30</v>
      </c>
      <c r="AC6793">
        <v>0.58959999999999002</v>
      </c>
      <c r="AD6793">
        <v>-1.117816144167</v>
      </c>
      <c r="AE6793">
        <v>6.4215600000000004</v>
      </c>
      <c r="AF6793">
        <v>-2.4616468801835598</v>
      </c>
      <c r="AG6793">
        <v>-1.117816144167</v>
      </c>
      <c r="AH6793">
        <v>5.7561807118694199</v>
      </c>
      <c r="AI6793">
        <v>100.123584249288</v>
      </c>
      <c r="AJ6793">
        <v>113.15411014661299</v>
      </c>
      <c r="AK6793">
        <v>6.3594681131817499</v>
      </c>
      <c r="AL6793">
        <v>87.864947632382297</v>
      </c>
      <c r="AM6793">
        <v>102.394513802578</v>
      </c>
      <c r="AN6793">
        <v>0.99999999565579201</v>
      </c>
    </row>
    <row r="6794" spans="1:40" x14ac:dyDescent="0.25">
      <c r="A6794" t="str">
        <f>"20190312151155448"</f>
        <v>20190312151155448</v>
      </c>
      <c r="B6794" t="str">
        <f>"1552374715437470"</f>
        <v>1552374715437470</v>
      </c>
      <c r="C6794" t="s">
        <v>40</v>
      </c>
      <c r="D6794">
        <v>5.1102699999999999</v>
      </c>
      <c r="E6794">
        <v>0.43342239999999999</v>
      </c>
      <c r="F6794" t="s">
        <v>42</v>
      </c>
      <c r="G6794">
        <v>-189.59649999999999</v>
      </c>
      <c r="H6794" s="1">
        <v>-1.28961099999999E-6</v>
      </c>
      <c r="I6794">
        <v>-37.527949999999997</v>
      </c>
      <c r="J6794">
        <v>-190.124</v>
      </c>
      <c r="K6794">
        <v>1.117823</v>
      </c>
      <c r="L6794">
        <v>-43.97681</v>
      </c>
      <c r="M6794">
        <v>0.46662759999999998</v>
      </c>
      <c r="N6794">
        <v>0</v>
      </c>
      <c r="O6794">
        <v>0.88436789999999998</v>
      </c>
      <c r="P6794">
        <v>0.26661089999999998</v>
      </c>
      <c r="Q6794">
        <v>2.9346750000000001E-2</v>
      </c>
      <c r="R6794">
        <v>0.96335729999999997</v>
      </c>
      <c r="S6794">
        <v>0.30258180000000001</v>
      </c>
      <c r="T6794">
        <v>-0.50695159999999995</v>
      </c>
      <c r="U6794">
        <v>3.0515140000000001</v>
      </c>
      <c r="V6794">
        <v>-0.21452950000000001</v>
      </c>
      <c r="W6794">
        <v>3.7208379999999999E-2</v>
      </c>
      <c r="X6794">
        <v>0.97600849999999995</v>
      </c>
      <c r="Y6794">
        <v>-0.37780229999999998</v>
      </c>
      <c r="Z6794">
        <v>-0.12945909999999999</v>
      </c>
      <c r="AA6794">
        <v>0.91679100000000002</v>
      </c>
      <c r="AB6794">
        <v>31</v>
      </c>
      <c r="AC6794">
        <v>0.52750000000003106</v>
      </c>
      <c r="AD6794">
        <v>-1.117824289611</v>
      </c>
      <c r="AE6794">
        <v>6.4488599999999998</v>
      </c>
      <c r="AF6794">
        <v>-2.4692095438472199</v>
      </c>
      <c r="AG6794">
        <v>-1.117824289611</v>
      </c>
      <c r="AH6794">
        <v>5.77733345647209</v>
      </c>
      <c r="AI6794">
        <v>100.08826995668799</v>
      </c>
      <c r="AJ6794">
        <v>113.141672422662</v>
      </c>
      <c r="AK6794">
        <v>6.38154438840178</v>
      </c>
      <c r="AL6794">
        <v>87.867624597128398</v>
      </c>
      <c r="AM6794">
        <v>102.39664650314</v>
      </c>
      <c r="AN6794">
        <v>0.99999998099236098</v>
      </c>
    </row>
    <row r="6795" spans="1:40" x14ac:dyDescent="0.25">
      <c r="A6795" t="str">
        <f>"20190312151155469"</f>
        <v>20190312151155469</v>
      </c>
      <c r="B6795" t="str">
        <f>"1552374715457963"</f>
        <v>1552374715457963</v>
      </c>
      <c r="C6795" t="s">
        <v>40</v>
      </c>
      <c r="D6795">
        <v>5.1003030000000003</v>
      </c>
      <c r="E6795">
        <v>0.43366569999999999</v>
      </c>
      <c r="F6795" t="s">
        <v>42</v>
      </c>
      <c r="G6795">
        <v>-189.51900000000001</v>
      </c>
      <c r="H6795" s="1">
        <v>-1.4344429999999999E-6</v>
      </c>
      <c r="I6795">
        <v>-37.222369999999998</v>
      </c>
      <c r="J6795">
        <v>-189.99879999999999</v>
      </c>
      <c r="K6795">
        <v>1.117831</v>
      </c>
      <c r="L6795">
        <v>-43.719729999999998</v>
      </c>
      <c r="M6795">
        <v>0.45838610000000002</v>
      </c>
      <c r="N6795">
        <v>0</v>
      </c>
      <c r="O6795">
        <v>0.8886676</v>
      </c>
      <c r="P6795">
        <v>0.2576521</v>
      </c>
      <c r="Q6795">
        <v>2.9538709999999999E-2</v>
      </c>
      <c r="R6795">
        <v>0.96578620000000004</v>
      </c>
      <c r="S6795">
        <v>0.27354430000000002</v>
      </c>
      <c r="T6795">
        <v>-0.50538919999999998</v>
      </c>
      <c r="U6795">
        <v>3.0538020000000001</v>
      </c>
      <c r="V6795">
        <v>-0.21452289999999999</v>
      </c>
      <c r="W6795">
        <v>3.7399460000000002E-2</v>
      </c>
      <c r="X6795">
        <v>0.9760027</v>
      </c>
      <c r="Y6795">
        <v>-0.37790960000000001</v>
      </c>
      <c r="Z6795">
        <v>-0.13004069999999901</v>
      </c>
      <c r="AA6795">
        <v>0.91666449999999999</v>
      </c>
      <c r="AB6795">
        <v>31</v>
      </c>
      <c r="AC6795">
        <v>0.47979999999998302</v>
      </c>
      <c r="AD6795">
        <v>-1.117832434443</v>
      </c>
      <c r="AE6795">
        <v>6.4973599999999996</v>
      </c>
      <c r="AF6795">
        <v>-2.4791286931966301</v>
      </c>
      <c r="AG6795">
        <v>-1.117832434443</v>
      </c>
      <c r="AH6795">
        <v>5.8229627055675399</v>
      </c>
      <c r="AI6795">
        <v>100.016721065417</v>
      </c>
      <c r="AJ6795">
        <v>113.06189904605</v>
      </c>
      <c r="AK6795">
        <v>6.4267039063079698</v>
      </c>
      <c r="AL6795">
        <v>87.856669003881393</v>
      </c>
      <c r="AM6795">
        <v>102.39634829994201</v>
      </c>
      <c r="AN6795">
        <v>1.00000003231999</v>
      </c>
    </row>
    <row r="6796" spans="1:40" x14ac:dyDescent="0.25">
      <c r="A6796" t="str">
        <f>"20190312151155484"</f>
        <v>20190312151155484</v>
      </c>
      <c r="B6796" t="str">
        <f>"1552374715477483"</f>
        <v>1552374715477483</v>
      </c>
      <c r="C6796" t="s">
        <v>40</v>
      </c>
      <c r="D6796">
        <v>5.1288689999999999</v>
      </c>
      <c r="E6796">
        <v>0.43396990000000002</v>
      </c>
      <c r="F6796" t="s">
        <v>42</v>
      </c>
      <c r="G6796">
        <v>-189.44909999999999</v>
      </c>
      <c r="H6796" s="1">
        <v>-1.575554E-6</v>
      </c>
      <c r="I6796">
        <v>-36.922359999999998</v>
      </c>
      <c r="J6796">
        <v>-189.9171</v>
      </c>
      <c r="K6796">
        <v>1.1178360000000001</v>
      </c>
      <c r="L6796">
        <v>-43.548740000000002</v>
      </c>
      <c r="M6796">
        <v>0.45290249999999999</v>
      </c>
      <c r="N6796">
        <v>0</v>
      </c>
      <c r="O6796">
        <v>0.89147480000000001</v>
      </c>
      <c r="P6796">
        <v>0.2517836</v>
      </c>
      <c r="Q6796">
        <v>2.970155E-2</v>
      </c>
      <c r="R6796">
        <v>0.96732770000000001</v>
      </c>
      <c r="S6796">
        <v>0.2471313</v>
      </c>
      <c r="T6796">
        <v>-0.50251699999999999</v>
      </c>
      <c r="U6796">
        <v>3.0557249999999998</v>
      </c>
      <c r="V6796">
        <v>-0.2144364</v>
      </c>
      <c r="W6796">
        <v>3.7563850000000003E-2</v>
      </c>
      <c r="X6796">
        <v>0.97601539999999998</v>
      </c>
      <c r="Y6796">
        <v>-0.38011840000000002</v>
      </c>
      <c r="Z6796">
        <v>-0.1298666</v>
      </c>
      <c r="AA6796">
        <v>0.91577549999999996</v>
      </c>
      <c r="AB6796">
        <v>31</v>
      </c>
      <c r="AC6796">
        <v>0.46800000000001701</v>
      </c>
      <c r="AD6796">
        <v>-1.117837575554</v>
      </c>
      <c r="AE6796">
        <v>6.6263800000000002</v>
      </c>
      <c r="AF6796">
        <v>-2.5129321336543402</v>
      </c>
      <c r="AG6796">
        <v>-1.117837575554</v>
      </c>
      <c r="AH6796">
        <v>5.9511567203035396</v>
      </c>
      <c r="AI6796">
        <v>99.817297853752706</v>
      </c>
      <c r="AJ6796">
        <v>112.89236166166999</v>
      </c>
      <c r="AK6796">
        <v>6.5559633207704104</v>
      </c>
      <c r="AL6796">
        <v>87.847243537399905</v>
      </c>
      <c r="AM6796">
        <v>102.391348024256</v>
      </c>
      <c r="AN6796">
        <v>1.0000000367544699</v>
      </c>
    </row>
    <row r="6797" spans="1:40" x14ac:dyDescent="0.25">
      <c r="A6797" t="str">
        <f>"20190312151155503"</f>
        <v>20190312151155503</v>
      </c>
      <c r="B6797" t="str">
        <f>"1552374715497981"</f>
        <v>1552374715497981</v>
      </c>
      <c r="C6797" t="s">
        <v>40</v>
      </c>
      <c r="D6797">
        <v>5.1692580000000001</v>
      </c>
      <c r="E6797">
        <v>0.43427189999999999</v>
      </c>
      <c r="F6797" t="s">
        <v>42</v>
      </c>
      <c r="G6797">
        <v>-189.40010000000001</v>
      </c>
      <c r="H6797" s="1">
        <v>-1.67549E-6</v>
      </c>
      <c r="I6797">
        <v>-36.70964</v>
      </c>
      <c r="J6797">
        <v>-189.8058</v>
      </c>
      <c r="K6797">
        <v>1.1178509999999999</v>
      </c>
      <c r="L6797">
        <v>-43.311399999999999</v>
      </c>
      <c r="M6797">
        <v>0.44528879999999998</v>
      </c>
      <c r="N6797">
        <v>0</v>
      </c>
      <c r="O6797">
        <v>0.89530200000000004</v>
      </c>
      <c r="P6797">
        <v>0.2435389</v>
      </c>
      <c r="Q6797">
        <v>2.9873589999999998E-2</v>
      </c>
      <c r="R6797">
        <v>0.96943100000000004</v>
      </c>
      <c r="S6797">
        <v>0.2310333</v>
      </c>
      <c r="T6797">
        <v>-0.49958750000000002</v>
      </c>
      <c r="U6797">
        <v>3.056549</v>
      </c>
      <c r="V6797">
        <v>-0.21443029999999999</v>
      </c>
      <c r="W6797">
        <v>3.7734910000000003E-2</v>
      </c>
      <c r="X6797">
        <v>0.97601009999999999</v>
      </c>
      <c r="Y6797">
        <v>-0.37705640000000001</v>
      </c>
      <c r="Z6797">
        <v>-0.13012199999999999</v>
      </c>
      <c r="AA6797">
        <v>0.91700420000000005</v>
      </c>
      <c r="AB6797">
        <v>31</v>
      </c>
      <c r="AC6797">
        <v>0.40569999999999601</v>
      </c>
      <c r="AD6797">
        <v>-1.11785267549</v>
      </c>
      <c r="AE6797">
        <v>6.6017599999999899</v>
      </c>
      <c r="AF6797">
        <v>-2.5051070482170301</v>
      </c>
      <c r="AG6797">
        <v>-1.11785267549</v>
      </c>
      <c r="AH6797">
        <v>5.9225179149722997</v>
      </c>
      <c r="AI6797">
        <v>99.861472065210293</v>
      </c>
      <c r="AJ6797">
        <v>112.92739353722099</v>
      </c>
      <c r="AK6797">
        <v>6.52697283434631</v>
      </c>
      <c r="AL6797">
        <v>87.837435480101107</v>
      </c>
      <c r="AM6797">
        <v>102.391071628337</v>
      </c>
      <c r="AN6797">
        <v>0.999999996146404</v>
      </c>
    </row>
    <row r="6798" spans="1:40" x14ac:dyDescent="0.25">
      <c r="A6798" t="str">
        <f>"20190312151155539"</f>
        <v>20190312151155539</v>
      </c>
      <c r="B6798" t="str">
        <f>"1552374715528235"</f>
        <v>1552374715528235</v>
      </c>
      <c r="C6798" t="s">
        <v>40</v>
      </c>
      <c r="D6798">
        <v>5.0919869999999996</v>
      </c>
      <c r="E6798">
        <v>0.43463859999999899</v>
      </c>
      <c r="F6798" t="s">
        <v>42</v>
      </c>
      <c r="G6798">
        <v>-189.34020000000001</v>
      </c>
      <c r="H6798" s="1">
        <v>-1.8009519999999999E-6</v>
      </c>
      <c r="I6798">
        <v>-36.441960000000002</v>
      </c>
      <c r="J6798">
        <v>-189.6069</v>
      </c>
      <c r="K6798">
        <v>1.1178600000000001</v>
      </c>
      <c r="L6798">
        <v>-42.873629999999999</v>
      </c>
      <c r="M6798">
        <v>0.4312395</v>
      </c>
      <c r="N6798">
        <v>0</v>
      </c>
      <c r="O6798">
        <v>0.90215310000000004</v>
      </c>
      <c r="P6798">
        <v>0.22854849999999999</v>
      </c>
      <c r="Q6798">
        <v>2.9946230000000001E-2</v>
      </c>
      <c r="R6798">
        <v>0.97307189999999999</v>
      </c>
      <c r="S6798">
        <v>0.2072601</v>
      </c>
      <c r="T6798">
        <v>-0.4976004</v>
      </c>
      <c r="U6798">
        <v>3.0578609999999999</v>
      </c>
      <c r="V6798">
        <v>-0.21423800000000001</v>
      </c>
      <c r="W6798">
        <v>3.7811150000000002E-2</v>
      </c>
      <c r="X6798">
        <v>0.97604939999999996</v>
      </c>
      <c r="Y6798">
        <v>-0.3697124</v>
      </c>
      <c r="Z6798">
        <v>-0.13144829999999999</v>
      </c>
      <c r="AA6798">
        <v>0.91980110000000004</v>
      </c>
      <c r="AB6798">
        <v>31</v>
      </c>
      <c r="AC6798">
        <v>0.266699999999985</v>
      </c>
      <c r="AD6798">
        <v>-1.1178618009520001</v>
      </c>
      <c r="AE6798">
        <v>6.4316700000000004</v>
      </c>
      <c r="AF6798">
        <v>-2.4590229922920002</v>
      </c>
      <c r="AG6798">
        <v>-1.1178618009520001</v>
      </c>
      <c r="AH6798">
        <v>5.7445762181559799</v>
      </c>
      <c r="AI6798">
        <v>100.142553665531</v>
      </c>
      <c r="AJ6798">
        <v>113.173827642495</v>
      </c>
      <c r="AK6798">
        <v>6.3479575462389199</v>
      </c>
      <c r="AL6798">
        <v>87.833064176453306</v>
      </c>
      <c r="AM6798">
        <v>102.379819077159</v>
      </c>
      <c r="AN6798">
        <v>1.00000001747434</v>
      </c>
    </row>
    <row r="6799" spans="1:40" x14ac:dyDescent="0.25">
      <c r="A6799" t="str">
        <f>"20190312151155561"</f>
        <v>20190312151155561</v>
      </c>
      <c r="B6799" t="str">
        <f>"1552374715557515"</f>
        <v>1552374715557515</v>
      </c>
      <c r="C6799" t="s">
        <v>40</v>
      </c>
      <c r="D6799">
        <v>5.1754280000000001</v>
      </c>
      <c r="E6799">
        <v>0.4508819</v>
      </c>
      <c r="F6799" t="s">
        <v>42</v>
      </c>
      <c r="G6799">
        <v>-189.24080000000001</v>
      </c>
      <c r="H6799" s="1">
        <v>-2.0125869999999999E-6</v>
      </c>
      <c r="I6799">
        <v>-35.989739999999998</v>
      </c>
      <c r="J6799">
        <v>-189.488</v>
      </c>
      <c r="K6799">
        <v>1.117864</v>
      </c>
      <c r="L6799">
        <v>-42.60239</v>
      </c>
      <c r="M6799">
        <v>0.42253350000000001</v>
      </c>
      <c r="N6799">
        <v>0</v>
      </c>
      <c r="O6799">
        <v>0.90626329999999999</v>
      </c>
      <c r="P6799">
        <v>0.2194837</v>
      </c>
      <c r="Q6799">
        <v>2.987741E-2</v>
      </c>
      <c r="R6799">
        <v>0.97515859999999999</v>
      </c>
      <c r="S6799">
        <v>0.16273499999999999</v>
      </c>
      <c r="T6799">
        <v>-0.49692249999999999</v>
      </c>
      <c r="U6799">
        <v>3.0600890000000001</v>
      </c>
      <c r="V6799">
        <v>-0.2139229</v>
      </c>
      <c r="W6799">
        <v>3.7748249999999997E-2</v>
      </c>
      <c r="X6799">
        <v>0.97612089999999996</v>
      </c>
      <c r="Y6799">
        <v>-0.37414130000000001</v>
      </c>
      <c r="Z6799">
        <v>-0.13204460000000001</v>
      </c>
      <c r="AA6799">
        <v>0.91792300000000004</v>
      </c>
      <c r="AB6799">
        <v>31</v>
      </c>
      <c r="AC6799">
        <v>0.24719999999999201</v>
      </c>
      <c r="AD6799">
        <v>-1.1178660125869999</v>
      </c>
      <c r="AE6799">
        <v>6.6126499999999897</v>
      </c>
      <c r="AF6799">
        <v>-2.4989196496368602</v>
      </c>
      <c r="AG6799">
        <v>-1.1178660125869999</v>
      </c>
      <c r="AH6799">
        <v>5.9285288330799997</v>
      </c>
      <c r="AI6799">
        <v>99.856882812513206</v>
      </c>
      <c r="AJ6799">
        <v>112.855790298603</v>
      </c>
      <c r="AK6799">
        <v>6.5300595680360596</v>
      </c>
      <c r="AL6799">
        <v>87.836670562537904</v>
      </c>
      <c r="AM6799">
        <v>102.36129347886801</v>
      </c>
      <c r="AN6799">
        <v>0.99999997446963995</v>
      </c>
    </row>
    <row r="6800" spans="1:40" x14ac:dyDescent="0.25">
      <c r="A6800" t="str">
        <f>"20190312151155582"</f>
        <v>20190312151155582</v>
      </c>
      <c r="B6800" t="str">
        <f>"1552374715578011"</f>
        <v>1552374715578011</v>
      </c>
      <c r="C6800" t="s">
        <v>40</v>
      </c>
      <c r="D6800">
        <v>5.1816329999999997</v>
      </c>
      <c r="E6800">
        <v>0.45173540000000001</v>
      </c>
      <c r="F6800" t="s">
        <v>42</v>
      </c>
      <c r="G6800">
        <v>-188.81780000000001</v>
      </c>
      <c r="H6800" s="1">
        <v>-2.572488E-6</v>
      </c>
      <c r="I6800">
        <v>-34.859499999999997</v>
      </c>
      <c r="J6800">
        <v>-189.37350000000001</v>
      </c>
      <c r="K6800">
        <v>1.1178669999999999</v>
      </c>
      <c r="L6800">
        <v>-42.334530000000001</v>
      </c>
      <c r="M6800">
        <v>0.4139333</v>
      </c>
      <c r="N6800">
        <v>0</v>
      </c>
      <c r="O6800">
        <v>0.91022349999999996</v>
      </c>
      <c r="P6800">
        <v>0.2101731</v>
      </c>
      <c r="Q6800">
        <v>3.0467169999999998E-2</v>
      </c>
      <c r="R6800">
        <v>0.97718939999999999</v>
      </c>
      <c r="S6800">
        <v>0.26232909999999998</v>
      </c>
      <c r="T6800">
        <v>-0.4375658</v>
      </c>
      <c r="U6800">
        <v>3.0307919999999999</v>
      </c>
      <c r="V6800">
        <v>-0.2139944</v>
      </c>
      <c r="W6800">
        <v>3.8335760000000003E-2</v>
      </c>
      <c r="X6800">
        <v>0.97608229999999996</v>
      </c>
      <c r="Y6800">
        <v>-0.3344762</v>
      </c>
      <c r="Z6800">
        <v>-0.11952119999999999</v>
      </c>
      <c r="AA6800">
        <v>0.93479429999999997</v>
      </c>
      <c r="AB6800">
        <v>31</v>
      </c>
      <c r="AC6800">
        <v>0.55570000000000097</v>
      </c>
      <c r="AD6800">
        <v>-1.1178695724879999</v>
      </c>
      <c r="AE6800">
        <v>7.4750300000000003</v>
      </c>
      <c r="AF6800">
        <v>-2.5322294733436999</v>
      </c>
      <c r="AG6800">
        <v>-1.1178695724879999</v>
      </c>
      <c r="AH6800">
        <v>6.8814533537017804</v>
      </c>
      <c r="AI6800">
        <v>98.668148670216397</v>
      </c>
      <c r="AJ6800">
        <v>110.2025492235</v>
      </c>
      <c r="AK6800">
        <v>7.4172918741235003</v>
      </c>
      <c r="AL6800">
        <v>87.802984269018907</v>
      </c>
      <c r="AM6800">
        <v>102.365771900269</v>
      </c>
      <c r="AN6800">
        <v>0.99999994504971201</v>
      </c>
    </row>
    <row r="6801" spans="1:40" x14ac:dyDescent="0.25">
      <c r="A6801" t="str">
        <f>"20190312151155604"</f>
        <v>20190312151155604</v>
      </c>
      <c r="B6801" t="str">
        <f>"1552374715597532"</f>
        <v>1552374715597532</v>
      </c>
      <c r="C6801" t="s">
        <v>40</v>
      </c>
      <c r="D6801">
        <v>5.2684089999999903</v>
      </c>
      <c r="E6801">
        <v>0.44879479999999999</v>
      </c>
      <c r="F6801" t="s">
        <v>42</v>
      </c>
      <c r="G6801">
        <v>-188.75489999999999</v>
      </c>
      <c r="H6801" s="1">
        <v>-2.72797E-6</v>
      </c>
      <c r="I6801">
        <v>-34.523060000000001</v>
      </c>
      <c r="J6801">
        <v>-189.2637</v>
      </c>
      <c r="K6801">
        <v>1.1178699999999999</v>
      </c>
      <c r="L6801">
        <v>-42.070889999999999</v>
      </c>
      <c r="M6801">
        <v>0.40546729999999997</v>
      </c>
      <c r="N6801">
        <v>0</v>
      </c>
      <c r="O6801">
        <v>0.91402620000000001</v>
      </c>
      <c r="P6801">
        <v>0.20112479999999999</v>
      </c>
      <c r="Q6801">
        <v>3.0725510000000001E-2</v>
      </c>
      <c r="R6801">
        <v>0.97908360000000005</v>
      </c>
      <c r="S6801">
        <v>0.24008180000000001</v>
      </c>
      <c r="T6801">
        <v>-0.43388650000000001</v>
      </c>
      <c r="U6801">
        <v>3.0319210000000001</v>
      </c>
      <c r="V6801">
        <v>-0.21396670000000001</v>
      </c>
      <c r="W6801">
        <v>3.8594499999999997E-2</v>
      </c>
      <c r="X6801">
        <v>0.97607820000000001</v>
      </c>
      <c r="Y6801">
        <v>-0.33257100000000001</v>
      </c>
      <c r="Z6801">
        <v>-0.1193618</v>
      </c>
      <c r="AA6801">
        <v>0.9354941</v>
      </c>
      <c r="AB6801">
        <v>31</v>
      </c>
      <c r="AC6801">
        <v>0.50880000000000702</v>
      </c>
      <c r="AD6801">
        <v>-1.11787272797</v>
      </c>
      <c r="AE6801">
        <v>7.5478300000000003</v>
      </c>
      <c r="AF6801">
        <v>-2.5400746099299698</v>
      </c>
      <c r="AG6801">
        <v>-1.11787272797</v>
      </c>
      <c r="AH6801">
        <v>6.9539124507982804</v>
      </c>
      <c r="AI6801">
        <v>98.586596823951098</v>
      </c>
      <c r="AJ6801">
        <v>110.065870325654</v>
      </c>
      <c r="AK6801">
        <v>7.4872235730821703</v>
      </c>
      <c r="AL6801">
        <v>87.788148630426505</v>
      </c>
      <c r="AM6801">
        <v>102.364270815685</v>
      </c>
      <c r="AN6801">
        <v>0.99999996832718896</v>
      </c>
    </row>
    <row r="6802" spans="1:40" x14ac:dyDescent="0.25">
      <c r="A6802" t="str">
        <f>"20190312151155625"</f>
        <v>20190312151155625</v>
      </c>
      <c r="B6802" t="str">
        <f>"1552374715618028"</f>
        <v>1552374715618028</v>
      </c>
      <c r="C6802" t="s">
        <v>40</v>
      </c>
      <c r="D6802">
        <v>5.1186930000000004</v>
      </c>
      <c r="E6802">
        <v>0.45576539999999999</v>
      </c>
      <c r="F6802" t="s">
        <v>42</v>
      </c>
      <c r="G6802">
        <v>-188.85239999999999</v>
      </c>
      <c r="H6802" s="1">
        <v>-2.3382680000000001E-6</v>
      </c>
      <c r="I6802">
        <v>-35.391170000000002</v>
      </c>
      <c r="J6802">
        <v>-189.15170000000001</v>
      </c>
      <c r="K6802">
        <v>1.117874</v>
      </c>
      <c r="L6802">
        <v>-41.794429999999998</v>
      </c>
      <c r="M6802">
        <v>0.39658729999999998</v>
      </c>
      <c r="N6802">
        <v>0</v>
      </c>
      <c r="O6802">
        <v>0.91791400000000001</v>
      </c>
      <c r="P6802">
        <v>0.19137080000000001</v>
      </c>
      <c r="Q6802">
        <v>3.034044E-2</v>
      </c>
      <c r="R6802">
        <v>0.98104880000000005</v>
      </c>
      <c r="S6802">
        <v>0.18730160000000001</v>
      </c>
      <c r="T6802">
        <v>-0.50902079999999905</v>
      </c>
      <c r="U6802">
        <v>3.041595</v>
      </c>
      <c r="V6802">
        <v>-0.21421570000000001</v>
      </c>
      <c r="W6802">
        <v>3.820378E-2</v>
      </c>
      <c r="X6802">
        <v>0.97603899999999999</v>
      </c>
      <c r="Y6802">
        <v>-0.33993289999999998</v>
      </c>
      <c r="Z6802">
        <v>-0.13989299999999999</v>
      </c>
      <c r="AA6802">
        <v>0.9299868</v>
      </c>
      <c r="AB6802">
        <v>31</v>
      </c>
      <c r="AC6802">
        <v>0.299300000000016</v>
      </c>
      <c r="AD6802">
        <v>-1.1178763382679999</v>
      </c>
      <c r="AE6802">
        <v>6.4032599999999897</v>
      </c>
      <c r="AF6802">
        <v>-2.1980466923370701</v>
      </c>
      <c r="AG6802">
        <v>-1.1178763382679999</v>
      </c>
      <c r="AH6802">
        <v>5.8198086105812799</v>
      </c>
      <c r="AI6802">
        <v>100.18689479508301</v>
      </c>
      <c r="AJ6802">
        <v>110.690732175151</v>
      </c>
      <c r="AK6802">
        <v>6.3206984608624897</v>
      </c>
      <c r="AL6802">
        <v>87.810551857147303</v>
      </c>
      <c r="AM6802">
        <v>102.378698022715</v>
      </c>
      <c r="AN6802">
        <v>1.00000001222688</v>
      </c>
    </row>
    <row r="6803" spans="1:40" x14ac:dyDescent="0.25">
      <c r="A6803" t="str">
        <f>"20190312151155649"</f>
        <v>20190312151155649</v>
      </c>
      <c r="B6803" t="str">
        <f>"1552374715637551"</f>
        <v>1552374715637551</v>
      </c>
      <c r="C6803" t="s">
        <v>40</v>
      </c>
      <c r="D6803">
        <v>5.1963019999999904</v>
      </c>
      <c r="E6803">
        <v>0.45664579999999999</v>
      </c>
      <c r="F6803" t="s">
        <v>42</v>
      </c>
      <c r="G6803">
        <v>-188.5925</v>
      </c>
      <c r="H6803" s="1">
        <v>-3.0343080000000001E-6</v>
      </c>
      <c r="I6803">
        <v>-33.876159999999999</v>
      </c>
      <c r="J6803">
        <v>-189.03639999999999</v>
      </c>
      <c r="K6803">
        <v>1.11788</v>
      </c>
      <c r="L6803">
        <v>-41.501620000000003</v>
      </c>
      <c r="M6803">
        <v>0.387179</v>
      </c>
      <c r="N6803">
        <v>0</v>
      </c>
      <c r="O6803">
        <v>0.92192180000000001</v>
      </c>
      <c r="P6803">
        <v>0.18165780000000001</v>
      </c>
      <c r="Q6803">
        <v>3.0364780000000001E-2</v>
      </c>
      <c r="R6803">
        <v>0.98289289999999996</v>
      </c>
      <c r="S6803">
        <v>0.2139587</v>
      </c>
      <c r="T6803">
        <v>-0.42768840000000002</v>
      </c>
      <c r="U6803">
        <v>3.0294490000000001</v>
      </c>
      <c r="V6803">
        <v>-0.2138882</v>
      </c>
      <c r="W6803">
        <v>3.823522E-2</v>
      </c>
      <c r="X6803">
        <v>0.97610960000000002</v>
      </c>
      <c r="Y6803">
        <v>-0.32173479999999999</v>
      </c>
      <c r="Z6803">
        <v>-0.1197064</v>
      </c>
      <c r="AA6803">
        <v>0.93923219999999996</v>
      </c>
      <c r="AB6803">
        <v>31</v>
      </c>
      <c r="AC6803">
        <v>0.44389999999998497</v>
      </c>
      <c r="AD6803">
        <v>-1.117883034308</v>
      </c>
      <c r="AE6803">
        <v>7.6254600000000003</v>
      </c>
      <c r="AF6803">
        <v>-2.4900378133706802</v>
      </c>
      <c r="AG6803">
        <v>-1.117883034308</v>
      </c>
      <c r="AH6803">
        <v>7.05146360454986</v>
      </c>
      <c r="AI6803">
        <v>98.5019412835114</v>
      </c>
      <c r="AJ6803">
        <v>109.449325734079</v>
      </c>
      <c r="AK6803">
        <v>7.5612888952017201</v>
      </c>
      <c r="AL6803">
        <v>87.808749183670201</v>
      </c>
      <c r="AM6803">
        <v>102.35948868851401</v>
      </c>
      <c r="AN6803">
        <v>1.0000000226799199</v>
      </c>
    </row>
    <row r="6804" spans="1:40" x14ac:dyDescent="0.25">
      <c r="A6804" t="str">
        <f>"20190312151155670"</f>
        <v>20190312151155670</v>
      </c>
      <c r="B6804" t="str">
        <f>"1552374715667803"</f>
        <v>1552374715667803</v>
      </c>
      <c r="C6804" t="s">
        <v>40</v>
      </c>
      <c r="D6804">
        <v>5.2217120000000001</v>
      </c>
      <c r="E6804">
        <v>0.45722570000000001</v>
      </c>
      <c r="F6804" t="s">
        <v>42</v>
      </c>
      <c r="G6804">
        <v>-188.53469999999999</v>
      </c>
      <c r="H6804" s="1">
        <v>-3.1955020000000002E-6</v>
      </c>
      <c r="I6804">
        <v>-33.524320000000003</v>
      </c>
      <c r="J6804">
        <v>-188.93260000000001</v>
      </c>
      <c r="K6804">
        <v>1.117885</v>
      </c>
      <c r="L6804">
        <v>-41.230469999999997</v>
      </c>
      <c r="M6804">
        <v>0.3784631</v>
      </c>
      <c r="N6804">
        <v>0</v>
      </c>
      <c r="O6804">
        <v>0.92553399999999997</v>
      </c>
      <c r="P6804">
        <v>0.1731181</v>
      </c>
      <c r="Q6804">
        <v>3.0837369999999999E-2</v>
      </c>
      <c r="R6804">
        <v>0.98441820000000002</v>
      </c>
      <c r="S6804">
        <v>0.19058230000000001</v>
      </c>
      <c r="T6804">
        <v>-0.42462</v>
      </c>
      <c r="U6804">
        <v>3.0301209999999998</v>
      </c>
      <c r="V6804">
        <v>-0.2131567</v>
      </c>
      <c r="W6804">
        <v>3.8724099999999997E-2</v>
      </c>
      <c r="X6804">
        <v>0.97625030000000002</v>
      </c>
      <c r="Y6804">
        <v>-0.32002989999999998</v>
      </c>
      <c r="Z6804">
        <v>-0.11964279999999999</v>
      </c>
      <c r="AA6804">
        <v>0.93982259999999995</v>
      </c>
      <c r="AB6804">
        <v>31</v>
      </c>
      <c r="AC6804">
        <v>0.39790000000002101</v>
      </c>
      <c r="AD6804">
        <v>-1.1178881955019999</v>
      </c>
      <c r="AE6804">
        <v>7.7061500000000001</v>
      </c>
      <c r="AF6804">
        <v>-2.4960317159507999</v>
      </c>
      <c r="AG6804">
        <v>-1.1178881955019999</v>
      </c>
      <c r="AH6804">
        <v>7.1337288870173499</v>
      </c>
      <c r="AI6804">
        <v>98.413726276578004</v>
      </c>
      <c r="AJ6804">
        <v>109.284512266467</v>
      </c>
      <c r="AK6804">
        <v>7.6400220011555398</v>
      </c>
      <c r="AL6804">
        <v>87.780717593419993</v>
      </c>
      <c r="AM6804">
        <v>102.316790625531</v>
      </c>
      <c r="AN6804">
        <v>0.99999999146289498</v>
      </c>
    </row>
    <row r="6805" spans="1:40" x14ac:dyDescent="0.25">
      <c r="A6805" t="str">
        <f>"20190312151155693"</f>
        <v>20190312151155693</v>
      </c>
      <c r="B6805" t="str">
        <f>"1552374715688300"</f>
        <v>1552374715688300</v>
      </c>
      <c r="C6805" t="s">
        <v>40</v>
      </c>
      <c r="D6805">
        <v>5.2412390000000002</v>
      </c>
      <c r="E6805">
        <v>0.45839010000000002</v>
      </c>
      <c r="F6805" t="s">
        <v>42</v>
      </c>
      <c r="G6805">
        <v>-188.47479999999999</v>
      </c>
      <c r="H6805" s="1">
        <v>-3.4208610000000001E-6</v>
      </c>
      <c r="I6805">
        <v>-33.023760000000003</v>
      </c>
      <c r="J6805">
        <v>-188.82470000000001</v>
      </c>
      <c r="K6805">
        <v>1.117893</v>
      </c>
      <c r="L6805">
        <v>-40.93994</v>
      </c>
      <c r="M6805">
        <v>0.36912139999999999</v>
      </c>
      <c r="N6805">
        <v>0</v>
      </c>
      <c r="O6805">
        <v>0.92929910000000004</v>
      </c>
      <c r="P6805">
        <v>0.164002799999999</v>
      </c>
      <c r="Q6805">
        <v>3.1035790000000001E-2</v>
      </c>
      <c r="R6805">
        <v>0.9859715</v>
      </c>
      <c r="S6805">
        <v>0.1690826</v>
      </c>
      <c r="T6805">
        <v>-0.41283120000000001</v>
      </c>
      <c r="U6805">
        <v>3.0307010000000001</v>
      </c>
      <c r="V6805">
        <v>-0.21235689999999999</v>
      </c>
      <c r="W6805">
        <v>3.8939939999999999E-2</v>
      </c>
      <c r="X6805">
        <v>0.97641599999999995</v>
      </c>
      <c r="Y6805">
        <v>-0.31712940000000001</v>
      </c>
      <c r="Z6805">
        <v>-0.1171953</v>
      </c>
      <c r="AA6805">
        <v>0.94111330000000004</v>
      </c>
      <c r="AB6805">
        <v>31</v>
      </c>
      <c r="AC6805">
        <v>0.34990000000001897</v>
      </c>
      <c r="AD6805">
        <v>-1.1178964208610001</v>
      </c>
      <c r="AE6805">
        <v>7.9161799999999998</v>
      </c>
      <c r="AF6805">
        <v>-2.5463864356616499</v>
      </c>
      <c r="AG6805">
        <v>-1.1178964208610001</v>
      </c>
      <c r="AH6805">
        <v>7.3401330955932904</v>
      </c>
      <c r="AI6805">
        <v>98.187911049169799</v>
      </c>
      <c r="AJ6805">
        <v>109.13231696966599</v>
      </c>
      <c r="AK6805">
        <v>7.8492885122486999</v>
      </c>
      <c r="AL6805">
        <v>87.7683415309737</v>
      </c>
      <c r="AM6805">
        <v>102.26995947973199</v>
      </c>
      <c r="AN6805">
        <v>0.99999998848040605</v>
      </c>
    </row>
    <row r="6806" spans="1:40" x14ac:dyDescent="0.25">
      <c r="A6806" t="str">
        <f>"20190312151155716"</f>
        <v>20190312151155716</v>
      </c>
      <c r="B6806" t="str">
        <f>"1552374715707820"</f>
        <v>1552374715707820</v>
      </c>
      <c r="C6806" t="s">
        <v>40</v>
      </c>
      <c r="D6806">
        <v>5.2357120000000004</v>
      </c>
      <c r="E6806">
        <v>0.4590554</v>
      </c>
      <c r="F6806" t="s">
        <v>42</v>
      </c>
      <c r="G6806">
        <v>-188.4111</v>
      </c>
      <c r="H6806" s="1">
        <v>-3.603053E-6</v>
      </c>
      <c r="I6806">
        <v>-32.625390000000003</v>
      </c>
      <c r="J6806">
        <v>-188.72110000000001</v>
      </c>
      <c r="K6806">
        <v>1.1179030000000001</v>
      </c>
      <c r="L6806">
        <v>-40.652619999999999</v>
      </c>
      <c r="M6806">
        <v>0.3598809</v>
      </c>
      <c r="N6806">
        <v>0</v>
      </c>
      <c r="O6806">
        <v>0.93291650000000004</v>
      </c>
      <c r="P6806">
        <v>0.15530089999999999</v>
      </c>
      <c r="Q6806">
        <v>3.149772E-2</v>
      </c>
      <c r="R6806">
        <v>0.98736489999999999</v>
      </c>
      <c r="S6806">
        <v>0.15072629999999901</v>
      </c>
      <c r="T6806">
        <v>-0.40744249999999999</v>
      </c>
      <c r="U6806">
        <v>3.0304259999999998</v>
      </c>
      <c r="V6806">
        <v>-0.21128189999999999</v>
      </c>
      <c r="W6806">
        <v>3.9425469999999997E-2</v>
      </c>
      <c r="X6806">
        <v>0.97662969999999905</v>
      </c>
      <c r="Y6806">
        <v>-0.31339509999999998</v>
      </c>
      <c r="Z6806">
        <v>-0.11651400000000001</v>
      </c>
      <c r="AA6806">
        <v>0.94244790000000001</v>
      </c>
      <c r="AB6806">
        <v>31</v>
      </c>
      <c r="AC6806">
        <v>0.310000000000002</v>
      </c>
      <c r="AD6806">
        <v>-1.117906603053</v>
      </c>
      <c r="AE6806">
        <v>8.0272299999999905</v>
      </c>
      <c r="AF6806">
        <v>-2.5504497863351201</v>
      </c>
      <c r="AG6806">
        <v>-1.117906603053</v>
      </c>
      <c r="AH6806">
        <v>7.4564784812668803</v>
      </c>
      <c r="AI6806">
        <v>98.073852858107401</v>
      </c>
      <c r="AJ6806">
        <v>108.882986651397</v>
      </c>
      <c r="AK6806">
        <v>7.9594962546233097</v>
      </c>
      <c r="AL6806">
        <v>87.740501334323199</v>
      </c>
      <c r="AM6806">
        <v>102.20712251410001</v>
      </c>
      <c r="AN6806">
        <v>0.99999998993720995</v>
      </c>
    </row>
    <row r="6807" spans="1:40" x14ac:dyDescent="0.25">
      <c r="A6807" t="str">
        <f>"20190312151155741"</f>
        <v>20190312151155741</v>
      </c>
      <c r="B6807" t="str">
        <f>"1552374715738076"</f>
        <v>1552374715738076</v>
      </c>
      <c r="C6807" t="s">
        <v>40</v>
      </c>
      <c r="D6807">
        <v>5.2797159999999996</v>
      </c>
      <c r="E6807">
        <v>0.46005489999999999</v>
      </c>
      <c r="F6807" t="s">
        <v>42</v>
      </c>
      <c r="G6807">
        <v>-188.35990000000001</v>
      </c>
      <c r="H6807" s="1">
        <v>-3.7881409999999999E-6</v>
      </c>
      <c r="I6807">
        <v>-32.215130000000002</v>
      </c>
      <c r="J6807">
        <v>-188.61099999999999</v>
      </c>
      <c r="K6807">
        <v>1.117909</v>
      </c>
      <c r="L6807">
        <v>-40.33643</v>
      </c>
      <c r="M6807">
        <v>0.34971010000000002</v>
      </c>
      <c r="N6807">
        <v>0</v>
      </c>
      <c r="O6807">
        <v>0.93677650000000001</v>
      </c>
      <c r="P6807">
        <v>0.14538429999999999</v>
      </c>
      <c r="Q6807">
        <v>3.1922730000000003E-2</v>
      </c>
      <c r="R6807">
        <v>0.98886010000000002</v>
      </c>
      <c r="S6807">
        <v>0.12974550000000001</v>
      </c>
      <c r="T6807">
        <v>-0.40155819999999998</v>
      </c>
      <c r="U6807">
        <v>3.0307919999999999</v>
      </c>
      <c r="V6807">
        <v>-0.21046129999999999</v>
      </c>
      <c r="W6807">
        <v>3.9867630000000001E-2</v>
      </c>
      <c r="X6807">
        <v>0.97678889999999996</v>
      </c>
      <c r="Y6807">
        <v>-0.30957699999999999</v>
      </c>
      <c r="Z6807">
        <v>-0.1156948</v>
      </c>
      <c r="AA6807">
        <v>0.94380969999999997</v>
      </c>
      <c r="AB6807">
        <v>31</v>
      </c>
      <c r="AC6807">
        <v>0.25109999999997901</v>
      </c>
      <c r="AD6807">
        <v>-1.117912788141</v>
      </c>
      <c r="AE6807">
        <v>8.1212999999999909</v>
      </c>
      <c r="AF6807">
        <v>-2.5566770735445199</v>
      </c>
      <c r="AG6807">
        <v>-1.117912788141</v>
      </c>
      <c r="AH6807">
        <v>7.5532596490429498</v>
      </c>
      <c r="AI6807">
        <v>97.9803266285993</v>
      </c>
      <c r="AJ6807">
        <v>108.700270420474</v>
      </c>
      <c r="AK6807">
        <v>8.05220826768271</v>
      </c>
      <c r="AL6807">
        <v>87.715147454528307</v>
      </c>
      <c r="AM6807">
        <v>102.159201857708</v>
      </c>
      <c r="AN6807">
        <v>0.99999997094135795</v>
      </c>
    </row>
    <row r="6808" spans="1:40" x14ac:dyDescent="0.25">
      <c r="A6808" t="str">
        <f>"20190312151155763"</f>
        <v>20190312151155763</v>
      </c>
      <c r="B6808" t="str">
        <f>"1552374715757598"</f>
        <v>1552374715757598</v>
      </c>
      <c r="C6808" t="s">
        <v>40</v>
      </c>
      <c r="D6808">
        <v>5.2852519999999998</v>
      </c>
      <c r="E6808">
        <v>0.46092689999999997</v>
      </c>
      <c r="F6808" t="s">
        <v>42</v>
      </c>
      <c r="G6808">
        <v>-188.31120000000001</v>
      </c>
      <c r="H6808" s="1">
        <v>-3.9511220000000004E-6</v>
      </c>
      <c r="I6808">
        <v>-31.855360000000001</v>
      </c>
      <c r="J6808">
        <v>-188.5171</v>
      </c>
      <c r="K6808">
        <v>1.1179209999999999</v>
      </c>
      <c r="L6808">
        <v>-40.05753</v>
      </c>
      <c r="M6808">
        <v>0.34073700000000001</v>
      </c>
      <c r="N6808">
        <v>0</v>
      </c>
      <c r="O6808">
        <v>0.94007750000000001</v>
      </c>
      <c r="P6808">
        <v>0.13685420000000001</v>
      </c>
      <c r="Q6808">
        <v>3.2768599999999898E-2</v>
      </c>
      <c r="R6808">
        <v>0.99004910000000002</v>
      </c>
      <c r="S6808">
        <v>0.1071472</v>
      </c>
      <c r="T6808">
        <v>-0.39951720000000002</v>
      </c>
      <c r="U6808">
        <v>3.030945</v>
      </c>
      <c r="V6808">
        <v>-0.20954980000000001</v>
      </c>
      <c r="W6808">
        <v>4.0732860000000003E-2</v>
      </c>
      <c r="X6808">
        <v>0.97694919999999996</v>
      </c>
      <c r="Y6808">
        <v>-0.30751509999999999</v>
      </c>
      <c r="Z6808">
        <v>-0.11580790000000001</v>
      </c>
      <c r="AA6808">
        <v>0.94446969999999997</v>
      </c>
      <c r="AB6808">
        <v>31</v>
      </c>
      <c r="AC6808">
        <v>0.20589999999998501</v>
      </c>
      <c r="AD6808">
        <v>-1.117924951122</v>
      </c>
      <c r="AE6808">
        <v>8.2021700000000006</v>
      </c>
      <c r="AF6808">
        <v>-2.5540043208144598</v>
      </c>
      <c r="AG6808">
        <v>-1.117924951122</v>
      </c>
      <c r="AH6808">
        <v>7.6395980430592596</v>
      </c>
      <c r="AI6808">
        <v>97.901202377860002</v>
      </c>
      <c r="AJ6808">
        <v>108.485366524372</v>
      </c>
      <c r="AK6808">
        <v>8.1324136962278892</v>
      </c>
      <c r="AL6808">
        <v>87.665533214123599</v>
      </c>
      <c r="AM6808">
        <v>102.106169823863</v>
      </c>
      <c r="AN6808">
        <v>1.0000000119722201</v>
      </c>
    </row>
    <row r="6809" spans="1:40" x14ac:dyDescent="0.25">
      <c r="A6809" t="str">
        <f>"20190312151155783"</f>
        <v>20190312151155783</v>
      </c>
      <c r="B6809" t="str">
        <f>"1552374715778092"</f>
        <v>1552374715778092</v>
      </c>
      <c r="C6809" t="s">
        <v>40</v>
      </c>
      <c r="D6809">
        <v>5.4419180000000003</v>
      </c>
      <c r="E6809">
        <v>0.46229199999999998</v>
      </c>
      <c r="F6809" t="s">
        <v>42</v>
      </c>
      <c r="G6809">
        <v>-188.2688</v>
      </c>
      <c r="H6809" s="1">
        <v>-4.1047480000000003E-6</v>
      </c>
      <c r="I6809">
        <v>-31.514749999999999</v>
      </c>
      <c r="J6809">
        <v>-188.42869999999999</v>
      </c>
      <c r="K6809">
        <v>1.117936</v>
      </c>
      <c r="L6809">
        <v>-39.786679999999997</v>
      </c>
      <c r="M6809">
        <v>0.33202009999999899</v>
      </c>
      <c r="N6809">
        <v>0</v>
      </c>
      <c r="O6809">
        <v>0.94319140000000001</v>
      </c>
      <c r="P6809">
        <v>0.129363899999999</v>
      </c>
      <c r="Q6809">
        <v>3.366765E-2</v>
      </c>
      <c r="R6809">
        <v>0.99102539999999995</v>
      </c>
      <c r="S6809">
        <v>8.8073730000000003E-2</v>
      </c>
      <c r="T6809">
        <v>-0.3966557</v>
      </c>
      <c r="U6809">
        <v>3.0310969999999999</v>
      </c>
      <c r="V6809">
        <v>-0.20790040000000001</v>
      </c>
      <c r="W6809">
        <v>4.16681E-2</v>
      </c>
      <c r="X6809">
        <v>0.97726210000000002</v>
      </c>
      <c r="Y6809">
        <v>-0.30464629999999998</v>
      </c>
      <c r="Z6809">
        <v>-0.1156556</v>
      </c>
      <c r="AA6809">
        <v>0.94541759999999997</v>
      </c>
      <c r="AB6809">
        <v>31</v>
      </c>
      <c r="AC6809">
        <v>0.15989999999999299</v>
      </c>
      <c r="AD6809">
        <v>-1.117940104748</v>
      </c>
      <c r="AE6809">
        <v>8.2719299999999905</v>
      </c>
      <c r="AF6809">
        <v>-2.5492831763454999</v>
      </c>
      <c r="AG6809">
        <v>-1.117940104748</v>
      </c>
      <c r="AH6809">
        <v>7.7148426414187501</v>
      </c>
      <c r="AI6809">
        <v>97.834167001459505</v>
      </c>
      <c r="AJ6809">
        <v>108.285558221323</v>
      </c>
      <c r="AK6809">
        <v>8.2016724985124405</v>
      </c>
      <c r="AL6809">
        <v>87.611902364066196</v>
      </c>
      <c r="AM6809">
        <v>102.009924333822</v>
      </c>
      <c r="AN6809">
        <v>1.00000000948709</v>
      </c>
    </row>
    <row r="6810" spans="1:40" x14ac:dyDescent="0.25">
      <c r="A6810" t="str">
        <f>"20190312151155806"</f>
        <v>20190312151155806</v>
      </c>
      <c r="B6810" t="str">
        <f>"1552374715797612"</f>
        <v>1552374715797612</v>
      </c>
      <c r="C6810" t="s">
        <v>40</v>
      </c>
      <c r="D6810">
        <v>5.3279690000000004</v>
      </c>
      <c r="E6810">
        <v>0.47201700000000002</v>
      </c>
      <c r="F6810" t="s">
        <v>42</v>
      </c>
      <c r="G6810">
        <v>-188.20959999999999</v>
      </c>
      <c r="H6810" s="1">
        <v>-4.3199750000000001E-6</v>
      </c>
      <c r="I6810">
        <v>-31.03754</v>
      </c>
      <c r="J6810">
        <v>-188.33959999999999</v>
      </c>
      <c r="K6810">
        <v>1.1179520000000001</v>
      </c>
      <c r="L6810">
        <v>-39.5047</v>
      </c>
      <c r="M6810">
        <v>0.3229416</v>
      </c>
      <c r="N6810">
        <v>0</v>
      </c>
      <c r="O6810">
        <v>0.94633820000000002</v>
      </c>
      <c r="P6810">
        <v>0.1210595</v>
      </c>
      <c r="Q6810">
        <v>3.5661980000000003E-2</v>
      </c>
      <c r="R6810">
        <v>0.99200449999999996</v>
      </c>
      <c r="S6810">
        <v>7.5881959999999998E-2</v>
      </c>
      <c r="T6810">
        <v>-0.38721919999999999</v>
      </c>
      <c r="U6810">
        <v>3.0304259999999998</v>
      </c>
      <c r="V6810">
        <v>-0.20671129999999999</v>
      </c>
      <c r="W6810">
        <v>4.3688039999999997E-2</v>
      </c>
      <c r="X6810">
        <v>0.97742609999999996</v>
      </c>
      <c r="Y6810">
        <v>-0.2992841</v>
      </c>
      <c r="Z6810">
        <v>-0.1136784</v>
      </c>
      <c r="AA6810">
        <v>0.94736810000000005</v>
      </c>
      <c r="AB6810">
        <v>31</v>
      </c>
      <c r="AC6810">
        <v>0.12999999999999501</v>
      </c>
      <c r="AD6810">
        <v>-1.117956319975</v>
      </c>
      <c r="AE6810">
        <v>8.4671599999999891</v>
      </c>
      <c r="AF6810">
        <v>-2.56683635853258</v>
      </c>
      <c r="AG6810">
        <v>-1.117956319975</v>
      </c>
      <c r="AH6810">
        <v>7.9174023672555398</v>
      </c>
      <c r="AI6810">
        <v>97.650168446135396</v>
      </c>
      <c r="AJ6810">
        <v>107.96278922762301</v>
      </c>
      <c r="AK6810">
        <v>8.3978411195902307</v>
      </c>
      <c r="AL6810">
        <v>87.496062724628601</v>
      </c>
      <c r="AM6810">
        <v>101.94126438222099</v>
      </c>
      <c r="AN6810">
        <v>0.99999999367396997</v>
      </c>
    </row>
    <row r="6811" spans="1:40" x14ac:dyDescent="0.25">
      <c r="A6811" t="str">
        <f>"20190312151155905"</f>
        <v>20190312151155905</v>
      </c>
      <c r="B6811" t="str">
        <f>"1552374715898139"</f>
        <v>1552374715898139</v>
      </c>
      <c r="C6811" t="s">
        <v>40</v>
      </c>
      <c r="D6811">
        <v>5.373767</v>
      </c>
      <c r="E6811">
        <v>0.47082360000000001</v>
      </c>
      <c r="F6811" t="s">
        <v>42</v>
      </c>
      <c r="G6811">
        <v>-187.85769999999999</v>
      </c>
      <c r="H6811" s="1">
        <v>-1.2579649999999999E-6</v>
      </c>
      <c r="I6811">
        <v>-28.33032</v>
      </c>
      <c r="J6811">
        <v>-187.96700000000001</v>
      </c>
      <c r="K6811">
        <v>1.1179939999999999</v>
      </c>
      <c r="L6811">
        <v>-38.206359999999997</v>
      </c>
      <c r="M6811">
        <v>0.28114070000000002</v>
      </c>
      <c r="N6811">
        <v>0</v>
      </c>
      <c r="O6811">
        <v>0.95958690000000002</v>
      </c>
      <c r="P6811">
        <v>8.4771920000000001E-2</v>
      </c>
      <c r="Q6811">
        <v>4.433956E-2</v>
      </c>
      <c r="R6811">
        <v>0.9954134</v>
      </c>
      <c r="S6811">
        <v>0.130188</v>
      </c>
      <c r="T6811">
        <v>-0.30205569999999998</v>
      </c>
      <c r="U6811">
        <v>3.0191650000000001</v>
      </c>
      <c r="V6811">
        <v>-0.19959260000000001</v>
      </c>
      <c r="W6811">
        <v>5.2522630000000001E-2</v>
      </c>
      <c r="X6811">
        <v>0.97847030000000002</v>
      </c>
      <c r="Y6811">
        <v>-0.23972830000000001</v>
      </c>
      <c r="Z6811">
        <v>-9.2055159999999997E-2</v>
      </c>
      <c r="AA6811">
        <v>0.96646580000000004</v>
      </c>
      <c r="AB6811">
        <v>31</v>
      </c>
      <c r="AC6811">
        <v>0.10930000000001799</v>
      </c>
      <c r="AD6811">
        <v>-1.1179952579649901</v>
      </c>
      <c r="AE6811">
        <v>9.8760399999999908</v>
      </c>
      <c r="AF6811">
        <v>-2.6380757472638399</v>
      </c>
      <c r="AG6811">
        <v>-1.1179952579649901</v>
      </c>
      <c r="AH6811">
        <v>9.3880818479278307</v>
      </c>
      <c r="AI6811">
        <v>96.540192793052498</v>
      </c>
      <c r="AJ6811">
        <v>105.69550299437699</v>
      </c>
      <c r="AK6811">
        <v>9.8155711921683899</v>
      </c>
      <c r="AL6811">
        <v>86.989289591623503</v>
      </c>
      <c r="AM6811">
        <v>101.529267950556</v>
      </c>
      <c r="AN6811">
        <v>0.99999998030948301</v>
      </c>
    </row>
    <row r="6812" spans="1:40" x14ac:dyDescent="0.25">
      <c r="A6812" t="str">
        <f>"20190312151155928"</f>
        <v>20190312151155928</v>
      </c>
      <c r="B6812" t="str">
        <f>"1552374715917659"</f>
        <v>1552374715917659</v>
      </c>
      <c r="C6812" t="s">
        <v>40</v>
      </c>
      <c r="D6812">
        <v>5.2637850000000004</v>
      </c>
      <c r="E6812">
        <v>0.4688852</v>
      </c>
      <c r="F6812" t="s">
        <v>42</v>
      </c>
      <c r="G6812">
        <v>-187.9265</v>
      </c>
      <c r="H6812" s="1">
        <v>-2.0064820000000001E-6</v>
      </c>
      <c r="I6812">
        <v>-26.5474</v>
      </c>
      <c r="J6812">
        <v>-187.89070000000001</v>
      </c>
      <c r="K6812">
        <v>1.117977</v>
      </c>
      <c r="L6812">
        <v>-37.910890000000002</v>
      </c>
      <c r="M6812">
        <v>0.27166390000000001</v>
      </c>
      <c r="N6812">
        <v>0</v>
      </c>
      <c r="O6812">
        <v>0.96231290000000003</v>
      </c>
      <c r="P6812">
        <v>7.7348399999999998E-2</v>
      </c>
      <c r="Q6812">
        <v>4.5194079999999998E-2</v>
      </c>
      <c r="R6812">
        <v>0.99597919999999995</v>
      </c>
      <c r="S6812">
        <v>1.049805E-2</v>
      </c>
      <c r="T6812">
        <v>-0.2901533</v>
      </c>
      <c r="U6812">
        <v>3.0258479999999999</v>
      </c>
      <c r="V6812">
        <v>-0.19724079999999999</v>
      </c>
      <c r="W6812">
        <v>5.343258E-2</v>
      </c>
      <c r="X6812">
        <v>0.97889789999999999</v>
      </c>
      <c r="Y6812">
        <v>-0.26833489999999999</v>
      </c>
      <c r="Z6812">
        <v>-8.8326539999999995E-2</v>
      </c>
      <c r="AA6812">
        <v>0.95926789999999995</v>
      </c>
      <c r="AB6812">
        <v>31</v>
      </c>
      <c r="AC6812">
        <v>-3.5799999999994697E-2</v>
      </c>
      <c r="AD6812">
        <v>-1.1179790064820001</v>
      </c>
      <c r="AE6812">
        <v>11.363490000000001</v>
      </c>
      <c r="AF6812">
        <v>-3.09181274531129</v>
      </c>
      <c r="AG6812">
        <v>-1.1179790064820001</v>
      </c>
      <c r="AH6812">
        <v>10.8215967905911</v>
      </c>
      <c r="AI6812">
        <v>95.672877540299098</v>
      </c>
      <c r="AJ6812">
        <v>105.94504320673499</v>
      </c>
      <c r="AK6812">
        <v>11.310001777592101</v>
      </c>
      <c r="AL6812">
        <v>86.937080147652196</v>
      </c>
      <c r="AM6812">
        <v>101.392145863721</v>
      </c>
      <c r="AN6812">
        <v>1.0000000362072501</v>
      </c>
    </row>
    <row r="6813" spans="1:40" x14ac:dyDescent="0.25">
      <c r="A6813" t="str">
        <f>"20190312151155951"</f>
        <v>20190312151155951</v>
      </c>
      <c r="B6813" t="str">
        <f>"1552374715947915"</f>
        <v>1552374715947915</v>
      </c>
      <c r="C6813" t="s">
        <v>40</v>
      </c>
      <c r="D6813">
        <v>5.2496010000000002</v>
      </c>
      <c r="E6813">
        <v>0.46860780000000002</v>
      </c>
      <c r="F6813" t="s">
        <v>42</v>
      </c>
      <c r="G6813">
        <v>-188.02879999999999</v>
      </c>
      <c r="H6813" s="1">
        <v>-4.2093940000000001E-6</v>
      </c>
      <c r="I6813">
        <v>-21.370080000000002</v>
      </c>
      <c r="J6813">
        <v>-187.81389999999999</v>
      </c>
      <c r="K6813">
        <v>1.117931</v>
      </c>
      <c r="L6813">
        <v>-37.601170000000003</v>
      </c>
      <c r="M6813">
        <v>0.26178099999999999</v>
      </c>
      <c r="N6813">
        <v>0</v>
      </c>
      <c r="O6813">
        <v>0.96504840000000003</v>
      </c>
      <c r="P6813">
        <v>7.0821700000000001E-2</v>
      </c>
      <c r="Q6813">
        <v>4.332304E-2</v>
      </c>
      <c r="R6813">
        <v>0.99654779999999998</v>
      </c>
      <c r="S6813">
        <v>-2.523804E-2</v>
      </c>
      <c r="T6813">
        <v>-0.20434579999999999</v>
      </c>
      <c r="U6813">
        <v>3.0233460000000001</v>
      </c>
      <c r="V6813">
        <v>-0.19359299999999999</v>
      </c>
      <c r="W6813">
        <v>5.1644530000000001E-2</v>
      </c>
      <c r="X6813">
        <v>0.97972170000000003</v>
      </c>
      <c r="Y6813">
        <v>-0.2698199</v>
      </c>
      <c r="Z6813">
        <v>-6.2657000000000004E-2</v>
      </c>
      <c r="AA6813">
        <v>0.96087009999999995</v>
      </c>
      <c r="AB6813">
        <v>31</v>
      </c>
      <c r="AC6813">
        <v>-0.21490000000000001</v>
      </c>
      <c r="AD6813">
        <v>-1.117935209394</v>
      </c>
      <c r="AE6813">
        <v>16.231089999999998</v>
      </c>
      <c r="AF6813">
        <v>-4.4356803994156699</v>
      </c>
      <c r="AG6813">
        <v>-1.117935209394</v>
      </c>
      <c r="AH6813">
        <v>15.535035158862501</v>
      </c>
      <c r="AI6813">
        <v>93.958373956718006</v>
      </c>
      <c r="AJ6813">
        <v>105.93550329042</v>
      </c>
      <c r="AK6813">
        <v>16.194516267096699</v>
      </c>
      <c r="AL6813">
        <v>87.039669480181303</v>
      </c>
      <c r="AM6813">
        <v>101.177650180372</v>
      </c>
      <c r="AN6813">
        <v>1.0000000082894001</v>
      </c>
    </row>
    <row r="6814" spans="1:40" x14ac:dyDescent="0.25">
      <c r="A6814" t="str">
        <f>"20190312151155974"</f>
        <v>20190312151155974</v>
      </c>
      <c r="B6814" t="str">
        <f>"1552374715968411"</f>
        <v>1552374715968411</v>
      </c>
      <c r="C6814" t="s">
        <v>40</v>
      </c>
      <c r="D6814">
        <v>5.2725350000000004</v>
      </c>
      <c r="E6814">
        <v>0.46906150000000002</v>
      </c>
      <c r="F6814" t="s">
        <v>42</v>
      </c>
      <c r="G6814">
        <v>-188.0582</v>
      </c>
      <c r="H6814" s="1">
        <v>-3.9220470000000001E-6</v>
      </c>
      <c r="I6814">
        <v>-22.027729999999998</v>
      </c>
      <c r="J6814">
        <v>-187.74350000000001</v>
      </c>
      <c r="K6814">
        <v>1.1178699999999999</v>
      </c>
      <c r="L6814">
        <v>-37.304989999999997</v>
      </c>
      <c r="M6814">
        <v>0.25241459999999999</v>
      </c>
      <c r="N6814">
        <v>0</v>
      </c>
      <c r="O6814">
        <v>0.96754070000000003</v>
      </c>
      <c r="P6814">
        <v>6.4136659999999998E-2</v>
      </c>
      <c r="Q6814">
        <v>4.2642430000000002E-2</v>
      </c>
      <c r="R6814">
        <v>0.99702970000000002</v>
      </c>
      <c r="S6814">
        <v>-4.7424319999999999E-2</v>
      </c>
      <c r="T6814">
        <v>-0.21701909999999999</v>
      </c>
      <c r="U6814">
        <v>3.023193</v>
      </c>
      <c r="V6814">
        <v>-0.19065170000000001</v>
      </c>
      <c r="W6814">
        <v>5.1030699999999998E-2</v>
      </c>
      <c r="X6814">
        <v>0.98033049999999999</v>
      </c>
      <c r="Y6814">
        <v>-0.26753149999999998</v>
      </c>
      <c r="Z6814">
        <v>-6.6813600000000001E-2</v>
      </c>
      <c r="AA6814">
        <v>0.96122989999999997</v>
      </c>
      <c r="AB6814">
        <v>31</v>
      </c>
      <c r="AC6814">
        <v>-0.31469999999998699</v>
      </c>
      <c r="AD6814">
        <v>-1.117873922047</v>
      </c>
      <c r="AE6814">
        <v>15.27726</v>
      </c>
      <c r="AF6814">
        <v>-4.1388536376899703</v>
      </c>
      <c r="AG6814">
        <v>-1.117873922047</v>
      </c>
      <c r="AH6814">
        <v>14.6247816162238</v>
      </c>
      <c r="AI6814">
        <v>94.206440250629498</v>
      </c>
      <c r="AJ6814">
        <v>105.801659752566</v>
      </c>
      <c r="AK6814">
        <v>15.240209606893499</v>
      </c>
      <c r="AL6814">
        <v>87.074885897405494</v>
      </c>
      <c r="AM6814">
        <v>101.00533623045401</v>
      </c>
      <c r="AN6814">
        <v>1.00000004614281</v>
      </c>
    </row>
    <row r="6815" spans="1:40" x14ac:dyDescent="0.25">
      <c r="A6815" t="str">
        <f>"20190312151155996"</f>
        <v>20190312151155996</v>
      </c>
      <c r="B6815" t="str">
        <f>"1552374715987932"</f>
        <v>1552374715987932</v>
      </c>
      <c r="C6815" t="s">
        <v>40</v>
      </c>
      <c r="D6815">
        <v>5.2563639999999996</v>
      </c>
      <c r="E6815">
        <v>0.46908860000000002</v>
      </c>
      <c r="F6815" t="s">
        <v>42</v>
      </c>
      <c r="G6815">
        <v>-188.05170000000001</v>
      </c>
      <c r="H6815" s="1">
        <v>-3.576162E-6</v>
      </c>
      <c r="I6815">
        <v>-22.836680000000001</v>
      </c>
      <c r="J6815">
        <v>-187.6754</v>
      </c>
      <c r="K6815">
        <v>1.1177809999999999</v>
      </c>
      <c r="L6815">
        <v>-37.006010000000003</v>
      </c>
      <c r="M6815">
        <v>0.24308199999999999</v>
      </c>
      <c r="N6815">
        <v>0</v>
      </c>
      <c r="O6815">
        <v>0.96992780000000001</v>
      </c>
      <c r="P6815">
        <v>5.7371209999999999E-2</v>
      </c>
      <c r="Q6815">
        <v>4.3438919999999999E-2</v>
      </c>
      <c r="R6815">
        <v>0.99740740000000006</v>
      </c>
      <c r="S6815">
        <v>-6.4392089999999999E-2</v>
      </c>
      <c r="T6815">
        <v>-0.23357330000000001</v>
      </c>
      <c r="U6815">
        <v>3.0230709999999998</v>
      </c>
      <c r="V6815">
        <v>-0.1878523</v>
      </c>
      <c r="W6815">
        <v>5.1897390000000002E-2</v>
      </c>
      <c r="X6815">
        <v>0.98082519999999995</v>
      </c>
      <c r="Y6815">
        <v>-0.26363150000000002</v>
      </c>
      <c r="Z6815">
        <v>-7.2196930000000006E-2</v>
      </c>
      <c r="AA6815">
        <v>0.96191789999999999</v>
      </c>
      <c r="AB6815">
        <v>31</v>
      </c>
      <c r="AC6815">
        <v>-0.37630000000001401</v>
      </c>
      <c r="AD6815">
        <v>-1.117784576162</v>
      </c>
      <c r="AE6815">
        <v>14.16933</v>
      </c>
      <c r="AF6815">
        <v>-3.7860360673704698</v>
      </c>
      <c r="AG6815">
        <v>-1.117784576162</v>
      </c>
      <c r="AH6815">
        <v>13.5684073891731</v>
      </c>
      <c r="AI6815">
        <v>94.536926675623803</v>
      </c>
      <c r="AJ6815">
        <v>105.590866886179</v>
      </c>
      <c r="AK6815">
        <v>14.131001045244499</v>
      </c>
      <c r="AL6815">
        <v>87.025162039436495</v>
      </c>
      <c r="AM6815">
        <v>100.842261254096</v>
      </c>
      <c r="AN6815">
        <v>0.99999994932956904</v>
      </c>
    </row>
    <row r="6816" spans="1:40" x14ac:dyDescent="0.25">
      <c r="A6816" t="str">
        <f>"20190312151156019"</f>
        <v>20190312151156019</v>
      </c>
      <c r="B6816" t="str">
        <f>"1552374716007455"</f>
        <v>1552374716007455</v>
      </c>
      <c r="C6816" t="s">
        <v>40</v>
      </c>
      <c r="D6816">
        <v>5.1801069999999996</v>
      </c>
      <c r="E6816">
        <v>0.46945999999999999</v>
      </c>
      <c r="F6816" t="s">
        <v>42</v>
      </c>
      <c r="G6816">
        <v>-188.06049999999999</v>
      </c>
      <c r="H6816" s="1">
        <v>-3.4281989999999998E-6</v>
      </c>
      <c r="I6816">
        <v>-23.177949999999999</v>
      </c>
      <c r="J6816">
        <v>-187.61369999999999</v>
      </c>
      <c r="K6816">
        <v>1.117659</v>
      </c>
      <c r="L6816">
        <v>-36.72354</v>
      </c>
      <c r="M6816">
        <v>0.2344145</v>
      </c>
      <c r="N6816">
        <v>0</v>
      </c>
      <c r="O6816">
        <v>0.97205940000000002</v>
      </c>
      <c r="P6816">
        <v>5.0885409999999999E-2</v>
      </c>
      <c r="Q6816">
        <v>4.4148819999999998E-2</v>
      </c>
      <c r="R6816">
        <v>0.99772819999999995</v>
      </c>
      <c r="S6816">
        <v>-8.4197999999999995E-2</v>
      </c>
      <c r="T6816">
        <v>-0.24438570000000001</v>
      </c>
      <c r="U6816">
        <v>3.023285</v>
      </c>
      <c r="V6816">
        <v>-0.18546460000000001</v>
      </c>
      <c r="W6816">
        <v>5.2676920000000002E-2</v>
      </c>
      <c r="X6816">
        <v>0.98123800000000005</v>
      </c>
      <c r="Y6816">
        <v>-0.26130879999999901</v>
      </c>
      <c r="Z6816">
        <v>-7.5788880000000003E-2</v>
      </c>
      <c r="AA6816">
        <v>0.96227529999999994</v>
      </c>
      <c r="AB6816">
        <v>31</v>
      </c>
      <c r="AC6816">
        <v>-0.44679999999999598</v>
      </c>
      <c r="AD6816">
        <v>-1.117662428199</v>
      </c>
      <c r="AE6816">
        <v>13.545589999999899</v>
      </c>
      <c r="AF6816">
        <v>-3.5854864623408802</v>
      </c>
      <c r="AG6816">
        <v>-1.117662428199</v>
      </c>
      <c r="AH6816">
        <v>12.975124023182699</v>
      </c>
      <c r="AI6816">
        <v>94.746218922920505</v>
      </c>
      <c r="AJ6816">
        <v>105.44736180062699</v>
      </c>
      <c r="AK6816">
        <v>13.5077283764521</v>
      </c>
      <c r="AL6816">
        <v>86.980437212958805</v>
      </c>
      <c r="AM6816">
        <v>100.703256108871</v>
      </c>
      <c r="AN6816">
        <v>0.99999999419892305</v>
      </c>
    </row>
    <row r="6817" spans="1:40" x14ac:dyDescent="0.25">
      <c r="A6817" t="str">
        <f>"20190312151156041"</f>
        <v>20190312151156041</v>
      </c>
      <c r="B6817" t="str">
        <f>"1552374716037708"</f>
        <v>1552374716037708</v>
      </c>
      <c r="C6817" t="s">
        <v>40</v>
      </c>
      <c r="D6817">
        <v>5.17605</v>
      </c>
      <c r="E6817">
        <v>0.470022</v>
      </c>
      <c r="F6817" t="s">
        <v>42</v>
      </c>
      <c r="G6817">
        <v>-188.0729</v>
      </c>
      <c r="H6817" s="1">
        <v>-3.5700239999999999E-6</v>
      </c>
      <c r="I6817">
        <v>-22.842230000000001</v>
      </c>
      <c r="J6817">
        <v>-187.5496</v>
      </c>
      <c r="K6817">
        <v>1.1175040000000001</v>
      </c>
      <c r="L6817">
        <v>-36.416559999999997</v>
      </c>
      <c r="M6817">
        <v>0.2251985</v>
      </c>
      <c r="N6817">
        <v>0</v>
      </c>
      <c r="O6817">
        <v>0.9742362</v>
      </c>
      <c r="P6817">
        <v>4.3369570000000003E-2</v>
      </c>
      <c r="Q6817">
        <v>4.3065770000000003E-2</v>
      </c>
      <c r="R6817">
        <v>0.99813039999999997</v>
      </c>
      <c r="S6817">
        <v>-9.9990839999999998E-2</v>
      </c>
      <c r="T6817">
        <v>-0.24337510000000001</v>
      </c>
      <c r="U6817">
        <v>3.0227050000000002</v>
      </c>
      <c r="V6817">
        <v>-0.18353259999999999</v>
      </c>
      <c r="W6817">
        <v>5.1663100000000003E-2</v>
      </c>
      <c r="X6817">
        <v>0.9816551</v>
      </c>
      <c r="Y6817">
        <v>-0.2571947</v>
      </c>
      <c r="Z6817">
        <v>-7.5791579999999997E-2</v>
      </c>
      <c r="AA6817">
        <v>0.96338279999999998</v>
      </c>
      <c r="AB6817">
        <v>31</v>
      </c>
      <c r="AC6817">
        <v>-0.52330000000000598</v>
      </c>
      <c r="AD6817">
        <v>-1.117507570024</v>
      </c>
      <c r="AE6817">
        <v>13.5743299999999</v>
      </c>
      <c r="AF6817">
        <v>-3.5430262051053898</v>
      </c>
      <c r="AG6817">
        <v>-1.117507570024</v>
      </c>
      <c r="AH6817">
        <v>13.0196283995699</v>
      </c>
      <c r="AI6817">
        <v>94.734469394582106</v>
      </c>
      <c r="AJ6817">
        <v>105.223240232338</v>
      </c>
      <c r="AK6817">
        <v>13.539297674621499</v>
      </c>
      <c r="AL6817">
        <v>87.0386040900366</v>
      </c>
      <c r="AM6817">
        <v>100.589896651123</v>
      </c>
      <c r="AN6817">
        <v>1.0000000132601801</v>
      </c>
    </row>
    <row r="6818" spans="1:40" x14ac:dyDescent="0.25">
      <c r="A6818" t="str">
        <f>"20190312151156065"</f>
        <v>20190312151156065</v>
      </c>
      <c r="B6818" t="str">
        <f>"1552374716058204"</f>
        <v>1552374716058204</v>
      </c>
      <c r="C6818" t="s">
        <v>40</v>
      </c>
      <c r="D6818">
        <v>5.2082990000000002</v>
      </c>
      <c r="E6818">
        <v>0.47083589999999997</v>
      </c>
      <c r="F6818" t="s">
        <v>42</v>
      </c>
      <c r="G6818">
        <v>-188.0658</v>
      </c>
      <c r="H6818" s="1">
        <v>-3.4273709999999998E-6</v>
      </c>
      <c r="I6818">
        <v>-23.177700000000002</v>
      </c>
      <c r="J6818">
        <v>-187.4879</v>
      </c>
      <c r="K6818">
        <v>1.1173500000000001</v>
      </c>
      <c r="L6818">
        <v>-36.107570000000003</v>
      </c>
      <c r="M6818">
        <v>0.21610460000000001</v>
      </c>
      <c r="N6818">
        <v>0</v>
      </c>
      <c r="O6818">
        <v>0.97629410000000005</v>
      </c>
      <c r="P6818">
        <v>3.4942559999999998E-2</v>
      </c>
      <c r="Q6818">
        <v>4.2751789999999998E-2</v>
      </c>
      <c r="R6818">
        <v>0.99847450000000004</v>
      </c>
      <c r="S6818">
        <v>-0.1178131</v>
      </c>
      <c r="T6818">
        <v>-0.2550675</v>
      </c>
      <c r="U6818">
        <v>3.0217290000000001</v>
      </c>
      <c r="V6818">
        <v>-0.1826438</v>
      </c>
      <c r="W6818">
        <v>5.139643E-2</v>
      </c>
      <c r="X6818">
        <v>0.98183480000000001</v>
      </c>
      <c r="Y6818">
        <v>-0.2538552</v>
      </c>
      <c r="Z6818">
        <v>-7.9721130000000001E-2</v>
      </c>
      <c r="AA6818">
        <v>0.96395129999999996</v>
      </c>
      <c r="AB6818">
        <v>31</v>
      </c>
      <c r="AC6818">
        <v>-0.57789999999999897</v>
      </c>
      <c r="AD6818">
        <v>-1.117353427371</v>
      </c>
      <c r="AE6818">
        <v>12.929869999999999</v>
      </c>
      <c r="AF6818">
        <v>-3.3338077731339602</v>
      </c>
      <c r="AG6818">
        <v>-1.117353427371</v>
      </c>
      <c r="AH6818">
        <v>12.406930102896901</v>
      </c>
      <c r="AI6818">
        <v>94.970716093532602</v>
      </c>
      <c r="AJ6818">
        <v>105.04041167801</v>
      </c>
      <c r="AK6818">
        <v>12.895528974339699</v>
      </c>
      <c r="AL6818">
        <v>87.053903331866394</v>
      </c>
      <c r="AM6818">
        <v>100.537878572045</v>
      </c>
      <c r="AN6818">
        <v>0.99999996259311097</v>
      </c>
    </row>
    <row r="6819" spans="1:40" x14ac:dyDescent="0.25">
      <c r="A6819" t="str">
        <f>"20190312151156085"</f>
        <v>20190312151156085</v>
      </c>
      <c r="B6819" t="str">
        <f>"1552374716077724"</f>
        <v>1552374716077724</v>
      </c>
      <c r="C6819" t="s">
        <v>40</v>
      </c>
      <c r="D6819">
        <v>5.2605300000000002</v>
      </c>
      <c r="E6819">
        <v>0.47140880000000002</v>
      </c>
      <c r="F6819" t="s">
        <v>42</v>
      </c>
      <c r="G6819">
        <v>-188.09180000000001</v>
      </c>
      <c r="H6819" s="1">
        <v>-3.5942709999999999E-6</v>
      </c>
      <c r="I6819">
        <v>-22.777909999999999</v>
      </c>
      <c r="J6819">
        <v>-187.4348</v>
      </c>
      <c r="K6819">
        <v>1.117216</v>
      </c>
      <c r="L6819">
        <v>-35.830570000000002</v>
      </c>
      <c r="M6819">
        <v>0.20813139999999999</v>
      </c>
      <c r="N6819">
        <v>0</v>
      </c>
      <c r="O6819">
        <v>0.97802529999999999</v>
      </c>
      <c r="P6819">
        <v>2.8495679999999999E-2</v>
      </c>
      <c r="Q6819">
        <v>4.1895870000000002E-2</v>
      </c>
      <c r="R6819">
        <v>0.99871549999999998</v>
      </c>
      <c r="S6819">
        <v>-0.13682559999999999</v>
      </c>
      <c r="T6819">
        <v>-0.25316719999999998</v>
      </c>
      <c r="U6819">
        <v>3.020203</v>
      </c>
      <c r="V6819">
        <v>-0.1809453</v>
      </c>
      <c r="W6819">
        <v>5.0603540000000002E-2</v>
      </c>
      <c r="X6819">
        <v>0.98219040000000002</v>
      </c>
      <c r="Y6819">
        <v>-0.25204149999999997</v>
      </c>
      <c r="Z6819">
        <v>-7.9396670000000003E-2</v>
      </c>
      <c r="AA6819">
        <v>0.96445389999999998</v>
      </c>
      <c r="AB6819">
        <v>31</v>
      </c>
      <c r="AC6819">
        <v>-0.65700000000001002</v>
      </c>
      <c r="AD6819">
        <v>-1.1172195942709999</v>
      </c>
      <c r="AE6819">
        <v>13.052659999999999</v>
      </c>
      <c r="AF6819">
        <v>-3.3351074205675699</v>
      </c>
      <c r="AG6819">
        <v>-1.1172195942709999</v>
      </c>
      <c r="AH6819">
        <v>12.5383962708875</v>
      </c>
      <c r="AI6819">
        <v>94.921583496339693</v>
      </c>
      <c r="AJ6819">
        <v>104.89529766948201</v>
      </c>
      <c r="AK6819">
        <v>13.0223846577481</v>
      </c>
      <c r="AL6819">
        <v>87.099391747517899</v>
      </c>
      <c r="AM6819">
        <v>100.43834926728501</v>
      </c>
      <c r="AN6819">
        <v>0.99999995085238902</v>
      </c>
    </row>
    <row r="6820" spans="1:40" x14ac:dyDescent="0.25">
      <c r="A6820" t="str">
        <f>"20190312151156107"</f>
        <v>20190312151156107</v>
      </c>
      <c r="B6820" t="str">
        <f>"1552374716098220"</f>
        <v>1552374716098220</v>
      </c>
      <c r="C6820" t="s">
        <v>40</v>
      </c>
      <c r="D6820">
        <v>5.2299119999999997</v>
      </c>
      <c r="E6820">
        <v>0.47212100000000001</v>
      </c>
      <c r="F6820" t="s">
        <v>42</v>
      </c>
      <c r="G6820">
        <v>-188.08799999999999</v>
      </c>
      <c r="H6820" s="1">
        <v>-3.5805479999999999E-6</v>
      </c>
      <c r="I6820">
        <v>-22.81147</v>
      </c>
      <c r="J6820">
        <v>-187.37860000000001</v>
      </c>
      <c r="K6820">
        <v>1.1170469999999999</v>
      </c>
      <c r="L6820">
        <v>-35.524140000000003</v>
      </c>
      <c r="M6820">
        <v>0.1995498</v>
      </c>
      <c r="N6820">
        <v>0</v>
      </c>
      <c r="O6820">
        <v>0.97981269999999998</v>
      </c>
      <c r="P6820">
        <v>2.1869070000000001E-2</v>
      </c>
      <c r="Q6820">
        <v>4.0508379999999997E-2</v>
      </c>
      <c r="R6820">
        <v>0.99893989999999999</v>
      </c>
      <c r="S6820">
        <v>-0.1514587</v>
      </c>
      <c r="T6820">
        <v>-0.25907590000000003</v>
      </c>
      <c r="U6820">
        <v>3.0190429999999999</v>
      </c>
      <c r="V6820">
        <v>-0.17881720000000001</v>
      </c>
      <c r="W6820">
        <v>4.9295289999999999E-2</v>
      </c>
      <c r="X6820">
        <v>0.98264660000000004</v>
      </c>
      <c r="Y6820">
        <v>-0.24822900000000001</v>
      </c>
      <c r="Z6820">
        <v>-8.1529030000000002E-2</v>
      </c>
      <c r="AA6820">
        <v>0.96526440000000002</v>
      </c>
      <c r="AB6820">
        <v>31</v>
      </c>
      <c r="AC6820">
        <v>-0.70939999999998704</v>
      </c>
      <c r="AD6820">
        <v>-1.117050580548</v>
      </c>
      <c r="AE6820">
        <v>12.712669999999999</v>
      </c>
      <c r="AF6820">
        <v>-3.20743968999518</v>
      </c>
      <c r="AG6820">
        <v>-1.117050580548</v>
      </c>
      <c r="AH6820">
        <v>12.2213122726866</v>
      </c>
      <c r="AI6820">
        <v>95.052262121651395</v>
      </c>
      <c r="AJ6820">
        <v>104.70543201269599</v>
      </c>
      <c r="AK6820">
        <v>12.684476537523301</v>
      </c>
      <c r="AL6820">
        <v>87.174442720878005</v>
      </c>
      <c r="AM6820">
        <v>100.313548523295</v>
      </c>
      <c r="AN6820">
        <v>0.99999997856179101</v>
      </c>
    </row>
    <row r="6821" spans="1:40" x14ac:dyDescent="0.25">
      <c r="A6821" t="str">
        <f>"20190312151156130"</f>
        <v>20190312151156130</v>
      </c>
      <c r="B6821" t="str">
        <f>"1552374716117740"</f>
        <v>1552374716117740</v>
      </c>
      <c r="C6821" t="s">
        <v>40</v>
      </c>
      <c r="D6821">
        <v>5.2082480000000002</v>
      </c>
      <c r="E6821">
        <v>0.47292119999999999</v>
      </c>
      <c r="F6821" t="s">
        <v>42</v>
      </c>
      <c r="G6821">
        <v>-188.08860000000001</v>
      </c>
      <c r="H6821" s="1">
        <v>-3.6712830000000001E-6</v>
      </c>
      <c r="I6821">
        <v>-22.599699999999999</v>
      </c>
      <c r="J6821">
        <v>-187.32730000000001</v>
      </c>
      <c r="K6821">
        <v>1.1168689999999999</v>
      </c>
      <c r="L6821">
        <v>-35.23169</v>
      </c>
      <c r="M6821">
        <v>0.19160920000000001</v>
      </c>
      <c r="N6821">
        <v>0</v>
      </c>
      <c r="O6821">
        <v>0.98139679999999996</v>
      </c>
      <c r="P6821">
        <v>1.636758E-2</v>
      </c>
      <c r="Q6821">
        <v>3.9148229999999999E-2</v>
      </c>
      <c r="R6821">
        <v>0.99909939999999997</v>
      </c>
      <c r="S6821">
        <v>-0.16575619999999999</v>
      </c>
      <c r="T6821">
        <v>-0.26079150000000001</v>
      </c>
      <c r="U6821">
        <v>3.017395</v>
      </c>
      <c r="V6821">
        <v>-0.17623539999999999</v>
      </c>
      <c r="W6821">
        <v>4.8026510000000001E-2</v>
      </c>
      <c r="X6821">
        <v>0.98317580000000004</v>
      </c>
      <c r="Y6821">
        <v>-0.2449684</v>
      </c>
      <c r="Z6821">
        <v>-8.2339250000000003E-2</v>
      </c>
      <c r="AA6821">
        <v>0.96602829999999995</v>
      </c>
      <c r="AB6821">
        <v>31</v>
      </c>
      <c r="AC6821">
        <v>-0.76130000000000497</v>
      </c>
      <c r="AD6821">
        <v>-1.1168726712829999</v>
      </c>
      <c r="AE6821">
        <v>12.63199</v>
      </c>
      <c r="AF6821">
        <v>-3.1432909947944898</v>
      </c>
      <c r="AG6821">
        <v>-1.1168726712829999</v>
      </c>
      <c r="AH6821">
        <v>12.157323325758201</v>
      </c>
      <c r="AI6821">
        <v>95.082712968362699</v>
      </c>
      <c r="AJ6821">
        <v>104.49643687656599</v>
      </c>
      <c r="AK6821">
        <v>12.606672570065401</v>
      </c>
      <c r="AL6821">
        <v>87.247224905428297</v>
      </c>
      <c r="AM6821">
        <v>100.162409289303</v>
      </c>
      <c r="AN6821">
        <v>1.0000000577907799</v>
      </c>
    </row>
    <row r="6822" spans="1:40" x14ac:dyDescent="0.25">
      <c r="A6822" t="str">
        <f>"20190312151156153"</f>
        <v>20190312151156153</v>
      </c>
      <c r="B6822" t="str">
        <f>"1552374716147996"</f>
        <v>1552374716147996</v>
      </c>
      <c r="C6822" t="s">
        <v>40</v>
      </c>
      <c r="D6822">
        <v>5.2508339999999896</v>
      </c>
      <c r="E6822">
        <v>0.4737825</v>
      </c>
      <c r="F6822" t="s">
        <v>42</v>
      </c>
      <c r="G6822">
        <v>-188.06120000000001</v>
      </c>
      <c r="H6822" s="1">
        <v>-3.6529619999999998E-6</v>
      </c>
      <c r="I6822">
        <v>-22.653729999999999</v>
      </c>
      <c r="J6822">
        <v>-187.2747</v>
      </c>
      <c r="K6822">
        <v>1.1166590000000001</v>
      </c>
      <c r="L6822">
        <v>-34.918430000000001</v>
      </c>
      <c r="M6822">
        <v>0.18338579999999999</v>
      </c>
      <c r="N6822">
        <v>0</v>
      </c>
      <c r="O6822">
        <v>0.98296709999999998</v>
      </c>
      <c r="P6822">
        <v>1.065956E-2</v>
      </c>
      <c r="Q6822">
        <v>3.8565559999999999E-2</v>
      </c>
      <c r="R6822">
        <v>0.99919919999999995</v>
      </c>
      <c r="S6822">
        <v>-0.17597960000000001</v>
      </c>
      <c r="T6822">
        <v>-0.267816099999999</v>
      </c>
      <c r="U6822">
        <v>3.0160830000000001</v>
      </c>
      <c r="V6822">
        <v>-0.1735881</v>
      </c>
      <c r="W6822">
        <v>4.7544980000000001E-2</v>
      </c>
      <c r="X6822">
        <v>0.98367000000000004</v>
      </c>
      <c r="Y6822">
        <v>-0.2401237</v>
      </c>
      <c r="Z6822">
        <v>-8.483019E-2</v>
      </c>
      <c r="AA6822">
        <v>0.96702869999999996</v>
      </c>
      <c r="AB6822">
        <v>31</v>
      </c>
      <c r="AC6822">
        <v>-0.78650000000001696</v>
      </c>
      <c r="AD6822">
        <v>-1.1166626529620001</v>
      </c>
      <c r="AE6822">
        <v>12.264699999999999</v>
      </c>
      <c r="AF6822">
        <v>-2.9977469271190702</v>
      </c>
      <c r="AG6822">
        <v>-1.1166626529620001</v>
      </c>
      <c r="AH6822">
        <v>11.814890470089001</v>
      </c>
      <c r="AI6822">
        <v>95.2342764038995</v>
      </c>
      <c r="AJ6822">
        <v>104.23700207382301</v>
      </c>
      <c r="AK6822">
        <v>12.2403046914598</v>
      </c>
      <c r="AL6822">
        <v>87.274845968066003</v>
      </c>
      <c r="AM6822">
        <v>100.007938930839</v>
      </c>
      <c r="AN6822">
        <v>1.0000000112423999</v>
      </c>
    </row>
    <row r="6823" spans="1:40" x14ac:dyDescent="0.25">
      <c r="A6823" t="str">
        <f>"20190312151156177"</f>
        <v>20190312151156177</v>
      </c>
      <c r="B6823" t="str">
        <f>"1552374716167516"</f>
        <v>1552374716167516</v>
      </c>
      <c r="C6823" t="s">
        <v>40</v>
      </c>
      <c r="D6823">
        <v>5.3166699999999896</v>
      </c>
      <c r="E6823">
        <v>0.47442269999999997</v>
      </c>
      <c r="F6823" t="s">
        <v>42</v>
      </c>
      <c r="G6823">
        <v>-188.0385</v>
      </c>
      <c r="H6823" s="1">
        <v>-3.698881E-6</v>
      </c>
      <c r="I6823">
        <v>-22.556080000000001</v>
      </c>
      <c r="J6823">
        <v>-187.22329999999999</v>
      </c>
      <c r="K6823">
        <v>1.11642</v>
      </c>
      <c r="L6823">
        <v>-34.597630000000002</v>
      </c>
      <c r="M6823">
        <v>0.1752795</v>
      </c>
      <c r="N6823">
        <v>0</v>
      </c>
      <c r="O6823">
        <v>0.98444540000000003</v>
      </c>
      <c r="P6823">
        <v>5.2551669999999998E-3</v>
      </c>
      <c r="Q6823">
        <v>3.7803580000000003E-2</v>
      </c>
      <c r="R6823">
        <v>0.99927140000000003</v>
      </c>
      <c r="S6823">
        <v>-0.18626400000000001</v>
      </c>
      <c r="T6823">
        <v>-0.27232840000000003</v>
      </c>
      <c r="U6823">
        <v>3.0148929999999998</v>
      </c>
      <c r="V6823">
        <v>-0.1707661</v>
      </c>
      <c r="W6823">
        <v>4.6895300000000001E-2</v>
      </c>
      <c r="X6823">
        <v>0.98419500000000004</v>
      </c>
      <c r="Y6823">
        <v>-0.23542270000000001</v>
      </c>
      <c r="Z6823">
        <v>-8.6524050000000005E-2</v>
      </c>
      <c r="AA6823">
        <v>0.96803399999999995</v>
      </c>
      <c r="AB6823">
        <v>31</v>
      </c>
      <c r="AC6823">
        <v>-0.81520000000000403</v>
      </c>
      <c r="AD6823">
        <v>-1.1164236988809999</v>
      </c>
      <c r="AE6823">
        <v>12.041550000000001</v>
      </c>
      <c r="AF6823">
        <v>-2.88864966306007</v>
      </c>
      <c r="AG6823">
        <v>-1.1164236988809999</v>
      </c>
      <c r="AH6823">
        <v>11.612838196996901</v>
      </c>
      <c r="AI6823">
        <v>95.329928659613202</v>
      </c>
      <c r="AJ6823">
        <v>103.968613180131</v>
      </c>
      <c r="AK6823">
        <v>12.018681697297399</v>
      </c>
      <c r="AL6823">
        <v>87.312111467282307</v>
      </c>
      <c r="AM6823">
        <v>99.843301700139307</v>
      </c>
      <c r="AN6823">
        <v>1.00000001404815</v>
      </c>
    </row>
    <row r="6824" spans="1:40" x14ac:dyDescent="0.25">
      <c r="A6824" t="str">
        <f>"20190312151156197"</f>
        <v>20190312151156197</v>
      </c>
      <c r="B6824" t="str">
        <f>"1552374716188013"</f>
        <v>1552374716188013</v>
      </c>
      <c r="C6824" t="s">
        <v>40</v>
      </c>
      <c r="D6824">
        <v>5.2230270000000001</v>
      </c>
      <c r="E6824">
        <v>0.47495540000000003</v>
      </c>
      <c r="F6824" t="s">
        <v>42</v>
      </c>
      <c r="G6824">
        <v>-188.0264</v>
      </c>
      <c r="H6824" s="1">
        <v>-3.7988789999999998E-6</v>
      </c>
      <c r="I6824">
        <v>-22.327970000000001</v>
      </c>
      <c r="J6824">
        <v>-187.18100000000001</v>
      </c>
      <c r="K6824">
        <v>1.1162030000000001</v>
      </c>
      <c r="L6824">
        <v>-34.321350000000002</v>
      </c>
      <c r="M6824">
        <v>0.16858299999999901</v>
      </c>
      <c r="N6824">
        <v>0</v>
      </c>
      <c r="O6824">
        <v>0.98561469999999995</v>
      </c>
      <c r="P6824">
        <v>2.1288280000000001E-3</v>
      </c>
      <c r="Q6824">
        <v>3.6911800000000002E-2</v>
      </c>
      <c r="R6824">
        <v>0.99931630000000005</v>
      </c>
      <c r="S6824">
        <v>-0.19726560000000001</v>
      </c>
      <c r="T6824">
        <v>-0.27421020000000002</v>
      </c>
      <c r="U6824">
        <v>3.013611</v>
      </c>
      <c r="V6824">
        <v>-0.16711799999999999</v>
      </c>
      <c r="W6824">
        <v>4.6119849999999997E-2</v>
      </c>
      <c r="X6824">
        <v>0.9848576</v>
      </c>
      <c r="Y6824">
        <v>-0.2323558</v>
      </c>
      <c r="Z6824">
        <v>-8.7335860000000001E-2</v>
      </c>
      <c r="AA6824">
        <v>0.96870179999999995</v>
      </c>
      <c r="AB6824">
        <v>31</v>
      </c>
      <c r="AC6824">
        <v>-0.84540000000001203</v>
      </c>
      <c r="AD6824">
        <v>-1.1162067988789901</v>
      </c>
      <c r="AE6824">
        <v>11.99338</v>
      </c>
      <c r="AF6824">
        <v>-2.8309238830793801</v>
      </c>
      <c r="AG6824">
        <v>-1.1162067988789901</v>
      </c>
      <c r="AH6824">
        <v>11.5793673789516</v>
      </c>
      <c r="AI6824">
        <v>95.349485716706297</v>
      </c>
      <c r="AJ6824">
        <v>103.7381912916</v>
      </c>
      <c r="AK6824">
        <v>11.9725434451657</v>
      </c>
      <c r="AL6824">
        <v>87.356589516440494</v>
      </c>
      <c r="AM6824">
        <v>99.630641047984497</v>
      </c>
      <c r="AN6824">
        <v>0.99999997938289098</v>
      </c>
    </row>
    <row r="6825" spans="1:40" x14ac:dyDescent="0.25">
      <c r="A6825" t="str">
        <f>"20190312151156221"</f>
        <v>20190312151156221</v>
      </c>
      <c r="B6825" t="str">
        <f>"1552374716218268"</f>
        <v>1552374716218268</v>
      </c>
      <c r="C6825" t="s">
        <v>40</v>
      </c>
      <c r="D6825">
        <v>5.212091</v>
      </c>
      <c r="E6825">
        <v>0.49306929999999999</v>
      </c>
      <c r="F6825" t="s">
        <v>42</v>
      </c>
      <c r="G6825">
        <v>-188.00049999999999</v>
      </c>
      <c r="H6825" s="1">
        <v>-3.8798550000000001E-6</v>
      </c>
      <c r="I6825">
        <v>-22.149940000000001</v>
      </c>
      <c r="J6825">
        <v>-187.13570000000001</v>
      </c>
      <c r="K6825">
        <v>1.1159539999999999</v>
      </c>
      <c r="L6825">
        <v>-34.012180000000001</v>
      </c>
      <c r="M6825">
        <v>0.16141989999999901</v>
      </c>
      <c r="N6825">
        <v>0</v>
      </c>
      <c r="O6825">
        <v>0.98681370000000002</v>
      </c>
      <c r="P6825">
        <v>-1.093847E-3</v>
      </c>
      <c r="Q6825">
        <v>3.6777480000000001E-2</v>
      </c>
      <c r="R6825">
        <v>0.99932290000000001</v>
      </c>
      <c r="S6825">
        <v>-0.20285030000000001</v>
      </c>
      <c r="T6825">
        <v>-0.27628619999999998</v>
      </c>
      <c r="U6825">
        <v>3.0126949999999999</v>
      </c>
      <c r="V6825">
        <v>-0.16310849999999999</v>
      </c>
      <c r="W6825">
        <v>4.6108410000000002E-2</v>
      </c>
      <c r="X6825">
        <v>0.98553009999999996</v>
      </c>
      <c r="Y6825">
        <v>-0.22709099999999999</v>
      </c>
      <c r="Z6825">
        <v>-8.8233560000000003E-2</v>
      </c>
      <c r="AA6825">
        <v>0.96986830000000002</v>
      </c>
      <c r="AB6825">
        <v>31</v>
      </c>
      <c r="AC6825">
        <v>-0.86479999999997403</v>
      </c>
      <c r="AD6825">
        <v>-1.1159578798549901</v>
      </c>
      <c r="AE6825">
        <v>11.86224</v>
      </c>
      <c r="AF6825">
        <v>-2.7442359701296799</v>
      </c>
      <c r="AG6825">
        <v>-1.1159578798549901</v>
      </c>
      <c r="AH6825">
        <v>11.4661053079168</v>
      </c>
      <c r="AI6825">
        <v>95.407136107777006</v>
      </c>
      <c r="AJ6825">
        <v>103.45968075512801</v>
      </c>
      <c r="AK6825">
        <v>11.84262487718</v>
      </c>
      <c r="AL6825">
        <v>87.357245661662702</v>
      </c>
      <c r="AM6825">
        <v>99.397456428604798</v>
      </c>
      <c r="AN6825">
        <v>0.99999997312549305</v>
      </c>
    </row>
    <row r="6826" spans="1:40" x14ac:dyDescent="0.25">
      <c r="A6826" t="str">
        <f>"20190312151156241"</f>
        <v>20190312151156241</v>
      </c>
      <c r="B6826" t="str">
        <f>"1552374716237788"</f>
        <v>1552374716237788</v>
      </c>
      <c r="C6826" t="s">
        <v>40</v>
      </c>
      <c r="D6826">
        <v>5.2271479999999997</v>
      </c>
      <c r="E6826">
        <v>0.49089830000000001</v>
      </c>
      <c r="F6826" t="s">
        <v>42</v>
      </c>
      <c r="G6826">
        <v>-187.4768</v>
      </c>
      <c r="H6826" s="1">
        <v>-1.2550160000000001E-6</v>
      </c>
      <c r="I6826">
        <v>-18.636849999999999</v>
      </c>
      <c r="J6826">
        <v>-187.0958</v>
      </c>
      <c r="K6826">
        <v>1.115729</v>
      </c>
      <c r="L6826">
        <v>-33.728359999999903</v>
      </c>
      <c r="M6826">
        <v>0.15511720000000001</v>
      </c>
      <c r="N6826">
        <v>0</v>
      </c>
      <c r="O6826">
        <v>0.98782449999999999</v>
      </c>
      <c r="P6826">
        <v>-4.1323480000000001E-3</v>
      </c>
      <c r="Q6826">
        <v>3.7431899999999997E-2</v>
      </c>
      <c r="R6826">
        <v>0.99929060000000003</v>
      </c>
      <c r="S6826">
        <v>-6.6772460000000006E-2</v>
      </c>
      <c r="T6826">
        <v>-0.21846930000000001</v>
      </c>
      <c r="U6826">
        <v>3.0100099999999999</v>
      </c>
      <c r="V6826">
        <v>-0.15979119999999999</v>
      </c>
      <c r="W6826">
        <v>4.6865289999999997E-2</v>
      </c>
      <c r="X6826">
        <v>0.98603770000000002</v>
      </c>
      <c r="Y6826">
        <v>-0.1769405</v>
      </c>
      <c r="Z6826">
        <v>-7.0496489999999995E-2</v>
      </c>
      <c r="AA6826">
        <v>0.98169360000000006</v>
      </c>
      <c r="AB6826">
        <v>31</v>
      </c>
      <c r="AC6826">
        <v>-0.38100000000000001</v>
      </c>
      <c r="AD6826">
        <v>-1.115730255016</v>
      </c>
      <c r="AE6826">
        <v>15.0915099999999</v>
      </c>
      <c r="AF6826">
        <v>-2.70274284126591</v>
      </c>
      <c r="AG6826">
        <v>-1.115730255016</v>
      </c>
      <c r="AH6826">
        <v>14.769040591115701</v>
      </c>
      <c r="AI6826">
        <v>94.249903599524202</v>
      </c>
      <c r="AJ6826">
        <v>100.37041076172</v>
      </c>
      <c r="AK6826">
        <v>15.055704329256599</v>
      </c>
      <c r="AL6826">
        <v>87.313832672761706</v>
      </c>
      <c r="AM6826">
        <v>99.204979305056597</v>
      </c>
      <c r="AN6826">
        <v>0.99999996441275596</v>
      </c>
    </row>
    <row r="6827" spans="1:40" x14ac:dyDescent="0.25">
      <c r="A6827" t="str">
        <f>"20190312151156264"</f>
        <v>20190312151156264</v>
      </c>
      <c r="B6827" t="str">
        <f>"1552374716258284"</f>
        <v>1552374716258284</v>
      </c>
      <c r="C6827" t="s">
        <v>40</v>
      </c>
      <c r="D6827">
        <v>5.239649</v>
      </c>
      <c r="E6827">
        <v>0.4904</v>
      </c>
      <c r="F6827" t="s">
        <v>42</v>
      </c>
      <c r="G6827">
        <v>-187.5455</v>
      </c>
      <c r="H6827" s="1">
        <v>-1.012968E-6</v>
      </c>
      <c r="I6827">
        <v>-19.2944</v>
      </c>
      <c r="J6827">
        <v>-187.05539999999999</v>
      </c>
      <c r="K6827">
        <v>1.1155139999999999</v>
      </c>
      <c r="L6827">
        <v>-33.42886</v>
      </c>
      <c r="M6827">
        <v>0.1487098</v>
      </c>
      <c r="N6827">
        <v>0</v>
      </c>
      <c r="O6827">
        <v>0.98880990000000002</v>
      </c>
      <c r="P6827">
        <v>-6.7349300000000001E-3</v>
      </c>
      <c r="Q6827">
        <v>3.7374089999999999E-2</v>
      </c>
      <c r="R6827">
        <v>0.99927869999999996</v>
      </c>
      <c r="S6827">
        <v>-9.3795779999999995E-2</v>
      </c>
      <c r="T6827">
        <v>-0.23270579999999999</v>
      </c>
      <c r="U6827">
        <v>3.0104679999999999</v>
      </c>
      <c r="V6827">
        <v>-0.15593889999999999</v>
      </c>
      <c r="W6827">
        <v>4.6910060000000003E-2</v>
      </c>
      <c r="X6827">
        <v>0.98665210000000003</v>
      </c>
      <c r="Y6827">
        <v>-0.1793506</v>
      </c>
      <c r="Z6827">
        <v>-7.5140470000000001E-2</v>
      </c>
      <c r="AA6827">
        <v>0.98091139999999999</v>
      </c>
      <c r="AB6827">
        <v>31</v>
      </c>
      <c r="AC6827">
        <v>-0.49010000000001203</v>
      </c>
      <c r="AD6827">
        <v>-1.11551501296799</v>
      </c>
      <c r="AE6827">
        <v>14.134460000000001</v>
      </c>
      <c r="AF6827">
        <v>-2.5707370799843301</v>
      </c>
      <c r="AG6827">
        <v>-1.11551501296799</v>
      </c>
      <c r="AH6827">
        <v>13.818420822386299</v>
      </c>
      <c r="AI6827">
        <v>94.5377648734666</v>
      </c>
      <c r="AJ6827">
        <v>100.538655082114</v>
      </c>
      <c r="AK6827">
        <v>14.099709816273601</v>
      </c>
      <c r="AL6827">
        <v>87.311264624643599</v>
      </c>
      <c r="AM6827">
        <v>98.981222976712303</v>
      </c>
      <c r="AN6827">
        <v>0.99999993034840895</v>
      </c>
    </row>
    <row r="6828" spans="1:40" x14ac:dyDescent="0.25">
      <c r="A6828" t="str">
        <f>"20190312151156286"</f>
        <v>20190312151156286</v>
      </c>
      <c r="B6828" t="str">
        <f>"1552374716277804"</f>
        <v>1552374716277804</v>
      </c>
      <c r="C6828" t="s">
        <v>40</v>
      </c>
      <c r="D6828">
        <v>5.4185309999999998</v>
      </c>
      <c r="E6828">
        <v>0.48967889999999997</v>
      </c>
      <c r="F6828" t="s">
        <v>42</v>
      </c>
      <c r="G6828">
        <v>-187.5412</v>
      </c>
      <c r="H6828" s="1">
        <v>-9.0037120000000002E-7</v>
      </c>
      <c r="I6828">
        <v>-19.628609999999998</v>
      </c>
      <c r="J6828">
        <v>-187.0162</v>
      </c>
      <c r="K6828">
        <v>1.1153040000000001</v>
      </c>
      <c r="L6828">
        <v>-33.124969999999998</v>
      </c>
      <c r="M6828">
        <v>0.14246589999999901</v>
      </c>
      <c r="N6828">
        <v>0</v>
      </c>
      <c r="O6828">
        <v>0.98972919999999998</v>
      </c>
      <c r="P6828">
        <v>-7.856221E-3</v>
      </c>
      <c r="Q6828">
        <v>3.6798240000000003E-2</v>
      </c>
      <c r="R6828">
        <v>0.99929179999999995</v>
      </c>
      <c r="S6828">
        <v>-0.10597230000000001</v>
      </c>
      <c r="T6828">
        <v>-0.2433524</v>
      </c>
      <c r="U6828">
        <v>3.0105590000000002</v>
      </c>
      <c r="V6828">
        <v>-0.15078649999999999</v>
      </c>
      <c r="W6828">
        <v>4.6451359999999997E-2</v>
      </c>
      <c r="X6828">
        <v>0.98747439999999997</v>
      </c>
      <c r="Y6828">
        <v>-0.17709339999999901</v>
      </c>
      <c r="Z6828">
        <v>-7.8676280000000001E-2</v>
      </c>
      <c r="AA6828">
        <v>0.98104429999999998</v>
      </c>
      <c r="AB6828">
        <v>31</v>
      </c>
      <c r="AC6828">
        <v>-0.52500000000000502</v>
      </c>
      <c r="AD6828">
        <v>-1.1153049003711999</v>
      </c>
      <c r="AE6828">
        <v>13.496359999999999</v>
      </c>
      <c r="AF6828">
        <v>-2.42600732202275</v>
      </c>
      <c r="AG6828">
        <v>-1.1153049003711999</v>
      </c>
      <c r="AH6828">
        <v>13.1939096743059</v>
      </c>
      <c r="AI6828">
        <v>94.752530155581297</v>
      </c>
      <c r="AJ6828">
        <v>100.418785080372</v>
      </c>
      <c r="AK6828">
        <v>13.461376937038899</v>
      </c>
      <c r="AL6828">
        <v>87.337575052300394</v>
      </c>
      <c r="AM6828">
        <v>98.681952157152296</v>
      </c>
      <c r="AN6828">
        <v>0.99999999404172901</v>
      </c>
    </row>
    <row r="6829" spans="1:40" x14ac:dyDescent="0.25">
      <c r="A6829" t="str">
        <f>"20190312151156309"</f>
        <v>20190312151156309</v>
      </c>
      <c r="B6829" t="str">
        <f>"1552374716298300"</f>
        <v>1552374716298300</v>
      </c>
      <c r="C6829" t="s">
        <v>40</v>
      </c>
      <c r="D6829">
        <v>5.349024</v>
      </c>
      <c r="E6829">
        <v>0.48978389999999999</v>
      </c>
      <c r="F6829" t="s">
        <v>42</v>
      </c>
      <c r="G6829">
        <v>-187.5239</v>
      </c>
      <c r="H6829" s="1">
        <v>-8.0081959999999997E-7</v>
      </c>
      <c r="I6829">
        <v>-19.934670000000001</v>
      </c>
      <c r="J6829">
        <v>-186.9769</v>
      </c>
      <c r="K6829">
        <v>1.1150979999999999</v>
      </c>
      <c r="L6829">
        <v>-32.806240000000003</v>
      </c>
      <c r="M6829">
        <v>0.13620209999999999</v>
      </c>
      <c r="N6829">
        <v>0</v>
      </c>
      <c r="O6829">
        <v>0.99061109999999997</v>
      </c>
      <c r="P6829">
        <v>-8.9574659999999903E-3</v>
      </c>
      <c r="Q6829">
        <v>3.6646520000000002E-2</v>
      </c>
      <c r="R6829">
        <v>0.99928810000000001</v>
      </c>
      <c r="S6829">
        <v>-0.1158752</v>
      </c>
      <c r="T6829">
        <v>-0.25456000000000001</v>
      </c>
      <c r="U6829">
        <v>3.0105900000000001</v>
      </c>
      <c r="V6829">
        <v>-0.14559810000000001</v>
      </c>
      <c r="W6829">
        <v>4.6414209999999997E-2</v>
      </c>
      <c r="X6829">
        <v>0.98825450000000004</v>
      </c>
      <c r="Y6829">
        <v>-0.17407729999999999</v>
      </c>
      <c r="Z6829">
        <v>-8.2402790000000004E-2</v>
      </c>
      <c r="AA6829">
        <v>0.98127819999999999</v>
      </c>
      <c r="AB6829">
        <v>31</v>
      </c>
      <c r="AC6829">
        <v>-0.54699999999999704</v>
      </c>
      <c r="AD6829">
        <v>-1.1150988008195999</v>
      </c>
      <c r="AE6829">
        <v>12.87157</v>
      </c>
      <c r="AF6829">
        <v>-2.2780914734887201</v>
      </c>
      <c r="AG6829">
        <v>-1.1150988008195999</v>
      </c>
      <c r="AH6829">
        <v>12.5828296421478</v>
      </c>
      <c r="AI6829">
        <v>94.983757360877604</v>
      </c>
      <c r="AJ6829">
        <v>100.262104040227</v>
      </c>
      <c r="AK6829">
        <v>12.8359163249254</v>
      </c>
      <c r="AL6829">
        <v>87.339705961086494</v>
      </c>
      <c r="AM6829">
        <v>98.381012439993299</v>
      </c>
      <c r="AN6829">
        <v>1.00000002119189</v>
      </c>
    </row>
    <row r="6830" spans="1:40" x14ac:dyDescent="0.25">
      <c r="A6830" t="str">
        <f>"20190312151156330"</f>
        <v>20190312151156330</v>
      </c>
      <c r="B6830" t="str">
        <f>"1552374716327580"</f>
        <v>1552374716327580</v>
      </c>
      <c r="C6830" t="s">
        <v>40</v>
      </c>
      <c r="D6830">
        <v>5.3032940000000002</v>
      </c>
      <c r="E6830">
        <v>0.49010959999999998</v>
      </c>
      <c r="F6830" t="s">
        <v>42</v>
      </c>
      <c r="G6830">
        <v>-187.49719999999999</v>
      </c>
      <c r="H6830" s="1">
        <v>-9.220652E-7</v>
      </c>
      <c r="I6830">
        <v>-19.599250000000001</v>
      </c>
      <c r="J6830">
        <v>-186.94319999999999</v>
      </c>
      <c r="K6830">
        <v>1.1148990000000001</v>
      </c>
      <c r="L6830">
        <v>-32.519959999999998</v>
      </c>
      <c r="M6830">
        <v>0.1308319</v>
      </c>
      <c r="N6830">
        <v>0</v>
      </c>
      <c r="O6830">
        <v>0.99133510000000002</v>
      </c>
      <c r="P6830">
        <v>-9.2050989999999996E-3</v>
      </c>
      <c r="Q6830">
        <v>3.7295780000000001E-2</v>
      </c>
      <c r="R6830">
        <v>0.99926190000000004</v>
      </c>
      <c r="S6830">
        <v>-0.1185913</v>
      </c>
      <c r="T6830">
        <v>-0.25417590000000001</v>
      </c>
      <c r="U6830">
        <v>3.0104060000000001</v>
      </c>
      <c r="V6830">
        <v>-0.1404646</v>
      </c>
      <c r="W6830">
        <v>4.7172510000000001E-2</v>
      </c>
      <c r="X6830">
        <v>0.98896130000000004</v>
      </c>
      <c r="Y6830">
        <v>-0.169626</v>
      </c>
      <c r="Z6830">
        <v>-8.2406820000000006E-2</v>
      </c>
      <c r="AA6830">
        <v>0.98205710000000002</v>
      </c>
      <c r="AB6830">
        <v>31</v>
      </c>
      <c r="AC6830">
        <v>-0.55400000000000205</v>
      </c>
      <c r="AD6830">
        <v>-1.1148999220651901</v>
      </c>
      <c r="AE6830">
        <v>12.9207099999999</v>
      </c>
      <c r="AF6830">
        <v>-2.2232717475363302</v>
      </c>
      <c r="AG6830">
        <v>-1.1148999220651901</v>
      </c>
      <c r="AH6830">
        <v>12.6431864482508</v>
      </c>
      <c r="AI6830">
        <v>94.963643989241803</v>
      </c>
      <c r="AJ6830">
        <v>99.973349670764904</v>
      </c>
      <c r="AK6830">
        <v>12.885499705671</v>
      </c>
      <c r="AL6830">
        <v>87.296210872466304</v>
      </c>
      <c r="AM6830">
        <v>98.083790830293594</v>
      </c>
      <c r="AN6830">
        <v>1.0000000012252701</v>
      </c>
    </row>
    <row r="6831" spans="1:40" x14ac:dyDescent="0.25">
      <c r="A6831" t="str">
        <f>"20190312151156354"</f>
        <v>20190312151156354</v>
      </c>
      <c r="B6831" t="str">
        <f>"1552374716348076"</f>
        <v>1552374716348076</v>
      </c>
      <c r="C6831" t="s">
        <v>40</v>
      </c>
      <c r="D6831">
        <v>5.4585670000000004</v>
      </c>
      <c r="E6831">
        <v>0.49010559999999997</v>
      </c>
      <c r="F6831" t="s">
        <v>42</v>
      </c>
      <c r="G6831">
        <v>-187.4607</v>
      </c>
      <c r="H6831" s="1">
        <v>-1.081918E-6</v>
      </c>
      <c r="I6831">
        <v>-19.158049999999999</v>
      </c>
      <c r="J6831">
        <v>-186.90700000000001</v>
      </c>
      <c r="K6831">
        <v>1.1146579999999999</v>
      </c>
      <c r="L6831">
        <v>-32.200229999999998</v>
      </c>
      <c r="M6831">
        <v>0.12512490000000001</v>
      </c>
      <c r="N6831">
        <v>0</v>
      </c>
      <c r="O6831">
        <v>0.99207199999999995</v>
      </c>
      <c r="P6831">
        <v>-9.7067249999999994E-3</v>
      </c>
      <c r="Q6831">
        <v>3.809763E-2</v>
      </c>
      <c r="R6831">
        <v>0.99922690000000003</v>
      </c>
      <c r="S6831">
        <v>-0.11660769999999999</v>
      </c>
      <c r="T6831">
        <v>-0.25119469999999999</v>
      </c>
      <c r="U6831">
        <v>3.010529</v>
      </c>
      <c r="V6831">
        <v>-0.1352431</v>
      </c>
      <c r="W6831">
        <v>4.8090330000000001E-2</v>
      </c>
      <c r="X6831">
        <v>0.98964470000000004</v>
      </c>
      <c r="Y6831">
        <v>-0.1633068</v>
      </c>
      <c r="Z6831">
        <v>-8.1580940000000005E-2</v>
      </c>
      <c r="AA6831">
        <v>0.98319659999999998</v>
      </c>
      <c r="AB6831">
        <v>31</v>
      </c>
      <c r="AC6831">
        <v>-0.55369999999999198</v>
      </c>
      <c r="AD6831">
        <v>-1.114659081918</v>
      </c>
      <c r="AE6831">
        <v>13.042179999999901</v>
      </c>
      <c r="AF6831">
        <v>-2.1655713500651901</v>
      </c>
      <c r="AG6831">
        <v>-1.114659081918</v>
      </c>
      <c r="AH6831">
        <v>12.7772191558582</v>
      </c>
      <c r="AI6831">
        <v>94.915989910184095</v>
      </c>
      <c r="AJ6831">
        <v>99.619470552180104</v>
      </c>
      <c r="AK6831">
        <v>13.0072861696034</v>
      </c>
      <c r="AL6831">
        <v>87.2435639108365</v>
      </c>
      <c r="AM6831">
        <v>97.781736597185301</v>
      </c>
      <c r="AN6831">
        <v>1.0000000040876</v>
      </c>
    </row>
    <row r="6832" spans="1:40" x14ac:dyDescent="0.25">
      <c r="A6832" t="str">
        <f>"20190312151156379"</f>
        <v>20190312151156379</v>
      </c>
      <c r="B6832" t="str">
        <f>"1552374716367596"</f>
        <v>1552374716367596</v>
      </c>
      <c r="C6832" t="s">
        <v>40</v>
      </c>
      <c r="D6832">
        <v>5.336506</v>
      </c>
      <c r="E6832">
        <v>0.49019990000000002</v>
      </c>
      <c r="F6832" t="s">
        <v>42</v>
      </c>
      <c r="G6832">
        <v>-187.43960000000001</v>
      </c>
      <c r="H6832" s="1">
        <v>-1.2872360000000001E-6</v>
      </c>
      <c r="I6832">
        <v>-18.57122</v>
      </c>
      <c r="J6832">
        <v>-186.87119999999999</v>
      </c>
      <c r="K6832">
        <v>1.1143879999999999</v>
      </c>
      <c r="L6832">
        <v>-31.870640000000002</v>
      </c>
      <c r="M6832">
        <v>0.11956749999999999</v>
      </c>
      <c r="N6832">
        <v>0</v>
      </c>
      <c r="O6832">
        <v>0.99275760000000002</v>
      </c>
      <c r="P6832">
        <v>-1.033033E-2</v>
      </c>
      <c r="Q6832">
        <v>3.8093040000000002E-2</v>
      </c>
      <c r="R6832">
        <v>0.99922080000000002</v>
      </c>
      <c r="S6832">
        <v>-0.1176605</v>
      </c>
      <c r="T6832">
        <v>-0.24622089999999999</v>
      </c>
      <c r="U6832">
        <v>3.0105590000000002</v>
      </c>
      <c r="V6832">
        <v>-0.13028339999999999</v>
      </c>
      <c r="W6832">
        <v>4.8199869999999999E-2</v>
      </c>
      <c r="X6832">
        <v>0.99030450000000003</v>
      </c>
      <c r="Y6832">
        <v>-0.15812809999999999</v>
      </c>
      <c r="Z6832">
        <v>-8.0093159999999997E-2</v>
      </c>
      <c r="AA6832">
        <v>0.98416490000000001</v>
      </c>
      <c r="AB6832">
        <v>31</v>
      </c>
      <c r="AC6832">
        <v>-0.568400000000025</v>
      </c>
      <c r="AD6832">
        <v>-1.1143892872359999</v>
      </c>
      <c r="AE6832">
        <v>13.29942</v>
      </c>
      <c r="AF6832">
        <v>-2.1396131349115799</v>
      </c>
      <c r="AG6832">
        <v>-1.1143892872359999</v>
      </c>
      <c r="AH6832">
        <v>13.044609919203801</v>
      </c>
      <c r="AI6832">
        <v>94.818789713003099</v>
      </c>
      <c r="AJ6832">
        <v>99.314869711852097</v>
      </c>
      <c r="AK6832">
        <v>13.265807770158</v>
      </c>
      <c r="AL6832">
        <v>87.237280425664096</v>
      </c>
      <c r="AM6832">
        <v>97.494730222227801</v>
      </c>
      <c r="AN6832">
        <v>0.99999999725191302</v>
      </c>
    </row>
    <row r="6833" spans="1:40" x14ac:dyDescent="0.25">
      <c r="A6833" t="str">
        <f>"20190312151156399"</f>
        <v>20190312151156399</v>
      </c>
      <c r="B6833" t="str">
        <f>"1552374716388092"</f>
        <v>1552374716388092</v>
      </c>
      <c r="C6833" t="s">
        <v>40</v>
      </c>
      <c r="D6833">
        <v>5.3244249999999997</v>
      </c>
      <c r="E6833">
        <v>0.49038860000000001</v>
      </c>
      <c r="F6833" t="s">
        <v>42</v>
      </c>
      <c r="G6833">
        <v>-187.4102</v>
      </c>
      <c r="H6833" s="1">
        <v>-1.4375499999999999E-6</v>
      </c>
      <c r="I6833">
        <v>-18.15249</v>
      </c>
      <c r="J6833">
        <v>-186.84030000000001</v>
      </c>
      <c r="K6833">
        <v>1.1141369999999999</v>
      </c>
      <c r="L6833">
        <v>-31.573239999999998</v>
      </c>
      <c r="M6833">
        <v>0.1148752</v>
      </c>
      <c r="N6833">
        <v>0</v>
      </c>
      <c r="O6833">
        <v>0.99331179999999997</v>
      </c>
      <c r="P6833">
        <v>-1.013142E-2</v>
      </c>
      <c r="Q6833">
        <v>3.7153749999999999E-2</v>
      </c>
      <c r="R6833">
        <v>0.99925819999999999</v>
      </c>
      <c r="S6833">
        <v>-0.11828610000000001</v>
      </c>
      <c r="T6833">
        <v>-0.24455189999999999</v>
      </c>
      <c r="U6833">
        <v>3.010437</v>
      </c>
      <c r="V6833">
        <v>-0.1253677</v>
      </c>
      <c r="W6833">
        <v>4.7367310000000003E-2</v>
      </c>
      <c r="X6833">
        <v>0.99097900000000005</v>
      </c>
      <c r="Y6833">
        <v>-0.15366840000000001</v>
      </c>
      <c r="Z6833">
        <v>-7.965245E-2</v>
      </c>
      <c r="AA6833">
        <v>0.98490690000000003</v>
      </c>
      <c r="AB6833">
        <v>31</v>
      </c>
      <c r="AC6833">
        <v>-0.56989999999998897</v>
      </c>
      <c r="AD6833">
        <v>-1.1141384375499901</v>
      </c>
      <c r="AE6833">
        <v>13.42075</v>
      </c>
      <c r="AF6833">
        <v>-2.0935403732210802</v>
      </c>
      <c r="AG6833">
        <v>-1.1141384375499901</v>
      </c>
      <c r="AH6833">
        <v>13.1757800981351</v>
      </c>
      <c r="AI6833">
        <v>94.773804272071402</v>
      </c>
      <c r="AJ6833">
        <v>99.028427882907494</v>
      </c>
      <c r="AK6833">
        <v>13.387508989604701</v>
      </c>
      <c r="AL6833">
        <v>87.285037297589795</v>
      </c>
      <c r="AM6833">
        <v>97.210126120596001</v>
      </c>
      <c r="AN6833">
        <v>1.00000005035046</v>
      </c>
    </row>
    <row r="6834" spans="1:40" x14ac:dyDescent="0.25">
      <c r="A6834" t="str">
        <f>"20190312151156421"</f>
        <v>20190312151156421</v>
      </c>
      <c r="B6834" t="str">
        <f>"1552374716418348"</f>
        <v>1552374716418348</v>
      </c>
      <c r="C6834" t="s">
        <v>40</v>
      </c>
      <c r="D6834">
        <v>5.2991599999999996</v>
      </c>
      <c r="E6834">
        <v>0.49034519999999998</v>
      </c>
      <c r="F6834" t="s">
        <v>42</v>
      </c>
      <c r="G6834">
        <v>-187.35589999999999</v>
      </c>
      <c r="H6834" s="1">
        <v>-1.4318030000000001E-6</v>
      </c>
      <c r="I6834">
        <v>-18.211829999999999</v>
      </c>
      <c r="J6834">
        <v>-186.81139999999999</v>
      </c>
      <c r="K6834">
        <v>1.1139220000000001</v>
      </c>
      <c r="L6834">
        <v>-31.284030000000001</v>
      </c>
      <c r="M6834">
        <v>0.11053250000000001</v>
      </c>
      <c r="N6834">
        <v>0</v>
      </c>
      <c r="O6834">
        <v>0.99380480000000004</v>
      </c>
      <c r="P6834">
        <v>-9.7513270000000006E-3</v>
      </c>
      <c r="Q6834">
        <v>3.6722159999999997E-2</v>
      </c>
      <c r="R6834">
        <v>0.99927790000000005</v>
      </c>
      <c r="S6834">
        <v>-0.1161652</v>
      </c>
      <c r="T6834">
        <v>-0.25101960000000001</v>
      </c>
      <c r="U6834">
        <v>3.0103759999999999</v>
      </c>
      <c r="V6834">
        <v>-0.12062829999999999</v>
      </c>
      <c r="W6834">
        <v>4.702866E-2</v>
      </c>
      <c r="X6834">
        <v>0.9915832</v>
      </c>
      <c r="Y6834">
        <v>-0.14864869999999999</v>
      </c>
      <c r="Z6834">
        <v>-8.1840750000000004E-2</v>
      </c>
      <c r="AA6834">
        <v>0.98549770000000003</v>
      </c>
      <c r="AB6834">
        <v>31</v>
      </c>
      <c r="AC6834">
        <v>-0.54449999999999898</v>
      </c>
      <c r="AD6834">
        <v>-1.11392343180299</v>
      </c>
      <c r="AE6834">
        <v>13.0722</v>
      </c>
      <c r="AF6834">
        <v>-1.97186981552597</v>
      </c>
      <c r="AG6834">
        <v>-1.11392343180299</v>
      </c>
      <c r="AH6834">
        <v>12.838835476146601</v>
      </c>
      <c r="AI6834">
        <v>94.901492415266404</v>
      </c>
      <c r="AJ6834">
        <v>98.731619931500902</v>
      </c>
      <c r="AK6834">
        <v>13.037054589318201</v>
      </c>
      <c r="AL6834">
        <v>87.304462192014697</v>
      </c>
      <c r="AM6834">
        <v>96.936076635432201</v>
      </c>
      <c r="AN6834">
        <v>1.00000006207226</v>
      </c>
    </row>
    <row r="6835" spans="1:40" x14ac:dyDescent="0.25">
      <c r="A6835" t="str">
        <f>"20190312151156442"</f>
        <v>20190312151156442</v>
      </c>
      <c r="B6835" t="str">
        <f>"1552374716437868"</f>
        <v>1552374716437868</v>
      </c>
      <c r="C6835" t="s">
        <v>40</v>
      </c>
      <c r="D6835">
        <v>5.3377280000000003</v>
      </c>
      <c r="E6835">
        <v>0.49057410000000001</v>
      </c>
      <c r="F6835" t="s">
        <v>42</v>
      </c>
      <c r="G6835">
        <v>-187.31890000000001</v>
      </c>
      <c r="H6835" s="1">
        <v>-1.4998330000000001E-6</v>
      </c>
      <c r="I6835">
        <v>-18.040890000000001</v>
      </c>
      <c r="J6835">
        <v>-186.78229999999999</v>
      </c>
      <c r="K6835">
        <v>1.1137239999999999</v>
      </c>
      <c r="L6835">
        <v>-30.981660000000002</v>
      </c>
      <c r="M6835">
        <v>0.106227</v>
      </c>
      <c r="N6835">
        <v>0</v>
      </c>
      <c r="O6835">
        <v>0.99427449999999995</v>
      </c>
      <c r="P6835">
        <v>-9.1759760000000006E-3</v>
      </c>
      <c r="Q6835">
        <v>3.6587559999999998E-2</v>
      </c>
      <c r="R6835">
        <v>0.99928830000000002</v>
      </c>
      <c r="S6835">
        <v>-0.115356399999999</v>
      </c>
      <c r="T6835">
        <v>-0.25321009999999999</v>
      </c>
      <c r="U6835">
        <v>3.010345</v>
      </c>
      <c r="V6835">
        <v>-0.1157348</v>
      </c>
      <c r="W6835">
        <v>4.6979600000000003E-2</v>
      </c>
      <c r="X6835">
        <v>0.99216850000000001</v>
      </c>
      <c r="Y6835">
        <v>-0.1440977</v>
      </c>
      <c r="Z6835">
        <v>-8.2638409999999995E-2</v>
      </c>
      <c r="AA6835">
        <v>0.98610690000000001</v>
      </c>
      <c r="AB6835">
        <v>31</v>
      </c>
      <c r="AC6835">
        <v>-0.53660000000002095</v>
      </c>
      <c r="AD6835">
        <v>-1.113725499833</v>
      </c>
      <c r="AE6835">
        <v>12.940769999999899</v>
      </c>
      <c r="AF6835">
        <v>-1.8943079209318801</v>
      </c>
      <c r="AG6835">
        <v>-1.113725499833</v>
      </c>
      <c r="AH6835">
        <v>12.7165066890033</v>
      </c>
      <c r="AI6835">
        <v>94.950901426793394</v>
      </c>
      <c r="AJ6835">
        <v>98.472731963793095</v>
      </c>
      <c r="AK6835">
        <v>12.9049730476181</v>
      </c>
      <c r="AL6835">
        <v>87.307276010836404</v>
      </c>
      <c r="AM6835">
        <v>96.653388617758395</v>
      </c>
      <c r="AN6835">
        <v>0.99999997956972397</v>
      </c>
    </row>
    <row r="6836" spans="1:40" x14ac:dyDescent="0.25">
      <c r="A6836" t="str">
        <f>"20190312151156466"</f>
        <v>20190312151156466</v>
      </c>
      <c r="B6836" t="str">
        <f>"1552374716458364"</f>
        <v>1552374716458364</v>
      </c>
      <c r="C6836" t="s">
        <v>40</v>
      </c>
      <c r="D6836">
        <v>5.292122</v>
      </c>
      <c r="E6836">
        <v>0.49070659999999999</v>
      </c>
      <c r="F6836" t="s">
        <v>42</v>
      </c>
      <c r="G6836">
        <v>-187.27080000000001</v>
      </c>
      <c r="H6836" s="1">
        <v>-1.5701809999999999E-6</v>
      </c>
      <c r="I6836">
        <v>-17.871729999999999</v>
      </c>
      <c r="J6836">
        <v>-186.7535</v>
      </c>
      <c r="K6836">
        <v>1.1135299999999999</v>
      </c>
      <c r="L6836">
        <v>-30.671050000000001</v>
      </c>
      <c r="M6836">
        <v>0.1020509</v>
      </c>
      <c r="N6836">
        <v>0</v>
      </c>
      <c r="O6836">
        <v>0.99471209999999999</v>
      </c>
      <c r="P6836">
        <v>-8.8616069999999901E-3</v>
      </c>
      <c r="Q6836">
        <v>3.6015079999999998E-2</v>
      </c>
      <c r="R6836">
        <v>0.99931199999999998</v>
      </c>
      <c r="S6836">
        <v>-0.11218259999999999</v>
      </c>
      <c r="T6836">
        <v>-0.25574770000000002</v>
      </c>
      <c r="U6836">
        <v>3.0104679999999999</v>
      </c>
      <c r="V6836">
        <v>-0.11122799999999999</v>
      </c>
      <c r="W6836">
        <v>4.6482799999999998E-2</v>
      </c>
      <c r="X6836">
        <v>0.99270729999999996</v>
      </c>
      <c r="Y6836">
        <v>-0.1388981</v>
      </c>
      <c r="Z6836">
        <v>-8.3545969999999997E-2</v>
      </c>
      <c r="AA6836">
        <v>0.98677619999999999</v>
      </c>
      <c r="AB6836">
        <v>31</v>
      </c>
      <c r="AC6836">
        <v>-0.51730000000000498</v>
      </c>
      <c r="AD6836">
        <v>-1.113531570181</v>
      </c>
      <c r="AE6836">
        <v>12.79932</v>
      </c>
      <c r="AF6836">
        <v>-1.80721194555642</v>
      </c>
      <c r="AG6836">
        <v>-1.113531570181</v>
      </c>
      <c r="AH6836">
        <v>12.5845977400643</v>
      </c>
      <c r="AI6836">
        <v>95.005488147432501</v>
      </c>
      <c r="AJ6836">
        <v>98.172093538449801</v>
      </c>
      <c r="AK6836">
        <v>12.7623692100324</v>
      </c>
      <c r="AL6836">
        <v>87.335771877130398</v>
      </c>
      <c r="AM6836">
        <v>96.393047973099399</v>
      </c>
      <c r="AN6836">
        <v>1.0000000510765601</v>
      </c>
    </row>
    <row r="6837" spans="1:40" x14ac:dyDescent="0.25">
      <c r="A6837" t="str">
        <f>"20190312151156487"</f>
        <v>20190312151156487</v>
      </c>
      <c r="B6837" t="str">
        <f>"1552374716477885"</f>
        <v>1552374716477885</v>
      </c>
      <c r="C6837" t="s">
        <v>40</v>
      </c>
      <c r="D6837">
        <v>5.3684960000000004</v>
      </c>
      <c r="E6837">
        <v>0.50290559999999995</v>
      </c>
      <c r="F6837" t="s">
        <v>42</v>
      </c>
      <c r="G6837">
        <v>-187.2276</v>
      </c>
      <c r="H6837" s="1">
        <v>-1.63204E-6</v>
      </c>
      <c r="I6837">
        <v>-17.723790000000001</v>
      </c>
      <c r="J6837">
        <v>-186.72669999999999</v>
      </c>
      <c r="K6837">
        <v>1.1133390000000001</v>
      </c>
      <c r="L6837">
        <v>-30.370270000000001</v>
      </c>
      <c r="M6837">
        <v>9.8236749999999998E-2</v>
      </c>
      <c r="N6837">
        <v>0</v>
      </c>
      <c r="O6837">
        <v>0.99509630000000004</v>
      </c>
      <c r="P6837">
        <v>-8.4712199999999998E-3</v>
      </c>
      <c r="Q6837">
        <v>3.5807800000000001E-2</v>
      </c>
      <c r="R6837">
        <v>0.99932279999999996</v>
      </c>
      <c r="S6837">
        <v>-0.1102142</v>
      </c>
      <c r="T6837">
        <v>-0.25891069999999999</v>
      </c>
      <c r="U6837">
        <v>3.0104060000000001</v>
      </c>
      <c r="V6837">
        <v>-0.1070096</v>
      </c>
      <c r="W6837">
        <v>4.6343710000000003E-2</v>
      </c>
      <c r="X6837">
        <v>0.99317739999999999</v>
      </c>
      <c r="Y6837">
        <v>-0.1344535</v>
      </c>
      <c r="Z6837">
        <v>-8.4650030000000001E-2</v>
      </c>
      <c r="AA6837">
        <v>0.98729769999999994</v>
      </c>
      <c r="AB6837">
        <v>31</v>
      </c>
      <c r="AC6837">
        <v>-0.50090000000000101</v>
      </c>
      <c r="AD6837">
        <v>-1.1133406320399999</v>
      </c>
      <c r="AE6837">
        <v>12.64648</v>
      </c>
      <c r="AF6837">
        <v>-1.7275405799851999</v>
      </c>
      <c r="AG6837">
        <v>-1.1133406320399999</v>
      </c>
      <c r="AH6837">
        <v>12.439830660042899</v>
      </c>
      <c r="AI6837">
        <v>95.065876221203595</v>
      </c>
      <c r="AJ6837">
        <v>97.906197159348295</v>
      </c>
      <c r="AK6837">
        <v>12.608461867689901</v>
      </c>
      <c r="AL6837">
        <v>87.343749796975501</v>
      </c>
      <c r="AM6837">
        <v>96.149593028304693</v>
      </c>
      <c r="AN6837">
        <v>1.0000000709097301</v>
      </c>
    </row>
    <row r="6838" spans="1:40" x14ac:dyDescent="0.25">
      <c r="A6838" t="str">
        <f>"20190312151156510"</f>
        <v>20190312151156510</v>
      </c>
      <c r="B6838" t="str">
        <f>"1552374716498380"</f>
        <v>1552374716498380</v>
      </c>
      <c r="C6838" t="s">
        <v>40</v>
      </c>
      <c r="D6838">
        <v>5.3417070000000004</v>
      </c>
      <c r="E6838">
        <v>0.50449630000000001</v>
      </c>
      <c r="F6838" t="s">
        <v>42</v>
      </c>
      <c r="G6838">
        <v>-186.78049999999999</v>
      </c>
      <c r="H6838" s="1">
        <v>-2.9277240000000002E-6</v>
      </c>
      <c r="I6838">
        <v>-14.87384</v>
      </c>
      <c r="J6838">
        <v>-186.7</v>
      </c>
      <c r="K6838">
        <v>1.1131390000000001</v>
      </c>
      <c r="L6838">
        <v>-30.05951</v>
      </c>
      <c r="M6838">
        <v>9.4522159999999994E-2</v>
      </c>
      <c r="N6838">
        <v>0</v>
      </c>
      <c r="O6838">
        <v>0.99545629999999996</v>
      </c>
      <c r="P6838">
        <v>-7.5829360000000002E-3</v>
      </c>
      <c r="Q6838">
        <v>3.5022940000000002E-2</v>
      </c>
      <c r="R6838">
        <v>0.99935779999999996</v>
      </c>
      <c r="S6838">
        <v>-1.043701E-2</v>
      </c>
      <c r="T6838">
        <v>-0.21623029999999999</v>
      </c>
      <c r="U6838">
        <v>3.009674</v>
      </c>
      <c r="V6838">
        <v>-0.1023906</v>
      </c>
      <c r="W6838">
        <v>4.5630160000000003E-2</v>
      </c>
      <c r="X6838">
        <v>0.99369719999999995</v>
      </c>
      <c r="Y6838">
        <v>-9.7970749999999995E-2</v>
      </c>
      <c r="Z6838">
        <v>-7.1006840000000002E-2</v>
      </c>
      <c r="AA6838">
        <v>0.99265289999999995</v>
      </c>
      <c r="AB6838">
        <v>31</v>
      </c>
      <c r="AC6838">
        <v>-8.0500000000000599E-2</v>
      </c>
      <c r="AD6838">
        <v>-1.11314192772399</v>
      </c>
      <c r="AE6838">
        <v>15.185669999999901</v>
      </c>
      <c r="AF6838">
        <v>-1.50751687011707</v>
      </c>
      <c r="AG6838">
        <v>-1.11314192772399</v>
      </c>
      <c r="AH6838">
        <v>15.0293082824702</v>
      </c>
      <c r="AI6838">
        <v>94.214790453632304</v>
      </c>
      <c r="AJ6838">
        <v>95.727902742096603</v>
      </c>
      <c r="AK6838">
        <v>15.145685838365701</v>
      </c>
      <c r="AL6838">
        <v>87.384676405495895</v>
      </c>
      <c r="AM6838">
        <v>95.882997660506604</v>
      </c>
      <c r="AN6838">
        <v>1.0000000358789101</v>
      </c>
    </row>
    <row r="6839" spans="1:40" x14ac:dyDescent="0.25">
      <c r="A6839" t="str">
        <f>"20190312151156531"</f>
        <v>20190312151156531</v>
      </c>
      <c r="B6839" t="str">
        <f>"1552374716527660"</f>
        <v>1552374716527660</v>
      </c>
      <c r="C6839" t="s">
        <v>40</v>
      </c>
      <c r="D6839">
        <v>5.2870559999999998</v>
      </c>
      <c r="E6839">
        <v>0.50595809999999997</v>
      </c>
      <c r="F6839" t="s">
        <v>42</v>
      </c>
      <c r="G6839">
        <v>-186.67160000000001</v>
      </c>
      <c r="H6839" s="1">
        <v>-3.3106230000000001E-6</v>
      </c>
      <c r="I6839">
        <v>-14.026300000000001</v>
      </c>
      <c r="J6839">
        <v>-186.6754</v>
      </c>
      <c r="K6839">
        <v>1.1129500000000001</v>
      </c>
      <c r="L6839">
        <v>-29.762789999999999</v>
      </c>
      <c r="M6839">
        <v>9.1182079999999999E-2</v>
      </c>
      <c r="N6839">
        <v>0</v>
      </c>
      <c r="O6839">
        <v>0.99576799999999999</v>
      </c>
      <c r="P6839">
        <v>-6.4457330000000004E-3</v>
      </c>
      <c r="Q6839">
        <v>3.4481650000000003E-2</v>
      </c>
      <c r="R6839">
        <v>0.99938450000000001</v>
      </c>
      <c r="S6839">
        <v>5.3253170000000004E-3</v>
      </c>
      <c r="T6839">
        <v>-0.208926</v>
      </c>
      <c r="U6839">
        <v>3.009277</v>
      </c>
      <c r="V6839">
        <v>-9.7899710000000001E-2</v>
      </c>
      <c r="W6839">
        <v>4.5155729999999998E-2</v>
      </c>
      <c r="X6839">
        <v>0.99417129999999998</v>
      </c>
      <c r="Y6839">
        <v>-8.9429469999999997E-2</v>
      </c>
      <c r="Z6839">
        <v>-6.8689280000000005E-2</v>
      </c>
      <c r="AA6839">
        <v>0.99362169999999905</v>
      </c>
      <c r="AB6839">
        <v>31</v>
      </c>
      <c r="AC6839">
        <v>3.7999999999840301E-3</v>
      </c>
      <c r="AD6839">
        <v>-1.1129533106230001</v>
      </c>
      <c r="AE6839">
        <v>15.73649</v>
      </c>
      <c r="AF6839">
        <v>-1.4240732522372299</v>
      </c>
      <c r="AG6839">
        <v>-1.1129533106230001</v>
      </c>
      <c r="AH6839">
        <v>15.5932767937704</v>
      </c>
      <c r="AI6839">
        <v>94.065639091460596</v>
      </c>
      <c r="AJ6839">
        <v>95.218125384667303</v>
      </c>
      <c r="AK6839">
        <v>15.6976727850501</v>
      </c>
      <c r="AL6839">
        <v>87.411887154418196</v>
      </c>
      <c r="AM6839">
        <v>95.623994482694798</v>
      </c>
      <c r="AN6839">
        <v>0.99999998345680297</v>
      </c>
    </row>
    <row r="6840" spans="1:40" x14ac:dyDescent="0.25">
      <c r="A6840" t="str">
        <f>"20190312151156554"</f>
        <v>20190312151156554</v>
      </c>
      <c r="B6840" t="str">
        <f>"1552374716548157"</f>
        <v>1552374716548157</v>
      </c>
      <c r="C6840" t="s">
        <v>40</v>
      </c>
      <c r="D6840">
        <v>5.2782809999999998</v>
      </c>
      <c r="E6840">
        <v>0.50677559999999999</v>
      </c>
      <c r="F6840" t="s">
        <v>42</v>
      </c>
      <c r="G6840">
        <v>-186.5549</v>
      </c>
      <c r="H6840" s="1">
        <v>-3.9804150000000002E-6</v>
      </c>
      <c r="I6840">
        <v>-12.513260000000001</v>
      </c>
      <c r="J6840">
        <v>-186.65</v>
      </c>
      <c r="K6840">
        <v>1.1127530000000001</v>
      </c>
      <c r="L6840">
        <v>-29.447510000000001</v>
      </c>
      <c r="M6840">
        <v>8.7843879999999999E-2</v>
      </c>
      <c r="N6840">
        <v>0</v>
      </c>
      <c r="O6840">
        <v>0.99606819999999896</v>
      </c>
      <c r="P6840">
        <v>-5.2886039999999997E-3</v>
      </c>
      <c r="Q6840">
        <v>3.4277729999999999E-2</v>
      </c>
      <c r="R6840">
        <v>0.99939840000000002</v>
      </c>
      <c r="S6840">
        <v>2.1011350000000002E-2</v>
      </c>
      <c r="T6840">
        <v>-0.19412360000000001</v>
      </c>
      <c r="U6840">
        <v>3.0086979999999999</v>
      </c>
      <c r="V6840">
        <v>-9.3391050000000003E-2</v>
      </c>
      <c r="W6840">
        <v>4.5016639999999997E-2</v>
      </c>
      <c r="X6840">
        <v>0.99461129999999998</v>
      </c>
      <c r="Y6840">
        <v>-8.0905179999999993E-2</v>
      </c>
      <c r="Z6840">
        <v>-6.3907549999999994E-2</v>
      </c>
      <c r="AA6840">
        <v>0.99467090000000002</v>
      </c>
      <c r="AB6840">
        <v>31</v>
      </c>
      <c r="AC6840">
        <v>9.51000000000021E-2</v>
      </c>
      <c r="AD6840">
        <v>-1.1127569804149999</v>
      </c>
      <c r="AE6840">
        <v>16.934249999999999</v>
      </c>
      <c r="AF6840">
        <v>-1.3869473350519901</v>
      </c>
      <c r="AG6840">
        <v>-1.1127569804149999</v>
      </c>
      <c r="AH6840">
        <v>16.804574826938101</v>
      </c>
      <c r="AI6840">
        <v>93.775652314110005</v>
      </c>
      <c r="AJ6840">
        <v>94.718151227033601</v>
      </c>
      <c r="AK6840">
        <v>16.898390045262701</v>
      </c>
      <c r="AL6840">
        <v>87.419864610655495</v>
      </c>
      <c r="AM6840">
        <v>95.364175898484703</v>
      </c>
      <c r="AN6840">
        <v>1.00000001209234</v>
      </c>
    </row>
    <row r="6841" spans="1:40" x14ac:dyDescent="0.25">
      <c r="A6841" t="str">
        <f>"20190312151156579"</f>
        <v>20190312151156579</v>
      </c>
      <c r="B6841" t="str">
        <f>"1552374716568267"</f>
        <v>1552374716568267</v>
      </c>
      <c r="C6841" t="s">
        <v>40</v>
      </c>
      <c r="D6841">
        <v>5.2742170000000002</v>
      </c>
      <c r="E6841">
        <v>0.50701890000000005</v>
      </c>
      <c r="F6841" t="s">
        <v>42</v>
      </c>
      <c r="G6841">
        <v>-186.4717</v>
      </c>
      <c r="H6841" s="1">
        <v>-4.1051909999999996E-6</v>
      </c>
      <c r="I6841">
        <v>-12.256830000000001</v>
      </c>
      <c r="J6841">
        <v>-186.62469999999999</v>
      </c>
      <c r="K6841">
        <v>1.1125609999999999</v>
      </c>
      <c r="L6841">
        <v>-29.122160000000001</v>
      </c>
      <c r="M6841">
        <v>8.4613839999999996E-2</v>
      </c>
      <c r="N6841">
        <v>0</v>
      </c>
      <c r="O6841">
        <v>0.99634800000000001</v>
      </c>
      <c r="P6841">
        <v>-1.8402679999999999E-3</v>
      </c>
      <c r="Q6841">
        <v>3.3816279999999997E-2</v>
      </c>
      <c r="R6841">
        <v>0.99942640000000005</v>
      </c>
      <c r="S6841">
        <v>3.1219480000000001E-2</v>
      </c>
      <c r="T6841">
        <v>-0.1947498</v>
      </c>
      <c r="U6841">
        <v>3.0086360000000001</v>
      </c>
      <c r="V6841">
        <v>-8.6706130000000006E-2</v>
      </c>
      <c r="W6841">
        <v>4.4632209999999999E-2</v>
      </c>
      <c r="X6841">
        <v>0.9952337</v>
      </c>
      <c r="Y6841">
        <v>-7.4297189999999999E-2</v>
      </c>
      <c r="Z6841">
        <v>-6.4156900000000003E-2</v>
      </c>
      <c r="AA6841">
        <v>0.9951702</v>
      </c>
      <c r="AB6841">
        <v>31</v>
      </c>
      <c r="AC6841">
        <v>0.152999999999991</v>
      </c>
      <c r="AD6841">
        <v>-1.1125651051909999</v>
      </c>
      <c r="AE6841">
        <v>16.865329999999901</v>
      </c>
      <c r="AF6841">
        <v>-1.26916010926245</v>
      </c>
      <c r="AG6841">
        <v>-1.1125651051909999</v>
      </c>
      <c r="AH6841">
        <v>16.744923425603801</v>
      </c>
      <c r="AI6841">
        <v>93.790415453792406</v>
      </c>
      <c r="AJ6841">
        <v>94.334373316551094</v>
      </c>
      <c r="AK6841">
        <v>16.829766160751198</v>
      </c>
      <c r="AL6841">
        <v>87.441913091435595</v>
      </c>
      <c r="AM6841">
        <v>94.979115197936395</v>
      </c>
      <c r="AN6841">
        <v>1.00000005238237</v>
      </c>
    </row>
    <row r="6842" spans="1:40" x14ac:dyDescent="0.25">
      <c r="A6842" t="str">
        <f>"20190312151156610"</f>
        <v>20190312151156610</v>
      </c>
      <c r="B6842" t="str">
        <f>"1552374716608283"</f>
        <v>1552374716608283</v>
      </c>
      <c r="C6842" t="s">
        <v>40</v>
      </c>
      <c r="D6842">
        <v>5.2789419999999998</v>
      </c>
      <c r="E6842">
        <v>0.50750119999999999</v>
      </c>
      <c r="F6842" t="s">
        <v>42</v>
      </c>
      <c r="G6842">
        <v>-186.3742</v>
      </c>
      <c r="H6842" s="1">
        <v>-4.2994730000000004E-6</v>
      </c>
      <c r="I6842">
        <v>-11.84426</v>
      </c>
      <c r="J6842">
        <v>-186.5915</v>
      </c>
      <c r="K6842">
        <v>1.1123510000000001</v>
      </c>
      <c r="L6842">
        <v>-28.67502</v>
      </c>
      <c r="M6842">
        <v>8.051738E-2</v>
      </c>
      <c r="N6842">
        <v>0</v>
      </c>
      <c r="O6842">
        <v>0.99668769999999995</v>
      </c>
      <c r="P6842">
        <v>1.026187E-3</v>
      </c>
      <c r="Q6842">
        <v>3.3290550000000002E-2</v>
      </c>
      <c r="R6842">
        <v>0.99944520000000003</v>
      </c>
      <c r="S6842">
        <v>4.3624879999999998E-2</v>
      </c>
      <c r="T6842">
        <v>-0.19371559999999999</v>
      </c>
      <c r="U6842">
        <v>3.008362</v>
      </c>
      <c r="V6842">
        <v>-7.9730060000000005E-2</v>
      </c>
      <c r="W6842">
        <v>4.418014E-2</v>
      </c>
      <c r="X6842">
        <v>0.99583699999999997</v>
      </c>
      <c r="Y6842">
        <v>-6.6091090000000005E-2</v>
      </c>
      <c r="Z6842">
        <v>-6.3873020000000003E-2</v>
      </c>
      <c r="AA6842">
        <v>0.99576710000000002</v>
      </c>
      <c r="AB6842">
        <v>31</v>
      </c>
      <c r="AC6842">
        <v>0.217299999999994</v>
      </c>
      <c r="AD6842">
        <v>-1.1123552994729999</v>
      </c>
      <c r="AE6842">
        <v>16.830759999999898</v>
      </c>
      <c r="AF6842">
        <v>-1.13371161473486</v>
      </c>
      <c r="AG6842">
        <v>-1.1123552994729999</v>
      </c>
      <c r="AH6842">
        <v>16.720581573202999</v>
      </c>
      <c r="AI6842">
        <v>93.797364065769798</v>
      </c>
      <c r="AJ6842">
        <v>93.878909479968399</v>
      </c>
      <c r="AK6842">
        <v>16.795847239236998</v>
      </c>
      <c r="AL6842">
        <v>87.467840360250605</v>
      </c>
      <c r="AM6842">
        <v>94.577528631794294</v>
      </c>
      <c r="AN6842">
        <v>1.0000000489035099</v>
      </c>
    </row>
    <row r="6843" spans="1:40" x14ac:dyDescent="0.25">
      <c r="A6843" t="str">
        <f>"20190312151156632"</f>
        <v>20190312151156632</v>
      </c>
      <c r="B6843" t="str">
        <f>"1552374716627804"</f>
        <v>1552374716627804</v>
      </c>
      <c r="C6843" t="s">
        <v>40</v>
      </c>
      <c r="D6843">
        <v>5.2569689999999998</v>
      </c>
      <c r="E6843">
        <v>0.50734369999999995</v>
      </c>
      <c r="F6843" t="s">
        <v>42</v>
      </c>
      <c r="G6843">
        <v>-186.26689999999999</v>
      </c>
      <c r="H6843" s="1">
        <v>-4.5482599999999999E-6</v>
      </c>
      <c r="I6843">
        <v>-11.308680000000001</v>
      </c>
      <c r="J6843">
        <v>-186.56979999999999</v>
      </c>
      <c r="K6843">
        <v>1.112236</v>
      </c>
      <c r="L6843">
        <v>-28.37283</v>
      </c>
      <c r="M6843">
        <v>7.7890059999999997E-2</v>
      </c>
      <c r="N6843">
        <v>0</v>
      </c>
      <c r="O6843">
        <v>0.99689660000000002</v>
      </c>
      <c r="P6843">
        <v>2.5643020000000001E-3</v>
      </c>
      <c r="Q6843">
        <v>3.3303050000000001E-2</v>
      </c>
      <c r="R6843">
        <v>0.99944200000000005</v>
      </c>
      <c r="S6843">
        <v>5.621338E-2</v>
      </c>
      <c r="T6843">
        <v>-0.19267129999999999</v>
      </c>
      <c r="U6843">
        <v>3.0080260000000001</v>
      </c>
      <c r="V6843">
        <v>-7.5557609999999997E-2</v>
      </c>
      <c r="W6843">
        <v>4.423063E-2</v>
      </c>
      <c r="X6843">
        <v>0.99616000000000005</v>
      </c>
      <c r="Y6843">
        <v>-5.9291549999999998E-2</v>
      </c>
      <c r="Z6843">
        <v>-6.3568650000000004E-2</v>
      </c>
      <c r="AA6843">
        <v>0.99621459999999995</v>
      </c>
      <c r="AB6843">
        <v>31</v>
      </c>
      <c r="AC6843">
        <v>0.30289999999999301</v>
      </c>
      <c r="AD6843">
        <v>-1.11224054826</v>
      </c>
      <c r="AE6843">
        <v>17.064149999999898</v>
      </c>
      <c r="AF6843">
        <v>-1.0228903118956401</v>
      </c>
      <c r="AG6843">
        <v>-1.11224054826</v>
      </c>
      <c r="AH6843">
        <v>16.963849036561101</v>
      </c>
      <c r="AI6843">
        <v>93.744466534054197</v>
      </c>
      <c r="AJ6843">
        <v>93.450656896062497</v>
      </c>
      <c r="AK6843">
        <v>17.031017519884099</v>
      </c>
      <c r="AL6843">
        <v>87.464944600965694</v>
      </c>
      <c r="AM6843">
        <v>94.337514853589994</v>
      </c>
      <c r="AN6843">
        <v>1.0000000233295501</v>
      </c>
    </row>
    <row r="6844" spans="1:40" x14ac:dyDescent="0.25">
      <c r="A6844" t="str">
        <f>"20190312151156655"</f>
        <v>20190312151156655</v>
      </c>
      <c r="B6844" t="str">
        <f>"1552374716648300"</f>
        <v>1552374716648300</v>
      </c>
      <c r="C6844" t="s">
        <v>40</v>
      </c>
      <c r="D6844">
        <v>5.2604340000000001</v>
      </c>
      <c r="E6844">
        <v>0.50739570000000001</v>
      </c>
      <c r="F6844" t="s">
        <v>42</v>
      </c>
      <c r="G6844">
        <v>-186.22139999999999</v>
      </c>
      <c r="H6844" s="1">
        <v>-4.7785619999999997E-6</v>
      </c>
      <c r="I6844">
        <v>-10.790660000000001</v>
      </c>
      <c r="J6844">
        <v>-186.5478</v>
      </c>
      <c r="K6844">
        <v>1.1121449999999999</v>
      </c>
      <c r="L6844">
        <v>-28.054870000000001</v>
      </c>
      <c r="M6844">
        <v>7.5233560000000005E-2</v>
      </c>
      <c r="N6844">
        <v>0</v>
      </c>
      <c r="O6844">
        <v>0.99710080000000001</v>
      </c>
      <c r="P6844">
        <v>3.3227230000000001E-3</v>
      </c>
      <c r="Q6844">
        <v>3.4268939999999998E-2</v>
      </c>
      <c r="R6844">
        <v>0.99940709999999999</v>
      </c>
      <c r="S6844">
        <v>5.960083E-2</v>
      </c>
      <c r="T6844">
        <v>-0.19027669999999999</v>
      </c>
      <c r="U6844">
        <v>3.0078740000000002</v>
      </c>
      <c r="V6844">
        <v>-7.2137729999999997E-2</v>
      </c>
      <c r="W6844">
        <v>4.5224800000000002E-2</v>
      </c>
      <c r="X6844">
        <v>0.99636880000000005</v>
      </c>
      <c r="Y6844">
        <v>-5.5507899999999999E-2</v>
      </c>
      <c r="Z6844">
        <v>-6.2810439999999995E-2</v>
      </c>
      <c r="AA6844">
        <v>0.99648060000000005</v>
      </c>
      <c r="AB6844">
        <v>31</v>
      </c>
      <c r="AC6844">
        <v>0.32640000000000602</v>
      </c>
      <c r="AD6844">
        <v>-1.112149778562</v>
      </c>
      <c r="AE6844">
        <v>17.264209999999999</v>
      </c>
      <c r="AF6844">
        <v>-0.96943592580347704</v>
      </c>
      <c r="AG6844">
        <v>-1.112149778562</v>
      </c>
      <c r="AH6844">
        <v>17.168611824935301</v>
      </c>
      <c r="AI6844">
        <v>93.700454348672494</v>
      </c>
      <c r="AJ6844">
        <v>93.231808615657201</v>
      </c>
      <c r="AK6844">
        <v>17.231886580972599</v>
      </c>
      <c r="AL6844">
        <v>87.407925627284598</v>
      </c>
      <c r="AM6844">
        <v>94.141025140464293</v>
      </c>
      <c r="AN6844">
        <v>0.99999996011901504</v>
      </c>
    </row>
    <row r="6845" spans="1:40" x14ac:dyDescent="0.25">
      <c r="A6845" t="str">
        <f>"20190312151156678"</f>
        <v>20190312151156678</v>
      </c>
      <c r="B6845" t="str">
        <f>"1552374716667506"</f>
        <v>1552374716667506</v>
      </c>
      <c r="C6845" t="s">
        <v>40</v>
      </c>
      <c r="D6845">
        <v>5.2876310000000002</v>
      </c>
      <c r="E6845">
        <v>0.50750329999999999</v>
      </c>
      <c r="F6845" t="s">
        <v>42</v>
      </c>
      <c r="G6845">
        <v>-186.17310000000001</v>
      </c>
      <c r="H6845" s="1">
        <v>-1.129294E-6</v>
      </c>
      <c r="I6845">
        <v>-10.025600000000001</v>
      </c>
      <c r="J6845">
        <v>-186.52610000000001</v>
      </c>
      <c r="K6845">
        <v>1.1120669999999999</v>
      </c>
      <c r="L6845">
        <v>-27.730869999999999</v>
      </c>
      <c r="M6845">
        <v>7.2615499999999999E-2</v>
      </c>
      <c r="N6845">
        <v>0</v>
      </c>
      <c r="O6845">
        <v>0.99729500000000004</v>
      </c>
      <c r="P6845">
        <v>2.9555100000000002E-3</v>
      </c>
      <c r="Q6845">
        <v>3.516412E-2</v>
      </c>
      <c r="R6845">
        <v>0.99937719999999997</v>
      </c>
      <c r="S6845">
        <v>6.2515260000000003E-2</v>
      </c>
      <c r="T6845">
        <v>-0.1855463</v>
      </c>
      <c r="U6845">
        <v>3.0079349999999998</v>
      </c>
      <c r="V6845">
        <v>-6.9880239999999996E-2</v>
      </c>
      <c r="W6845">
        <v>4.6137940000000002E-2</v>
      </c>
      <c r="X6845">
        <v>0.99648789999999998</v>
      </c>
      <c r="Y6845">
        <v>-5.19195E-2</v>
      </c>
      <c r="Z6845">
        <v>-6.1276890000000001E-2</v>
      </c>
      <c r="AA6845">
        <v>0.99676949999999997</v>
      </c>
      <c r="AB6845">
        <v>31</v>
      </c>
      <c r="AC6845">
        <v>0.35300000000000797</v>
      </c>
      <c r="AD6845">
        <v>-1.112068129294</v>
      </c>
      <c r="AE6845">
        <v>17.705269999999999</v>
      </c>
      <c r="AF6845">
        <v>-0.93002485724767303</v>
      </c>
      <c r="AG6845">
        <v>-1.112068129294</v>
      </c>
      <c r="AH6845">
        <v>17.6146930649595</v>
      </c>
      <c r="AI6845">
        <v>93.607447757012594</v>
      </c>
      <c r="AJ6845">
        <v>93.022310229079494</v>
      </c>
      <c r="AK6845">
        <v>17.674248315898001</v>
      </c>
      <c r="AL6845">
        <v>87.355552107936802</v>
      </c>
      <c r="AM6845">
        <v>94.011387241373697</v>
      </c>
      <c r="AN6845">
        <v>1.00000004614815</v>
      </c>
    </row>
    <row r="6846" spans="1:40" x14ac:dyDescent="0.25">
      <c r="A6846" t="str">
        <f>"20190312151156699"</f>
        <v>20190312151156699</v>
      </c>
      <c r="B6846" t="str">
        <f>"1552374716687991"</f>
        <v>1552374716687991</v>
      </c>
      <c r="C6846" t="s">
        <v>40</v>
      </c>
      <c r="D6846">
        <v>5.2785260000000003</v>
      </c>
      <c r="E6846">
        <v>0.50742290000000001</v>
      </c>
      <c r="F6846" t="s">
        <v>42</v>
      </c>
      <c r="G6846">
        <v>-186.1447</v>
      </c>
      <c r="H6846" s="1">
        <v>-1.3572530000000001E-6</v>
      </c>
      <c r="I6846">
        <v>-9.3779339999999998</v>
      </c>
      <c r="J6846">
        <v>-186.50710000000001</v>
      </c>
      <c r="K6846">
        <v>1.112006</v>
      </c>
      <c r="L6846">
        <v>-27.436039999999998</v>
      </c>
      <c r="M6846">
        <v>7.0290859999999997E-2</v>
      </c>
      <c r="N6846">
        <v>0</v>
      </c>
      <c r="O6846">
        <v>0.99746159999999995</v>
      </c>
      <c r="P6846">
        <v>3.0869959999999998E-3</v>
      </c>
      <c r="Q6846">
        <v>3.6131370000000003E-2</v>
      </c>
      <c r="R6846">
        <v>0.99934230000000002</v>
      </c>
      <c r="S6846">
        <v>6.2515260000000003E-2</v>
      </c>
      <c r="T6846">
        <v>-0.1822705</v>
      </c>
      <c r="U6846">
        <v>3.0080870000000002</v>
      </c>
      <c r="V6846">
        <v>-6.7420339999999995E-2</v>
      </c>
      <c r="W6846">
        <v>4.7122020000000001E-2</v>
      </c>
      <c r="X6846">
        <v>0.99661120000000003</v>
      </c>
      <c r="Y6846">
        <v>-4.9591450000000002E-2</v>
      </c>
      <c r="Z6846">
        <v>-6.021468E-2</v>
      </c>
      <c r="AA6846">
        <v>0.99695279999999997</v>
      </c>
      <c r="AB6846">
        <v>31</v>
      </c>
      <c r="AC6846">
        <v>0.36240000000000799</v>
      </c>
      <c r="AD6846">
        <v>-1.112007357253</v>
      </c>
      <c r="AE6846">
        <v>18.058105999999999</v>
      </c>
      <c r="AF6846">
        <v>-0.90447013809863797</v>
      </c>
      <c r="AG6846">
        <v>-1.112007357253</v>
      </c>
      <c r="AH6846">
        <v>17.970791020742599</v>
      </c>
      <c r="AI6846">
        <v>93.536403008729195</v>
      </c>
      <c r="AJ6846">
        <v>92.881266089920601</v>
      </c>
      <c r="AK6846">
        <v>18.027866110677099</v>
      </c>
      <c r="AL6846">
        <v>87.299106779287698</v>
      </c>
      <c r="AM6846">
        <v>93.870139378834295</v>
      </c>
      <c r="AN6846">
        <v>0.99999993549001598</v>
      </c>
    </row>
    <row r="6847" spans="1:40" x14ac:dyDescent="0.25">
      <c r="A6847" t="str">
        <f>"20190312151156722"</f>
        <v>20190312151156722</v>
      </c>
      <c r="B6847" t="str">
        <f>"1552374716718247"</f>
        <v>1552374716718247</v>
      </c>
      <c r="C6847" t="s">
        <v>40</v>
      </c>
      <c r="D6847">
        <v>5.2837829999999997</v>
      </c>
      <c r="E6847">
        <v>0.50745549999999995</v>
      </c>
      <c r="F6847" t="s">
        <v>42</v>
      </c>
      <c r="G6847">
        <v>-186.12090000000001</v>
      </c>
      <c r="H6847" s="1">
        <v>-1.563074E-6</v>
      </c>
      <c r="I6847">
        <v>-8.7917159999999992</v>
      </c>
      <c r="J6847">
        <v>-186.48769999999999</v>
      </c>
      <c r="K6847">
        <v>1.111953</v>
      </c>
      <c r="L6847">
        <v>-27.1235</v>
      </c>
      <c r="M6847">
        <v>6.7861030000000003E-2</v>
      </c>
      <c r="N6847">
        <v>0</v>
      </c>
      <c r="O6847">
        <v>0.99762989999999996</v>
      </c>
      <c r="P6847">
        <v>2.6675029999999999E-3</v>
      </c>
      <c r="Q6847">
        <v>3.6628880000000003E-2</v>
      </c>
      <c r="R6847">
        <v>0.99932540000000003</v>
      </c>
      <c r="S6847">
        <v>6.231689E-2</v>
      </c>
      <c r="T6847">
        <v>-0.179423</v>
      </c>
      <c r="U6847">
        <v>3.00827</v>
      </c>
      <c r="V6847">
        <v>-6.5405580000000005E-2</v>
      </c>
      <c r="W6847">
        <v>4.7633090000000003E-2</v>
      </c>
      <c r="X6847">
        <v>0.99672119999999997</v>
      </c>
      <c r="Y6847">
        <v>-4.722432E-2</v>
      </c>
      <c r="Z6847">
        <v>-5.9292200000000003E-2</v>
      </c>
      <c r="AA6847">
        <v>0.99712299999999998</v>
      </c>
      <c r="AB6847">
        <v>31</v>
      </c>
      <c r="AC6847">
        <v>0.36679999999998297</v>
      </c>
      <c r="AD6847">
        <v>-1.111954563074</v>
      </c>
      <c r="AE6847">
        <v>18.331783999999999</v>
      </c>
      <c r="AF6847">
        <v>-0.87492213348986603</v>
      </c>
      <c r="AG6847">
        <v>-1.111954563074</v>
      </c>
      <c r="AH6847">
        <v>18.2473024823868</v>
      </c>
      <c r="AI6847">
        <v>93.4831876137373</v>
      </c>
      <c r="AJ6847">
        <v>92.745117125961002</v>
      </c>
      <c r="AK6847">
        <v>18.3020758269037</v>
      </c>
      <c r="AL6847">
        <v>87.269791814022696</v>
      </c>
      <c r="AM6847">
        <v>93.754408539134005</v>
      </c>
      <c r="AN6847">
        <v>0.99999997584376199</v>
      </c>
    </row>
    <row r="6848" spans="1:40" x14ac:dyDescent="0.25">
      <c r="A6848" t="str">
        <f>"20190312151156745"</f>
        <v>20190312151156745</v>
      </c>
      <c r="B6848" t="str">
        <f>"1552374716737768"</f>
        <v>1552374716737768</v>
      </c>
      <c r="C6848" t="s">
        <v>40</v>
      </c>
      <c r="D6848">
        <v>5.2969169999999997</v>
      </c>
      <c r="E6848">
        <v>0.50739429999999996</v>
      </c>
      <c r="F6848" t="s">
        <v>42</v>
      </c>
      <c r="G6848">
        <v>-186.10570000000001</v>
      </c>
      <c r="H6848" s="1">
        <v>-1.7325520000000001E-6</v>
      </c>
      <c r="I6848">
        <v>-8.3055539999999901</v>
      </c>
      <c r="J6848">
        <v>-186.46889999999999</v>
      </c>
      <c r="K6848">
        <v>1.1119159999999999</v>
      </c>
      <c r="L6848">
        <v>-26.809449999999998</v>
      </c>
      <c r="M6848">
        <v>6.5448309999999996E-2</v>
      </c>
      <c r="N6848">
        <v>0</v>
      </c>
      <c r="O6848">
        <v>0.99779119999999999</v>
      </c>
      <c r="P6848">
        <v>1.2643400000000001E-3</v>
      </c>
      <c r="Q6848">
        <v>3.667289E-2</v>
      </c>
      <c r="R6848">
        <v>0.99932650000000001</v>
      </c>
      <c r="S6848">
        <v>6.1065670000000002E-2</v>
      </c>
      <c r="T6848">
        <v>-0.17776620000000001</v>
      </c>
      <c r="U6848">
        <v>3.0083920000000002</v>
      </c>
      <c r="V6848">
        <v>-6.4389269999999998E-2</v>
      </c>
      <c r="W6848">
        <v>4.7681199999999903E-2</v>
      </c>
      <c r="X6848">
        <v>0.99678509999999998</v>
      </c>
      <c r="Y6848">
        <v>-4.5223399999999997E-2</v>
      </c>
      <c r="Z6848">
        <v>-5.8761460000000001E-2</v>
      </c>
      <c r="AA6848">
        <v>0.9972472</v>
      </c>
      <c r="AB6848">
        <v>31</v>
      </c>
      <c r="AC6848">
        <v>0.36319999999997699</v>
      </c>
      <c r="AD6848">
        <v>-1.111917732552</v>
      </c>
      <c r="AE6848">
        <v>18.503896000000001</v>
      </c>
      <c r="AF6848">
        <v>-0.84565338451850702</v>
      </c>
      <c r="AG6848">
        <v>-1.111917732552</v>
      </c>
      <c r="AH6848">
        <v>18.4214970515036</v>
      </c>
      <c r="AI6848">
        <v>93.450545511502696</v>
      </c>
      <c r="AJ6848">
        <v>92.628362801706999</v>
      </c>
      <c r="AK6848">
        <v>18.474388875122902</v>
      </c>
      <c r="AL6848">
        <v>87.267032258811099</v>
      </c>
      <c r="AM6848">
        <v>93.695997052343898</v>
      </c>
      <c r="AN6848">
        <v>1.00000000525329</v>
      </c>
    </row>
    <row r="6849" spans="1:40" x14ac:dyDescent="0.25">
      <c r="A6849" t="str">
        <f>"20190312151156767"</f>
        <v>20190312151156767</v>
      </c>
      <c r="B6849" t="str">
        <f>"1552374716758264"</f>
        <v>1552374716758264</v>
      </c>
      <c r="C6849" t="s">
        <v>40</v>
      </c>
      <c r="D6849">
        <v>5.2926229999999999</v>
      </c>
      <c r="E6849">
        <v>0.50730989999999998</v>
      </c>
      <c r="F6849" t="s">
        <v>42</v>
      </c>
      <c r="G6849">
        <v>-186.11859999999999</v>
      </c>
      <c r="H6849" s="1">
        <v>-1.802589E-6</v>
      </c>
      <c r="I6849">
        <v>-8.0897000000000006</v>
      </c>
      <c r="J6849">
        <v>-186.45089999999999</v>
      </c>
      <c r="K6849">
        <v>1.1118790000000001</v>
      </c>
      <c r="L6849">
        <v>-26.49689</v>
      </c>
      <c r="M6849">
        <v>6.307546E-2</v>
      </c>
      <c r="N6849">
        <v>0</v>
      </c>
      <c r="O6849">
        <v>0.99794419999999995</v>
      </c>
      <c r="P6849">
        <v>1.9434500000000001E-4</v>
      </c>
      <c r="Q6849">
        <v>3.6560490000000001E-2</v>
      </c>
      <c r="R6849">
        <v>0.99933139999999998</v>
      </c>
      <c r="S6849">
        <v>5.6304930000000003E-2</v>
      </c>
      <c r="T6849">
        <v>-0.1787001</v>
      </c>
      <c r="U6849">
        <v>3.0085139999999999</v>
      </c>
      <c r="V6849">
        <v>-6.3080559999999994E-2</v>
      </c>
      <c r="W6849">
        <v>4.7570220000000003E-2</v>
      </c>
      <c r="X6849">
        <v>0.99687409999999999</v>
      </c>
      <c r="Y6849">
        <v>-4.4426529999999999E-2</v>
      </c>
      <c r="Z6849">
        <v>-5.9082240000000001E-2</v>
      </c>
      <c r="AA6849">
        <v>0.99726400000000004</v>
      </c>
      <c r="AB6849">
        <v>31</v>
      </c>
      <c r="AC6849">
        <v>0.33230000000000298</v>
      </c>
      <c r="AD6849">
        <v>-1.1118808025889999</v>
      </c>
      <c r="AE6849">
        <v>18.40719</v>
      </c>
      <c r="AF6849">
        <v>-0.82646400414222199</v>
      </c>
      <c r="AG6849">
        <v>-1.1118808025889999</v>
      </c>
      <c r="AH6849">
        <v>18.324653585565901</v>
      </c>
      <c r="AI6849">
        <v>93.468748293056393</v>
      </c>
      <c r="AJ6849">
        <v>92.582358849079398</v>
      </c>
      <c r="AK6849">
        <v>18.376948895295499</v>
      </c>
      <c r="AL6849">
        <v>87.273398227612802</v>
      </c>
      <c r="AM6849">
        <v>93.6207555327954</v>
      </c>
      <c r="AN6849">
        <v>1.0000000270657801</v>
      </c>
    </row>
    <row r="6850" spans="1:40" x14ac:dyDescent="0.25">
      <c r="A6850" t="str">
        <f>"20190312151156790"</f>
        <v>20190312151156790</v>
      </c>
      <c r="B6850" t="str">
        <f>"1552374716787958"</f>
        <v>1552374716787958</v>
      </c>
      <c r="C6850" t="s">
        <v>40</v>
      </c>
      <c r="D6850">
        <v>5.2950410000000003</v>
      </c>
      <c r="E6850">
        <v>0.50726479999999996</v>
      </c>
      <c r="F6850" t="s">
        <v>42</v>
      </c>
      <c r="G6850">
        <v>-186.12729999999999</v>
      </c>
      <c r="H6850" s="1">
        <v>-1.876726E-6</v>
      </c>
      <c r="I6850">
        <v>-7.8650529999999996</v>
      </c>
      <c r="J6850">
        <v>-186.43299999999999</v>
      </c>
      <c r="K6850">
        <v>1.1118399999999999</v>
      </c>
      <c r="L6850">
        <v>-26.173100000000002</v>
      </c>
      <c r="M6850">
        <v>6.0649830000000002E-2</v>
      </c>
      <c r="N6850">
        <v>0</v>
      </c>
      <c r="O6850">
        <v>0.9980947</v>
      </c>
      <c r="P6850" s="1">
        <v>-1.8466959999999998E-5</v>
      </c>
      <c r="Q6850">
        <v>3.7142029999999999E-2</v>
      </c>
      <c r="R6850">
        <v>0.99931000000000003</v>
      </c>
      <c r="S6850">
        <v>5.2261349999999998E-2</v>
      </c>
      <c r="T6850">
        <v>-0.17954100000000001</v>
      </c>
      <c r="U6850">
        <v>3.008575</v>
      </c>
      <c r="V6850">
        <v>-6.0866429999999999E-2</v>
      </c>
      <c r="W6850">
        <v>4.8154629999999997E-2</v>
      </c>
      <c r="X6850">
        <v>0.99698359999999997</v>
      </c>
      <c r="Y6850">
        <v>-4.3339030000000001E-2</v>
      </c>
      <c r="Z6850">
        <v>-5.9373629999999997E-2</v>
      </c>
      <c r="AA6850">
        <v>0.99729460000000003</v>
      </c>
      <c r="AB6850">
        <v>31</v>
      </c>
      <c r="AC6850">
        <v>0.30570000000000103</v>
      </c>
      <c r="AD6850">
        <v>-1.1118418767260001</v>
      </c>
      <c r="AE6850">
        <v>18.308046999999998</v>
      </c>
      <c r="AF6850">
        <v>-0.80235581973492598</v>
      </c>
      <c r="AG6850">
        <v>-1.1118418767260001</v>
      </c>
      <c r="AH6850">
        <v>18.225682009781501</v>
      </c>
      <c r="AI6850">
        <v>93.487583364689698</v>
      </c>
      <c r="AJ6850">
        <v>92.520725319340798</v>
      </c>
      <c r="AK6850">
        <v>18.2771839171678</v>
      </c>
      <c r="AL6850">
        <v>87.239875354914702</v>
      </c>
      <c r="AM6850">
        <v>93.493604623346599</v>
      </c>
      <c r="AN6850">
        <v>0.99999994468016895</v>
      </c>
    </row>
    <row r="6851" spans="1:40" x14ac:dyDescent="0.25">
      <c r="A6851" t="str">
        <f>"20190312151156812"</f>
        <v>20190312151156812</v>
      </c>
      <c r="B6851" t="str">
        <f>"1552374716808454"</f>
        <v>1552374716808454</v>
      </c>
      <c r="C6851" t="s">
        <v>40</v>
      </c>
      <c r="D6851">
        <v>5.271115</v>
      </c>
      <c r="E6851">
        <v>0.507239</v>
      </c>
      <c r="F6851" t="s">
        <v>42</v>
      </c>
      <c r="G6851">
        <v>-186.11680000000001</v>
      </c>
      <c r="H6851" s="1">
        <v>-1.9869559999999998E-6</v>
      </c>
      <c r="I6851">
        <v>-7.5493300000000003</v>
      </c>
      <c r="J6851">
        <v>-186.417</v>
      </c>
      <c r="K6851">
        <v>1.1117999999999999</v>
      </c>
      <c r="L6851">
        <v>-25.8718</v>
      </c>
      <c r="M6851">
        <v>5.8427020000000003E-2</v>
      </c>
      <c r="N6851">
        <v>0</v>
      </c>
      <c r="O6851">
        <v>0.99822739999999999</v>
      </c>
      <c r="P6851">
        <v>1.074357E-4</v>
      </c>
      <c r="Q6851">
        <v>3.7272380000000001E-2</v>
      </c>
      <c r="R6851">
        <v>0.99930509999999995</v>
      </c>
      <c r="S6851">
        <v>5.1086430000000002E-2</v>
      </c>
      <c r="T6851">
        <v>-0.17962339999999999</v>
      </c>
      <c r="U6851">
        <v>3.008759</v>
      </c>
      <c r="V6851">
        <v>-5.851551E-2</v>
      </c>
      <c r="W6851">
        <v>4.8290359999999997E-2</v>
      </c>
      <c r="X6851">
        <v>0.99711780000000005</v>
      </c>
      <c r="Y6851">
        <v>-4.1504560000000003E-2</v>
      </c>
      <c r="Z6851">
        <v>-5.9411529999999997E-2</v>
      </c>
      <c r="AA6851">
        <v>0.99737039999999999</v>
      </c>
      <c r="AB6851">
        <v>31</v>
      </c>
      <c r="AC6851">
        <v>0.30019999999998898</v>
      </c>
      <c r="AD6851">
        <v>-1.1118019869560001</v>
      </c>
      <c r="AE6851">
        <v>18.322469999999999</v>
      </c>
      <c r="AF6851">
        <v>-0.76808158952767602</v>
      </c>
      <c r="AG6851">
        <v>-1.1118019869560001</v>
      </c>
      <c r="AH6851">
        <v>18.241558432309201</v>
      </c>
      <c r="AI6851">
        <v>93.484717206089499</v>
      </c>
      <c r="AJ6851">
        <v>92.411079822927206</v>
      </c>
      <c r="AK6851">
        <v>18.2915419532013</v>
      </c>
      <c r="AL6851">
        <v>87.232089597927001</v>
      </c>
      <c r="AM6851">
        <v>93.358530884838103</v>
      </c>
      <c r="AN6851">
        <v>0.99999996542816405</v>
      </c>
    </row>
    <row r="6852" spans="1:40" x14ac:dyDescent="0.25">
      <c r="A6852" t="str">
        <f>"20190312151156832"</f>
        <v>20190312151156832</v>
      </c>
      <c r="B6852" t="str">
        <f>"1552374716827973"</f>
        <v>1552374716827973</v>
      </c>
      <c r="C6852" t="s">
        <v>40</v>
      </c>
      <c r="D6852">
        <v>5.2672179999999997</v>
      </c>
      <c r="E6852">
        <v>0.50730439999999999</v>
      </c>
      <c r="F6852" t="s">
        <v>42</v>
      </c>
      <c r="G6852">
        <v>-186.10120000000001</v>
      </c>
      <c r="H6852" s="1">
        <v>-2.068062E-6</v>
      </c>
      <c r="I6852">
        <v>-7.3231699999999904</v>
      </c>
      <c r="J6852">
        <v>-186.4024</v>
      </c>
      <c r="K6852">
        <v>1.1117619999999999</v>
      </c>
      <c r="L6852">
        <v>-25.58615</v>
      </c>
      <c r="M6852">
        <v>5.635664E-2</v>
      </c>
      <c r="N6852">
        <v>0</v>
      </c>
      <c r="O6852">
        <v>0.99834659999999997</v>
      </c>
      <c r="P6852">
        <v>3.1773279999999999E-4</v>
      </c>
      <c r="Q6852">
        <v>3.8086950000000001E-2</v>
      </c>
      <c r="R6852">
        <v>0.99927440000000001</v>
      </c>
      <c r="S6852">
        <v>5.1223749999999998E-2</v>
      </c>
      <c r="T6852">
        <v>-0.18034829999999999</v>
      </c>
      <c r="U6852">
        <v>3.0088200000000001</v>
      </c>
      <c r="V6852">
        <v>-5.6234230000000003E-2</v>
      </c>
      <c r="W6852">
        <v>4.9107169999999999E-2</v>
      </c>
      <c r="X6852">
        <v>0.99720920000000002</v>
      </c>
      <c r="Y6852">
        <v>-3.9387400000000003E-2</v>
      </c>
      <c r="Z6852">
        <v>-5.9662439999999997E-2</v>
      </c>
      <c r="AA6852">
        <v>0.99744120000000003</v>
      </c>
      <c r="AB6852">
        <v>31</v>
      </c>
      <c r="AC6852">
        <v>0.30119999999999397</v>
      </c>
      <c r="AD6852">
        <v>-1.111764068062</v>
      </c>
      <c r="AE6852">
        <v>18.262979999999999</v>
      </c>
      <c r="AF6852">
        <v>-0.72589553031805598</v>
      </c>
      <c r="AG6852">
        <v>-1.111764068062</v>
      </c>
      <c r="AH6852">
        <v>18.183560348604502</v>
      </c>
      <c r="AI6852">
        <v>93.495997645856306</v>
      </c>
      <c r="AJ6852">
        <v>92.2860582300207</v>
      </c>
      <c r="AK6852">
        <v>18.231972208603999</v>
      </c>
      <c r="AL6852">
        <v>87.185234321152095</v>
      </c>
      <c r="AM6852">
        <v>93.227582765340003</v>
      </c>
      <c r="AN6852">
        <v>0.99999999566687003</v>
      </c>
    </row>
    <row r="6853" spans="1:40" x14ac:dyDescent="0.25">
      <c r="A6853" t="str">
        <f>"20190312151156856"</f>
        <v>20190312151156856</v>
      </c>
      <c r="B6853" t="str">
        <f>"1552374716848471"</f>
        <v>1552374716848471</v>
      </c>
      <c r="C6853" t="s">
        <v>40</v>
      </c>
      <c r="D6853">
        <v>5.2317640000000001</v>
      </c>
      <c r="E6853">
        <v>0.50729389999999996</v>
      </c>
      <c r="F6853" t="s">
        <v>42</v>
      </c>
      <c r="G6853">
        <v>-186.0779</v>
      </c>
      <c r="H6853" s="1">
        <v>-2.2153760000000002E-6</v>
      </c>
      <c r="I6853">
        <v>-6.9085009999999896</v>
      </c>
      <c r="J6853">
        <v>-186.38630000000001</v>
      </c>
      <c r="K6853">
        <v>1.1117170000000001</v>
      </c>
      <c r="L6853">
        <v>-25.258510000000001</v>
      </c>
      <c r="M6853">
        <v>5.4033610000000003E-2</v>
      </c>
      <c r="N6853">
        <v>0</v>
      </c>
      <c r="O6853">
        <v>0.99847529999999995</v>
      </c>
      <c r="P6853">
        <v>8.2248229999999905E-4</v>
      </c>
      <c r="Q6853">
        <v>3.8931380000000002E-2</v>
      </c>
      <c r="R6853">
        <v>0.9992415</v>
      </c>
      <c r="S6853">
        <v>5.2276610000000001E-2</v>
      </c>
      <c r="T6853">
        <v>-0.1791054</v>
      </c>
      <c r="U6853">
        <v>3.008972</v>
      </c>
      <c r="V6853">
        <v>-5.3404889999999997E-2</v>
      </c>
      <c r="W6853">
        <v>4.9947279999999997E-2</v>
      </c>
      <c r="X6853">
        <v>0.99732299999999996</v>
      </c>
      <c r="Y6853">
        <v>-3.6713860000000001E-2</v>
      </c>
      <c r="Z6853">
        <v>-5.9264030000000002E-2</v>
      </c>
      <c r="AA6853">
        <v>0.99756699999999998</v>
      </c>
      <c r="AB6853">
        <v>31</v>
      </c>
      <c r="AC6853">
        <v>0.308400000000006</v>
      </c>
      <c r="AD6853">
        <v>-1.111719215376</v>
      </c>
      <c r="AE6853">
        <v>18.350009</v>
      </c>
      <c r="AF6853">
        <v>-0.68113166684308701</v>
      </c>
      <c r="AG6853">
        <v>-1.111719215376</v>
      </c>
      <c r="AH6853">
        <v>18.272813146131899</v>
      </c>
      <c r="AI6853">
        <v>93.479177366638794</v>
      </c>
      <c r="AJ6853">
        <v>92.134751191167197</v>
      </c>
      <c r="AK6853">
        <v>18.319267459013201</v>
      </c>
      <c r="AL6853">
        <v>87.137040400252999</v>
      </c>
      <c r="AM6853">
        <v>93.065160616270006</v>
      </c>
      <c r="AN6853">
        <v>0.99999998969215498</v>
      </c>
    </row>
    <row r="6854" spans="1:40" x14ac:dyDescent="0.25">
      <c r="A6854" t="str">
        <f>"20190312151156878"</f>
        <v>20190312151156878</v>
      </c>
      <c r="B6854" t="str">
        <f>"1552374716867989"</f>
        <v>1552374716867989</v>
      </c>
      <c r="C6854" t="s">
        <v>40</v>
      </c>
      <c r="D6854">
        <v>5.2643409999999999</v>
      </c>
      <c r="E6854">
        <v>0.50989229999999997</v>
      </c>
      <c r="F6854" t="s">
        <v>42</v>
      </c>
      <c r="G6854">
        <v>-186.05269999999999</v>
      </c>
      <c r="H6854" s="1">
        <v>-2.3481710000000001E-6</v>
      </c>
      <c r="I6854">
        <v>-6.5380339999999997</v>
      </c>
      <c r="J6854">
        <v>-186.37190000000001</v>
      </c>
      <c r="K6854">
        <v>1.111664</v>
      </c>
      <c r="L6854">
        <v>-24.952179999999998</v>
      </c>
      <c r="M6854">
        <v>5.1923980000000002E-2</v>
      </c>
      <c r="N6854">
        <v>0</v>
      </c>
      <c r="O6854">
        <v>0.99858760000000002</v>
      </c>
      <c r="P6854">
        <v>2.0723730000000002E-3</v>
      </c>
      <c r="Q6854">
        <v>3.9977390000000002E-2</v>
      </c>
      <c r="R6854">
        <v>0.99919840000000004</v>
      </c>
      <c r="S6854">
        <v>5.3634639999999997E-2</v>
      </c>
      <c r="T6854">
        <v>-0.1787012</v>
      </c>
      <c r="U6854">
        <v>3.0091860000000001</v>
      </c>
      <c r="V6854">
        <v>-5.0045470000000002E-2</v>
      </c>
      <c r="W6854">
        <v>5.0982130000000001E-2</v>
      </c>
      <c r="X6854">
        <v>0.99744489999999997</v>
      </c>
      <c r="Y6854">
        <v>-3.4153459999999997E-2</v>
      </c>
      <c r="Z6854">
        <v>-5.9138959999999997E-2</v>
      </c>
      <c r="AA6854">
        <v>0.99766529999999998</v>
      </c>
      <c r="AB6854">
        <v>31</v>
      </c>
      <c r="AC6854">
        <v>0.31920000000002302</v>
      </c>
      <c r="AD6854">
        <v>-1.1116663481710001</v>
      </c>
      <c r="AE6854">
        <v>18.414145999999999</v>
      </c>
      <c r="AF6854">
        <v>-0.63511295530158796</v>
      </c>
      <c r="AG6854">
        <v>-1.1116663481710001</v>
      </c>
      <c r="AH6854">
        <v>18.339060266184799</v>
      </c>
      <c r="AI6854">
        <v>93.466803923563006</v>
      </c>
      <c r="AJ6854">
        <v>91.983457924804796</v>
      </c>
      <c r="AK6854">
        <v>18.383696635399701</v>
      </c>
      <c r="AL6854">
        <v>87.077672326121203</v>
      </c>
      <c r="AM6854">
        <v>92.872330811752505</v>
      </c>
      <c r="AN6854">
        <v>1.00000002759143</v>
      </c>
    </row>
    <row r="6855" spans="1:40" x14ac:dyDescent="0.25">
      <c r="A6855" t="str">
        <f>"20190312151156900"</f>
        <v>20190312151156900</v>
      </c>
      <c r="B6855" t="str">
        <f>"1552374716898246"</f>
        <v>1552374716898246</v>
      </c>
      <c r="C6855" t="s">
        <v>40</v>
      </c>
      <c r="D6855">
        <v>5.2242389999999999</v>
      </c>
      <c r="E6855">
        <v>0.51073950000000001</v>
      </c>
      <c r="F6855" t="s">
        <v>41</v>
      </c>
      <c r="G6855">
        <v>-186.346</v>
      </c>
      <c r="H6855">
        <v>1.033407</v>
      </c>
      <c r="I6855">
        <v>-23.940840000000001</v>
      </c>
      <c r="J6855">
        <v>-186.3578</v>
      </c>
      <c r="K6855">
        <v>1.111615</v>
      </c>
      <c r="L6855">
        <v>-24.638210000000001</v>
      </c>
      <c r="M6855">
        <v>4.9834459999999997E-2</v>
      </c>
      <c r="N6855">
        <v>0</v>
      </c>
      <c r="O6855">
        <v>0.99869450000000004</v>
      </c>
      <c r="P6855">
        <v>3.3445300000000001E-3</v>
      </c>
      <c r="Q6855">
        <v>4.099349E-2</v>
      </c>
      <c r="R6855">
        <v>0.99915379999999998</v>
      </c>
      <c r="S6855">
        <v>7.7011109999999994E-2</v>
      </c>
      <c r="T6855">
        <v>-0.23303589999999999</v>
      </c>
      <c r="U6855">
        <v>3.0115660000000002</v>
      </c>
      <c r="V6855">
        <v>-4.668158E-2</v>
      </c>
      <c r="W6855">
        <v>5.1983580000000001E-2</v>
      </c>
      <c r="X6855">
        <v>0.99755629999999995</v>
      </c>
      <c r="Y6855">
        <v>-2.4365589999999999E-2</v>
      </c>
      <c r="Z6855">
        <v>-7.6982159999999994E-2</v>
      </c>
      <c r="AA6855">
        <v>0.99673469999999997</v>
      </c>
      <c r="AB6855">
        <v>31</v>
      </c>
      <c r="AC6855">
        <v>1.1800000000022201E-2</v>
      </c>
      <c r="AD6855">
        <v>-7.8208E-2</v>
      </c>
      <c r="AE6855">
        <v>0.69737000000000204</v>
      </c>
      <c r="AF6855">
        <v>-2.2684684566111599E-2</v>
      </c>
      <c r="AG6855">
        <v>-7.8208E-2</v>
      </c>
      <c r="AH6855">
        <v>0.68843553522283496</v>
      </c>
      <c r="AI6855">
        <v>96.477672570351203</v>
      </c>
      <c r="AJ6855">
        <v>91.887274143687193</v>
      </c>
      <c r="AK6855">
        <v>0.693234860877189</v>
      </c>
      <c r="AL6855">
        <v>87.020217243179701</v>
      </c>
      <c r="AM6855">
        <v>92.679254996917706</v>
      </c>
      <c r="AN6855">
        <v>1.0000000170853001</v>
      </c>
    </row>
    <row r="6856" spans="1:40" x14ac:dyDescent="0.25">
      <c r="A6856" t="str">
        <f>"20190312151156922"</f>
        <v>20190312151156922</v>
      </c>
      <c r="B6856" t="str">
        <f>"1552374716917766"</f>
        <v>1552374716917766</v>
      </c>
      <c r="C6856" t="s">
        <v>40</v>
      </c>
      <c r="D6856">
        <v>5.2602209999999996</v>
      </c>
      <c r="E6856">
        <v>0.51058760000000003</v>
      </c>
      <c r="F6856" t="s">
        <v>42</v>
      </c>
      <c r="G6856">
        <v>-185.91489999999999</v>
      </c>
      <c r="H6856" s="1">
        <v>-1.3837199999999999E-6</v>
      </c>
      <c r="I6856">
        <v>-9.4798159999999996</v>
      </c>
      <c r="J6856">
        <v>-186.34460000000001</v>
      </c>
      <c r="K6856">
        <v>1.111564</v>
      </c>
      <c r="L6856">
        <v>-24.332000000000001</v>
      </c>
      <c r="M6856">
        <v>4.7853560000000003E-2</v>
      </c>
      <c r="N6856">
        <v>0</v>
      </c>
      <c r="O6856">
        <v>0.99879180000000001</v>
      </c>
      <c r="P6856">
        <v>5.287674E-3</v>
      </c>
      <c r="Q6856">
        <v>4.2181839999999998E-2</v>
      </c>
      <c r="R6856">
        <v>0.99909599999999998</v>
      </c>
      <c r="S6856">
        <v>8.7982179999999993E-2</v>
      </c>
      <c r="T6856">
        <v>-0.2208282</v>
      </c>
      <c r="U6856">
        <v>3.0112920000000001</v>
      </c>
      <c r="V6856">
        <v>-4.2757139999999999E-2</v>
      </c>
      <c r="W6856">
        <v>5.3158799999999999E-2</v>
      </c>
      <c r="X6856">
        <v>0.99767030000000001</v>
      </c>
      <c r="Y6856">
        <v>-1.874261E-2</v>
      </c>
      <c r="Z6856">
        <v>-7.2989579999999998E-2</v>
      </c>
      <c r="AA6856">
        <v>0.99715659999999895</v>
      </c>
      <c r="AB6856">
        <v>31</v>
      </c>
      <c r="AC6856">
        <v>0.42970000000002501</v>
      </c>
      <c r="AD6856">
        <v>-1.1115653837199999</v>
      </c>
      <c r="AE6856">
        <v>14.8521839999999</v>
      </c>
      <c r="AF6856">
        <v>-0.27999958497809302</v>
      </c>
      <c r="AG6856">
        <v>-1.1115653837199999</v>
      </c>
      <c r="AH6856">
        <v>14.773051416130301</v>
      </c>
      <c r="AI6856">
        <v>94.302215480454095</v>
      </c>
      <c r="AJ6856">
        <v>91.085819944796796</v>
      </c>
      <c r="AK6856">
        <v>14.817456782913199</v>
      </c>
      <c r="AL6856">
        <v>86.952788890180003</v>
      </c>
      <c r="AM6856">
        <v>92.454022584533405</v>
      </c>
      <c r="AN6856">
        <v>1.00000002927025</v>
      </c>
    </row>
    <row r="6857" spans="1:40" x14ac:dyDescent="0.25">
      <c r="A6857" t="str">
        <f>"20190312151156944"</f>
        <v>20190312151156944</v>
      </c>
      <c r="B6857" t="str">
        <f>"1552374716938262"</f>
        <v>1552374716938262</v>
      </c>
      <c r="C6857" t="s">
        <v>40</v>
      </c>
      <c r="D6857">
        <v>5.253387</v>
      </c>
      <c r="E6857">
        <v>0.51126990000000005</v>
      </c>
      <c r="F6857" t="s">
        <v>42</v>
      </c>
      <c r="G6857">
        <v>-185.8716</v>
      </c>
      <c r="H6857" s="1">
        <v>-1.5447180000000001E-6</v>
      </c>
      <c r="I6857">
        <v>-9.0405999999999995</v>
      </c>
      <c r="J6857">
        <v>-186.33199999999999</v>
      </c>
      <c r="K6857">
        <v>1.1115189999999999</v>
      </c>
      <c r="L6857">
        <v>-24.028690000000001</v>
      </c>
      <c r="M6857">
        <v>4.5952989999999999E-2</v>
      </c>
      <c r="N6857">
        <v>0</v>
      </c>
      <c r="O6857">
        <v>0.99888149999999998</v>
      </c>
      <c r="P6857">
        <v>7.7389750000000004E-3</v>
      </c>
      <c r="Q6857">
        <v>4.3218840000000001E-2</v>
      </c>
      <c r="R6857">
        <v>0.99903569999999997</v>
      </c>
      <c r="S6857">
        <v>9.3154909999999994E-2</v>
      </c>
      <c r="T6857">
        <v>-0.21891070000000001</v>
      </c>
      <c r="U6857">
        <v>3.0114749999999999</v>
      </c>
      <c r="V6857">
        <v>-3.840412E-2</v>
      </c>
      <c r="W6857">
        <v>5.4180609999999997E-2</v>
      </c>
      <c r="X6857">
        <v>0.99779240000000002</v>
      </c>
      <c r="Y6857">
        <v>-1.5129139999999999E-2</v>
      </c>
      <c r="Z6857">
        <v>-7.2364819999999996E-2</v>
      </c>
      <c r="AA6857">
        <v>0.99726349999999997</v>
      </c>
      <c r="AB6857">
        <v>31</v>
      </c>
      <c r="AC6857">
        <v>0.46039999999999198</v>
      </c>
      <c r="AD6857">
        <v>-1.1115205447180001</v>
      </c>
      <c r="AE6857">
        <v>14.98809</v>
      </c>
      <c r="AF6857">
        <v>-0.22762600188947299</v>
      </c>
      <c r="AG6857">
        <v>-1.1115205447180001</v>
      </c>
      <c r="AH6857">
        <v>14.9114807315337</v>
      </c>
      <c r="AI6857">
        <v>94.262520746459202</v>
      </c>
      <c r="AJ6857">
        <v>90.874560786737803</v>
      </c>
      <c r="AK6857">
        <v>14.9545828803403</v>
      </c>
      <c r="AL6857">
        <v>86.894159034550299</v>
      </c>
      <c r="AM6857">
        <v>92.204174330090595</v>
      </c>
      <c r="AN6857">
        <v>1.00000004421535</v>
      </c>
    </row>
    <row r="6858" spans="1:40" x14ac:dyDescent="0.25">
      <c r="A6858" t="str">
        <f>"20190312151156968"</f>
        <v>20190312151156968</v>
      </c>
      <c r="B6858" t="str">
        <f>"1552374716957782"</f>
        <v>1552374716957782</v>
      </c>
      <c r="C6858" t="s">
        <v>40</v>
      </c>
      <c r="D6858">
        <v>5.5774269999999904</v>
      </c>
      <c r="E6858">
        <v>0.52077359999999995</v>
      </c>
      <c r="F6858" t="s">
        <v>42</v>
      </c>
      <c r="G6858">
        <v>-185.76140000000001</v>
      </c>
      <c r="H6858" s="1">
        <v>-1.9523380000000001E-6</v>
      </c>
      <c r="I6858">
        <v>-7.9289360000000002</v>
      </c>
      <c r="J6858">
        <v>-186.3186</v>
      </c>
      <c r="K6858">
        <v>1.1114569999999999</v>
      </c>
      <c r="L6858">
        <v>-23.689879999999999</v>
      </c>
      <c r="M6858">
        <v>4.3912409999999999E-2</v>
      </c>
      <c r="N6858">
        <v>0</v>
      </c>
      <c r="O6858">
        <v>0.99897380000000002</v>
      </c>
      <c r="P6858">
        <v>1.0509370000000001E-2</v>
      </c>
      <c r="Q6858">
        <v>4.4260359999999999E-2</v>
      </c>
      <c r="R6858">
        <v>0.99896470000000004</v>
      </c>
      <c r="S6858">
        <v>0.10672</v>
      </c>
      <c r="T6858">
        <v>-0.2078816</v>
      </c>
      <c r="U6858">
        <v>3.011047</v>
      </c>
      <c r="V6858">
        <v>-3.3589729999999998E-2</v>
      </c>
      <c r="W6858">
        <v>5.5196660000000002E-2</v>
      </c>
      <c r="X6858">
        <v>0.99791030000000003</v>
      </c>
      <c r="Y6858">
        <v>-8.5850500000000003E-3</v>
      </c>
      <c r="Z6858">
        <v>-6.8753419999999996E-2</v>
      </c>
      <c r="AA6858">
        <v>0.9975967</v>
      </c>
      <c r="AB6858">
        <v>31</v>
      </c>
      <c r="AC6858">
        <v>0.55719999999999403</v>
      </c>
      <c r="AD6858">
        <v>-1.1114589523380001</v>
      </c>
      <c r="AE6858">
        <v>15.760944</v>
      </c>
      <c r="AF6858">
        <v>-0.13481158189419201</v>
      </c>
      <c r="AG6858">
        <v>-1.1114589523380001</v>
      </c>
      <c r="AH6858">
        <v>15.6922674431757</v>
      </c>
      <c r="AI6858">
        <v>94.051256339762006</v>
      </c>
      <c r="AJ6858">
        <v>90.492213421867305</v>
      </c>
      <c r="AK6858">
        <v>15.7321572797089</v>
      </c>
      <c r="AL6858">
        <v>86.8358561198053</v>
      </c>
      <c r="AM6858">
        <v>91.927852051650902</v>
      </c>
      <c r="AN6858">
        <v>0.999999954041358</v>
      </c>
    </row>
    <row r="6859" spans="1:40" x14ac:dyDescent="0.25">
      <c r="A6859" t="str">
        <f>"20190312151156992"</f>
        <v>20190312151156992</v>
      </c>
      <c r="B6859" t="str">
        <f>"1552374716988038"</f>
        <v>1552374716988038</v>
      </c>
      <c r="C6859" t="s">
        <v>40</v>
      </c>
      <c r="D6859">
        <v>4.9167230000000002</v>
      </c>
      <c r="E6859">
        <v>0.533995199999999</v>
      </c>
      <c r="F6859" t="s">
        <v>42</v>
      </c>
      <c r="G6859">
        <v>-184.03120000000001</v>
      </c>
      <c r="H6859" s="1">
        <v>-2.3393059999999999E-6</v>
      </c>
      <c r="I6859">
        <v>11.855399999999999</v>
      </c>
      <c r="J6859">
        <v>-186.3057</v>
      </c>
      <c r="K6859">
        <v>1.111389</v>
      </c>
      <c r="L6859">
        <v>-23.349029999999999</v>
      </c>
      <c r="M6859">
        <v>4.1949449999999999E-2</v>
      </c>
      <c r="N6859">
        <v>0</v>
      </c>
      <c r="O6859">
        <v>0.99905880000000002</v>
      </c>
      <c r="P6859">
        <v>1.2556289999999999E-2</v>
      </c>
      <c r="Q6859">
        <v>4.4902730000000002E-2</v>
      </c>
      <c r="R6859">
        <v>0.99891249999999998</v>
      </c>
      <c r="S6859">
        <v>0.1933899</v>
      </c>
      <c r="T6859">
        <v>-9.3970659999999998E-2</v>
      </c>
      <c r="U6859">
        <v>3.0052490000000001</v>
      </c>
      <c r="V6859">
        <v>-2.957475E-2</v>
      </c>
      <c r="W6859">
        <v>5.5806550000000003E-2</v>
      </c>
      <c r="X6859">
        <v>0.99800350000000004</v>
      </c>
      <c r="Y6859">
        <v>2.226469E-2</v>
      </c>
      <c r="Z6859">
        <v>-3.1176240000000001E-2</v>
      </c>
      <c r="AA6859">
        <v>0.99926590000000004</v>
      </c>
      <c r="AB6859">
        <v>31</v>
      </c>
      <c r="AC6859">
        <v>2.2744999999999802</v>
      </c>
      <c r="AD6859">
        <v>-1.111391339306</v>
      </c>
      <c r="AE6859">
        <v>35.204430000000002</v>
      </c>
      <c r="AF6859">
        <v>0.79481235045302701</v>
      </c>
      <c r="AG6859">
        <v>-1.111391339306</v>
      </c>
      <c r="AH6859">
        <v>35.233887192615697</v>
      </c>
      <c r="AI6859">
        <v>91.806236885057501</v>
      </c>
      <c r="AJ6859">
        <v>88.707730693218494</v>
      </c>
      <c r="AK6859">
        <v>35.260370447337699</v>
      </c>
      <c r="AL6859">
        <v>86.800858232386304</v>
      </c>
      <c r="AM6859">
        <v>91.697401456860405</v>
      </c>
      <c r="AN6859">
        <v>1.0000000114363501</v>
      </c>
    </row>
    <row r="6860" spans="1:40" x14ac:dyDescent="0.25">
      <c r="A6860" t="str">
        <f>"20190312151157079"</f>
        <v>20190312151157079</v>
      </c>
      <c r="B6860" t="str">
        <f>"1552374717068070"</f>
        <v>1552374717068070</v>
      </c>
      <c r="C6860" t="s">
        <v>40</v>
      </c>
      <c r="D6860">
        <v>5.3065490000000004</v>
      </c>
      <c r="E6860">
        <v>0.53036499999999998</v>
      </c>
      <c r="F6860" t="s">
        <v>42</v>
      </c>
      <c r="G6860">
        <v>-184.57650000000001</v>
      </c>
      <c r="H6860" s="1">
        <v>-2.9919570000000002E-6</v>
      </c>
      <c r="I6860">
        <v>-5.800408</v>
      </c>
      <c r="J6860">
        <v>-186.26400000000001</v>
      </c>
      <c r="K6860">
        <v>1.1110979999999999</v>
      </c>
      <c r="L6860">
        <v>-22.134219999999999</v>
      </c>
      <c r="M6860">
        <v>3.5760390000000003E-2</v>
      </c>
      <c r="N6860">
        <v>0</v>
      </c>
      <c r="O6860">
        <v>0.99930200000000002</v>
      </c>
      <c r="P6860">
        <v>2.0316529999999999E-2</v>
      </c>
      <c r="Q6860">
        <v>4.7941119999999997E-2</v>
      </c>
      <c r="R6860">
        <v>0.99864350000000002</v>
      </c>
      <c r="S6860">
        <v>0.30665589999999998</v>
      </c>
      <c r="T6860">
        <v>-0.2006935</v>
      </c>
      <c r="U6860">
        <v>3.0076900000000002</v>
      </c>
      <c r="V6860">
        <v>-1.559727E-2</v>
      </c>
      <c r="W6860">
        <v>5.8680969999999999E-2</v>
      </c>
      <c r="X6860">
        <v>0.99815489999999996</v>
      </c>
      <c r="Y6860">
        <v>6.5565440000000003E-2</v>
      </c>
      <c r="Z6860">
        <v>-6.627239E-2</v>
      </c>
      <c r="AA6860">
        <v>0.99564509999999995</v>
      </c>
      <c r="AB6860">
        <v>32</v>
      </c>
      <c r="AC6860">
        <v>1.6875</v>
      </c>
      <c r="AD6860">
        <v>-1.1111009919570001</v>
      </c>
      <c r="AE6860">
        <v>16.333811999999899</v>
      </c>
      <c r="AF6860">
        <v>1.0972591859663401</v>
      </c>
      <c r="AG6860">
        <v>-1.1111009919570001</v>
      </c>
      <c r="AH6860">
        <v>16.3090421618592</v>
      </c>
      <c r="AI6860">
        <v>93.888655455702406</v>
      </c>
      <c r="AJ6860">
        <v>86.150986737559094</v>
      </c>
      <c r="AK6860">
        <v>16.3836314464412</v>
      </c>
      <c r="AL6860">
        <v>86.635895394475099</v>
      </c>
      <c r="AM6860">
        <v>90.895236818725095</v>
      </c>
      <c r="AN6860">
        <v>0.99999996773280098</v>
      </c>
    </row>
    <row r="6861" spans="1:40" x14ac:dyDescent="0.25">
      <c r="A6861" t="str">
        <f>"20190312151157101"</f>
        <v>20190312151157101</v>
      </c>
      <c r="B6861" t="str">
        <f>"1552374717098326"</f>
        <v>1552374717098326</v>
      </c>
      <c r="C6861" t="s">
        <v>40</v>
      </c>
      <c r="D6861">
        <v>5.2778510000000001</v>
      </c>
      <c r="E6861">
        <v>0.53043079999999998</v>
      </c>
      <c r="F6861" t="s">
        <v>41</v>
      </c>
      <c r="G6861">
        <v>-186.16409999999999</v>
      </c>
      <c r="H6861">
        <v>1.0558019999999999</v>
      </c>
      <c r="I6861">
        <v>-21.132840000000002</v>
      </c>
      <c r="J6861">
        <v>-186.2544</v>
      </c>
      <c r="K6861">
        <v>1.111027</v>
      </c>
      <c r="L6861">
        <v>-21.82367</v>
      </c>
      <c r="M6861">
        <v>3.4376820000000002E-2</v>
      </c>
      <c r="N6861">
        <v>0</v>
      </c>
      <c r="O6861">
        <v>0.99935130000000005</v>
      </c>
      <c r="P6861">
        <v>2.0289499999999999E-2</v>
      </c>
      <c r="Q6861">
        <v>4.8505100000000002E-2</v>
      </c>
      <c r="R6861">
        <v>0.99861679999999997</v>
      </c>
      <c r="S6861">
        <v>0.29981989999999997</v>
      </c>
      <c r="T6861">
        <v>-0.1659929</v>
      </c>
      <c r="U6861">
        <v>3.005951</v>
      </c>
      <c r="V6861">
        <v>-1.423321E-2</v>
      </c>
      <c r="W6861">
        <v>5.9183149999999997E-2</v>
      </c>
      <c r="X6861">
        <v>0.99814559999999997</v>
      </c>
      <c r="Y6861">
        <v>6.4832230000000005E-2</v>
      </c>
      <c r="Z6861">
        <v>-5.4894859999999997E-2</v>
      </c>
      <c r="AA6861">
        <v>0.99638519999999997</v>
      </c>
      <c r="AB6861">
        <v>32</v>
      </c>
      <c r="AC6861">
        <v>9.03000000000133E-2</v>
      </c>
      <c r="AD6861">
        <v>-5.5224999999999802E-2</v>
      </c>
      <c r="AE6861">
        <v>0.69083000000000105</v>
      </c>
      <c r="AF6861">
        <v>6.6081520144878794E-2</v>
      </c>
      <c r="AG6861">
        <v>-5.5224999999999802E-2</v>
      </c>
      <c r="AH6861">
        <v>0.68919577682587896</v>
      </c>
      <c r="AI6861">
        <v>94.560474709191297</v>
      </c>
      <c r="AJ6861">
        <v>84.523104619058699</v>
      </c>
      <c r="AK6861">
        <v>0.69455553177862195</v>
      </c>
      <c r="AL6861">
        <v>86.607072390317498</v>
      </c>
      <c r="AM6861">
        <v>90.816962569894997</v>
      </c>
      <c r="AN6861">
        <v>0.99999993415509103</v>
      </c>
    </row>
    <row r="6862" spans="1:40" x14ac:dyDescent="0.25">
      <c r="A6862" t="str">
        <f>"20190312151157124"</f>
        <v>20190312151157124</v>
      </c>
      <c r="B6862" t="str">
        <f>"1552374717117846"</f>
        <v>1552374717117846</v>
      </c>
      <c r="C6862" t="s">
        <v>40</v>
      </c>
      <c r="D6862">
        <v>5.283347</v>
      </c>
      <c r="E6862">
        <v>0.52942199999999995</v>
      </c>
      <c r="F6862" t="s">
        <v>42</v>
      </c>
      <c r="G6862">
        <v>-183.84399999999999</v>
      </c>
      <c r="H6862" s="1">
        <v>-2.5297499999999998E-6</v>
      </c>
      <c r="I6862">
        <v>2.2686890000000002</v>
      </c>
      <c r="J6862">
        <v>-186.24449999999999</v>
      </c>
      <c r="K6862">
        <v>1.1109639999999901</v>
      </c>
      <c r="L6862">
        <v>-21.493289999999998</v>
      </c>
      <c r="M6862">
        <v>3.2967749999999997E-2</v>
      </c>
      <c r="N6862">
        <v>0</v>
      </c>
      <c r="O6862">
        <v>0.9993995</v>
      </c>
      <c r="P6862">
        <v>2.1262130000000001E-2</v>
      </c>
      <c r="Q6862">
        <v>4.9383179999999999E-2</v>
      </c>
      <c r="R6862">
        <v>0.99855360000000004</v>
      </c>
      <c r="S6862">
        <v>0.30061339999999998</v>
      </c>
      <c r="T6862">
        <v>-0.13856579999999999</v>
      </c>
      <c r="U6862">
        <v>3.0047609999999998</v>
      </c>
      <c r="V6862">
        <v>-1.184522E-2</v>
      </c>
      <c r="W6862">
        <v>5.9997099999999998E-2</v>
      </c>
      <c r="X6862">
        <v>0.99812829999999997</v>
      </c>
      <c r="Y6862">
        <v>6.6584009999999999E-2</v>
      </c>
      <c r="Z6862">
        <v>-4.5863620000000001E-2</v>
      </c>
      <c r="AA6862">
        <v>0.99672620000000001</v>
      </c>
      <c r="AB6862">
        <v>32</v>
      </c>
      <c r="AC6862">
        <v>2.4004999999999601</v>
      </c>
      <c r="AD6862">
        <v>-1.11096652974999</v>
      </c>
      <c r="AE6862">
        <v>23.761979</v>
      </c>
      <c r="AF6862">
        <v>1.6122826933905401</v>
      </c>
      <c r="AG6862">
        <v>-1.11096652974999</v>
      </c>
      <c r="AH6862">
        <v>23.776755174309798</v>
      </c>
      <c r="AI6862">
        <v>92.669073525846798</v>
      </c>
      <c r="AJ6862">
        <v>86.120757582523197</v>
      </c>
      <c r="AK6862">
        <v>23.857237659307899</v>
      </c>
      <c r="AL6862">
        <v>86.560353801197394</v>
      </c>
      <c r="AM6862">
        <v>90.679921864951098</v>
      </c>
      <c r="AN6862">
        <v>1.00000003225307</v>
      </c>
    </row>
    <row r="6863" spans="1:40" x14ac:dyDescent="0.25">
      <c r="A6863" t="str">
        <f>"20190312151157146"</f>
        <v>20190312151157146</v>
      </c>
      <c r="B6863" t="str">
        <f>"1552374717138342"</f>
        <v>1552374717138342</v>
      </c>
      <c r="C6863" t="s">
        <v>40</v>
      </c>
      <c r="D6863">
        <v>5.3082549999999999</v>
      </c>
      <c r="E6863">
        <v>0.52914510000000003</v>
      </c>
      <c r="F6863" t="s">
        <v>42</v>
      </c>
      <c r="G6863">
        <v>-183.79570000000001</v>
      </c>
      <c r="H6863" s="1">
        <v>-2.92468E-6</v>
      </c>
      <c r="I6863">
        <v>3.3914409999999999</v>
      </c>
      <c r="J6863">
        <v>-186.23589999999999</v>
      </c>
      <c r="K6863">
        <v>1.1109119999999999</v>
      </c>
      <c r="L6863">
        <v>-21.192810000000001</v>
      </c>
      <c r="M6863">
        <v>3.1735480000000003E-2</v>
      </c>
      <c r="N6863">
        <v>0</v>
      </c>
      <c r="O6863">
        <v>0.99944010000000005</v>
      </c>
      <c r="P6863">
        <v>2.2214950000000001E-2</v>
      </c>
      <c r="Q6863">
        <v>5.0291910000000002E-2</v>
      </c>
      <c r="R6863">
        <v>0.99848749999999997</v>
      </c>
      <c r="S6863">
        <v>0.29566959999999998</v>
      </c>
      <c r="T6863">
        <v>-0.13414200000000001</v>
      </c>
      <c r="U6863">
        <v>3.0046689999999998</v>
      </c>
      <c r="V6863">
        <v>-9.6563010000000008E-3</v>
      </c>
      <c r="W6863">
        <v>6.0843359999999999E-2</v>
      </c>
      <c r="X6863">
        <v>0.9981006</v>
      </c>
      <c r="Y6863">
        <v>6.61997E-2</v>
      </c>
      <c r="Z6863">
        <v>-4.441051E-2</v>
      </c>
      <c r="AA6863">
        <v>0.99681759999999997</v>
      </c>
      <c r="AB6863">
        <v>32</v>
      </c>
      <c r="AC6863">
        <v>2.4401999999999702</v>
      </c>
      <c r="AD6863">
        <v>-1.1109149246799901</v>
      </c>
      <c r="AE6863">
        <v>24.584250999999998</v>
      </c>
      <c r="AF6863">
        <v>1.65538664625526</v>
      </c>
      <c r="AG6863">
        <v>-1.1109149246799901</v>
      </c>
      <c r="AH6863">
        <v>24.599570537780401</v>
      </c>
      <c r="AI6863">
        <v>92.579889790339607</v>
      </c>
      <c r="AJ6863">
        <v>86.150181227375995</v>
      </c>
      <c r="AK6863">
        <v>24.6802209787861</v>
      </c>
      <c r="AL6863">
        <v>86.511777756766605</v>
      </c>
      <c r="AM6863">
        <v>90.554300871289996</v>
      </c>
      <c r="AN6863">
        <v>0.99999998316272598</v>
      </c>
    </row>
    <row r="6864" spans="1:40" x14ac:dyDescent="0.25">
      <c r="A6864" t="str">
        <f>"20190312151157170"</f>
        <v>20190312151157170</v>
      </c>
      <c r="B6864" t="str">
        <f>"1552374717157862"</f>
        <v>1552374717157862</v>
      </c>
      <c r="C6864" t="s">
        <v>40</v>
      </c>
      <c r="D6864">
        <v>5.3205809999999998</v>
      </c>
      <c r="E6864">
        <v>0.52843560000000001</v>
      </c>
      <c r="F6864" t="s">
        <v>42</v>
      </c>
      <c r="G6864">
        <v>-183.60990000000001</v>
      </c>
      <c r="H6864" s="1">
        <v>-3.6701580000000001E-6</v>
      </c>
      <c r="I6864">
        <v>5.4367859999999997</v>
      </c>
      <c r="J6864">
        <v>-186.22640000000001</v>
      </c>
      <c r="K6864">
        <v>1.1108640000000001</v>
      </c>
      <c r="L6864">
        <v>-20.849329999999998</v>
      </c>
      <c r="M6864">
        <v>3.037923E-2</v>
      </c>
      <c r="N6864">
        <v>0</v>
      </c>
      <c r="O6864">
        <v>0.99948320000000002</v>
      </c>
      <c r="P6864">
        <v>2.264557E-2</v>
      </c>
      <c r="Q6864">
        <v>5.1795500000000001E-2</v>
      </c>
      <c r="R6864">
        <v>0.99840090000000004</v>
      </c>
      <c r="S6864">
        <v>0.2962494</v>
      </c>
      <c r="T6864">
        <v>-0.1253302</v>
      </c>
      <c r="U6864">
        <v>3.0042719999999998</v>
      </c>
      <c r="V6864">
        <v>-7.8651409999999904E-3</v>
      </c>
      <c r="W6864">
        <v>6.226259E-2</v>
      </c>
      <c r="X6864">
        <v>0.99802880000000005</v>
      </c>
      <c r="Y6864">
        <v>6.7769280000000001E-2</v>
      </c>
      <c r="Z6864">
        <v>-4.1503869999999998E-2</v>
      </c>
      <c r="AA6864">
        <v>0.99683739999999998</v>
      </c>
      <c r="AB6864">
        <v>32</v>
      </c>
      <c r="AC6864">
        <v>2.6164999999999998</v>
      </c>
      <c r="AD6864">
        <v>-1.11086767015799</v>
      </c>
      <c r="AE6864">
        <v>26.2861159999999</v>
      </c>
      <c r="AF6864">
        <v>1.81348910143318</v>
      </c>
      <c r="AG6864">
        <v>-1.11086767015799</v>
      </c>
      <c r="AH6864">
        <v>26.3069515800087</v>
      </c>
      <c r="AI6864">
        <v>92.412282959113298</v>
      </c>
      <c r="AJ6864">
        <v>86.056511966404898</v>
      </c>
      <c r="AK6864">
        <v>26.392773085345599</v>
      </c>
      <c r="AL6864">
        <v>86.430307394249397</v>
      </c>
      <c r="AM6864">
        <v>90.451520092335898</v>
      </c>
      <c r="AN6864">
        <v>0.99999998809294899</v>
      </c>
    </row>
    <row r="6865" spans="1:40" x14ac:dyDescent="0.25">
      <c r="A6865" t="str">
        <f>"20190312151157192"</f>
        <v>20190312151157192</v>
      </c>
      <c r="B6865" t="str">
        <f>"1552374717188118"</f>
        <v>1552374717188118</v>
      </c>
      <c r="C6865" t="s">
        <v>40</v>
      </c>
      <c r="D6865">
        <v>5.3132760000000001</v>
      </c>
      <c r="E6865">
        <v>0.52713359999999998</v>
      </c>
      <c r="F6865" t="s">
        <v>42</v>
      </c>
      <c r="G6865">
        <v>-183.5821</v>
      </c>
      <c r="H6865" s="1">
        <v>-4.0284399999999997E-6</v>
      </c>
      <c r="I6865">
        <v>6.3694860000000002</v>
      </c>
      <c r="J6865">
        <v>-186.2184</v>
      </c>
      <c r="K6865">
        <v>1.1108209999999901</v>
      </c>
      <c r="L6865">
        <v>-20.549530000000001</v>
      </c>
      <c r="M6865">
        <v>2.923595E-2</v>
      </c>
      <c r="N6865">
        <v>0</v>
      </c>
      <c r="O6865">
        <v>0.99951820000000002</v>
      </c>
      <c r="P6865">
        <v>2.320349E-2</v>
      </c>
      <c r="Q6865">
        <v>5.2721610000000002E-2</v>
      </c>
      <c r="R6865">
        <v>0.99833970000000005</v>
      </c>
      <c r="S6865">
        <v>0.29188540000000002</v>
      </c>
      <c r="T6865">
        <v>-0.1226231</v>
      </c>
      <c r="U6865">
        <v>3.0045470000000001</v>
      </c>
      <c r="V6865">
        <v>-6.160614E-3</v>
      </c>
      <c r="W6865">
        <v>6.3112080000000001E-2</v>
      </c>
      <c r="X6865">
        <v>0.99798739999999997</v>
      </c>
      <c r="Y6865">
        <v>6.7471030000000001E-2</v>
      </c>
      <c r="Z6865">
        <v>-4.0610550000000002E-2</v>
      </c>
      <c r="AA6865">
        <v>0.99689439999999996</v>
      </c>
      <c r="AB6865">
        <v>32</v>
      </c>
      <c r="AC6865">
        <v>2.6362999999999999</v>
      </c>
      <c r="AD6865">
        <v>-1.1108250284400001</v>
      </c>
      <c r="AE6865">
        <v>26.919015999999999</v>
      </c>
      <c r="AF6865">
        <v>1.8450152933767701</v>
      </c>
      <c r="AG6865">
        <v>-1.1108250284400001</v>
      </c>
      <c r="AH6865">
        <v>26.939149649472299</v>
      </c>
      <c r="AI6865">
        <v>92.355718615623601</v>
      </c>
      <c r="AJ6865">
        <v>86.082030449630906</v>
      </c>
      <c r="AK6865">
        <v>27.025095698503399</v>
      </c>
      <c r="AL6865">
        <v>86.381539215532698</v>
      </c>
      <c r="AM6865">
        <v>90.353684523420696</v>
      </c>
      <c r="AN6865">
        <v>0.99999996918277101</v>
      </c>
    </row>
    <row r="6866" spans="1:40" x14ac:dyDescent="0.25">
      <c r="A6866" t="str">
        <f>"20190312151157215"</f>
        <v>20190312151157215</v>
      </c>
      <c r="B6866" t="str">
        <f>"1552374717207638"</f>
        <v>1552374717207638</v>
      </c>
      <c r="C6866" t="s">
        <v>40</v>
      </c>
      <c r="D6866">
        <v>5.4314799999999996</v>
      </c>
      <c r="E6866">
        <v>0.5263137</v>
      </c>
      <c r="F6866" t="s">
        <v>42</v>
      </c>
      <c r="G6866">
        <v>-183.58080000000001</v>
      </c>
      <c r="H6866" s="1">
        <v>-4.4736270000000004E-6</v>
      </c>
      <c r="I6866">
        <v>7.4066640000000001</v>
      </c>
      <c r="J6866">
        <v>-186.2099</v>
      </c>
      <c r="K6866">
        <v>1.1107750000000001</v>
      </c>
      <c r="L6866">
        <v>-20.212679999999999</v>
      </c>
      <c r="M6866">
        <v>2.79878E-2</v>
      </c>
      <c r="N6866">
        <v>0</v>
      </c>
      <c r="O6866">
        <v>0.99955490000000002</v>
      </c>
      <c r="P6866">
        <v>2.315681E-2</v>
      </c>
      <c r="Q6866">
        <v>5.3211059999999998E-2</v>
      </c>
      <c r="R6866">
        <v>0.9983147</v>
      </c>
      <c r="S6866">
        <v>0.28349299999999999</v>
      </c>
      <c r="T6866">
        <v>-0.1193902</v>
      </c>
      <c r="U6866">
        <v>3.0047000000000001</v>
      </c>
      <c r="V6866">
        <v>-4.9546099999999999E-3</v>
      </c>
      <c r="W6866">
        <v>6.3514199999999896E-2</v>
      </c>
      <c r="X6866">
        <v>0.99796859999999998</v>
      </c>
      <c r="Y6866">
        <v>6.5956879999999996E-2</v>
      </c>
      <c r="Z6866">
        <v>-3.9548970000000003E-2</v>
      </c>
      <c r="AA6866">
        <v>0.99703839999999999</v>
      </c>
      <c r="AB6866">
        <v>32</v>
      </c>
      <c r="AC6866">
        <v>2.62909999999999</v>
      </c>
      <c r="AD6866">
        <v>-1.110779473627</v>
      </c>
      <c r="AE6866">
        <v>27.619344000000002</v>
      </c>
      <c r="AF6866">
        <v>1.85205537191214</v>
      </c>
      <c r="AG6866">
        <v>-1.110779473627</v>
      </c>
      <c r="AH6866">
        <v>27.637808870428699</v>
      </c>
      <c r="AI6866">
        <v>92.296367067683605</v>
      </c>
      <c r="AJ6866">
        <v>86.166246581803804</v>
      </c>
      <c r="AK6866">
        <v>27.722056548856699</v>
      </c>
      <c r="AL6866">
        <v>86.358453100146704</v>
      </c>
      <c r="AM6866">
        <v>90.284453749151297</v>
      </c>
      <c r="AN6866">
        <v>0.999999964173925</v>
      </c>
    </row>
    <row r="6867" spans="1:40" x14ac:dyDescent="0.25">
      <c r="A6867" t="str">
        <f>"20190312151157235"</f>
        <v>20190312151157235</v>
      </c>
      <c r="B6867" t="str">
        <f>"1552374717228134"</f>
        <v>1552374717228134</v>
      </c>
      <c r="C6867" t="s">
        <v>40</v>
      </c>
      <c r="D6867">
        <v>5.4421330000000001</v>
      </c>
      <c r="E6867">
        <v>0.52534099999999995</v>
      </c>
      <c r="F6867" t="s">
        <v>42</v>
      </c>
      <c r="G6867">
        <v>-183.71369999999999</v>
      </c>
      <c r="H6867" s="1">
        <v>-4.2361479999999996E-6</v>
      </c>
      <c r="I6867">
        <v>6.9080700000000004</v>
      </c>
      <c r="J6867">
        <v>-186.20269999999999</v>
      </c>
      <c r="K6867">
        <v>1.1107419999999999</v>
      </c>
      <c r="L6867">
        <v>-19.9194</v>
      </c>
      <c r="M6867">
        <v>2.692897E-2</v>
      </c>
      <c r="N6867">
        <v>0</v>
      </c>
      <c r="O6867">
        <v>0.99958480000000005</v>
      </c>
      <c r="P6867">
        <v>2.3006309999999999E-2</v>
      </c>
      <c r="Q6867">
        <v>5.3359879999999998E-2</v>
      </c>
      <c r="R6867">
        <v>0.99831029999999998</v>
      </c>
      <c r="S6867">
        <v>0.27659610000000001</v>
      </c>
      <c r="T6867">
        <v>-0.1230842</v>
      </c>
      <c r="U6867">
        <v>3.0052189999999999</v>
      </c>
      <c r="V6867">
        <v>-4.0428259999999898E-3</v>
      </c>
      <c r="W6867">
        <v>6.3584160000000001E-2</v>
      </c>
      <c r="X6867">
        <v>0.99796830000000003</v>
      </c>
      <c r="Y6867">
        <v>6.4724740000000003E-2</v>
      </c>
      <c r="Z6867">
        <v>-4.0771370000000001E-2</v>
      </c>
      <c r="AA6867">
        <v>0.99706989999999995</v>
      </c>
      <c r="AB6867">
        <v>32</v>
      </c>
      <c r="AC6867">
        <v>2.4889999999999999</v>
      </c>
      <c r="AD6867">
        <v>-1.1107462361480001</v>
      </c>
      <c r="AE6867">
        <v>26.827470000000002</v>
      </c>
      <c r="AF6867">
        <v>1.76262741134246</v>
      </c>
      <c r="AG6867">
        <v>-1.1107462361480001</v>
      </c>
      <c r="AH6867">
        <v>26.839153754937598</v>
      </c>
      <c r="AI6867">
        <v>92.3647618800522</v>
      </c>
      <c r="AJ6867">
        <v>86.242568072331693</v>
      </c>
      <c r="AK6867">
        <v>26.919895744105599</v>
      </c>
      <c r="AL6867">
        <v>86.354436731682299</v>
      </c>
      <c r="AM6867">
        <v>90.232107172124401</v>
      </c>
      <c r="AN6867">
        <v>1.0000000088249299</v>
      </c>
    </row>
    <row r="6868" spans="1:40" x14ac:dyDescent="0.25">
      <c r="A6868" t="str">
        <f>"20190312151157258"</f>
        <v>20190312151157258</v>
      </c>
      <c r="B6868" t="str">
        <f>"1552374717247654"</f>
        <v>1552374717247654</v>
      </c>
      <c r="C6868" t="s">
        <v>40</v>
      </c>
      <c r="D6868">
        <v>5.474113</v>
      </c>
      <c r="E6868">
        <v>0.52458149999999903</v>
      </c>
      <c r="F6868" t="s">
        <v>42</v>
      </c>
      <c r="G6868">
        <v>-183.9365</v>
      </c>
      <c r="H6868" s="1">
        <v>-3.5966809999999999E-6</v>
      </c>
      <c r="I6868">
        <v>5.4762370000000002</v>
      </c>
      <c r="J6868">
        <v>-186.1953</v>
      </c>
      <c r="K6868">
        <v>1.1107039999999999</v>
      </c>
      <c r="L6868">
        <v>-19.601749999999999</v>
      </c>
      <c r="M6868">
        <v>2.580532E-2</v>
      </c>
      <c r="N6868">
        <v>0</v>
      </c>
      <c r="O6868">
        <v>0.99961529999999998</v>
      </c>
      <c r="P6868">
        <v>2.2724910000000001E-2</v>
      </c>
      <c r="Q6868">
        <v>5.3773960000000003E-2</v>
      </c>
      <c r="R6868">
        <v>0.99829449999999997</v>
      </c>
      <c r="S6868">
        <v>0.26823429999999998</v>
      </c>
      <c r="T6868">
        <v>-0.1314719</v>
      </c>
      <c r="U6868">
        <v>3.0059200000000001</v>
      </c>
      <c r="V6868">
        <v>-3.197615E-3</v>
      </c>
      <c r="W6868">
        <v>6.3910599999999998E-2</v>
      </c>
      <c r="X6868">
        <v>0.99795049999999996</v>
      </c>
      <c r="Y6868">
        <v>6.3063720000000004E-2</v>
      </c>
      <c r="Z6868">
        <v>-4.354425E-2</v>
      </c>
      <c r="AA6868">
        <v>0.99705909999999998</v>
      </c>
      <c r="AB6868">
        <v>32</v>
      </c>
      <c r="AC6868">
        <v>2.2587999999999999</v>
      </c>
      <c r="AD6868">
        <v>-1.1107075966810001</v>
      </c>
      <c r="AE6868">
        <v>25.077987</v>
      </c>
      <c r="AF6868">
        <v>1.6077404034806</v>
      </c>
      <c r="AG6868">
        <v>-1.1107075966810001</v>
      </c>
      <c r="AH6868">
        <v>25.079127185452901</v>
      </c>
      <c r="AI6868">
        <v>92.530677686183296</v>
      </c>
      <c r="AJ6868">
        <v>86.331975215053106</v>
      </c>
      <c r="AK6868">
        <v>25.155141044216599</v>
      </c>
      <c r="AL6868">
        <v>86.335694927277601</v>
      </c>
      <c r="AM6868">
        <v>90.183585475451693</v>
      </c>
      <c r="AN6868">
        <v>0.99999999499214898</v>
      </c>
    </row>
    <row r="6869" spans="1:40" x14ac:dyDescent="0.25">
      <c r="A6869" t="str">
        <f>"20190312151157279"</f>
        <v>20190312151157279</v>
      </c>
      <c r="B6869" t="str">
        <f>"1552374717268153"</f>
        <v>1552374717268153</v>
      </c>
      <c r="C6869" t="s">
        <v>40</v>
      </c>
      <c r="D6869">
        <v>5.5892160000000004</v>
      </c>
      <c r="E6869">
        <v>0.52390009999999998</v>
      </c>
      <c r="F6869" t="s">
        <v>42</v>
      </c>
      <c r="G6869">
        <v>-184.1044</v>
      </c>
      <c r="H6869" s="1">
        <v>-3.2012010000000002E-6</v>
      </c>
      <c r="I6869">
        <v>4.4453440000000004</v>
      </c>
      <c r="J6869">
        <v>-186.18819999999999</v>
      </c>
      <c r="K6869">
        <v>1.110671</v>
      </c>
      <c r="L6869">
        <v>-19.284610000000001</v>
      </c>
      <c r="M6869">
        <v>2.4703240000000001E-2</v>
      </c>
      <c r="N6869">
        <v>0</v>
      </c>
      <c r="O6869">
        <v>0.99964399999999998</v>
      </c>
      <c r="P6869">
        <v>2.1537339999999999E-2</v>
      </c>
      <c r="Q6869">
        <v>5.3473760000000002E-2</v>
      </c>
      <c r="R6869">
        <v>0.99833700000000003</v>
      </c>
      <c r="S6869">
        <v>0.26142880000000002</v>
      </c>
      <c r="T6869">
        <v>-0.13887379999999999</v>
      </c>
      <c r="U6869">
        <v>3.006653</v>
      </c>
      <c r="V6869">
        <v>-3.2814480000000002E-3</v>
      </c>
      <c r="W6869">
        <v>6.352323E-2</v>
      </c>
      <c r="X6869">
        <v>0.99797499999999995</v>
      </c>
      <c r="Y6869">
        <v>6.1893570000000002E-2</v>
      </c>
      <c r="Z6869">
        <v>-4.5987769999999997E-2</v>
      </c>
      <c r="AA6869">
        <v>0.99702270000000004</v>
      </c>
      <c r="AB6869">
        <v>32</v>
      </c>
      <c r="AC6869">
        <v>2.0837999999999899</v>
      </c>
      <c r="AD6869">
        <v>-1.110674201201</v>
      </c>
      <c r="AE6869">
        <v>23.729953999999999</v>
      </c>
      <c r="AF6869">
        <v>1.49368034029098</v>
      </c>
      <c r="AG6869">
        <v>-1.110674201201</v>
      </c>
      <c r="AH6869">
        <v>23.7226197104868</v>
      </c>
      <c r="AI6869">
        <v>92.675295197934204</v>
      </c>
      <c r="AJ6869">
        <v>86.397162190768697</v>
      </c>
      <c r="AK6869">
        <v>23.7955324392744</v>
      </c>
      <c r="AL6869">
        <v>86.357934929330895</v>
      </c>
      <c r="AM6869">
        <v>90.188393941250098</v>
      </c>
      <c r="AN6869">
        <v>1.0000000346378</v>
      </c>
    </row>
    <row r="6870" spans="1:40" x14ac:dyDescent="0.25">
      <c r="A6870" t="str">
        <f>"20190312151157302"</f>
        <v>20190312151157302</v>
      </c>
      <c r="B6870" t="str">
        <f>"1552374717298407"</f>
        <v>1552374717298407</v>
      </c>
      <c r="C6870" t="s">
        <v>40</v>
      </c>
      <c r="D6870">
        <v>5.4307480000000004</v>
      </c>
      <c r="E6870">
        <v>0.52314259999999901</v>
      </c>
      <c r="F6870" t="s">
        <v>42</v>
      </c>
      <c r="G6870">
        <v>-184.25129999999999</v>
      </c>
      <c r="H6870" s="1">
        <v>-2.9428559999999999E-6</v>
      </c>
      <c r="I6870">
        <v>3.8010350000000002</v>
      </c>
      <c r="J6870">
        <v>-186.1814</v>
      </c>
      <c r="K6870">
        <v>1.1106499999999999</v>
      </c>
      <c r="L6870">
        <v>-18.963470000000001</v>
      </c>
      <c r="M6870">
        <v>2.3599849999999999E-2</v>
      </c>
      <c r="N6870">
        <v>0</v>
      </c>
      <c r="O6870">
        <v>0.99967159999999999</v>
      </c>
      <c r="P6870">
        <v>2.073647E-2</v>
      </c>
      <c r="Q6870">
        <v>5.341808E-2</v>
      </c>
      <c r="R6870">
        <v>0.99835689999999999</v>
      </c>
      <c r="S6870">
        <v>0.25231930000000002</v>
      </c>
      <c r="T6870">
        <v>-0.14468399999999901</v>
      </c>
      <c r="U6870">
        <v>3.0072939999999999</v>
      </c>
      <c r="V6870">
        <v>-2.978344E-3</v>
      </c>
      <c r="W6870">
        <v>6.3386189999999995E-2</v>
      </c>
      <c r="X6870">
        <v>0.9979846</v>
      </c>
      <c r="Y6870">
        <v>5.9970999999999997E-2</v>
      </c>
      <c r="Z6870">
        <v>-4.7908180000000002E-2</v>
      </c>
      <c r="AA6870">
        <v>0.99704979999999999</v>
      </c>
      <c r="AB6870">
        <v>32</v>
      </c>
      <c r="AC6870">
        <v>1.9301000000000099</v>
      </c>
      <c r="AD6870">
        <v>-1.1106529428559999</v>
      </c>
      <c r="AE6870">
        <v>22.764505</v>
      </c>
      <c r="AF6870">
        <v>1.3890139495337099</v>
      </c>
      <c r="AG6870">
        <v>-1.1106529428559999</v>
      </c>
      <c r="AH6870">
        <v>22.749950169533498</v>
      </c>
      <c r="AI6870">
        <v>92.7897750214985</v>
      </c>
      <c r="AJ6870">
        <v>86.506103740952398</v>
      </c>
      <c r="AK6870">
        <v>22.819358939894201</v>
      </c>
      <c r="AL6870">
        <v>86.365802365671996</v>
      </c>
      <c r="AM6870">
        <v>90.170990649079698</v>
      </c>
      <c r="AN6870">
        <v>0.99999997072642799</v>
      </c>
    </row>
    <row r="6871" spans="1:40" x14ac:dyDescent="0.25">
      <c r="A6871" t="str">
        <f>"20190312151157326"</f>
        <v>20190312151157326</v>
      </c>
      <c r="B6871" t="str">
        <f>"1552374717317926"</f>
        <v>1552374717317926</v>
      </c>
      <c r="C6871" t="s">
        <v>40</v>
      </c>
      <c r="D6871">
        <v>5.4466109999999999</v>
      </c>
      <c r="E6871">
        <v>0.52274569999999998</v>
      </c>
      <c r="F6871" t="s">
        <v>42</v>
      </c>
      <c r="G6871">
        <v>-184.4068</v>
      </c>
      <c r="H6871" s="1">
        <v>-2.6009860000000002E-6</v>
      </c>
      <c r="I6871">
        <v>2.918015</v>
      </c>
      <c r="J6871">
        <v>-186.17449999999999</v>
      </c>
      <c r="K6871">
        <v>1.110633</v>
      </c>
      <c r="L6871">
        <v>-18.621279999999999</v>
      </c>
      <c r="M6871">
        <v>2.2431690000000001E-2</v>
      </c>
      <c r="N6871">
        <v>0</v>
      </c>
      <c r="O6871">
        <v>0.99969929999999996</v>
      </c>
      <c r="P6871">
        <v>1.9942129999999999E-2</v>
      </c>
      <c r="Q6871">
        <v>5.3552669999999997E-2</v>
      </c>
      <c r="R6871">
        <v>0.99836590000000003</v>
      </c>
      <c r="S6871">
        <v>0.24395749999999999</v>
      </c>
      <c r="T6871">
        <v>-0.15268029999999999</v>
      </c>
      <c r="U6871">
        <v>3.0080260000000001</v>
      </c>
      <c r="V6871">
        <v>-2.604772E-3</v>
      </c>
      <c r="W6871">
        <v>6.3438069999999999E-2</v>
      </c>
      <c r="X6871">
        <v>0.99798240000000005</v>
      </c>
      <c r="Y6871">
        <v>5.8353729999999999E-2</v>
      </c>
      <c r="Z6871">
        <v>-5.0547330000000001E-2</v>
      </c>
      <c r="AA6871">
        <v>0.99701550000000005</v>
      </c>
      <c r="AB6871">
        <v>32</v>
      </c>
      <c r="AC6871">
        <v>1.7676999999999901</v>
      </c>
      <c r="AD6871">
        <v>-1.1106356009859999</v>
      </c>
      <c r="AE6871">
        <v>21.539294999999999</v>
      </c>
      <c r="AF6871">
        <v>1.28068640221048</v>
      </c>
      <c r="AG6871">
        <v>-1.1106356009859999</v>
      </c>
      <c r="AH6871">
        <v>21.516703989746599</v>
      </c>
      <c r="AI6871">
        <v>92.949623934359096</v>
      </c>
      <c r="AJ6871">
        <v>86.593741423076494</v>
      </c>
      <c r="AK6871">
        <v>21.583378319469901</v>
      </c>
      <c r="AL6871">
        <v>86.362824053329007</v>
      </c>
      <c r="AM6871">
        <v>90.149543822917593</v>
      </c>
      <c r="AN6871">
        <v>1.00000002213612</v>
      </c>
    </row>
    <row r="6872" spans="1:40" x14ac:dyDescent="0.25">
      <c r="A6872" t="str">
        <f>"20190312151157347"</f>
        <v>20190312151157347</v>
      </c>
      <c r="B6872" t="str">
        <f>"1552374717338423"</f>
        <v>1552374717338423</v>
      </c>
      <c r="C6872" t="s">
        <v>40</v>
      </c>
      <c r="D6872">
        <v>5.5572030000000003</v>
      </c>
      <c r="E6872">
        <v>0.52231629999999996</v>
      </c>
      <c r="F6872" t="s">
        <v>42</v>
      </c>
      <c r="G6872">
        <v>-184.49459999999999</v>
      </c>
      <c r="H6872" s="1">
        <v>-2.4652640000000002E-6</v>
      </c>
      <c r="I6872">
        <v>2.587812</v>
      </c>
      <c r="J6872">
        <v>-186.16890000000001</v>
      </c>
      <c r="K6872">
        <v>1.1106229999999999</v>
      </c>
      <c r="L6872">
        <v>-18.325289999999999</v>
      </c>
      <c r="M6872">
        <v>2.1424149999999999E-2</v>
      </c>
      <c r="N6872">
        <v>0</v>
      </c>
      <c r="O6872">
        <v>0.99972209999999995</v>
      </c>
      <c r="P6872">
        <v>1.9028730000000001E-2</v>
      </c>
      <c r="Q6872">
        <v>5.4121910000000002E-2</v>
      </c>
      <c r="R6872">
        <v>0.99835300000000005</v>
      </c>
      <c r="S6872">
        <v>0.23831179999999999</v>
      </c>
      <c r="T6872">
        <v>-0.15754870000000001</v>
      </c>
      <c r="U6872">
        <v>3.0086059999999999</v>
      </c>
      <c r="V6872">
        <v>-2.511896E-3</v>
      </c>
      <c r="W6872">
        <v>6.3937240000000006E-2</v>
      </c>
      <c r="X6872">
        <v>0.99795069999999997</v>
      </c>
      <c r="Y6872">
        <v>5.7478830000000002E-2</v>
      </c>
      <c r="Z6872">
        <v>-5.2151709999999997E-2</v>
      </c>
      <c r="AA6872">
        <v>0.99698359999999997</v>
      </c>
      <c r="AB6872">
        <v>32</v>
      </c>
      <c r="AC6872">
        <v>1.6743000000000099</v>
      </c>
      <c r="AD6872">
        <v>-1.110625465264</v>
      </c>
      <c r="AE6872">
        <v>20.913101999999999</v>
      </c>
      <c r="AF6872">
        <v>1.2224229002225999</v>
      </c>
      <c r="AG6872">
        <v>-1.110625465264</v>
      </c>
      <c r="AH6872">
        <v>20.885644629192999</v>
      </c>
      <c r="AI6872">
        <v>93.038731350581898</v>
      </c>
      <c r="AJ6872">
        <v>86.650337574777296</v>
      </c>
      <c r="AK6872">
        <v>20.950846241811401</v>
      </c>
      <c r="AL6872">
        <v>86.334165237525397</v>
      </c>
      <c r="AM6872">
        <v>90.144216277854895</v>
      </c>
      <c r="AN6872">
        <v>0.99999993995540903</v>
      </c>
    </row>
    <row r="6873" spans="1:40" x14ac:dyDescent="0.25">
      <c r="A6873" t="str">
        <f>"20190312151157369"</f>
        <v>20190312151157369</v>
      </c>
      <c r="B6873" t="str">
        <f>"1552374717357942"</f>
        <v>1552374717357942</v>
      </c>
      <c r="C6873" t="s">
        <v>40</v>
      </c>
      <c r="D6873">
        <v>5.5206730000000004</v>
      </c>
      <c r="E6873">
        <v>0.49183270000000001</v>
      </c>
      <c r="F6873" t="s">
        <v>42</v>
      </c>
      <c r="G6873">
        <v>-184.52440000000001</v>
      </c>
      <c r="H6873" s="1">
        <v>-2.5888909999999999E-6</v>
      </c>
      <c r="I6873">
        <v>2.9743909999999998</v>
      </c>
      <c r="J6873">
        <v>-186.16300000000001</v>
      </c>
      <c r="K6873">
        <v>1.1106180000000001</v>
      </c>
      <c r="L6873">
        <v>-17.99933</v>
      </c>
      <c r="M6873">
        <v>2.0315300000000001E-2</v>
      </c>
      <c r="N6873">
        <v>0</v>
      </c>
      <c r="O6873">
        <v>0.99974600000000002</v>
      </c>
      <c r="P6873">
        <v>1.8281889999999999E-2</v>
      </c>
      <c r="Q6873">
        <v>5.436212E-2</v>
      </c>
      <c r="R6873">
        <v>0.99835390000000002</v>
      </c>
      <c r="S6873">
        <v>0.23233029999999999</v>
      </c>
      <c r="T6873">
        <v>-0.1568995</v>
      </c>
      <c r="U6873">
        <v>3.0090330000000001</v>
      </c>
      <c r="V6873">
        <v>-2.1511709999999999E-3</v>
      </c>
      <c r="W6873">
        <v>6.4103800000000002E-2</v>
      </c>
      <c r="X6873">
        <v>0.99794090000000002</v>
      </c>
      <c r="Y6873">
        <v>5.6606070000000001E-2</v>
      </c>
      <c r="Z6873">
        <v>-5.1937160000000003E-2</v>
      </c>
      <c r="AA6873">
        <v>0.99704479999999995</v>
      </c>
      <c r="AB6873">
        <v>32</v>
      </c>
      <c r="AC6873">
        <v>1.6385999999999601</v>
      </c>
      <c r="AD6873">
        <v>-1.1106205888909999</v>
      </c>
      <c r="AE6873">
        <v>20.973720999999902</v>
      </c>
      <c r="AF6873">
        <v>1.2087851857970899</v>
      </c>
      <c r="AG6873">
        <v>-1.1106205888909999</v>
      </c>
      <c r="AH6873">
        <v>20.9443104367956</v>
      </c>
      <c r="AI6873">
        <v>93.030365161798102</v>
      </c>
      <c r="AJ6873">
        <v>86.696881249298499</v>
      </c>
      <c r="AK6873">
        <v>21.008540629723299</v>
      </c>
      <c r="AL6873">
        <v>86.324602590454703</v>
      </c>
      <c r="AM6873">
        <v>90.123507141962804</v>
      </c>
      <c r="AN6873">
        <v>0.99999998230195997</v>
      </c>
    </row>
    <row r="6874" spans="1:40" x14ac:dyDescent="0.25">
      <c r="A6874" t="str">
        <f>"20190312151157393"</f>
        <v>20190312151157393</v>
      </c>
      <c r="B6874" t="str">
        <f>"1552374717388198"</f>
        <v>1552374717388198</v>
      </c>
      <c r="C6874" t="s">
        <v>40</v>
      </c>
      <c r="D6874">
        <v>5.5046540000000004</v>
      </c>
      <c r="E6874">
        <v>0.48454910000000001</v>
      </c>
      <c r="F6874" t="s">
        <v>42</v>
      </c>
      <c r="G6874">
        <v>-186.24850000000001</v>
      </c>
      <c r="H6874" s="1">
        <v>-1.8302859999999999E-6</v>
      </c>
      <c r="I6874">
        <v>2.0932330000000001</v>
      </c>
      <c r="J6874">
        <v>-186.1575</v>
      </c>
      <c r="K6874">
        <v>1.1106100000000001</v>
      </c>
      <c r="L6874">
        <v>-17.67099</v>
      </c>
      <c r="M6874">
        <v>1.919794E-2</v>
      </c>
      <c r="N6874">
        <v>0</v>
      </c>
      <c r="O6874">
        <v>0.99976869999999995</v>
      </c>
      <c r="P6874">
        <v>1.7279889999999999E-2</v>
      </c>
      <c r="Q6874">
        <v>5.4781290000000003E-2</v>
      </c>
      <c r="R6874">
        <v>0.99834880000000004</v>
      </c>
      <c r="S6874">
        <v>-1.281738E-2</v>
      </c>
      <c r="T6874">
        <v>-0.16661329999999999</v>
      </c>
      <c r="U6874">
        <v>3.0142519999999999</v>
      </c>
      <c r="V6874">
        <v>-2.037872E-3</v>
      </c>
      <c r="W6874">
        <v>6.4450209999999994E-2</v>
      </c>
      <c r="X6874">
        <v>0.99791879999999999</v>
      </c>
      <c r="Y6874">
        <v>-2.344363E-2</v>
      </c>
      <c r="Z6874">
        <v>-5.5167870000000001E-2</v>
      </c>
      <c r="AA6874">
        <v>0.99820180000000003</v>
      </c>
      <c r="AB6874">
        <v>32</v>
      </c>
      <c r="AC6874">
        <v>-9.1000000000008199E-2</v>
      </c>
      <c r="AD6874">
        <v>-1.110611830286</v>
      </c>
      <c r="AE6874">
        <v>19.764223000000001</v>
      </c>
      <c r="AF6874">
        <v>-0.46895266572739802</v>
      </c>
      <c r="AG6874">
        <v>-1.110611830286</v>
      </c>
      <c r="AH6874">
        <v>19.696639134412202</v>
      </c>
      <c r="AI6874">
        <v>93.2263418058551</v>
      </c>
      <c r="AJ6874">
        <v>91.363884118278605</v>
      </c>
      <c r="AK6874">
        <v>19.733498636367599</v>
      </c>
      <c r="AL6874">
        <v>86.304713536703204</v>
      </c>
      <c r="AM6874">
        <v>90.117004812896198</v>
      </c>
      <c r="AN6874">
        <v>0.99999995694238497</v>
      </c>
    </row>
    <row r="6875" spans="1:40" x14ac:dyDescent="0.25">
      <c r="A6875" t="str">
        <f>"20190312151157416"</f>
        <v>20190312151157416</v>
      </c>
      <c r="B6875" t="str">
        <f>"1552374717407718"</f>
        <v>1552374717407718</v>
      </c>
      <c r="C6875" t="s">
        <v>40</v>
      </c>
      <c r="D6875">
        <v>5.4537019999999998</v>
      </c>
      <c r="E6875">
        <v>0.48305090000000001</v>
      </c>
      <c r="F6875" t="s">
        <v>42</v>
      </c>
      <c r="G6875">
        <v>-186.5882</v>
      </c>
      <c r="H6875" s="1">
        <v>-9.994940999999999E-7</v>
      </c>
      <c r="I6875">
        <v>-8.2495600000000002E-2</v>
      </c>
      <c r="J6875">
        <v>-186.15209999999999</v>
      </c>
      <c r="K6875">
        <v>1.110606</v>
      </c>
      <c r="L6875">
        <v>-17.332920000000001</v>
      </c>
      <c r="M6875">
        <v>1.8046380000000001E-2</v>
      </c>
      <c r="N6875">
        <v>0</v>
      </c>
      <c r="O6875">
        <v>0.99979090000000004</v>
      </c>
      <c r="P6875">
        <v>1.6749259999999998E-2</v>
      </c>
      <c r="Q6875">
        <v>5.5352249999999999E-2</v>
      </c>
      <c r="R6875">
        <v>0.99832639999999995</v>
      </c>
      <c r="S6875">
        <v>-7.3867799999999997E-2</v>
      </c>
      <c r="T6875">
        <v>-0.19048660000000001</v>
      </c>
      <c r="U6875">
        <v>3.0166930000000001</v>
      </c>
      <c r="V6875">
        <v>-1.4192269999999999E-3</v>
      </c>
      <c r="W6875">
        <v>6.4950320000000006E-2</v>
      </c>
      <c r="X6875">
        <v>0.99788750000000004</v>
      </c>
      <c r="Y6875">
        <v>-4.2468230000000003E-2</v>
      </c>
      <c r="Z6875">
        <v>-6.2965430000000003E-2</v>
      </c>
      <c r="AA6875">
        <v>0.99711170000000005</v>
      </c>
      <c r="AB6875">
        <v>32</v>
      </c>
      <c r="AC6875">
        <v>-0.43610000000000998</v>
      </c>
      <c r="AD6875">
        <v>-1.1106069994940999</v>
      </c>
      <c r="AE6875">
        <v>17.250424399999901</v>
      </c>
      <c r="AF6875">
        <v>-0.74426808786071097</v>
      </c>
      <c r="AG6875">
        <v>-1.1106069994940999</v>
      </c>
      <c r="AH6875">
        <v>17.168626566480501</v>
      </c>
      <c r="AI6875">
        <v>93.697738892312302</v>
      </c>
      <c r="AJ6875">
        <v>92.482245008584201</v>
      </c>
      <c r="AK6875">
        <v>17.220601646667099</v>
      </c>
      <c r="AL6875">
        <v>86.275999378502206</v>
      </c>
      <c r="AM6875">
        <v>90.081487805433099</v>
      </c>
      <c r="AN6875">
        <v>1.0000000104648099</v>
      </c>
    </row>
    <row r="6876" spans="1:40" x14ac:dyDescent="0.25">
      <c r="A6876" t="str">
        <f>"20190312151157436"</f>
        <v>20190312151157436</v>
      </c>
      <c r="B6876" t="str">
        <f>"1552374717428215"</f>
        <v>1552374717428215</v>
      </c>
      <c r="C6876" t="s">
        <v>40</v>
      </c>
      <c r="D6876">
        <v>5.6207070000000003</v>
      </c>
      <c r="E6876">
        <v>0.48201300000000002</v>
      </c>
      <c r="F6876" t="s">
        <v>42</v>
      </c>
      <c r="G6876">
        <v>-186.6403</v>
      </c>
      <c r="H6876" s="1">
        <v>-4.823105E-6</v>
      </c>
      <c r="I6876">
        <v>-0.51363369999999997</v>
      </c>
      <c r="J6876">
        <v>-186.14769999999999</v>
      </c>
      <c r="K6876">
        <v>1.1106039999999999</v>
      </c>
      <c r="L6876">
        <v>-17.03482</v>
      </c>
      <c r="M6876">
        <v>1.7030759999999999E-2</v>
      </c>
      <c r="N6876">
        <v>0</v>
      </c>
      <c r="O6876">
        <v>0.99980930000000001</v>
      </c>
      <c r="P6876">
        <v>1.6324439999999999E-2</v>
      </c>
      <c r="Q6876">
        <v>5.6075899999999998E-2</v>
      </c>
      <c r="R6876">
        <v>0.99829299999999999</v>
      </c>
      <c r="S6876">
        <v>-8.7585449999999995E-2</v>
      </c>
      <c r="T6876">
        <v>-0.19925480000000001</v>
      </c>
      <c r="U6876">
        <v>3.0175480000000001</v>
      </c>
      <c r="V6876">
        <v>-8.3011300000000005E-4</v>
      </c>
      <c r="W6876">
        <v>6.5616939999999999E-2</v>
      </c>
      <c r="X6876">
        <v>0.99784450000000002</v>
      </c>
      <c r="Y6876">
        <v>-4.5970360000000002E-2</v>
      </c>
      <c r="Z6876">
        <v>-6.5825560000000005E-2</v>
      </c>
      <c r="AA6876">
        <v>0.99677159999999998</v>
      </c>
      <c r="AB6876">
        <v>32</v>
      </c>
      <c r="AC6876">
        <v>-0.49260000000000997</v>
      </c>
      <c r="AD6876">
        <v>-1.110608823105</v>
      </c>
      <c r="AE6876">
        <v>16.5211863</v>
      </c>
      <c r="AF6876">
        <v>-0.77043129018541601</v>
      </c>
      <c r="AG6876">
        <v>-1.110608823105</v>
      </c>
      <c r="AH6876">
        <v>16.4361914742152</v>
      </c>
      <c r="AI6876">
        <v>93.8614262762745</v>
      </c>
      <c r="AJ6876">
        <v>92.683722340750606</v>
      </c>
      <c r="AK6876">
        <v>16.491676885869399</v>
      </c>
      <c r="AL6876">
        <v>86.237723019208005</v>
      </c>
      <c r="AM6876">
        <v>90.047664701711398</v>
      </c>
      <c r="AN6876">
        <v>0.99999995904140204</v>
      </c>
    </row>
    <row r="6877" spans="1:40" x14ac:dyDescent="0.25">
      <c r="A6877" t="str">
        <f>"20190312151157459"</f>
        <v>20190312151157459</v>
      </c>
      <c r="B6877" t="str">
        <f>"1552374717447734"</f>
        <v>1552374717447734</v>
      </c>
      <c r="C6877" t="s">
        <v>40</v>
      </c>
      <c r="D6877">
        <v>5.4150980000000004</v>
      </c>
      <c r="E6877">
        <v>0.4814795</v>
      </c>
      <c r="F6877" t="s">
        <v>42</v>
      </c>
      <c r="G6877">
        <v>-186.69120000000001</v>
      </c>
      <c r="H6877" s="1">
        <v>-9.645025E-7</v>
      </c>
      <c r="I6877">
        <v>-0.1047655</v>
      </c>
      <c r="J6877">
        <v>-186.14320000000001</v>
      </c>
      <c r="K6877">
        <v>1.1106020000000001</v>
      </c>
      <c r="L6877">
        <v>-16.702549999999999</v>
      </c>
      <c r="M6877">
        <v>1.5898260000000001E-2</v>
      </c>
      <c r="N6877">
        <v>0</v>
      </c>
      <c r="O6877">
        <v>0.99982850000000001</v>
      </c>
      <c r="P6877">
        <v>1.622206E-2</v>
      </c>
      <c r="Q6877">
        <v>5.6395059999999997E-2</v>
      </c>
      <c r="R6877">
        <v>0.99827670000000002</v>
      </c>
      <c r="S6877">
        <v>-9.6878049999999993E-2</v>
      </c>
      <c r="T6877">
        <v>-0.19796800000000001</v>
      </c>
      <c r="U6877">
        <v>3.0178219999999998</v>
      </c>
      <c r="V6877">
        <v>1.9759519999999999E-4</v>
      </c>
      <c r="W6877">
        <v>6.5875779999999995E-2</v>
      </c>
      <c r="X6877">
        <v>0.99782780000000004</v>
      </c>
      <c r="Y6877">
        <v>-4.7903479999999998E-2</v>
      </c>
      <c r="Z6877">
        <v>-6.5392179999999994E-2</v>
      </c>
      <c r="AA6877">
        <v>0.99670919999999996</v>
      </c>
      <c r="AB6877">
        <v>32</v>
      </c>
      <c r="AC6877">
        <v>-0.54800000000000104</v>
      </c>
      <c r="AD6877">
        <v>-1.1106029645025</v>
      </c>
      <c r="AE6877">
        <v>16.597784499999999</v>
      </c>
      <c r="AF6877">
        <v>-0.80820389054599395</v>
      </c>
      <c r="AG6877">
        <v>-1.1106029645025</v>
      </c>
      <c r="AH6877">
        <v>16.513120062099802</v>
      </c>
      <c r="AI6877">
        <v>93.843092175911394</v>
      </c>
      <c r="AJ6877">
        <v>92.801999257884006</v>
      </c>
      <c r="AK6877">
        <v>16.570146850851302</v>
      </c>
      <c r="AL6877">
        <v>86.2228605311129</v>
      </c>
      <c r="AM6877">
        <v>89.9886539833185</v>
      </c>
      <c r="AN6877">
        <v>0.99999998794365497</v>
      </c>
    </row>
    <row r="6878" spans="1:40" x14ac:dyDescent="0.25">
      <c r="A6878" t="str">
        <f>"20190312151157480"</f>
        <v>20190312151157480</v>
      </c>
      <c r="B6878" t="str">
        <f>"1552374717468234"</f>
        <v>1552374717468234</v>
      </c>
      <c r="C6878" t="s">
        <v>40</v>
      </c>
      <c r="D6878">
        <v>5.4353400000000001</v>
      </c>
      <c r="E6878">
        <v>0.48135660000000002</v>
      </c>
      <c r="F6878" t="s">
        <v>42</v>
      </c>
      <c r="G6878">
        <v>-186.71530000000001</v>
      </c>
      <c r="H6878" s="1">
        <v>-1.121187E-6</v>
      </c>
      <c r="I6878">
        <v>0.37449189999999999</v>
      </c>
      <c r="J6878">
        <v>-186.13939999999999</v>
      </c>
      <c r="K6878">
        <v>1.1105959999999999</v>
      </c>
      <c r="L6878">
        <v>-16.400359999999999</v>
      </c>
      <c r="M6878">
        <v>1.4868640000000001E-2</v>
      </c>
      <c r="N6878">
        <v>0</v>
      </c>
      <c r="O6878">
        <v>0.99984479999999998</v>
      </c>
      <c r="P6878">
        <v>1.6504439999999999E-2</v>
      </c>
      <c r="Q6878">
        <v>5.7202700000000002E-2</v>
      </c>
      <c r="R6878">
        <v>0.99822619999999895</v>
      </c>
      <c r="S6878">
        <v>-0.10110470000000001</v>
      </c>
      <c r="T6878">
        <v>-0.19626959999999999</v>
      </c>
      <c r="U6878">
        <v>3.0179140000000002</v>
      </c>
      <c r="V6878">
        <v>1.5068429999999999E-3</v>
      </c>
      <c r="W6878">
        <v>6.6631339999999997E-2</v>
      </c>
      <c r="X6878">
        <v>0.99777649999999996</v>
      </c>
      <c r="Y6878">
        <v>-4.8269550000000001E-2</v>
      </c>
      <c r="Z6878">
        <v>-6.4831089999999994E-2</v>
      </c>
      <c r="AA6878">
        <v>0.99672810000000001</v>
      </c>
      <c r="AB6878">
        <v>32</v>
      </c>
      <c r="AC6878">
        <v>-0.57590000000001795</v>
      </c>
      <c r="AD6878">
        <v>-1.1105971211869901</v>
      </c>
      <c r="AE6878">
        <v>16.774851899999899</v>
      </c>
      <c r="AF6878">
        <v>-0.82166936522025602</v>
      </c>
      <c r="AG6878">
        <v>-1.1105971211869901</v>
      </c>
      <c r="AH6878">
        <v>16.691357963818099</v>
      </c>
      <c r="AI6878">
        <v>93.802102229268996</v>
      </c>
      <c r="AJ6878">
        <v>92.818237651538595</v>
      </c>
      <c r="AK6878">
        <v>16.7484326785417</v>
      </c>
      <c r="AL6878">
        <v>86.179474754552402</v>
      </c>
      <c r="AM6878">
        <v>89.913471926174395</v>
      </c>
      <c r="AN6878">
        <v>0.99999997499913496</v>
      </c>
    </row>
    <row r="6879" spans="1:40" x14ac:dyDescent="0.25">
      <c r="A6879" t="str">
        <f>"20190312151157503"</f>
        <v>20190312151157503</v>
      </c>
      <c r="B6879" t="str">
        <f>"1552374717498487"</f>
        <v>1552374717498487</v>
      </c>
      <c r="C6879" t="s">
        <v>40</v>
      </c>
      <c r="D6879">
        <v>5.4364480000000004</v>
      </c>
      <c r="E6879">
        <v>0.48144979999999998</v>
      </c>
      <c r="F6879" t="s">
        <v>42</v>
      </c>
      <c r="G6879">
        <v>-186.70769999999999</v>
      </c>
      <c r="H6879" s="1">
        <v>-1.1948739999999999E-6</v>
      </c>
      <c r="I6879">
        <v>0.58512699999999995</v>
      </c>
      <c r="J6879">
        <v>-186.13550000000001</v>
      </c>
      <c r="K6879">
        <v>1.110603</v>
      </c>
      <c r="L6879">
        <v>-16.06296</v>
      </c>
      <c r="M6879">
        <v>1.371994E-2</v>
      </c>
      <c r="N6879">
        <v>0</v>
      </c>
      <c r="O6879">
        <v>0.99986180000000002</v>
      </c>
      <c r="P6879">
        <v>1.7232839999999999E-2</v>
      </c>
      <c r="Q6879">
        <v>5.7913640000000002E-2</v>
      </c>
      <c r="R6879">
        <v>0.99817290000000003</v>
      </c>
      <c r="S6879">
        <v>-0.1009979</v>
      </c>
      <c r="T6879">
        <v>-0.19735249999999999</v>
      </c>
      <c r="U6879">
        <v>3.0183110000000002</v>
      </c>
      <c r="V6879">
        <v>3.3809679999999998E-3</v>
      </c>
      <c r="W6879">
        <v>6.7291219999999999E-2</v>
      </c>
      <c r="X6879">
        <v>0.99772760000000005</v>
      </c>
      <c r="Y6879">
        <v>-4.7081610000000003E-2</v>
      </c>
      <c r="Z6879">
        <v>-6.5182210000000004E-2</v>
      </c>
      <c r="AA6879">
        <v>0.99676200000000004</v>
      </c>
      <c r="AB6879">
        <v>32</v>
      </c>
      <c r="AC6879">
        <v>-0.57219999999998095</v>
      </c>
      <c r="AD6879">
        <v>-1.110604194874</v>
      </c>
      <c r="AE6879">
        <v>16.648087</v>
      </c>
      <c r="AF6879">
        <v>-0.79702414342007599</v>
      </c>
      <c r="AG6879">
        <v>-1.110604194874</v>
      </c>
      <c r="AH6879">
        <v>16.5650364915018</v>
      </c>
      <c r="AI6879">
        <v>93.831240887635104</v>
      </c>
      <c r="AJ6879">
        <v>92.754653083653096</v>
      </c>
      <c r="AK6879">
        <v>16.621345406664702</v>
      </c>
      <c r="AL6879">
        <v>86.141581274301601</v>
      </c>
      <c r="AM6879">
        <v>89.805844345097796</v>
      </c>
      <c r="AN6879">
        <v>0.99999995151773102</v>
      </c>
    </row>
    <row r="6880" spans="1:40" x14ac:dyDescent="0.25">
      <c r="A6880" t="str">
        <f>"20190312151157527"</f>
        <v>20190312151157527</v>
      </c>
      <c r="B6880" t="str">
        <f>"1552374717518007"</f>
        <v>1552374717518007</v>
      </c>
      <c r="C6880" t="s">
        <v>40</v>
      </c>
      <c r="D6880">
        <v>5.4477669999999998</v>
      </c>
      <c r="E6880">
        <v>0.48148540000000001</v>
      </c>
      <c r="F6880" t="s">
        <v>42</v>
      </c>
      <c r="G6880">
        <v>-186.67330000000001</v>
      </c>
      <c r="H6880" s="1">
        <v>-1.1688430000000001E-6</v>
      </c>
      <c r="I6880">
        <v>0.48175420000000002</v>
      </c>
      <c r="J6880">
        <v>-186.1319</v>
      </c>
      <c r="K6880">
        <v>1.110603</v>
      </c>
      <c r="L6880">
        <v>-15.719480000000001</v>
      </c>
      <c r="M6880">
        <v>1.255217E-2</v>
      </c>
      <c r="N6880">
        <v>0</v>
      </c>
      <c r="O6880">
        <v>0.99987760000000003</v>
      </c>
      <c r="P6880">
        <v>1.7891420000000002E-2</v>
      </c>
      <c r="Q6880">
        <v>5.875118E-2</v>
      </c>
      <c r="R6880">
        <v>0.99811229999999995</v>
      </c>
      <c r="S6880">
        <v>-9.8144529999999994E-2</v>
      </c>
      <c r="T6880">
        <v>-0.20265449999999999</v>
      </c>
      <c r="U6880">
        <v>3.0189509999999999</v>
      </c>
      <c r="V6880">
        <v>5.2040139999999999E-3</v>
      </c>
      <c r="W6880">
        <v>6.8081429999999998E-2</v>
      </c>
      <c r="X6880">
        <v>0.99766619999999995</v>
      </c>
      <c r="Y6880">
        <v>-4.4962990000000001E-2</v>
      </c>
      <c r="Z6880">
        <v>-6.6917320000000002E-2</v>
      </c>
      <c r="AA6880">
        <v>0.99674490000000004</v>
      </c>
      <c r="AB6880">
        <v>33</v>
      </c>
      <c r="AC6880">
        <v>-0.54140000000000998</v>
      </c>
      <c r="AD6880">
        <v>-1.110604168843</v>
      </c>
      <c r="AE6880">
        <v>16.201234199999998</v>
      </c>
      <c r="AF6880">
        <v>-0.741247487304733</v>
      </c>
      <c r="AG6880">
        <v>-1.110604168843</v>
      </c>
      <c r="AH6880">
        <v>16.117507050511598</v>
      </c>
      <c r="AI6880">
        <v>93.937683015054006</v>
      </c>
      <c r="AJ6880">
        <v>92.633189326621306</v>
      </c>
      <c r="AK6880">
        <v>16.172721569994899</v>
      </c>
      <c r="AL6880">
        <v>86.096201709430105</v>
      </c>
      <c r="AM6880">
        <v>89.701137179424407</v>
      </c>
      <c r="AN6880">
        <v>1.00000000474749</v>
      </c>
    </row>
    <row r="6881" spans="1:40" x14ac:dyDescent="0.25">
      <c r="A6881" t="str">
        <f>"20190312151157548"</f>
        <v>20190312151157548</v>
      </c>
      <c r="B6881" t="str">
        <f>"1552374717538502"</f>
        <v>1552374717538502</v>
      </c>
      <c r="C6881" t="s">
        <v>40</v>
      </c>
      <c r="D6881">
        <v>5.4214520000000004</v>
      </c>
      <c r="E6881">
        <v>0.4813634</v>
      </c>
      <c r="F6881" t="s">
        <v>42</v>
      </c>
      <c r="G6881">
        <v>-186.6651</v>
      </c>
      <c r="H6881" s="1">
        <v>-1.363263E-6</v>
      </c>
      <c r="I6881">
        <v>1.0466219999999999</v>
      </c>
      <c r="J6881">
        <v>-186.12909999999999</v>
      </c>
      <c r="K6881">
        <v>1.1105959999999999</v>
      </c>
      <c r="L6881">
        <v>-15.408720000000001</v>
      </c>
      <c r="M6881">
        <v>1.1500089999999999E-2</v>
      </c>
      <c r="N6881">
        <v>0</v>
      </c>
      <c r="O6881">
        <v>0.99989070000000002</v>
      </c>
      <c r="P6881">
        <v>1.848087E-2</v>
      </c>
      <c r="Q6881">
        <v>5.9452350000000001E-2</v>
      </c>
      <c r="R6881">
        <v>0.99805999999999995</v>
      </c>
      <c r="S6881">
        <v>-9.6008300000000005E-2</v>
      </c>
      <c r="T6881">
        <v>-0.1999927</v>
      </c>
      <c r="U6881">
        <v>3.0191650000000001</v>
      </c>
      <c r="V6881">
        <v>6.8427669999999996E-3</v>
      </c>
      <c r="W6881">
        <v>6.8741250000000004E-2</v>
      </c>
      <c r="X6881">
        <v>0.99761100000000003</v>
      </c>
      <c r="Y6881">
        <v>-4.3206830000000002E-2</v>
      </c>
      <c r="Z6881">
        <v>-6.6042160000000003E-2</v>
      </c>
      <c r="AA6881">
        <v>0.99688089999999996</v>
      </c>
      <c r="AB6881">
        <v>33</v>
      </c>
      <c r="AC6881">
        <v>-0.53600000000000103</v>
      </c>
      <c r="AD6881">
        <v>-1.110597363263</v>
      </c>
      <c r="AE6881">
        <v>16.455342000000002</v>
      </c>
      <c r="AF6881">
        <v>-0.72192566587828999</v>
      </c>
      <c r="AG6881">
        <v>-1.110597363263</v>
      </c>
      <c r="AH6881">
        <v>16.373584898443799</v>
      </c>
      <c r="AI6881">
        <v>93.876594343864198</v>
      </c>
      <c r="AJ6881">
        <v>92.524585896629404</v>
      </c>
      <c r="AK6881">
        <v>16.427077816729501</v>
      </c>
      <c r="AL6881">
        <v>86.058307794940205</v>
      </c>
      <c r="AM6881">
        <v>89.607005615521302</v>
      </c>
      <c r="AN6881">
        <v>0.99999994511638701</v>
      </c>
    </row>
    <row r="6882" spans="1:40" x14ac:dyDescent="0.25">
      <c r="A6882" t="str">
        <f>"20190312151157570"</f>
        <v>20190312151157570</v>
      </c>
      <c r="B6882" t="str">
        <f>"1552374717567783"</f>
        <v>1552374717567783</v>
      </c>
      <c r="C6882" t="s">
        <v>40</v>
      </c>
      <c r="D6882">
        <v>5.4562889999999999</v>
      </c>
      <c r="E6882">
        <v>0.48135289999999997</v>
      </c>
      <c r="F6882" t="s">
        <v>42</v>
      </c>
      <c r="G6882">
        <v>-186.6541</v>
      </c>
      <c r="H6882" s="1">
        <v>-1.4417859999999999E-6</v>
      </c>
      <c r="I6882">
        <v>1.2687660000000001</v>
      </c>
      <c r="J6882">
        <v>-186.12639999999999</v>
      </c>
      <c r="K6882">
        <v>1.110592</v>
      </c>
      <c r="L6882">
        <v>-15.08142</v>
      </c>
      <c r="M6882">
        <v>1.0403280000000001E-2</v>
      </c>
      <c r="N6882">
        <v>0</v>
      </c>
      <c r="O6882">
        <v>0.99990310000000004</v>
      </c>
      <c r="P6882">
        <v>1.897882E-2</v>
      </c>
      <c r="Q6882">
        <v>5.9554700000000002E-2</v>
      </c>
      <c r="R6882">
        <v>0.99804459999999995</v>
      </c>
      <c r="S6882">
        <v>-9.5062259999999996E-2</v>
      </c>
      <c r="T6882">
        <v>-0.2010806</v>
      </c>
      <c r="U6882">
        <v>3.0195620000000001</v>
      </c>
      <c r="V6882">
        <v>8.4361990000000001E-3</v>
      </c>
      <c r="W6882">
        <v>6.8799760000000001E-2</v>
      </c>
      <c r="X6882">
        <v>0.9975948</v>
      </c>
      <c r="Y6882">
        <v>-4.1793980000000001E-2</v>
      </c>
      <c r="Z6882">
        <v>-6.6394659999999994E-2</v>
      </c>
      <c r="AA6882">
        <v>0.99691779999999997</v>
      </c>
      <c r="AB6882">
        <v>33</v>
      </c>
      <c r="AC6882">
        <v>-0.52770000000000905</v>
      </c>
      <c r="AD6882">
        <v>-1.1105934417859999</v>
      </c>
      <c r="AE6882">
        <v>16.350185999999901</v>
      </c>
      <c r="AF6882">
        <v>-0.69457295053398804</v>
      </c>
      <c r="AG6882">
        <v>-1.1105934417859999</v>
      </c>
      <c r="AH6882">
        <v>16.268827027443699</v>
      </c>
      <c r="AI6882">
        <v>93.901701247118694</v>
      </c>
      <c r="AJ6882">
        <v>92.444671993868695</v>
      </c>
      <c r="AK6882">
        <v>16.321476104367299</v>
      </c>
      <c r="AL6882">
        <v>86.054947603765498</v>
      </c>
      <c r="AM6882">
        <v>89.515487574535996</v>
      </c>
      <c r="AN6882">
        <v>0.99999998070833196</v>
      </c>
    </row>
    <row r="6883" spans="1:40" x14ac:dyDescent="0.25">
      <c r="A6883" t="str">
        <f>"20190312151157595"</f>
        <v>20190312151157595</v>
      </c>
      <c r="B6883" t="str">
        <f>"1552374717588279"</f>
        <v>1552374717588279</v>
      </c>
      <c r="C6883" t="s">
        <v>40</v>
      </c>
      <c r="D6883">
        <v>5.3609239999999998</v>
      </c>
      <c r="E6883">
        <v>0.48138809999999899</v>
      </c>
      <c r="F6883" t="s">
        <v>42</v>
      </c>
      <c r="G6883">
        <v>-186.63239999999999</v>
      </c>
      <c r="H6883" s="1">
        <v>-1.4572959999999999E-6</v>
      </c>
      <c r="I6883">
        <v>1.2974000000000001</v>
      </c>
      <c r="J6883">
        <v>-186.12389999999999</v>
      </c>
      <c r="K6883">
        <v>1.110576</v>
      </c>
      <c r="L6883">
        <v>-14.733429999999901</v>
      </c>
      <c r="M6883">
        <v>9.2597080000000002E-3</v>
      </c>
      <c r="N6883">
        <v>0</v>
      </c>
      <c r="O6883">
        <v>0.99991479999999999</v>
      </c>
      <c r="P6883">
        <v>1.930989E-2</v>
      </c>
      <c r="Q6883">
        <v>5.9979650000000002E-2</v>
      </c>
      <c r="R6883">
        <v>0.99801280000000003</v>
      </c>
      <c r="S6883">
        <v>-9.3307500000000002E-2</v>
      </c>
      <c r="T6883">
        <v>-0.20476720000000001</v>
      </c>
      <c r="U6883">
        <v>3.0198670000000001</v>
      </c>
      <c r="V6883">
        <v>9.9101290000000002E-3</v>
      </c>
      <c r="W6883">
        <v>6.9177470000000005E-2</v>
      </c>
      <c r="X6883">
        <v>0.99755510000000003</v>
      </c>
      <c r="Y6883">
        <v>-4.0066839999999999E-2</v>
      </c>
      <c r="Z6883">
        <v>-6.7603789999999997E-2</v>
      </c>
      <c r="AA6883">
        <v>0.9969074</v>
      </c>
      <c r="AB6883">
        <v>33</v>
      </c>
      <c r="AC6883">
        <v>-0.50849999999999795</v>
      </c>
      <c r="AD6883">
        <v>-1.1105774572959899</v>
      </c>
      <c r="AE6883">
        <v>16.030829999999899</v>
      </c>
      <c r="AF6883">
        <v>-0.65379064595290404</v>
      </c>
      <c r="AG6883">
        <v>-1.1105774572959899</v>
      </c>
      <c r="AH6883">
        <v>15.9489656028551</v>
      </c>
      <c r="AI6883">
        <v>93.979926824429498</v>
      </c>
      <c r="AJ6883">
        <v>92.347392582794797</v>
      </c>
      <c r="AK6883">
        <v>16.000947731257799</v>
      </c>
      <c r="AL6883">
        <v>86.033254628866004</v>
      </c>
      <c r="AM6883">
        <v>89.430818520475896</v>
      </c>
      <c r="AN6883">
        <v>0.99999995527420205</v>
      </c>
    </row>
    <row r="6884" spans="1:40" x14ac:dyDescent="0.25">
      <c r="A6884" t="str">
        <f>"20190312151157618"</f>
        <v>20190312151157618</v>
      </c>
      <c r="B6884" t="str">
        <f>"1552374717607799"</f>
        <v>1552374717607799</v>
      </c>
      <c r="C6884" t="s">
        <v>40</v>
      </c>
      <c r="D6884">
        <v>5.4837499999999997</v>
      </c>
      <c r="E6884">
        <v>0.48140189999999999</v>
      </c>
      <c r="F6884" t="s">
        <v>42</v>
      </c>
      <c r="G6884">
        <v>-186.61699999999999</v>
      </c>
      <c r="H6884" s="1">
        <v>-1.526681E-6</v>
      </c>
      <c r="I6884">
        <v>1.4891859999999999</v>
      </c>
      <c r="J6884">
        <v>-186.12180000000001</v>
      </c>
      <c r="K6884">
        <v>1.1105449999999999</v>
      </c>
      <c r="L6884">
        <v>-14.394869999999999</v>
      </c>
      <c r="M6884">
        <v>8.1819079999999999E-3</v>
      </c>
      <c r="N6884">
        <v>0</v>
      </c>
      <c r="O6884">
        <v>0.9999247</v>
      </c>
      <c r="P6884">
        <v>1.9827419999999998E-2</v>
      </c>
      <c r="Q6884">
        <v>6.0861079999999998E-2</v>
      </c>
      <c r="R6884">
        <v>0.99794930000000004</v>
      </c>
      <c r="S6884">
        <v>-9.1796879999999997E-2</v>
      </c>
      <c r="T6884">
        <v>-0.20675669999999999</v>
      </c>
      <c r="U6884">
        <v>3.0201720000000001</v>
      </c>
      <c r="V6884">
        <v>1.15056E-2</v>
      </c>
      <c r="W6884">
        <v>7.0016590000000004E-2</v>
      </c>
      <c r="X6884">
        <v>0.99747949999999996</v>
      </c>
      <c r="Y6884">
        <v>-3.8487149999999998E-2</v>
      </c>
      <c r="Z6884">
        <v>-6.8254319999999993E-2</v>
      </c>
      <c r="AA6884">
        <v>0.99692530000000001</v>
      </c>
      <c r="AB6884">
        <v>33</v>
      </c>
      <c r="AC6884">
        <v>-0.49520000000001102</v>
      </c>
      <c r="AD6884">
        <v>-1.110546526681</v>
      </c>
      <c r="AE6884">
        <v>15.884055999999999</v>
      </c>
      <c r="AF6884">
        <v>-0.62211267352464095</v>
      </c>
      <c r="AG6884">
        <v>-1.110546526681</v>
      </c>
      <c r="AH6884">
        <v>15.8023023108007</v>
      </c>
      <c r="AI6884">
        <v>94.016894057020096</v>
      </c>
      <c r="AJ6884">
        <v>92.254483691430394</v>
      </c>
      <c r="AK6884">
        <v>15.8534884517075</v>
      </c>
      <c r="AL6884">
        <v>85.985060016837906</v>
      </c>
      <c r="AM6884">
        <v>89.339141218562801</v>
      </c>
      <c r="AN6884">
        <v>1.00000002731341</v>
      </c>
    </row>
    <row r="6885" spans="1:40" x14ac:dyDescent="0.25">
      <c r="A6885" t="str">
        <f>"20190312151157651"</f>
        <v>20190312151157651</v>
      </c>
      <c r="B6885" t="str">
        <f>"1552374717647815"</f>
        <v>1552374717647815</v>
      </c>
      <c r="C6885" t="s">
        <v>40</v>
      </c>
      <c r="D6885">
        <v>5.3880179999999998</v>
      </c>
      <c r="E6885">
        <v>0.48137590000000002</v>
      </c>
      <c r="F6885" t="s">
        <v>42</v>
      </c>
      <c r="G6885">
        <v>-186.61330000000001</v>
      </c>
      <c r="H6885" s="1">
        <v>-1.7440740000000001E-6</v>
      </c>
      <c r="I6885">
        <v>2.125121</v>
      </c>
      <c r="J6885">
        <v>-186.11940000000001</v>
      </c>
      <c r="K6885">
        <v>1.11049</v>
      </c>
      <c r="L6885">
        <v>-13.90982</v>
      </c>
      <c r="M6885">
        <v>6.7387380000000002E-3</v>
      </c>
      <c r="N6885">
        <v>0</v>
      </c>
      <c r="O6885">
        <v>0.99993589999999999</v>
      </c>
      <c r="P6885">
        <v>1.8472570000000001E-2</v>
      </c>
      <c r="Q6885">
        <v>6.2118760000000002E-2</v>
      </c>
      <c r="R6885">
        <v>0.99789779999999995</v>
      </c>
      <c r="S6885">
        <v>-8.9859010000000003E-2</v>
      </c>
      <c r="T6885">
        <v>-0.20303959999999999</v>
      </c>
      <c r="U6885">
        <v>3.0203250000000001</v>
      </c>
      <c r="V6885">
        <v>1.1597669999999999E-2</v>
      </c>
      <c r="W6885">
        <v>7.1216630000000003E-2</v>
      </c>
      <c r="X6885">
        <v>0.99739339999999999</v>
      </c>
      <c r="Y6885">
        <v>-3.640674E-2</v>
      </c>
      <c r="Z6885">
        <v>-6.7033780000000001E-2</v>
      </c>
      <c r="AA6885">
        <v>0.99708629999999998</v>
      </c>
      <c r="AB6885">
        <v>33</v>
      </c>
      <c r="AC6885">
        <v>-0.49389999999999601</v>
      </c>
      <c r="AD6885">
        <v>-1.1104917440739901</v>
      </c>
      <c r="AE6885">
        <v>16.034941</v>
      </c>
      <c r="AF6885">
        <v>-0.59907795863105795</v>
      </c>
      <c r="AG6885">
        <v>-1.1104917440739901</v>
      </c>
      <c r="AH6885">
        <v>15.954798848828901</v>
      </c>
      <c r="AI6885">
        <v>93.978705878824897</v>
      </c>
      <c r="AJ6885">
        <v>92.150357476122494</v>
      </c>
      <c r="AK6885">
        <v>16.004614728907601</v>
      </c>
      <c r="AL6885">
        <v>85.916130408911201</v>
      </c>
      <c r="AM6885">
        <v>89.333795875598099</v>
      </c>
      <c r="AN6885">
        <v>0.99999995435077105</v>
      </c>
    </row>
    <row r="6886" spans="1:40" x14ac:dyDescent="0.25">
      <c r="A6886" t="str">
        <f>"20190312151157671"</f>
        <v>20190312151157671</v>
      </c>
      <c r="B6886" t="str">
        <f>"1552374717668311"</f>
        <v>1552374717668311</v>
      </c>
      <c r="C6886" t="s">
        <v>40</v>
      </c>
      <c r="D6886">
        <v>5.3311830000000002</v>
      </c>
      <c r="E6886">
        <v>0.48134379999999999</v>
      </c>
      <c r="F6886" t="s">
        <v>42</v>
      </c>
      <c r="G6886">
        <v>-186.64830000000001</v>
      </c>
      <c r="H6886" s="1">
        <v>-2.0898989999999999E-6</v>
      </c>
      <c r="I6886">
        <v>3.1185299999999998</v>
      </c>
      <c r="J6886">
        <v>-186.1181</v>
      </c>
      <c r="K6886">
        <v>1.110452</v>
      </c>
      <c r="L6886">
        <v>-13.60712</v>
      </c>
      <c r="M6886">
        <v>5.8965780000000004E-3</v>
      </c>
      <c r="N6886">
        <v>0</v>
      </c>
      <c r="O6886">
        <v>0.99994150000000004</v>
      </c>
      <c r="P6886">
        <v>1.74483E-2</v>
      </c>
      <c r="Q6886">
        <v>6.2880619999999998E-2</v>
      </c>
      <c r="R6886">
        <v>0.99786850000000005</v>
      </c>
      <c r="S6886">
        <v>-9.3826290000000007E-2</v>
      </c>
      <c r="T6886">
        <v>-0.19696830000000001</v>
      </c>
      <c r="U6886">
        <v>3.0203250000000001</v>
      </c>
      <c r="V6886">
        <v>1.1419189999999999E-2</v>
      </c>
      <c r="W6886">
        <v>7.1946700000000002E-2</v>
      </c>
      <c r="X6886">
        <v>0.99734310000000004</v>
      </c>
      <c r="Y6886">
        <v>-3.6877689999999998E-2</v>
      </c>
      <c r="Z6886">
        <v>-6.50366E-2</v>
      </c>
      <c r="AA6886">
        <v>0.99720120000000001</v>
      </c>
      <c r="AB6886">
        <v>33</v>
      </c>
      <c r="AC6886">
        <v>-0.530200000000007</v>
      </c>
      <c r="AD6886">
        <v>-1.1104540898989901</v>
      </c>
      <c r="AE6886">
        <v>16.725650000000002</v>
      </c>
      <c r="AF6886">
        <v>-0.62606206585444502</v>
      </c>
      <c r="AG6886">
        <v>-1.1104540898989901</v>
      </c>
      <c r="AH6886">
        <v>16.648919021215601</v>
      </c>
      <c r="AI6886">
        <v>93.813190438515406</v>
      </c>
      <c r="AJ6886">
        <v>92.153522447361198</v>
      </c>
      <c r="AK6886">
        <v>16.6976515286153</v>
      </c>
      <c r="AL6886">
        <v>85.874193052731698</v>
      </c>
      <c r="AM6886">
        <v>89.344014307165807</v>
      </c>
      <c r="AN6886">
        <v>0.99999999232937797</v>
      </c>
    </row>
    <row r="6887" spans="1:40" x14ac:dyDescent="0.25">
      <c r="A6887" t="str">
        <f>"20190312151157693"</f>
        <v>20190312151157693</v>
      </c>
      <c r="B6887" t="str">
        <f>"1552374717687832"</f>
        <v>1552374717687832</v>
      </c>
      <c r="C6887" t="s">
        <v>40</v>
      </c>
      <c r="D6887">
        <v>5.3156970000000001</v>
      </c>
      <c r="E6887">
        <v>0.4813501</v>
      </c>
      <c r="F6887" t="s">
        <v>42</v>
      </c>
      <c r="G6887">
        <v>-186.6635</v>
      </c>
      <c r="H6887" s="1">
        <v>-2.1697190000000001E-6</v>
      </c>
      <c r="I6887">
        <v>3.3108490000000002</v>
      </c>
      <c r="J6887">
        <v>-186.11699999999999</v>
      </c>
      <c r="K6887">
        <v>1.1104069999999999</v>
      </c>
      <c r="L6887">
        <v>-13.27454</v>
      </c>
      <c r="M6887">
        <v>5.0324949999999997E-3</v>
      </c>
      <c r="N6887">
        <v>0</v>
      </c>
      <c r="O6887">
        <v>0.99994649999999996</v>
      </c>
      <c r="P6887">
        <v>1.6611560000000001E-2</v>
      </c>
      <c r="Q6887">
        <v>6.3260759999999999E-2</v>
      </c>
      <c r="R6887">
        <v>0.99785880000000005</v>
      </c>
      <c r="S6887">
        <v>-9.7366330000000001E-2</v>
      </c>
      <c r="T6887">
        <v>-0.19826479999999999</v>
      </c>
      <c r="U6887">
        <v>3.0205989999999998</v>
      </c>
      <c r="V6887">
        <v>1.145213E-2</v>
      </c>
      <c r="W6887">
        <v>7.2296739999999998E-2</v>
      </c>
      <c r="X6887">
        <v>0.99731740000000002</v>
      </c>
      <c r="Y6887">
        <v>-3.7177969999999998E-2</v>
      </c>
      <c r="Z6887">
        <v>-6.5455840000000001E-2</v>
      </c>
      <c r="AA6887">
        <v>0.99716260000000001</v>
      </c>
      <c r="AB6887">
        <v>33</v>
      </c>
      <c r="AC6887">
        <v>-0.54649999999998</v>
      </c>
      <c r="AD6887">
        <v>-1.1104091697189999</v>
      </c>
      <c r="AE6887">
        <v>16.585388999999999</v>
      </c>
      <c r="AF6887">
        <v>-0.62715424078471904</v>
      </c>
      <c r="AG6887">
        <v>-1.1104091697189999</v>
      </c>
      <c r="AH6887">
        <v>16.5085103930735</v>
      </c>
      <c r="AI6887">
        <v>93.845314642400695</v>
      </c>
      <c r="AJ6887">
        <v>92.175606316653997</v>
      </c>
      <c r="AK6887">
        <v>16.557694476108299</v>
      </c>
      <c r="AL6887">
        <v>85.854084834601906</v>
      </c>
      <c r="AM6887">
        <v>89.342105253713299</v>
      </c>
      <c r="AN6887">
        <v>0.99999998311946203</v>
      </c>
    </row>
    <row r="6888" spans="1:40" x14ac:dyDescent="0.25">
      <c r="A6888" t="str">
        <f>"20190312151157718"</f>
        <v>20190312151157718</v>
      </c>
      <c r="B6888" t="str">
        <f>"1552374717708328"</f>
        <v>1552374717708328</v>
      </c>
      <c r="C6888" t="s">
        <v>40</v>
      </c>
      <c r="D6888">
        <v>5.3425779999999996</v>
      </c>
      <c r="E6888">
        <v>0.48143350000000001</v>
      </c>
      <c r="F6888" t="s">
        <v>42</v>
      </c>
      <c r="G6888">
        <v>-186.6737</v>
      </c>
      <c r="H6888" s="1">
        <v>-2.2570780000000002E-6</v>
      </c>
      <c r="I6888">
        <v>3.5186980000000001</v>
      </c>
      <c r="J6888">
        <v>-186.11609999999999</v>
      </c>
      <c r="K6888">
        <v>1.1103430000000001</v>
      </c>
      <c r="L6888">
        <v>-12.923489999999999</v>
      </c>
      <c r="M6888">
        <v>4.2015569999999999E-3</v>
      </c>
      <c r="N6888">
        <v>0</v>
      </c>
      <c r="O6888">
        <v>0.99995060000000002</v>
      </c>
      <c r="P6888">
        <v>1.5692379999999999E-2</v>
      </c>
      <c r="Q6888">
        <v>6.3313159999999993E-2</v>
      </c>
      <c r="R6888">
        <v>0.99787029999999999</v>
      </c>
      <c r="S6888">
        <v>-0.1001282</v>
      </c>
      <c r="T6888">
        <v>-0.19973930000000001</v>
      </c>
      <c r="U6888">
        <v>3.0207519999999999</v>
      </c>
      <c r="V6888">
        <v>1.137172E-2</v>
      </c>
      <c r="W6888">
        <v>7.2321469999999999E-2</v>
      </c>
      <c r="X6888">
        <v>0.99731650000000005</v>
      </c>
      <c r="Y6888">
        <v>-3.7255610000000002E-2</v>
      </c>
      <c r="Z6888">
        <v>-6.5936499999999995E-2</v>
      </c>
      <c r="AA6888">
        <v>0.99712809999999996</v>
      </c>
      <c r="AB6888">
        <v>33</v>
      </c>
      <c r="AC6888">
        <v>-0.55760000000000698</v>
      </c>
      <c r="AD6888">
        <v>-1.1103452570779999</v>
      </c>
      <c r="AE6888">
        <v>16.442187999999899</v>
      </c>
      <c r="AF6888">
        <v>-0.62383902340753405</v>
      </c>
      <c r="AG6888">
        <v>-1.1103452570779999</v>
      </c>
      <c r="AH6888">
        <v>16.365155099171101</v>
      </c>
      <c r="AI6888">
        <v>93.878654690757202</v>
      </c>
      <c r="AJ6888">
        <v>92.183055690223597</v>
      </c>
      <c r="AK6888">
        <v>16.414638075113601</v>
      </c>
      <c r="AL6888">
        <v>85.852664078857799</v>
      </c>
      <c r="AM6888">
        <v>89.346723605481998</v>
      </c>
      <c r="AN6888">
        <v>0.99999995610548298</v>
      </c>
    </row>
    <row r="6889" spans="1:40" x14ac:dyDescent="0.25">
      <c r="A6889" t="str">
        <f>"20190312151157740"</f>
        <v>20190312151157740</v>
      </c>
      <c r="B6889" t="str">
        <f>"1552374717727846"</f>
        <v>1552374717727846</v>
      </c>
      <c r="C6889" t="s">
        <v>40</v>
      </c>
      <c r="D6889">
        <v>5.2443619999999997</v>
      </c>
      <c r="E6889">
        <v>0.481485</v>
      </c>
      <c r="F6889" t="s">
        <v>42</v>
      </c>
      <c r="G6889">
        <v>-186.6789</v>
      </c>
      <c r="H6889" s="1">
        <v>-2.3213250000000002E-6</v>
      </c>
      <c r="I6889">
        <v>3.6706289999999999</v>
      </c>
      <c r="J6889">
        <v>-186.11539999999999</v>
      </c>
      <c r="K6889">
        <v>1.110287</v>
      </c>
      <c r="L6889">
        <v>-12.59308</v>
      </c>
      <c r="M6889">
        <v>3.510034E-3</v>
      </c>
      <c r="N6889">
        <v>0</v>
      </c>
      <c r="O6889">
        <v>0.99995339999999999</v>
      </c>
      <c r="P6889">
        <v>1.464233E-2</v>
      </c>
      <c r="Q6889">
        <v>6.3919939999999995E-2</v>
      </c>
      <c r="R6889">
        <v>0.99784759999999995</v>
      </c>
      <c r="S6889">
        <v>-0.10246280000000001</v>
      </c>
      <c r="T6889">
        <v>-0.20213059999999999</v>
      </c>
      <c r="U6889">
        <v>3.0208439999999999</v>
      </c>
      <c r="V6889">
        <v>1.1021090000000001E-2</v>
      </c>
      <c r="W6889">
        <v>7.2905960000000006E-2</v>
      </c>
      <c r="X6889">
        <v>0.99727790000000005</v>
      </c>
      <c r="Y6889">
        <v>-3.7331509999999998E-2</v>
      </c>
      <c r="Z6889">
        <v>-6.6719680000000003E-2</v>
      </c>
      <c r="AA6889">
        <v>0.99707310000000005</v>
      </c>
      <c r="AB6889">
        <v>33</v>
      </c>
      <c r="AC6889">
        <v>-0.563500000000004</v>
      </c>
      <c r="AD6889">
        <v>-1.110289321325</v>
      </c>
      <c r="AE6889">
        <v>16.263708999999999</v>
      </c>
      <c r="AF6889">
        <v>-0.61770962062000301</v>
      </c>
      <c r="AG6889">
        <v>-1.110289321325</v>
      </c>
      <c r="AH6889">
        <v>16.186284980693799</v>
      </c>
      <c r="AI6889">
        <v>93.921180356158402</v>
      </c>
      <c r="AJ6889">
        <v>92.185491470380796</v>
      </c>
      <c r="AK6889">
        <v>16.236074926800701</v>
      </c>
      <c r="AL6889">
        <v>85.819086712902504</v>
      </c>
      <c r="AM6889">
        <v>89.366840237775094</v>
      </c>
      <c r="AN6889">
        <v>0.99999997662835904</v>
      </c>
    </row>
    <row r="6890" spans="1:40" x14ac:dyDescent="0.25">
      <c r="A6890" t="str">
        <f>"20190312151157762"</f>
        <v>20190312151157762</v>
      </c>
      <c r="B6890" t="str">
        <f>"1552374717758102"</f>
        <v>1552374717758102</v>
      </c>
      <c r="C6890" t="s">
        <v>40</v>
      </c>
      <c r="D6890">
        <v>5.2313489999999998</v>
      </c>
      <c r="E6890">
        <v>0.45745859999999999</v>
      </c>
      <c r="F6890" t="s">
        <v>42</v>
      </c>
      <c r="G6890">
        <v>-186.69069999999999</v>
      </c>
      <c r="H6890" s="1">
        <v>-2.4420550000000001E-6</v>
      </c>
      <c r="I6890">
        <v>3.9569420000000002</v>
      </c>
      <c r="J6890">
        <v>-186.1148</v>
      </c>
      <c r="K6890">
        <v>1.110223</v>
      </c>
      <c r="L6890">
        <v>-12.26416</v>
      </c>
      <c r="M6890">
        <v>2.9004640000000002E-3</v>
      </c>
      <c r="N6890">
        <v>0</v>
      </c>
      <c r="O6890">
        <v>0.9999555</v>
      </c>
      <c r="P6890">
        <v>1.4198870000000001E-2</v>
      </c>
      <c r="Q6890">
        <v>6.4300899999999994E-2</v>
      </c>
      <c r="R6890">
        <v>0.99782959999999998</v>
      </c>
      <c r="S6890">
        <v>-0.1050262</v>
      </c>
      <c r="T6890">
        <v>-0.2026693</v>
      </c>
      <c r="U6890">
        <v>3.0209959999999998</v>
      </c>
      <c r="V6890">
        <v>1.119621E-2</v>
      </c>
      <c r="W6890">
        <v>7.3268819999999998E-2</v>
      </c>
      <c r="X6890">
        <v>0.99724939999999995</v>
      </c>
      <c r="Y6890">
        <v>-3.7565309999999998E-2</v>
      </c>
      <c r="Z6890">
        <v>-6.6892279999999998E-2</v>
      </c>
      <c r="AA6890">
        <v>0.99705279999999996</v>
      </c>
      <c r="AB6890">
        <v>33</v>
      </c>
      <c r="AC6890">
        <v>-0.57589999999998998</v>
      </c>
      <c r="AD6890">
        <v>-1.110225442055</v>
      </c>
      <c r="AE6890">
        <v>16.221101999999998</v>
      </c>
      <c r="AF6890">
        <v>-0.62004725152000895</v>
      </c>
      <c r="AG6890">
        <v>-1.110225442055</v>
      </c>
      <c r="AH6890">
        <v>16.143833015490401</v>
      </c>
      <c r="AI6890">
        <v>93.9311970232975</v>
      </c>
      <c r="AJ6890">
        <v>92.199517131275599</v>
      </c>
      <c r="AK6890">
        <v>16.193838444246101</v>
      </c>
      <c r="AL6890">
        <v>85.798240798156897</v>
      </c>
      <c r="AM6890">
        <v>89.356762081187995</v>
      </c>
      <c r="AN6890">
        <v>1.0000000204514501</v>
      </c>
    </row>
    <row r="6891" spans="1:40" x14ac:dyDescent="0.25">
      <c r="A6891" t="str">
        <f>"20190312151157784"</f>
        <v>20190312151157784</v>
      </c>
      <c r="B6891" t="str">
        <f>"1552374717778600"</f>
        <v>1552374717778600</v>
      </c>
      <c r="C6891" t="s">
        <v>40</v>
      </c>
      <c r="D6891">
        <v>5.2067569999999996</v>
      </c>
      <c r="E6891">
        <v>0.4535479</v>
      </c>
      <c r="F6891" t="s">
        <v>42</v>
      </c>
      <c r="G6891">
        <v>-187.2723</v>
      </c>
      <c r="H6891" s="1">
        <v>-4.7133210000000002E-6</v>
      </c>
      <c r="I6891">
        <v>-0.50820920000000003</v>
      </c>
      <c r="J6891">
        <v>-186.11439999999999</v>
      </c>
      <c r="K6891">
        <v>1.1101639999999999</v>
      </c>
      <c r="L6891">
        <v>-11.936680000000001</v>
      </c>
      <c r="M6891">
        <v>2.3561519999999998E-3</v>
      </c>
      <c r="N6891">
        <v>0</v>
      </c>
      <c r="O6891">
        <v>0.99995710000000004</v>
      </c>
      <c r="P6891">
        <v>1.380257E-2</v>
      </c>
      <c r="Q6891">
        <v>6.4465519999999998E-2</v>
      </c>
      <c r="R6891">
        <v>0.9978245</v>
      </c>
      <c r="S6891">
        <v>-0.29824830000000002</v>
      </c>
      <c r="T6891">
        <v>-0.28607690000000002</v>
      </c>
      <c r="U6891">
        <v>3.0292050000000001</v>
      </c>
      <c r="V6891">
        <v>1.1352869999999999E-2</v>
      </c>
      <c r="W6891">
        <v>7.3418129999999998E-2</v>
      </c>
      <c r="X6891">
        <v>0.99723660000000003</v>
      </c>
      <c r="Y6891">
        <v>-9.9898650000000005E-2</v>
      </c>
      <c r="Z6891">
        <v>-9.3561480000000002E-2</v>
      </c>
      <c r="AA6891">
        <v>0.99058900000000005</v>
      </c>
      <c r="AB6891">
        <v>33</v>
      </c>
      <c r="AC6891">
        <v>-1.1579000000000099</v>
      </c>
      <c r="AD6891">
        <v>-1.1101687133210001</v>
      </c>
      <c r="AE6891">
        <v>11.428470799999999</v>
      </c>
      <c r="AF6891">
        <v>-1.17386072982956</v>
      </c>
      <c r="AG6891">
        <v>-1.1101687133210001</v>
      </c>
      <c r="AH6891">
        <v>11.319977448286499</v>
      </c>
      <c r="AI6891">
        <v>95.571492818294999</v>
      </c>
      <c r="AJ6891">
        <v>95.920305947864307</v>
      </c>
      <c r="AK6891">
        <v>11.4346977666569</v>
      </c>
      <c r="AL6891">
        <v>85.789662662415594</v>
      </c>
      <c r="AM6891">
        <v>89.347754146273601</v>
      </c>
      <c r="AN6891">
        <v>0.99999997292474596</v>
      </c>
    </row>
    <row r="6892" spans="1:40" x14ac:dyDescent="0.25">
      <c r="A6892" t="str">
        <f>"20190312151157806"</f>
        <v>20190312151157806</v>
      </c>
      <c r="B6892" t="str">
        <f>"1552374717798120"</f>
        <v>1552374717798120</v>
      </c>
      <c r="C6892" t="s">
        <v>40</v>
      </c>
      <c r="D6892">
        <v>5.1928489999999998</v>
      </c>
      <c r="E6892">
        <v>0.45183030000000002</v>
      </c>
      <c r="F6892" t="s">
        <v>42</v>
      </c>
      <c r="G6892">
        <v>-187.36109999999999</v>
      </c>
      <c r="H6892" s="1">
        <v>-4.6929530000000004E-6</v>
      </c>
      <c r="I6892">
        <v>-0.51895049999999998</v>
      </c>
      <c r="J6892">
        <v>-186.11410000000001</v>
      </c>
      <c r="K6892">
        <v>1.1101110000000001</v>
      </c>
      <c r="L6892">
        <v>-11.60272</v>
      </c>
      <c r="M6892">
        <v>1.8629440000000001E-3</v>
      </c>
      <c r="N6892">
        <v>0</v>
      </c>
      <c r="O6892">
        <v>0.99995820000000002</v>
      </c>
      <c r="P6892">
        <v>1.339562E-2</v>
      </c>
      <c r="Q6892">
        <v>6.5135689999999996E-2</v>
      </c>
      <c r="R6892">
        <v>0.99778650000000002</v>
      </c>
      <c r="S6892">
        <v>-0.33087159999999999</v>
      </c>
      <c r="T6892">
        <v>-0.2946278</v>
      </c>
      <c r="U6892">
        <v>3.030151</v>
      </c>
      <c r="V6892">
        <v>1.1446649999999999E-2</v>
      </c>
      <c r="W6892">
        <v>7.4075799999999997E-2</v>
      </c>
      <c r="X6892">
        <v>0.99718689999999999</v>
      </c>
      <c r="Y6892">
        <v>-0.1098962</v>
      </c>
      <c r="Z6892">
        <v>-9.6199069999999998E-2</v>
      </c>
      <c r="AA6892">
        <v>0.98927679999999996</v>
      </c>
      <c r="AB6892">
        <v>33</v>
      </c>
      <c r="AC6892">
        <v>-1.2469999999999799</v>
      </c>
      <c r="AD6892">
        <v>-1.1101156929530001</v>
      </c>
      <c r="AE6892">
        <v>11.083769500000001</v>
      </c>
      <c r="AF6892">
        <v>-1.25521295185743</v>
      </c>
      <c r="AG6892">
        <v>-1.1101156929530001</v>
      </c>
      <c r="AH6892">
        <v>10.972731086281099</v>
      </c>
      <c r="AI6892">
        <v>95.739800024283795</v>
      </c>
      <c r="AJ6892">
        <v>96.525917505804202</v>
      </c>
      <c r="AK6892">
        <v>11.099943418688699</v>
      </c>
      <c r="AL6892">
        <v>85.751878094846703</v>
      </c>
      <c r="AM6892">
        <v>89.342333988937</v>
      </c>
      <c r="AN6892">
        <v>0.99999998173673599</v>
      </c>
    </row>
    <row r="6893" spans="1:40" x14ac:dyDescent="0.25">
      <c r="A6893" t="str">
        <f>"20190312151157850"</f>
        <v>20190312151157850</v>
      </c>
      <c r="B6893" t="str">
        <f>"1552374717847895"</f>
        <v>1552374717847895</v>
      </c>
      <c r="C6893" t="s">
        <v>40</v>
      </c>
      <c r="D6893">
        <v>5.2240729999999997</v>
      </c>
      <c r="E6893">
        <v>0.45026050000000001</v>
      </c>
      <c r="F6893" t="s">
        <v>42</v>
      </c>
      <c r="G6893">
        <v>-187.44839999999999</v>
      </c>
      <c r="H6893" s="1">
        <v>-8.2802989999999999E-7</v>
      </c>
      <c r="I6893">
        <v>8.6272689999999999E-2</v>
      </c>
      <c r="J6893">
        <v>-186.1139</v>
      </c>
      <c r="K6893">
        <v>1.11002</v>
      </c>
      <c r="L6893">
        <v>-10.936249999999999</v>
      </c>
      <c r="M6893">
        <v>1.042397E-3</v>
      </c>
      <c r="N6893">
        <v>0</v>
      </c>
      <c r="O6893">
        <v>0.99995959999999995</v>
      </c>
      <c r="P6893">
        <v>1.429178E-2</v>
      </c>
      <c r="Q6893">
        <v>6.5652249999999995E-2</v>
      </c>
      <c r="R6893">
        <v>0.99774019999999997</v>
      </c>
      <c r="S6893">
        <v>-0.34588619999999998</v>
      </c>
      <c r="T6893">
        <v>-0.28776970000000002</v>
      </c>
      <c r="U6893">
        <v>3.03009</v>
      </c>
      <c r="V6893">
        <v>1.317754E-2</v>
      </c>
      <c r="W6893">
        <v>7.4575569999999994E-2</v>
      </c>
      <c r="X6893">
        <v>0.99712829999999997</v>
      </c>
      <c r="Y6893">
        <v>-0.1139481</v>
      </c>
      <c r="Z6893">
        <v>-9.3934970000000007E-2</v>
      </c>
      <c r="AA6893">
        <v>0.98903589999999997</v>
      </c>
      <c r="AB6893">
        <v>33</v>
      </c>
      <c r="AC6893">
        <v>-1.33449999999999</v>
      </c>
      <c r="AD6893">
        <v>-1.1100208280299</v>
      </c>
      <c r="AE6893">
        <v>11.022522690000001</v>
      </c>
      <c r="AF6893">
        <v>-1.3326696132587601</v>
      </c>
      <c r="AG6893">
        <v>-1.1100208280299</v>
      </c>
      <c r="AH6893">
        <v>10.91206008775</v>
      </c>
      <c r="AI6893">
        <v>95.765840318717693</v>
      </c>
      <c r="AJ6893">
        <v>96.962945564532504</v>
      </c>
      <c r="AK6893">
        <v>11.0490366048552</v>
      </c>
      <c r="AL6893">
        <v>85.723164058975598</v>
      </c>
      <c r="AM6893">
        <v>89.242852222152706</v>
      </c>
      <c r="AN6893">
        <v>1.00000000493108</v>
      </c>
    </row>
    <row r="6894" spans="1:40" x14ac:dyDescent="0.25">
      <c r="A6894" t="str">
        <f>"20190312151157872"</f>
        <v>20190312151157872</v>
      </c>
      <c r="B6894" t="str">
        <f>"1552374717868394"</f>
        <v>1552374717868394</v>
      </c>
      <c r="C6894" t="s">
        <v>40</v>
      </c>
      <c r="D6894">
        <v>5.2315899999999997</v>
      </c>
      <c r="E6894">
        <v>0.4499069</v>
      </c>
      <c r="F6894" t="s">
        <v>42</v>
      </c>
      <c r="G6894">
        <v>-187.4383</v>
      </c>
      <c r="H6894" s="1">
        <v>-9.1602870000000003E-7</v>
      </c>
      <c r="I6894">
        <v>0.33697850000000001</v>
      </c>
      <c r="J6894">
        <v>-186.1139</v>
      </c>
      <c r="K6894">
        <v>1.1099909999999999</v>
      </c>
      <c r="L6894">
        <v>-10.63388</v>
      </c>
      <c r="M6894">
        <v>7.2759409999999995E-4</v>
      </c>
      <c r="N6894">
        <v>0</v>
      </c>
      <c r="O6894">
        <v>0.99995990000000001</v>
      </c>
      <c r="P6894">
        <v>1.4959160000000001E-2</v>
      </c>
      <c r="Q6894">
        <v>6.6274440000000004E-2</v>
      </c>
      <c r="R6894">
        <v>0.9976893</v>
      </c>
      <c r="S6894">
        <v>-0.35617070000000001</v>
      </c>
      <c r="T6894">
        <v>-0.29849969999999998</v>
      </c>
      <c r="U6894">
        <v>3.0315249999999998</v>
      </c>
      <c r="V6894">
        <v>1.4164929999999999E-2</v>
      </c>
      <c r="W6894">
        <v>7.5192759999999997E-2</v>
      </c>
      <c r="X6894">
        <v>0.99706839999999997</v>
      </c>
      <c r="Y6894">
        <v>-0.116855</v>
      </c>
      <c r="Z6894">
        <v>-9.7324110000000005E-2</v>
      </c>
      <c r="AA6894">
        <v>0.98836880000000005</v>
      </c>
      <c r="AB6894">
        <v>33</v>
      </c>
      <c r="AC6894">
        <v>-1.32439999999999</v>
      </c>
      <c r="AD6894">
        <v>-1.1099919160287</v>
      </c>
      <c r="AE6894">
        <v>10.9708585</v>
      </c>
      <c r="AF6894">
        <v>-1.3190733450935099</v>
      </c>
      <c r="AG6894">
        <v>-1.1099919160287</v>
      </c>
      <c r="AH6894">
        <v>10.860315431414801</v>
      </c>
      <c r="AI6894">
        <v>95.793438434566795</v>
      </c>
      <c r="AJ6894">
        <v>96.925116537960406</v>
      </c>
      <c r="AK6894">
        <v>10.9962942764011</v>
      </c>
      <c r="AL6894">
        <v>85.687702066296495</v>
      </c>
      <c r="AM6894">
        <v>89.186077793216995</v>
      </c>
      <c r="AN6894">
        <v>0.99999999533844097</v>
      </c>
    </row>
    <row r="6895" spans="1:40" x14ac:dyDescent="0.25">
      <c r="A6895" t="str">
        <f>"20190312151157894"</f>
        <v>20190312151157894</v>
      </c>
      <c r="B6895" t="str">
        <f>"1552374717887910"</f>
        <v>1552374717887910</v>
      </c>
      <c r="C6895" t="s">
        <v>40</v>
      </c>
      <c r="D6895">
        <v>5.2371869999999996</v>
      </c>
      <c r="E6895">
        <v>0.44976699999999997</v>
      </c>
      <c r="F6895" t="s">
        <v>42</v>
      </c>
      <c r="G6895">
        <v>-187.4631</v>
      </c>
      <c r="H6895" s="1">
        <v>-1.0770180000000001E-6</v>
      </c>
      <c r="I6895">
        <v>0.82940069999999999</v>
      </c>
      <c r="J6895">
        <v>-186.114</v>
      </c>
      <c r="K6895">
        <v>1.1099589999999999</v>
      </c>
      <c r="L6895">
        <v>-10.28668</v>
      </c>
      <c r="M6895">
        <v>3.9631209999999999E-4</v>
      </c>
      <c r="N6895">
        <v>0</v>
      </c>
      <c r="O6895">
        <v>0.99996010000000002</v>
      </c>
      <c r="P6895">
        <v>1.5449050000000001E-2</v>
      </c>
      <c r="Q6895">
        <v>6.6632689999999994E-2</v>
      </c>
      <c r="R6895">
        <v>0.99765800000000004</v>
      </c>
      <c r="S6895">
        <v>-0.35684199999999999</v>
      </c>
      <c r="T6895">
        <v>-0.29356979999999999</v>
      </c>
      <c r="U6895">
        <v>3.0317989999999999</v>
      </c>
      <c r="V6895">
        <v>1.49915E-2</v>
      </c>
      <c r="W6895">
        <v>7.5546530000000001E-2</v>
      </c>
      <c r="X6895">
        <v>0.99702959999999996</v>
      </c>
      <c r="Y6895">
        <v>-0.1167497</v>
      </c>
      <c r="Z6895">
        <v>-9.5722580000000002E-2</v>
      </c>
      <c r="AA6895">
        <v>0.98853769999999996</v>
      </c>
      <c r="AB6895">
        <v>34</v>
      </c>
      <c r="AC6895">
        <v>-1.34909999999999</v>
      </c>
      <c r="AD6895">
        <v>-1.10996007701799</v>
      </c>
      <c r="AE6895">
        <v>11.116080699999999</v>
      </c>
      <c r="AF6895">
        <v>-1.3403358418623199</v>
      </c>
      <c r="AG6895">
        <v>-1.10996007701799</v>
      </c>
      <c r="AH6895">
        <v>11.007390424231801</v>
      </c>
      <c r="AI6895">
        <v>95.716172643209802</v>
      </c>
      <c r="AJ6895">
        <v>96.942551434630602</v>
      </c>
      <c r="AK6895">
        <v>11.144108555332</v>
      </c>
      <c r="AL6895">
        <v>85.667374841612201</v>
      </c>
      <c r="AM6895">
        <v>89.138556212248702</v>
      </c>
      <c r="AN6895">
        <v>1.0000000232717201</v>
      </c>
    </row>
    <row r="6896" spans="1:40" x14ac:dyDescent="0.25">
      <c r="A6896" t="str">
        <f>"20190312151157917"</f>
        <v>20190312151157917</v>
      </c>
      <c r="B6896" t="str">
        <f>"1552374717908408"</f>
        <v>1552374717908408</v>
      </c>
      <c r="C6896" t="s">
        <v>40</v>
      </c>
      <c r="D6896">
        <v>5.2238249999999997</v>
      </c>
      <c r="E6896">
        <v>0.4495923</v>
      </c>
      <c r="F6896" t="s">
        <v>42</v>
      </c>
      <c r="G6896">
        <v>-187.4614</v>
      </c>
      <c r="H6896" s="1">
        <v>-1.194378E-6</v>
      </c>
      <c r="I6896">
        <v>1.17293</v>
      </c>
      <c r="J6896">
        <v>-186.11410000000001</v>
      </c>
      <c r="K6896">
        <v>1.1099250000000001</v>
      </c>
      <c r="L6896">
        <v>-9.9388729999999992</v>
      </c>
      <c r="M6896" s="1">
        <v>8.7556319999999995E-5</v>
      </c>
      <c r="N6896">
        <v>0</v>
      </c>
      <c r="O6896">
        <v>0.99996019999999997</v>
      </c>
      <c r="P6896">
        <v>1.5665700000000001E-2</v>
      </c>
      <c r="Q6896">
        <v>6.7018510000000003E-2</v>
      </c>
      <c r="R6896">
        <v>0.99762870000000003</v>
      </c>
      <c r="S6896">
        <v>-0.35652159999999999</v>
      </c>
      <c r="T6896">
        <v>-0.29369089999999998</v>
      </c>
      <c r="U6896">
        <v>3.0321660000000001</v>
      </c>
      <c r="V6896">
        <v>1.552108E-2</v>
      </c>
      <c r="W6896">
        <v>7.5929280000000002E-2</v>
      </c>
      <c r="X6896">
        <v>0.9969924</v>
      </c>
      <c r="Y6896">
        <v>-0.11632579999999999</v>
      </c>
      <c r="Z6896">
        <v>-9.57533E-2</v>
      </c>
      <c r="AA6896">
        <v>0.98858460000000004</v>
      </c>
      <c r="AB6896">
        <v>34</v>
      </c>
      <c r="AC6896">
        <v>-1.34729999999999</v>
      </c>
      <c r="AD6896">
        <v>-1.1099261943780001</v>
      </c>
      <c r="AE6896">
        <v>11.111802999999901</v>
      </c>
      <c r="AF6896">
        <v>-1.3351446215321301</v>
      </c>
      <c r="AG6896">
        <v>-1.1099261943780001</v>
      </c>
      <c r="AH6896">
        <v>11.0034889704982</v>
      </c>
      <c r="AI6896">
        <v>95.718304195421695</v>
      </c>
      <c r="AJ6896">
        <v>96.918351718620997</v>
      </c>
      <c r="AK6896">
        <v>11.139628218268699</v>
      </c>
      <c r="AL6896">
        <v>85.645381622520901</v>
      </c>
      <c r="AM6896">
        <v>89.108096967349198</v>
      </c>
      <c r="AN6896">
        <v>1.0000000025717199</v>
      </c>
    </row>
    <row r="6897" spans="1:40" x14ac:dyDescent="0.25">
      <c r="A6897" t="str">
        <f>"20190312151157940"</f>
        <v>20190312151157940</v>
      </c>
      <c r="B6897" t="str">
        <f>"1552374717937686"</f>
        <v>1552374717937686</v>
      </c>
      <c r="C6897" t="s">
        <v>40</v>
      </c>
      <c r="D6897">
        <v>5.2192939999999997</v>
      </c>
      <c r="E6897">
        <v>0.4491462</v>
      </c>
      <c r="F6897" t="s">
        <v>42</v>
      </c>
      <c r="G6897">
        <v>-187.44759999999999</v>
      </c>
      <c r="H6897" s="1">
        <v>-1.2689170000000001E-6</v>
      </c>
      <c r="I6897">
        <v>1.381203</v>
      </c>
      <c r="J6897">
        <v>-186.11439999999999</v>
      </c>
      <c r="K6897">
        <v>1.1099049999999999</v>
      </c>
      <c r="L6897">
        <v>-9.5922549999999998</v>
      </c>
      <c r="M6897">
        <v>-2.0473609999999999E-4</v>
      </c>
      <c r="N6897">
        <v>0</v>
      </c>
      <c r="O6897">
        <v>0.99996019999999997</v>
      </c>
      <c r="P6897">
        <v>1.5927630000000002E-2</v>
      </c>
      <c r="Q6897">
        <v>6.7736399999999905E-2</v>
      </c>
      <c r="R6897">
        <v>0.99757609999999997</v>
      </c>
      <c r="S6897">
        <v>-0.35725400000000002</v>
      </c>
      <c r="T6897">
        <v>-0.29735590000000001</v>
      </c>
      <c r="U6897">
        <v>3.032715</v>
      </c>
      <c r="V6897">
        <v>1.6077850000000001E-2</v>
      </c>
      <c r="W6897">
        <v>7.6645779999999997E-2</v>
      </c>
      <c r="X6897">
        <v>0.99692879999999995</v>
      </c>
      <c r="Y6897">
        <v>-0.11623699999999999</v>
      </c>
      <c r="Z6897">
        <v>-9.6918850000000001E-2</v>
      </c>
      <c r="AA6897">
        <v>0.98848150000000001</v>
      </c>
      <c r="AB6897">
        <v>34</v>
      </c>
      <c r="AC6897">
        <v>-1.3331999999999999</v>
      </c>
      <c r="AD6897">
        <v>-1.1099062689169901</v>
      </c>
      <c r="AE6897">
        <v>10.973458000000001</v>
      </c>
      <c r="AF6897">
        <v>-1.31766923359354</v>
      </c>
      <c r="AG6897">
        <v>-1.1099062689169901</v>
      </c>
      <c r="AH6897">
        <v>10.864204055698499</v>
      </c>
      <c r="AI6897">
        <v>95.791053880681702</v>
      </c>
      <c r="AJ6897">
        <v>96.915364329517701</v>
      </c>
      <c r="AK6897">
        <v>10.9999579044102</v>
      </c>
      <c r="AL6897">
        <v>85.604209433728997</v>
      </c>
      <c r="AM6897">
        <v>89.076049266496398</v>
      </c>
      <c r="AN6897">
        <v>1.0000000525609301</v>
      </c>
    </row>
    <row r="6898" spans="1:40" x14ac:dyDescent="0.25">
      <c r="A6898" t="str">
        <f>"20190312151157961"</f>
        <v>20190312151157961</v>
      </c>
      <c r="B6898" t="str">
        <f>"1552374717958182"</f>
        <v>1552374717958182</v>
      </c>
      <c r="C6898" t="s">
        <v>40</v>
      </c>
      <c r="D6898">
        <v>5.2120280000000001</v>
      </c>
      <c r="E6898">
        <v>0.44905650000000003</v>
      </c>
      <c r="F6898" t="s">
        <v>42</v>
      </c>
      <c r="G6898">
        <v>-187.45050000000001</v>
      </c>
      <c r="H6898" s="1">
        <v>-1.3636839999999999E-6</v>
      </c>
      <c r="I6898">
        <v>1.6619790000000001</v>
      </c>
      <c r="J6898">
        <v>-186.1147</v>
      </c>
      <c r="K6898">
        <v>1.109891</v>
      </c>
      <c r="L6898">
        <v>-9.2822879999999994</v>
      </c>
      <c r="M6898">
        <v>-4.5935639999999999E-4</v>
      </c>
      <c r="N6898">
        <v>0</v>
      </c>
      <c r="O6898">
        <v>0.99996010000000002</v>
      </c>
      <c r="P6898">
        <v>1.6132520000000001E-2</v>
      </c>
      <c r="Q6898">
        <v>6.8604869999999998E-2</v>
      </c>
      <c r="R6898">
        <v>0.99751350000000005</v>
      </c>
      <c r="S6898">
        <v>-0.36013790000000001</v>
      </c>
      <c r="T6898">
        <v>-0.29915320000000001</v>
      </c>
      <c r="U6898">
        <v>3.0333559999999999</v>
      </c>
      <c r="V6898">
        <v>1.6538580000000001E-2</v>
      </c>
      <c r="W6898">
        <v>7.7513410000000005E-2</v>
      </c>
      <c r="X6898">
        <v>0.99685409999999997</v>
      </c>
      <c r="Y6898">
        <v>-0.11688030000000001</v>
      </c>
      <c r="Z6898">
        <v>-9.7469730000000004E-2</v>
      </c>
      <c r="AA6898">
        <v>0.98835150000000005</v>
      </c>
      <c r="AB6898">
        <v>34</v>
      </c>
      <c r="AC6898">
        <v>-1.3358000000000001</v>
      </c>
      <c r="AD6898">
        <v>-1.1098923636839999</v>
      </c>
      <c r="AE6898">
        <v>10.944267</v>
      </c>
      <c r="AF6898">
        <v>-1.3174220356020001</v>
      </c>
      <c r="AG6898">
        <v>-1.1098923636839999</v>
      </c>
      <c r="AH6898">
        <v>10.8350804784096</v>
      </c>
      <c r="AI6898">
        <v>95.806231936317502</v>
      </c>
      <c r="AJ6898">
        <v>96.932483270590396</v>
      </c>
      <c r="AK6898">
        <v>10.971163605218299</v>
      </c>
      <c r="AL6898">
        <v>85.554349216195007</v>
      </c>
      <c r="AM6898">
        <v>89.0495059358703</v>
      </c>
      <c r="AN6898">
        <v>0.99999997502252602</v>
      </c>
    </row>
    <row r="6899" spans="1:40" x14ac:dyDescent="0.25">
      <c r="A6899" t="str">
        <f>"20190312151157986"</f>
        <v>20190312151157986</v>
      </c>
      <c r="B6899" t="str">
        <f>"1552374717977703"</f>
        <v>1552374717977703</v>
      </c>
      <c r="C6899" t="s">
        <v>40</v>
      </c>
      <c r="D6899">
        <v>5.2146660000000002</v>
      </c>
      <c r="E6899">
        <v>0.44925340000000002</v>
      </c>
      <c r="F6899" t="s">
        <v>42</v>
      </c>
      <c r="G6899">
        <v>-187.4562</v>
      </c>
      <c r="H6899" s="1">
        <v>-1.4781549999999999E-6</v>
      </c>
      <c r="I6899">
        <v>2.0027520000000001</v>
      </c>
      <c r="J6899">
        <v>-186.11519999999999</v>
      </c>
      <c r="K6899">
        <v>1.109883</v>
      </c>
      <c r="L6899">
        <v>-8.8987730000000003</v>
      </c>
      <c r="M6899">
        <v>-7.7030509999999905E-4</v>
      </c>
      <c r="N6899">
        <v>0</v>
      </c>
      <c r="O6899">
        <v>0.99995990000000001</v>
      </c>
      <c r="P6899">
        <v>1.583758E-2</v>
      </c>
      <c r="Q6899">
        <v>6.9348690000000004E-2</v>
      </c>
      <c r="R6899">
        <v>0.99746670000000004</v>
      </c>
      <c r="S6899">
        <v>-0.3606415</v>
      </c>
      <c r="T6899">
        <v>-0.29838100000000001</v>
      </c>
      <c r="U6899">
        <v>3.0338440000000002</v>
      </c>
      <c r="V6899">
        <v>1.655539E-2</v>
      </c>
      <c r="W6899">
        <v>7.8257869999999993E-2</v>
      </c>
      <c r="X6899">
        <v>0.99679569999999995</v>
      </c>
      <c r="Y6899">
        <v>-0.11671769999999999</v>
      </c>
      <c r="Z6899">
        <v>-9.7205100000000003E-2</v>
      </c>
      <c r="AA6899">
        <v>0.98839679999999996</v>
      </c>
      <c r="AB6899">
        <v>34</v>
      </c>
      <c r="AC6899">
        <v>-1.341</v>
      </c>
      <c r="AD6899">
        <v>-1.1098844781549999</v>
      </c>
      <c r="AE6899">
        <v>10.901524999999999</v>
      </c>
      <c r="AF6899">
        <v>-1.3191324028021101</v>
      </c>
      <c r="AG6899">
        <v>-1.1098844781549999</v>
      </c>
      <c r="AH6899">
        <v>10.792356457391399</v>
      </c>
      <c r="AI6899">
        <v>95.828573245734901</v>
      </c>
      <c r="AJ6899">
        <v>96.968605182239699</v>
      </c>
      <c r="AK6899">
        <v>10.9291770849579</v>
      </c>
      <c r="AL6899">
        <v>85.511565040311694</v>
      </c>
      <c r="AM6899">
        <v>89.048484286813704</v>
      </c>
      <c r="AN6899">
        <v>1.0000000213467299</v>
      </c>
    </row>
    <row r="6900" spans="1:40" x14ac:dyDescent="0.25">
      <c r="A6900" t="str">
        <f>"20190312151158006"</f>
        <v>20190312151158006</v>
      </c>
      <c r="B6900" t="str">
        <f>"1552374717998199"</f>
        <v>1552374717998199</v>
      </c>
      <c r="C6900" t="s">
        <v>40</v>
      </c>
      <c r="D6900">
        <v>5.381983</v>
      </c>
      <c r="E6900">
        <v>0.44941500000000001</v>
      </c>
      <c r="F6900" t="s">
        <v>42</v>
      </c>
      <c r="G6900">
        <v>-187.49590000000001</v>
      </c>
      <c r="H6900" s="1">
        <v>-1.775361E-6</v>
      </c>
      <c r="I6900">
        <v>2.7357879999999999</v>
      </c>
      <c r="J6900">
        <v>-186.1157</v>
      </c>
      <c r="K6900">
        <v>1.1098809999999999</v>
      </c>
      <c r="L6900">
        <v>-8.5924990000000001</v>
      </c>
      <c r="M6900">
        <v>-1.0178909999999999E-3</v>
      </c>
      <c r="N6900">
        <v>0</v>
      </c>
      <c r="O6900">
        <v>0.99995959999999995</v>
      </c>
      <c r="P6900">
        <v>1.584642E-2</v>
      </c>
      <c r="Q6900">
        <v>7.0055779999999998E-2</v>
      </c>
      <c r="R6900">
        <v>0.9974172</v>
      </c>
      <c r="S6900">
        <v>-0.35998540000000001</v>
      </c>
      <c r="T6900">
        <v>-0.2893771</v>
      </c>
      <c r="U6900">
        <v>3.0334469999999998</v>
      </c>
      <c r="V6900">
        <v>1.6811900000000001E-2</v>
      </c>
      <c r="W6900">
        <v>7.8966649999999999E-2</v>
      </c>
      <c r="X6900">
        <v>0.9967355</v>
      </c>
      <c r="Y6900">
        <v>-0.11630890000000001</v>
      </c>
      <c r="Z6900">
        <v>-9.4314110000000007E-2</v>
      </c>
      <c r="AA6900">
        <v>0.98872490000000002</v>
      </c>
      <c r="AB6900">
        <v>34</v>
      </c>
      <c r="AC6900">
        <v>-1.3802000000000001</v>
      </c>
      <c r="AD6900">
        <v>-1.1098827753610001</v>
      </c>
      <c r="AE6900">
        <v>11.328287</v>
      </c>
      <c r="AF6900">
        <v>-1.35584349650405</v>
      </c>
      <c r="AG6900">
        <v>-1.1098827753610001</v>
      </c>
      <c r="AH6900">
        <v>11.223527341504401</v>
      </c>
      <c r="AI6900">
        <v>95.607055148270305</v>
      </c>
      <c r="AJ6900">
        <v>96.888163347402198</v>
      </c>
      <c r="AK6900">
        <v>11.359476983891099</v>
      </c>
      <c r="AL6900">
        <v>85.470828838531105</v>
      </c>
      <c r="AM6900">
        <v>89.033685882880803</v>
      </c>
      <c r="AN6900">
        <v>1.00000001437704</v>
      </c>
    </row>
    <row r="6901" spans="1:40" x14ac:dyDescent="0.25">
      <c r="A6901" t="str">
        <f>"20190312151158051"</f>
        <v>20190312151158051</v>
      </c>
      <c r="B6901" t="str">
        <f>"1552374718047975"</f>
        <v>1552374718047975</v>
      </c>
      <c r="C6901" t="s">
        <v>40</v>
      </c>
      <c r="D6901">
        <v>5.5791500000000003</v>
      </c>
      <c r="E6901">
        <v>0.44976100000000002</v>
      </c>
      <c r="F6901" t="s">
        <v>42</v>
      </c>
      <c r="G6901">
        <v>-187.5335</v>
      </c>
      <c r="H6901" s="1">
        <v>-2.0487200000000001E-6</v>
      </c>
      <c r="I6901">
        <v>3.3885369999999999</v>
      </c>
      <c r="J6901">
        <v>-186.11699999999999</v>
      </c>
      <c r="K6901">
        <v>1.1098669999999999</v>
      </c>
      <c r="L6901">
        <v>-7.9004209999999997</v>
      </c>
      <c r="M6901">
        <v>-1.5797649999999999E-3</v>
      </c>
      <c r="N6901">
        <v>0</v>
      </c>
      <c r="O6901">
        <v>0.99995889999999998</v>
      </c>
      <c r="P6901">
        <v>1.736292E-2</v>
      </c>
      <c r="Q6901">
        <v>7.0588600000000001E-2</v>
      </c>
      <c r="R6901">
        <v>0.99735439999999997</v>
      </c>
      <c r="S6901">
        <v>-0.35894779999999998</v>
      </c>
      <c r="T6901">
        <v>-0.2809857</v>
      </c>
      <c r="U6901">
        <v>3.0332029999999999</v>
      </c>
      <c r="V6901">
        <v>1.8890199999999999E-2</v>
      </c>
      <c r="W6901">
        <v>7.950662E-2</v>
      </c>
      <c r="X6901">
        <v>0.99665530000000002</v>
      </c>
      <c r="Y6901">
        <v>-0.11545619999999999</v>
      </c>
      <c r="Z6901">
        <v>-9.1616180000000005E-2</v>
      </c>
      <c r="AA6901">
        <v>0.98907849999999997</v>
      </c>
      <c r="AB6901">
        <v>34</v>
      </c>
      <c r="AC6901">
        <v>-1.4164999999999801</v>
      </c>
      <c r="AD6901">
        <v>-1.10986904872</v>
      </c>
      <c r="AE6901">
        <v>11.288957999999999</v>
      </c>
      <c r="AF6901">
        <v>-1.38547949189769</v>
      </c>
      <c r="AG6901">
        <v>-1.10986904872</v>
      </c>
      <c r="AH6901">
        <v>11.184748430589501</v>
      </c>
      <c r="AI6901">
        <v>95.624234626411706</v>
      </c>
      <c r="AJ6901">
        <v>97.0613839793171</v>
      </c>
      <c r="AK6901">
        <v>11.3247498949579</v>
      </c>
      <c r="AL6901">
        <v>85.439793028283901</v>
      </c>
      <c r="AM6901">
        <v>88.914169063981504</v>
      </c>
      <c r="AN6901">
        <v>0.999999964648976</v>
      </c>
    </row>
    <row r="6902" spans="1:40" x14ac:dyDescent="0.25">
      <c r="A6902" t="str">
        <f>"20190312151158072"</f>
        <v>20190312151158072</v>
      </c>
      <c r="B6902" t="str">
        <f>"1552374718068471"</f>
        <v>1552374718068471</v>
      </c>
      <c r="C6902" t="s">
        <v>40</v>
      </c>
      <c r="D6902">
        <v>5.4770640000000004</v>
      </c>
      <c r="E6902">
        <v>0.4830275</v>
      </c>
      <c r="F6902" t="s">
        <v>42</v>
      </c>
      <c r="G6902">
        <v>-187.54079999999999</v>
      </c>
      <c r="H6902" s="1">
        <v>-2.463301E-6</v>
      </c>
      <c r="I6902">
        <v>4.357977</v>
      </c>
      <c r="J6902">
        <v>-186.11770000000001</v>
      </c>
      <c r="K6902">
        <v>1.1098650000000001</v>
      </c>
      <c r="L6902">
        <v>-7.585388</v>
      </c>
      <c r="M6902">
        <v>-1.8368530000000001E-3</v>
      </c>
      <c r="N6902">
        <v>0</v>
      </c>
      <c r="O6902">
        <v>0.99995840000000003</v>
      </c>
      <c r="P6902">
        <v>1.8096689999999999E-2</v>
      </c>
      <c r="Q6902">
        <v>7.0606039999999995E-2</v>
      </c>
      <c r="R6902">
        <v>0.99734009999999995</v>
      </c>
      <c r="S6902">
        <v>-0.352356</v>
      </c>
      <c r="T6902">
        <v>-0.27465519999999999</v>
      </c>
      <c r="U6902">
        <v>3.0335390000000002</v>
      </c>
      <c r="V6902">
        <v>1.9880849999999999E-2</v>
      </c>
      <c r="W6902">
        <v>7.9528500000000002E-2</v>
      </c>
      <c r="X6902">
        <v>0.99663429999999997</v>
      </c>
      <c r="Y6902">
        <v>-0.113089</v>
      </c>
      <c r="Z6902">
        <v>-8.9582599999999998E-2</v>
      </c>
      <c r="AA6902">
        <v>0.98953820000000003</v>
      </c>
      <c r="AB6902">
        <v>34</v>
      </c>
      <c r="AC6902">
        <v>-1.4230999999999701</v>
      </c>
      <c r="AD6902">
        <v>-1.1098674633009999</v>
      </c>
      <c r="AE6902">
        <v>11.943365</v>
      </c>
      <c r="AF6902">
        <v>-1.38932888426192</v>
      </c>
      <c r="AG6902">
        <v>-1.1098674633009999</v>
      </c>
      <c r="AH6902">
        <v>11.8451022156799</v>
      </c>
      <c r="AI6902">
        <v>95.316660474721303</v>
      </c>
      <c r="AJ6902">
        <v>96.689737675288498</v>
      </c>
      <c r="AK6902">
        <v>11.9778331527302</v>
      </c>
      <c r="AL6902">
        <v>85.438535480923804</v>
      </c>
      <c r="AM6902">
        <v>88.8572159872501</v>
      </c>
      <c r="AN6902">
        <v>0.99999997922273098</v>
      </c>
    </row>
    <row r="6903" spans="1:40" x14ac:dyDescent="0.25">
      <c r="A6903" t="str">
        <f>"20190312151158161"</f>
        <v>20190312151158161</v>
      </c>
      <c r="B6903" t="str">
        <f>"1552374718158263"</f>
        <v>1552374718158263</v>
      </c>
      <c r="C6903" t="s">
        <v>40</v>
      </c>
      <c r="D6903">
        <v>5.6742629999999998</v>
      </c>
      <c r="E6903">
        <v>0.54402950000000005</v>
      </c>
      <c r="F6903" t="s">
        <v>42</v>
      </c>
      <c r="G6903">
        <v>-186.6241</v>
      </c>
      <c r="H6903" s="1">
        <v>-1.228042E-6</v>
      </c>
      <c r="I6903">
        <v>10.617229999999999</v>
      </c>
      <c r="J6903">
        <v>-186.12180000000001</v>
      </c>
      <c r="K6903">
        <v>1.109869</v>
      </c>
      <c r="L6903">
        <v>-6.2255549999999999</v>
      </c>
      <c r="M6903">
        <v>-2.9483619999999999E-3</v>
      </c>
      <c r="N6903">
        <v>0</v>
      </c>
      <c r="O6903">
        <v>0.99995529999999999</v>
      </c>
      <c r="P6903">
        <v>2.149512E-2</v>
      </c>
      <c r="Q6903">
        <v>7.2390510000000005E-2</v>
      </c>
      <c r="R6903">
        <v>0.99714469999999999</v>
      </c>
      <c r="S6903">
        <v>-8.4091189999999996E-2</v>
      </c>
      <c r="T6903">
        <v>-0.18429570000000001</v>
      </c>
      <c r="U6903">
        <v>3.022583</v>
      </c>
      <c r="V6903">
        <v>2.4386919999999999E-2</v>
      </c>
      <c r="W6903">
        <v>8.1362630000000005E-2</v>
      </c>
      <c r="X6903">
        <v>0.9963862</v>
      </c>
      <c r="Y6903">
        <v>-2.481123E-2</v>
      </c>
      <c r="Z6903">
        <v>-6.0838389999999999E-2</v>
      </c>
      <c r="AA6903">
        <v>0.99783920000000004</v>
      </c>
      <c r="AB6903">
        <v>34</v>
      </c>
      <c r="AC6903">
        <v>-0.50229999999999098</v>
      </c>
      <c r="AD6903">
        <v>-1.1098702280419901</v>
      </c>
      <c r="AE6903">
        <v>16.842784999999999</v>
      </c>
      <c r="AF6903">
        <v>-0.450681942726816</v>
      </c>
      <c r="AG6903">
        <v>-1.1098702280419901</v>
      </c>
      <c r="AH6903">
        <v>16.771431479137298</v>
      </c>
      <c r="AI6903">
        <v>93.784736454505193</v>
      </c>
      <c r="AJ6903">
        <v>91.539281873990404</v>
      </c>
      <c r="AK6903">
        <v>16.814155940635001</v>
      </c>
      <c r="AL6903">
        <v>85.333106093603206</v>
      </c>
      <c r="AM6903">
        <v>88.597944568631206</v>
      </c>
      <c r="AN6903">
        <v>1.0000000294890199</v>
      </c>
    </row>
    <row r="6904" spans="1:40" x14ac:dyDescent="0.25">
      <c r="A6904" t="str">
        <f>"20190312151158183"</f>
        <v>20190312151158183</v>
      </c>
      <c r="B6904" t="str">
        <f>"1552374718178398"</f>
        <v>1552374718178398</v>
      </c>
      <c r="C6904" t="s">
        <v>40</v>
      </c>
      <c r="D6904">
        <v>8.2024150000000002</v>
      </c>
      <c r="E6904">
        <v>0.54202410000000001</v>
      </c>
      <c r="F6904" t="s">
        <v>42</v>
      </c>
      <c r="G6904">
        <v>-179.86760000000001</v>
      </c>
      <c r="H6904">
        <v>7.9986710000000003E-2</v>
      </c>
      <c r="I6904">
        <v>39.239759999999997</v>
      </c>
      <c r="J6904">
        <v>-186.12309999999999</v>
      </c>
      <c r="K6904">
        <v>1.1098680000000001</v>
      </c>
      <c r="L6904">
        <v>-5.8804019999999904</v>
      </c>
      <c r="M6904">
        <v>-3.2302160000000002E-3</v>
      </c>
      <c r="N6904">
        <v>0</v>
      </c>
      <c r="O6904">
        <v>0.99995429999999996</v>
      </c>
      <c r="P6904">
        <v>2.2388350000000001E-2</v>
      </c>
      <c r="Q6904">
        <v>7.2922630000000002E-2</v>
      </c>
      <c r="R6904">
        <v>0.99708629999999998</v>
      </c>
      <c r="S6904">
        <v>0.41331479999999998</v>
      </c>
      <c r="T6904">
        <v>-6.8060519999999999E-2</v>
      </c>
      <c r="U6904">
        <v>3.0046080000000002</v>
      </c>
      <c r="V6904">
        <v>2.5560659999999999E-2</v>
      </c>
      <c r="W6904">
        <v>8.1909650000000001E-2</v>
      </c>
      <c r="X6904">
        <v>0.99631190000000003</v>
      </c>
      <c r="Y6904">
        <v>0.13944219999999999</v>
      </c>
      <c r="Z6904">
        <v>-2.2429879999999999E-2</v>
      </c>
      <c r="AA6904">
        <v>0.98997619999999997</v>
      </c>
      <c r="AB6904">
        <v>34</v>
      </c>
      <c r="AC6904">
        <v>6.2554999999999801</v>
      </c>
      <c r="AD6904">
        <v>-1.0298812900000001</v>
      </c>
      <c r="AE6904">
        <v>45.120161999999901</v>
      </c>
      <c r="AF6904">
        <v>6.3979506967771398</v>
      </c>
      <c r="AG6904">
        <v>-1.0298812900000001</v>
      </c>
      <c r="AH6904">
        <v>45.076677345493501</v>
      </c>
      <c r="AI6904">
        <v>91.295844194964005</v>
      </c>
      <c r="AJ6904">
        <v>81.921691860724707</v>
      </c>
      <c r="AK6904">
        <v>45.540106160390202</v>
      </c>
      <c r="AL6904">
        <v>85.301658913661498</v>
      </c>
      <c r="AM6904">
        <v>88.530383151692106</v>
      </c>
      <c r="AN6904">
        <v>0.999999970092183</v>
      </c>
    </row>
    <row r="6905" spans="1:40" x14ac:dyDescent="0.25">
      <c r="A6905" t="str">
        <f>"20190312151158206"</f>
        <v>20190312151158206</v>
      </c>
      <c r="B6905" t="str">
        <f>"1552374718197919"</f>
        <v>1552374718197919</v>
      </c>
      <c r="C6905" t="s">
        <v>40</v>
      </c>
      <c r="D6905">
        <v>8.0741449999999997</v>
      </c>
      <c r="E6905">
        <v>0.53947840000000002</v>
      </c>
      <c r="F6905" t="s">
        <v>69</v>
      </c>
      <c r="G6905">
        <v>-162.96799999999999</v>
      </c>
      <c r="H6905">
        <v>0.90582850000000004</v>
      </c>
      <c r="I6905">
        <v>167.50960000000001</v>
      </c>
      <c r="J6905">
        <v>-186.12450000000001</v>
      </c>
      <c r="K6905">
        <v>1.1098730000000001</v>
      </c>
      <c r="L6905">
        <v>-5.5291750000000004</v>
      </c>
      <c r="M6905">
        <v>-3.5168529999999999E-3</v>
      </c>
      <c r="N6905">
        <v>0</v>
      </c>
      <c r="O6905">
        <v>0.99995319999999999</v>
      </c>
      <c r="P6905">
        <v>2.3139070000000001E-2</v>
      </c>
      <c r="Q6905">
        <v>7.3345720000000003E-2</v>
      </c>
      <c r="R6905">
        <v>0.99703810000000004</v>
      </c>
      <c r="S6905">
        <v>0.40063480000000001</v>
      </c>
      <c r="T6905">
        <v>-3.5297869999999999E-3</v>
      </c>
      <c r="U6905">
        <v>3.0000309999999999</v>
      </c>
      <c r="V6905">
        <v>2.6596660000000001E-2</v>
      </c>
      <c r="W6905">
        <v>8.2349229999999995E-2</v>
      </c>
      <c r="X6905">
        <v>0.99624860000000004</v>
      </c>
      <c r="Y6905">
        <v>0.13585359999999999</v>
      </c>
      <c r="Z6905">
        <v>-1.165943E-3</v>
      </c>
      <c r="AA6905">
        <v>0.99072830000000001</v>
      </c>
      <c r="AB6905">
        <v>34</v>
      </c>
      <c r="AC6905">
        <v>23.156500000000001</v>
      </c>
      <c r="AD6905">
        <v>-0.20404449999999899</v>
      </c>
      <c r="AE6905">
        <v>173.03877499999999</v>
      </c>
      <c r="AF6905">
        <v>23.764900974742101</v>
      </c>
      <c r="AG6905">
        <v>-0.20404449999999899</v>
      </c>
      <c r="AH6905">
        <v>172.95602724179901</v>
      </c>
      <c r="AI6905">
        <v>90.066965346524498</v>
      </c>
      <c r="AJ6905">
        <v>82.176305308101007</v>
      </c>
      <c r="AK6905">
        <v>174.581211794864</v>
      </c>
      <c r="AL6905">
        <v>85.276387720982299</v>
      </c>
      <c r="AM6905">
        <v>88.470748676933297</v>
      </c>
      <c r="AN6905">
        <v>1.0000000255033501</v>
      </c>
    </row>
    <row r="6906" spans="1:40" x14ac:dyDescent="0.25">
      <c r="A6906" t="str">
        <f>"20190312151158231"</f>
        <v>20190312151158231</v>
      </c>
      <c r="B6906" t="str">
        <f>"1552374718228175"</f>
        <v>1552374718228175</v>
      </c>
      <c r="C6906" t="s">
        <v>40</v>
      </c>
      <c r="D6906">
        <v>5.2849769999999996</v>
      </c>
      <c r="E6906">
        <v>0.5413985</v>
      </c>
      <c r="F6906" t="s">
        <v>98</v>
      </c>
      <c r="G6906">
        <v>-164.96619999999999</v>
      </c>
      <c r="H6906">
        <v>5.2641839999999904</v>
      </c>
      <c r="I6906">
        <v>159.80590000000001</v>
      </c>
      <c r="J6906">
        <v>-186.12610000000001</v>
      </c>
      <c r="K6906">
        <v>1.1098790000000001</v>
      </c>
      <c r="L6906">
        <v>-5.1615599999999997</v>
      </c>
      <c r="M6906">
        <v>-3.8166530000000001E-3</v>
      </c>
      <c r="N6906">
        <v>0</v>
      </c>
      <c r="O6906">
        <v>0.99995179999999995</v>
      </c>
      <c r="P6906">
        <v>2.3808449999999998E-2</v>
      </c>
      <c r="Q6906">
        <v>7.3867160000000001E-2</v>
      </c>
      <c r="R6906">
        <v>0.99698379999999998</v>
      </c>
      <c r="S6906">
        <v>0.38320920000000003</v>
      </c>
      <c r="T6906">
        <v>7.5241089999999997E-2</v>
      </c>
      <c r="U6906">
        <v>2.9944760000000001</v>
      </c>
      <c r="V6906">
        <v>2.756432E-2</v>
      </c>
      <c r="W6906">
        <v>8.2891439999999997E-2</v>
      </c>
      <c r="X6906">
        <v>0.99617730000000004</v>
      </c>
      <c r="Y6906">
        <v>0.13068250000000001</v>
      </c>
      <c r="Z6906">
        <v>2.4909219999999999E-2</v>
      </c>
      <c r="AA6906">
        <v>0.99111130000000003</v>
      </c>
      <c r="AB6906">
        <v>34</v>
      </c>
      <c r="AC6906">
        <v>21.1599</v>
      </c>
      <c r="AD6906">
        <v>4.1543049999999901</v>
      </c>
      <c r="AE6906">
        <v>164.96745999999999</v>
      </c>
      <c r="AF6906">
        <v>21.775809315529202</v>
      </c>
      <c r="AG6906">
        <v>4.1543049999999901</v>
      </c>
      <c r="AH6906">
        <v>164.78268759407501</v>
      </c>
      <c r="AI6906">
        <v>88.5682748528438</v>
      </c>
      <c r="AJ6906">
        <v>82.4720588121925</v>
      </c>
      <c r="AK6906">
        <v>166.26718934325501</v>
      </c>
      <c r="AL6906">
        <v>85.245214667510695</v>
      </c>
      <c r="AM6906">
        <v>88.415024789283606</v>
      </c>
      <c r="AN6906">
        <v>0.99999999779881299</v>
      </c>
    </row>
    <row r="6907" spans="1:40" x14ac:dyDescent="0.25">
      <c r="A6907" t="str">
        <f>"20190312151158252"</f>
        <v>20190312151158252</v>
      </c>
      <c r="B6907" t="str">
        <f>"1552374718247695"</f>
        <v>1552374718247695</v>
      </c>
      <c r="C6907" t="s">
        <v>40</v>
      </c>
      <c r="D6907">
        <v>5.2658839999999998</v>
      </c>
      <c r="E6907">
        <v>0.54187109999999905</v>
      </c>
      <c r="F6907" t="s">
        <v>69</v>
      </c>
      <c r="G6907">
        <v>-163.0453</v>
      </c>
      <c r="H6907">
        <v>3.7534619999999999</v>
      </c>
      <c r="I6907">
        <v>167.5849</v>
      </c>
      <c r="J6907">
        <v>-186.1277</v>
      </c>
      <c r="K6907">
        <v>1.109885</v>
      </c>
      <c r="L6907">
        <v>-4.8160100000000003</v>
      </c>
      <c r="M6907">
        <v>-4.0981150000000003E-3</v>
      </c>
      <c r="N6907">
        <v>0</v>
      </c>
      <c r="O6907">
        <v>0.99995049999999996</v>
      </c>
      <c r="P6907">
        <v>2.4028109999999998E-2</v>
      </c>
      <c r="Q6907">
        <v>7.4376990000000004E-2</v>
      </c>
      <c r="R6907">
        <v>0.99694070000000001</v>
      </c>
      <c r="S6907">
        <v>0.40031430000000001</v>
      </c>
      <c r="T6907">
        <v>4.5850990000000001E-2</v>
      </c>
      <c r="U6907">
        <v>2.996124</v>
      </c>
      <c r="V6907">
        <v>2.8063950000000001E-2</v>
      </c>
      <c r="W6907">
        <v>8.3423650000000002E-2</v>
      </c>
      <c r="X6907">
        <v>0.99611890000000003</v>
      </c>
      <c r="Y6907">
        <v>0.13647970000000001</v>
      </c>
      <c r="Z6907">
        <v>1.5162510000000001E-2</v>
      </c>
      <c r="AA6907">
        <v>0.99052680000000004</v>
      </c>
      <c r="AB6907">
        <v>34</v>
      </c>
      <c r="AC6907">
        <v>23.0824</v>
      </c>
      <c r="AD6907">
        <v>2.6435770000000001</v>
      </c>
      <c r="AE6907">
        <v>172.40091000000001</v>
      </c>
      <c r="AF6907">
        <v>23.7832603123993</v>
      </c>
      <c r="AG6907">
        <v>2.6435770000000001</v>
      </c>
      <c r="AH6907">
        <v>172.26507286757001</v>
      </c>
      <c r="AI6907">
        <v>89.129068900592799</v>
      </c>
      <c r="AJ6907">
        <v>82.139323208988998</v>
      </c>
      <c r="AK6907">
        <v>173.919197619215</v>
      </c>
      <c r="AL6907">
        <v>85.214615195972698</v>
      </c>
      <c r="AM6907">
        <v>88.386216076612001</v>
      </c>
      <c r="AN6907">
        <v>0.99999997680306696</v>
      </c>
    </row>
    <row r="6908" spans="1:40" x14ac:dyDescent="0.25">
      <c r="A6908" t="str">
        <f>"20190312151158274"</f>
        <v>20190312151158274</v>
      </c>
      <c r="B6908" t="str">
        <f>"1552374718268191"</f>
        <v>1552374718268191</v>
      </c>
      <c r="C6908" t="s">
        <v>40</v>
      </c>
      <c r="D6908">
        <v>5.3563260000000001</v>
      </c>
      <c r="E6908">
        <v>0.54190669999999996</v>
      </c>
      <c r="F6908" t="s">
        <v>69</v>
      </c>
      <c r="G6908">
        <v>-162.87610000000001</v>
      </c>
      <c r="H6908">
        <v>2.811553</v>
      </c>
      <c r="I6908">
        <v>167.41650000000001</v>
      </c>
      <c r="J6908">
        <v>-186.1292</v>
      </c>
      <c r="K6908">
        <v>1.10989</v>
      </c>
      <c r="L6908">
        <v>-4.4956360000000002</v>
      </c>
      <c r="M6908">
        <v>-4.3588949999999998E-3</v>
      </c>
      <c r="N6908">
        <v>0</v>
      </c>
      <c r="O6908">
        <v>0.99994930000000004</v>
      </c>
      <c r="P6908">
        <v>2.4090529999999999E-2</v>
      </c>
      <c r="Q6908">
        <v>7.5166789999999997E-2</v>
      </c>
      <c r="R6908">
        <v>0.99687990000000004</v>
      </c>
      <c r="S6908">
        <v>0.40463260000000001</v>
      </c>
      <c r="T6908">
        <v>2.9613609999999999E-2</v>
      </c>
      <c r="U6908">
        <v>2.9972530000000002</v>
      </c>
      <c r="V6908">
        <v>2.8385529999999999E-2</v>
      </c>
      <c r="W6908">
        <v>8.4232840000000003E-2</v>
      </c>
      <c r="X6908">
        <v>0.99604170000000003</v>
      </c>
      <c r="Y6908">
        <v>0.13809969999999999</v>
      </c>
      <c r="Z6908">
        <v>9.787904E-3</v>
      </c>
      <c r="AA6908">
        <v>0.99036999999999997</v>
      </c>
      <c r="AB6908">
        <v>35</v>
      </c>
      <c r="AC6908">
        <v>23.2530999999999</v>
      </c>
      <c r="AD6908">
        <v>1.7016629999999999</v>
      </c>
      <c r="AE6908">
        <v>171.912136</v>
      </c>
      <c r="AF6908">
        <v>23.999947653573301</v>
      </c>
      <c r="AG6908">
        <v>1.7016629999999999</v>
      </c>
      <c r="AH6908">
        <v>171.79261101144601</v>
      </c>
      <c r="AI6908">
        <v>89.437942749571306</v>
      </c>
      <c r="AJ6908">
        <v>82.047078535900596</v>
      </c>
      <c r="AK6908">
        <v>173.46928933523</v>
      </c>
      <c r="AL6908">
        <v>85.168088315651801</v>
      </c>
      <c r="AM6908">
        <v>88.367607506643097</v>
      </c>
      <c r="AN6908">
        <v>0.99999998889336805</v>
      </c>
    </row>
    <row r="6909" spans="1:40" x14ac:dyDescent="0.25">
      <c r="A6909" t="str">
        <f>"20190312151158296"</f>
        <v>20190312151158296</v>
      </c>
      <c r="B6909" t="str">
        <f>"1552374718288335"</f>
        <v>1552374718288335</v>
      </c>
      <c r="C6909" t="s">
        <v>40</v>
      </c>
      <c r="D6909">
        <v>5.25448</v>
      </c>
      <c r="E6909">
        <v>0.54193539999999996</v>
      </c>
      <c r="F6909" t="s">
        <v>69</v>
      </c>
      <c r="G6909">
        <v>-162.90880000000001</v>
      </c>
      <c r="H6909">
        <v>1.563237</v>
      </c>
      <c r="I6909">
        <v>167.45009999999999</v>
      </c>
      <c r="J6909">
        <v>-186.131</v>
      </c>
      <c r="K6909">
        <v>1.1098920000000001</v>
      </c>
      <c r="L6909">
        <v>-4.1466370000000001</v>
      </c>
      <c r="M6909">
        <v>-4.6425820000000001E-3</v>
      </c>
      <c r="N6909">
        <v>0</v>
      </c>
      <c r="O6909">
        <v>0.99994780000000005</v>
      </c>
      <c r="P6909">
        <v>2.4203619999999999E-2</v>
      </c>
      <c r="Q6909">
        <v>7.5785030000000003E-2</v>
      </c>
      <c r="R6909">
        <v>0.99683040000000001</v>
      </c>
      <c r="S6909">
        <v>0.40499879999999999</v>
      </c>
      <c r="T6909">
        <v>7.9076289999999994E-3</v>
      </c>
      <c r="U6909">
        <v>2.998993</v>
      </c>
      <c r="V6909">
        <v>2.8780759999999999E-2</v>
      </c>
      <c r="W6909">
        <v>8.48719E-2</v>
      </c>
      <c r="X6909">
        <v>0.99597610000000003</v>
      </c>
      <c r="Y6909">
        <v>0.1384292</v>
      </c>
      <c r="Z6909">
        <v>2.612161E-3</v>
      </c>
      <c r="AA6909">
        <v>0.9903689</v>
      </c>
      <c r="AB6909">
        <v>35</v>
      </c>
      <c r="AC6909">
        <v>23.222199999999901</v>
      </c>
      <c r="AD6909">
        <v>0.453344999999999</v>
      </c>
      <c r="AE6909">
        <v>171.59673699999999</v>
      </c>
      <c r="AF6909">
        <v>24.0184700128072</v>
      </c>
      <c r="AG6909">
        <v>0.453344999999999</v>
      </c>
      <c r="AH6909">
        <v>171.48589674074901</v>
      </c>
      <c r="AI6909">
        <v>89.849995766739994</v>
      </c>
      <c r="AJ6909">
        <v>82.026967076701496</v>
      </c>
      <c r="AK6909">
        <v>173.16034535777499</v>
      </c>
      <c r="AL6909">
        <v>85.131341248689395</v>
      </c>
      <c r="AM6909">
        <v>88.344782257814302</v>
      </c>
      <c r="AN6909">
        <v>0.99999998166349802</v>
      </c>
    </row>
    <row r="6910" spans="1:40" x14ac:dyDescent="0.25">
      <c r="A6910" t="str">
        <f>"20190312151158319"</f>
        <v>20190312151158319</v>
      </c>
      <c r="B6910" t="str">
        <f>"1552374718307855"</f>
        <v>1552374718307855</v>
      </c>
      <c r="C6910" t="s">
        <v>40</v>
      </c>
      <c r="D6910">
        <v>5.3445419999999997</v>
      </c>
      <c r="E6910">
        <v>0.54089309999999902</v>
      </c>
      <c r="F6910" t="s">
        <v>69</v>
      </c>
      <c r="G6910">
        <v>-162.94049999999999</v>
      </c>
      <c r="H6910">
        <v>1.121305</v>
      </c>
      <c r="I6910">
        <v>167.482</v>
      </c>
      <c r="J6910">
        <v>-186.13290000000001</v>
      </c>
      <c r="K6910">
        <v>1.1098939999999999</v>
      </c>
      <c r="L6910">
        <v>-3.7938540000000001</v>
      </c>
      <c r="M6910">
        <v>-4.9266040000000002E-3</v>
      </c>
      <c r="N6910">
        <v>0</v>
      </c>
      <c r="O6910">
        <v>0.99994620000000001</v>
      </c>
      <c r="P6910">
        <v>2.4294429999999999E-2</v>
      </c>
      <c r="Q6910">
        <v>7.6008660000000006E-2</v>
      </c>
      <c r="R6910">
        <v>0.99681120000000001</v>
      </c>
      <c r="S6910">
        <v>0.40531919999999999</v>
      </c>
      <c r="T6910">
        <v>2.000332E-4</v>
      </c>
      <c r="U6910">
        <v>2.999695</v>
      </c>
      <c r="V6910">
        <v>2.9154570000000001E-2</v>
      </c>
      <c r="W6910">
        <v>8.5115629999999998E-2</v>
      </c>
      <c r="X6910">
        <v>0.99594439999999995</v>
      </c>
      <c r="Y6910">
        <v>0.1387842</v>
      </c>
      <c r="Z6910" s="1">
        <v>6.6060489999999995E-5</v>
      </c>
      <c r="AA6910">
        <v>0.99032260000000005</v>
      </c>
      <c r="AB6910">
        <v>35</v>
      </c>
      <c r="AC6910">
        <v>23.192399999999999</v>
      </c>
      <c r="AD6910">
        <v>1.14109999999998E-2</v>
      </c>
      <c r="AE6910">
        <v>171.27585400000001</v>
      </c>
      <c r="AF6910">
        <v>24.035961878815499</v>
      </c>
      <c r="AG6910">
        <v>1.14109999999998E-2</v>
      </c>
      <c r="AH6910">
        <v>171.15950998214299</v>
      </c>
      <c r="AI6910">
        <v>89.996217275621504</v>
      </c>
      <c r="AJ6910">
        <v>82.006216985253403</v>
      </c>
      <c r="AK6910">
        <v>172.838958140166</v>
      </c>
      <c r="AL6910">
        <v>85.117325695957405</v>
      </c>
      <c r="AM6910">
        <v>88.323242829730603</v>
      </c>
      <c r="AN6910">
        <v>0.99999995365676897</v>
      </c>
    </row>
    <row r="6911" spans="1:40" x14ac:dyDescent="0.25">
      <c r="A6911" t="str">
        <f>"20190312151158341"</f>
        <v>20190312151158341</v>
      </c>
      <c r="B6911" t="str">
        <f>"1552374718328355"</f>
        <v>1552374718328355</v>
      </c>
      <c r="C6911" t="s">
        <v>40</v>
      </c>
      <c r="D6911">
        <v>5.2527419999999996</v>
      </c>
      <c r="E6911">
        <v>0.53981239999999997</v>
      </c>
      <c r="F6911" t="s">
        <v>69</v>
      </c>
      <c r="G6911">
        <v>-163.40209999999999</v>
      </c>
      <c r="H6911">
        <v>0.48840709999999998</v>
      </c>
      <c r="I6911">
        <v>167.9435</v>
      </c>
      <c r="J6911">
        <v>-186.13480000000001</v>
      </c>
      <c r="K6911">
        <v>1.1098870000000001</v>
      </c>
      <c r="L6911">
        <v>-3.4538570000000002</v>
      </c>
      <c r="M6911">
        <v>-5.1967869999999996E-3</v>
      </c>
      <c r="N6911">
        <v>0</v>
      </c>
      <c r="O6911">
        <v>0.99994470000000002</v>
      </c>
      <c r="P6911">
        <v>2.3884929999999999E-2</v>
      </c>
      <c r="Q6911">
        <v>7.6265159999999999E-2</v>
      </c>
      <c r="R6911">
        <v>0.99680139999999995</v>
      </c>
      <c r="S6911">
        <v>0.397171</v>
      </c>
      <c r="T6911">
        <v>-1.085854E-2</v>
      </c>
      <c r="U6911">
        <v>3.0007320000000002</v>
      </c>
      <c r="V6911">
        <v>2.9014479999999999E-2</v>
      </c>
      <c r="W6911">
        <v>8.5389279999999998E-2</v>
      </c>
      <c r="X6911">
        <v>0.99592510000000001</v>
      </c>
      <c r="Y6911">
        <v>0.13636309999999999</v>
      </c>
      <c r="Z6911">
        <v>-3.5859939999999999E-3</v>
      </c>
      <c r="AA6911">
        <v>0.99065239999999999</v>
      </c>
      <c r="AB6911">
        <v>35</v>
      </c>
      <c r="AC6911">
        <v>22.732700000000001</v>
      </c>
      <c r="AD6911">
        <v>-0.62147989999999997</v>
      </c>
      <c r="AE6911">
        <v>171.397357</v>
      </c>
      <c r="AF6911">
        <v>23.622840578287999</v>
      </c>
      <c r="AG6911">
        <v>-0.62147989999999997</v>
      </c>
      <c r="AH6911">
        <v>171.27468750322299</v>
      </c>
      <c r="AI6911">
        <v>90.205950420374194</v>
      </c>
      <c r="AJ6911">
        <v>82.147098443722896</v>
      </c>
      <c r="AK6911">
        <v>172.89720475930099</v>
      </c>
      <c r="AL6911">
        <v>85.101589579055798</v>
      </c>
      <c r="AM6911">
        <v>88.331262893898796</v>
      </c>
      <c r="AN6911">
        <v>0.99999998699929904</v>
      </c>
    </row>
    <row r="6912" spans="1:40" x14ac:dyDescent="0.25">
      <c r="A6912" t="str">
        <f>"20190312151158363"</f>
        <v>20190312151158363</v>
      </c>
      <c r="B6912" t="str">
        <f>"1552374718357631"</f>
        <v>1552374718357631</v>
      </c>
      <c r="C6912" t="s">
        <v>40</v>
      </c>
      <c r="D6912">
        <v>5.0152239999999999</v>
      </c>
      <c r="E6912">
        <v>0.53910009999999997</v>
      </c>
      <c r="F6912" t="s">
        <v>42</v>
      </c>
      <c r="G6912">
        <v>-166.27379999999999</v>
      </c>
      <c r="H6912">
        <v>7.9985630000000002E-2</v>
      </c>
      <c r="I6912">
        <v>150.4802</v>
      </c>
      <c r="J6912">
        <v>-186.1369</v>
      </c>
      <c r="K6912">
        <v>1.1098859999999999</v>
      </c>
      <c r="L6912">
        <v>-3.0995789999999999</v>
      </c>
      <c r="M6912">
        <v>-5.4752710000000003E-3</v>
      </c>
      <c r="N6912">
        <v>0</v>
      </c>
      <c r="O6912">
        <v>0.99994309999999997</v>
      </c>
      <c r="P6912">
        <v>2.3665390000000001E-2</v>
      </c>
      <c r="Q6912">
        <v>7.6565939999999999E-2</v>
      </c>
      <c r="R6912">
        <v>0.99678359999999999</v>
      </c>
      <c r="S6912">
        <v>0.38731379999999999</v>
      </c>
      <c r="T6912">
        <v>-2.008426E-2</v>
      </c>
      <c r="U6912">
        <v>3.0018919999999998</v>
      </c>
      <c r="V6912">
        <v>2.9072649999999998E-2</v>
      </c>
      <c r="W6912">
        <v>8.570759E-2</v>
      </c>
      <c r="X6912">
        <v>0.99589609999999995</v>
      </c>
      <c r="Y6912">
        <v>0.13338829999999999</v>
      </c>
      <c r="Z6912">
        <v>-6.6328510000000004E-3</v>
      </c>
      <c r="AA6912">
        <v>0.99104170000000003</v>
      </c>
      <c r="AB6912">
        <v>35</v>
      </c>
      <c r="AC6912">
        <v>19.863099999999999</v>
      </c>
      <c r="AD6912">
        <v>-1.02990037</v>
      </c>
      <c r="AE6912">
        <v>153.579779</v>
      </c>
      <c r="AF6912">
        <v>20.702812704892398</v>
      </c>
      <c r="AG6912">
        <v>-1.02990037</v>
      </c>
      <c r="AH6912">
        <v>153.46192868785499</v>
      </c>
      <c r="AI6912">
        <v>90.381060883252303</v>
      </c>
      <c r="AJ6912">
        <v>82.316886525494695</v>
      </c>
      <c r="AK6912">
        <v>154.855515579078</v>
      </c>
      <c r="AL6912">
        <v>85.083284845661098</v>
      </c>
      <c r="AM6912">
        <v>88.327870542725194</v>
      </c>
      <c r="AN6912">
        <v>1.0000000259784101</v>
      </c>
    </row>
    <row r="6913" spans="1:40" x14ac:dyDescent="0.25">
      <c r="A6913" t="str">
        <f>"20190312151158385"</f>
        <v>20190312151158385</v>
      </c>
      <c r="B6913" t="str">
        <f>"1552374718377734"</f>
        <v>1552374718377734</v>
      </c>
      <c r="C6913" t="s">
        <v>40</v>
      </c>
      <c r="D6913">
        <v>5.3238919999999998</v>
      </c>
      <c r="E6913">
        <v>0.5383928</v>
      </c>
      <c r="F6913" t="s">
        <v>42</v>
      </c>
      <c r="G6913">
        <v>-175.8827</v>
      </c>
      <c r="H6913">
        <v>7.9986450000000001E-2</v>
      </c>
      <c r="I6913">
        <v>77.7393</v>
      </c>
      <c r="J6913">
        <v>-186.13910000000001</v>
      </c>
      <c r="K6913">
        <v>1.10988</v>
      </c>
      <c r="L6913">
        <v>-2.753876</v>
      </c>
      <c r="M6913">
        <v>-5.7429680000000002E-3</v>
      </c>
      <c r="N6913">
        <v>0</v>
      </c>
      <c r="O6913">
        <v>0.99994139999999998</v>
      </c>
      <c r="P6913">
        <v>2.351874E-2</v>
      </c>
      <c r="Q6913">
        <v>7.6512339999999998E-2</v>
      </c>
      <c r="R6913">
        <v>0.99679119999999999</v>
      </c>
      <c r="S6913">
        <v>0.38099670000000002</v>
      </c>
      <c r="T6913">
        <v>-3.8265939999999998E-2</v>
      </c>
      <c r="U6913">
        <v>3.003571</v>
      </c>
      <c r="V6913">
        <v>2.919339E-2</v>
      </c>
      <c r="W6913">
        <v>8.5670070000000001E-2</v>
      </c>
      <c r="X6913">
        <v>0.99589570000000005</v>
      </c>
      <c r="Y6913">
        <v>0.131525</v>
      </c>
      <c r="Z6913">
        <v>-1.2632859999999999E-2</v>
      </c>
      <c r="AA6913">
        <v>0.99123229999999996</v>
      </c>
      <c r="AB6913">
        <v>35</v>
      </c>
      <c r="AC6913">
        <v>10.256399999999999</v>
      </c>
      <c r="AD6913">
        <v>-1.0298935499999999</v>
      </c>
      <c r="AE6913">
        <v>80.493176000000005</v>
      </c>
      <c r="AF6913">
        <v>10.7167936656757</v>
      </c>
      <c r="AG6913">
        <v>-1.0298935499999999</v>
      </c>
      <c r="AH6913">
        <v>80.419988859081997</v>
      </c>
      <c r="AI6913">
        <v>90.727286132101895</v>
      </c>
      <c r="AJ6913">
        <v>82.409466803699104</v>
      </c>
      <c r="AK6913">
        <v>81.137444840787794</v>
      </c>
      <c r="AL6913">
        <v>85.085442046908994</v>
      </c>
      <c r="AM6913">
        <v>88.320929408220394</v>
      </c>
      <c r="AN6913">
        <v>0.99999993009599097</v>
      </c>
    </row>
    <row r="6914" spans="1:40" x14ac:dyDescent="0.25">
      <c r="A6914" t="str">
        <f>"20190312151158408"</f>
        <v>20190312151158408</v>
      </c>
      <c r="B6914" t="str">
        <f>"1552374718398220"</f>
        <v>1552374718398220</v>
      </c>
      <c r="C6914" t="s">
        <v>40</v>
      </c>
      <c r="D6914">
        <v>5.3042290000000003</v>
      </c>
      <c r="E6914">
        <v>0.5378655</v>
      </c>
      <c r="F6914" t="s">
        <v>42</v>
      </c>
      <c r="G6914">
        <v>-176.92080000000001</v>
      </c>
      <c r="H6914">
        <v>7.9985920000000002E-2</v>
      </c>
      <c r="I6914">
        <v>71.085579999999993</v>
      </c>
      <c r="J6914">
        <v>-186.1414</v>
      </c>
      <c r="K6914">
        <v>1.1098779999999999</v>
      </c>
      <c r="L6914">
        <v>-2.3960569999999999</v>
      </c>
      <c r="M6914">
        <v>-6.0155139999999996E-3</v>
      </c>
      <c r="N6914">
        <v>0</v>
      </c>
      <c r="O6914">
        <v>0.99993969999999999</v>
      </c>
      <c r="P6914">
        <v>2.3612709999999999E-2</v>
      </c>
      <c r="Q6914">
        <v>7.6293749999999994E-2</v>
      </c>
      <c r="R6914">
        <v>0.99680570000000002</v>
      </c>
      <c r="S6914">
        <v>0.37503049999999999</v>
      </c>
      <c r="T6914">
        <v>-4.1899440000000003E-2</v>
      </c>
      <c r="U6914">
        <v>3.0040279999999999</v>
      </c>
      <c r="V6914">
        <v>2.9559769999999999E-2</v>
      </c>
      <c r="W6914">
        <v>8.5467199999999993E-2</v>
      </c>
      <c r="X6914">
        <v>0.99590239999999997</v>
      </c>
      <c r="Y6914">
        <v>0.12983620000000001</v>
      </c>
      <c r="Z6914">
        <v>-1.383331E-2</v>
      </c>
      <c r="AA6914">
        <v>0.99143890000000001</v>
      </c>
      <c r="AB6914">
        <v>35</v>
      </c>
      <c r="AC6914">
        <v>9.2205999999999904</v>
      </c>
      <c r="AD6914">
        <v>-1.02989208</v>
      </c>
      <c r="AE6914">
        <v>73.481637000000006</v>
      </c>
      <c r="AF6914">
        <v>9.6606133320780501</v>
      </c>
      <c r="AG6914">
        <v>-1.02989208</v>
      </c>
      <c r="AH6914">
        <v>73.410641261599906</v>
      </c>
      <c r="AI6914">
        <v>90.796891175944197</v>
      </c>
      <c r="AJ6914">
        <v>82.503130862736597</v>
      </c>
      <c r="AK6914">
        <v>74.050728410243806</v>
      </c>
      <c r="AL6914">
        <v>85.097108806135097</v>
      </c>
      <c r="AM6914">
        <v>88.299880623866201</v>
      </c>
      <c r="AN6914">
        <v>1.00000000630202</v>
      </c>
    </row>
    <row r="6915" spans="1:40" x14ac:dyDescent="0.25">
      <c r="A6915" t="str">
        <f>"20190312151158432"</f>
        <v>20190312151158432</v>
      </c>
      <c r="B6915" t="str">
        <f>"1552374718428477"</f>
        <v>1552374718428477</v>
      </c>
      <c r="C6915" t="s">
        <v>40</v>
      </c>
      <c r="D6915">
        <v>5.4522680000000001</v>
      </c>
      <c r="E6915">
        <v>0.53735119999999903</v>
      </c>
      <c r="F6915" t="s">
        <v>42</v>
      </c>
      <c r="G6915">
        <v>-177.4151</v>
      </c>
      <c r="H6915">
        <v>7.9986539999999995E-2</v>
      </c>
      <c r="I6915">
        <v>68.256590000000003</v>
      </c>
      <c r="J6915">
        <v>-186.1439</v>
      </c>
      <c r="K6915">
        <v>1.109874</v>
      </c>
      <c r="L6915">
        <v>-2.0315859999999999</v>
      </c>
      <c r="M6915">
        <v>-6.2879059999999898E-3</v>
      </c>
      <c r="N6915">
        <v>0</v>
      </c>
      <c r="O6915">
        <v>0.99993779999999999</v>
      </c>
      <c r="P6915">
        <v>2.3799669999999998E-2</v>
      </c>
      <c r="Q6915">
        <v>7.5908829999999997E-2</v>
      </c>
      <c r="R6915">
        <v>0.99683069999999896</v>
      </c>
      <c r="S6915">
        <v>0.37104799999999999</v>
      </c>
      <c r="T6915">
        <v>-4.3791410000000003E-2</v>
      </c>
      <c r="U6915">
        <v>3.004181</v>
      </c>
      <c r="V6915">
        <v>3.0019170000000001E-2</v>
      </c>
      <c r="W6915">
        <v>8.5097580000000006E-2</v>
      </c>
      <c r="X6915">
        <v>0.99592029999999998</v>
      </c>
      <c r="Y6915">
        <v>0.12880459999999999</v>
      </c>
      <c r="Z6915">
        <v>-1.445921E-2</v>
      </c>
      <c r="AA6915">
        <v>0.99156460000000002</v>
      </c>
      <c r="AB6915">
        <v>35</v>
      </c>
      <c r="AC6915">
        <v>8.7287999999999997</v>
      </c>
      <c r="AD6915">
        <v>-1.0298874600000001</v>
      </c>
      <c r="AE6915">
        <v>70.288176000000007</v>
      </c>
      <c r="AF6915">
        <v>9.1686730816763795</v>
      </c>
      <c r="AG6915">
        <v>-1.0298874600000001</v>
      </c>
      <c r="AH6915">
        <v>70.217052095570907</v>
      </c>
      <c r="AI6915">
        <v>90.833235973193595</v>
      </c>
      <c r="AJ6915">
        <v>82.560627310663094</v>
      </c>
      <c r="AK6915">
        <v>70.820615919737904</v>
      </c>
      <c r="AL6915">
        <v>85.1183638594554</v>
      </c>
      <c r="AM6915">
        <v>88.273505282920794</v>
      </c>
      <c r="AN6915">
        <v>0.99999999632071701</v>
      </c>
    </row>
    <row r="6916" spans="1:40" x14ac:dyDescent="0.25">
      <c r="A6916" t="str">
        <f>"20190312151158452"</f>
        <v>20190312151158452</v>
      </c>
      <c r="B6916" t="str">
        <f>"1552374718447997"</f>
        <v>1552374718447997</v>
      </c>
      <c r="C6916" t="s">
        <v>40</v>
      </c>
      <c r="D6916">
        <v>5.3896730000000002</v>
      </c>
      <c r="E6916">
        <v>0.53685280000000002</v>
      </c>
      <c r="F6916" t="s">
        <v>42</v>
      </c>
      <c r="G6916">
        <v>-178.30439999999999</v>
      </c>
      <c r="H6916">
        <v>7.9986139999999997E-2</v>
      </c>
      <c r="I6916">
        <v>62.035989999999998</v>
      </c>
      <c r="J6916">
        <v>-186.14609999999999</v>
      </c>
      <c r="K6916">
        <v>1.109864</v>
      </c>
      <c r="L6916">
        <v>-1.7050479999999999</v>
      </c>
      <c r="M6916">
        <v>-6.5286759999999998E-3</v>
      </c>
      <c r="N6916">
        <v>0</v>
      </c>
      <c r="O6916">
        <v>0.99993620000000005</v>
      </c>
      <c r="P6916">
        <v>2.4013719999999999E-2</v>
      </c>
      <c r="Q6916">
        <v>7.5853149999999994E-2</v>
      </c>
      <c r="R6916">
        <v>0.99682979999999999</v>
      </c>
      <c r="S6916">
        <v>0.36763000000000001</v>
      </c>
      <c r="T6916">
        <v>-4.8296209999999999E-2</v>
      </c>
      <c r="U6916">
        <v>3.0044249999999999</v>
      </c>
      <c r="V6916">
        <v>3.0473719999999999E-2</v>
      </c>
      <c r="W6916">
        <v>8.5053859999999995E-2</v>
      </c>
      <c r="X6916">
        <v>0.99591019999999997</v>
      </c>
      <c r="Y6916">
        <v>0.12791949999999999</v>
      </c>
      <c r="Z6916">
        <v>-1.594696E-2</v>
      </c>
      <c r="AA6916">
        <v>0.99165639999999999</v>
      </c>
      <c r="AB6916">
        <v>35</v>
      </c>
      <c r="AC6916">
        <v>7.8417000000000003</v>
      </c>
      <c r="AD6916">
        <v>-1.02987786</v>
      </c>
      <c r="AE6916">
        <v>63.741038000000003</v>
      </c>
      <c r="AF6916">
        <v>8.2555720976693507</v>
      </c>
      <c r="AG6916">
        <v>-1.02987786</v>
      </c>
      <c r="AH6916">
        <v>63.672107195650199</v>
      </c>
      <c r="AI6916">
        <v>90.918970882135099</v>
      </c>
      <c r="AJ6916">
        <v>82.612381204508097</v>
      </c>
      <c r="AK6916">
        <v>64.213334703943801</v>
      </c>
      <c r="AL6916">
        <v>85.120877800371204</v>
      </c>
      <c r="AM6916">
        <v>88.247361135469106</v>
      </c>
      <c r="AN6916">
        <v>0.999999966587788</v>
      </c>
    </row>
    <row r="6917" spans="1:40" x14ac:dyDescent="0.25">
      <c r="A6917" t="str">
        <f>"20190312151158474"</f>
        <v>20190312151158474</v>
      </c>
      <c r="B6917" t="str">
        <f>"1552374718468492"</f>
        <v>1552374718468492</v>
      </c>
      <c r="C6917" t="s">
        <v>40</v>
      </c>
      <c r="D6917">
        <v>5.039269</v>
      </c>
      <c r="E6917">
        <v>0.53669019999999901</v>
      </c>
      <c r="F6917" t="s">
        <v>42</v>
      </c>
      <c r="G6917">
        <v>-178.9391</v>
      </c>
      <c r="H6917">
        <v>7.9986329999999994E-2</v>
      </c>
      <c r="I6917">
        <v>57.777630000000002</v>
      </c>
      <c r="J6917">
        <v>-186.14859999999999</v>
      </c>
      <c r="K6917">
        <v>1.1098619999999999</v>
      </c>
      <c r="L6917">
        <v>-1.3642270000000001</v>
      </c>
      <c r="M6917">
        <v>-6.7775219999999898E-3</v>
      </c>
      <c r="N6917">
        <v>0</v>
      </c>
      <c r="O6917">
        <v>0.9999344</v>
      </c>
      <c r="P6917">
        <v>2.3981990000000002E-2</v>
      </c>
      <c r="Q6917">
        <v>7.5645420000000005E-2</v>
      </c>
      <c r="R6917">
        <v>0.99684629999999996</v>
      </c>
      <c r="S6917">
        <v>0.36405939999999998</v>
      </c>
      <c r="T6917">
        <v>-5.2023649999999998E-2</v>
      </c>
      <c r="U6917">
        <v>3.0047299999999999</v>
      </c>
      <c r="V6917">
        <v>3.069065E-2</v>
      </c>
      <c r="W6917">
        <v>8.4858580000000003E-2</v>
      </c>
      <c r="X6917">
        <v>0.99592020000000003</v>
      </c>
      <c r="Y6917">
        <v>0.12699050000000001</v>
      </c>
      <c r="Z6917">
        <v>-1.7177850000000001E-2</v>
      </c>
      <c r="AA6917">
        <v>0.99175519999999995</v>
      </c>
      <c r="AB6917">
        <v>35</v>
      </c>
      <c r="AC6917">
        <v>7.2094999999999896</v>
      </c>
      <c r="AD6917">
        <v>-1.02987567</v>
      </c>
      <c r="AE6917">
        <v>59.141856999999902</v>
      </c>
      <c r="AF6917">
        <v>7.60791351874777</v>
      </c>
      <c r="AG6917">
        <v>-1.02987567</v>
      </c>
      <c r="AH6917">
        <v>59.073982886931397</v>
      </c>
      <c r="AI6917">
        <v>90.990594392397497</v>
      </c>
      <c r="AJ6917">
        <v>82.661488526240703</v>
      </c>
      <c r="AK6917">
        <v>59.570768386263701</v>
      </c>
      <c r="AL6917">
        <v>85.132107133210496</v>
      </c>
      <c r="AM6917">
        <v>88.234910390003193</v>
      </c>
      <c r="AN6917">
        <v>0.99999996968253901</v>
      </c>
    </row>
    <row r="6918" spans="1:40" x14ac:dyDescent="0.25">
      <c r="A6918" t="str">
        <f>"20190312151158497"</f>
        <v>20190312151158497</v>
      </c>
      <c r="B6918" t="str">
        <f>"1552374718487800"</f>
        <v>1552374718487800</v>
      </c>
      <c r="C6918" t="s">
        <v>40</v>
      </c>
      <c r="D6918">
        <v>5.2453200000000004</v>
      </c>
      <c r="E6918">
        <v>0.5361977</v>
      </c>
      <c r="F6918" t="s">
        <v>42</v>
      </c>
      <c r="G6918">
        <v>-179.53809999999999</v>
      </c>
      <c r="H6918">
        <v>7.9986479999999999E-2</v>
      </c>
      <c r="I6918">
        <v>53.418849999999999</v>
      </c>
      <c r="J6918">
        <v>-186.15129999999999</v>
      </c>
      <c r="K6918">
        <v>1.109858</v>
      </c>
      <c r="L6918">
        <v>-1.0036929999999999</v>
      </c>
      <c r="M6918">
        <v>-7.0388259999999998E-3</v>
      </c>
      <c r="N6918">
        <v>0</v>
      </c>
      <c r="O6918">
        <v>0.9999325</v>
      </c>
      <c r="P6918">
        <v>2.3851750000000001E-2</v>
      </c>
      <c r="Q6918">
        <v>7.5015529999999997E-2</v>
      </c>
      <c r="R6918">
        <v>0.99689700000000003</v>
      </c>
      <c r="S6918">
        <v>0.36260989999999999</v>
      </c>
      <c r="T6918">
        <v>-5.6492689999999998E-2</v>
      </c>
      <c r="U6918">
        <v>3.0050659999999998</v>
      </c>
      <c r="V6918">
        <v>3.0821830000000001E-2</v>
      </c>
      <c r="W6918">
        <v>8.4241410000000003E-2</v>
      </c>
      <c r="X6918">
        <v>0.99596859999999998</v>
      </c>
      <c r="Y6918">
        <v>0.12676189999999901</v>
      </c>
      <c r="Z6918">
        <v>-1.86517E-2</v>
      </c>
      <c r="AA6918">
        <v>0.99175780000000002</v>
      </c>
      <c r="AB6918">
        <v>35</v>
      </c>
      <c r="AC6918">
        <v>6.6132</v>
      </c>
      <c r="AD6918">
        <v>-1.0298715199999999</v>
      </c>
      <c r="AE6918">
        <v>54.422542999999997</v>
      </c>
      <c r="AF6918">
        <v>6.9936553278713101</v>
      </c>
      <c r="AG6918">
        <v>-1.0298715199999999</v>
      </c>
      <c r="AH6918">
        <v>54.355461893255899</v>
      </c>
      <c r="AI6918">
        <v>91.076579220509302</v>
      </c>
      <c r="AJ6918">
        <v>82.668309151701607</v>
      </c>
      <c r="AK6918">
        <v>54.813210887722697</v>
      </c>
      <c r="AL6918">
        <v>85.167595720430299</v>
      </c>
      <c r="AM6918">
        <v>88.227456818262297</v>
      </c>
      <c r="AN6918">
        <v>1.00000002627464</v>
      </c>
    </row>
    <row r="6919" spans="1:40" x14ac:dyDescent="0.25">
      <c r="A6919" t="str">
        <f>"20190312151158520"</f>
        <v>20190312151158520</v>
      </c>
      <c r="B6919" t="str">
        <f>"1552374718508300"</f>
        <v>1552374718508300</v>
      </c>
      <c r="C6919" t="s">
        <v>40</v>
      </c>
      <c r="D6919">
        <v>5.4029720000000001</v>
      </c>
      <c r="E6919">
        <v>0.49551509999999999</v>
      </c>
      <c r="F6919" t="s">
        <v>42</v>
      </c>
      <c r="G6919">
        <v>-179.9367</v>
      </c>
      <c r="H6919">
        <v>7.1022100000000005E-2</v>
      </c>
      <c r="I6919">
        <v>51.089399999999998</v>
      </c>
      <c r="J6919">
        <v>-186.154</v>
      </c>
      <c r="K6919">
        <v>1.109855</v>
      </c>
      <c r="L6919">
        <v>-0.64941409999999999</v>
      </c>
      <c r="M6919">
        <v>-7.2941519999999999E-3</v>
      </c>
      <c r="N6919">
        <v>0</v>
      </c>
      <c r="O6919">
        <v>0.9999306</v>
      </c>
      <c r="P6919">
        <v>2.382109E-2</v>
      </c>
      <c r="Q6919">
        <v>7.5004799999999996E-2</v>
      </c>
      <c r="R6919">
        <v>0.99689859999999997</v>
      </c>
      <c r="S6919">
        <v>0.35852050000000002</v>
      </c>
      <c r="T6919">
        <v>-5.9931039999999998E-2</v>
      </c>
      <c r="U6919">
        <v>3.00528</v>
      </c>
      <c r="V6919">
        <v>3.104581E-2</v>
      </c>
      <c r="W6919">
        <v>8.424189E-2</v>
      </c>
      <c r="X6919">
        <v>0.9959616</v>
      </c>
      <c r="Y6919">
        <v>0.1256737</v>
      </c>
      <c r="Z6919">
        <v>-1.9787989999999998E-2</v>
      </c>
      <c r="AA6919">
        <v>0.99187429999999999</v>
      </c>
      <c r="AB6919">
        <v>35</v>
      </c>
      <c r="AC6919">
        <v>6.2173000000000203</v>
      </c>
      <c r="AD6919">
        <v>-1.0388329000000001</v>
      </c>
      <c r="AE6919">
        <v>51.738814099999999</v>
      </c>
      <c r="AF6919">
        <v>6.5919218600019001</v>
      </c>
      <c r="AG6919">
        <v>-1.0388329000000001</v>
      </c>
      <c r="AH6919">
        <v>51.671551247177597</v>
      </c>
      <c r="AI6919">
        <v>91.142493242621498</v>
      </c>
      <c r="AJ6919">
        <v>82.729846387489701</v>
      </c>
      <c r="AK6919">
        <v>52.100689207458601</v>
      </c>
      <c r="AL6919">
        <v>85.167568106966002</v>
      </c>
      <c r="AM6919">
        <v>88.214571642112205</v>
      </c>
      <c r="AN6919">
        <v>1.00000002351194</v>
      </c>
    </row>
    <row r="6920" spans="1:40" x14ac:dyDescent="0.25">
      <c r="A6920" t="str">
        <f>"20190312151158541"</f>
        <v>20190312151158541</v>
      </c>
      <c r="B6920" t="str">
        <f>"1552374718538552"</f>
        <v>1552374718538552</v>
      </c>
      <c r="C6920" t="s">
        <v>40</v>
      </c>
      <c r="D6920">
        <v>5.4100380000000001</v>
      </c>
      <c r="E6920">
        <v>0.49190020000000001</v>
      </c>
      <c r="F6920" t="s">
        <v>41</v>
      </c>
      <c r="G6920">
        <v>-186.14320000000001</v>
      </c>
      <c r="H6920">
        <v>1.0019910000000001</v>
      </c>
      <c r="I6920">
        <v>0.3454334</v>
      </c>
      <c r="J6920">
        <v>-186.1567</v>
      </c>
      <c r="K6920">
        <v>1.109856</v>
      </c>
      <c r="L6920">
        <v>-0.30825809999999998</v>
      </c>
      <c r="M6920">
        <v>-7.53908099999999E-3</v>
      </c>
      <c r="N6920">
        <v>0</v>
      </c>
      <c r="O6920">
        <v>0.9999287</v>
      </c>
      <c r="P6920">
        <v>2.3410179999999999E-2</v>
      </c>
      <c r="Q6920">
        <v>7.4643479999999998E-2</v>
      </c>
      <c r="R6920">
        <v>0.99693549999999997</v>
      </c>
      <c r="S6920">
        <v>3.2745360000000001E-2</v>
      </c>
      <c r="T6920">
        <v>-0.32887889999999997</v>
      </c>
      <c r="U6920">
        <v>3.0332949999999999</v>
      </c>
      <c r="V6920">
        <v>3.0879549999999999E-2</v>
      </c>
      <c r="W6920">
        <v>8.3891209999999994E-2</v>
      </c>
      <c r="X6920">
        <v>0.9959964</v>
      </c>
      <c r="Y6920">
        <v>1.8270459999999999E-2</v>
      </c>
      <c r="Z6920">
        <v>-0.1077746</v>
      </c>
      <c r="AA6920">
        <v>0.99400750000000004</v>
      </c>
      <c r="AB6920">
        <v>35</v>
      </c>
      <c r="AC6920">
        <v>1.3499999999993399E-2</v>
      </c>
      <c r="AD6920">
        <v>-0.107864999999999</v>
      </c>
      <c r="AE6920">
        <v>0.65369149999999998</v>
      </c>
      <c r="AF6920">
        <v>1.7939804413931702E-2</v>
      </c>
      <c r="AG6920">
        <v>-0.107864999999999</v>
      </c>
      <c r="AH6920">
        <v>0.636254597234167</v>
      </c>
      <c r="AI6920">
        <v>99.618185946203198</v>
      </c>
      <c r="AJ6920">
        <v>88.3849188334096</v>
      </c>
      <c r="AK6920">
        <v>0.645582378406522</v>
      </c>
      <c r="AL6920">
        <v>85.187732120933902</v>
      </c>
      <c r="AM6920">
        <v>88.224189038160304</v>
      </c>
      <c r="AN6920">
        <v>1.00000005526821</v>
      </c>
    </row>
    <row r="6921" spans="1:40" x14ac:dyDescent="0.25">
      <c r="A6921" t="str">
        <f>"20190312151158563"</f>
        <v>20190312151158563</v>
      </c>
      <c r="B6921" t="str">
        <f>"1552374718558072"</f>
        <v>1552374718558072</v>
      </c>
      <c r="C6921" t="s">
        <v>40</v>
      </c>
      <c r="D6921">
        <v>5.3944029999999996</v>
      </c>
      <c r="E6921">
        <v>0.49125289999999999</v>
      </c>
      <c r="F6921" t="s">
        <v>41</v>
      </c>
      <c r="G6921">
        <v>-186.15559999999999</v>
      </c>
      <c r="H6921">
        <v>1.01163799999999</v>
      </c>
      <c r="I6921">
        <v>0.66569029999999996</v>
      </c>
      <c r="J6921">
        <v>-186.15960000000001</v>
      </c>
      <c r="K6921">
        <v>1.109855</v>
      </c>
      <c r="L6921">
        <v>4.2663569999999998E-2</v>
      </c>
      <c r="M6921">
        <v>-7.7909939999999999E-3</v>
      </c>
      <c r="N6921">
        <v>0</v>
      </c>
      <c r="O6921">
        <v>0.9999266</v>
      </c>
      <c r="P6921">
        <v>2.2842609999999999E-2</v>
      </c>
      <c r="Q6921">
        <v>7.4539569999999999E-2</v>
      </c>
      <c r="R6921">
        <v>0.99695639999999996</v>
      </c>
      <c r="S6921">
        <v>2.9296880000000002E-3</v>
      </c>
      <c r="T6921">
        <v>-0.30576710000000001</v>
      </c>
      <c r="U6921">
        <v>3.0320429999999998</v>
      </c>
      <c r="V6921">
        <v>3.056333E-2</v>
      </c>
      <c r="W6921">
        <v>8.3796670000000004E-2</v>
      </c>
      <c r="X6921">
        <v>0.99601410000000001</v>
      </c>
      <c r="Y6921">
        <v>8.7526630000000008E-3</v>
      </c>
      <c r="Z6921">
        <v>-0.1003298</v>
      </c>
      <c r="AA6921">
        <v>0.99491569999999996</v>
      </c>
      <c r="AB6921">
        <v>35</v>
      </c>
      <c r="AC6921">
        <v>4.0000000000190898E-3</v>
      </c>
      <c r="AD6921">
        <v>-9.8217000000000207E-2</v>
      </c>
      <c r="AE6921">
        <v>0.62302672999999997</v>
      </c>
      <c r="AF6921">
        <v>8.6393885160826397E-3</v>
      </c>
      <c r="AG6921">
        <v>-9.8217000000000207E-2</v>
      </c>
      <c r="AH6921">
        <v>0.60787052622669202</v>
      </c>
      <c r="AI6921">
        <v>99.177361881227498</v>
      </c>
      <c r="AJ6921">
        <v>89.185735855296102</v>
      </c>
      <c r="AK6921">
        <v>0.61581474063069297</v>
      </c>
      <c r="AL6921">
        <v>85.193167945885605</v>
      </c>
      <c r="AM6921">
        <v>88.242393863033399</v>
      </c>
      <c r="AN6921">
        <v>1.0000000432212901</v>
      </c>
    </row>
    <row r="6922" spans="1:40" x14ac:dyDescent="0.25">
      <c r="A6922" t="str">
        <f>"20190312151158578"</f>
        <v>20190312151158578</v>
      </c>
      <c r="B6922" t="str">
        <f>"1552374718567833"</f>
        <v>1552374718567833</v>
      </c>
      <c r="C6922" t="s">
        <v>40</v>
      </c>
      <c r="D6922">
        <v>5.4111699999999896</v>
      </c>
      <c r="E6922">
        <v>0.49104520000000002</v>
      </c>
      <c r="F6922" t="s">
        <v>41</v>
      </c>
      <c r="G6922">
        <v>-186.16069999999999</v>
      </c>
      <c r="H6922">
        <v>1.018546</v>
      </c>
      <c r="I6922">
        <v>0.98493540000000002</v>
      </c>
      <c r="J6922">
        <v>-186.16159999999999</v>
      </c>
      <c r="K6922">
        <v>1.1098490000000001</v>
      </c>
      <c r="L6922">
        <v>0.2817383</v>
      </c>
      <c r="M6922">
        <v>-7.9625970000000001E-3</v>
      </c>
      <c r="N6922">
        <v>0</v>
      </c>
      <c r="O6922">
        <v>0.99992530000000002</v>
      </c>
      <c r="P6922">
        <v>2.24636E-2</v>
      </c>
      <c r="Q6922">
        <v>7.4347330000000003E-2</v>
      </c>
      <c r="R6922">
        <v>0.99697939999999996</v>
      </c>
      <c r="S6922">
        <v>-3.7231450000000002E-3</v>
      </c>
      <c r="T6922">
        <v>-0.29373539999999998</v>
      </c>
      <c r="U6922">
        <v>3.0312190000000001</v>
      </c>
      <c r="V6922">
        <v>3.0355670000000001E-2</v>
      </c>
      <c r="W6922">
        <v>8.3611350000000001E-2</v>
      </c>
      <c r="X6922">
        <v>0.99603600000000003</v>
      </c>
      <c r="Y6922">
        <v>6.740434E-3</v>
      </c>
      <c r="Z6922">
        <v>-9.6445890000000006E-2</v>
      </c>
      <c r="AA6922">
        <v>0.99531539999999996</v>
      </c>
      <c r="AB6922">
        <v>35</v>
      </c>
      <c r="AC6922">
        <v>9.0000000000145497E-4</v>
      </c>
      <c r="AD6922">
        <v>-9.1303000000000106E-2</v>
      </c>
      <c r="AE6922">
        <v>0.70319709999999902</v>
      </c>
      <c r="AF6922">
        <v>6.3917332256742104E-3</v>
      </c>
      <c r="AG6922">
        <v>-9.1303000000000106E-2</v>
      </c>
      <c r="AH6922">
        <v>0.69150991775817505</v>
      </c>
      <c r="AI6922">
        <v>97.521182026652795</v>
      </c>
      <c r="AJ6922">
        <v>89.470421321072394</v>
      </c>
      <c r="AK6922">
        <v>0.69754072169339798</v>
      </c>
      <c r="AL6922">
        <v>85.203823276055502</v>
      </c>
      <c r="AM6922">
        <v>88.254366715964196</v>
      </c>
      <c r="AN6922">
        <v>1.0000000189229801</v>
      </c>
    </row>
    <row r="6923" spans="1:40" x14ac:dyDescent="0.25">
      <c r="A6923" t="str">
        <f>"20190312151158599"</f>
        <v>20190312151158599</v>
      </c>
      <c r="B6923" t="str">
        <f>"1552374718588329"</f>
        <v>1552374718588329</v>
      </c>
      <c r="C6923" t="s">
        <v>40</v>
      </c>
      <c r="D6923">
        <v>5.3867440000000002</v>
      </c>
      <c r="E6923">
        <v>0.490979</v>
      </c>
      <c r="F6923" t="s">
        <v>41</v>
      </c>
      <c r="G6923">
        <v>-186.16380000000001</v>
      </c>
      <c r="H6923">
        <v>1.012453</v>
      </c>
      <c r="I6923">
        <v>1.2983169999999999</v>
      </c>
      <c r="J6923">
        <v>-186.1643</v>
      </c>
      <c r="K6923">
        <v>1.1098490000000001</v>
      </c>
      <c r="L6923">
        <v>0.59283450000000004</v>
      </c>
      <c r="M6923">
        <v>-8.1858250000000007E-3</v>
      </c>
      <c r="N6923">
        <v>0</v>
      </c>
      <c r="O6923">
        <v>0.99992329999999996</v>
      </c>
      <c r="P6923">
        <v>2.1781129999999999E-2</v>
      </c>
      <c r="Q6923">
        <v>7.4212979999999998E-2</v>
      </c>
      <c r="R6923">
        <v>0.99700449999999996</v>
      </c>
      <c r="S6923">
        <v>-6.607056E-3</v>
      </c>
      <c r="T6923">
        <v>-0.29038330000000001</v>
      </c>
      <c r="U6923">
        <v>3.0308839999999999</v>
      </c>
      <c r="V6923">
        <v>2.9895990000000001E-2</v>
      </c>
      <c r="W6923">
        <v>8.3485429999999999E-2</v>
      </c>
      <c r="X6923">
        <v>0.99606039999999996</v>
      </c>
      <c r="Y6923">
        <v>6.0162619999999997E-3</v>
      </c>
      <c r="Z6923">
        <v>-9.536567E-2</v>
      </c>
      <c r="AA6923">
        <v>0.99542419999999998</v>
      </c>
      <c r="AB6923">
        <v>35</v>
      </c>
      <c r="AC6923">
        <v>4.9999999998817603E-4</v>
      </c>
      <c r="AD6923">
        <v>-9.7395999999999996E-2</v>
      </c>
      <c r="AE6923">
        <v>0.70548249999999901</v>
      </c>
      <c r="AF6923">
        <v>6.1578244638444898E-3</v>
      </c>
      <c r="AG6923">
        <v>-9.7395999999999996E-2</v>
      </c>
      <c r="AH6923">
        <v>0.69226068539617702</v>
      </c>
      <c r="AI6923">
        <v>98.008217793159602</v>
      </c>
      <c r="AJ6923">
        <v>89.490353771268005</v>
      </c>
      <c r="AK6923">
        <v>0.69910568311472998</v>
      </c>
      <c r="AL6923">
        <v>85.211062961142602</v>
      </c>
      <c r="AM6923">
        <v>88.280827179516805</v>
      </c>
      <c r="AN6923">
        <v>0.99999995384426099</v>
      </c>
    </row>
    <row r="6924" spans="1:40" x14ac:dyDescent="0.25">
      <c r="A6924" t="str">
        <f>"20190312151158620"</f>
        <v>20190312151158620</v>
      </c>
      <c r="B6924" t="str">
        <f>"1552374718607848"</f>
        <v>1552374718607848</v>
      </c>
      <c r="C6924" t="s">
        <v>40</v>
      </c>
      <c r="D6924">
        <v>5.4092669999999998</v>
      </c>
      <c r="E6924">
        <v>0.49088110000000001</v>
      </c>
      <c r="F6924" t="s">
        <v>41</v>
      </c>
      <c r="G6924">
        <v>-186.16739999999999</v>
      </c>
      <c r="H6924">
        <v>1.013873</v>
      </c>
      <c r="I6924">
        <v>1.61574</v>
      </c>
      <c r="J6924">
        <v>-186.16739999999999</v>
      </c>
      <c r="K6924">
        <v>1.1098509999999999</v>
      </c>
      <c r="L6924">
        <v>0.93789670000000003</v>
      </c>
      <c r="M6924">
        <v>-8.4337490000000008E-3</v>
      </c>
      <c r="N6924">
        <v>0</v>
      </c>
      <c r="O6924">
        <v>0.99992119999999995</v>
      </c>
      <c r="P6924">
        <v>2.0957630000000001E-2</v>
      </c>
      <c r="Q6924">
        <v>7.4232309999999996E-2</v>
      </c>
      <c r="R6924">
        <v>0.99702069999999998</v>
      </c>
      <c r="S6924">
        <v>-9.2010500000000005E-3</v>
      </c>
      <c r="T6924">
        <v>-0.28432729999999901</v>
      </c>
      <c r="U6924">
        <v>3.0303650000000002</v>
      </c>
      <c r="V6924">
        <v>2.9319769999999998E-2</v>
      </c>
      <c r="W6924">
        <v>8.3512980000000001E-2</v>
      </c>
      <c r="X6924">
        <v>0.9960753</v>
      </c>
      <c r="Y6924">
        <v>5.4111890000000003E-3</v>
      </c>
      <c r="Z6924">
        <v>-9.3409930000000002E-2</v>
      </c>
      <c r="AA6924">
        <v>0.99561299999999997</v>
      </c>
      <c r="AB6924">
        <v>35</v>
      </c>
      <c r="AC6924">
        <v>0</v>
      </c>
      <c r="AD6924">
        <v>-9.5977999999999897E-2</v>
      </c>
      <c r="AE6924">
        <v>0.67784330000000004</v>
      </c>
      <c r="AF6924">
        <v>5.6046420079415397E-3</v>
      </c>
      <c r="AG6924">
        <v>-9.5977999999999897E-2</v>
      </c>
      <c r="AH6924">
        <v>0.66449693512947905</v>
      </c>
      <c r="AI6924">
        <v>98.218507844872903</v>
      </c>
      <c r="AJ6924">
        <v>89.5167551552519</v>
      </c>
      <c r="AK6924">
        <v>0.67141594060054099</v>
      </c>
      <c r="AL6924">
        <v>85.209479320375905</v>
      </c>
      <c r="AM6924">
        <v>88.3139686788451</v>
      </c>
      <c r="AN6924">
        <v>1.0000000350057101</v>
      </c>
    </row>
    <row r="6925" spans="1:40" x14ac:dyDescent="0.25">
      <c r="A6925" t="str">
        <f>"20190312151158644"</f>
        <v>20190312151158644</v>
      </c>
      <c r="B6925" t="str">
        <f>"1552374718638104"</f>
        <v>1552374718638104</v>
      </c>
      <c r="C6925" t="s">
        <v>40</v>
      </c>
      <c r="D6925">
        <v>5.3799900000000003</v>
      </c>
      <c r="E6925">
        <v>0.4910196</v>
      </c>
      <c r="F6925" t="s">
        <v>41</v>
      </c>
      <c r="G6925">
        <v>-186.17140000000001</v>
      </c>
      <c r="H6925">
        <v>1.018041</v>
      </c>
      <c r="I6925">
        <v>1.934909</v>
      </c>
      <c r="J6925">
        <v>-186.17089999999999</v>
      </c>
      <c r="K6925">
        <v>1.1098509999999999</v>
      </c>
      <c r="L6925">
        <v>1.3198240000000001</v>
      </c>
      <c r="M6925">
        <v>-8.7083279999999996E-3</v>
      </c>
      <c r="N6925">
        <v>0</v>
      </c>
      <c r="O6925">
        <v>0.9999188</v>
      </c>
      <c r="P6925">
        <v>1.972223E-2</v>
      </c>
      <c r="Q6925">
        <v>7.3419620000000005E-2</v>
      </c>
      <c r="R6925">
        <v>0.9971061</v>
      </c>
      <c r="S6925">
        <v>-1.24054E-2</v>
      </c>
      <c r="T6925">
        <v>-0.27901670000000001</v>
      </c>
      <c r="U6925">
        <v>3.0299990000000001</v>
      </c>
      <c r="V6925">
        <v>2.8359289999999999E-2</v>
      </c>
      <c r="W6925">
        <v>8.2710399999999906E-2</v>
      </c>
      <c r="X6925">
        <v>0.99617</v>
      </c>
      <c r="Y6925">
        <v>4.6318770000000004E-3</v>
      </c>
      <c r="Z6925">
        <v>-9.1690720000000003E-2</v>
      </c>
      <c r="AA6925">
        <v>0.99577680000000002</v>
      </c>
      <c r="AB6925">
        <v>35</v>
      </c>
      <c r="AC6925">
        <v>-5.0000000001659795E-4</v>
      </c>
      <c r="AD6925">
        <v>-9.1809999999999906E-2</v>
      </c>
      <c r="AE6925">
        <v>0.61508499999999999</v>
      </c>
      <c r="AF6925">
        <v>4.7507670396254196E-3</v>
      </c>
      <c r="AG6925">
        <v>-9.1809999999999906E-2</v>
      </c>
      <c r="AH6925">
        <v>0.60166119608666502</v>
      </c>
      <c r="AI6925">
        <v>98.675808806858697</v>
      </c>
      <c r="AJ6925">
        <v>89.547597143091195</v>
      </c>
      <c r="AK6925">
        <v>0.60864426454530995</v>
      </c>
      <c r="AL6925">
        <v>85.255623077836901</v>
      </c>
      <c r="AM6925">
        <v>88.369325632384999</v>
      </c>
      <c r="AN6925">
        <v>0.99999996424873105</v>
      </c>
    </row>
    <row r="6926" spans="1:40" x14ac:dyDescent="0.25">
      <c r="A6926" t="str">
        <f>"20190312151158676"</f>
        <v>20190312151158676</v>
      </c>
      <c r="B6926" t="str">
        <f>"1552374718668360"</f>
        <v>1552374718668360</v>
      </c>
      <c r="C6926" t="s">
        <v>40</v>
      </c>
      <c r="D6926">
        <v>5.3856970000000004</v>
      </c>
      <c r="E6926">
        <v>0.49108269999999998</v>
      </c>
      <c r="F6926" t="s">
        <v>41</v>
      </c>
      <c r="G6926">
        <v>-186.1755</v>
      </c>
      <c r="H6926">
        <v>1.0210079999999999</v>
      </c>
      <c r="I6926">
        <v>2.2539250000000002</v>
      </c>
      <c r="J6926">
        <v>-186.1756</v>
      </c>
      <c r="K6926">
        <v>1.109845</v>
      </c>
      <c r="L6926">
        <v>1.825928</v>
      </c>
      <c r="M6926">
        <v>-9.0716070000000006E-3</v>
      </c>
      <c r="N6926">
        <v>0</v>
      </c>
      <c r="O6926">
        <v>0.99991540000000001</v>
      </c>
      <c r="P6926">
        <v>1.8959190000000001E-2</v>
      </c>
      <c r="Q6926">
        <v>7.3540469999999997E-2</v>
      </c>
      <c r="R6926">
        <v>0.997112</v>
      </c>
      <c r="S6926">
        <v>-1.49231E-2</v>
      </c>
      <c r="T6926">
        <v>-0.28820180000000001</v>
      </c>
      <c r="U6926">
        <v>3.0302120000000001</v>
      </c>
      <c r="V6926">
        <v>2.7958429999999999E-2</v>
      </c>
      <c r="W6926">
        <v>8.2843920000000001E-2</v>
      </c>
      <c r="X6926">
        <v>0.99617029999999995</v>
      </c>
      <c r="Y6926">
        <v>4.1695059999999999E-3</v>
      </c>
      <c r="Z6926">
        <v>-9.467536E-2</v>
      </c>
      <c r="AA6926">
        <v>0.99549949999999998</v>
      </c>
      <c r="AB6926">
        <v>35</v>
      </c>
      <c r="AC6926">
        <v>1.0000000000331901E-4</v>
      </c>
      <c r="AD6926">
        <v>-8.8836999999999999E-2</v>
      </c>
      <c r="AE6926">
        <v>0.42799700000000002</v>
      </c>
      <c r="AF6926">
        <v>3.8182819957741101E-3</v>
      </c>
      <c r="AG6926">
        <v>-8.8836999999999999E-2</v>
      </c>
      <c r="AH6926">
        <v>0.41030144824266901</v>
      </c>
      <c r="AI6926">
        <v>102.216386743214</v>
      </c>
      <c r="AJ6926">
        <v>89.466818532479394</v>
      </c>
      <c r="AK6926">
        <v>0.41982600000051301</v>
      </c>
      <c r="AL6926">
        <v>85.247946902465799</v>
      </c>
      <c r="AM6926">
        <v>88.392363598556301</v>
      </c>
      <c r="AN6926">
        <v>1.0000000277455601</v>
      </c>
    </row>
    <row r="6927" spans="1:40" x14ac:dyDescent="0.25">
      <c r="A6927" t="str">
        <f>"20190312151158699"</f>
        <v>20190312151158699</v>
      </c>
      <c r="B6927" t="str">
        <f>"1552374718687880"</f>
        <v>1552374718687880</v>
      </c>
      <c r="C6927" t="s">
        <v>40</v>
      </c>
      <c r="D6927">
        <v>5.327852</v>
      </c>
      <c r="E6927">
        <v>0.49108859999999899</v>
      </c>
      <c r="F6927" t="s">
        <v>41</v>
      </c>
      <c r="G6927">
        <v>-186.1797</v>
      </c>
      <c r="H6927">
        <v>1.035836</v>
      </c>
      <c r="I6927">
        <v>2.5795509999999999</v>
      </c>
      <c r="J6927">
        <v>-186.17920000000001</v>
      </c>
      <c r="K6927">
        <v>1.109834</v>
      </c>
      <c r="L6927">
        <v>2.1881710000000001</v>
      </c>
      <c r="M6927">
        <v>-9.3267409999999995E-3</v>
      </c>
      <c r="N6927">
        <v>0</v>
      </c>
      <c r="O6927">
        <v>0.99991300000000005</v>
      </c>
      <c r="P6927">
        <v>1.8305399999999999E-2</v>
      </c>
      <c r="Q6927">
        <v>7.3489659999999998E-2</v>
      </c>
      <c r="R6927">
        <v>0.99712800000000001</v>
      </c>
      <c r="S6927">
        <v>-1.664734E-2</v>
      </c>
      <c r="T6927">
        <v>-0.29764629999999997</v>
      </c>
      <c r="U6927">
        <v>3.030945</v>
      </c>
      <c r="V6927">
        <v>2.7559589999999998E-2</v>
      </c>
      <c r="W6927">
        <v>8.2801159999999999E-2</v>
      </c>
      <c r="X6927">
        <v>0.99618490000000004</v>
      </c>
      <c r="Y6927">
        <v>3.8611600000000002E-3</v>
      </c>
      <c r="Z6927">
        <v>-9.7724909999999998E-2</v>
      </c>
      <c r="AA6927">
        <v>0.99520600000000004</v>
      </c>
      <c r="AB6927">
        <v>36</v>
      </c>
      <c r="AC6927">
        <v>-4.9999999998817603E-4</v>
      </c>
      <c r="AD6927">
        <v>-7.3997999999999994E-2</v>
      </c>
      <c r="AE6927">
        <v>0.39137999999999901</v>
      </c>
      <c r="AF6927">
        <v>3.0417465348264701E-3</v>
      </c>
      <c r="AG6927">
        <v>-7.3997999999999994E-2</v>
      </c>
      <c r="AH6927">
        <v>0.37786019604678101</v>
      </c>
      <c r="AI6927">
        <v>101.079904357705</v>
      </c>
      <c r="AJ6927">
        <v>89.538783189506603</v>
      </c>
      <c r="AK6927">
        <v>0.38504971624777701</v>
      </c>
      <c r="AL6927">
        <v>85.250404989215596</v>
      </c>
      <c r="AM6927">
        <v>88.415308713892401</v>
      </c>
      <c r="AN6927">
        <v>0.99999995904316097</v>
      </c>
    </row>
    <row r="6928" spans="1:40" x14ac:dyDescent="0.25">
      <c r="A6928" t="str">
        <f>"20190312151158722"</f>
        <v>20190312151158722</v>
      </c>
      <c r="B6928" t="str">
        <f>"1552374718718137"</f>
        <v>1552374718718137</v>
      </c>
      <c r="C6928" t="s">
        <v>40</v>
      </c>
      <c r="D6928">
        <v>5.3366199999999999</v>
      </c>
      <c r="E6928">
        <v>0.49133860000000001</v>
      </c>
      <c r="F6928" t="s">
        <v>41</v>
      </c>
      <c r="G6928">
        <v>-186.18520000000001</v>
      </c>
      <c r="H6928">
        <v>1.008108</v>
      </c>
      <c r="I6928">
        <v>3.20295</v>
      </c>
      <c r="J6928">
        <v>-186.18279999999999</v>
      </c>
      <c r="K6928">
        <v>1.1098250000000001</v>
      </c>
      <c r="L6928">
        <v>2.5537719999999999</v>
      </c>
      <c r="M6928">
        <v>-9.5727550000000005E-3</v>
      </c>
      <c r="N6928">
        <v>0</v>
      </c>
      <c r="O6928">
        <v>0.99991059999999998</v>
      </c>
      <c r="P6928">
        <v>1.7880480000000001E-2</v>
      </c>
      <c r="Q6928">
        <v>7.3292259999999998E-2</v>
      </c>
      <c r="R6928">
        <v>0.99715019999999999</v>
      </c>
      <c r="S6928">
        <v>-1.8386840000000002E-2</v>
      </c>
      <c r="T6928">
        <v>-0.30387969999999997</v>
      </c>
      <c r="U6928">
        <v>3.0313720000000002</v>
      </c>
      <c r="V6928">
        <v>2.73814E-2</v>
      </c>
      <c r="W6928">
        <v>8.2612019999999994E-2</v>
      </c>
      <c r="X6928">
        <v>0.99620560000000002</v>
      </c>
      <c r="Y6928">
        <v>3.538111E-3</v>
      </c>
      <c r="Z6928">
        <v>-9.9736989999999998E-2</v>
      </c>
      <c r="AA6928">
        <v>0.99500759999999999</v>
      </c>
      <c r="AB6928">
        <v>36</v>
      </c>
      <c r="AC6928">
        <v>-2.4000000000228201E-3</v>
      </c>
      <c r="AD6928">
        <v>-0.101717</v>
      </c>
      <c r="AE6928">
        <v>0.64917799999999903</v>
      </c>
      <c r="AF6928">
        <v>3.7233930139764899E-3</v>
      </c>
      <c r="AG6928">
        <v>-0.101717</v>
      </c>
      <c r="AH6928">
        <v>0.63361588381711398</v>
      </c>
      <c r="AI6928">
        <v>99.119961349921098</v>
      </c>
      <c r="AJ6928">
        <v>89.663309814317998</v>
      </c>
      <c r="AK6928">
        <v>0.64173927725352597</v>
      </c>
      <c r="AL6928">
        <v>85.261279563921505</v>
      </c>
      <c r="AM6928">
        <v>88.425582259838293</v>
      </c>
      <c r="AN6928">
        <v>1.0000000421928901</v>
      </c>
    </row>
    <row r="6929" spans="1:40" x14ac:dyDescent="0.25">
      <c r="A6929" t="str">
        <f>"20190312151158744"</f>
        <v>20190312151158744</v>
      </c>
      <c r="B6929" t="str">
        <f>"1552374718737657"</f>
        <v>1552374718737657</v>
      </c>
      <c r="C6929" t="s">
        <v>40</v>
      </c>
      <c r="D6929">
        <v>5.35161</v>
      </c>
      <c r="E6929">
        <v>0.49154150000000002</v>
      </c>
      <c r="F6929" t="s">
        <v>41</v>
      </c>
      <c r="G6929">
        <v>-186.1885</v>
      </c>
      <c r="H6929">
        <v>1.0103500000000001</v>
      </c>
      <c r="I6929">
        <v>3.5232960000000002</v>
      </c>
      <c r="J6929">
        <v>-186.18639999999999</v>
      </c>
      <c r="K6929">
        <v>1.10982</v>
      </c>
      <c r="L6929">
        <v>2.9035340000000001</v>
      </c>
      <c r="M6929">
        <v>-9.798101E-3</v>
      </c>
      <c r="N6929">
        <v>0</v>
      </c>
      <c r="O6929">
        <v>0.99990829999999997</v>
      </c>
      <c r="P6929">
        <v>1.7697770000000002E-2</v>
      </c>
      <c r="Q6929">
        <v>7.2877159999999996E-2</v>
      </c>
      <c r="R6929">
        <v>0.99718390000000001</v>
      </c>
      <c r="S6929">
        <v>-1.773071E-2</v>
      </c>
      <c r="T6929">
        <v>-0.31106650000000002</v>
      </c>
      <c r="U6929">
        <v>3.0317690000000002</v>
      </c>
      <c r="V6929">
        <v>2.742549E-2</v>
      </c>
      <c r="W6929">
        <v>8.2205710000000001E-2</v>
      </c>
      <c r="X6929">
        <v>0.99623790000000001</v>
      </c>
      <c r="Y6929">
        <v>3.9809729999999996E-3</v>
      </c>
      <c r="Z6929">
        <v>-0.10205789999999999</v>
      </c>
      <c r="AA6929">
        <v>0.9947705</v>
      </c>
      <c r="AB6929">
        <v>36</v>
      </c>
      <c r="AC6929">
        <v>-2.1000000000128598E-3</v>
      </c>
      <c r="AD6929">
        <v>-9.9469999999999906E-2</v>
      </c>
      <c r="AE6929">
        <v>0.61976199999999904</v>
      </c>
      <c r="AF6929">
        <v>3.8730898332541299E-3</v>
      </c>
      <c r="AG6929">
        <v>-9.9469999999999906E-2</v>
      </c>
      <c r="AH6929">
        <v>0.60418949402120803</v>
      </c>
      <c r="AI6929">
        <v>99.348768439830707</v>
      </c>
      <c r="AJ6929">
        <v>89.632716782214501</v>
      </c>
      <c r="AK6929">
        <v>0.61233506057587495</v>
      </c>
      <c r="AL6929">
        <v>85.284638405335699</v>
      </c>
      <c r="AM6929">
        <v>88.423099486511802</v>
      </c>
      <c r="AN6929">
        <v>0.99999994482737498</v>
      </c>
    </row>
    <row r="6930" spans="1:40" x14ac:dyDescent="0.25">
      <c r="A6930" t="str">
        <f>"20190312151158766"</f>
        <v>20190312151158766</v>
      </c>
      <c r="B6930" t="str">
        <f>"1552374718758153"</f>
        <v>1552374718758153</v>
      </c>
      <c r="C6930" t="s">
        <v>40</v>
      </c>
      <c r="D6930">
        <v>5.3268380000000004</v>
      </c>
      <c r="E6930">
        <v>0.49179699999999998</v>
      </c>
      <c r="F6930" t="s">
        <v>41</v>
      </c>
      <c r="G6930">
        <v>-186.19130000000001</v>
      </c>
      <c r="H6930">
        <v>1.0114240000000001</v>
      </c>
      <c r="I6930">
        <v>3.843467</v>
      </c>
      <c r="J6930">
        <v>-186.1901</v>
      </c>
      <c r="K6930">
        <v>1.109812</v>
      </c>
      <c r="L6930">
        <v>3.2642519999999999</v>
      </c>
      <c r="M6930">
        <v>-1.0015319999999999E-2</v>
      </c>
      <c r="N6930">
        <v>0</v>
      </c>
      <c r="O6930">
        <v>0.99990610000000002</v>
      </c>
      <c r="P6930">
        <v>1.7206389999999998E-2</v>
      </c>
      <c r="Q6930">
        <v>7.2569030000000007E-2</v>
      </c>
      <c r="R6930">
        <v>0.99721499999999996</v>
      </c>
      <c r="S6930">
        <v>-1.644897E-2</v>
      </c>
      <c r="T6930">
        <v>-0.31739200000000001</v>
      </c>
      <c r="U6930">
        <v>3.031952</v>
      </c>
      <c r="V6930">
        <v>2.7153320000000002E-2</v>
      </c>
      <c r="W6930">
        <v>8.19106E-2</v>
      </c>
      <c r="X6930">
        <v>0.99626970000000004</v>
      </c>
      <c r="Y6930">
        <v>4.6202370000000001E-3</v>
      </c>
      <c r="Z6930">
        <v>-0.1041044</v>
      </c>
      <c r="AA6930">
        <v>0.99455570000000004</v>
      </c>
      <c r="AB6930">
        <v>36</v>
      </c>
      <c r="AC6930">
        <v>-1.20000000001141E-3</v>
      </c>
      <c r="AD6930">
        <v>-9.83880000000001E-2</v>
      </c>
      <c r="AE6930">
        <v>0.57921499999999904</v>
      </c>
      <c r="AF6930">
        <v>4.4722948932294998E-3</v>
      </c>
      <c r="AG6930">
        <v>-9.83880000000001E-2</v>
      </c>
      <c r="AH6930">
        <v>0.56295459490937805</v>
      </c>
      <c r="AI6930">
        <v>99.913193968861194</v>
      </c>
      <c r="AJ6930">
        <v>89.544833217578201</v>
      </c>
      <c r="AK6930">
        <v>0.57150509699843799</v>
      </c>
      <c r="AL6930">
        <v>85.301604355970099</v>
      </c>
      <c r="AM6930">
        <v>88.438790640021693</v>
      </c>
      <c r="AN6930">
        <v>0.99999998215873598</v>
      </c>
    </row>
    <row r="6931" spans="1:40" x14ac:dyDescent="0.25">
      <c r="A6931" t="str">
        <f>"20190312151158788"</f>
        <v>20190312151158788</v>
      </c>
      <c r="B6931" t="str">
        <f>"1552374718777672"</f>
        <v>1552374718777672</v>
      </c>
      <c r="C6931" t="s">
        <v>40</v>
      </c>
      <c r="D6931">
        <v>5.343159</v>
      </c>
      <c r="E6931">
        <v>0.4919596</v>
      </c>
      <c r="F6931" t="s">
        <v>41</v>
      </c>
      <c r="G6931">
        <v>-186.19460000000001</v>
      </c>
      <c r="H6931">
        <v>1.014451</v>
      </c>
      <c r="I6931">
        <v>4.1649969999999996</v>
      </c>
      <c r="J6931">
        <v>-186.19380000000001</v>
      </c>
      <c r="K6931">
        <v>1.109799</v>
      </c>
      <c r="L6931">
        <v>3.6129150000000001</v>
      </c>
      <c r="M6931">
        <v>-1.020595E-2</v>
      </c>
      <c r="N6931">
        <v>0</v>
      </c>
      <c r="O6931">
        <v>0.99990400000000002</v>
      </c>
      <c r="P6931">
        <v>1.6781609999999999E-2</v>
      </c>
      <c r="Q6931">
        <v>7.2702240000000001E-2</v>
      </c>
      <c r="R6931">
        <v>0.99721249999999995</v>
      </c>
      <c r="S6931">
        <v>-1.542664E-2</v>
      </c>
      <c r="T6931">
        <v>-0.32099329999999998</v>
      </c>
      <c r="U6931">
        <v>3.0320130000000001</v>
      </c>
      <c r="V6931">
        <v>2.6921210000000001E-2</v>
      </c>
      <c r="W6931">
        <v>8.2058870000000006E-2</v>
      </c>
      <c r="X6931">
        <v>0.99626380000000003</v>
      </c>
      <c r="Y6931">
        <v>5.14695E-3</v>
      </c>
      <c r="Z6931">
        <v>-0.10527010000000001</v>
      </c>
      <c r="AA6931">
        <v>0.99443040000000005</v>
      </c>
      <c r="AB6931">
        <v>36</v>
      </c>
      <c r="AC6931">
        <v>-7.9999999999813499E-4</v>
      </c>
      <c r="AD6931">
        <v>-9.5348000000000002E-2</v>
      </c>
      <c r="AE6931">
        <v>0.55208199999999996</v>
      </c>
      <c r="AF6931">
        <v>4.6947775051541796E-3</v>
      </c>
      <c r="AG6931">
        <v>-9.5348000000000002E-2</v>
      </c>
      <c r="AH6931">
        <v>0.53607179265030103</v>
      </c>
      <c r="AI6931">
        <v>100.085021055109</v>
      </c>
      <c r="AJ6931">
        <v>89.498231274655595</v>
      </c>
      <c r="AK6931">
        <v>0.544505508617801</v>
      </c>
      <c r="AL6931">
        <v>85.293080426233303</v>
      </c>
      <c r="AM6931">
        <v>88.452120371771699</v>
      </c>
      <c r="AN6931">
        <v>0.99999998444199001</v>
      </c>
    </row>
    <row r="6932" spans="1:40" x14ac:dyDescent="0.25">
      <c r="A6932" t="str">
        <f>"20190312151158810"</f>
        <v>20190312151158810</v>
      </c>
      <c r="B6932" t="str">
        <f>"1552374718807928"</f>
        <v>1552374718807928</v>
      </c>
      <c r="C6932" t="s">
        <v>40</v>
      </c>
      <c r="D6932">
        <v>5.2912169999999996</v>
      </c>
      <c r="E6932">
        <v>0.49219810000000003</v>
      </c>
      <c r="F6932" t="s">
        <v>41</v>
      </c>
      <c r="G6932">
        <v>-186.19810000000001</v>
      </c>
      <c r="H6932">
        <v>1.016443</v>
      </c>
      <c r="I6932">
        <v>4.4864230000000003</v>
      </c>
      <c r="J6932">
        <v>-186.1977</v>
      </c>
      <c r="K6932">
        <v>1.109788</v>
      </c>
      <c r="L6932">
        <v>3.976318</v>
      </c>
      <c r="M6932">
        <v>-1.038156E-2</v>
      </c>
      <c r="N6932">
        <v>0</v>
      </c>
      <c r="O6932">
        <v>0.99990199999999996</v>
      </c>
      <c r="P6932">
        <v>1.6165120000000002E-2</v>
      </c>
      <c r="Q6932">
        <v>7.3260800000000001E-2</v>
      </c>
      <c r="R6932">
        <v>0.99718180000000001</v>
      </c>
      <c r="S6932">
        <v>-1.522827E-2</v>
      </c>
      <c r="T6932">
        <v>-0.32406960000000001</v>
      </c>
      <c r="U6932">
        <v>3.032257</v>
      </c>
      <c r="V6932">
        <v>2.6482660000000002E-2</v>
      </c>
      <c r="W6932">
        <v>8.2632929999999993E-2</v>
      </c>
      <c r="X6932">
        <v>0.99622809999999995</v>
      </c>
      <c r="Y6932">
        <v>5.3885679999999998E-3</v>
      </c>
      <c r="Z6932">
        <v>-0.1062589</v>
      </c>
      <c r="AA6932">
        <v>0.99432390000000004</v>
      </c>
      <c r="AB6932">
        <v>36</v>
      </c>
      <c r="AC6932">
        <v>-4.0000000001327803E-4</v>
      </c>
      <c r="AD6932">
        <v>-9.3344999999999997E-2</v>
      </c>
      <c r="AE6932">
        <v>0.51010500000000003</v>
      </c>
      <c r="AF6932">
        <v>4.7373075445589202E-3</v>
      </c>
      <c r="AG6932">
        <v>-9.3344999999999997E-2</v>
      </c>
      <c r="AH6932">
        <v>0.493554516465884</v>
      </c>
      <c r="AI6932">
        <v>100.709258759249</v>
      </c>
      <c r="AJ6932">
        <v>89.450072110424102</v>
      </c>
      <c r="AK6932">
        <v>0.50232637978872297</v>
      </c>
      <c r="AL6932">
        <v>85.260077102581107</v>
      </c>
      <c r="AM6932">
        <v>88.4772690228627</v>
      </c>
      <c r="AN6932">
        <v>0.99999997981533495</v>
      </c>
    </row>
    <row r="6933" spans="1:40" x14ac:dyDescent="0.25">
      <c r="A6933" t="str">
        <f>"20190312151158834"</f>
        <v>20190312151158834</v>
      </c>
      <c r="B6933" t="str">
        <f>"1552374718828425"</f>
        <v>1552374718828425</v>
      </c>
      <c r="C6933" t="s">
        <v>40</v>
      </c>
      <c r="D6933">
        <v>5.3003780000000003</v>
      </c>
      <c r="E6933">
        <v>0.49230069999999998</v>
      </c>
      <c r="F6933" t="s">
        <v>41</v>
      </c>
      <c r="G6933">
        <v>-186.20179999999999</v>
      </c>
      <c r="H6933">
        <v>1.0197889999999901</v>
      </c>
      <c r="I6933">
        <v>4.8089209999999998</v>
      </c>
      <c r="J6933">
        <v>-186.20160000000001</v>
      </c>
      <c r="K6933">
        <v>1.1097729999999999</v>
      </c>
      <c r="L6933">
        <v>4.34436</v>
      </c>
      <c r="M6933">
        <v>-1.0535879999999999E-2</v>
      </c>
      <c r="N6933">
        <v>0</v>
      </c>
      <c r="O6933">
        <v>0.99990020000000002</v>
      </c>
      <c r="P6933">
        <v>1.5269359999999999E-2</v>
      </c>
      <c r="Q6933">
        <v>7.3496649999999997E-2</v>
      </c>
      <c r="R6933">
        <v>0.99717860000000003</v>
      </c>
      <c r="S6933">
        <v>-1.504517E-2</v>
      </c>
      <c r="T6933">
        <v>-0.32782879999999998</v>
      </c>
      <c r="U6933">
        <v>3.0328059999999999</v>
      </c>
      <c r="V6933">
        <v>2.574444E-2</v>
      </c>
      <c r="W6933">
        <v>8.2884330000000006E-2</v>
      </c>
      <c r="X6933">
        <v>0.99622659999999996</v>
      </c>
      <c r="Y6933">
        <v>5.6044769999999897E-3</v>
      </c>
      <c r="Z6933">
        <v>-0.1074577</v>
      </c>
      <c r="AA6933">
        <v>0.99419389999999996</v>
      </c>
      <c r="AB6933">
        <v>36</v>
      </c>
      <c r="AC6933">
        <v>-1.9999999997821701E-4</v>
      </c>
      <c r="AD6933">
        <v>-8.9983999999999995E-2</v>
      </c>
      <c r="AE6933">
        <v>0.464560999999999</v>
      </c>
      <c r="AF6933">
        <v>4.5250152504951301E-3</v>
      </c>
      <c r="AG6933">
        <v>-8.9983999999999995E-2</v>
      </c>
      <c r="AH6933">
        <v>0.447738847622908</v>
      </c>
      <c r="AI6933">
        <v>101.36303325897801</v>
      </c>
      <c r="AJ6933">
        <v>89.420967264675298</v>
      </c>
      <c r="AK6933">
        <v>0.45671399331497098</v>
      </c>
      <c r="AL6933">
        <v>85.245623521742601</v>
      </c>
      <c r="AM6933">
        <v>88.519694675277606</v>
      </c>
      <c r="AN6933">
        <v>1.0000000134490099</v>
      </c>
    </row>
    <row r="6934" spans="1:40" x14ac:dyDescent="0.25">
      <c r="A6934" t="str">
        <f>"20190312151158856"</f>
        <v>20190312151158856</v>
      </c>
      <c r="B6934" t="str">
        <f>"1552374718847945"</f>
        <v>1552374718847945</v>
      </c>
      <c r="C6934" t="s">
        <v>40</v>
      </c>
      <c r="D6934">
        <v>5.2883420000000001</v>
      </c>
      <c r="E6934">
        <v>0.49236639999999998</v>
      </c>
      <c r="F6934" t="s">
        <v>41</v>
      </c>
      <c r="G6934">
        <v>-186.20590000000001</v>
      </c>
      <c r="H6934">
        <v>1.0243469999999999</v>
      </c>
      <c r="I6934">
        <v>5.1324209999999999</v>
      </c>
      <c r="J6934">
        <v>-186.2056</v>
      </c>
      <c r="K6934">
        <v>1.1097600000000001</v>
      </c>
      <c r="L6934">
        <v>4.7119749999999998</v>
      </c>
      <c r="M6934">
        <v>-1.067037E-2</v>
      </c>
      <c r="N6934">
        <v>0</v>
      </c>
      <c r="O6934">
        <v>0.99989870000000003</v>
      </c>
      <c r="P6934">
        <v>1.4728689999999999E-2</v>
      </c>
      <c r="Q6934">
        <v>7.3739849999999996E-2</v>
      </c>
      <c r="R6934">
        <v>0.99716870000000002</v>
      </c>
      <c r="S6934">
        <v>-1.6799930000000001E-2</v>
      </c>
      <c r="T6934">
        <v>-0.32877030000000002</v>
      </c>
      <c r="U6934">
        <v>3.0329899999999999</v>
      </c>
      <c r="V6934">
        <v>2.5341200000000001E-2</v>
      </c>
      <c r="W6934">
        <v>8.3142339999999995E-2</v>
      </c>
      <c r="X6934">
        <v>0.99621539999999997</v>
      </c>
      <c r="Y6934">
        <v>5.1642709999999998E-3</v>
      </c>
      <c r="Z6934">
        <v>-0.10775609999999999</v>
      </c>
      <c r="AA6934">
        <v>0.99416389999999999</v>
      </c>
      <c r="AB6934">
        <v>36</v>
      </c>
      <c r="AC6934">
        <v>-3.0000000000995799E-4</v>
      </c>
      <c r="AD6934">
        <v>-8.54130000000001E-2</v>
      </c>
      <c r="AE6934">
        <v>0.42044599999999999</v>
      </c>
      <c r="AF6934">
        <v>4.02060298195237E-3</v>
      </c>
      <c r="AG6934">
        <v>-8.54130000000001E-2</v>
      </c>
      <c r="AH6934">
        <v>0.40376227003850002</v>
      </c>
      <c r="AI6934">
        <v>101.94383981649</v>
      </c>
      <c r="AJ6934">
        <v>89.429476240539799</v>
      </c>
      <c r="AK6934">
        <v>0.41271723555478201</v>
      </c>
      <c r="AL6934">
        <v>85.230789249219697</v>
      </c>
      <c r="AM6934">
        <v>88.542854525209506</v>
      </c>
      <c r="AN6934">
        <v>0.99999997415763697</v>
      </c>
    </row>
    <row r="6935" spans="1:40" x14ac:dyDescent="0.25">
      <c r="A6935" t="str">
        <f>"20190312151158878"</f>
        <v>20190312151158878</v>
      </c>
      <c r="B6935" t="str">
        <f>"1552374718868441"</f>
        <v>1552374718868441</v>
      </c>
      <c r="C6935" t="s">
        <v>40</v>
      </c>
      <c r="D6935">
        <v>5.2222749999999998</v>
      </c>
      <c r="E6935">
        <v>0.49230499999999999</v>
      </c>
      <c r="F6935" t="s">
        <v>41</v>
      </c>
      <c r="G6935">
        <v>-186.21019999999999</v>
      </c>
      <c r="H6935">
        <v>1.0289029999999999</v>
      </c>
      <c r="I6935">
        <v>5.4563519999999999</v>
      </c>
      <c r="J6935">
        <v>-186.20949999999999</v>
      </c>
      <c r="K6935">
        <v>1.109748</v>
      </c>
      <c r="L6935">
        <v>5.0596310000000004</v>
      </c>
      <c r="M6935">
        <v>-1.0781870000000001E-2</v>
      </c>
      <c r="N6935">
        <v>0</v>
      </c>
      <c r="O6935">
        <v>0.99989729999999999</v>
      </c>
      <c r="P6935">
        <v>1.52251E-2</v>
      </c>
      <c r="Q6935">
        <v>7.3606030000000003E-2</v>
      </c>
      <c r="R6935">
        <v>0.99717120000000004</v>
      </c>
      <c r="S6935">
        <v>-1.8585210000000001E-2</v>
      </c>
      <c r="T6935">
        <v>-0.3294665</v>
      </c>
      <c r="U6935">
        <v>3.0331419999999998</v>
      </c>
      <c r="V6935">
        <v>2.595161E-2</v>
      </c>
      <c r="W6935">
        <v>8.3021650000000002E-2</v>
      </c>
      <c r="X6935">
        <v>0.99620980000000003</v>
      </c>
      <c r="Y6935">
        <v>4.691069E-3</v>
      </c>
      <c r="Z6935">
        <v>-0.107976</v>
      </c>
      <c r="AA6935">
        <v>0.99414239999999998</v>
      </c>
      <c r="AB6935">
        <v>36</v>
      </c>
      <c r="AC6935">
        <v>-6.9999999999481501E-4</v>
      </c>
      <c r="AD6935">
        <v>-8.0844999999999806E-2</v>
      </c>
      <c r="AE6935">
        <v>0.39672099999999999</v>
      </c>
      <c r="AF6935">
        <v>3.4349798619779802E-3</v>
      </c>
      <c r="AG6935">
        <v>-8.0844999999999806E-2</v>
      </c>
      <c r="AH6935">
        <v>0.38088819454297601</v>
      </c>
      <c r="AI6935">
        <v>101.98293347980299</v>
      </c>
      <c r="AJ6935">
        <v>89.483301093767395</v>
      </c>
      <c r="AK6935">
        <v>0.38938866169145198</v>
      </c>
      <c r="AL6935">
        <v>85.237728500447005</v>
      </c>
      <c r="AM6935">
        <v>88.507762611357293</v>
      </c>
      <c r="AN6935">
        <v>1.00000002302317</v>
      </c>
    </row>
    <row r="6936" spans="1:40" x14ac:dyDescent="0.25">
      <c r="A6936" t="str">
        <f>"20190312151158899"</f>
        <v>20190312151158899</v>
      </c>
      <c r="B6936" t="str">
        <f>"1552374718887960"</f>
        <v>1552374718887960</v>
      </c>
      <c r="C6936" t="s">
        <v>40</v>
      </c>
      <c r="D6936">
        <v>5.2771730000000003</v>
      </c>
      <c r="E6936">
        <v>0.4923244</v>
      </c>
      <c r="F6936" t="s">
        <v>41</v>
      </c>
      <c r="G6936">
        <v>-186.21559999999999</v>
      </c>
      <c r="H6936">
        <v>0.99743179999999998</v>
      </c>
      <c r="I6936">
        <v>6.0857859999999997</v>
      </c>
      <c r="J6936">
        <v>-186.2133</v>
      </c>
      <c r="K6936">
        <v>1.1097319999999999</v>
      </c>
      <c r="L6936">
        <v>5.4039000000000001</v>
      </c>
      <c r="M6936">
        <v>-1.0880799999999999E-2</v>
      </c>
      <c r="N6936">
        <v>0</v>
      </c>
      <c r="O6936">
        <v>0.99989609999999995</v>
      </c>
      <c r="P6936">
        <v>1.519596E-2</v>
      </c>
      <c r="Q6936">
        <v>7.3647329999999997E-2</v>
      </c>
      <c r="R6936">
        <v>0.99716850000000001</v>
      </c>
      <c r="S6936">
        <v>-1.824951E-2</v>
      </c>
      <c r="T6936">
        <v>-0.33200420000000003</v>
      </c>
      <c r="U6936">
        <v>3.0332949999999999</v>
      </c>
      <c r="V6936">
        <v>2.6023250000000001E-2</v>
      </c>
      <c r="W6936">
        <v>8.3075819999999995E-2</v>
      </c>
      <c r="X6936">
        <v>0.99620339999999996</v>
      </c>
      <c r="Y6936">
        <v>4.9008699999999999E-3</v>
      </c>
      <c r="Z6936">
        <v>-0.10879229999999999</v>
      </c>
      <c r="AA6936">
        <v>0.99405239999999995</v>
      </c>
      <c r="AB6936">
        <v>36</v>
      </c>
      <c r="AC6936">
        <v>-2.29999999999108E-3</v>
      </c>
      <c r="AD6936">
        <v>-0.112300199999999</v>
      </c>
      <c r="AE6936">
        <v>0.68188599999999899</v>
      </c>
      <c r="AF6936">
        <v>4.9847336906583698E-3</v>
      </c>
      <c r="AG6936">
        <v>-0.112300199999999</v>
      </c>
      <c r="AH6936">
        <v>0.66386486424180102</v>
      </c>
      <c r="AI6936">
        <v>99.601065377159202</v>
      </c>
      <c r="AJ6936">
        <v>89.569793717685897</v>
      </c>
      <c r="AK6936">
        <v>0.67331474101254596</v>
      </c>
      <c r="AL6936">
        <v>85.234613956402796</v>
      </c>
      <c r="AM6936">
        <v>88.503635518135695</v>
      </c>
      <c r="AN6936">
        <v>1.0000000077903901</v>
      </c>
    </row>
    <row r="6937" spans="1:40" x14ac:dyDescent="0.25">
      <c r="A6937" t="str">
        <f>"20190312151158922"</f>
        <v>20190312151158922</v>
      </c>
      <c r="B6937" t="str">
        <f>"1552374718918216"</f>
        <v>1552374718918216</v>
      </c>
      <c r="C6937" t="s">
        <v>40</v>
      </c>
      <c r="D6937">
        <v>5.264259</v>
      </c>
      <c r="E6937">
        <v>0.4925078</v>
      </c>
      <c r="F6937" t="s">
        <v>41</v>
      </c>
      <c r="G6937">
        <v>-186.21899999999999</v>
      </c>
      <c r="H6937">
        <v>0.99900259999999996</v>
      </c>
      <c r="I6937">
        <v>6.4094389999999999</v>
      </c>
      <c r="J6937">
        <v>-186.21729999999999</v>
      </c>
      <c r="K6937">
        <v>1.109723</v>
      </c>
      <c r="L6937">
        <v>5.7675780000000003</v>
      </c>
      <c r="M6937">
        <v>-1.097705E-2</v>
      </c>
      <c r="N6937">
        <v>0</v>
      </c>
      <c r="O6937">
        <v>0.99989490000000003</v>
      </c>
      <c r="P6937">
        <v>1.565865E-2</v>
      </c>
      <c r="Q6937">
        <v>7.3795180000000002E-2</v>
      </c>
      <c r="R6937">
        <v>0.99715050000000005</v>
      </c>
      <c r="S6937">
        <v>-1.7715450000000001E-2</v>
      </c>
      <c r="T6937">
        <v>-0.33403650000000001</v>
      </c>
      <c r="U6937">
        <v>3.0334469999999998</v>
      </c>
      <c r="V6937">
        <v>2.6583309999999999E-2</v>
      </c>
      <c r="W6937">
        <v>8.323643E-2</v>
      </c>
      <c r="X6937">
        <v>0.99617520000000004</v>
      </c>
      <c r="Y6937">
        <v>5.1728470000000004E-3</v>
      </c>
      <c r="Z6937">
        <v>-0.1094446</v>
      </c>
      <c r="AA6937">
        <v>0.99397950000000002</v>
      </c>
      <c r="AB6937">
        <v>36</v>
      </c>
      <c r="AC6937">
        <v>-1.7000000000280101E-3</v>
      </c>
      <c r="AD6937">
        <v>-0.1107204</v>
      </c>
      <c r="AE6937">
        <v>0.64186099999999902</v>
      </c>
      <c r="AF6937">
        <v>5.1916767133372401E-3</v>
      </c>
      <c r="AG6937">
        <v>-0.1107204</v>
      </c>
      <c r="AH6937">
        <v>0.62329442051600403</v>
      </c>
      <c r="AI6937">
        <v>100.072458882565</v>
      </c>
      <c r="AJ6937">
        <v>89.522770819747606</v>
      </c>
      <c r="AK6937">
        <v>0.63307337262724706</v>
      </c>
      <c r="AL6937">
        <v>85.225379672828893</v>
      </c>
      <c r="AM6937">
        <v>88.471403341232403</v>
      </c>
      <c r="AN6937">
        <v>1.0000000023723701</v>
      </c>
    </row>
    <row r="6938" spans="1:40" x14ac:dyDescent="0.25">
      <c r="A6938" t="str">
        <f>"20190312151158944"</f>
        <v>20190312151158944</v>
      </c>
      <c r="B6938" t="str">
        <f>"1552374718937736"</f>
        <v>1552374718937736</v>
      </c>
      <c r="C6938" t="s">
        <v>40</v>
      </c>
      <c r="D6938">
        <v>5.2398709999999999</v>
      </c>
      <c r="E6938">
        <v>0.4927858</v>
      </c>
      <c r="F6938" t="s">
        <v>41</v>
      </c>
      <c r="G6938">
        <v>-186.22200000000001</v>
      </c>
      <c r="H6938">
        <v>1.0022990000000001</v>
      </c>
      <c r="I6938">
        <v>6.7343119999999903</v>
      </c>
      <c r="J6938">
        <v>-186.22130000000001</v>
      </c>
      <c r="K6938">
        <v>1.1097129999999999</v>
      </c>
      <c r="L6938">
        <v>6.1240230000000002</v>
      </c>
      <c r="M6938">
        <v>-1.106678E-2</v>
      </c>
      <c r="N6938">
        <v>0</v>
      </c>
      <c r="O6938">
        <v>0.99989380000000005</v>
      </c>
      <c r="P6938">
        <v>1.6540119999999998E-2</v>
      </c>
      <c r="Q6938">
        <v>7.3605130000000005E-2</v>
      </c>
      <c r="R6938">
        <v>0.99715030000000004</v>
      </c>
      <c r="S6938">
        <v>-1.454163E-2</v>
      </c>
      <c r="T6938">
        <v>-0.33711219999999997</v>
      </c>
      <c r="U6938">
        <v>3.0337519999999998</v>
      </c>
      <c r="V6938">
        <v>2.7555389999999999E-2</v>
      </c>
      <c r="W6938">
        <v>8.3058709999999994E-2</v>
      </c>
      <c r="X6938">
        <v>0.99616360000000004</v>
      </c>
      <c r="Y6938">
        <v>6.3035330000000001E-3</v>
      </c>
      <c r="Z6938">
        <v>-0.1104289</v>
      </c>
      <c r="AA6938">
        <v>0.99386410000000003</v>
      </c>
      <c r="AB6938">
        <v>36</v>
      </c>
      <c r="AC6938">
        <v>-6.9999999999481501E-4</v>
      </c>
      <c r="AD6938">
        <v>-0.107413999999999</v>
      </c>
      <c r="AE6938">
        <v>0.61028899999999897</v>
      </c>
      <c r="AF6938">
        <v>5.8723677841052303E-3</v>
      </c>
      <c r="AG6938">
        <v>-0.107413999999999</v>
      </c>
      <c r="AH6938">
        <v>0.59192291953797804</v>
      </c>
      <c r="AI6938">
        <v>100.284827945952</v>
      </c>
      <c r="AJ6938">
        <v>89.431596850188996</v>
      </c>
      <c r="AK6938">
        <v>0.60161864563338996</v>
      </c>
      <c r="AL6938">
        <v>85.235597570513704</v>
      </c>
      <c r="AM6938">
        <v>88.415516231557604</v>
      </c>
      <c r="AN6938">
        <v>0.99999998339493701</v>
      </c>
    </row>
    <row r="6939" spans="1:40" x14ac:dyDescent="0.25">
      <c r="A6939" t="str">
        <f>"20190312151158966"</f>
        <v>20190312151158966</v>
      </c>
      <c r="B6939" t="str">
        <f>"1552374718958233"</f>
        <v>1552374718958233</v>
      </c>
      <c r="C6939" t="s">
        <v>40</v>
      </c>
      <c r="D6939">
        <v>5.2458450000000001</v>
      </c>
      <c r="E6939">
        <v>0.49308580000000002</v>
      </c>
      <c r="F6939" t="s">
        <v>41</v>
      </c>
      <c r="G6939">
        <v>-186.2242</v>
      </c>
      <c r="H6939">
        <v>1.005336</v>
      </c>
      <c r="I6939">
        <v>7.0594440000000001</v>
      </c>
      <c r="J6939">
        <v>-186.22540000000001</v>
      </c>
      <c r="K6939">
        <v>1.1097079999999999</v>
      </c>
      <c r="L6939">
        <v>6.4798580000000001</v>
      </c>
      <c r="M6939">
        <v>-1.1154300000000001E-2</v>
      </c>
      <c r="N6939">
        <v>0</v>
      </c>
      <c r="O6939">
        <v>0.99989269999999997</v>
      </c>
      <c r="P6939">
        <v>1.629243E-2</v>
      </c>
      <c r="Q6939">
        <v>7.3541770000000006E-2</v>
      </c>
      <c r="R6939">
        <v>0.99715909999999996</v>
      </c>
      <c r="S6939">
        <v>-9.5367430000000003E-3</v>
      </c>
      <c r="T6939">
        <v>-0.33850960000000002</v>
      </c>
      <c r="U6939">
        <v>3.033722</v>
      </c>
      <c r="V6939">
        <v>2.7395969999999999E-2</v>
      </c>
      <c r="W6939">
        <v>8.3007399999999995E-2</v>
      </c>
      <c r="X6939">
        <v>0.99617230000000001</v>
      </c>
      <c r="Y6939">
        <v>8.0307620000000003E-3</v>
      </c>
      <c r="Z6939">
        <v>-0.1108817</v>
      </c>
      <c r="AA6939">
        <v>0.99380119999999905</v>
      </c>
      <c r="AB6939">
        <v>36</v>
      </c>
      <c r="AC6939">
        <v>1.20000000001141E-3</v>
      </c>
      <c r="AD6939">
        <v>-0.10437199999999899</v>
      </c>
      <c r="AE6939">
        <v>0.57958599999999905</v>
      </c>
      <c r="AF6939">
        <v>7.4243310790607702E-3</v>
      </c>
      <c r="AG6939">
        <v>-0.10437199999999899</v>
      </c>
      <c r="AH6939">
        <v>0.56133321281704096</v>
      </c>
      <c r="AI6939">
        <v>100.532157875455</v>
      </c>
      <c r="AJ6939">
        <v>89.242236117784998</v>
      </c>
      <c r="AK6939">
        <v>0.57100228623664295</v>
      </c>
      <c r="AL6939">
        <v>85.238547728465306</v>
      </c>
      <c r="AM6939">
        <v>88.424692282604795</v>
      </c>
      <c r="AN6939">
        <v>1.00000000945714</v>
      </c>
    </row>
    <row r="6940" spans="1:40" x14ac:dyDescent="0.25">
      <c r="A6940" t="str">
        <f>"20190312151158990"</f>
        <v>20190312151158990</v>
      </c>
      <c r="B6940" t="str">
        <f>"1552374718977752"</f>
        <v>1552374718977752</v>
      </c>
      <c r="C6940" t="s">
        <v>40</v>
      </c>
      <c r="D6940">
        <v>5.2356740000000004</v>
      </c>
      <c r="E6940">
        <v>0.49331520000000001</v>
      </c>
      <c r="F6940" t="s">
        <v>41</v>
      </c>
      <c r="G6940">
        <v>-186.2277</v>
      </c>
      <c r="H6940">
        <v>1.008405</v>
      </c>
      <c r="I6940">
        <v>7.3850030000000002</v>
      </c>
      <c r="J6940">
        <v>-186.22989999999999</v>
      </c>
      <c r="K6940">
        <v>1.109704</v>
      </c>
      <c r="L6940">
        <v>6.8735660000000003</v>
      </c>
      <c r="M6940">
        <v>-1.1250599999999999E-2</v>
      </c>
      <c r="N6940">
        <v>0</v>
      </c>
      <c r="O6940">
        <v>0.99989150000000004</v>
      </c>
      <c r="P6940">
        <v>1.6112830000000002E-2</v>
      </c>
      <c r="Q6940">
        <v>7.3506089999999996E-2</v>
      </c>
      <c r="R6940">
        <v>0.99716459999999996</v>
      </c>
      <c r="S6940">
        <v>-7.7972409999999999E-3</v>
      </c>
      <c r="T6940">
        <v>-0.33953109999999997</v>
      </c>
      <c r="U6940">
        <v>3.033722</v>
      </c>
      <c r="V6940">
        <v>2.7313270000000001E-2</v>
      </c>
      <c r="W6940">
        <v>8.298411E-2</v>
      </c>
      <c r="X6940">
        <v>0.99617650000000002</v>
      </c>
      <c r="Y6940">
        <v>8.6969969999999997E-3</v>
      </c>
      <c r="Z6940">
        <v>-0.1112117</v>
      </c>
      <c r="AA6940">
        <v>0.99375869999999999</v>
      </c>
      <c r="AB6940">
        <v>36</v>
      </c>
      <c r="AC6940">
        <v>2.1999999999877599E-3</v>
      </c>
      <c r="AD6940">
        <v>-0.101299</v>
      </c>
      <c r="AE6940">
        <v>0.51143699999999903</v>
      </c>
      <c r="AF6940">
        <v>7.6538342929977398E-3</v>
      </c>
      <c r="AG6940">
        <v>-0.101299</v>
      </c>
      <c r="AH6940">
        <v>0.49207575784079699</v>
      </c>
      <c r="AI6940">
        <v>101.631068581138</v>
      </c>
      <c r="AJ6940">
        <v>89.108883062922303</v>
      </c>
      <c r="AK6940">
        <v>0.50245260476484699</v>
      </c>
      <c r="AL6940">
        <v>85.239886713223399</v>
      </c>
      <c r="AM6940">
        <v>88.4294518846893</v>
      </c>
      <c r="AN6940">
        <v>0.99999999819141705</v>
      </c>
    </row>
    <row r="6941" spans="1:40" x14ac:dyDescent="0.25">
      <c r="A6941" t="str">
        <f>"20190312151159011"</f>
        <v>20190312151159011</v>
      </c>
      <c r="B6941" t="str">
        <f>"1552374719008008"</f>
        <v>1552374719008008</v>
      </c>
      <c r="C6941" t="s">
        <v>40</v>
      </c>
      <c r="D6941">
        <v>5.2151059999999996</v>
      </c>
      <c r="E6941">
        <v>0.49363299999999999</v>
      </c>
      <c r="F6941" t="s">
        <v>41</v>
      </c>
      <c r="G6941">
        <v>-186.23140000000001</v>
      </c>
      <c r="H6941">
        <v>1.01579</v>
      </c>
      <c r="I6941">
        <v>7.7130339999999897</v>
      </c>
      <c r="J6941">
        <v>-186.2338</v>
      </c>
      <c r="K6941">
        <v>1.1097030000000001</v>
      </c>
      <c r="L6941">
        <v>7.2130739999999998</v>
      </c>
      <c r="M6941">
        <v>-1.1333920000000001E-2</v>
      </c>
      <c r="N6941">
        <v>0</v>
      </c>
      <c r="O6941">
        <v>0.99989050000000002</v>
      </c>
      <c r="P6941">
        <v>1.5773499999999999E-2</v>
      </c>
      <c r="Q6941">
        <v>7.3359510000000003E-2</v>
      </c>
      <c r="R6941">
        <v>0.99718079999999998</v>
      </c>
      <c r="S6941">
        <v>-6.1035159999999998E-3</v>
      </c>
      <c r="T6941">
        <v>-0.3393813</v>
      </c>
      <c r="U6941">
        <v>3.0336609999999999</v>
      </c>
      <c r="V6941">
        <v>2.7057790000000002E-2</v>
      </c>
      <c r="W6941">
        <v>8.2847729999999994E-2</v>
      </c>
      <c r="X6941">
        <v>0.99619480000000005</v>
      </c>
      <c r="Y6941">
        <v>9.3350770000000007E-3</v>
      </c>
      <c r="Z6941">
        <v>-0.1111651</v>
      </c>
      <c r="AA6941">
        <v>0.99375809999999998</v>
      </c>
      <c r="AB6941">
        <v>36</v>
      </c>
      <c r="AC6941">
        <v>2.3999999999944001E-3</v>
      </c>
      <c r="AD6941">
        <v>-9.3913000000000094E-2</v>
      </c>
      <c r="AE6941">
        <v>0.49995999999999802</v>
      </c>
      <c r="AF6941">
        <v>7.7916913261107598E-3</v>
      </c>
      <c r="AG6941">
        <v>-9.3913000000000094E-2</v>
      </c>
      <c r="AH6941">
        <v>0.48286359365905301</v>
      </c>
      <c r="AI6941">
        <v>101.00475651231</v>
      </c>
      <c r="AJ6941">
        <v>89.075531283961197</v>
      </c>
      <c r="AK6941">
        <v>0.49197318230169501</v>
      </c>
      <c r="AL6941">
        <v>85.247727601095505</v>
      </c>
      <c r="AM6941">
        <v>88.444163625216007</v>
      </c>
      <c r="AN6941">
        <v>0.999999974956438</v>
      </c>
    </row>
    <row r="6942" spans="1:40" x14ac:dyDescent="0.25">
      <c r="A6942" t="str">
        <f>"20190312151159035"</f>
        <v>20190312151159035</v>
      </c>
      <c r="B6942" t="str">
        <f>"1552374719028505"</f>
        <v>1552374719028505</v>
      </c>
      <c r="C6942" t="s">
        <v>40</v>
      </c>
      <c r="D6942">
        <v>5.1206319999999996</v>
      </c>
      <c r="E6942">
        <v>0.4937609</v>
      </c>
      <c r="F6942" t="s">
        <v>41</v>
      </c>
      <c r="G6942">
        <v>-186.23500000000001</v>
      </c>
      <c r="H6942">
        <v>1.017712</v>
      </c>
      <c r="I6942">
        <v>8.0388249999999992</v>
      </c>
      <c r="J6942">
        <v>-186.23830000000001</v>
      </c>
      <c r="K6942">
        <v>1.1096919999999999</v>
      </c>
      <c r="L6942">
        <v>7.6017149999999898</v>
      </c>
      <c r="M6942">
        <v>-1.143012E-2</v>
      </c>
      <c r="N6942">
        <v>0</v>
      </c>
      <c r="O6942">
        <v>0.99988929999999998</v>
      </c>
      <c r="P6942">
        <v>1.51673E-2</v>
      </c>
      <c r="Q6942">
        <v>7.3460670000000006E-2</v>
      </c>
      <c r="R6942">
        <v>0.99718280000000004</v>
      </c>
      <c r="S6942">
        <v>-4.5471189999999996E-3</v>
      </c>
      <c r="T6942">
        <v>-0.33792509999999998</v>
      </c>
      <c r="U6942">
        <v>3.033417</v>
      </c>
      <c r="V6942">
        <v>2.6548100000000002E-2</v>
      </c>
      <c r="W6942">
        <v>8.2959389999999994E-2</v>
      </c>
      <c r="X6942">
        <v>0.99619930000000001</v>
      </c>
      <c r="Y6942">
        <v>9.9409300000000006E-3</v>
      </c>
      <c r="Z6942">
        <v>-0.1107023</v>
      </c>
      <c r="AA6942">
        <v>0.99380389999999996</v>
      </c>
      <c r="AB6942">
        <v>36</v>
      </c>
      <c r="AC6942">
        <v>3.2999999999958601E-3</v>
      </c>
      <c r="AD6942">
        <v>-9.1979999999999701E-2</v>
      </c>
      <c r="AE6942">
        <v>0.437109999999999</v>
      </c>
      <c r="AF6942">
        <v>7.9444715525337096E-3</v>
      </c>
      <c r="AG6942">
        <v>-9.1979999999999701E-2</v>
      </c>
      <c r="AH6942">
        <v>0.41851311468053998</v>
      </c>
      <c r="AI6942">
        <v>102.393125075738</v>
      </c>
      <c r="AJ6942">
        <v>88.912507129171601</v>
      </c>
      <c r="AK6942">
        <v>0.42857515348869202</v>
      </c>
      <c r="AL6942">
        <v>85.241308230090397</v>
      </c>
      <c r="AM6942">
        <v>88.473463945462001</v>
      </c>
      <c r="AN6942">
        <v>1.00000005366163</v>
      </c>
    </row>
    <row r="6943" spans="1:40" x14ac:dyDescent="0.25">
      <c r="A6943" t="str">
        <f>"20190312151159057"</f>
        <v>20190312151159057</v>
      </c>
      <c r="B6943" t="str">
        <f>"1552374719048025"</f>
        <v>1552374719048025</v>
      </c>
      <c r="C6943" t="s">
        <v>40</v>
      </c>
      <c r="D6943">
        <v>5.2378589999999896</v>
      </c>
      <c r="E6943">
        <v>0.49397829999999898</v>
      </c>
      <c r="F6943" t="s">
        <v>41</v>
      </c>
      <c r="G6943">
        <v>-186.2397</v>
      </c>
      <c r="H6943">
        <v>1.024885</v>
      </c>
      <c r="I6943">
        <v>8.3675679999999897</v>
      </c>
      <c r="J6943">
        <v>-186.24260000000001</v>
      </c>
      <c r="K6943">
        <v>1.1096919999999999</v>
      </c>
      <c r="L6943">
        <v>7.9703059999999999</v>
      </c>
      <c r="M6943">
        <v>-1.152162E-2</v>
      </c>
      <c r="N6943">
        <v>0</v>
      </c>
      <c r="O6943">
        <v>0.9998882</v>
      </c>
      <c r="P6943">
        <v>1.504464E-2</v>
      </c>
      <c r="Q6943">
        <v>7.3507980000000001E-2</v>
      </c>
      <c r="R6943">
        <v>0.99718110000000004</v>
      </c>
      <c r="S6943">
        <v>-5.8898930000000002E-3</v>
      </c>
      <c r="T6943">
        <v>-0.33588990000000002</v>
      </c>
      <c r="U6943">
        <v>3.0332949999999999</v>
      </c>
      <c r="V6943">
        <v>2.6517019999999999E-2</v>
      </c>
      <c r="W6943">
        <v>8.3016900000000005E-2</v>
      </c>
      <c r="X6943">
        <v>0.99619530000000001</v>
      </c>
      <c r="Y6943">
        <v>9.5923020000000005E-3</v>
      </c>
      <c r="Z6943">
        <v>-0.1100481</v>
      </c>
      <c r="AA6943">
        <v>0.99387999999999999</v>
      </c>
      <c r="AB6943">
        <v>36</v>
      </c>
      <c r="AC6943">
        <v>2.9000000000110001E-3</v>
      </c>
      <c r="AD6943">
        <v>-8.4806999999999799E-2</v>
      </c>
      <c r="AE6943">
        <v>0.39726199999999801</v>
      </c>
      <c r="AF6943">
        <v>7.1512302514359196E-3</v>
      </c>
      <c r="AG6943">
        <v>-8.4806999999999799E-2</v>
      </c>
      <c r="AH6943">
        <v>0.37989032630727598</v>
      </c>
      <c r="AI6943">
        <v>102.58224848814</v>
      </c>
      <c r="AJ6943">
        <v>88.921565263247601</v>
      </c>
      <c r="AK6943">
        <v>0.38930711188592199</v>
      </c>
      <c r="AL6943">
        <v>85.2380015688627</v>
      </c>
      <c r="AM6943">
        <v>88.475244105702799</v>
      </c>
      <c r="AN6943">
        <v>1.00000001688869</v>
      </c>
    </row>
    <row r="6944" spans="1:40" x14ac:dyDescent="0.25">
      <c r="A6944" t="str">
        <f>"20190312151159080"</f>
        <v>20190312151159080</v>
      </c>
      <c r="B6944" t="str">
        <f>"1552374719068521"</f>
        <v>1552374719068521</v>
      </c>
      <c r="C6944" t="s">
        <v>40</v>
      </c>
      <c r="D6944">
        <v>5.2005350000000004</v>
      </c>
      <c r="E6944">
        <v>0.4986815</v>
      </c>
      <c r="F6944" t="s">
        <v>41</v>
      </c>
      <c r="G6944">
        <v>-186.24369999999999</v>
      </c>
      <c r="H6944">
        <v>1.030095</v>
      </c>
      <c r="I6944">
        <v>8.6957550000000001</v>
      </c>
      <c r="J6944">
        <v>-186.2467</v>
      </c>
      <c r="K6944">
        <v>1.1096969999999999</v>
      </c>
      <c r="L6944">
        <v>8.3211060000000003</v>
      </c>
      <c r="M6944">
        <v>-1.1608830000000001E-2</v>
      </c>
      <c r="N6944">
        <v>0</v>
      </c>
      <c r="O6944">
        <v>0.99988699999999997</v>
      </c>
      <c r="P6944">
        <v>1.552719E-2</v>
      </c>
      <c r="Q6944">
        <v>7.3857569999999997E-2</v>
      </c>
      <c r="R6944">
        <v>0.99714789999999998</v>
      </c>
      <c r="S6944">
        <v>-4.653931E-3</v>
      </c>
      <c r="T6944">
        <v>-0.33278629999999998</v>
      </c>
      <c r="U6944">
        <v>3.0330810000000001</v>
      </c>
      <c r="V6944">
        <v>2.7086300000000001E-2</v>
      </c>
      <c r="W6944">
        <v>8.3375179999999993E-2</v>
      </c>
      <c r="X6944">
        <v>0.99614999999999998</v>
      </c>
      <c r="Y6944">
        <v>1.008421E-2</v>
      </c>
      <c r="Z6944">
        <v>-0.1090506</v>
      </c>
      <c r="AA6944">
        <v>0.99398509999999995</v>
      </c>
      <c r="AB6944">
        <v>36</v>
      </c>
      <c r="AC6944">
        <v>3.0000000000143202E-3</v>
      </c>
      <c r="AD6944">
        <v>-7.9601999999999895E-2</v>
      </c>
      <c r="AE6944">
        <v>0.37464899999999901</v>
      </c>
      <c r="AF6944">
        <v>7.0318099899779399E-3</v>
      </c>
      <c r="AG6944">
        <v>-7.9601999999999895E-2</v>
      </c>
      <c r="AH6944">
        <v>0.35840994863018999</v>
      </c>
      <c r="AI6944">
        <v>102.51967149011099</v>
      </c>
      <c r="AJ6944">
        <v>88.876031890463594</v>
      </c>
      <c r="AK6944">
        <v>0.36721058812734497</v>
      </c>
      <c r="AL6944">
        <v>85.217401928616496</v>
      </c>
      <c r="AM6944">
        <v>88.442455083014394</v>
      </c>
      <c r="AN6944">
        <v>0.99999995539386</v>
      </c>
    </row>
    <row r="6945" spans="1:40" x14ac:dyDescent="0.25">
      <c r="A6945" t="str">
        <f>"20190312151159100"</f>
        <v>20190312151159100</v>
      </c>
      <c r="B6945" t="str">
        <f>"1552374719088041"</f>
        <v>1552374719088041</v>
      </c>
      <c r="C6945" t="s">
        <v>40</v>
      </c>
      <c r="D6945">
        <v>5.1871</v>
      </c>
      <c r="E6945">
        <v>0.49878860000000003</v>
      </c>
      <c r="F6945" t="s">
        <v>41</v>
      </c>
      <c r="G6945">
        <v>-186.2347</v>
      </c>
      <c r="H6945">
        <v>1.0480370000000001</v>
      </c>
      <c r="I6945">
        <v>9.3596360000000001</v>
      </c>
      <c r="J6945">
        <v>-186.2508</v>
      </c>
      <c r="K6945">
        <v>1.109694</v>
      </c>
      <c r="L6945">
        <v>8.6632079999999991</v>
      </c>
      <c r="M6945">
        <v>-1.1694E-2</v>
      </c>
      <c r="N6945">
        <v>0</v>
      </c>
      <c r="O6945">
        <v>0.99988600000000005</v>
      </c>
      <c r="P6945">
        <v>1.5456289999999999E-2</v>
      </c>
      <c r="Q6945">
        <v>7.4299149999999994E-2</v>
      </c>
      <c r="R6945">
        <v>0.99711620000000001</v>
      </c>
      <c r="S6945">
        <v>3.4866330000000001E-2</v>
      </c>
      <c r="T6945">
        <v>-0.1793836</v>
      </c>
      <c r="U6945">
        <v>3.0213320000000001</v>
      </c>
      <c r="V6945">
        <v>2.710007E-2</v>
      </c>
      <c r="W6945">
        <v>8.3825170000000004E-2</v>
      </c>
      <c r="X6945">
        <v>0.99611190000000005</v>
      </c>
      <c r="Y6945">
        <v>2.321198E-2</v>
      </c>
      <c r="Z6945">
        <v>-5.9251980000000003E-2</v>
      </c>
      <c r="AA6945">
        <v>0.99797309999999995</v>
      </c>
      <c r="AB6945">
        <v>36</v>
      </c>
      <c r="AC6945">
        <v>1.60999999999944E-2</v>
      </c>
      <c r="AD6945">
        <v>-6.1656999999999802E-2</v>
      </c>
      <c r="AE6945">
        <v>0.69642799999999905</v>
      </c>
      <c r="AF6945">
        <v>2.4054855290480001E-2</v>
      </c>
      <c r="AG6945">
        <v>-6.1656999999999802E-2</v>
      </c>
      <c r="AH6945">
        <v>0.69078055983442599</v>
      </c>
      <c r="AI6945">
        <v>95.097459601669996</v>
      </c>
      <c r="AJ6945">
        <v>88.005611224701596</v>
      </c>
      <c r="AK6945">
        <v>0.69394380432223002</v>
      </c>
      <c r="AL6945">
        <v>85.191529018943996</v>
      </c>
      <c r="AM6945">
        <v>88.441604081351699</v>
      </c>
      <c r="AN6945">
        <v>0.99999999512057103</v>
      </c>
    </row>
    <row r="6946" spans="1:40" x14ac:dyDescent="0.25">
      <c r="A6946" t="str">
        <f>"20190312151159122"</f>
        <v>20190312151159122</v>
      </c>
      <c r="B6946" t="str">
        <f>"1552374719118297"</f>
        <v>1552374719118297</v>
      </c>
      <c r="C6946" t="s">
        <v>40</v>
      </c>
      <c r="D6946">
        <v>5.1915529999999999</v>
      </c>
      <c r="E6946">
        <v>0.49961810000000001</v>
      </c>
      <c r="F6946" t="s">
        <v>41</v>
      </c>
      <c r="G6946">
        <v>-186.23849999999999</v>
      </c>
      <c r="H6946">
        <v>1.0487390000000001</v>
      </c>
      <c r="I6946">
        <v>9.687049</v>
      </c>
      <c r="J6946">
        <v>-186.2551</v>
      </c>
      <c r="K6946">
        <v>1.109696</v>
      </c>
      <c r="L6946">
        <v>9.0237429999999996</v>
      </c>
      <c r="M6946">
        <v>-1.1783480000000001E-2</v>
      </c>
      <c r="N6946">
        <v>0</v>
      </c>
      <c r="O6946">
        <v>0.99988480000000002</v>
      </c>
      <c r="P6946">
        <v>1.578119E-2</v>
      </c>
      <c r="Q6946">
        <v>7.4800660000000005E-2</v>
      </c>
      <c r="R6946">
        <v>0.99707369999999995</v>
      </c>
      <c r="S6946">
        <v>3.5690310000000003E-2</v>
      </c>
      <c r="T6946">
        <v>-0.17988489999999999</v>
      </c>
      <c r="U6946">
        <v>3.021515</v>
      </c>
      <c r="V6946">
        <v>2.7513659999999999E-2</v>
      </c>
      <c r="W6946">
        <v>8.4334519999999996E-2</v>
      </c>
      <c r="X6946">
        <v>0.99605759999999999</v>
      </c>
      <c r="Y6946">
        <v>2.3572739999999998E-2</v>
      </c>
      <c r="Z6946">
        <v>-5.9412930000000003E-2</v>
      </c>
      <c r="AA6946">
        <v>0.99795509999999998</v>
      </c>
      <c r="AB6946">
        <v>37</v>
      </c>
      <c r="AC6946">
        <v>1.6600000000010998E-2</v>
      </c>
      <c r="AD6946">
        <v>-6.0957000000000101E-2</v>
      </c>
      <c r="AE6946">
        <v>0.66330599999999995</v>
      </c>
      <c r="AF6946">
        <v>2.4210915672460202E-2</v>
      </c>
      <c r="AG6946">
        <v>-6.0957000000000101E-2</v>
      </c>
      <c r="AH6946">
        <v>0.65751484074435596</v>
      </c>
      <c r="AI6946">
        <v>95.293080448115106</v>
      </c>
      <c r="AJ6946">
        <v>87.8912158741052</v>
      </c>
      <c r="AK6946">
        <v>0.66077809443547297</v>
      </c>
      <c r="AL6946">
        <v>85.162241865080105</v>
      </c>
      <c r="AM6946">
        <v>88.417746280851404</v>
      </c>
      <c r="AN6946">
        <v>1.00000002763399</v>
      </c>
    </row>
    <row r="6947" spans="1:40" x14ac:dyDescent="0.25">
      <c r="A6947" t="str">
        <f>"20190312151159144"</f>
        <v>20190312151159144</v>
      </c>
      <c r="B6947" t="str">
        <f>"1552374719137817"</f>
        <v>1552374719137817</v>
      </c>
      <c r="C6947" t="s">
        <v>40</v>
      </c>
      <c r="D6947">
        <v>5.3352409999999999</v>
      </c>
      <c r="E6947">
        <v>0.49959959999999998</v>
      </c>
      <c r="F6947" t="s">
        <v>41</v>
      </c>
      <c r="G6947">
        <v>-186.24090000000001</v>
      </c>
      <c r="H6947">
        <v>1.0416909999999999</v>
      </c>
      <c r="I6947">
        <v>10.007910000000001</v>
      </c>
      <c r="J6947">
        <v>-186.2595</v>
      </c>
      <c r="K6947">
        <v>1.109693</v>
      </c>
      <c r="L6947">
        <v>9.3861690000000007</v>
      </c>
      <c r="M6947">
        <v>-1.1873359999999999E-2</v>
      </c>
      <c r="N6947">
        <v>0</v>
      </c>
      <c r="O6947">
        <v>0.99988370000000004</v>
      </c>
      <c r="P6947">
        <v>1.612367E-2</v>
      </c>
      <c r="Q6947">
        <v>7.5274209999999994E-2</v>
      </c>
      <c r="R6947">
        <v>0.99703249999999999</v>
      </c>
      <c r="S6947">
        <v>4.3380740000000001E-2</v>
      </c>
      <c r="T6947">
        <v>-0.20894270000000001</v>
      </c>
      <c r="U6947">
        <v>3.0238040000000002</v>
      </c>
      <c r="V6947">
        <v>2.7945210000000002E-2</v>
      </c>
      <c r="W6947">
        <v>8.4816310000000006E-2</v>
      </c>
      <c r="X6947">
        <v>0.99600460000000002</v>
      </c>
      <c r="Y6947">
        <v>2.6182500000000001E-2</v>
      </c>
      <c r="Z6947">
        <v>-6.8912269999999998E-2</v>
      </c>
      <c r="AA6947">
        <v>0.99727909999999997</v>
      </c>
      <c r="AB6947">
        <v>37</v>
      </c>
      <c r="AC6947">
        <v>1.8599999999992099E-2</v>
      </c>
      <c r="AD6947">
        <v>-6.8002000000000104E-2</v>
      </c>
      <c r="AE6947">
        <v>0.62174099999999999</v>
      </c>
      <c r="AF6947">
        <v>2.5674325438718299E-2</v>
      </c>
      <c r="AG6947">
        <v>-6.8002000000000104E-2</v>
      </c>
      <c r="AH6947">
        <v>0.61413623800898498</v>
      </c>
      <c r="AI6947">
        <v>96.313031069519695</v>
      </c>
      <c r="AJ6947">
        <v>87.606110307060305</v>
      </c>
      <c r="AK6947">
        <v>0.61842280183266396</v>
      </c>
      <c r="AL6947">
        <v>85.134537703667206</v>
      </c>
      <c r="AM6947">
        <v>88.392856175189806</v>
      </c>
      <c r="AN6947">
        <v>0.999999952212559</v>
      </c>
    </row>
    <row r="6948" spans="1:40" x14ac:dyDescent="0.25">
      <c r="A6948" t="str">
        <f>"20190312151159167"</f>
        <v>20190312151159167</v>
      </c>
      <c r="B6948" t="str">
        <f>"1552374719158313"</f>
        <v>1552374719158313</v>
      </c>
      <c r="C6948" t="s">
        <v>40</v>
      </c>
      <c r="D6948">
        <v>5.3690519999999999</v>
      </c>
      <c r="E6948">
        <v>0.4996969</v>
      </c>
      <c r="F6948" t="s">
        <v>41</v>
      </c>
      <c r="G6948">
        <v>-186.24549999999999</v>
      </c>
      <c r="H6948">
        <v>1.0431649999999999</v>
      </c>
      <c r="I6948">
        <v>10.33685</v>
      </c>
      <c r="J6948">
        <v>-186.26390000000001</v>
      </c>
      <c r="K6948">
        <v>1.109688</v>
      </c>
      <c r="L6948">
        <v>9.7505799999999994</v>
      </c>
      <c r="M6948">
        <v>-1.1963349999999999E-2</v>
      </c>
      <c r="N6948">
        <v>0</v>
      </c>
      <c r="O6948">
        <v>0.99988259999999995</v>
      </c>
      <c r="P6948">
        <v>1.6483109999999999E-2</v>
      </c>
      <c r="Q6948">
        <v>7.5399610000000006E-2</v>
      </c>
      <c r="R6948">
        <v>0.99701709999999999</v>
      </c>
      <c r="S6948">
        <v>4.4067380000000003E-2</v>
      </c>
      <c r="T6948">
        <v>-0.21163180000000001</v>
      </c>
      <c r="U6948">
        <v>3.0242</v>
      </c>
      <c r="V6948">
        <v>2.839419E-2</v>
      </c>
      <c r="W6948">
        <v>8.4949810000000001E-2</v>
      </c>
      <c r="X6948">
        <v>0.99598059999999999</v>
      </c>
      <c r="Y6948">
        <v>2.6496100000000002E-2</v>
      </c>
      <c r="Z6948">
        <v>-6.9785269999999996E-2</v>
      </c>
      <c r="AA6948">
        <v>0.99721009999999999</v>
      </c>
      <c r="AB6948">
        <v>37</v>
      </c>
      <c r="AC6948">
        <v>1.8400000000013898E-2</v>
      </c>
      <c r="AD6948">
        <v>-6.6523000000000096E-2</v>
      </c>
      <c r="AE6948">
        <v>0.58626999999999896</v>
      </c>
      <c r="AF6948">
        <v>2.5090040603859401E-2</v>
      </c>
      <c r="AG6948">
        <v>-6.6523000000000096E-2</v>
      </c>
      <c r="AH6948">
        <v>0.57856617717949799</v>
      </c>
      <c r="AI6948">
        <v>96.552907586454594</v>
      </c>
      <c r="AJ6948">
        <v>87.516873001275499</v>
      </c>
      <c r="AK6948">
        <v>0.58291821128062404</v>
      </c>
      <c r="AL6948">
        <v>85.126861380711603</v>
      </c>
      <c r="AM6948">
        <v>88.367009639735798</v>
      </c>
      <c r="AN6948">
        <v>1.0000000279105701</v>
      </c>
    </row>
    <row r="6949" spans="1:40" x14ac:dyDescent="0.25">
      <c r="A6949" t="str">
        <f>"20190312151159189"</f>
        <v>20190312151159189</v>
      </c>
      <c r="B6949" t="str">
        <f>"1552374719177833"</f>
        <v>1552374719177833</v>
      </c>
      <c r="C6949" t="s">
        <v>40</v>
      </c>
      <c r="D6949">
        <v>5.5931369999999996</v>
      </c>
      <c r="E6949">
        <v>0.49960690000000002</v>
      </c>
      <c r="F6949" t="s">
        <v>41</v>
      </c>
      <c r="G6949">
        <v>-186.24979999999999</v>
      </c>
      <c r="H6949">
        <v>1.0463100000000001</v>
      </c>
      <c r="I6949">
        <v>10.66764</v>
      </c>
      <c r="J6949">
        <v>-186.26840000000001</v>
      </c>
      <c r="K6949">
        <v>1.109686</v>
      </c>
      <c r="L6949">
        <v>10.12344</v>
      </c>
      <c r="M6949">
        <v>-1.2053360000000001E-2</v>
      </c>
      <c r="N6949">
        <v>0</v>
      </c>
      <c r="O6949">
        <v>0.99988140000000003</v>
      </c>
      <c r="P6949">
        <v>1.6406500000000001E-2</v>
      </c>
      <c r="Q6949">
        <v>7.5225490000000006E-2</v>
      </c>
      <c r="R6949">
        <v>0.99703160000000002</v>
      </c>
      <c r="S6949">
        <v>4.586792E-2</v>
      </c>
      <c r="T6949">
        <v>-0.20898890000000001</v>
      </c>
      <c r="U6949">
        <v>3.0240170000000002</v>
      </c>
      <c r="V6949">
        <v>2.8407700000000001E-2</v>
      </c>
      <c r="W6949">
        <v>8.4783520000000001E-2</v>
      </c>
      <c r="X6949">
        <v>0.9959943</v>
      </c>
      <c r="Y6949">
        <v>2.7181489999999999E-2</v>
      </c>
      <c r="Z6949">
        <v>-6.8921040000000003E-2</v>
      </c>
      <c r="AA6949">
        <v>0.99725169999999996</v>
      </c>
      <c r="AB6949">
        <v>37</v>
      </c>
      <c r="AC6949">
        <v>1.86000000000206E-2</v>
      </c>
      <c r="AD6949">
        <v>-6.3375999999999794E-2</v>
      </c>
      <c r="AE6949">
        <v>0.54420000000000002</v>
      </c>
      <c r="AF6949">
        <v>2.4822136771707599E-2</v>
      </c>
      <c r="AG6949">
        <v>-6.3375999999999794E-2</v>
      </c>
      <c r="AH6949">
        <v>0.53666633613679604</v>
      </c>
      <c r="AI6949">
        <v>96.727854094401707</v>
      </c>
      <c r="AJ6949">
        <v>87.351816741639098</v>
      </c>
      <c r="AK6949">
        <v>0.54096525969086495</v>
      </c>
      <c r="AL6949">
        <v>85.136423184742398</v>
      </c>
      <c r="AM6949">
        <v>88.366255541812507</v>
      </c>
      <c r="AN6949">
        <v>0.99999994415768301</v>
      </c>
    </row>
    <row r="6950" spans="1:40" x14ac:dyDescent="0.25">
      <c r="A6950" t="str">
        <f>"20190312151159212"</f>
        <v>20190312151159212</v>
      </c>
      <c r="B6950" t="str">
        <f>"1552374719208090"</f>
        <v>1552374719208090</v>
      </c>
      <c r="C6950" t="s">
        <v>40</v>
      </c>
      <c r="D6950">
        <v>5.2093489999999996</v>
      </c>
      <c r="E6950">
        <v>0.49934499999999998</v>
      </c>
      <c r="F6950" t="s">
        <v>41</v>
      </c>
      <c r="G6950">
        <v>-186.2552</v>
      </c>
      <c r="H6950">
        <v>1.049388</v>
      </c>
      <c r="I6950">
        <v>10.998849999999999</v>
      </c>
      <c r="J6950">
        <v>-186.273</v>
      </c>
      <c r="K6950">
        <v>1.109688</v>
      </c>
      <c r="L6950">
        <v>10.50238</v>
      </c>
      <c r="M6950">
        <v>-1.2140720000000001E-2</v>
      </c>
      <c r="N6950">
        <v>0</v>
      </c>
      <c r="O6950">
        <v>0.99988030000000006</v>
      </c>
      <c r="P6950">
        <v>1.6998059999999999E-2</v>
      </c>
      <c r="Q6950">
        <v>7.510319E-2</v>
      </c>
      <c r="R6950">
        <v>0.99703090000000005</v>
      </c>
      <c r="S6950">
        <v>4.5120239999999999E-2</v>
      </c>
      <c r="T6950">
        <v>-0.2082852</v>
      </c>
      <c r="U6950">
        <v>3.023895</v>
      </c>
      <c r="V6950">
        <v>2.9086810000000001E-2</v>
      </c>
      <c r="W6950">
        <v>8.4669019999999998E-2</v>
      </c>
      <c r="X6950">
        <v>0.99598450000000005</v>
      </c>
      <c r="Y6950">
        <v>2.7023149999999999E-2</v>
      </c>
      <c r="Z6950">
        <v>-6.8693009999999999E-2</v>
      </c>
      <c r="AA6950">
        <v>0.99727180000000004</v>
      </c>
      <c r="AB6950">
        <v>37</v>
      </c>
      <c r="AC6950">
        <v>1.7799999999994001E-2</v>
      </c>
      <c r="AD6950">
        <v>-6.0299999999999999E-2</v>
      </c>
      <c r="AE6950">
        <v>0.49646999999999802</v>
      </c>
      <c r="AF6950">
        <v>2.3480530243232399E-2</v>
      </c>
      <c r="AG6950">
        <v>-6.0299999999999999E-2</v>
      </c>
      <c r="AH6950">
        <v>0.48901267578609903</v>
      </c>
      <c r="AI6950">
        <v>97.021629935464702</v>
      </c>
      <c r="AJ6950">
        <v>87.250985786035798</v>
      </c>
      <c r="AK6950">
        <v>0.49327560489039401</v>
      </c>
      <c r="AL6950">
        <v>85.143007521838598</v>
      </c>
      <c r="AM6950">
        <v>88.327204985300597</v>
      </c>
      <c r="AN6950">
        <v>1.0000000048519899</v>
      </c>
    </row>
    <row r="6951" spans="1:40" x14ac:dyDescent="0.25">
      <c r="A6951" t="str">
        <f>"20190312151159234"</f>
        <v>20190312151159234</v>
      </c>
      <c r="B6951" t="str">
        <f>"1552374719228584"</f>
        <v>1552374719228584</v>
      </c>
      <c r="C6951" t="s">
        <v>40</v>
      </c>
      <c r="D6951">
        <v>5.2281979999999999</v>
      </c>
      <c r="E6951">
        <v>0.49923489999999998</v>
      </c>
      <c r="F6951" t="s">
        <v>42</v>
      </c>
      <c r="G6951">
        <v>-186.03229999999999</v>
      </c>
      <c r="H6951" s="1">
        <v>-3.7620740000000001E-6</v>
      </c>
      <c r="I6951">
        <v>26.761679999999998</v>
      </c>
      <c r="J6951">
        <v>-186.2775</v>
      </c>
      <c r="K6951">
        <v>1.109683</v>
      </c>
      <c r="L6951">
        <v>10.86032</v>
      </c>
      <c r="M6951">
        <v>-1.2216930000000001E-2</v>
      </c>
      <c r="N6951">
        <v>0</v>
      </c>
      <c r="O6951">
        <v>0.99987919999999997</v>
      </c>
      <c r="P6951">
        <v>1.7246859999999999E-2</v>
      </c>
      <c r="Q6951">
        <v>7.5112280000000003E-2</v>
      </c>
      <c r="R6951">
        <v>0.99702590000000002</v>
      </c>
      <c r="S6951">
        <v>4.4769290000000003E-2</v>
      </c>
      <c r="T6951">
        <v>-0.20636750000000001</v>
      </c>
      <c r="U6951">
        <v>3.0237120000000002</v>
      </c>
      <c r="V6951">
        <v>2.9412359999999999E-2</v>
      </c>
      <c r="W6951">
        <v>8.4685650000000001E-2</v>
      </c>
      <c r="X6951">
        <v>0.99597349999999996</v>
      </c>
      <c r="Y6951">
        <v>2.6985149999999999E-2</v>
      </c>
      <c r="Z6951">
        <v>-6.8067569999999994E-2</v>
      </c>
      <c r="AA6951">
        <v>0.99731570000000003</v>
      </c>
      <c r="AB6951">
        <v>37</v>
      </c>
      <c r="AC6951">
        <v>0.24520000000001099</v>
      </c>
      <c r="AD6951">
        <v>-1.1096867620739901</v>
      </c>
      <c r="AE6951">
        <v>15.90136</v>
      </c>
      <c r="AF6951">
        <v>0.43732717700596602</v>
      </c>
      <c r="AG6951">
        <v>-1.1096867620739901</v>
      </c>
      <c r="AH6951">
        <v>15.820151043303399</v>
      </c>
      <c r="AI6951">
        <v>94.010849131318594</v>
      </c>
      <c r="AJ6951">
        <v>88.416537128046301</v>
      </c>
      <c r="AK6951">
        <v>15.865050860385001</v>
      </c>
      <c r="AL6951">
        <v>85.142051134935002</v>
      </c>
      <c r="AM6951">
        <v>88.308474609772901</v>
      </c>
      <c r="AN6951">
        <v>0.99999997946946995</v>
      </c>
    </row>
    <row r="6952" spans="1:40" x14ac:dyDescent="0.25">
      <c r="A6952" t="str">
        <f>"20190312151159257"</f>
        <v>20190312151159257</v>
      </c>
      <c r="B6952" t="str">
        <f>"1552374719248105"</f>
        <v>1552374719248105</v>
      </c>
      <c r="C6952" t="s">
        <v>40</v>
      </c>
      <c r="D6952">
        <v>5.2166249999999996</v>
      </c>
      <c r="E6952">
        <v>0.49917460000000002</v>
      </c>
      <c r="F6952" t="s">
        <v>42</v>
      </c>
      <c r="G6952">
        <v>-186.03579999999999</v>
      </c>
      <c r="H6952" s="1">
        <v>-3.9381660000000002E-6</v>
      </c>
      <c r="I6952">
        <v>27.17361</v>
      </c>
      <c r="J6952">
        <v>-186.28219999999999</v>
      </c>
      <c r="K6952">
        <v>1.109677</v>
      </c>
      <c r="L6952">
        <v>11.24231</v>
      </c>
      <c r="M6952">
        <v>-1.229012E-2</v>
      </c>
      <c r="N6952">
        <v>0</v>
      </c>
      <c r="O6952">
        <v>0.9998783</v>
      </c>
      <c r="P6952">
        <v>1.7500769999999999E-2</v>
      </c>
      <c r="Q6952">
        <v>7.5086520000000004E-2</v>
      </c>
      <c r="R6952">
        <v>0.99702349999999995</v>
      </c>
      <c r="S6952">
        <v>4.4784549999999999E-2</v>
      </c>
      <c r="T6952">
        <v>-0.20568130000000001</v>
      </c>
      <c r="U6952">
        <v>3.023682</v>
      </c>
      <c r="V6952">
        <v>2.9740570000000001E-2</v>
      </c>
      <c r="W6952">
        <v>8.4667110000000004E-2</v>
      </c>
      <c r="X6952">
        <v>0.9959654</v>
      </c>
      <c r="Y6952">
        <v>2.7063730000000001E-2</v>
      </c>
      <c r="Z6952">
        <v>-6.7842819999999998E-2</v>
      </c>
      <c r="AA6952">
        <v>0.99732889999999996</v>
      </c>
      <c r="AB6952">
        <v>37</v>
      </c>
      <c r="AC6952">
        <v>0.24639999999999401</v>
      </c>
      <c r="AD6952">
        <v>-1.109680938166</v>
      </c>
      <c r="AE6952">
        <v>15.931299999999901</v>
      </c>
      <c r="AF6952">
        <v>0.44005352126389602</v>
      </c>
      <c r="AG6952">
        <v>-1.109680938166</v>
      </c>
      <c r="AH6952">
        <v>15.8501862932235</v>
      </c>
      <c r="AI6952">
        <v>94.003239367841402</v>
      </c>
      <c r="AJ6952">
        <v>88.409688445667797</v>
      </c>
      <c r="AK6952">
        <v>15.8950761060145</v>
      </c>
      <c r="AL6952">
        <v>85.143117568562602</v>
      </c>
      <c r="AM6952">
        <v>88.289596271182901</v>
      </c>
      <c r="AN6952">
        <v>1.00000004950841</v>
      </c>
    </row>
    <row r="6953" spans="1:40" x14ac:dyDescent="0.25">
      <c r="A6953" t="str">
        <f>"20190312151159280"</f>
        <v>20190312151159280</v>
      </c>
      <c r="B6953" t="str">
        <f>"1552374719278361"</f>
        <v>1552374719278361</v>
      </c>
      <c r="C6953" t="s">
        <v>40</v>
      </c>
      <c r="D6953">
        <v>5.2195080000000003</v>
      </c>
      <c r="E6953">
        <v>0.4990599</v>
      </c>
      <c r="F6953" t="s">
        <v>42</v>
      </c>
      <c r="G6953">
        <v>-186.03989999999999</v>
      </c>
      <c r="H6953" s="1">
        <v>-4.0955479999999996E-6</v>
      </c>
      <c r="I6953">
        <v>27.542179999999998</v>
      </c>
      <c r="J6953">
        <v>-186.2869</v>
      </c>
      <c r="K6953">
        <v>1.109661</v>
      </c>
      <c r="L6953">
        <v>11.61917</v>
      </c>
      <c r="M6953">
        <v>-1.2350099999999999E-2</v>
      </c>
      <c r="N6953">
        <v>0</v>
      </c>
      <c r="O6953">
        <v>0.99987749999999997</v>
      </c>
      <c r="P6953">
        <v>1.7549619999999998E-2</v>
      </c>
      <c r="Q6953">
        <v>7.555974E-2</v>
      </c>
      <c r="R6953">
        <v>0.99698679999999995</v>
      </c>
      <c r="S6953">
        <v>4.4937129999999999E-2</v>
      </c>
      <c r="T6953">
        <v>-0.20584959999999999</v>
      </c>
      <c r="U6953">
        <v>3.023682</v>
      </c>
      <c r="V6953">
        <v>2.9850560000000002E-2</v>
      </c>
      <c r="W6953">
        <v>8.5146990000000006E-2</v>
      </c>
      <c r="X6953">
        <v>0.9959211</v>
      </c>
      <c r="Y6953">
        <v>2.717396E-2</v>
      </c>
      <c r="Z6953">
        <v>-6.7897879999999994E-2</v>
      </c>
      <c r="AA6953">
        <v>0.99732209999999999</v>
      </c>
      <c r="AB6953">
        <v>37</v>
      </c>
      <c r="AC6953">
        <v>0.24700000000001399</v>
      </c>
      <c r="AD6953">
        <v>-1.1096650955480001</v>
      </c>
      <c r="AE6953">
        <v>15.9230099999999</v>
      </c>
      <c r="AF6953">
        <v>0.441497352261496</v>
      </c>
      <c r="AG6953">
        <v>-1.1096650955480001</v>
      </c>
      <c r="AH6953">
        <v>15.841825786002699</v>
      </c>
      <c r="AI6953">
        <v>94.005276462535804</v>
      </c>
      <c r="AJ6953">
        <v>88.403631668525094</v>
      </c>
      <c r="AK6953">
        <v>15.886778174645499</v>
      </c>
      <c r="AL6953">
        <v>85.115522343712499</v>
      </c>
      <c r="AM6953">
        <v>88.283198120716705</v>
      </c>
      <c r="AN6953">
        <v>0.99999995163179001</v>
      </c>
    </row>
    <row r="6954" spans="1:40" x14ac:dyDescent="0.25">
      <c r="A6954" t="str">
        <f>"20190312151159301"</f>
        <v>20190312151159301</v>
      </c>
      <c r="B6954" t="str">
        <f>"1552374719297882"</f>
        <v>1552374719297882</v>
      </c>
      <c r="C6954" t="s">
        <v>40</v>
      </c>
      <c r="D6954">
        <v>5.225339</v>
      </c>
      <c r="E6954">
        <v>0.49899890000000002</v>
      </c>
      <c r="F6954" t="s">
        <v>41</v>
      </c>
      <c r="G6954">
        <v>-186.27189999999999</v>
      </c>
      <c r="H6954">
        <v>1.040422</v>
      </c>
      <c r="I6954">
        <v>12.6388</v>
      </c>
      <c r="J6954">
        <v>-186.2912</v>
      </c>
      <c r="K6954">
        <v>1.1096539999999999</v>
      </c>
      <c r="L6954">
        <v>11.96503</v>
      </c>
      <c r="M6954">
        <v>-1.239469E-2</v>
      </c>
      <c r="N6954">
        <v>0</v>
      </c>
      <c r="O6954">
        <v>0.99987689999999996</v>
      </c>
      <c r="P6954">
        <v>1.7954959999999999E-2</v>
      </c>
      <c r="Q6954">
        <v>7.615218E-2</v>
      </c>
      <c r="R6954">
        <v>0.99693449999999995</v>
      </c>
      <c r="S6954">
        <v>4.423523E-2</v>
      </c>
      <c r="T6954">
        <v>-0.2053413</v>
      </c>
      <c r="U6954">
        <v>3.0238649999999998</v>
      </c>
      <c r="V6954">
        <v>3.030149E-2</v>
      </c>
      <c r="W6954">
        <v>8.5744650000000006E-2</v>
      </c>
      <c r="X6954">
        <v>0.99585619999999997</v>
      </c>
      <c r="Y6954">
        <v>2.6986369999999999E-2</v>
      </c>
      <c r="Z6954">
        <v>-6.772715E-2</v>
      </c>
      <c r="AA6954">
        <v>0.99733879999999997</v>
      </c>
      <c r="AB6954">
        <v>37</v>
      </c>
      <c r="AC6954">
        <v>1.9300000000015399E-2</v>
      </c>
      <c r="AD6954">
        <v>-6.9232000000000099E-2</v>
      </c>
      <c r="AE6954">
        <v>0.67376999999999898</v>
      </c>
      <c r="AF6954">
        <v>2.73614231910989E-2</v>
      </c>
      <c r="AG6954">
        <v>-6.9232000000000099E-2</v>
      </c>
      <c r="AH6954">
        <v>0.66644827563870002</v>
      </c>
      <c r="AI6954">
        <v>95.925772724285594</v>
      </c>
      <c r="AJ6954">
        <v>87.649008628768698</v>
      </c>
      <c r="AK6954">
        <v>0.67059303709838702</v>
      </c>
      <c r="AL6954">
        <v>85.081153234951003</v>
      </c>
      <c r="AM6954">
        <v>88.257166054038194</v>
      </c>
      <c r="AN6954">
        <v>0.99999994818913895</v>
      </c>
    </row>
    <row r="6955" spans="1:40" x14ac:dyDescent="0.25">
      <c r="A6955" t="str">
        <f>"20190312151159323"</f>
        <v>20190312151159323</v>
      </c>
      <c r="B6955" t="str">
        <f>"1552374719318377"</f>
        <v>1552374719318377</v>
      </c>
      <c r="C6955" t="s">
        <v>40</v>
      </c>
      <c r="D6955">
        <v>5.2258800000000001</v>
      </c>
      <c r="E6955">
        <v>0.49898819999999999</v>
      </c>
      <c r="F6955" t="s">
        <v>41</v>
      </c>
      <c r="G6955">
        <v>-186.27610000000001</v>
      </c>
      <c r="H6955">
        <v>1.041803</v>
      </c>
      <c r="I6955">
        <v>12.970190000000001</v>
      </c>
      <c r="J6955">
        <v>-186.29560000000001</v>
      </c>
      <c r="K6955">
        <v>1.1096440000000001</v>
      </c>
      <c r="L6955">
        <v>12.3154</v>
      </c>
      <c r="M6955">
        <v>-1.243054E-2</v>
      </c>
      <c r="N6955">
        <v>0</v>
      </c>
      <c r="O6955">
        <v>0.99987630000000005</v>
      </c>
      <c r="P6955">
        <v>1.9014139999999999E-2</v>
      </c>
      <c r="Q6955">
        <v>7.6969889999999999E-2</v>
      </c>
      <c r="R6955">
        <v>0.99685210000000002</v>
      </c>
      <c r="S6955">
        <v>4.5028690000000003E-2</v>
      </c>
      <c r="T6955">
        <v>-0.2041241</v>
      </c>
      <c r="U6955">
        <v>3.0240170000000002</v>
      </c>
      <c r="V6955">
        <v>3.1397099999999997E-2</v>
      </c>
      <c r="W6955">
        <v>8.6567930000000001E-2</v>
      </c>
      <c r="X6955">
        <v>0.9957511</v>
      </c>
      <c r="Y6955">
        <v>2.7283499999999999E-2</v>
      </c>
      <c r="Z6955">
        <v>-6.7323649999999999E-2</v>
      </c>
      <c r="AA6955">
        <v>0.99735810000000003</v>
      </c>
      <c r="AB6955">
        <v>37</v>
      </c>
      <c r="AC6955">
        <v>1.9499999999993599E-2</v>
      </c>
      <c r="AD6955">
        <v>-6.7840999999999999E-2</v>
      </c>
      <c r="AE6955">
        <v>0.65478999999999798</v>
      </c>
      <c r="AF6955">
        <v>2.7344990750954298E-2</v>
      </c>
      <c r="AG6955">
        <v>-6.7840999999999999E-2</v>
      </c>
      <c r="AH6955">
        <v>0.64755203273912698</v>
      </c>
      <c r="AI6955">
        <v>95.975506554901102</v>
      </c>
      <c r="AJ6955">
        <v>87.581935989848105</v>
      </c>
      <c r="AK6955">
        <v>0.65166999693460304</v>
      </c>
      <c r="AL6955">
        <v>85.033807061446296</v>
      </c>
      <c r="AM6955">
        <v>88.194000984091502</v>
      </c>
      <c r="AN6955">
        <v>1.0000000187720499</v>
      </c>
    </row>
    <row r="6956" spans="1:40" x14ac:dyDescent="0.25">
      <c r="A6956" t="str">
        <f>"20190312151159345"</f>
        <v>20190312151159345</v>
      </c>
      <c r="B6956" t="str">
        <f>"1552374719337897"</f>
        <v>1552374719337897</v>
      </c>
      <c r="C6956" t="s">
        <v>40</v>
      </c>
      <c r="D6956">
        <v>5.274635</v>
      </c>
      <c r="E6956">
        <v>0.49894569999999999</v>
      </c>
      <c r="F6956" t="s">
        <v>41</v>
      </c>
      <c r="G6956">
        <v>-186.27969999999999</v>
      </c>
      <c r="H6956">
        <v>1.043275</v>
      </c>
      <c r="I6956">
        <v>13.30247</v>
      </c>
      <c r="J6956">
        <v>-186.3004</v>
      </c>
      <c r="K6956">
        <v>1.109637</v>
      </c>
      <c r="L6956">
        <v>12.700989999999999</v>
      </c>
      <c r="M6956">
        <v>-1.245783E-2</v>
      </c>
      <c r="N6956">
        <v>0</v>
      </c>
      <c r="O6956">
        <v>0.99987590000000004</v>
      </c>
      <c r="P6956">
        <v>1.9845439999999999E-2</v>
      </c>
      <c r="Q6956">
        <v>7.7427839999999998E-2</v>
      </c>
      <c r="R6956">
        <v>0.99680040000000003</v>
      </c>
      <c r="S6956">
        <v>4.8431399999999999E-2</v>
      </c>
      <c r="T6956">
        <v>-0.2033451</v>
      </c>
      <c r="U6956">
        <v>3.0242610000000001</v>
      </c>
      <c r="V6956">
        <v>3.2256970000000003E-2</v>
      </c>
      <c r="W6956">
        <v>8.7032040000000005E-2</v>
      </c>
      <c r="X6956">
        <v>0.99568310000000004</v>
      </c>
      <c r="Y6956">
        <v>2.8431749999999999E-2</v>
      </c>
      <c r="Z6956">
        <v>-6.7060800000000004E-2</v>
      </c>
      <c r="AA6956">
        <v>0.99734370000000006</v>
      </c>
      <c r="AB6956">
        <v>37</v>
      </c>
      <c r="AC6956">
        <v>2.0700000000004999E-2</v>
      </c>
      <c r="AD6956">
        <v>-6.6362000000000004E-2</v>
      </c>
      <c r="AE6956">
        <v>0.60148000000000201</v>
      </c>
      <c r="AF6956">
        <v>2.7853222155630099E-2</v>
      </c>
      <c r="AG6956">
        <v>-6.6362000000000004E-2</v>
      </c>
      <c r="AH6956">
        <v>0.59395380217537397</v>
      </c>
      <c r="AI6956">
        <v>96.368232216147902</v>
      </c>
      <c r="AJ6956">
        <v>87.315104673682995</v>
      </c>
      <c r="AK6956">
        <v>0.59829828359024495</v>
      </c>
      <c r="AL6956">
        <v>85.007114489482802</v>
      </c>
      <c r="AM6956">
        <v>88.144447709804496</v>
      </c>
      <c r="AN6956">
        <v>0.99999996186287499</v>
      </c>
    </row>
    <row r="6957" spans="1:40" x14ac:dyDescent="0.25">
      <c r="A6957" t="str">
        <f>"20190312151159369"</f>
        <v>20190312151159369</v>
      </c>
      <c r="B6957" t="str">
        <f>"1552374719358392"</f>
        <v>1552374719358392</v>
      </c>
      <c r="C6957" t="s">
        <v>40</v>
      </c>
      <c r="D6957">
        <v>5.3942509999999997</v>
      </c>
      <c r="E6957">
        <v>0.49901909999999999</v>
      </c>
      <c r="F6957" t="s">
        <v>41</v>
      </c>
      <c r="G6957">
        <v>-186.28450000000001</v>
      </c>
      <c r="H6957">
        <v>1.046656</v>
      </c>
      <c r="I6957">
        <v>13.63697</v>
      </c>
      <c r="J6957">
        <v>-186.30520000000001</v>
      </c>
      <c r="K6957">
        <v>1.1096269999999999</v>
      </c>
      <c r="L6957">
        <v>13.08783</v>
      </c>
      <c r="M6957">
        <v>-1.247467E-2</v>
      </c>
      <c r="N6957">
        <v>0</v>
      </c>
      <c r="O6957">
        <v>0.99987570000000003</v>
      </c>
      <c r="P6957">
        <v>2.0785089999999999E-2</v>
      </c>
      <c r="Q6957">
        <v>7.7612929999999997E-2</v>
      </c>
      <c r="R6957">
        <v>0.99676690000000001</v>
      </c>
      <c r="S6957">
        <v>5.0872800000000003E-2</v>
      </c>
      <c r="T6957">
        <v>-0.2035062</v>
      </c>
      <c r="U6957">
        <v>3.0244140000000002</v>
      </c>
      <c r="V6957">
        <v>3.3214779999999999E-2</v>
      </c>
      <c r="W6957">
        <v>8.7223490000000001E-2</v>
      </c>
      <c r="X6957">
        <v>0.99563489999999999</v>
      </c>
      <c r="Y6957">
        <v>2.9252589999999998E-2</v>
      </c>
      <c r="Z6957">
        <v>-6.7109080000000002E-2</v>
      </c>
      <c r="AA6957">
        <v>0.99731669999999994</v>
      </c>
      <c r="AB6957">
        <v>37</v>
      </c>
      <c r="AC6957">
        <v>2.0700000000004999E-2</v>
      </c>
      <c r="AD6957">
        <v>-6.2971000000000096E-2</v>
      </c>
      <c r="AE6957">
        <v>0.54914000000000096</v>
      </c>
      <c r="AF6957">
        <v>2.71919894139106E-2</v>
      </c>
      <c r="AG6957">
        <v>-6.2971000000000096E-2</v>
      </c>
      <c r="AH6957">
        <v>0.54172562063498098</v>
      </c>
      <c r="AI6957">
        <v>96.622127905136693</v>
      </c>
      <c r="AJ6957">
        <v>87.126442483499304</v>
      </c>
      <c r="AK6957">
        <v>0.54605072949465205</v>
      </c>
      <c r="AL6957">
        <v>84.996103561968496</v>
      </c>
      <c r="AM6957">
        <v>88.0892983986475</v>
      </c>
      <c r="AN6957">
        <v>1.00000000645811</v>
      </c>
    </row>
    <row r="6958" spans="1:40" x14ac:dyDescent="0.25">
      <c r="A6958" t="str">
        <f>"20190312151159390"</f>
        <v>20190312151159390</v>
      </c>
      <c r="B6958" t="str">
        <f>"1552374719388649"</f>
        <v>1552374719388649</v>
      </c>
      <c r="C6958" t="s">
        <v>40</v>
      </c>
      <c r="D6958">
        <v>5.2668280000000003</v>
      </c>
      <c r="E6958">
        <v>0.49913869999999999</v>
      </c>
      <c r="F6958" t="s">
        <v>41</v>
      </c>
      <c r="G6958">
        <v>-186.28919999999999</v>
      </c>
      <c r="H6958">
        <v>1.050637</v>
      </c>
      <c r="I6958">
        <v>13.97237</v>
      </c>
      <c r="J6958">
        <v>-186.30969999999999</v>
      </c>
      <c r="K6958">
        <v>1.109621</v>
      </c>
      <c r="L6958">
        <v>13.443910000000001</v>
      </c>
      <c r="M6958">
        <v>-1.2483620000000001E-2</v>
      </c>
      <c r="N6958">
        <v>0</v>
      </c>
      <c r="O6958">
        <v>0.99987550000000003</v>
      </c>
      <c r="P6958">
        <v>2.2065629999999999E-2</v>
      </c>
      <c r="Q6958">
        <v>7.7850710000000004E-2</v>
      </c>
      <c r="R6958">
        <v>0.99672079999999996</v>
      </c>
      <c r="S6958">
        <v>5.4595949999999997E-2</v>
      </c>
      <c r="T6958">
        <v>-0.20168949999999999</v>
      </c>
      <c r="U6958">
        <v>3.024292</v>
      </c>
      <c r="V6958">
        <v>3.4505000000000001E-2</v>
      </c>
      <c r="W6958">
        <v>8.7467160000000002E-2</v>
      </c>
      <c r="X6958">
        <v>0.99556960000000005</v>
      </c>
      <c r="Y6958">
        <v>3.049031E-2</v>
      </c>
      <c r="Z6958">
        <v>-6.6513370000000002E-2</v>
      </c>
      <c r="AA6958">
        <v>0.99731959999999997</v>
      </c>
      <c r="AB6958">
        <v>37</v>
      </c>
      <c r="AC6958">
        <v>2.0499999999998401E-2</v>
      </c>
      <c r="AD6958">
        <v>-5.8983999999999898E-2</v>
      </c>
      <c r="AE6958">
        <v>0.52846000000000004</v>
      </c>
      <c r="AF6958">
        <v>2.6762895487386199E-2</v>
      </c>
      <c r="AG6958">
        <v>-5.8983999999999898E-2</v>
      </c>
      <c r="AH6958">
        <v>0.52167370635780497</v>
      </c>
      <c r="AI6958">
        <v>96.442455626037898</v>
      </c>
      <c r="AJ6958">
        <v>87.063187560833498</v>
      </c>
      <c r="AK6958">
        <v>0.52567938968154204</v>
      </c>
      <c r="AL6958">
        <v>84.982088521341893</v>
      </c>
      <c r="AM6958">
        <v>88.0150058368678</v>
      </c>
      <c r="AN6958">
        <v>0.99999996377381195</v>
      </c>
    </row>
    <row r="6959" spans="1:40" x14ac:dyDescent="0.25">
      <c r="A6959" t="str">
        <f>"20190312151159546"</f>
        <v>20190312151159546</v>
      </c>
      <c r="B6959" t="str">
        <f>"1552374719537977"</f>
        <v>1552374719537977</v>
      </c>
      <c r="C6959" t="s">
        <v>40</v>
      </c>
      <c r="D6959">
        <v>5.2316279999999997</v>
      </c>
      <c r="E6959">
        <v>0.55724119999999899</v>
      </c>
      <c r="F6959" t="s">
        <v>66</v>
      </c>
      <c r="G6959">
        <v>-168.8586</v>
      </c>
      <c r="H6959">
        <v>1.2837639999999999</v>
      </c>
      <c r="I6959">
        <v>104.0787</v>
      </c>
      <c r="J6959">
        <v>-186.34229999999999</v>
      </c>
      <c r="K6959">
        <v>1.1096109999999999</v>
      </c>
      <c r="L6959">
        <v>16.052669999999999</v>
      </c>
      <c r="M6959">
        <v>-1.249252E-2</v>
      </c>
      <c r="N6959">
        <v>0</v>
      </c>
      <c r="O6959">
        <v>0.9998745</v>
      </c>
      <c r="P6959">
        <v>2.7303270000000001E-2</v>
      </c>
      <c r="Q6959">
        <v>7.8889570000000006E-2</v>
      </c>
      <c r="R6959">
        <v>0.99650939999999999</v>
      </c>
      <c r="S6959">
        <v>0.59208680000000002</v>
      </c>
      <c r="T6959">
        <v>5.8991909999999998E-3</v>
      </c>
      <c r="U6959">
        <v>2.99411</v>
      </c>
      <c r="V6959">
        <v>3.975298E-2</v>
      </c>
      <c r="W6959">
        <v>8.8593839999999993E-2</v>
      </c>
      <c r="X6959">
        <v>0.9952742</v>
      </c>
      <c r="Y6959">
        <v>0.2062341</v>
      </c>
      <c r="Z6959">
        <v>1.9301640000000001E-3</v>
      </c>
      <c r="AA6959">
        <v>0.97850079999999995</v>
      </c>
      <c r="AB6959">
        <v>37</v>
      </c>
      <c r="AC6959">
        <v>17.483699999999999</v>
      </c>
      <c r="AD6959">
        <v>0.174152999999999</v>
      </c>
      <c r="AE6959">
        <v>88.026029999999906</v>
      </c>
      <c r="AF6959">
        <v>18.581984699637701</v>
      </c>
      <c r="AG6959">
        <v>0.174152999999999</v>
      </c>
      <c r="AH6959">
        <v>87.800403812745202</v>
      </c>
      <c r="AI6959">
        <v>89.888816123015204</v>
      </c>
      <c r="AJ6959">
        <v>78.050312323968498</v>
      </c>
      <c r="AK6959">
        <v>89.745369765387395</v>
      </c>
      <c r="AL6959">
        <v>84.917282849555903</v>
      </c>
      <c r="AM6959">
        <v>87.712722875989002</v>
      </c>
      <c r="AN6959">
        <v>0.99999995054523105</v>
      </c>
    </row>
    <row r="6960" spans="1:40" x14ac:dyDescent="0.25">
      <c r="A6960" t="str">
        <f>"20190312151159570"</f>
        <v>20190312151159570</v>
      </c>
      <c r="B6960" t="str">
        <f>"1552374719558484"</f>
        <v>1552374719558484</v>
      </c>
      <c r="C6960" t="s">
        <v>40</v>
      </c>
      <c r="D6960">
        <v>5.253107</v>
      </c>
      <c r="E6960">
        <v>0.55708440000000004</v>
      </c>
      <c r="F6960" t="s">
        <v>69</v>
      </c>
      <c r="G6960">
        <v>-159.66579999999999</v>
      </c>
      <c r="H6960">
        <v>3.5017260000000001</v>
      </c>
      <c r="I6960">
        <v>164.20920000000001</v>
      </c>
      <c r="J6960">
        <v>-186.34710000000001</v>
      </c>
      <c r="K6960">
        <v>1.1096170000000001</v>
      </c>
      <c r="L6960">
        <v>16.436219999999999</v>
      </c>
      <c r="M6960">
        <v>-1.2493290000000001E-2</v>
      </c>
      <c r="N6960">
        <v>0</v>
      </c>
      <c r="O6960">
        <v>0.99987429999999999</v>
      </c>
      <c r="P6960">
        <v>2.8018560000000001E-2</v>
      </c>
      <c r="Q6960">
        <v>7.8685160000000004E-2</v>
      </c>
      <c r="R6960">
        <v>0.99650570000000005</v>
      </c>
      <c r="S6960">
        <v>0.53871150000000001</v>
      </c>
      <c r="T6960">
        <v>4.8307660000000002E-2</v>
      </c>
      <c r="U6960">
        <v>2.9919129999999998</v>
      </c>
      <c r="V6960">
        <v>4.046918E-2</v>
      </c>
      <c r="W6960">
        <v>8.8403839999999997E-2</v>
      </c>
      <c r="X6960">
        <v>0.99526230000000004</v>
      </c>
      <c r="Y6960">
        <v>0.1894663</v>
      </c>
      <c r="Z6960">
        <v>1.5868320000000002E-2</v>
      </c>
      <c r="AA6960">
        <v>0.98175900000000005</v>
      </c>
      <c r="AB6960">
        <v>37</v>
      </c>
      <c r="AC6960">
        <v>26.6813</v>
      </c>
      <c r="AD6960">
        <v>2.392109</v>
      </c>
      <c r="AE6960">
        <v>147.77297999999999</v>
      </c>
      <c r="AF6960">
        <v>28.518239091052301</v>
      </c>
      <c r="AG6960">
        <v>2.392109</v>
      </c>
      <c r="AH6960">
        <v>147.39068970208501</v>
      </c>
      <c r="AI6960">
        <v>89.087115461913697</v>
      </c>
      <c r="AJ6960">
        <v>79.0493063654271</v>
      </c>
      <c r="AK6960">
        <v>150.14335668679601</v>
      </c>
      <c r="AL6960">
        <v>84.928212282175295</v>
      </c>
      <c r="AM6960">
        <v>87.671531843524804</v>
      </c>
      <c r="AN6960">
        <v>1.00000001962895</v>
      </c>
    </row>
    <row r="6961" spans="1:40" x14ac:dyDescent="0.25">
      <c r="A6961" t="str">
        <f>"20190312151159590"</f>
        <v>20190312151159590</v>
      </c>
      <c r="B6961" t="str">
        <f>"1552374719587753"</f>
        <v>1552374719587753</v>
      </c>
      <c r="C6961" t="s">
        <v>40</v>
      </c>
      <c r="D6961">
        <v>5.2649670000000004</v>
      </c>
      <c r="E6961">
        <v>0.55663289999999999</v>
      </c>
      <c r="F6961" t="s">
        <v>69</v>
      </c>
      <c r="G6961">
        <v>-159.7012</v>
      </c>
      <c r="H6961">
        <v>2.96645</v>
      </c>
      <c r="I6961">
        <v>164.2449</v>
      </c>
      <c r="J6961">
        <v>-186.35159999999999</v>
      </c>
      <c r="K6961">
        <v>1.109621</v>
      </c>
      <c r="L6961">
        <v>16.795349999999999</v>
      </c>
      <c r="M6961">
        <v>-1.249397E-2</v>
      </c>
      <c r="N6961">
        <v>0</v>
      </c>
      <c r="O6961">
        <v>0.99987420000000005</v>
      </c>
      <c r="P6961">
        <v>2.8487789999999999E-2</v>
      </c>
      <c r="Q6961">
        <v>7.8895259999999995E-2</v>
      </c>
      <c r="R6961">
        <v>0.99647580000000002</v>
      </c>
      <c r="S6961">
        <v>0.53944399999999904</v>
      </c>
      <c r="T6961">
        <v>3.7592050000000002E-2</v>
      </c>
      <c r="U6961">
        <v>2.9923709999999999</v>
      </c>
      <c r="V6961">
        <v>4.0938879999999997E-2</v>
      </c>
      <c r="W6961">
        <v>8.8626140000000006E-2</v>
      </c>
      <c r="X6961">
        <v>0.99522330000000003</v>
      </c>
      <c r="Y6961">
        <v>0.1896823</v>
      </c>
      <c r="Z6961">
        <v>1.2346650000000001E-2</v>
      </c>
      <c r="AA6961">
        <v>0.98176790000000003</v>
      </c>
      <c r="AB6961">
        <v>37</v>
      </c>
      <c r="AC6961">
        <v>26.650399999999902</v>
      </c>
      <c r="AD6961">
        <v>1.8568290000000001</v>
      </c>
      <c r="AE6961">
        <v>147.44954999999999</v>
      </c>
      <c r="AF6961">
        <v>28.486263345555699</v>
      </c>
      <c r="AG6961">
        <v>1.8568290000000001</v>
      </c>
      <c r="AH6961">
        <v>147.08246794291901</v>
      </c>
      <c r="AI6961">
        <v>89.289907027688102</v>
      </c>
      <c r="AJ6961">
        <v>79.038920162130495</v>
      </c>
      <c r="AK6961">
        <v>149.82712501248699</v>
      </c>
      <c r="AL6961">
        <v>84.915425143115897</v>
      </c>
      <c r="AM6961">
        <v>87.644444861559705</v>
      </c>
      <c r="AN6961">
        <v>1.0000000007249199</v>
      </c>
    </row>
    <row r="6962" spans="1:40" x14ac:dyDescent="0.25">
      <c r="A6962" t="str">
        <f>"20190312151159614"</f>
        <v>20190312151159614</v>
      </c>
      <c r="B6962" t="str">
        <f>"1552374719608249"</f>
        <v>1552374719608249</v>
      </c>
      <c r="C6962" t="s">
        <v>40</v>
      </c>
      <c r="D6962">
        <v>5.2616849999999999</v>
      </c>
      <c r="E6962">
        <v>0.55642250000000004</v>
      </c>
      <c r="F6962" t="s">
        <v>69</v>
      </c>
      <c r="G6962">
        <v>-159.858</v>
      </c>
      <c r="H6962">
        <v>2.0953560000000002</v>
      </c>
      <c r="I6962">
        <v>164.40209999999999</v>
      </c>
      <c r="J6962">
        <v>-186.3563</v>
      </c>
      <c r="K6962">
        <v>1.1096220000000001</v>
      </c>
      <c r="L6962">
        <v>17.175689999999999</v>
      </c>
      <c r="M6962">
        <v>-1.249462E-2</v>
      </c>
      <c r="N6962">
        <v>0</v>
      </c>
      <c r="O6962">
        <v>0.99987409999999999</v>
      </c>
      <c r="P6962">
        <v>2.8651079999999999E-2</v>
      </c>
      <c r="Q6962">
        <v>7.9483159999999997E-2</v>
      </c>
      <c r="R6962">
        <v>0.99642439999999999</v>
      </c>
      <c r="S6962">
        <v>0.537323</v>
      </c>
      <c r="T6962">
        <v>1.9992590000000001E-2</v>
      </c>
      <c r="U6962">
        <v>2.993652</v>
      </c>
      <c r="V6962">
        <v>4.1102319999999998E-2</v>
      </c>
      <c r="W6962">
        <v>8.9225979999999996E-2</v>
      </c>
      <c r="X6962">
        <v>0.99516300000000002</v>
      </c>
      <c r="Y6962">
        <v>0.18894540000000001</v>
      </c>
      <c r="Z6962">
        <v>6.5648E-3</v>
      </c>
      <c r="AA6962">
        <v>0.98196570000000005</v>
      </c>
      <c r="AB6962">
        <v>38</v>
      </c>
      <c r="AC6962">
        <v>26.4983</v>
      </c>
      <c r="AD6962">
        <v>0.985734</v>
      </c>
      <c r="AE6962">
        <v>147.22640999999999</v>
      </c>
      <c r="AF6962">
        <v>28.334627043962801</v>
      </c>
      <c r="AG6962">
        <v>0.985734</v>
      </c>
      <c r="AH6962">
        <v>146.87743665446499</v>
      </c>
      <c r="AI6962">
        <v>89.6224395617037</v>
      </c>
      <c r="AJ6962">
        <v>79.081009381856404</v>
      </c>
      <c r="AK6962">
        <v>149.58878353481401</v>
      </c>
      <c r="AL6962">
        <v>84.880920324422704</v>
      </c>
      <c r="AM6962">
        <v>87.6349083151174</v>
      </c>
      <c r="AN6962">
        <v>1.00000003639267</v>
      </c>
    </row>
    <row r="6963" spans="1:40" x14ac:dyDescent="0.25">
      <c r="A6963" t="str">
        <f>"20190312151159636"</f>
        <v>20190312151159636</v>
      </c>
      <c r="B6963" t="str">
        <f>"1552374719627770"</f>
        <v>1552374719627770</v>
      </c>
      <c r="C6963" t="s">
        <v>40</v>
      </c>
      <c r="D6963">
        <v>5.3099069999999999</v>
      </c>
      <c r="E6963">
        <v>0.55416200000000004</v>
      </c>
      <c r="F6963" t="s">
        <v>69</v>
      </c>
      <c r="G6963">
        <v>-159.9727</v>
      </c>
      <c r="H6963">
        <v>1.6918409999999999</v>
      </c>
      <c r="I6963">
        <v>164.517</v>
      </c>
      <c r="J6963">
        <v>-186.36099999999999</v>
      </c>
      <c r="K6963">
        <v>1.1096189999999999</v>
      </c>
      <c r="L6963">
        <v>17.54956</v>
      </c>
      <c r="M6963">
        <v>-1.249519E-2</v>
      </c>
      <c r="N6963">
        <v>0</v>
      </c>
      <c r="O6963">
        <v>0.99987389999999998</v>
      </c>
      <c r="P6963">
        <v>2.867838E-2</v>
      </c>
      <c r="Q6963">
        <v>7.9427250000000005E-2</v>
      </c>
      <c r="R6963">
        <v>0.99642810000000004</v>
      </c>
      <c r="S6963">
        <v>0.53619380000000005</v>
      </c>
      <c r="T6963">
        <v>1.1833069999999999E-2</v>
      </c>
      <c r="U6963">
        <v>2.994415</v>
      </c>
      <c r="V6963">
        <v>4.113033E-2</v>
      </c>
      <c r="W6963">
        <v>8.918181E-2</v>
      </c>
      <c r="X6963">
        <v>0.99516579999999999</v>
      </c>
      <c r="Y6963">
        <v>0.1885462</v>
      </c>
      <c r="Z6963">
        <v>3.8848870000000001E-3</v>
      </c>
      <c r="AA6963">
        <v>0.98205659999999895</v>
      </c>
      <c r="AB6963">
        <v>38</v>
      </c>
      <c r="AC6963">
        <v>26.388299999999902</v>
      </c>
      <c r="AD6963">
        <v>0.58222199999999902</v>
      </c>
      <c r="AE6963">
        <v>146.96743999999899</v>
      </c>
      <c r="AF6963">
        <v>28.2222849228868</v>
      </c>
      <c r="AG6963">
        <v>0.58222199999999902</v>
      </c>
      <c r="AH6963">
        <v>146.623993538989</v>
      </c>
      <c r="AI6963">
        <v>89.776589078188806</v>
      </c>
      <c r="AJ6963">
        <v>79.1049156618745</v>
      </c>
      <c r="AK6963">
        <v>149.31654908297099</v>
      </c>
      <c r="AL6963">
        <v>84.883461198136303</v>
      </c>
      <c r="AM6963">
        <v>87.633305059456603</v>
      </c>
      <c r="AN6963">
        <v>1.00000003438521</v>
      </c>
    </row>
    <row r="6964" spans="1:40" x14ac:dyDescent="0.25">
      <c r="A6964" t="str">
        <f>"20190312151159660"</f>
        <v>20190312151159660</v>
      </c>
      <c r="B6964" t="str">
        <f>"1552374719648265"</f>
        <v>1552374719648265</v>
      </c>
      <c r="C6964" t="s">
        <v>40</v>
      </c>
      <c r="D6964">
        <v>5.1773540000000002</v>
      </c>
      <c r="E6964">
        <v>0.55350440000000001</v>
      </c>
      <c r="F6964" t="s">
        <v>69</v>
      </c>
      <c r="G6964">
        <v>-160.8073</v>
      </c>
      <c r="H6964">
        <v>0.1625557</v>
      </c>
      <c r="I6964">
        <v>165.35169999999999</v>
      </c>
      <c r="J6964">
        <v>-186.36609999999999</v>
      </c>
      <c r="K6964">
        <v>1.1096189999999999</v>
      </c>
      <c r="L6964">
        <v>17.953520000000001</v>
      </c>
      <c r="M6964">
        <v>-1.249578E-2</v>
      </c>
      <c r="N6964">
        <v>0</v>
      </c>
      <c r="O6964">
        <v>0.99987380000000003</v>
      </c>
      <c r="P6964">
        <v>2.829545E-2</v>
      </c>
      <c r="Q6964">
        <v>8.0278489999999994E-2</v>
      </c>
      <c r="R6964">
        <v>0.9963708</v>
      </c>
      <c r="S6964">
        <v>0.51821899999999999</v>
      </c>
      <c r="T6964">
        <v>-1.9205449999999999E-2</v>
      </c>
      <c r="U6964">
        <v>2.9973749999999999</v>
      </c>
      <c r="V6964">
        <v>4.0747400000000003E-2</v>
      </c>
      <c r="W6964">
        <v>9.0044750000000007E-2</v>
      </c>
      <c r="X6964">
        <v>0.99510379999999998</v>
      </c>
      <c r="Y6964">
        <v>0.1826605</v>
      </c>
      <c r="Z6964">
        <v>-6.3058690000000004E-3</v>
      </c>
      <c r="AA6964">
        <v>0.98315580000000002</v>
      </c>
      <c r="AB6964">
        <v>38</v>
      </c>
      <c r="AC6964">
        <v>25.558799999999898</v>
      </c>
      <c r="AD6964">
        <v>-0.94706330000000005</v>
      </c>
      <c r="AE6964">
        <v>147.39818</v>
      </c>
      <c r="AF6964">
        <v>27.397650114274601</v>
      </c>
      <c r="AG6964">
        <v>-0.94706330000000005</v>
      </c>
      <c r="AH6964">
        <v>147.061384268664</v>
      </c>
      <c r="AI6964">
        <v>90.362734019863694</v>
      </c>
      <c r="AJ6964">
        <v>79.4467359864624</v>
      </c>
      <c r="AK6964">
        <v>149.594715493877</v>
      </c>
      <c r="AL6964">
        <v>84.833818419328196</v>
      </c>
      <c r="AM6964">
        <v>87.655168741084907</v>
      </c>
      <c r="AN6964">
        <v>0.99999999019188102</v>
      </c>
    </row>
    <row r="6965" spans="1:40" x14ac:dyDescent="0.25">
      <c r="A6965" t="str">
        <f>"20190312151159680"</f>
        <v>20190312151159680</v>
      </c>
      <c r="B6965" t="str">
        <f>"1552374719678521"</f>
        <v>1552374719678521</v>
      </c>
      <c r="C6965" t="s">
        <v>40</v>
      </c>
      <c r="D6965">
        <v>5.2568530000000004</v>
      </c>
      <c r="E6965">
        <v>0.55171759999999903</v>
      </c>
      <c r="F6965" t="s">
        <v>42</v>
      </c>
      <c r="G6965">
        <v>-163.8811</v>
      </c>
      <c r="H6965">
        <v>7.3432650000000002E-2</v>
      </c>
      <c r="I6965">
        <v>149.63980000000001</v>
      </c>
      <c r="J6965">
        <v>-186.37029999999999</v>
      </c>
      <c r="K6965">
        <v>1.1096330000000001</v>
      </c>
      <c r="L6965">
        <v>18.29739</v>
      </c>
      <c r="M6965">
        <v>-1.249627E-2</v>
      </c>
      <c r="N6965">
        <v>0</v>
      </c>
      <c r="O6965">
        <v>0.99987369999999998</v>
      </c>
      <c r="P6965">
        <v>2.827708E-2</v>
      </c>
      <c r="Q6965">
        <v>8.0609219999999995E-2</v>
      </c>
      <c r="R6965">
        <v>0.99634460000000002</v>
      </c>
      <c r="S6965">
        <v>0.51194759999999995</v>
      </c>
      <c r="T6965">
        <v>-2.3592350000000002E-2</v>
      </c>
      <c r="U6965">
        <v>2.998291</v>
      </c>
      <c r="V6965">
        <v>4.0729269999999998E-2</v>
      </c>
      <c r="W6965">
        <v>9.0384770000000003E-2</v>
      </c>
      <c r="X6965">
        <v>0.99507369999999995</v>
      </c>
      <c r="Y6965">
        <v>0.18061099999999999</v>
      </c>
      <c r="Z6965">
        <v>-7.74668199999999E-3</v>
      </c>
      <c r="AA6965">
        <v>0.98352410000000001</v>
      </c>
      <c r="AB6965">
        <v>38</v>
      </c>
      <c r="AC6965">
        <v>22.489199999999901</v>
      </c>
      <c r="AD6965">
        <v>-1.0362003500000001</v>
      </c>
      <c r="AE6965">
        <v>131.34241</v>
      </c>
      <c r="AF6965">
        <v>24.127354257514298</v>
      </c>
      <c r="AG6965">
        <v>-1.0362003500000001</v>
      </c>
      <c r="AH6965">
        <v>131.043184981938</v>
      </c>
      <c r="AI6965">
        <v>90.445557804538495</v>
      </c>
      <c r="AJ6965">
        <v>79.567675317046806</v>
      </c>
      <c r="AK6965">
        <v>133.24983776666801</v>
      </c>
      <c r="AL6965">
        <v>84.8142568600787</v>
      </c>
      <c r="AM6965">
        <v>87.656140059780199</v>
      </c>
      <c r="AN6965">
        <v>0.99999997425718701</v>
      </c>
    </row>
    <row r="6966" spans="1:40" x14ac:dyDescent="0.25">
      <c r="A6966" t="str">
        <f>"20190312151159715"</f>
        <v>20190312151159715</v>
      </c>
      <c r="B6966" t="str">
        <f>"1552374719707802"</f>
        <v>1552374719707802</v>
      </c>
      <c r="C6966" t="s">
        <v>40</v>
      </c>
      <c r="D6966">
        <v>5.3260880000000004</v>
      </c>
      <c r="E6966">
        <v>0.55017519999999998</v>
      </c>
      <c r="F6966" t="s">
        <v>43</v>
      </c>
      <c r="G6966">
        <v>-171.5461</v>
      </c>
      <c r="H6966">
        <v>-0.05</v>
      </c>
      <c r="I6966">
        <v>107.7101</v>
      </c>
      <c r="J6966">
        <v>-186.37790000000001</v>
      </c>
      <c r="K6966">
        <v>1.10964</v>
      </c>
      <c r="L6966">
        <v>18.895969999999998</v>
      </c>
      <c r="M6966">
        <v>-1.249713E-2</v>
      </c>
      <c r="N6966">
        <v>0</v>
      </c>
      <c r="O6966">
        <v>0.99987349999999997</v>
      </c>
      <c r="P6966">
        <v>2.7651539999999999E-2</v>
      </c>
      <c r="Q6966">
        <v>8.1471189999999999E-2</v>
      </c>
      <c r="R6966">
        <v>0.99629210000000001</v>
      </c>
      <c r="S6966">
        <v>0.49739070000000002</v>
      </c>
      <c r="T6966">
        <v>-3.8908720000000001E-2</v>
      </c>
      <c r="U6966">
        <v>3.0000309999999999</v>
      </c>
      <c r="V6966">
        <v>4.0104069999999999E-2</v>
      </c>
      <c r="W6966">
        <v>9.126186E-2</v>
      </c>
      <c r="X6966">
        <v>0.99501910000000005</v>
      </c>
      <c r="Y6966">
        <v>0.17586579999999999</v>
      </c>
      <c r="Z6966">
        <v>-1.277857E-2</v>
      </c>
      <c r="AA6966">
        <v>0.98433119999999996</v>
      </c>
      <c r="AB6966">
        <v>38</v>
      </c>
      <c r="AC6966">
        <v>14.831799999999999</v>
      </c>
      <c r="AD6966">
        <v>-1.15964</v>
      </c>
      <c r="AE6966">
        <v>88.814129999999906</v>
      </c>
      <c r="AF6966">
        <v>15.9379736564889</v>
      </c>
      <c r="AG6966">
        <v>-1.15964</v>
      </c>
      <c r="AH6966">
        <v>88.607133537512993</v>
      </c>
      <c r="AI6966">
        <v>90.737970123644004</v>
      </c>
      <c r="AJ6966">
        <v>79.803110510980005</v>
      </c>
      <c r="AK6966">
        <v>90.036591910951302</v>
      </c>
      <c r="AL6966">
        <v>84.763795069562704</v>
      </c>
      <c r="AM6966">
        <v>87.691952923917498</v>
      </c>
      <c r="AN6966">
        <v>1.0000000364430099</v>
      </c>
    </row>
    <row r="6967" spans="1:40" x14ac:dyDescent="0.25">
      <c r="A6967" t="str">
        <f>"20190312151159749"</f>
        <v>20190312151159749</v>
      </c>
      <c r="B6967" t="str">
        <f>"1552374719738057"</f>
        <v>1552374719738057</v>
      </c>
      <c r="C6967" t="s">
        <v>40</v>
      </c>
      <c r="D6967">
        <v>5.2884760000000002</v>
      </c>
      <c r="E6967">
        <v>0.54899969999999998</v>
      </c>
      <c r="F6967" t="s">
        <v>42</v>
      </c>
      <c r="G6967">
        <v>-177.43950000000001</v>
      </c>
      <c r="H6967">
        <v>7.9986870000000002E-2</v>
      </c>
      <c r="I6967">
        <v>74.375309999999999</v>
      </c>
      <c r="J6967">
        <v>-186.38499999999999</v>
      </c>
      <c r="K6967">
        <v>1.1096490000000001</v>
      </c>
      <c r="L6967">
        <v>19.465119999999999</v>
      </c>
      <c r="M6967">
        <v>-1.2497930000000001E-2</v>
      </c>
      <c r="N6967">
        <v>0</v>
      </c>
      <c r="O6967">
        <v>0.99987340000000002</v>
      </c>
      <c r="P6967">
        <v>2.7114840000000001E-2</v>
      </c>
      <c r="Q6967">
        <v>8.3247219999999997E-2</v>
      </c>
      <c r="R6967">
        <v>0.99616000000000005</v>
      </c>
      <c r="S6967">
        <v>0.48370360000000001</v>
      </c>
      <c r="T6967">
        <v>-5.572009E-2</v>
      </c>
      <c r="U6967">
        <v>3.0022890000000002</v>
      </c>
      <c r="V6967">
        <v>3.9566650000000002E-2</v>
      </c>
      <c r="W6967">
        <v>9.3050439999999998E-2</v>
      </c>
      <c r="X6967">
        <v>0.99487490000000001</v>
      </c>
      <c r="Y6967">
        <v>0.17136080000000001</v>
      </c>
      <c r="Z6967">
        <v>-1.829865E-2</v>
      </c>
      <c r="AA6967">
        <v>0.98503839999999998</v>
      </c>
      <c r="AB6967">
        <v>38</v>
      </c>
      <c r="AC6967">
        <v>8.9454999999999796</v>
      </c>
      <c r="AD6967">
        <v>-1.02966213</v>
      </c>
      <c r="AE6967">
        <v>54.91019</v>
      </c>
      <c r="AF6967">
        <v>9.6278003823624907</v>
      </c>
      <c r="AG6967">
        <v>-1.02966213</v>
      </c>
      <c r="AH6967">
        <v>54.7753327389253</v>
      </c>
      <c r="AI6967">
        <v>91.060658505329897</v>
      </c>
      <c r="AJ6967">
        <v>80.0310140361576</v>
      </c>
      <c r="AK6967">
        <v>55.624561310311101</v>
      </c>
      <c r="AL6967">
        <v>84.660878748352403</v>
      </c>
      <c r="AM6967">
        <v>87.722519730556101</v>
      </c>
      <c r="AN6967">
        <v>0.999999985413213</v>
      </c>
    </row>
    <row r="6968" spans="1:40" x14ac:dyDescent="0.25">
      <c r="A6968" t="str">
        <f>"20190312151159772"</f>
        <v>20190312151159772</v>
      </c>
      <c r="B6968" t="str">
        <f>"1552374719768314"</f>
        <v>1552374719768314</v>
      </c>
      <c r="C6968" t="s">
        <v>40</v>
      </c>
      <c r="D6968">
        <v>5.3193349999999997</v>
      </c>
      <c r="E6968">
        <v>0.54767679999999996</v>
      </c>
      <c r="F6968" t="s">
        <v>42</v>
      </c>
      <c r="G6968">
        <v>-178.8562</v>
      </c>
      <c r="H6968">
        <v>7.9986189999999999E-2</v>
      </c>
      <c r="I6968">
        <v>67.292680000000004</v>
      </c>
      <c r="J6968">
        <v>-186.3897</v>
      </c>
      <c r="K6968">
        <v>1.1096520000000001</v>
      </c>
      <c r="L6968">
        <v>19.84177</v>
      </c>
      <c r="M6968">
        <v>-1.249843E-2</v>
      </c>
      <c r="N6968">
        <v>0</v>
      </c>
      <c r="O6968">
        <v>0.99987329999999996</v>
      </c>
      <c r="P6968">
        <v>2.6635880000000001E-2</v>
      </c>
      <c r="Q6968">
        <v>8.4313059999999995E-2</v>
      </c>
      <c r="R6968">
        <v>0.9960833</v>
      </c>
      <c r="S6968">
        <v>0.4728851</v>
      </c>
      <c r="T6968">
        <v>-6.4674019999999999E-2</v>
      </c>
      <c r="U6968">
        <v>3.004089</v>
      </c>
      <c r="V6968">
        <v>3.9087360000000002E-2</v>
      </c>
      <c r="W6968">
        <v>9.4124319999999997E-2</v>
      </c>
      <c r="X6968">
        <v>0.99479280000000003</v>
      </c>
      <c r="Y6968">
        <v>0.167798799999999</v>
      </c>
      <c r="Z6968">
        <v>-2.1237869999999999E-2</v>
      </c>
      <c r="AA6968">
        <v>0.98559249999999998</v>
      </c>
      <c r="AB6968">
        <v>38</v>
      </c>
      <c r="AC6968">
        <v>7.5335000000000001</v>
      </c>
      <c r="AD6968">
        <v>-1.02966581</v>
      </c>
      <c r="AE6968">
        <v>47.45091</v>
      </c>
      <c r="AF6968">
        <v>8.1222716828893198</v>
      </c>
      <c r="AG6968">
        <v>-1.02966581</v>
      </c>
      <c r="AH6968">
        <v>47.331302764498503</v>
      </c>
      <c r="AI6968">
        <v>91.228292184851597</v>
      </c>
      <c r="AJ6968">
        <v>80.262621148403994</v>
      </c>
      <c r="AK6968">
        <v>48.034193345528102</v>
      </c>
      <c r="AL6968">
        <v>84.599078590529103</v>
      </c>
      <c r="AM6968">
        <v>87.749893932089904</v>
      </c>
      <c r="AN6968">
        <v>0.99999996212953501</v>
      </c>
    </row>
    <row r="6969" spans="1:40" x14ac:dyDescent="0.25">
      <c r="A6969" t="str">
        <f>"20190312151159792"</f>
        <v>20190312151159792</v>
      </c>
      <c r="B6969" t="str">
        <f>"1552374719787834"</f>
        <v>1552374719787834</v>
      </c>
      <c r="C6969" t="s">
        <v>40</v>
      </c>
      <c r="D6969">
        <v>5.2365779999999997</v>
      </c>
      <c r="E6969">
        <v>0.54715839999999905</v>
      </c>
      <c r="F6969" t="s">
        <v>42</v>
      </c>
      <c r="G6969">
        <v>-178.636</v>
      </c>
      <c r="H6969">
        <v>7.9985639999999997E-2</v>
      </c>
      <c r="I6969">
        <v>70.411190000000005</v>
      </c>
      <c r="J6969">
        <v>-186.39400000000001</v>
      </c>
      <c r="K6969">
        <v>1.1096569999999999</v>
      </c>
      <c r="L6969">
        <v>20.188140000000001</v>
      </c>
      <c r="M6969">
        <v>-1.249888E-2</v>
      </c>
      <c r="N6969">
        <v>0</v>
      </c>
      <c r="O6969">
        <v>0.99987320000000002</v>
      </c>
      <c r="P6969">
        <v>2.6342399999999998E-2</v>
      </c>
      <c r="Q6969">
        <v>8.4701230000000002E-2</v>
      </c>
      <c r="R6969">
        <v>0.99605809999999995</v>
      </c>
      <c r="S6969">
        <v>0.46069339999999998</v>
      </c>
      <c r="T6969">
        <v>-6.1178799999999998E-2</v>
      </c>
      <c r="U6969">
        <v>3.0046390000000001</v>
      </c>
      <c r="V6969">
        <v>3.8794040000000002E-2</v>
      </c>
      <c r="W6969">
        <v>9.4519279999999997E-2</v>
      </c>
      <c r="X6969">
        <v>0.99476690000000001</v>
      </c>
      <c r="Y6969">
        <v>0.16386879999999901</v>
      </c>
      <c r="Z6969">
        <v>-2.0099849999999999E-2</v>
      </c>
      <c r="AA6969">
        <v>0.98627730000000002</v>
      </c>
      <c r="AB6969">
        <v>38</v>
      </c>
      <c r="AC6969">
        <v>7.7580000000000098</v>
      </c>
      <c r="AD6969">
        <v>-1.02967135999999</v>
      </c>
      <c r="AE6969">
        <v>50.223050000000001</v>
      </c>
      <c r="AF6969">
        <v>8.3817153822475898</v>
      </c>
      <c r="AG6969">
        <v>-1.02967135999999</v>
      </c>
      <c r="AH6969">
        <v>50.101587014738101</v>
      </c>
      <c r="AI6969">
        <v>91.161225097681395</v>
      </c>
      <c r="AJ6969">
        <v>80.502686460866101</v>
      </c>
      <c r="AK6969">
        <v>50.808290635033003</v>
      </c>
      <c r="AL6969">
        <v>84.576348070236705</v>
      </c>
      <c r="AM6969">
        <v>87.766703967090606</v>
      </c>
      <c r="AN6969">
        <v>1.0000000285834201</v>
      </c>
    </row>
    <row r="6970" spans="1:40" x14ac:dyDescent="0.25">
      <c r="A6970" t="str">
        <f>"20190312151159814"</f>
        <v>20190312151159814</v>
      </c>
      <c r="B6970" t="str">
        <f>"1552374719808330"</f>
        <v>1552374719808330</v>
      </c>
      <c r="C6970" t="s">
        <v>40</v>
      </c>
      <c r="D6970">
        <v>5.1832209999999996</v>
      </c>
      <c r="E6970">
        <v>0.54700680000000002</v>
      </c>
      <c r="F6970" t="s">
        <v>42</v>
      </c>
      <c r="G6970">
        <v>-179.75819999999999</v>
      </c>
      <c r="H6970">
        <v>7.9986630000000003E-2</v>
      </c>
      <c r="I6970">
        <v>63.94764</v>
      </c>
      <c r="J6970">
        <v>-186.39879999999999</v>
      </c>
      <c r="K6970">
        <v>1.1096649999999999</v>
      </c>
      <c r="L6970">
        <v>20.56671</v>
      </c>
      <c r="M6970">
        <v>-1.2499329999999999E-2</v>
      </c>
      <c r="N6970">
        <v>0</v>
      </c>
      <c r="O6970">
        <v>0.99987309999999996</v>
      </c>
      <c r="P6970">
        <v>2.5950540000000001E-2</v>
      </c>
      <c r="Q6970">
        <v>8.5308610000000007E-2</v>
      </c>
      <c r="R6970">
        <v>0.99601660000000003</v>
      </c>
      <c r="S6970">
        <v>0.45581050000000001</v>
      </c>
      <c r="T6970">
        <v>-7.0727830000000005E-2</v>
      </c>
      <c r="U6970">
        <v>3.0058289999999999</v>
      </c>
      <c r="V6970">
        <v>3.8402169999999999E-2</v>
      </c>
      <c r="W6970">
        <v>9.5134949999999996E-2</v>
      </c>
      <c r="X6970">
        <v>0.99472340000000004</v>
      </c>
      <c r="Y6970">
        <v>0.16223470000000001</v>
      </c>
      <c r="Z6970">
        <v>-2.3232409999999998E-2</v>
      </c>
      <c r="AA6970">
        <v>0.98647870000000004</v>
      </c>
      <c r="AB6970">
        <v>38</v>
      </c>
      <c r="AC6970">
        <v>6.6406000000000001</v>
      </c>
      <c r="AD6970">
        <v>-1.0296783699999901</v>
      </c>
      <c r="AE6970">
        <v>43.380929999999999</v>
      </c>
      <c r="AF6970">
        <v>7.1783885945425796</v>
      </c>
      <c r="AG6970">
        <v>-1.0296783699999901</v>
      </c>
      <c r="AH6970">
        <v>43.270713742356101</v>
      </c>
      <c r="AI6970">
        <v>91.344791727580997</v>
      </c>
      <c r="AJ6970">
        <v>80.580709785316301</v>
      </c>
      <c r="AK6970">
        <v>43.874185669170402</v>
      </c>
      <c r="AL6970">
        <v>84.540913019296795</v>
      </c>
      <c r="AM6970">
        <v>87.789144066313497</v>
      </c>
      <c r="AN6970">
        <v>1.0000000139398799</v>
      </c>
    </row>
    <row r="6971" spans="1:40" x14ac:dyDescent="0.25">
      <c r="A6971" t="str">
        <f>"20190312151159837"</f>
        <v>20190312151159837</v>
      </c>
      <c r="B6971" t="str">
        <f>"1552374719827849"</f>
        <v>1552374719827849</v>
      </c>
      <c r="C6971" t="s">
        <v>40</v>
      </c>
      <c r="D6971">
        <v>5.2271390000000002</v>
      </c>
      <c r="E6971">
        <v>0.5076851</v>
      </c>
      <c r="F6971" t="s">
        <v>42</v>
      </c>
      <c r="G6971">
        <v>-179.9427</v>
      </c>
      <c r="H6971">
        <v>6.4995510000000006E-2</v>
      </c>
      <c r="I6971">
        <v>63.367489999999997</v>
      </c>
      <c r="J6971">
        <v>-186.40369999999999</v>
      </c>
      <c r="K6971">
        <v>1.1096629999999901</v>
      </c>
      <c r="L6971">
        <v>20.964870000000001</v>
      </c>
      <c r="M6971">
        <v>-1.249981E-2</v>
      </c>
      <c r="N6971">
        <v>0</v>
      </c>
      <c r="O6971">
        <v>0.99987300000000001</v>
      </c>
      <c r="P6971">
        <v>2.6010289999999998E-2</v>
      </c>
      <c r="Q6971">
        <v>8.634087E-2</v>
      </c>
      <c r="R6971">
        <v>0.99592610000000004</v>
      </c>
      <c r="S6971">
        <v>0.45349119999999998</v>
      </c>
      <c r="T6971">
        <v>-7.3381070000000007E-2</v>
      </c>
      <c r="U6971">
        <v>3.0064700000000002</v>
      </c>
      <c r="V6971">
        <v>3.8461309999999999E-2</v>
      </c>
      <c r="W6971">
        <v>9.6173969999999998E-2</v>
      </c>
      <c r="X6971">
        <v>0.99462119999999998</v>
      </c>
      <c r="Y6971">
        <v>0.16145689999999999</v>
      </c>
      <c r="Z6971">
        <v>-2.4101290000000001E-2</v>
      </c>
      <c r="AA6971">
        <v>0.98658539999999995</v>
      </c>
      <c r="AB6971">
        <v>38</v>
      </c>
      <c r="AC6971">
        <v>6.4609999999999799</v>
      </c>
      <c r="AD6971">
        <v>-1.0446674899999999</v>
      </c>
      <c r="AE6971">
        <v>42.402619999999999</v>
      </c>
      <c r="AF6971">
        <v>6.9864014284064497</v>
      </c>
      <c r="AG6971">
        <v>-1.0446674899999999</v>
      </c>
      <c r="AH6971">
        <v>42.293453148448897</v>
      </c>
      <c r="AI6971">
        <v>91.3960328876028</v>
      </c>
      <c r="AJ6971">
        <v>80.620088890529303</v>
      </c>
      <c r="AK6971">
        <v>42.879334350051998</v>
      </c>
      <c r="AL6971">
        <v>84.4811073469197</v>
      </c>
      <c r="AM6971">
        <v>87.785515402334198</v>
      </c>
      <c r="AN6971">
        <v>1.0000000181809501</v>
      </c>
    </row>
    <row r="6972" spans="1:40" x14ac:dyDescent="0.25">
      <c r="A6972" t="str">
        <f>"20190312151159862"</f>
        <v>20190312151159862</v>
      </c>
      <c r="B6972" t="str">
        <f>"1552374719858105"</f>
        <v>1552374719858105</v>
      </c>
      <c r="C6972" t="s">
        <v>40</v>
      </c>
      <c r="D6972">
        <v>5.3287940000000003</v>
      </c>
      <c r="E6972">
        <v>0.49723909999999999</v>
      </c>
      <c r="F6972" t="s">
        <v>42</v>
      </c>
      <c r="G6972">
        <v>-185.36500000000001</v>
      </c>
      <c r="H6972" s="1">
        <v>-2.510417E-6</v>
      </c>
      <c r="I6972">
        <v>43.401040000000002</v>
      </c>
      <c r="J6972">
        <v>-186.40870000000001</v>
      </c>
      <c r="K6972">
        <v>1.1096729999999999</v>
      </c>
      <c r="L6972">
        <v>21.366669999999999</v>
      </c>
      <c r="M6972">
        <v>-1.2500310000000001E-2</v>
      </c>
      <c r="N6972">
        <v>0</v>
      </c>
      <c r="O6972">
        <v>0.99987289999999995</v>
      </c>
      <c r="P6972">
        <v>2.609966E-2</v>
      </c>
      <c r="Q6972">
        <v>8.7309079999999997E-2</v>
      </c>
      <c r="R6972">
        <v>0.99583929999999998</v>
      </c>
      <c r="S6972">
        <v>0.13989260000000001</v>
      </c>
      <c r="T6972">
        <v>-0.14944350000000001</v>
      </c>
      <c r="U6972">
        <v>3.021576</v>
      </c>
      <c r="V6972">
        <v>3.8550130000000002E-2</v>
      </c>
      <c r="W6972">
        <v>9.7149269999999996E-2</v>
      </c>
      <c r="X6972">
        <v>0.99452289999999999</v>
      </c>
      <c r="Y6972">
        <v>5.8675980000000003E-2</v>
      </c>
      <c r="Z6972">
        <v>-4.9323720000000001E-2</v>
      </c>
      <c r="AA6972">
        <v>0.99705779999999999</v>
      </c>
      <c r="AB6972">
        <v>38</v>
      </c>
      <c r="AC6972">
        <v>1.0437000000000001</v>
      </c>
      <c r="AD6972">
        <v>-1.109675510417</v>
      </c>
      <c r="AE6972">
        <v>22.034369999999999</v>
      </c>
      <c r="AF6972">
        <v>1.3157388264991401</v>
      </c>
      <c r="AG6972">
        <v>-1.109675510417</v>
      </c>
      <c r="AH6972">
        <v>21.9640196609366</v>
      </c>
      <c r="AI6972">
        <v>92.887095695401598</v>
      </c>
      <c r="AJ6972">
        <v>86.571834236712803</v>
      </c>
      <c r="AK6972">
        <v>22.031357381332299</v>
      </c>
      <c r="AL6972">
        <v>84.424963464702103</v>
      </c>
      <c r="AM6972">
        <v>87.7801873592432</v>
      </c>
      <c r="AN6972">
        <v>0.99999994590447805</v>
      </c>
    </row>
    <row r="6973" spans="1:40" x14ac:dyDescent="0.25">
      <c r="A6973" t="str">
        <f>"20190312151159885"</f>
        <v>20190312151159885</v>
      </c>
      <c r="B6973" t="str">
        <f>"1552374719878601"</f>
        <v>1552374719878601</v>
      </c>
      <c r="C6973" t="s">
        <v>40</v>
      </c>
      <c r="D6973">
        <v>5.2122229999999998</v>
      </c>
      <c r="E6973">
        <v>0.49504910000000002</v>
      </c>
      <c r="F6973" t="s">
        <v>41</v>
      </c>
      <c r="G6973">
        <v>-186.3896</v>
      </c>
      <c r="H6973">
        <v>1.0375160000000001</v>
      </c>
      <c r="I6973">
        <v>22.376000000000001</v>
      </c>
      <c r="J6973">
        <v>-186.41370000000001</v>
      </c>
      <c r="K6973">
        <v>1.1096839999999999</v>
      </c>
      <c r="L6973">
        <v>21.760470000000002</v>
      </c>
      <c r="M6973">
        <v>-1.2500829999999999E-2</v>
      </c>
      <c r="N6973">
        <v>0</v>
      </c>
      <c r="O6973">
        <v>0.99987289999999995</v>
      </c>
      <c r="P6973">
        <v>2.6492749999999999E-2</v>
      </c>
      <c r="Q6973">
        <v>8.8755700000000007E-2</v>
      </c>
      <c r="R6973">
        <v>0.99570099999999995</v>
      </c>
      <c r="S6973">
        <v>5.6961060000000001E-2</v>
      </c>
      <c r="T6973">
        <v>-0.21661910000000001</v>
      </c>
      <c r="U6973">
        <v>3.0300289999999999</v>
      </c>
      <c r="V6973">
        <v>3.8942030000000002E-2</v>
      </c>
      <c r="W6973">
        <v>9.8602339999999997E-2</v>
      </c>
      <c r="X6973">
        <v>0.99436469999999999</v>
      </c>
      <c r="Y6973">
        <v>3.1245470000000001E-2</v>
      </c>
      <c r="Z6973">
        <v>-7.1276740000000005E-2</v>
      </c>
      <c r="AA6973">
        <v>0.99696709999999999</v>
      </c>
      <c r="AB6973">
        <v>38</v>
      </c>
      <c r="AC6973">
        <v>2.4100000000004201E-2</v>
      </c>
      <c r="AD6973">
        <v>-7.2168000000000204E-2</v>
      </c>
      <c r="AE6973">
        <v>0.61552999999999602</v>
      </c>
      <c r="AF6973">
        <v>3.1362663576021001E-2</v>
      </c>
      <c r="AG6973">
        <v>-7.2168000000000204E-2</v>
      </c>
      <c r="AH6973">
        <v>0.60685132479724702</v>
      </c>
      <c r="AI6973">
        <v>96.772925286427494</v>
      </c>
      <c r="AJ6973">
        <v>87.041530756669204</v>
      </c>
      <c r="AK6973">
        <v>0.61193166881503702</v>
      </c>
      <c r="AL6973">
        <v>84.341307485928496</v>
      </c>
      <c r="AM6973">
        <v>87.757287313007097</v>
      </c>
      <c r="AN6973">
        <v>1.00000002988004</v>
      </c>
    </row>
    <row r="6974" spans="1:40" x14ac:dyDescent="0.25">
      <c r="A6974" t="str">
        <f>"20190312151159904"</f>
        <v>20190312151159904</v>
      </c>
      <c r="B6974" t="str">
        <f>"1552374719898122"</f>
        <v>1552374719898122</v>
      </c>
      <c r="C6974" t="s">
        <v>40</v>
      </c>
      <c r="D6974">
        <v>5.2131109999999996</v>
      </c>
      <c r="E6974">
        <v>0.49381380000000002</v>
      </c>
      <c r="F6974" t="s">
        <v>41</v>
      </c>
      <c r="G6974">
        <v>-186.4008</v>
      </c>
      <c r="H6974">
        <v>1.0434680000000001</v>
      </c>
      <c r="I6974">
        <v>22.721070000000001</v>
      </c>
      <c r="J6974">
        <v>-186.4179</v>
      </c>
      <c r="K6974">
        <v>1.109686</v>
      </c>
      <c r="L6974">
        <v>22.100159999999999</v>
      </c>
      <c r="M6974">
        <v>-1.250125E-2</v>
      </c>
      <c r="N6974">
        <v>0</v>
      </c>
      <c r="O6974">
        <v>0.99987280000000001</v>
      </c>
      <c r="P6974">
        <v>2.6877439999999999E-2</v>
      </c>
      <c r="Q6974">
        <v>8.9692659999999994E-2</v>
      </c>
      <c r="R6974">
        <v>0.99560680000000001</v>
      </c>
      <c r="S6974">
        <v>4.0237429999999998E-2</v>
      </c>
      <c r="T6974">
        <v>-0.20890020000000001</v>
      </c>
      <c r="U6974">
        <v>3.0304869999999999</v>
      </c>
      <c r="V6974">
        <v>3.9325970000000002E-2</v>
      </c>
      <c r="W6974">
        <v>9.9544670000000002E-2</v>
      </c>
      <c r="X6974">
        <v>0.99425569999999996</v>
      </c>
      <c r="Y6974">
        <v>2.5744690000000001E-2</v>
      </c>
      <c r="Z6974">
        <v>-6.8747210000000003E-2</v>
      </c>
      <c r="AA6974">
        <v>0.99730189999999996</v>
      </c>
      <c r="AB6974">
        <v>38</v>
      </c>
      <c r="AC6974">
        <v>1.7099999999999199E-2</v>
      </c>
      <c r="AD6974">
        <v>-6.6217999999999805E-2</v>
      </c>
      <c r="AE6974">
        <v>0.62091000000000196</v>
      </c>
      <c r="AF6974">
        <v>2.4581825583070701E-2</v>
      </c>
      <c r="AG6974">
        <v>-6.6217999999999805E-2</v>
      </c>
      <c r="AH6974">
        <v>0.61367335812804102</v>
      </c>
      <c r="AI6974">
        <v>96.153735835446497</v>
      </c>
      <c r="AJ6974">
        <v>87.706137536873499</v>
      </c>
      <c r="AK6974">
        <v>0.61772492271976798</v>
      </c>
      <c r="AL6974">
        <v>84.2870490382372</v>
      </c>
      <c r="AM6974">
        <v>87.734950684557305</v>
      </c>
      <c r="AN6974">
        <v>1.0000000351121601</v>
      </c>
    </row>
    <row r="6975" spans="1:40" x14ac:dyDescent="0.25">
      <c r="A6975" t="str">
        <f>"20190312151159927"</f>
        <v>20190312151159927</v>
      </c>
      <c r="B6975" t="str">
        <f>"1552374719918618"</f>
        <v>1552374719918618</v>
      </c>
      <c r="C6975" t="s">
        <v>40</v>
      </c>
      <c r="D6975">
        <v>5.2262339999999998</v>
      </c>
      <c r="E6975">
        <v>0.49341810000000003</v>
      </c>
      <c r="F6975" t="s">
        <v>41</v>
      </c>
      <c r="G6975">
        <v>-186.40770000000001</v>
      </c>
      <c r="H6975">
        <v>1.045029</v>
      </c>
      <c r="I6975">
        <v>23.064229999999998</v>
      </c>
      <c r="J6975">
        <v>-186.42269999999999</v>
      </c>
      <c r="K6975">
        <v>1.109691</v>
      </c>
      <c r="L6975">
        <v>22.484439999999999</v>
      </c>
      <c r="M6975">
        <v>-1.2501709999999999E-2</v>
      </c>
      <c r="N6975">
        <v>0</v>
      </c>
      <c r="O6975">
        <v>0.99987269999999995</v>
      </c>
      <c r="P6975">
        <v>2.67843E-2</v>
      </c>
      <c r="Q6975">
        <v>9.1107300000000002E-2</v>
      </c>
      <c r="R6975">
        <v>0.99548080000000005</v>
      </c>
      <c r="S6975">
        <v>3.1738280000000001E-2</v>
      </c>
      <c r="T6975">
        <v>-0.20325760000000001</v>
      </c>
      <c r="U6975">
        <v>3.0307010000000001</v>
      </c>
      <c r="V6975">
        <v>3.9231759999999997E-2</v>
      </c>
      <c r="W6975">
        <v>0.1009651</v>
      </c>
      <c r="X6975">
        <v>0.99411609999999995</v>
      </c>
      <c r="Y6975">
        <v>2.294904E-2</v>
      </c>
      <c r="Z6975">
        <v>-6.6897390000000001E-2</v>
      </c>
      <c r="AA6975">
        <v>0.99749589999999999</v>
      </c>
      <c r="AB6975">
        <v>38</v>
      </c>
      <c r="AC6975">
        <v>1.49999999999863E-2</v>
      </c>
      <c r="AD6975">
        <v>-6.4661999999999997E-2</v>
      </c>
      <c r="AE6975">
        <v>0.57978999999999903</v>
      </c>
      <c r="AF6975">
        <v>2.1974411477786799E-2</v>
      </c>
      <c r="AG6975">
        <v>-6.4661999999999997E-2</v>
      </c>
      <c r="AH6975">
        <v>0.57244177926823603</v>
      </c>
      <c r="AI6975">
        <v>96.440007642248901</v>
      </c>
      <c r="AJ6975">
        <v>87.801657396738506</v>
      </c>
      <c r="AK6975">
        <v>0.57650120525075998</v>
      </c>
      <c r="AL6975">
        <v>84.205251793366202</v>
      </c>
      <c r="AM6975">
        <v>87.740054263740305</v>
      </c>
      <c r="AN6975">
        <v>0.99999995134495701</v>
      </c>
    </row>
    <row r="6976" spans="1:40" x14ac:dyDescent="0.25">
      <c r="A6976" t="str">
        <f>"20190312151159948"</f>
        <v>20190312151159948</v>
      </c>
      <c r="B6976" t="str">
        <f>"1552374719938141"</f>
        <v>1552374719938141</v>
      </c>
      <c r="C6976" t="s">
        <v>40</v>
      </c>
      <c r="D6976">
        <v>5.2690650000000003</v>
      </c>
      <c r="E6976">
        <v>0.4929712</v>
      </c>
      <c r="F6976" t="s">
        <v>41</v>
      </c>
      <c r="G6976">
        <v>-186.41399999999999</v>
      </c>
      <c r="H6976">
        <v>1.0487489999999999</v>
      </c>
      <c r="I6976">
        <v>23.40953</v>
      </c>
      <c r="J6976">
        <v>-186.42750000000001</v>
      </c>
      <c r="K6976">
        <v>1.109701</v>
      </c>
      <c r="L6976">
        <v>22.866759999999999</v>
      </c>
      <c r="M6976">
        <v>-1.250216E-2</v>
      </c>
      <c r="N6976">
        <v>0</v>
      </c>
      <c r="O6976">
        <v>0.9998726</v>
      </c>
      <c r="P6976">
        <v>2.7044060000000002E-2</v>
      </c>
      <c r="Q6976">
        <v>9.2270900000000003E-2</v>
      </c>
      <c r="R6976">
        <v>0.99536659999999999</v>
      </c>
      <c r="S6976">
        <v>2.8564450000000002E-2</v>
      </c>
      <c r="T6976">
        <v>-0.19968060000000001</v>
      </c>
      <c r="U6976">
        <v>3.0311279999999998</v>
      </c>
      <c r="V6976">
        <v>3.9490579999999997E-2</v>
      </c>
      <c r="W6976">
        <v>0.1021345</v>
      </c>
      <c r="X6976">
        <v>0.99398640000000005</v>
      </c>
      <c r="Y6976">
        <v>2.1904389999999999E-2</v>
      </c>
      <c r="Z6976">
        <v>-6.5717129999999999E-2</v>
      </c>
      <c r="AA6976">
        <v>0.99759779999999998</v>
      </c>
      <c r="AB6976">
        <v>38</v>
      </c>
      <c r="AC6976">
        <v>1.3499999999993399E-2</v>
      </c>
      <c r="AD6976">
        <v>-6.0952000000000103E-2</v>
      </c>
      <c r="AE6976">
        <v>0.54276999999999997</v>
      </c>
      <c r="AF6976">
        <v>2.0032604425194101E-2</v>
      </c>
      <c r="AG6976">
        <v>-6.0952000000000103E-2</v>
      </c>
      <c r="AH6976">
        <v>0.53580599828610098</v>
      </c>
      <c r="AI6976">
        <v>96.485438310331304</v>
      </c>
      <c r="AJ6976">
        <v>87.858834486236006</v>
      </c>
      <c r="AK6976">
        <v>0.53963368996331396</v>
      </c>
      <c r="AL6976">
        <v>84.137902000283702</v>
      </c>
      <c r="AM6976">
        <v>87.7248640286724</v>
      </c>
      <c r="AN6976">
        <v>0.999999962691972</v>
      </c>
    </row>
    <row r="6977" spans="1:40" x14ac:dyDescent="0.25">
      <c r="A6977" t="str">
        <f>"20190312151159971"</f>
        <v>20190312151159971</v>
      </c>
      <c r="B6977" t="str">
        <f>"1552374719968394"</f>
        <v>1552374719968394</v>
      </c>
      <c r="C6977" t="s">
        <v>40</v>
      </c>
      <c r="D6977">
        <v>5.3023899999999999</v>
      </c>
      <c r="E6977">
        <v>0.49249589999999999</v>
      </c>
      <c r="F6977" t="s">
        <v>42</v>
      </c>
      <c r="G6977">
        <v>-186.28290000000001</v>
      </c>
      <c r="H6977" s="1">
        <v>-1.0531290000000001E-6</v>
      </c>
      <c r="I6977">
        <v>39.836410000000001</v>
      </c>
      <c r="J6977">
        <v>-186.43209999999999</v>
      </c>
      <c r="K6977">
        <v>1.1097049999999999</v>
      </c>
      <c r="L6977">
        <v>23.23874</v>
      </c>
      <c r="M6977">
        <v>-1.2502610000000001E-2</v>
      </c>
      <c r="N6977">
        <v>0</v>
      </c>
      <c r="O6977">
        <v>0.9998726</v>
      </c>
      <c r="P6977">
        <v>2.7323199999999999E-2</v>
      </c>
      <c r="Q6977">
        <v>9.3465590000000001E-2</v>
      </c>
      <c r="R6977">
        <v>0.99524749999999995</v>
      </c>
      <c r="S6977">
        <v>2.5833129999999999E-2</v>
      </c>
      <c r="T6977">
        <v>-0.1982495</v>
      </c>
      <c r="U6977">
        <v>3.031647</v>
      </c>
      <c r="V6977">
        <v>3.9768709999999999E-2</v>
      </c>
      <c r="W6977">
        <v>0.103335</v>
      </c>
      <c r="X6977">
        <v>0.99385120000000005</v>
      </c>
      <c r="Y6977">
        <v>2.1004800000000001E-2</v>
      </c>
      <c r="Z6977">
        <v>-6.5237920000000005E-2</v>
      </c>
      <c r="AA6977">
        <v>0.99764870000000005</v>
      </c>
      <c r="AB6977">
        <v>38</v>
      </c>
      <c r="AC6977">
        <v>0.14919999999997899</v>
      </c>
      <c r="AD6977">
        <v>-1.1097060531289999</v>
      </c>
      <c r="AE6977">
        <v>16.597670000000001</v>
      </c>
      <c r="AF6977">
        <v>0.35512541574657203</v>
      </c>
      <c r="AG6977">
        <v>-1.1097060531289999</v>
      </c>
      <c r="AH6977">
        <v>16.5206633041307</v>
      </c>
      <c r="AI6977">
        <v>93.841945503696707</v>
      </c>
      <c r="AJ6977">
        <v>88.768569150831595</v>
      </c>
      <c r="AK6977">
        <v>16.561699115541</v>
      </c>
      <c r="AL6977">
        <v>84.068752391187502</v>
      </c>
      <c r="AM6977">
        <v>87.708546040023506</v>
      </c>
      <c r="AN6977">
        <v>0.99999994013075</v>
      </c>
    </row>
    <row r="6978" spans="1:40" x14ac:dyDescent="0.25">
      <c r="A6978" t="str">
        <f>"20190312151159994"</f>
        <v>20190312151159994</v>
      </c>
      <c r="B6978" t="str">
        <f>"1552374719987914"</f>
        <v>1552374719987914</v>
      </c>
      <c r="C6978" t="s">
        <v>40</v>
      </c>
      <c r="D6978">
        <v>5.2330310000000004</v>
      </c>
      <c r="E6978">
        <v>0.49230190000000001</v>
      </c>
      <c r="F6978" t="s">
        <v>42</v>
      </c>
      <c r="G6978">
        <v>-186.30439999999999</v>
      </c>
      <c r="H6978" s="1">
        <v>-1.2021169999999999E-6</v>
      </c>
      <c r="I6978">
        <v>40.291060000000002</v>
      </c>
      <c r="J6978">
        <v>-186.43729999999999</v>
      </c>
      <c r="K6978">
        <v>1.109707</v>
      </c>
      <c r="L6978">
        <v>23.652280000000001</v>
      </c>
      <c r="M6978">
        <v>-1.2503129999999999E-2</v>
      </c>
      <c r="N6978">
        <v>0</v>
      </c>
      <c r="O6978">
        <v>0.99987250000000005</v>
      </c>
      <c r="P6978">
        <v>2.7588990000000001E-2</v>
      </c>
      <c r="Q6978">
        <v>9.4313679999999997E-2</v>
      </c>
      <c r="R6978">
        <v>0.99516020000000005</v>
      </c>
      <c r="S6978">
        <v>2.2705079999999999E-2</v>
      </c>
      <c r="T6978">
        <v>-0.1973269</v>
      </c>
      <c r="U6978">
        <v>3.0322269999999998</v>
      </c>
      <c r="V6978">
        <v>4.0033939999999997E-2</v>
      </c>
      <c r="W6978">
        <v>0.10418959999999999</v>
      </c>
      <c r="X6978">
        <v>0.99375139999999995</v>
      </c>
      <c r="Y6978">
        <v>1.9974720000000001E-2</v>
      </c>
      <c r="Z6978">
        <v>-6.4924209999999996E-2</v>
      </c>
      <c r="AA6978">
        <v>0.99769030000000003</v>
      </c>
      <c r="AB6978">
        <v>38</v>
      </c>
      <c r="AC6978">
        <v>0.13290000000000601</v>
      </c>
      <c r="AD6978">
        <v>-1.1097082021169999</v>
      </c>
      <c r="AE6978">
        <v>16.638779999999901</v>
      </c>
      <c r="AF6978">
        <v>0.33942699347501998</v>
      </c>
      <c r="AG6978">
        <v>-1.1097082021169999</v>
      </c>
      <c r="AH6978">
        <v>16.5621520927087</v>
      </c>
      <c r="AI6978">
        <v>93.832437728288895</v>
      </c>
      <c r="AJ6978">
        <v>88.825936870340996</v>
      </c>
      <c r="AK6978">
        <v>16.602757148129399</v>
      </c>
      <c r="AL6978">
        <v>84.019522133878993</v>
      </c>
      <c r="AM6978">
        <v>87.693048660764802</v>
      </c>
      <c r="AN6978">
        <v>1.0000000170510199</v>
      </c>
    </row>
    <row r="6979" spans="1:40" x14ac:dyDescent="0.25">
      <c r="A6979" t="str">
        <f>"20190312151200017"</f>
        <v>20190312151200017</v>
      </c>
      <c r="B6979" t="str">
        <f>"1552374720008410"</f>
        <v>1552374720008410</v>
      </c>
      <c r="C6979" t="s">
        <v>40</v>
      </c>
      <c r="D6979">
        <v>5.2077159999999996</v>
      </c>
      <c r="E6979">
        <v>0.49220350000000002</v>
      </c>
      <c r="F6979" t="s">
        <v>42</v>
      </c>
      <c r="G6979">
        <v>-186.31739999999999</v>
      </c>
      <c r="H6979" s="1">
        <v>-1.180847E-6</v>
      </c>
      <c r="I6979">
        <v>40.238700000000001</v>
      </c>
      <c r="J6979">
        <v>-186.4419</v>
      </c>
      <c r="K6979">
        <v>1.1097060000000001</v>
      </c>
      <c r="L6979">
        <v>24.020810000000001</v>
      </c>
      <c r="M6979">
        <v>-1.250359E-2</v>
      </c>
      <c r="N6979">
        <v>0</v>
      </c>
      <c r="O6979">
        <v>0.99987239999999999</v>
      </c>
      <c r="P6979">
        <v>2.7925999999999999E-2</v>
      </c>
      <c r="Q6979">
        <v>9.4613429999999998E-2</v>
      </c>
      <c r="R6979">
        <v>0.99512230000000002</v>
      </c>
      <c r="S6979">
        <v>2.1926879999999999E-2</v>
      </c>
      <c r="T6979">
        <v>-0.20293530000000001</v>
      </c>
      <c r="U6979">
        <v>3.0332029999999999</v>
      </c>
      <c r="V6979">
        <v>4.0370919999999998E-2</v>
      </c>
      <c r="W6979">
        <v>0.10449550000000001</v>
      </c>
      <c r="X6979">
        <v>0.99370559999999997</v>
      </c>
      <c r="Y6979">
        <v>1.9715960000000001E-2</v>
      </c>
      <c r="Z6979">
        <v>-6.6740209999999994E-2</v>
      </c>
      <c r="AA6979">
        <v>0.99757560000000001</v>
      </c>
      <c r="AB6979">
        <v>38</v>
      </c>
      <c r="AC6979">
        <v>0.124500000000011</v>
      </c>
      <c r="AD6979">
        <v>-1.10970718084699</v>
      </c>
      <c r="AE6979">
        <v>16.217890000000001</v>
      </c>
      <c r="AF6979">
        <v>0.32575704340540501</v>
      </c>
      <c r="AG6979">
        <v>-1.10970718084699</v>
      </c>
      <c r="AH6979">
        <v>16.1395051676188</v>
      </c>
      <c r="AI6979">
        <v>93.932508416202495</v>
      </c>
      <c r="AJ6979">
        <v>88.843708676294298</v>
      </c>
      <c r="AK6979">
        <v>16.180889800445001</v>
      </c>
      <c r="AL6979">
        <v>84.001898875972103</v>
      </c>
      <c r="AM6979">
        <v>87.673544367593806</v>
      </c>
      <c r="AN6979">
        <v>0.999999970086627</v>
      </c>
    </row>
    <row r="6980" spans="1:40" x14ac:dyDescent="0.25">
      <c r="A6980" t="str">
        <f>"20190312151200040"</f>
        <v>20190312151200040</v>
      </c>
      <c r="B6980" t="str">
        <f>"1552374720027929"</f>
        <v>1552374720027929</v>
      </c>
      <c r="C6980" t="s">
        <v>40</v>
      </c>
      <c r="D6980">
        <v>5.1774440000000004</v>
      </c>
      <c r="E6980">
        <v>0.49220350000000002</v>
      </c>
      <c r="F6980" t="s">
        <v>42</v>
      </c>
      <c r="G6980">
        <v>-186.32429999999999</v>
      </c>
      <c r="H6980" s="1">
        <v>-1.1260680000000001E-6</v>
      </c>
      <c r="I6980">
        <v>40.083159999999999</v>
      </c>
      <c r="J6980">
        <v>-186.4469</v>
      </c>
      <c r="K6980">
        <v>1.1097079999999999</v>
      </c>
      <c r="L6980">
        <v>24.425689999999999</v>
      </c>
      <c r="M6980">
        <v>-1.2504100000000001E-2</v>
      </c>
      <c r="N6980">
        <v>0</v>
      </c>
      <c r="O6980">
        <v>0.99987230000000005</v>
      </c>
      <c r="P6980">
        <v>2.8021790000000001E-2</v>
      </c>
      <c r="Q6980">
        <v>9.4782759999999994E-2</v>
      </c>
      <c r="R6980">
        <v>0.99510350000000003</v>
      </c>
      <c r="S6980">
        <v>2.2201539999999999E-2</v>
      </c>
      <c r="T6980">
        <v>-0.20961109999999999</v>
      </c>
      <c r="U6980">
        <v>3.0339969999999998</v>
      </c>
      <c r="V6980">
        <v>4.0466990000000001E-2</v>
      </c>
      <c r="W6980">
        <v>0.1046719</v>
      </c>
      <c r="X6980">
        <v>0.99368319999999999</v>
      </c>
      <c r="Y6980">
        <v>1.9803810000000002E-2</v>
      </c>
      <c r="Z6980">
        <v>-6.8907399999999994E-2</v>
      </c>
      <c r="AA6980">
        <v>0.99742649999999999</v>
      </c>
      <c r="AB6980">
        <v>38</v>
      </c>
      <c r="AC6980">
        <v>0.122600000000005</v>
      </c>
      <c r="AD6980">
        <v>-1.1097091260680001</v>
      </c>
      <c r="AE6980">
        <v>15.65747</v>
      </c>
      <c r="AF6980">
        <v>0.31679148998225898</v>
      </c>
      <c r="AG6980">
        <v>-1.1097091260680001</v>
      </c>
      <c r="AH6980">
        <v>15.5764747194509</v>
      </c>
      <c r="AI6980">
        <v>94.074177760357202</v>
      </c>
      <c r="AJ6980">
        <v>88.834889552682299</v>
      </c>
      <c r="AK6980">
        <v>15.619166939318401</v>
      </c>
      <c r="AL6980">
        <v>83.991736608125194</v>
      </c>
      <c r="AM6980">
        <v>87.667961734492295</v>
      </c>
      <c r="AN6980">
        <v>1.0000000429457501</v>
      </c>
    </row>
    <row r="6981" spans="1:40" x14ac:dyDescent="0.25">
      <c r="A6981" t="str">
        <f>"20190312151200062"</f>
        <v>20190312151200062</v>
      </c>
      <c r="B6981" t="str">
        <f>"1552374720058186"</f>
        <v>1552374720058186</v>
      </c>
      <c r="C6981" t="s">
        <v>40</v>
      </c>
      <c r="D6981">
        <v>5.230575</v>
      </c>
      <c r="E6981">
        <v>0.49398160000000002</v>
      </c>
      <c r="F6981" t="s">
        <v>41</v>
      </c>
      <c r="G6981">
        <v>-186.4393</v>
      </c>
      <c r="H6981">
        <v>1.038492</v>
      </c>
      <c r="I6981">
        <v>25.459029999999998</v>
      </c>
      <c r="J6981">
        <v>-186.45150000000001</v>
      </c>
      <c r="K6981">
        <v>1.109712</v>
      </c>
      <c r="L6981">
        <v>24.791899999999998</v>
      </c>
      <c r="M6981">
        <v>-1.250457E-2</v>
      </c>
      <c r="N6981">
        <v>0</v>
      </c>
      <c r="O6981">
        <v>0.99987230000000005</v>
      </c>
      <c r="P6981">
        <v>2.8298960000000001E-2</v>
      </c>
      <c r="Q6981">
        <v>9.4286519999999999E-2</v>
      </c>
      <c r="R6981">
        <v>0.99514279999999999</v>
      </c>
      <c r="S6981">
        <v>2.261353E-2</v>
      </c>
      <c r="T6981">
        <v>-0.2090987</v>
      </c>
      <c r="U6981">
        <v>3.034027</v>
      </c>
      <c r="V6981">
        <v>4.0745089999999998E-2</v>
      </c>
      <c r="W6981">
        <v>0.1041825</v>
      </c>
      <c r="X6981">
        <v>0.99372320000000003</v>
      </c>
      <c r="Y6981">
        <v>1.9939729999999999E-2</v>
      </c>
      <c r="Z6981">
        <v>-6.8738939999999998E-2</v>
      </c>
      <c r="AA6981">
        <v>0.99743539999999997</v>
      </c>
      <c r="AB6981">
        <v>38</v>
      </c>
      <c r="AC6981">
        <v>1.2200000000007E-2</v>
      </c>
      <c r="AD6981">
        <v>-7.1220000000000006E-2</v>
      </c>
      <c r="AE6981">
        <v>0.66713</v>
      </c>
      <c r="AF6981">
        <v>2.0310238500132902E-2</v>
      </c>
      <c r="AG6981">
        <v>-7.1220000000000006E-2</v>
      </c>
      <c r="AH6981">
        <v>0.65941258965307703</v>
      </c>
      <c r="AI6981">
        <v>96.161448512061796</v>
      </c>
      <c r="AJ6981">
        <v>88.235818988058995</v>
      </c>
      <c r="AK6981">
        <v>0.66355840555365497</v>
      </c>
      <c r="AL6981">
        <v>84.019930919167095</v>
      </c>
      <c r="AM6981">
        <v>87.652047628510601</v>
      </c>
      <c r="AN6981">
        <v>0.99999997694179799</v>
      </c>
    </row>
    <row r="6982" spans="1:40" x14ac:dyDescent="0.25">
      <c r="A6982" t="str">
        <f>"20190312151200084"</f>
        <v>20190312151200084</v>
      </c>
      <c r="B6982" t="str">
        <f>"1552374720078682"</f>
        <v>1552374720078682</v>
      </c>
      <c r="C6982" t="s">
        <v>40</v>
      </c>
      <c r="D6982">
        <v>5.1551369999999999</v>
      </c>
      <c r="E6982">
        <v>0.4939674</v>
      </c>
      <c r="F6982" t="s">
        <v>41</v>
      </c>
      <c r="G6982">
        <v>-186.4392</v>
      </c>
      <c r="H6982">
        <v>0.99603339999999996</v>
      </c>
      <c r="I6982">
        <v>25.782550000000001</v>
      </c>
      <c r="J6982">
        <v>-186.45650000000001</v>
      </c>
      <c r="K6982">
        <v>1.1097109999999999</v>
      </c>
      <c r="L6982">
        <v>25.188110000000002</v>
      </c>
      <c r="M6982">
        <v>-1.250508E-2</v>
      </c>
      <c r="N6982">
        <v>0</v>
      </c>
      <c r="O6982">
        <v>0.99987219999999999</v>
      </c>
      <c r="P6982">
        <v>2.8510299999999999E-2</v>
      </c>
      <c r="Q6982">
        <v>9.4198950000000004E-2</v>
      </c>
      <c r="R6982">
        <v>0.9951451</v>
      </c>
      <c r="S6982">
        <v>3.7490839999999998E-2</v>
      </c>
      <c r="T6982">
        <v>-0.34961510000000001</v>
      </c>
      <c r="U6982">
        <v>3.0466920000000002</v>
      </c>
      <c r="V6982">
        <v>4.0956930000000003E-2</v>
      </c>
      <c r="W6982">
        <v>0.10410229999999999</v>
      </c>
      <c r="X6982">
        <v>0.99372289999999996</v>
      </c>
      <c r="Y6982">
        <v>2.4728099999999999E-2</v>
      </c>
      <c r="Z6982">
        <v>-0.11396920000000001</v>
      </c>
      <c r="AA6982">
        <v>0.99317650000000002</v>
      </c>
      <c r="AB6982">
        <v>38</v>
      </c>
      <c r="AC6982">
        <v>1.73000000000058E-2</v>
      </c>
      <c r="AD6982">
        <v>-0.1136776</v>
      </c>
      <c r="AE6982">
        <v>0.59443999999999797</v>
      </c>
      <c r="AF6982">
        <v>2.3860671711054399E-2</v>
      </c>
      <c r="AG6982">
        <v>-0.1136776</v>
      </c>
      <c r="AH6982">
        <v>0.57323141079767204</v>
      </c>
      <c r="AI6982">
        <v>101.207345326099</v>
      </c>
      <c r="AJ6982">
        <v>87.616447717828905</v>
      </c>
      <c r="AK6982">
        <v>0.58488133729958602</v>
      </c>
      <c r="AL6982">
        <v>84.024551185084604</v>
      </c>
      <c r="AM6982">
        <v>87.639853319409696</v>
      </c>
      <c r="AN6982">
        <v>0.99999998048236205</v>
      </c>
    </row>
    <row r="6983" spans="1:40" x14ac:dyDescent="0.25">
      <c r="A6983" t="str">
        <f>"20190312151200107"</f>
        <v>20190312151200107</v>
      </c>
      <c r="B6983" t="str">
        <f>"1552374720098240"</f>
        <v>1552374720098240</v>
      </c>
      <c r="C6983" t="s">
        <v>40</v>
      </c>
      <c r="D6983">
        <v>5.2336220000000004</v>
      </c>
      <c r="E6983">
        <v>0.49405349999999998</v>
      </c>
      <c r="F6983" t="s">
        <v>41</v>
      </c>
      <c r="G6983">
        <v>-186.44470000000001</v>
      </c>
      <c r="H6983">
        <v>1.001868</v>
      </c>
      <c r="I6983">
        <v>26.129950000000001</v>
      </c>
      <c r="J6983">
        <v>-186.46129999999999</v>
      </c>
      <c r="K6983">
        <v>1.1097060000000001</v>
      </c>
      <c r="L6983">
        <v>25.57648</v>
      </c>
      <c r="M6983">
        <v>-1.2505540000000001E-2</v>
      </c>
      <c r="N6983">
        <v>0</v>
      </c>
      <c r="O6983">
        <v>0.99987210000000004</v>
      </c>
      <c r="P6983">
        <v>2.8325900000000001E-2</v>
      </c>
      <c r="Q6983">
        <v>9.3352089999999999E-2</v>
      </c>
      <c r="R6983">
        <v>0.99523010000000001</v>
      </c>
      <c r="S6983">
        <v>3.7918090000000002E-2</v>
      </c>
      <c r="T6983">
        <v>-0.34884019999999999</v>
      </c>
      <c r="U6983">
        <v>3.04657</v>
      </c>
      <c r="V6983">
        <v>4.0774070000000003E-2</v>
      </c>
      <c r="W6983">
        <v>0.1032624</v>
      </c>
      <c r="X6983">
        <v>0.99381799999999998</v>
      </c>
      <c r="Y6983">
        <v>2.4868660000000001E-2</v>
      </c>
      <c r="Z6983">
        <v>-0.11372400000000001</v>
      </c>
      <c r="AA6983">
        <v>0.99320109999999995</v>
      </c>
      <c r="AB6983">
        <v>39</v>
      </c>
      <c r="AC6983">
        <v>1.6599999999982601E-2</v>
      </c>
      <c r="AD6983">
        <v>-0.107837999999999</v>
      </c>
      <c r="AE6983">
        <v>0.55347000000000002</v>
      </c>
      <c r="AF6983">
        <v>2.2660990984068499E-2</v>
      </c>
      <c r="AG6983">
        <v>-0.107837999999999</v>
      </c>
      <c r="AH6983">
        <v>0.53300313601858196</v>
      </c>
      <c r="AI6983">
        <v>101.42772047097399</v>
      </c>
      <c r="AJ6983">
        <v>87.565497098884904</v>
      </c>
      <c r="AK6983">
        <v>0.54427465287483601</v>
      </c>
      <c r="AL6983">
        <v>84.072934392482694</v>
      </c>
      <c r="AM6983">
        <v>87.650603393652105</v>
      </c>
      <c r="AN6983">
        <v>0.99999993258106001</v>
      </c>
    </row>
    <row r="6984" spans="1:40" x14ac:dyDescent="0.25">
      <c r="A6984" t="str">
        <f>"20190312151200128"</f>
        <v>20190312151200128</v>
      </c>
      <c r="B6984" t="str">
        <f>"1552374720117760"</f>
        <v>1552374720117760</v>
      </c>
      <c r="C6984" t="s">
        <v>40</v>
      </c>
      <c r="D6984">
        <v>5.188771</v>
      </c>
      <c r="E6984">
        <v>0.49432589999999998</v>
      </c>
      <c r="F6984" t="s">
        <v>41</v>
      </c>
      <c r="G6984">
        <v>-186.45009999999999</v>
      </c>
      <c r="H6984">
        <v>1.005916</v>
      </c>
      <c r="I6984">
        <v>26.47683</v>
      </c>
      <c r="J6984">
        <v>-186.4658</v>
      </c>
      <c r="K6984">
        <v>1.1097030000000001</v>
      </c>
      <c r="L6984">
        <v>25.937470000000001</v>
      </c>
      <c r="M6984">
        <v>-1.250597E-2</v>
      </c>
      <c r="N6984">
        <v>0</v>
      </c>
      <c r="O6984">
        <v>0.99987199999999998</v>
      </c>
      <c r="P6984">
        <v>2.8551679999999999E-2</v>
      </c>
      <c r="Q6984">
        <v>9.3338669999999999E-2</v>
      </c>
      <c r="R6984">
        <v>0.99522500000000003</v>
      </c>
      <c r="S6984">
        <v>3.7551880000000003E-2</v>
      </c>
      <c r="T6984">
        <v>-0.35116960000000003</v>
      </c>
      <c r="U6984">
        <v>3.046265</v>
      </c>
      <c r="V6984">
        <v>4.1000179999999997E-2</v>
      </c>
      <c r="W6984">
        <v>0.10325570000000001</v>
      </c>
      <c r="X6984">
        <v>0.99380950000000001</v>
      </c>
      <c r="Y6984">
        <v>2.474987E-2</v>
      </c>
      <c r="Z6984">
        <v>-0.11448510000000001</v>
      </c>
      <c r="AA6984">
        <v>0.99311660000000002</v>
      </c>
      <c r="AB6984">
        <v>39</v>
      </c>
      <c r="AC6984">
        <v>1.5700000000009501E-2</v>
      </c>
      <c r="AD6984">
        <v>-0.103787</v>
      </c>
      <c r="AE6984">
        <v>0.53935999999999795</v>
      </c>
      <c r="AF6984">
        <v>2.1643590883624001E-2</v>
      </c>
      <c r="AG6984">
        <v>-0.103787</v>
      </c>
      <c r="AH6984">
        <v>0.51988744776452001</v>
      </c>
      <c r="AI6984">
        <v>101.280224850076</v>
      </c>
      <c r="AJ6984">
        <v>87.616078757675496</v>
      </c>
      <c r="AK6984">
        <v>0.53058754672385999</v>
      </c>
      <c r="AL6984">
        <v>84.073320966204804</v>
      </c>
      <c r="AM6984">
        <v>87.637569502668399</v>
      </c>
      <c r="AN6984">
        <v>1.0000000383163801</v>
      </c>
    </row>
    <row r="6985" spans="1:40" x14ac:dyDescent="0.25">
      <c r="A6985" t="str">
        <f>"20190312151200149"</f>
        <v>20190312151200149</v>
      </c>
      <c r="B6985" t="str">
        <f>"1552374720138257"</f>
        <v>1552374720138257</v>
      </c>
      <c r="C6985" t="s">
        <v>40</v>
      </c>
      <c r="D6985">
        <v>5.2043480000000004</v>
      </c>
      <c r="E6985">
        <v>0.49428470000000002</v>
      </c>
      <c r="F6985" t="s">
        <v>41</v>
      </c>
      <c r="G6985">
        <v>-186.45400000000001</v>
      </c>
      <c r="H6985">
        <v>1.00851</v>
      </c>
      <c r="I6985">
        <v>26.823329999999999</v>
      </c>
      <c r="J6985">
        <v>-186.47049999999999</v>
      </c>
      <c r="K6985">
        <v>1.109699</v>
      </c>
      <c r="L6985">
        <v>26.31137</v>
      </c>
      <c r="M6985">
        <v>-1.2506410000000001E-2</v>
      </c>
      <c r="N6985">
        <v>0</v>
      </c>
      <c r="O6985">
        <v>0.99987199999999998</v>
      </c>
      <c r="P6985">
        <v>2.8923029999999999E-2</v>
      </c>
      <c r="Q6985">
        <v>9.3202590000000002E-2</v>
      </c>
      <c r="R6985">
        <v>0.99522699999999997</v>
      </c>
      <c r="S6985">
        <v>4.0206909999999998E-2</v>
      </c>
      <c r="T6985">
        <v>-0.34793289999999999</v>
      </c>
      <c r="U6985">
        <v>3.045868</v>
      </c>
      <c r="V6985">
        <v>4.1371949999999998E-2</v>
      </c>
      <c r="W6985">
        <v>0.1031258</v>
      </c>
      <c r="X6985">
        <v>0.99380760000000001</v>
      </c>
      <c r="Y6985">
        <v>2.5618990000000001E-2</v>
      </c>
      <c r="Z6985">
        <v>-0.11345619999999999</v>
      </c>
      <c r="AA6985">
        <v>0.9932126</v>
      </c>
      <c r="AB6985">
        <v>39</v>
      </c>
      <c r="AC6985">
        <v>1.6499999999979299E-2</v>
      </c>
      <c r="AD6985">
        <v>-0.101188999999999</v>
      </c>
      <c r="AE6985">
        <v>0.51195999999999797</v>
      </c>
      <c r="AF6985">
        <v>2.2041633634733201E-2</v>
      </c>
      <c r="AG6985">
        <v>-0.101188999999999</v>
      </c>
      <c r="AH6985">
        <v>0.49249397923745802</v>
      </c>
      <c r="AI6985">
        <v>101.59925369409601</v>
      </c>
      <c r="AJ6985">
        <v>87.4374298053324</v>
      </c>
      <c r="AK6985">
        <v>0.50326470859720895</v>
      </c>
      <c r="AL6985">
        <v>84.080803746298301</v>
      </c>
      <c r="AM6985">
        <v>87.616168163200598</v>
      </c>
      <c r="AN6985">
        <v>1.00000005734509</v>
      </c>
    </row>
    <row r="6986" spans="1:40" x14ac:dyDescent="0.25">
      <c r="A6986" t="str">
        <f>"20190312151200172"</f>
        <v>20190312151200172</v>
      </c>
      <c r="B6986" t="str">
        <f>"1552374720168511"</f>
        <v>1552374720168511</v>
      </c>
      <c r="C6986" t="s">
        <v>40</v>
      </c>
      <c r="D6986">
        <v>5.3286989999999896</v>
      </c>
      <c r="E6986">
        <v>0.49386160000000001</v>
      </c>
      <c r="F6986" t="s">
        <v>41</v>
      </c>
      <c r="G6986">
        <v>-186.4588</v>
      </c>
      <c r="H6986">
        <v>1.011811</v>
      </c>
      <c r="I6986">
        <v>27.17051</v>
      </c>
      <c r="J6986">
        <v>-186.4753</v>
      </c>
      <c r="K6986">
        <v>1.109701</v>
      </c>
      <c r="L6986">
        <v>26.700959999999998</v>
      </c>
      <c r="M6986">
        <v>-1.250687E-2</v>
      </c>
      <c r="N6986">
        <v>0</v>
      </c>
      <c r="O6986">
        <v>0.99987190000000004</v>
      </c>
      <c r="P6986">
        <v>2.9687720000000001E-2</v>
      </c>
      <c r="Q6986">
        <v>9.2675950000000007E-2</v>
      </c>
      <c r="R6986">
        <v>0.99525359999999996</v>
      </c>
      <c r="S6986">
        <v>4.0939330000000003E-2</v>
      </c>
      <c r="T6986">
        <v>-0.34701720000000003</v>
      </c>
      <c r="U6986">
        <v>3.0456850000000002</v>
      </c>
      <c r="V6986">
        <v>4.2137359999999999E-2</v>
      </c>
      <c r="W6986">
        <v>0.1026055</v>
      </c>
      <c r="X6986">
        <v>0.99382930000000003</v>
      </c>
      <c r="Y6986">
        <v>2.5859480000000001E-2</v>
      </c>
      <c r="Z6986">
        <v>-0.11316759999999999</v>
      </c>
      <c r="AA6986">
        <v>0.99323930000000005</v>
      </c>
      <c r="AB6986">
        <v>39</v>
      </c>
      <c r="AC6986">
        <v>1.6500000000007699E-2</v>
      </c>
      <c r="AD6986">
        <v>-9.7890000000000005E-2</v>
      </c>
      <c r="AE6986">
        <v>0.46954999999999802</v>
      </c>
      <c r="AF6986">
        <v>2.1440881778326201E-2</v>
      </c>
      <c r="AG6986">
        <v>-9.7890000000000005E-2</v>
      </c>
      <c r="AH6986">
        <v>0.44978241645841299</v>
      </c>
      <c r="AI6986">
        <v>102.264795808407</v>
      </c>
      <c r="AJ6986">
        <v>87.270807529248302</v>
      </c>
      <c r="AK6986">
        <v>0.46081057460371</v>
      </c>
      <c r="AL6986">
        <v>84.110773747336793</v>
      </c>
      <c r="AM6986">
        <v>87.572170852670496</v>
      </c>
      <c r="AN6986">
        <v>1.0000000616382501</v>
      </c>
    </row>
    <row r="6987" spans="1:40" x14ac:dyDescent="0.25">
      <c r="A6987" t="str">
        <f>"20190312151200194"</f>
        <v>20190312151200194</v>
      </c>
      <c r="B6987" t="str">
        <f>"1552374720188032"</f>
        <v>1552374720188032</v>
      </c>
      <c r="C6987" t="s">
        <v>40</v>
      </c>
      <c r="D6987">
        <v>5.192634</v>
      </c>
      <c r="E6987">
        <v>0.49125639999999998</v>
      </c>
      <c r="F6987" t="s">
        <v>41</v>
      </c>
      <c r="G6987">
        <v>-186.46459999999999</v>
      </c>
      <c r="H6987">
        <v>1.015474</v>
      </c>
      <c r="I6987">
        <v>27.518219999999999</v>
      </c>
      <c r="J6987">
        <v>-186.4802</v>
      </c>
      <c r="K6987">
        <v>1.109694</v>
      </c>
      <c r="L6987">
        <v>27.087430000000001</v>
      </c>
      <c r="M6987">
        <v>-1.2507330000000001E-2</v>
      </c>
      <c r="N6987">
        <v>0</v>
      </c>
      <c r="O6987">
        <v>0.99987190000000004</v>
      </c>
      <c r="P6987">
        <v>2.9875189999999999E-2</v>
      </c>
      <c r="Q6987">
        <v>9.1979519999999995E-2</v>
      </c>
      <c r="R6987">
        <v>0.99531259999999999</v>
      </c>
      <c r="S6987">
        <v>3.9718629999999998E-2</v>
      </c>
      <c r="T6987">
        <v>-0.35117140000000002</v>
      </c>
      <c r="U6987">
        <v>3.0458069999999999</v>
      </c>
      <c r="V6987">
        <v>4.2325969999999997E-2</v>
      </c>
      <c r="W6987">
        <v>0.1019163</v>
      </c>
      <c r="X6987">
        <v>0.99389209999999995</v>
      </c>
      <c r="Y6987">
        <v>2.545942E-2</v>
      </c>
      <c r="Z6987">
        <v>-0.11450109999999999</v>
      </c>
      <c r="AA6987">
        <v>0.9930968</v>
      </c>
      <c r="AB6987">
        <v>39</v>
      </c>
      <c r="AC6987">
        <v>1.5600000000006199E-2</v>
      </c>
      <c r="AD6987">
        <v>-9.4219999999999901E-2</v>
      </c>
      <c r="AE6987">
        <v>0.43079000000000101</v>
      </c>
      <c r="AF6987">
        <v>2.0030172350816701E-2</v>
      </c>
      <c r="AG6987">
        <v>-9.4219999999999901E-2</v>
      </c>
      <c r="AH6987">
        <v>0.41092968247720302</v>
      </c>
      <c r="AI6987">
        <v>102.89904715548001</v>
      </c>
      <c r="AJ6987">
        <v>87.209408879390594</v>
      </c>
      <c r="AK6987">
        <v>0.42206850172124699</v>
      </c>
      <c r="AL6987">
        <v>84.150469522712498</v>
      </c>
      <c r="AM6987">
        <v>87.561470701617296</v>
      </c>
      <c r="AN6987">
        <v>0.99999996319226903</v>
      </c>
    </row>
    <row r="6988" spans="1:40" x14ac:dyDescent="0.25">
      <c r="A6988" t="str">
        <f>"20190312151200217"</f>
        <v>20190312151200217</v>
      </c>
      <c r="B6988" t="str">
        <f>"1552374720208528"</f>
        <v>1552374720208528</v>
      </c>
      <c r="C6988" t="s">
        <v>40</v>
      </c>
      <c r="D6988">
        <v>5.1771039999999999</v>
      </c>
      <c r="E6988">
        <v>0.4876413</v>
      </c>
      <c r="F6988" t="s">
        <v>41</v>
      </c>
      <c r="G6988">
        <v>-186.47489999999999</v>
      </c>
      <c r="H6988">
        <v>1.0476749999999999</v>
      </c>
      <c r="I6988">
        <v>27.887139999999999</v>
      </c>
      <c r="J6988">
        <v>-186.48500000000001</v>
      </c>
      <c r="K6988">
        <v>1.1096889999999999</v>
      </c>
      <c r="L6988">
        <v>27.47174</v>
      </c>
      <c r="M6988">
        <v>-1.2507799999999999E-2</v>
      </c>
      <c r="N6988">
        <v>0</v>
      </c>
      <c r="O6988">
        <v>0.99987179999999998</v>
      </c>
      <c r="P6988">
        <v>3.04327E-2</v>
      </c>
      <c r="Q6988">
        <v>9.0372620000000001E-2</v>
      </c>
      <c r="R6988">
        <v>0.99544290000000002</v>
      </c>
      <c r="S6988">
        <v>1.979065E-2</v>
      </c>
      <c r="T6988">
        <v>-0.2353961</v>
      </c>
      <c r="U6988">
        <v>3.0352779999999999</v>
      </c>
      <c r="V6988">
        <v>4.2885470000000002E-2</v>
      </c>
      <c r="W6988">
        <v>0.10031760000000001</v>
      </c>
      <c r="X6988">
        <v>0.99403079999999999</v>
      </c>
      <c r="Y6988">
        <v>1.9008210000000001E-2</v>
      </c>
      <c r="Z6988">
        <v>-7.7304339999999999E-2</v>
      </c>
      <c r="AA6988">
        <v>0.9968264</v>
      </c>
      <c r="AB6988">
        <v>39</v>
      </c>
      <c r="AC6988">
        <v>1.01000000000226E-2</v>
      </c>
      <c r="AD6988">
        <v>-6.2014E-2</v>
      </c>
      <c r="AE6988">
        <v>0.41539999999999799</v>
      </c>
      <c r="AF6988">
        <v>1.49619534835226E-2</v>
      </c>
      <c r="AG6988">
        <v>-6.2014E-2</v>
      </c>
      <c r="AH6988">
        <v>0.40619378093142899</v>
      </c>
      <c r="AI6988">
        <v>98.6745814440239</v>
      </c>
      <c r="AJ6988">
        <v>87.890491090954697</v>
      </c>
      <c r="AK6988">
        <v>0.411172693543009</v>
      </c>
      <c r="AL6988">
        <v>84.242540461161596</v>
      </c>
      <c r="AM6988">
        <v>87.529620191918298</v>
      </c>
      <c r="AN6988">
        <v>1.00000000787776</v>
      </c>
    </row>
    <row r="6989" spans="1:40" x14ac:dyDescent="0.25">
      <c r="A6989" t="str">
        <f>"20190312151200239"</f>
        <v>20190312151200239</v>
      </c>
      <c r="B6989" t="str">
        <f>"1552374720228048"</f>
        <v>1552374720228048</v>
      </c>
      <c r="C6989" t="s">
        <v>40</v>
      </c>
      <c r="D6989">
        <v>5.0932729999999999</v>
      </c>
      <c r="E6989">
        <v>0.48593389999999997</v>
      </c>
      <c r="F6989" t="s">
        <v>42</v>
      </c>
      <c r="G6989">
        <v>-186.52010000000001</v>
      </c>
      <c r="H6989" s="1">
        <v>-1.601023E-6</v>
      </c>
      <c r="I6989">
        <v>41.631889999999999</v>
      </c>
      <c r="J6989">
        <v>-186.49</v>
      </c>
      <c r="K6989">
        <v>1.1096900000000001</v>
      </c>
      <c r="L6989">
        <v>27.87256</v>
      </c>
      <c r="M6989">
        <v>-1.25083E-2</v>
      </c>
      <c r="N6989">
        <v>0</v>
      </c>
      <c r="O6989">
        <v>0.99987170000000003</v>
      </c>
      <c r="P6989">
        <v>3.036409E-2</v>
      </c>
      <c r="Q6989">
        <v>8.9490609999999998E-2</v>
      </c>
      <c r="R6989">
        <v>0.99552470000000004</v>
      </c>
      <c r="S6989">
        <v>-7.5225830000000002E-3</v>
      </c>
      <c r="T6989">
        <v>-0.2378876</v>
      </c>
      <c r="U6989">
        <v>3.0355530000000002</v>
      </c>
      <c r="V6989">
        <v>4.2818389999999998E-2</v>
      </c>
      <c r="W6989">
        <v>9.9443139999999999E-2</v>
      </c>
      <c r="X6989">
        <v>0.99412160000000005</v>
      </c>
      <c r="Y6989">
        <v>1.003851E-2</v>
      </c>
      <c r="Z6989">
        <v>-7.8116370000000004E-2</v>
      </c>
      <c r="AA6989">
        <v>0.99689369999999999</v>
      </c>
      <c r="AB6989">
        <v>39</v>
      </c>
      <c r="AC6989">
        <v>-3.0100000000004401E-2</v>
      </c>
      <c r="AD6989">
        <v>-1.109691601023</v>
      </c>
      <c r="AE6989">
        <v>13.75933</v>
      </c>
      <c r="AF6989">
        <v>0.14109903319077499</v>
      </c>
      <c r="AG6989">
        <v>-1.109691601023</v>
      </c>
      <c r="AH6989">
        <v>13.6697165445152</v>
      </c>
      <c r="AI6989">
        <v>94.640781290609993</v>
      </c>
      <c r="AJ6989">
        <v>89.408613048180896</v>
      </c>
      <c r="AK6989">
        <v>13.7154101212447</v>
      </c>
      <c r="AL6989">
        <v>84.2928953953394</v>
      </c>
      <c r="AM6989">
        <v>87.533704506614498</v>
      </c>
      <c r="AN6989">
        <v>1.0000000541009</v>
      </c>
    </row>
    <row r="6990" spans="1:40" x14ac:dyDescent="0.25">
      <c r="A6990" t="str">
        <f>"20190312151200262"</f>
        <v>20190312151200262</v>
      </c>
      <c r="B6990" t="str">
        <f>"1552374720258304"</f>
        <v>1552374720258304</v>
      </c>
      <c r="C6990" t="s">
        <v>40</v>
      </c>
      <c r="D6990">
        <v>5.1388109999999996</v>
      </c>
      <c r="E6990">
        <v>0.48460950000000003</v>
      </c>
      <c r="F6990" t="s">
        <v>41</v>
      </c>
      <c r="G6990">
        <v>-186.49719999999999</v>
      </c>
      <c r="H6990">
        <v>1.0271159999999999</v>
      </c>
      <c r="I6990">
        <v>28.910959999999999</v>
      </c>
      <c r="J6990">
        <v>-186.4948</v>
      </c>
      <c r="K6990">
        <v>1.1096900000000001</v>
      </c>
      <c r="L6990">
        <v>28.260829999999999</v>
      </c>
      <c r="M6990">
        <v>-1.2508729999999999E-2</v>
      </c>
      <c r="N6990">
        <v>0</v>
      </c>
      <c r="O6990">
        <v>0.99987159999999997</v>
      </c>
      <c r="P6990">
        <v>3.0545260000000001E-2</v>
      </c>
      <c r="Q6990">
        <v>8.8469039999999999E-2</v>
      </c>
      <c r="R6990">
        <v>0.99561049999999995</v>
      </c>
      <c r="S6990">
        <v>-2.1026610000000001E-2</v>
      </c>
      <c r="T6990">
        <v>-0.24141109999999999</v>
      </c>
      <c r="U6990">
        <v>3.035828</v>
      </c>
      <c r="V6990">
        <v>4.3000980000000001E-2</v>
      </c>
      <c r="W6990">
        <v>9.8428660000000001E-2</v>
      </c>
      <c r="X6990">
        <v>0.99421459999999995</v>
      </c>
      <c r="Y6990">
        <v>5.6054030000000001E-3</v>
      </c>
      <c r="Z6990">
        <v>-7.9259609999999994E-2</v>
      </c>
      <c r="AA6990">
        <v>0.99683829999999995</v>
      </c>
      <c r="AB6990">
        <v>39</v>
      </c>
      <c r="AC6990">
        <v>-2.3999999999944001E-3</v>
      </c>
      <c r="AD6990">
        <v>-8.2574000000000106E-2</v>
      </c>
      <c r="AE6990">
        <v>0.65012999999999999</v>
      </c>
      <c r="AF6990">
        <v>5.6418831469668097E-3</v>
      </c>
      <c r="AG6990">
        <v>-8.2574000000000106E-2</v>
      </c>
      <c r="AH6990">
        <v>0.63978827624837298</v>
      </c>
      <c r="AI6990">
        <v>97.353917682543894</v>
      </c>
      <c r="AJ6990">
        <v>89.4947583035718</v>
      </c>
      <c r="AK6990">
        <v>0.64511962824448998</v>
      </c>
      <c r="AL6990">
        <v>84.351306967046895</v>
      </c>
      <c r="AM6990">
        <v>87.523431972841095</v>
      </c>
      <c r="AN6990">
        <v>0.999999978121757</v>
      </c>
    </row>
    <row r="6991" spans="1:40" x14ac:dyDescent="0.25">
      <c r="A6991" t="str">
        <f>"20190312151200285"</f>
        <v>20190312151200285</v>
      </c>
      <c r="B6991" t="str">
        <f>"1552374720277824"</f>
        <v>1552374720277824</v>
      </c>
      <c r="C6991" t="s">
        <v>40</v>
      </c>
      <c r="D6991">
        <v>5.1170949999999999</v>
      </c>
      <c r="E6991">
        <v>0.48418299999999997</v>
      </c>
      <c r="F6991" t="s">
        <v>41</v>
      </c>
      <c r="G6991">
        <v>-186.50489999999999</v>
      </c>
      <c r="H6991">
        <v>1.021585</v>
      </c>
      <c r="I6991">
        <v>29.255939999999999</v>
      </c>
      <c r="J6991">
        <v>-186.49979999999999</v>
      </c>
      <c r="K6991">
        <v>1.109688</v>
      </c>
      <c r="L6991">
        <v>28.662659999999999</v>
      </c>
      <c r="M6991">
        <v>-1.2508780000000001E-2</v>
      </c>
      <c r="N6991">
        <v>0</v>
      </c>
      <c r="O6991">
        <v>0.99987159999999997</v>
      </c>
      <c r="P6991">
        <v>3.0792190000000001E-2</v>
      </c>
      <c r="Q6991">
        <v>8.8077509999999998E-2</v>
      </c>
      <c r="R6991">
        <v>0.99563760000000001</v>
      </c>
      <c r="S6991">
        <v>-3.0838009999999999E-2</v>
      </c>
      <c r="T6991">
        <v>-0.26899000000000001</v>
      </c>
      <c r="U6991">
        <v>3.0380859999999998</v>
      </c>
      <c r="V6991">
        <v>4.3248300000000003E-2</v>
      </c>
      <c r="W6991">
        <v>9.8044300000000001E-2</v>
      </c>
      <c r="X6991">
        <v>0.99424190000000001</v>
      </c>
      <c r="Y6991">
        <v>2.3991500000000001E-3</v>
      </c>
      <c r="Z6991">
        <v>-8.8181590000000004E-2</v>
      </c>
      <c r="AA6991">
        <v>0.99610149999999997</v>
      </c>
      <c r="AB6991">
        <v>39</v>
      </c>
      <c r="AC6991">
        <v>-5.0999999999987696E-3</v>
      </c>
      <c r="AD6991">
        <v>-8.8103000000000001E-2</v>
      </c>
      <c r="AE6991">
        <v>0.59328000000000303</v>
      </c>
      <c r="AF6991">
        <v>2.2718828322890699E-3</v>
      </c>
      <c r="AG6991">
        <v>-8.8103000000000001E-2</v>
      </c>
      <c r="AH6991">
        <v>0.58049679449145197</v>
      </c>
      <c r="AI6991">
        <v>98.629953227213903</v>
      </c>
      <c r="AJ6991">
        <v>89.775763390115102</v>
      </c>
      <c r="AK6991">
        <v>0.58714889804499804</v>
      </c>
      <c r="AL6991">
        <v>84.373436491797193</v>
      </c>
      <c r="AM6991">
        <v>87.509274194185593</v>
      </c>
      <c r="AN6991">
        <v>1.0000000279654899</v>
      </c>
    </row>
    <row r="6992" spans="1:40" x14ac:dyDescent="0.25">
      <c r="A6992" t="str">
        <f>"20190312151200306"</f>
        <v>20190312151200306</v>
      </c>
      <c r="B6992" t="str">
        <f>"1552374720297853"</f>
        <v>1552374720297853</v>
      </c>
      <c r="C6992" t="s">
        <v>40</v>
      </c>
      <c r="D6992">
        <v>5.0878180000000004</v>
      </c>
      <c r="E6992">
        <v>0.48404199999999997</v>
      </c>
      <c r="F6992" t="s">
        <v>41</v>
      </c>
      <c r="G6992">
        <v>-186.5103</v>
      </c>
      <c r="H6992">
        <v>1.02322</v>
      </c>
      <c r="I6992">
        <v>29.60464</v>
      </c>
      <c r="J6992">
        <v>-186.50460000000001</v>
      </c>
      <c r="K6992">
        <v>1.109691</v>
      </c>
      <c r="L6992">
        <v>29.03952</v>
      </c>
      <c r="M6992">
        <v>-1.2506400000000001E-2</v>
      </c>
      <c r="N6992">
        <v>0</v>
      </c>
      <c r="O6992">
        <v>0.99987150000000002</v>
      </c>
      <c r="P6992">
        <v>3.103769E-2</v>
      </c>
      <c r="Q6992">
        <v>8.8588089999999994E-2</v>
      </c>
      <c r="R6992">
        <v>0.99558469999999999</v>
      </c>
      <c r="S6992">
        <v>-3.3691409999999998E-2</v>
      </c>
      <c r="T6992">
        <v>-0.27895560000000003</v>
      </c>
      <c r="U6992">
        <v>3.0388790000000001</v>
      </c>
      <c r="V6992">
        <v>4.3491099999999998E-2</v>
      </c>
      <c r="W6992">
        <v>9.8560120000000001E-2</v>
      </c>
      <c r="X6992">
        <v>0.99418030000000002</v>
      </c>
      <c r="Y6992">
        <v>1.4674320000000001E-3</v>
      </c>
      <c r="Z6992">
        <v>-9.1397699999999998E-2</v>
      </c>
      <c r="AA6992">
        <v>0.99581339999999996</v>
      </c>
      <c r="AB6992">
        <v>39</v>
      </c>
      <c r="AC6992">
        <v>-5.6999999999902597E-3</v>
      </c>
      <c r="AD6992">
        <v>-8.6470999999999895E-2</v>
      </c>
      <c r="AE6992">
        <v>0.56512000000000295</v>
      </c>
      <c r="AF6992">
        <v>1.33711515712479E-3</v>
      </c>
      <c r="AG6992">
        <v>-8.6470999999999895E-2</v>
      </c>
      <c r="AH6992">
        <v>0.55221921959717302</v>
      </c>
      <c r="AI6992">
        <v>98.899546750917807</v>
      </c>
      <c r="AJ6992">
        <v>89.861267223620104</v>
      </c>
      <c r="AK6992">
        <v>0.55894998721750999</v>
      </c>
      <c r="AL6992">
        <v>84.343738303852405</v>
      </c>
      <c r="AM6992">
        <v>87.4951537903722</v>
      </c>
      <c r="AN6992">
        <v>1.0000000209708499</v>
      </c>
    </row>
    <row r="6993" spans="1:40" x14ac:dyDescent="0.25">
      <c r="A6993" t="str">
        <f>"20190312151200329"</f>
        <v>20190312151200329</v>
      </c>
      <c r="B6993" t="str">
        <f>"1552374720318351"</f>
        <v>1552374720318351</v>
      </c>
      <c r="C6993" t="s">
        <v>40</v>
      </c>
      <c r="D6993">
        <v>5.2252799999999997</v>
      </c>
      <c r="E6993">
        <v>0.48396729999999999</v>
      </c>
      <c r="F6993" t="s">
        <v>41</v>
      </c>
      <c r="G6993">
        <v>-186.51490000000001</v>
      </c>
      <c r="H6993">
        <v>1.024678</v>
      </c>
      <c r="I6993">
        <v>29.95363</v>
      </c>
      <c r="J6993">
        <v>-186.5094</v>
      </c>
      <c r="K6993">
        <v>1.1096889999999999</v>
      </c>
      <c r="L6993">
        <v>29.428650000000001</v>
      </c>
      <c r="M6993">
        <v>-1.249463E-2</v>
      </c>
      <c r="N6993">
        <v>0</v>
      </c>
      <c r="O6993">
        <v>0.99987159999999997</v>
      </c>
      <c r="P6993">
        <v>3.0881749999999999E-2</v>
      </c>
      <c r="Q6993">
        <v>8.902293E-2</v>
      </c>
      <c r="R6993">
        <v>0.99555070000000001</v>
      </c>
      <c r="S6993">
        <v>-3.4698489999999999E-2</v>
      </c>
      <c r="T6993">
        <v>-0.28268680000000002</v>
      </c>
      <c r="U6993">
        <v>3.0395509999999999</v>
      </c>
      <c r="V6993">
        <v>4.332428E-2</v>
      </c>
      <c r="W6993">
        <v>9.9000459999999998E-2</v>
      </c>
      <c r="X6993">
        <v>0.99414380000000002</v>
      </c>
      <c r="Y6993">
        <v>1.129452E-3</v>
      </c>
      <c r="Z6993">
        <v>-9.2589370000000004E-2</v>
      </c>
      <c r="AA6993">
        <v>0.99570380000000003</v>
      </c>
      <c r="AB6993">
        <v>39</v>
      </c>
      <c r="AC6993">
        <v>-5.5000000000120499E-3</v>
      </c>
      <c r="AD6993">
        <v>-8.5010999999999906E-2</v>
      </c>
      <c r="AE6993">
        <v>0.524979999999999</v>
      </c>
      <c r="AF6993">
        <v>1.0331034246426399E-3</v>
      </c>
      <c r="AG6993">
        <v>-8.5010999999999906E-2</v>
      </c>
      <c r="AH6993">
        <v>0.51159422132086896</v>
      </c>
      <c r="AI6993">
        <v>99.434546618522006</v>
      </c>
      <c r="AJ6993">
        <v>89.884298174010596</v>
      </c>
      <c r="AK6993">
        <v>0.51861024354768803</v>
      </c>
      <c r="AL6993">
        <v>84.3183845045818</v>
      </c>
      <c r="AM6993">
        <v>87.504658032871703</v>
      </c>
      <c r="AN6993">
        <v>0.99999998969808501</v>
      </c>
    </row>
    <row r="6994" spans="1:40" x14ac:dyDescent="0.25">
      <c r="A6994" t="str">
        <f>"20190312151200350"</f>
        <v>20190312151200350</v>
      </c>
      <c r="B6994" t="str">
        <f>"1552374720348604"</f>
        <v>1552374720348604</v>
      </c>
      <c r="C6994" t="s">
        <v>40</v>
      </c>
      <c r="D6994">
        <v>5.1112099999999998</v>
      </c>
      <c r="E6994">
        <v>0.48377249999999999</v>
      </c>
      <c r="F6994" t="s">
        <v>41</v>
      </c>
      <c r="G6994">
        <v>-186.5196</v>
      </c>
      <c r="H6994">
        <v>1.0275589999999999</v>
      </c>
      <c r="I6994">
        <v>30.303619999999999</v>
      </c>
      <c r="J6994">
        <v>-186.51419999999999</v>
      </c>
      <c r="K6994">
        <v>1.109674</v>
      </c>
      <c r="L6994">
        <v>29.810269999999999</v>
      </c>
      <c r="M6994">
        <v>-1.2466100000000001E-2</v>
      </c>
      <c r="N6994">
        <v>0</v>
      </c>
      <c r="O6994">
        <v>0.99987190000000004</v>
      </c>
      <c r="P6994">
        <v>3.0725120000000002E-2</v>
      </c>
      <c r="Q6994">
        <v>8.9109339999999995E-2</v>
      </c>
      <c r="R6994">
        <v>0.99554779999999998</v>
      </c>
      <c r="S6994">
        <v>-3.5476679999999997E-2</v>
      </c>
      <c r="T6994">
        <v>-0.28535850000000001</v>
      </c>
      <c r="U6994">
        <v>3.0400390000000002</v>
      </c>
      <c r="V6994">
        <v>4.3141819999999997E-2</v>
      </c>
      <c r="W6994">
        <v>9.9091559999999995E-2</v>
      </c>
      <c r="X6994">
        <v>0.99414270000000005</v>
      </c>
      <c r="Y6994">
        <v>8.4882860000000003E-4</v>
      </c>
      <c r="Z6994">
        <v>-9.3441899999999994E-2</v>
      </c>
      <c r="AA6994">
        <v>0.99562439999999996</v>
      </c>
      <c r="AB6994">
        <v>39</v>
      </c>
      <c r="AC6994">
        <v>-5.4000000000087303E-3</v>
      </c>
      <c r="AD6994">
        <v>-8.2114999999999896E-2</v>
      </c>
      <c r="AE6994">
        <v>0.49334999999999901</v>
      </c>
      <c r="AF6994">
        <v>7.3064111716233699E-4</v>
      </c>
      <c r="AG6994">
        <v>-8.2114999999999896E-2</v>
      </c>
      <c r="AH6994">
        <v>0.48008065679650902</v>
      </c>
      <c r="AI6994">
        <v>99.706170643635403</v>
      </c>
      <c r="AJ6994">
        <v>89.912800860775207</v>
      </c>
      <c r="AK6994">
        <v>0.48705322511159799</v>
      </c>
      <c r="AL6994">
        <v>84.313139301682398</v>
      </c>
      <c r="AM6994">
        <v>87.515151207541706</v>
      </c>
      <c r="AN6994">
        <v>1.0000000309297099</v>
      </c>
    </row>
    <row r="6995" spans="1:40" x14ac:dyDescent="0.25">
      <c r="A6995" t="str">
        <f>"20190312151200373"</f>
        <v>20190312151200373</v>
      </c>
      <c r="B6995" t="str">
        <f>"1552374720368124"</f>
        <v>1552374720368124</v>
      </c>
      <c r="C6995" t="s">
        <v>40</v>
      </c>
      <c r="D6995">
        <v>5.0851959999999998</v>
      </c>
      <c r="E6995">
        <v>0.48367749999999998</v>
      </c>
      <c r="F6995" t="s">
        <v>41</v>
      </c>
      <c r="G6995">
        <v>-186.52449999999999</v>
      </c>
      <c r="H6995">
        <v>1.0289509999999999</v>
      </c>
      <c r="I6995">
        <v>30.65325</v>
      </c>
      <c r="J6995">
        <v>-186.51900000000001</v>
      </c>
      <c r="K6995">
        <v>1.109664</v>
      </c>
      <c r="L6995">
        <v>30.198090000000001</v>
      </c>
      <c r="M6995">
        <v>-1.241286E-2</v>
      </c>
      <c r="N6995">
        <v>0</v>
      </c>
      <c r="O6995">
        <v>0.99987250000000005</v>
      </c>
      <c r="P6995">
        <v>3.0185610000000002E-2</v>
      </c>
      <c r="Q6995">
        <v>8.9709479999999994E-2</v>
      </c>
      <c r="R6995">
        <v>0.99551049999999996</v>
      </c>
      <c r="S6995">
        <v>-3.746033E-2</v>
      </c>
      <c r="T6995">
        <v>-0.29116989999999998</v>
      </c>
      <c r="U6995">
        <v>3.040619</v>
      </c>
      <c r="V6995">
        <v>4.2553290000000001E-2</v>
      </c>
      <c r="W6995">
        <v>9.9695560000000003E-2</v>
      </c>
      <c r="X6995">
        <v>0.99410770000000004</v>
      </c>
      <c r="Y6995">
        <v>1.5054639999999999E-4</v>
      </c>
      <c r="Z6995">
        <v>-9.5309450000000004E-2</v>
      </c>
      <c r="AA6995">
        <v>0.99544770000000005</v>
      </c>
      <c r="AB6995">
        <v>39</v>
      </c>
      <c r="AC6995">
        <v>-5.4999999999836204E-3</v>
      </c>
      <c r="AD6995">
        <v>-8.0712999999999993E-2</v>
      </c>
      <c r="AE6995">
        <v>0.45515999999999501</v>
      </c>
      <c r="AF6995">
        <v>1.4595717382765599E-4</v>
      </c>
      <c r="AG6995">
        <v>-8.0712999999999993E-2</v>
      </c>
      <c r="AH6995">
        <v>0.44131776277255602</v>
      </c>
      <c r="AI6995">
        <v>100.364329741362</v>
      </c>
      <c r="AJ6995">
        <v>89.981050548039306</v>
      </c>
      <c r="AK6995">
        <v>0.44863791347931198</v>
      </c>
      <c r="AL6995">
        <v>84.278360561158493</v>
      </c>
      <c r="AM6995">
        <v>87.548921085843503</v>
      </c>
      <c r="AN6995">
        <v>1.0000000531864099</v>
      </c>
    </row>
    <row r="6996" spans="1:40" x14ac:dyDescent="0.25">
      <c r="A6996" t="str">
        <f>"20190312151200396"</f>
        <v>20190312151200396</v>
      </c>
      <c r="B6996" t="str">
        <f>"1552374720388620"</f>
        <v>1552374720388620</v>
      </c>
      <c r="C6996" t="s">
        <v>40</v>
      </c>
      <c r="D6996">
        <v>5.0928339999999999</v>
      </c>
      <c r="E6996">
        <v>0.48358210000000001</v>
      </c>
      <c r="F6996" t="s">
        <v>41</v>
      </c>
      <c r="G6996">
        <v>-186.52959999999999</v>
      </c>
      <c r="H6996">
        <v>1.0345249999999999</v>
      </c>
      <c r="I6996">
        <v>31.00591</v>
      </c>
      <c r="J6996">
        <v>-186.52379999999999</v>
      </c>
      <c r="K6996">
        <v>1.1096459999999999</v>
      </c>
      <c r="L6996">
        <v>30.591090000000001</v>
      </c>
      <c r="M6996">
        <v>-1.232662E-2</v>
      </c>
      <c r="N6996">
        <v>0</v>
      </c>
      <c r="O6996">
        <v>0.99987349999999997</v>
      </c>
      <c r="P6996">
        <v>2.9830820000000001E-2</v>
      </c>
      <c r="Q6996">
        <v>9.0417300000000006E-2</v>
      </c>
      <c r="R6996">
        <v>0.99545709999999998</v>
      </c>
      <c r="S6996">
        <v>-4.0237429999999998E-2</v>
      </c>
      <c r="T6996">
        <v>-0.28279209999999999</v>
      </c>
      <c r="U6996">
        <v>3.0402529999999999</v>
      </c>
      <c r="V6996">
        <v>4.2118269999999999E-2</v>
      </c>
      <c r="W6996">
        <v>0.1004068</v>
      </c>
      <c r="X6996">
        <v>0.99405460000000001</v>
      </c>
      <c r="Y6996">
        <v>-8.4969799999999997E-4</v>
      </c>
      <c r="Z6996">
        <v>-9.2601639999999999E-2</v>
      </c>
      <c r="AA6996">
        <v>0.99570289999999995</v>
      </c>
      <c r="AB6996">
        <v>39</v>
      </c>
      <c r="AC6996">
        <v>-5.7999999999935803E-3</v>
      </c>
      <c r="AD6996">
        <v>-7.5120999999999993E-2</v>
      </c>
      <c r="AE6996">
        <v>0.41481999999999503</v>
      </c>
      <c r="AF6996">
        <v>-6.6419465606153301E-4</v>
      </c>
      <c r="AG6996">
        <v>-7.5120999999999993E-2</v>
      </c>
      <c r="AH6996">
        <v>0.40168928343750898</v>
      </c>
      <c r="AI6996">
        <v>100.592667095881</v>
      </c>
      <c r="AJ6996">
        <v>90.094738688469903</v>
      </c>
      <c r="AK6996">
        <v>0.40865374857461001</v>
      </c>
      <c r="AL6996">
        <v>84.237403760075594</v>
      </c>
      <c r="AM6996">
        <v>87.573818801474502</v>
      </c>
      <c r="AN6996">
        <v>1.0000000109675899</v>
      </c>
    </row>
    <row r="6997" spans="1:40" x14ac:dyDescent="0.25">
      <c r="A6997" t="str">
        <f>"20190312151200418"</f>
        <v>20190312151200418</v>
      </c>
      <c r="B6997" t="str">
        <f>"1552374720408143"</f>
        <v>1552374720408143</v>
      </c>
      <c r="C6997" t="s">
        <v>40</v>
      </c>
      <c r="D6997">
        <v>5.0613159999999997</v>
      </c>
      <c r="E6997">
        <v>0.48349619999999999</v>
      </c>
      <c r="F6997" t="s">
        <v>41</v>
      </c>
      <c r="G6997">
        <v>-186.53450000000001</v>
      </c>
      <c r="H6997">
        <v>1.0400910000000001</v>
      </c>
      <c r="I6997">
        <v>31.360340000000001</v>
      </c>
      <c r="J6997">
        <v>-186.52860000000001</v>
      </c>
      <c r="K6997">
        <v>1.109623</v>
      </c>
      <c r="L6997">
        <v>30.989750000000001</v>
      </c>
      <c r="M6997">
        <v>-1.219771E-2</v>
      </c>
      <c r="N6997">
        <v>0</v>
      </c>
      <c r="O6997">
        <v>0.99987499999999996</v>
      </c>
      <c r="P6997">
        <v>2.9022050000000001E-2</v>
      </c>
      <c r="Q6997">
        <v>9.0917479999999995E-2</v>
      </c>
      <c r="R6997">
        <v>0.99543550000000003</v>
      </c>
      <c r="S6997">
        <v>-4.2495730000000002E-2</v>
      </c>
      <c r="T6997">
        <v>-0.27487089999999997</v>
      </c>
      <c r="U6997">
        <v>3.0399479999999999</v>
      </c>
      <c r="V6997">
        <v>4.1188910000000002E-2</v>
      </c>
      <c r="W6997">
        <v>0.1009101</v>
      </c>
      <c r="X6997">
        <v>0.9940426</v>
      </c>
      <c r="Y6997">
        <v>-1.722784E-3</v>
      </c>
      <c r="Z6997">
        <v>-9.0037809999999996E-2</v>
      </c>
      <c r="AA6997">
        <v>0.99593690000000001</v>
      </c>
      <c r="AB6997">
        <v>39</v>
      </c>
      <c r="AC6997">
        <v>-5.8999999999968999E-3</v>
      </c>
      <c r="AD6997">
        <v>-6.9532000000000094E-2</v>
      </c>
      <c r="AE6997">
        <v>0.37058999999999997</v>
      </c>
      <c r="AF6997">
        <v>-1.3321006180434399E-3</v>
      </c>
      <c r="AG6997">
        <v>-6.9532000000000094E-2</v>
      </c>
      <c r="AH6997">
        <v>0.35803366321980501</v>
      </c>
      <c r="AI6997">
        <v>100.99025786289</v>
      </c>
      <c r="AJ6997">
        <v>90.213173784937297</v>
      </c>
      <c r="AK6997">
        <v>0.36472534531431999</v>
      </c>
      <c r="AL6997">
        <v>84.208419710516395</v>
      </c>
      <c r="AM6997">
        <v>87.6272631795009</v>
      </c>
      <c r="AN6997">
        <v>1.0000000326018701</v>
      </c>
    </row>
    <row r="6998" spans="1:40" x14ac:dyDescent="0.25">
      <c r="A6998" t="str">
        <f>"20190312151200440"</f>
        <v>20190312151200440</v>
      </c>
      <c r="B6998" t="str">
        <f>"1552374720428636"</f>
        <v>1552374720428636</v>
      </c>
      <c r="C6998" t="s">
        <v>40</v>
      </c>
      <c r="D6998">
        <v>5.1038800000000002</v>
      </c>
      <c r="E6998">
        <v>0.48344510000000002</v>
      </c>
      <c r="F6998" t="s">
        <v>41</v>
      </c>
      <c r="G6998">
        <v>-186.54429999999999</v>
      </c>
      <c r="H6998">
        <v>1.015962</v>
      </c>
      <c r="I6998">
        <v>32.046259999999997</v>
      </c>
      <c r="J6998">
        <v>-186.53309999999999</v>
      </c>
      <c r="K6998">
        <v>1.109591</v>
      </c>
      <c r="L6998">
        <v>31.3736</v>
      </c>
      <c r="M6998">
        <v>-1.202744E-2</v>
      </c>
      <c r="N6998">
        <v>0</v>
      </c>
      <c r="O6998">
        <v>0.99987700000000002</v>
      </c>
      <c r="P6998">
        <v>2.8158389999999998E-2</v>
      </c>
      <c r="Q6998">
        <v>9.1034340000000005E-2</v>
      </c>
      <c r="R6998">
        <v>0.99544960000000005</v>
      </c>
      <c r="S6998">
        <v>-4.5394900000000002E-2</v>
      </c>
      <c r="T6998">
        <v>-0.26947389999999999</v>
      </c>
      <c r="U6998">
        <v>3.0397029999999998</v>
      </c>
      <c r="V6998">
        <v>4.0164859999999997E-2</v>
      </c>
      <c r="W6998">
        <v>0.1010301</v>
      </c>
      <c r="X6998">
        <v>0.99407230000000002</v>
      </c>
      <c r="Y6998">
        <v>-2.8462230000000002E-3</v>
      </c>
      <c r="Z6998">
        <v>-8.8290450000000006E-2</v>
      </c>
      <c r="AA6998">
        <v>0.9960907</v>
      </c>
      <c r="AB6998">
        <v>39</v>
      </c>
      <c r="AC6998">
        <v>-1.12000000000023E-2</v>
      </c>
      <c r="AD6998">
        <v>-9.3628999999999907E-2</v>
      </c>
      <c r="AE6998">
        <v>0.67265999999999604</v>
      </c>
      <c r="AF6998">
        <v>-3.0493391740373599E-3</v>
      </c>
      <c r="AG6998">
        <v>-9.3628999999999907E-2</v>
      </c>
      <c r="AH6998">
        <v>0.65996316926889698</v>
      </c>
      <c r="AI6998">
        <v>98.074583861808605</v>
      </c>
      <c r="AJ6998">
        <v>90.264731472631098</v>
      </c>
      <c r="AK6998">
        <v>0.66657863219716695</v>
      </c>
      <c r="AL6998">
        <v>84.201508810518106</v>
      </c>
      <c r="AM6998">
        <v>87.686258937132294</v>
      </c>
      <c r="AN6998">
        <v>1.0000000173560499</v>
      </c>
    </row>
    <row r="6999" spans="1:40" x14ac:dyDescent="0.25">
      <c r="A6999" t="str">
        <f>"20190312151200463"</f>
        <v>20190312151200463</v>
      </c>
      <c r="B6999" t="str">
        <f>"1552374720457916"</f>
        <v>1552374720457916</v>
      </c>
      <c r="C6999" t="s">
        <v>40</v>
      </c>
      <c r="D6999">
        <v>5.0801720000000001</v>
      </c>
      <c r="E6999">
        <v>0.48350549999999998</v>
      </c>
      <c r="F6999" t="s">
        <v>41</v>
      </c>
      <c r="G6999">
        <v>-186.54939999999999</v>
      </c>
      <c r="H6999">
        <v>1.0200049999999901</v>
      </c>
      <c r="I6999">
        <v>32.398890000000002</v>
      </c>
      <c r="J6999">
        <v>-186.5377</v>
      </c>
      <c r="K6999">
        <v>1.1095619999999999</v>
      </c>
      <c r="L6999">
        <v>31.76999</v>
      </c>
      <c r="M6999">
        <v>-1.1810940000000001E-2</v>
      </c>
      <c r="N6999">
        <v>0</v>
      </c>
      <c r="O6999">
        <v>0.99987950000000003</v>
      </c>
      <c r="P6999">
        <v>2.7380519999999998E-2</v>
      </c>
      <c r="Q6999">
        <v>9.0633560000000002E-2</v>
      </c>
      <c r="R6999">
        <v>0.99550780000000005</v>
      </c>
      <c r="S6999">
        <v>-4.8233030000000003E-2</v>
      </c>
      <c r="T6999">
        <v>-0.26556990000000003</v>
      </c>
      <c r="U6999">
        <v>3.0393680000000001</v>
      </c>
      <c r="V6999">
        <v>3.9181149999999998E-2</v>
      </c>
      <c r="W6999">
        <v>0.100634</v>
      </c>
      <c r="X6999">
        <v>0.99415169999999997</v>
      </c>
      <c r="Y6999">
        <v>-3.9960680000000002E-3</v>
      </c>
      <c r="Z6999">
        <v>-8.7030189999999993E-2</v>
      </c>
      <c r="AA6999">
        <v>0.99619760000000002</v>
      </c>
      <c r="AB6999">
        <v>39</v>
      </c>
      <c r="AC6999">
        <v>-1.16999999999904E-2</v>
      </c>
      <c r="AD6999">
        <v>-8.9557000000000303E-2</v>
      </c>
      <c r="AE6999">
        <v>0.62889999999999702</v>
      </c>
      <c r="AF6999">
        <v>-4.1860492688994902E-3</v>
      </c>
      <c r="AG6999">
        <v>-8.9557000000000303E-2</v>
      </c>
      <c r="AH6999">
        <v>0.61649701284318403</v>
      </c>
      <c r="AI6999">
        <v>98.265211611448706</v>
      </c>
      <c r="AJ6999">
        <v>90.389035575310004</v>
      </c>
      <c r="AK6999">
        <v>0.62298197895448904</v>
      </c>
      <c r="AL6999">
        <v>84.224319730306803</v>
      </c>
      <c r="AM6999">
        <v>87.743047375492296</v>
      </c>
      <c r="AN6999">
        <v>0.99999998354210595</v>
      </c>
    </row>
    <row r="7000" spans="1:40" x14ac:dyDescent="0.25">
      <c r="A7000" t="str">
        <f>"20190312151200487"</f>
        <v>20190312151200487</v>
      </c>
      <c r="B7000" t="str">
        <f>"1552374720478412"</f>
        <v>1552374720478412</v>
      </c>
      <c r="C7000" t="s">
        <v>40</v>
      </c>
      <c r="D7000">
        <v>5.0547300000000002</v>
      </c>
      <c r="E7000">
        <v>0.48350159999999998</v>
      </c>
      <c r="F7000" t="s">
        <v>41</v>
      </c>
      <c r="G7000">
        <v>-186.55369999999999</v>
      </c>
      <c r="H7000">
        <v>1.0220610000000001</v>
      </c>
      <c r="I7000">
        <v>32.750929999999997</v>
      </c>
      <c r="J7000">
        <v>-186.54239999999999</v>
      </c>
      <c r="K7000">
        <v>1.109521</v>
      </c>
      <c r="L7000">
        <v>32.190770000000001</v>
      </c>
      <c r="M7000">
        <v>-1.153181E-2</v>
      </c>
      <c r="N7000">
        <v>0</v>
      </c>
      <c r="O7000">
        <v>0.99988270000000001</v>
      </c>
      <c r="P7000">
        <v>2.646548E-2</v>
      </c>
      <c r="Q7000">
        <v>9.0353719999999998E-2</v>
      </c>
      <c r="R7000">
        <v>0.99555800000000005</v>
      </c>
      <c r="S7000">
        <v>-5.0109859999999999E-2</v>
      </c>
      <c r="T7000">
        <v>-0.27113409999999999</v>
      </c>
      <c r="U7000">
        <v>3.0395810000000001</v>
      </c>
      <c r="V7000">
        <v>3.7998650000000002E-2</v>
      </c>
      <c r="W7000">
        <v>0.1003584</v>
      </c>
      <c r="X7000">
        <v>0.99422549999999998</v>
      </c>
      <c r="Y7000">
        <v>-4.886441E-3</v>
      </c>
      <c r="Z7000">
        <v>-8.8833029999999993E-2</v>
      </c>
      <c r="AA7000">
        <v>0.99603459999999999</v>
      </c>
      <c r="AB7000">
        <v>39</v>
      </c>
      <c r="AC7000">
        <v>-1.1300000000005601E-2</v>
      </c>
      <c r="AD7000">
        <v>-8.7459999999999802E-2</v>
      </c>
      <c r="AE7000">
        <v>0.56015999999999599</v>
      </c>
      <c r="AF7000">
        <v>-4.7241442071907199E-3</v>
      </c>
      <c r="AG7000">
        <v>-8.7459999999999802E-2</v>
      </c>
      <c r="AH7000">
        <v>0.54692563730411003</v>
      </c>
      <c r="AI7000">
        <v>99.085030233974507</v>
      </c>
      <c r="AJ7000">
        <v>90.494887741926703</v>
      </c>
      <c r="AK7000">
        <v>0.55389459455657897</v>
      </c>
      <c r="AL7000">
        <v>84.240191037269199</v>
      </c>
      <c r="AM7000">
        <v>87.8112579826727</v>
      </c>
      <c r="AN7000">
        <v>1.0000000253513099</v>
      </c>
    </row>
    <row r="7001" spans="1:40" x14ac:dyDescent="0.25">
      <c r="A7001" t="str">
        <f>"20190312151200508"</f>
        <v>20190312151200508</v>
      </c>
      <c r="B7001" t="str">
        <f>"1552374720498244"</f>
        <v>1552374720498244</v>
      </c>
      <c r="C7001" t="s">
        <v>40</v>
      </c>
      <c r="D7001">
        <v>5.0938319999999999</v>
      </c>
      <c r="E7001">
        <v>0.48351270000000002</v>
      </c>
      <c r="F7001" t="s">
        <v>41</v>
      </c>
      <c r="G7001">
        <v>-186.5582</v>
      </c>
      <c r="H7001">
        <v>1.0272380000000001</v>
      </c>
      <c r="I7001">
        <v>33.104799999999997</v>
      </c>
      <c r="J7001">
        <v>-186.54650000000001</v>
      </c>
      <c r="K7001">
        <v>1.109491</v>
      </c>
      <c r="L7001">
        <v>32.563510000000001</v>
      </c>
      <c r="M7001">
        <v>-1.123978E-2</v>
      </c>
      <c r="N7001">
        <v>0</v>
      </c>
      <c r="O7001">
        <v>0.99988600000000005</v>
      </c>
      <c r="P7001">
        <v>2.5407200000000001E-2</v>
      </c>
      <c r="Q7001">
        <v>8.9746999999999993E-2</v>
      </c>
      <c r="R7001">
        <v>0.99564050000000004</v>
      </c>
      <c r="S7001">
        <v>-5.2612300000000001E-2</v>
      </c>
      <c r="T7001">
        <v>-0.27362760000000003</v>
      </c>
      <c r="U7001">
        <v>3.039612</v>
      </c>
      <c r="V7001">
        <v>3.6659560000000001E-2</v>
      </c>
      <c r="W7001">
        <v>9.9755819999999995E-2</v>
      </c>
      <c r="X7001">
        <v>0.99433640000000001</v>
      </c>
      <c r="Y7001">
        <v>-5.9968540000000002E-3</v>
      </c>
      <c r="Z7001">
        <v>-8.9642109999999997E-2</v>
      </c>
      <c r="AA7001">
        <v>0.99595599999999995</v>
      </c>
      <c r="AB7001">
        <v>39</v>
      </c>
      <c r="AC7001">
        <v>-1.16999999999904E-2</v>
      </c>
      <c r="AD7001">
        <v>-8.2253000000000104E-2</v>
      </c>
      <c r="AE7001">
        <v>0.54128999999999605</v>
      </c>
      <c r="AF7001">
        <v>-5.4882997200691704E-3</v>
      </c>
      <c r="AG7001">
        <v>-8.2253000000000104E-2</v>
      </c>
      <c r="AH7001">
        <v>0.52917384821850799</v>
      </c>
      <c r="AI7001">
        <v>98.834693877865703</v>
      </c>
      <c r="AJ7001">
        <v>90.594218964918596</v>
      </c>
      <c r="AK7001">
        <v>0.53555638272846795</v>
      </c>
      <c r="AL7001">
        <v>84.274890381388204</v>
      </c>
      <c r="AM7001">
        <v>87.888554466917199</v>
      </c>
      <c r="AN7001">
        <v>1.0000000116641099</v>
      </c>
    </row>
    <row r="7002" spans="1:40" x14ac:dyDescent="0.25">
      <c r="A7002" t="str">
        <f>"20190312151200530"</f>
        <v>20190312151200530</v>
      </c>
      <c r="B7002" t="str">
        <f>"1552374720517765"</f>
        <v>1552374720517765</v>
      </c>
      <c r="C7002" t="s">
        <v>40</v>
      </c>
      <c r="D7002">
        <v>5.2515150000000004</v>
      </c>
      <c r="E7002">
        <v>0.48356650000000001</v>
      </c>
      <c r="F7002" t="s">
        <v>41</v>
      </c>
      <c r="G7002">
        <v>-186.56270000000001</v>
      </c>
      <c r="H7002">
        <v>1.0279259999999999</v>
      </c>
      <c r="I7002">
        <v>33.456850000000003</v>
      </c>
      <c r="J7002">
        <v>-186.5505</v>
      </c>
      <c r="K7002">
        <v>1.1094580000000001</v>
      </c>
      <c r="L7002">
        <v>32.942990000000002</v>
      </c>
      <c r="M7002">
        <v>-1.0898329999999999E-2</v>
      </c>
      <c r="N7002">
        <v>0</v>
      </c>
      <c r="O7002">
        <v>0.99988969999999999</v>
      </c>
      <c r="P7002">
        <v>2.443354E-2</v>
      </c>
      <c r="Q7002">
        <v>8.9327820000000002E-2</v>
      </c>
      <c r="R7002">
        <v>0.99570259999999999</v>
      </c>
      <c r="S7002">
        <v>-5.57251E-2</v>
      </c>
      <c r="T7002">
        <v>-0.2775204</v>
      </c>
      <c r="U7002">
        <v>3.0395810000000001</v>
      </c>
      <c r="V7002">
        <v>3.5356440000000003E-2</v>
      </c>
      <c r="W7002">
        <v>9.934113E-2</v>
      </c>
      <c r="X7002">
        <v>0.99442509999999995</v>
      </c>
      <c r="Y7002">
        <v>-7.3560250000000004E-3</v>
      </c>
      <c r="Z7002">
        <v>-9.0907130000000003E-2</v>
      </c>
      <c r="AA7002">
        <v>0.99583219999999995</v>
      </c>
      <c r="AB7002">
        <v>39</v>
      </c>
      <c r="AC7002">
        <v>-1.2200000000007E-2</v>
      </c>
      <c r="AD7002">
        <v>-8.1531999999999896E-2</v>
      </c>
      <c r="AE7002">
        <v>0.51386000000000098</v>
      </c>
      <c r="AF7002">
        <v>-6.4368198562854504E-3</v>
      </c>
      <c r="AG7002">
        <v>-8.1531999999999896E-2</v>
      </c>
      <c r="AH7002">
        <v>0.50134819995241298</v>
      </c>
      <c r="AI7002">
        <v>99.236143450886402</v>
      </c>
      <c r="AJ7002">
        <v>90.735581276168503</v>
      </c>
      <c r="AK7002">
        <v>0.50797531167310395</v>
      </c>
      <c r="AL7002">
        <v>84.298768963172193</v>
      </c>
      <c r="AM7002">
        <v>87.963726155993896</v>
      </c>
      <c r="AN7002">
        <v>1.0000000087345799</v>
      </c>
    </row>
    <row r="7003" spans="1:40" x14ac:dyDescent="0.25">
      <c r="A7003" t="str">
        <f>"20190312151200551"</f>
        <v>20190312151200551</v>
      </c>
      <c r="B7003" t="str">
        <f>"1552374720548021"</f>
        <v>1552374720548021</v>
      </c>
      <c r="C7003" t="s">
        <v>40</v>
      </c>
      <c r="D7003">
        <v>5.0828519999999999</v>
      </c>
      <c r="E7003">
        <v>0.48362939999999999</v>
      </c>
      <c r="F7003" t="s">
        <v>41</v>
      </c>
      <c r="G7003">
        <v>-186.56720000000001</v>
      </c>
      <c r="H7003">
        <v>1.0298179999999999</v>
      </c>
      <c r="I7003">
        <v>33.810179999999903</v>
      </c>
      <c r="J7003">
        <v>-186.55439999999999</v>
      </c>
      <c r="K7003">
        <v>1.1094189999999999</v>
      </c>
      <c r="L7003">
        <v>33.332149999999999</v>
      </c>
      <c r="M7003">
        <v>-1.050276E-2</v>
      </c>
      <c r="N7003">
        <v>0</v>
      </c>
      <c r="O7003">
        <v>0.99989380000000005</v>
      </c>
      <c r="P7003">
        <v>2.3518049999999999E-2</v>
      </c>
      <c r="Q7003">
        <v>8.924812E-2</v>
      </c>
      <c r="R7003">
        <v>0.9957317</v>
      </c>
      <c r="S7003">
        <v>-5.8273320000000003E-2</v>
      </c>
      <c r="T7003">
        <v>-0.27913250000000001</v>
      </c>
      <c r="U7003">
        <v>3.0394290000000002</v>
      </c>
      <c r="V7003">
        <v>3.405822E-2</v>
      </c>
      <c r="W7003">
        <v>9.9265220000000001E-2</v>
      </c>
      <c r="X7003">
        <v>0.99447799999999997</v>
      </c>
      <c r="Y7003">
        <v>-8.5862059999999903E-3</v>
      </c>
      <c r="Z7003">
        <v>-9.143474E-2</v>
      </c>
      <c r="AA7003">
        <v>0.99577400000000005</v>
      </c>
      <c r="AB7003">
        <v>39</v>
      </c>
      <c r="AC7003">
        <v>-1.2800000000027E-2</v>
      </c>
      <c r="AD7003">
        <v>-7.9601000000000005E-2</v>
      </c>
      <c r="AE7003">
        <v>0.47802999999999601</v>
      </c>
      <c r="AF7003">
        <v>-7.5686852005011299E-3</v>
      </c>
      <c r="AG7003">
        <v>-7.9601000000000005E-2</v>
      </c>
      <c r="AH7003">
        <v>0.46524671211003699</v>
      </c>
      <c r="AI7003">
        <v>99.707704659600694</v>
      </c>
      <c r="AJ7003">
        <v>90.932011892927207</v>
      </c>
      <c r="AK7003">
        <v>0.47206790541813398</v>
      </c>
      <c r="AL7003">
        <v>84.303139951045793</v>
      </c>
      <c r="AM7003">
        <v>88.038538928031798</v>
      </c>
      <c r="AN7003">
        <v>1.0000000193676</v>
      </c>
    </row>
    <row r="7004" spans="1:40" x14ac:dyDescent="0.25">
      <c r="A7004" t="str">
        <f>"20190312151200573"</f>
        <v>20190312151200573</v>
      </c>
      <c r="B7004" t="str">
        <f>"1552374720568516"</f>
        <v>1552374720568516</v>
      </c>
      <c r="C7004" t="s">
        <v>40</v>
      </c>
      <c r="D7004">
        <v>5.1026160000000003</v>
      </c>
      <c r="E7004">
        <v>0.48369990000000002</v>
      </c>
      <c r="F7004" t="s">
        <v>41</v>
      </c>
      <c r="G7004">
        <v>-186.57089999999999</v>
      </c>
      <c r="H7004">
        <v>1.0338830000000001</v>
      </c>
      <c r="I7004">
        <v>34.1661</v>
      </c>
      <c r="J7004">
        <v>-186.5581</v>
      </c>
      <c r="K7004">
        <v>1.1093839999999999</v>
      </c>
      <c r="L7004">
        <v>33.713380000000001</v>
      </c>
      <c r="M7004">
        <v>-1.007271E-2</v>
      </c>
      <c r="N7004">
        <v>0</v>
      </c>
      <c r="O7004">
        <v>0.99989830000000002</v>
      </c>
      <c r="P7004">
        <v>2.3191739999999999E-2</v>
      </c>
      <c r="Q7004">
        <v>8.9782529999999999E-2</v>
      </c>
      <c r="R7004">
        <v>0.9956914</v>
      </c>
      <c r="S7004">
        <v>-6.0485839999999999E-2</v>
      </c>
      <c r="T7004">
        <v>-0.27525349999999998</v>
      </c>
      <c r="U7004">
        <v>3.0389400000000002</v>
      </c>
      <c r="V7004">
        <v>3.3314620000000003E-2</v>
      </c>
      <c r="W7004">
        <v>9.9802779999999994E-2</v>
      </c>
      <c r="X7004">
        <v>0.99444940000000004</v>
      </c>
      <c r="Y7004">
        <v>-9.7463180000000003E-3</v>
      </c>
      <c r="Z7004">
        <v>-9.0188400000000002E-2</v>
      </c>
      <c r="AA7004">
        <v>0.99587700000000001</v>
      </c>
      <c r="AB7004">
        <v>39</v>
      </c>
      <c r="AC7004">
        <v>-1.27999999999985E-2</v>
      </c>
      <c r="AD7004">
        <v>-7.5500999999999999E-2</v>
      </c>
      <c r="AE7004">
        <v>0.45271999999999901</v>
      </c>
      <c r="AF7004">
        <v>-8.0162246300437695E-3</v>
      </c>
      <c r="AG7004">
        <v>-7.5500999999999999E-2</v>
      </c>
      <c r="AH7004">
        <v>0.44058190186108198</v>
      </c>
      <c r="AI7004">
        <v>99.722547889997301</v>
      </c>
      <c r="AJ7004">
        <v>91.042360488691301</v>
      </c>
      <c r="AK7004">
        <v>0.447076137929378</v>
      </c>
      <c r="AL7004">
        <v>84.272186405287897</v>
      </c>
      <c r="AM7004">
        <v>88.081276399927106</v>
      </c>
      <c r="AN7004">
        <v>1.0000000339809101</v>
      </c>
    </row>
    <row r="7005" spans="1:40" x14ac:dyDescent="0.25">
      <c r="A7005" t="str">
        <f>"20190312151200596"</f>
        <v>20190312151200596</v>
      </c>
      <c r="B7005" t="str">
        <f>"1552374720588037"</f>
        <v>1552374720588037</v>
      </c>
      <c r="C7005" t="s">
        <v>40</v>
      </c>
      <c r="D7005">
        <v>5.087021</v>
      </c>
      <c r="E7005">
        <v>0.48379949999999999</v>
      </c>
      <c r="F7005" t="s">
        <v>41</v>
      </c>
      <c r="G7005">
        <v>-186.57409999999999</v>
      </c>
      <c r="H7005">
        <v>1.037282</v>
      </c>
      <c r="I7005">
        <v>34.521749999999997</v>
      </c>
      <c r="J7005">
        <v>-186.56180000000001</v>
      </c>
      <c r="K7005">
        <v>1.109345</v>
      </c>
      <c r="L7005">
        <v>34.119480000000003</v>
      </c>
      <c r="M7005">
        <v>-9.5707520000000001E-3</v>
      </c>
      <c r="N7005">
        <v>0</v>
      </c>
      <c r="O7005">
        <v>0.99990310000000004</v>
      </c>
      <c r="P7005">
        <v>2.2878369999999999E-2</v>
      </c>
      <c r="Q7005">
        <v>9.0338870000000002E-2</v>
      </c>
      <c r="R7005">
        <v>0.99564830000000004</v>
      </c>
      <c r="S7005">
        <v>-6.0562129999999999E-2</v>
      </c>
      <c r="T7005">
        <v>-0.271041799999999</v>
      </c>
      <c r="U7005">
        <v>3.038818</v>
      </c>
      <c r="V7005">
        <v>3.2513229999999997E-2</v>
      </c>
      <c r="W7005">
        <v>0.1003626</v>
      </c>
      <c r="X7005">
        <v>0.99441959999999996</v>
      </c>
      <c r="Y7005">
        <v>-1.0276530000000001E-2</v>
      </c>
      <c r="Z7005">
        <v>-8.8823289999999999E-2</v>
      </c>
      <c r="AA7005">
        <v>0.99599439999999995</v>
      </c>
      <c r="AB7005">
        <v>39</v>
      </c>
      <c r="AC7005">
        <v>-1.22999999999819E-2</v>
      </c>
      <c r="AD7005">
        <v>-7.2062999999999905E-2</v>
      </c>
      <c r="AE7005">
        <v>0.40227000000000102</v>
      </c>
      <c r="AF7005">
        <v>-8.1867346368952303E-3</v>
      </c>
      <c r="AG7005">
        <v>-7.2062999999999905E-2</v>
      </c>
      <c r="AH7005">
        <v>0.38986950737182602</v>
      </c>
      <c r="AI7005">
        <v>100.470028725879</v>
      </c>
      <c r="AJ7005">
        <v>91.202957421115997</v>
      </c>
      <c r="AK7005">
        <v>0.39655810592064</v>
      </c>
      <c r="AL7005">
        <v>84.2399493234565</v>
      </c>
      <c r="AM7005">
        <v>88.127342346283001</v>
      </c>
      <c r="AN7005">
        <v>1.00000005123397</v>
      </c>
    </row>
    <row r="7006" spans="1:40" x14ac:dyDescent="0.25">
      <c r="A7006" t="str">
        <f>"20190312151200619"</f>
        <v>20190312151200619</v>
      </c>
      <c r="B7006" t="str">
        <f>"1552374720608533"</f>
        <v>1552374720608533</v>
      </c>
      <c r="C7006" t="s">
        <v>40</v>
      </c>
      <c r="D7006">
        <v>5.0922850000000004</v>
      </c>
      <c r="E7006">
        <v>0.48383549999999997</v>
      </c>
      <c r="F7006" t="s">
        <v>42</v>
      </c>
      <c r="G7006">
        <v>-186.81030000000001</v>
      </c>
      <c r="H7006" s="1">
        <v>-3.5431599999999898E-6</v>
      </c>
      <c r="I7006">
        <v>46.573050000000002</v>
      </c>
      <c r="J7006">
        <v>-186.5652</v>
      </c>
      <c r="K7006">
        <v>1.1093059999999999</v>
      </c>
      <c r="L7006">
        <v>34.52084</v>
      </c>
      <c r="M7006">
        <v>-9.0274389999999999E-3</v>
      </c>
      <c r="N7006">
        <v>0</v>
      </c>
      <c r="O7006">
        <v>0.99990809999999997</v>
      </c>
      <c r="P7006">
        <v>2.2510160000000001E-2</v>
      </c>
      <c r="Q7006">
        <v>9.0612219999999993E-2</v>
      </c>
      <c r="R7006">
        <v>0.99563179999999996</v>
      </c>
      <c r="S7006">
        <v>-6.063843E-2</v>
      </c>
      <c r="T7006">
        <v>-0.2707157</v>
      </c>
      <c r="U7006">
        <v>3.0390630000000001</v>
      </c>
      <c r="V7006">
        <v>3.161576E-2</v>
      </c>
      <c r="W7006">
        <v>0.1006402</v>
      </c>
      <c r="X7006">
        <v>0.99442039999999998</v>
      </c>
      <c r="Y7006">
        <v>-1.0843469999999999E-2</v>
      </c>
      <c r="Z7006">
        <v>-8.8710600000000001E-2</v>
      </c>
      <c r="AA7006">
        <v>0.99599839999999995</v>
      </c>
      <c r="AB7006">
        <v>39</v>
      </c>
      <c r="AC7006">
        <v>-0.24510000000000701</v>
      </c>
      <c r="AD7006">
        <v>-1.10930954316</v>
      </c>
      <c r="AE7006">
        <v>12.052210000000001</v>
      </c>
      <c r="AF7006">
        <v>-0.135139463816214</v>
      </c>
      <c r="AG7006">
        <v>-1.10930954316</v>
      </c>
      <c r="AH7006">
        <v>11.952713281732599</v>
      </c>
      <c r="AI7006">
        <v>95.301991170160804</v>
      </c>
      <c r="AJ7006">
        <v>90.647768489073997</v>
      </c>
      <c r="AK7006">
        <v>12.004840071093501</v>
      </c>
      <c r="AL7006">
        <v>84.223962599743203</v>
      </c>
      <c r="AM7006">
        <v>88.178999904397699</v>
      </c>
      <c r="AN7006">
        <v>0.99999996903628796</v>
      </c>
    </row>
    <row r="7007" spans="1:40" x14ac:dyDescent="0.25">
      <c r="A7007" t="str">
        <f>"20190312151200641"</f>
        <v>20190312151200641</v>
      </c>
      <c r="B7007" t="str">
        <f>"1552374720637813"</f>
        <v>1552374720637813</v>
      </c>
      <c r="C7007" t="s">
        <v>40</v>
      </c>
      <c r="D7007">
        <v>5.0989620000000002</v>
      </c>
      <c r="E7007">
        <v>0.48407889999999998</v>
      </c>
      <c r="F7007" t="s">
        <v>41</v>
      </c>
      <c r="G7007">
        <v>-186.58609999999999</v>
      </c>
      <c r="H7007">
        <v>1.0162819999999999</v>
      </c>
      <c r="I7007">
        <v>35.568779999999997</v>
      </c>
      <c r="J7007">
        <v>-186.56819999999999</v>
      </c>
      <c r="K7007">
        <v>1.109275</v>
      </c>
      <c r="L7007">
        <v>34.9101</v>
      </c>
      <c r="M7007">
        <v>-8.4574660000000003E-3</v>
      </c>
      <c r="N7007">
        <v>0</v>
      </c>
      <c r="O7007">
        <v>0.99991300000000005</v>
      </c>
      <c r="P7007">
        <v>2.2286159999999999E-2</v>
      </c>
      <c r="Q7007">
        <v>9.2188599999999996E-2</v>
      </c>
      <c r="R7007">
        <v>0.99549219999999905</v>
      </c>
      <c r="S7007">
        <v>-6.0943600000000001E-2</v>
      </c>
      <c r="T7007">
        <v>-0.2697794</v>
      </c>
      <c r="U7007">
        <v>3.0390929999999998</v>
      </c>
      <c r="V7007">
        <v>3.0836079999999998E-2</v>
      </c>
      <c r="W7007">
        <v>0.1022194</v>
      </c>
      <c r="X7007">
        <v>0.9942839</v>
      </c>
      <c r="Y7007">
        <v>-1.151377E-2</v>
      </c>
      <c r="Z7007">
        <v>-8.8405549999999999E-2</v>
      </c>
      <c r="AA7007">
        <v>0.99601799999999996</v>
      </c>
      <c r="AB7007">
        <v>40</v>
      </c>
      <c r="AC7007">
        <v>-1.78999999999973E-2</v>
      </c>
      <c r="AD7007">
        <v>-9.2993000000000103E-2</v>
      </c>
      <c r="AE7007">
        <v>0.65867999999999605</v>
      </c>
      <c r="AF7007">
        <v>-1.2087558809268701E-2</v>
      </c>
      <c r="AG7007">
        <v>-9.2993000000000103E-2</v>
      </c>
      <c r="AH7007">
        <v>0.64594239347547899</v>
      </c>
      <c r="AI7007">
        <v>98.190875763579498</v>
      </c>
      <c r="AJ7007">
        <v>91.072054238503696</v>
      </c>
      <c r="AK7007">
        <v>0.65271385983124197</v>
      </c>
      <c r="AL7007">
        <v>84.133012636993698</v>
      </c>
      <c r="AM7007">
        <v>88.2236349980152</v>
      </c>
      <c r="AN7007">
        <v>1.00000007168266</v>
      </c>
    </row>
    <row r="7008" spans="1:40" x14ac:dyDescent="0.25">
      <c r="A7008" t="str">
        <f>"20190312151200664"</f>
        <v>20190312151200664</v>
      </c>
      <c r="B7008" t="str">
        <f>"1552374720658309"</f>
        <v>1552374720658309</v>
      </c>
      <c r="C7008" t="s">
        <v>40</v>
      </c>
      <c r="D7008">
        <v>5.1375999999999999</v>
      </c>
      <c r="E7008">
        <v>0.4841801</v>
      </c>
      <c r="F7008" t="s">
        <v>41</v>
      </c>
      <c r="G7008">
        <v>-186.5881</v>
      </c>
      <c r="H7008">
        <v>1.020942</v>
      </c>
      <c r="I7008">
        <v>35.92512</v>
      </c>
      <c r="J7008">
        <v>-186.571</v>
      </c>
      <c r="K7008">
        <v>1.109248</v>
      </c>
      <c r="L7008">
        <v>35.304720000000003</v>
      </c>
      <c r="M7008">
        <v>-7.8452899999999996E-3</v>
      </c>
      <c r="N7008">
        <v>0</v>
      </c>
      <c r="O7008">
        <v>0.99991790000000003</v>
      </c>
      <c r="P7008">
        <v>2.2030049999999999E-2</v>
      </c>
      <c r="Q7008">
        <v>9.360947E-2</v>
      </c>
      <c r="R7008">
        <v>0.99536519999999995</v>
      </c>
      <c r="S7008">
        <v>-5.9997559999999998E-2</v>
      </c>
      <c r="T7008">
        <v>-0.26449040000000001</v>
      </c>
      <c r="U7008">
        <v>3.0394290000000002</v>
      </c>
      <c r="V7008">
        <v>2.9982000000000002E-2</v>
      </c>
      <c r="W7008">
        <v>0.1036432</v>
      </c>
      <c r="X7008">
        <v>0.99416260000000001</v>
      </c>
      <c r="Y7008">
        <v>-1.181686E-2</v>
      </c>
      <c r="Z7008">
        <v>-8.6676779999999995E-2</v>
      </c>
      <c r="AA7008">
        <v>0.99616640000000001</v>
      </c>
      <c r="AB7008">
        <v>40</v>
      </c>
      <c r="AC7008">
        <v>-1.7099999999999199E-2</v>
      </c>
      <c r="AD7008">
        <v>-8.8305999999999996E-2</v>
      </c>
      <c r="AE7008">
        <v>0.62039999999999595</v>
      </c>
      <c r="AF7008">
        <v>-1.1989288819299899E-2</v>
      </c>
      <c r="AG7008">
        <v>-8.8305999999999996E-2</v>
      </c>
      <c r="AH7008">
        <v>0.60820231552933102</v>
      </c>
      <c r="AI7008">
        <v>98.259568503463399</v>
      </c>
      <c r="AJ7008">
        <v>91.129306274120395</v>
      </c>
      <c r="AK7008">
        <v>0.614696469241229</v>
      </c>
      <c r="AL7008">
        <v>84.050999184108505</v>
      </c>
      <c r="AM7008">
        <v>88.272594896906597</v>
      </c>
      <c r="AN7008">
        <v>1.00000005423449</v>
      </c>
    </row>
    <row r="7009" spans="1:40" x14ac:dyDescent="0.25">
      <c r="A7009" t="str">
        <f>"20190312151200687"</f>
        <v>20190312151200687</v>
      </c>
      <c r="B7009" t="str">
        <f>"1552374720677829"</f>
        <v>1552374720677829</v>
      </c>
      <c r="C7009" t="s">
        <v>40</v>
      </c>
      <c r="D7009">
        <v>5.0844199999999997</v>
      </c>
      <c r="E7009">
        <v>0.48424840000000002</v>
      </c>
      <c r="F7009" t="s">
        <v>41</v>
      </c>
      <c r="G7009">
        <v>-186.59020000000001</v>
      </c>
      <c r="H7009">
        <v>1.025771</v>
      </c>
      <c r="I7009">
        <v>36.281889999999997</v>
      </c>
      <c r="J7009">
        <v>-186.5737</v>
      </c>
      <c r="K7009">
        <v>1.1092200000000001</v>
      </c>
      <c r="L7009">
        <v>35.72495</v>
      </c>
      <c r="M7009">
        <v>-7.1574769999999998E-3</v>
      </c>
      <c r="N7009">
        <v>0</v>
      </c>
      <c r="O7009">
        <v>0.99992300000000001</v>
      </c>
      <c r="P7009">
        <v>2.2395000000000002E-2</v>
      </c>
      <c r="Q7009">
        <v>9.5130960000000001E-2</v>
      </c>
      <c r="R7009">
        <v>0.99521289999999996</v>
      </c>
      <c r="S7009">
        <v>-6.0272220000000001E-2</v>
      </c>
      <c r="T7009">
        <v>-0.25966640000000002</v>
      </c>
      <c r="U7009">
        <v>3.0397340000000002</v>
      </c>
      <c r="V7009">
        <v>2.9674030000000001E-2</v>
      </c>
      <c r="W7009">
        <v>0.105167899999999</v>
      </c>
      <c r="X7009">
        <v>0.9940116</v>
      </c>
      <c r="Y7009">
        <v>-1.259537E-2</v>
      </c>
      <c r="Z7009">
        <v>-8.5099149999999998E-2</v>
      </c>
      <c r="AA7009">
        <v>0.99629290000000004</v>
      </c>
      <c r="AB7009">
        <v>40</v>
      </c>
      <c r="AC7009">
        <v>-1.6500000000007699E-2</v>
      </c>
      <c r="AD7009">
        <v>-8.3449000000000106E-2</v>
      </c>
      <c r="AE7009">
        <v>0.55694000000000399</v>
      </c>
      <c r="AF7009">
        <v>-1.2238566595070499E-2</v>
      </c>
      <c r="AG7009">
        <v>-8.3449000000000106E-2</v>
      </c>
      <c r="AH7009">
        <v>0.54482302973256902</v>
      </c>
      <c r="AI7009">
        <v>98.705992206481795</v>
      </c>
      <c r="AJ7009">
        <v>91.286840432430495</v>
      </c>
      <c r="AK7009">
        <v>0.55131266250674704</v>
      </c>
      <c r="AL7009">
        <v>83.963159605091604</v>
      </c>
      <c r="AM7009">
        <v>88.290068361258193</v>
      </c>
      <c r="AN7009">
        <v>0.99999994809070403</v>
      </c>
    </row>
    <row r="7010" spans="1:40" x14ac:dyDescent="0.25">
      <c r="A7010" t="str">
        <f>"20190312151200711"</f>
        <v>20190312151200711</v>
      </c>
      <c r="B7010" t="str">
        <f>"1552374720698325"</f>
        <v>1552374720698325</v>
      </c>
      <c r="C7010" t="s">
        <v>40</v>
      </c>
      <c r="D7010">
        <v>5.2367169999999996</v>
      </c>
      <c r="E7010">
        <v>0.48430810000000002</v>
      </c>
      <c r="F7010" t="s">
        <v>41</v>
      </c>
      <c r="G7010">
        <v>-186.59139999999999</v>
      </c>
      <c r="H7010">
        <v>1.0322960000000001</v>
      </c>
      <c r="I7010">
        <v>36.641889999999997</v>
      </c>
      <c r="J7010">
        <v>-186.5761</v>
      </c>
      <c r="K7010">
        <v>1.1091959999999901</v>
      </c>
      <c r="L7010">
        <v>36.133240000000001</v>
      </c>
      <c r="M7010">
        <v>-6.4563099999999998E-3</v>
      </c>
      <c r="N7010">
        <v>0</v>
      </c>
      <c r="O7010">
        <v>0.99992769999999997</v>
      </c>
      <c r="P7010">
        <v>2.288977E-2</v>
      </c>
      <c r="Q7010">
        <v>9.7243179999999999E-2</v>
      </c>
      <c r="R7010">
        <v>0.99499740000000003</v>
      </c>
      <c r="S7010">
        <v>-5.8822630000000001E-2</v>
      </c>
      <c r="T7010">
        <v>-0.25504599999999999</v>
      </c>
      <c r="U7010">
        <v>3.0401310000000001</v>
      </c>
      <c r="V7010">
        <v>2.9482810000000002E-2</v>
      </c>
      <c r="W7010">
        <v>0.10728210000000001</v>
      </c>
      <c r="X7010">
        <v>0.99379139999999999</v>
      </c>
      <c r="Y7010">
        <v>-1.2821569999999999E-2</v>
      </c>
      <c r="Z7010">
        <v>-8.3585649999999997E-2</v>
      </c>
      <c r="AA7010">
        <v>0.99641809999999997</v>
      </c>
      <c r="AB7010">
        <v>40</v>
      </c>
      <c r="AC7010">
        <v>-1.5299999999996299E-2</v>
      </c>
      <c r="AD7010">
        <v>-7.6899999999999899E-2</v>
      </c>
      <c r="AE7010">
        <v>0.50865000000000204</v>
      </c>
      <c r="AF7010">
        <v>-1.17472487342287E-2</v>
      </c>
      <c r="AG7010">
        <v>-7.6899999999999899E-2</v>
      </c>
      <c r="AH7010">
        <v>0.49737996857147099</v>
      </c>
      <c r="AI7010">
        <v>98.786507880668296</v>
      </c>
      <c r="AJ7010">
        <v>91.352975003120505</v>
      </c>
      <c r="AK7010">
        <v>0.50342669872483004</v>
      </c>
      <c r="AL7010">
        <v>83.841335991358307</v>
      </c>
      <c r="AM7010">
        <v>88.300704495491104</v>
      </c>
      <c r="AN7010">
        <v>1.00000001588993</v>
      </c>
    </row>
    <row r="7011" spans="1:40" x14ac:dyDescent="0.25">
      <c r="A7011" t="str">
        <f>"20190312151200732"</f>
        <v>20190312151200732</v>
      </c>
      <c r="B7011" t="str">
        <f>"1552374720728582"</f>
        <v>1552374720728582</v>
      </c>
      <c r="C7011" t="s">
        <v>40</v>
      </c>
      <c r="D7011">
        <v>5.127027</v>
      </c>
      <c r="E7011">
        <v>0.48437039999999998</v>
      </c>
      <c r="F7011" t="s">
        <v>41</v>
      </c>
      <c r="G7011">
        <v>-186.5924</v>
      </c>
      <c r="H7011">
        <v>1.0379400000000001</v>
      </c>
      <c r="I7011">
        <v>37.009869999999999</v>
      </c>
      <c r="J7011">
        <v>-186.578</v>
      </c>
      <c r="K7011">
        <v>1.109178</v>
      </c>
      <c r="L7011">
        <v>36.517519999999998</v>
      </c>
      <c r="M7011">
        <v>-5.7694259999999898E-3</v>
      </c>
      <c r="N7011">
        <v>0</v>
      </c>
      <c r="O7011">
        <v>0.99993189999999998</v>
      </c>
      <c r="P7011">
        <v>2.366184E-2</v>
      </c>
      <c r="Q7011">
        <v>0.1001016</v>
      </c>
      <c r="R7011">
        <v>0.99469580000000002</v>
      </c>
      <c r="S7011">
        <v>-5.706787E-2</v>
      </c>
      <c r="T7011">
        <v>-0.24713470000000001</v>
      </c>
      <c r="U7011">
        <v>3.0405579999999999</v>
      </c>
      <c r="V7011">
        <v>2.9583470000000001E-2</v>
      </c>
      <c r="W7011">
        <v>0.1101413</v>
      </c>
      <c r="X7011">
        <v>0.99347560000000001</v>
      </c>
      <c r="Y7011">
        <v>-1.2934899999999999E-2</v>
      </c>
      <c r="Z7011">
        <v>-8.0999740000000001E-2</v>
      </c>
      <c r="AA7011">
        <v>0.99663020000000002</v>
      </c>
      <c r="AB7011">
        <v>40</v>
      </c>
      <c r="AC7011">
        <v>-1.4399999999994801E-2</v>
      </c>
      <c r="AD7011">
        <v>-7.1238000000000107E-2</v>
      </c>
      <c r="AE7011">
        <v>0.49234999999999401</v>
      </c>
      <c r="AF7011">
        <v>-1.13222080003475E-2</v>
      </c>
      <c r="AG7011">
        <v>-7.1238000000000107E-2</v>
      </c>
      <c r="AH7011">
        <v>0.48233575996933198</v>
      </c>
      <c r="AI7011">
        <v>98.399213340023906</v>
      </c>
      <c r="AJ7011">
        <v>91.344697357945293</v>
      </c>
      <c r="AK7011">
        <v>0.48769952879123901</v>
      </c>
      <c r="AL7011">
        <v>83.676539219770405</v>
      </c>
      <c r="AM7011">
        <v>88.294364507119099</v>
      </c>
      <c r="AN7011">
        <v>1.0000000277291401</v>
      </c>
    </row>
    <row r="7012" spans="1:40" x14ac:dyDescent="0.25">
      <c r="A7012" t="str">
        <f>"20190312151200753"</f>
        <v>20190312151200753</v>
      </c>
      <c r="B7012" t="str">
        <f>"1552374720748102"</f>
        <v>1552374720748102</v>
      </c>
      <c r="C7012" t="s">
        <v>40</v>
      </c>
      <c r="D7012">
        <v>5.151535</v>
      </c>
      <c r="E7012">
        <v>0.48440329999999898</v>
      </c>
      <c r="F7012" t="s">
        <v>42</v>
      </c>
      <c r="G7012">
        <v>-186.83160000000001</v>
      </c>
      <c r="H7012" s="1">
        <v>-1.18976E-6</v>
      </c>
      <c r="I7012">
        <v>50.666969999999999</v>
      </c>
      <c r="J7012">
        <v>-186.5796</v>
      </c>
      <c r="K7012">
        <v>1.1091599999999999</v>
      </c>
      <c r="L7012">
        <v>36.898380000000003</v>
      </c>
      <c r="M7012">
        <v>-5.0668589999999999E-3</v>
      </c>
      <c r="N7012">
        <v>0</v>
      </c>
      <c r="O7012">
        <v>0.99993560000000004</v>
      </c>
      <c r="P7012">
        <v>2.458314E-2</v>
      </c>
      <c r="Q7012">
        <v>0.1031745</v>
      </c>
      <c r="R7012">
        <v>0.9943594</v>
      </c>
      <c r="S7012">
        <v>-5.4519650000000003E-2</v>
      </c>
      <c r="T7012">
        <v>-0.23840749999999999</v>
      </c>
      <c r="U7012">
        <v>3.04129</v>
      </c>
      <c r="V7012">
        <v>2.98181E-2</v>
      </c>
      <c r="W7012">
        <v>0.1132166</v>
      </c>
      <c r="X7012">
        <v>0.99312279999999997</v>
      </c>
      <c r="Y7012">
        <v>-1.2802269999999999E-2</v>
      </c>
      <c r="Z7012">
        <v>-7.813958E-2</v>
      </c>
      <c r="AA7012">
        <v>0.99686019999999997</v>
      </c>
      <c r="AB7012">
        <v>40</v>
      </c>
      <c r="AC7012">
        <v>-0.25200000000000899</v>
      </c>
      <c r="AD7012">
        <v>-1.10916118976</v>
      </c>
      <c r="AE7012">
        <v>13.76859</v>
      </c>
      <c r="AF7012">
        <v>-0.18105510195171301</v>
      </c>
      <c r="AG7012">
        <v>-1.10916118976</v>
      </c>
      <c r="AH7012">
        <v>13.6809376121484</v>
      </c>
      <c r="AI7012">
        <v>94.634626555108994</v>
      </c>
      <c r="AJ7012">
        <v>90.758214673322698</v>
      </c>
      <c r="AK7012">
        <v>13.727019831059801</v>
      </c>
      <c r="AL7012">
        <v>83.499228106698297</v>
      </c>
      <c r="AM7012">
        <v>88.280234644879101</v>
      </c>
      <c r="AN7012">
        <v>1.0000000067415</v>
      </c>
    </row>
    <row r="7013" spans="1:40" x14ac:dyDescent="0.25">
      <c r="A7013" t="str">
        <f>"20190312151200776"</f>
        <v>20190312151200776</v>
      </c>
      <c r="B7013" t="str">
        <f>"1552374720768597"</f>
        <v>1552374720768597</v>
      </c>
      <c r="C7013" t="s">
        <v>40</v>
      </c>
      <c r="D7013">
        <v>5.1732940000000003</v>
      </c>
      <c r="E7013">
        <v>0.48445759999999999</v>
      </c>
      <c r="F7013" t="s">
        <v>42</v>
      </c>
      <c r="G7013">
        <v>-186.83019999999999</v>
      </c>
      <c r="H7013" s="1">
        <v>-1.4952079999999999E-6</v>
      </c>
      <c r="I7013">
        <v>51.563389999999998</v>
      </c>
      <c r="J7013">
        <v>-186.58099999999999</v>
      </c>
      <c r="K7013">
        <v>1.109151</v>
      </c>
      <c r="L7013">
        <v>37.302639999999997</v>
      </c>
      <c r="M7013">
        <v>-4.3031730000000004E-3</v>
      </c>
      <c r="N7013">
        <v>0</v>
      </c>
      <c r="O7013">
        <v>0.99993900000000002</v>
      </c>
      <c r="P7013">
        <v>2.63158E-2</v>
      </c>
      <c r="Q7013">
        <v>0.1071038</v>
      </c>
      <c r="R7013">
        <v>0.99389950000000005</v>
      </c>
      <c r="S7013">
        <v>-5.1971440000000001E-2</v>
      </c>
      <c r="T7013">
        <v>-0.2300894</v>
      </c>
      <c r="U7013">
        <v>3.0421749999999999</v>
      </c>
      <c r="V7013">
        <v>3.080478E-2</v>
      </c>
      <c r="W7013">
        <v>0.1171504</v>
      </c>
      <c r="X7013">
        <v>0.99263630000000003</v>
      </c>
      <c r="Y7013">
        <v>-1.2729590000000001E-2</v>
      </c>
      <c r="Z7013">
        <v>-7.5408219999999998E-2</v>
      </c>
      <c r="AA7013">
        <v>0.9970715</v>
      </c>
      <c r="AB7013">
        <v>40</v>
      </c>
      <c r="AC7013">
        <v>-0.249200000000001</v>
      </c>
      <c r="AD7013">
        <v>-1.1091524952079901</v>
      </c>
      <c r="AE7013">
        <v>14.26075</v>
      </c>
      <c r="AF7013">
        <v>-0.186699008342991</v>
      </c>
      <c r="AG7013">
        <v>-1.1091524952079901</v>
      </c>
      <c r="AH7013">
        <v>14.175963327518</v>
      </c>
      <c r="AI7013">
        <v>94.473422604457895</v>
      </c>
      <c r="AJ7013">
        <v>90.754548143178496</v>
      </c>
      <c r="AK7013">
        <v>14.220513775545401</v>
      </c>
      <c r="AL7013">
        <v>83.272327489520904</v>
      </c>
      <c r="AM7013">
        <v>88.222493362850599</v>
      </c>
      <c r="AN7013">
        <v>0.99999998738434903</v>
      </c>
    </row>
    <row r="7014" spans="1:40" x14ac:dyDescent="0.25">
      <c r="A7014" t="str">
        <f>"20190312151200809"</f>
        <v>20190312151200809</v>
      </c>
      <c r="B7014" t="str">
        <f>"1552374720797877"</f>
        <v>1552374720797877</v>
      </c>
      <c r="C7014" t="s">
        <v>40</v>
      </c>
      <c r="D7014">
        <v>5.1597520000000001</v>
      </c>
      <c r="E7014">
        <v>0.48455690000000001</v>
      </c>
      <c r="F7014" t="s">
        <v>42</v>
      </c>
      <c r="G7014">
        <v>-186.81700000000001</v>
      </c>
      <c r="H7014" s="1">
        <v>-1.878948E-6</v>
      </c>
      <c r="I7014">
        <v>52.680720000000001</v>
      </c>
      <c r="J7014">
        <v>-186.58250000000001</v>
      </c>
      <c r="K7014">
        <v>1.1091340000000001</v>
      </c>
      <c r="L7014">
        <v>37.894469999999998</v>
      </c>
      <c r="M7014">
        <v>-3.1612319999999999E-3</v>
      </c>
      <c r="N7014">
        <v>0</v>
      </c>
      <c r="O7014">
        <v>0.99994309999999997</v>
      </c>
      <c r="P7014">
        <v>2.9635709999999999E-2</v>
      </c>
      <c r="Q7014">
        <v>0.109663</v>
      </c>
      <c r="R7014">
        <v>0.99352689999999999</v>
      </c>
      <c r="S7014">
        <v>-4.669189E-2</v>
      </c>
      <c r="T7014">
        <v>-0.2195001</v>
      </c>
      <c r="U7014">
        <v>3.043304</v>
      </c>
      <c r="V7014">
        <v>3.3003270000000001E-2</v>
      </c>
      <c r="W7014">
        <v>0.11972140000000001</v>
      </c>
      <c r="X7014">
        <v>0.9922588</v>
      </c>
      <c r="Y7014">
        <v>-1.2139860000000001E-2</v>
      </c>
      <c r="Z7014">
        <v>-7.1931309999999998E-2</v>
      </c>
      <c r="AA7014">
        <v>0.99733570000000005</v>
      </c>
      <c r="AB7014">
        <v>40</v>
      </c>
      <c r="AC7014">
        <v>-0.23449999999999699</v>
      </c>
      <c r="AD7014">
        <v>-1.1091358789479999</v>
      </c>
      <c r="AE7014">
        <v>14.7862499999999</v>
      </c>
      <c r="AF7014">
        <v>-0.186703376370598</v>
      </c>
      <c r="AG7014">
        <v>-1.1091358789479999</v>
      </c>
      <c r="AH7014">
        <v>14.7042021921227</v>
      </c>
      <c r="AI7014">
        <v>94.313297440204494</v>
      </c>
      <c r="AJ7014">
        <v>90.727461478404706</v>
      </c>
      <c r="AK7014">
        <v>14.7471557479923</v>
      </c>
      <c r="AL7014">
        <v>83.123975786138899</v>
      </c>
      <c r="AM7014">
        <v>88.095001788586401</v>
      </c>
      <c r="AN7014">
        <v>0.99999997781304595</v>
      </c>
    </row>
    <row r="7015" spans="1:40" x14ac:dyDescent="0.25">
      <c r="A7015" t="str">
        <f>"20190312151200832"</f>
        <v>20190312151200832</v>
      </c>
      <c r="B7015" t="str">
        <f>"1552374720828133"</f>
        <v>1552374720828133</v>
      </c>
      <c r="C7015" t="s">
        <v>40</v>
      </c>
      <c r="D7015">
        <v>5.2122529999999996</v>
      </c>
      <c r="E7015">
        <v>0.48459140000000001</v>
      </c>
      <c r="F7015" t="s">
        <v>42</v>
      </c>
      <c r="G7015">
        <v>-186.77080000000001</v>
      </c>
      <c r="H7015" s="1">
        <v>-2.3109000000000002E-6</v>
      </c>
      <c r="I7015">
        <v>53.684330000000003</v>
      </c>
      <c r="J7015">
        <v>-186.5831</v>
      </c>
      <c r="K7015">
        <v>1.109118</v>
      </c>
      <c r="L7015">
        <v>38.288820000000001</v>
      </c>
      <c r="M7015">
        <v>-2.3909819999999998E-3</v>
      </c>
      <c r="N7015">
        <v>0</v>
      </c>
      <c r="O7015">
        <v>0.99994499999999997</v>
      </c>
      <c r="P7015">
        <v>3.1953889999999999E-2</v>
      </c>
      <c r="Q7015">
        <v>0.1108701</v>
      </c>
      <c r="R7015">
        <v>0.99332109999999996</v>
      </c>
      <c r="S7015">
        <v>-3.6315920000000002E-2</v>
      </c>
      <c r="T7015">
        <v>-0.2138391</v>
      </c>
      <c r="U7015">
        <v>3.0442499999999999</v>
      </c>
      <c r="V7015">
        <v>3.4563139999999999E-2</v>
      </c>
      <c r="W7015">
        <v>0.1209361</v>
      </c>
      <c r="X7015">
        <v>0.99205840000000001</v>
      </c>
      <c r="Y7015">
        <v>-9.5082090000000001E-3</v>
      </c>
      <c r="Z7015">
        <v>-7.006656E-2</v>
      </c>
      <c r="AA7015">
        <v>0.99749699999999997</v>
      </c>
      <c r="AB7015">
        <v>40</v>
      </c>
      <c r="AC7015">
        <v>-0.187700000000006</v>
      </c>
      <c r="AD7015">
        <v>-1.1091203109000001</v>
      </c>
      <c r="AE7015">
        <v>15.39551</v>
      </c>
      <c r="AF7015">
        <v>-0.15010820764414301</v>
      </c>
      <c r="AG7015">
        <v>-1.1091203109000001</v>
      </c>
      <c r="AH7015">
        <v>15.3164339920854</v>
      </c>
      <c r="AI7015">
        <v>94.141574259869003</v>
      </c>
      <c r="AJ7015">
        <v>90.561507425914897</v>
      </c>
      <c r="AK7015">
        <v>15.357272888503401</v>
      </c>
      <c r="AL7015">
        <v>83.053869433707405</v>
      </c>
      <c r="AM7015">
        <v>88.004632202447794</v>
      </c>
      <c r="AN7015">
        <v>1.00000000997021</v>
      </c>
    </row>
    <row r="7016" spans="1:40" x14ac:dyDescent="0.25">
      <c r="A7016" t="str">
        <f>"20190312151200853"</f>
        <v>20190312151200853</v>
      </c>
      <c r="B7016" t="str">
        <f>"1552374720848629"</f>
        <v>1552374720848629</v>
      </c>
      <c r="C7016" t="s">
        <v>40</v>
      </c>
      <c r="D7016">
        <v>5.1669309999999999</v>
      </c>
      <c r="E7016">
        <v>0.48459380000000002</v>
      </c>
      <c r="F7016" t="s">
        <v>42</v>
      </c>
      <c r="G7016">
        <v>-186.73500000000001</v>
      </c>
      <c r="H7016" s="1">
        <v>-2.5076029999999998E-6</v>
      </c>
      <c r="I7016">
        <v>54.128030000000003</v>
      </c>
      <c r="J7016">
        <v>-186.58340000000001</v>
      </c>
      <c r="K7016">
        <v>1.1091040000000001</v>
      </c>
      <c r="L7016">
        <v>38.678469999999997</v>
      </c>
      <c r="M7016">
        <v>-1.6253929999999999E-3</v>
      </c>
      <c r="N7016">
        <v>0</v>
      </c>
      <c r="O7016">
        <v>0.99994640000000001</v>
      </c>
      <c r="P7016">
        <v>3.3726109999999997E-2</v>
      </c>
      <c r="Q7016">
        <v>0.11100939999999999</v>
      </c>
      <c r="R7016">
        <v>0.99324690000000004</v>
      </c>
      <c r="S7016">
        <v>-2.920532E-2</v>
      </c>
      <c r="T7016">
        <v>-0.21321680000000001</v>
      </c>
      <c r="U7016">
        <v>3.0449220000000001</v>
      </c>
      <c r="V7016">
        <v>3.5579100000000002E-2</v>
      </c>
      <c r="W7016">
        <v>0.1210861</v>
      </c>
      <c r="X7016">
        <v>0.9920042</v>
      </c>
      <c r="Y7016">
        <v>-7.9422030000000001E-3</v>
      </c>
      <c r="Z7016">
        <v>-6.9849850000000005E-2</v>
      </c>
      <c r="AA7016">
        <v>0.99752589999999997</v>
      </c>
      <c r="AB7016">
        <v>40</v>
      </c>
      <c r="AC7016">
        <v>-0.15160000000000101</v>
      </c>
      <c r="AD7016">
        <v>-1.109106507603</v>
      </c>
      <c r="AE7016">
        <v>15.4495599999999</v>
      </c>
      <c r="AF7016">
        <v>-0.12583841641414101</v>
      </c>
      <c r="AG7016">
        <v>-1.109106507603</v>
      </c>
      <c r="AH7016">
        <v>15.3705791709974</v>
      </c>
      <c r="AI7016">
        <v>94.127043932814701</v>
      </c>
      <c r="AJ7016">
        <v>90.469068146382199</v>
      </c>
      <c r="AK7016">
        <v>15.411056310459401</v>
      </c>
      <c r="AL7016">
        <v>83.045211541410197</v>
      </c>
      <c r="AM7016">
        <v>87.945917117386401</v>
      </c>
      <c r="AN7016">
        <v>1.0000000243938201</v>
      </c>
    </row>
    <row r="7017" spans="1:40" x14ac:dyDescent="0.25">
      <c r="A7017" t="str">
        <f>"20190312151200876"</f>
        <v>20190312151200876</v>
      </c>
      <c r="B7017" t="str">
        <f>"1552374720868149"</f>
        <v>1552374720868149</v>
      </c>
      <c r="C7017" t="s">
        <v>40</v>
      </c>
      <c r="D7017">
        <v>5.1456280000000003</v>
      </c>
      <c r="E7017">
        <v>0.48276809999999998</v>
      </c>
      <c r="F7017" t="s">
        <v>42</v>
      </c>
      <c r="G7017">
        <v>-186.70779999999999</v>
      </c>
      <c r="H7017" s="1">
        <v>-2.6557350000000002E-6</v>
      </c>
      <c r="I7017">
        <v>54.462069999999997</v>
      </c>
      <c r="J7017">
        <v>-186.58340000000001</v>
      </c>
      <c r="K7017">
        <v>1.1090930000000001</v>
      </c>
      <c r="L7017">
        <v>39.099820000000001</v>
      </c>
      <c r="M7017">
        <v>-7.9532530000000004E-4</v>
      </c>
      <c r="N7017">
        <v>0</v>
      </c>
      <c r="O7017">
        <v>0.99994729999999998</v>
      </c>
      <c r="P7017">
        <v>3.5599840000000001E-2</v>
      </c>
      <c r="Q7017">
        <v>0.11059629999999999</v>
      </c>
      <c r="R7017">
        <v>0.99322759999999999</v>
      </c>
      <c r="S7017">
        <v>-2.4002079999999999E-2</v>
      </c>
      <c r="T7017">
        <v>-0.21398030000000001</v>
      </c>
      <c r="U7017">
        <v>3.0451350000000001</v>
      </c>
      <c r="V7017">
        <v>3.6631169999999998E-2</v>
      </c>
      <c r="W7017">
        <v>0.12068429999999999</v>
      </c>
      <c r="X7017">
        <v>0.99201479999999997</v>
      </c>
      <c r="Y7017">
        <v>-7.0671279999999998E-3</v>
      </c>
      <c r="Z7017">
        <v>-7.0094710000000005E-2</v>
      </c>
      <c r="AA7017">
        <v>0.99751529999999999</v>
      </c>
      <c r="AB7017">
        <v>40</v>
      </c>
      <c r="AC7017">
        <v>-0.12439999999998</v>
      </c>
      <c r="AD7017">
        <v>-1.109095655735</v>
      </c>
      <c r="AE7017">
        <v>15.3622499999999</v>
      </c>
      <c r="AF7017">
        <v>-0.11159968302781199</v>
      </c>
      <c r="AG7017">
        <v>-1.109095655735</v>
      </c>
      <c r="AH7017">
        <v>15.282691527631</v>
      </c>
      <c r="AI7017">
        <v>94.150682872227904</v>
      </c>
      <c r="AJ7017">
        <v>90.418386850839596</v>
      </c>
      <c r="AK7017">
        <v>15.3232897248452</v>
      </c>
      <c r="AL7017">
        <v>83.068402564101703</v>
      </c>
      <c r="AM7017">
        <v>87.885255051400605</v>
      </c>
      <c r="AN7017">
        <v>0.99999995315054802</v>
      </c>
    </row>
    <row r="7018" spans="1:40" x14ac:dyDescent="0.25">
      <c r="A7018" t="str">
        <f>"20190312151200900"</f>
        <v>20190312151200900</v>
      </c>
      <c r="B7018" t="str">
        <f>"1552374720888644"</f>
        <v>1552374720888644</v>
      </c>
      <c r="C7018" t="s">
        <v>40</v>
      </c>
      <c r="D7018">
        <v>5.1953480000000001</v>
      </c>
      <c r="E7018">
        <v>0.48237540000000001</v>
      </c>
      <c r="F7018" t="s">
        <v>41</v>
      </c>
      <c r="G7018">
        <v>-186.59139999999999</v>
      </c>
      <c r="H7018">
        <v>1.037806</v>
      </c>
      <c r="I7018">
        <v>39.85295</v>
      </c>
      <c r="J7018">
        <v>-186.583</v>
      </c>
      <c r="K7018">
        <v>1.1090789999999999</v>
      </c>
      <c r="L7018">
        <v>39.512970000000003</v>
      </c>
      <c r="M7018" s="1">
        <v>1.9965569999999999E-5</v>
      </c>
      <c r="N7018">
        <v>0</v>
      </c>
      <c r="O7018">
        <v>0.99994749999999999</v>
      </c>
      <c r="P7018">
        <v>3.6965810000000002E-2</v>
      </c>
      <c r="Q7018">
        <v>0.110385999999999</v>
      </c>
      <c r="R7018">
        <v>0.99320109999999995</v>
      </c>
      <c r="S7018">
        <v>-3.3020019999999997E-2</v>
      </c>
      <c r="T7018">
        <v>-0.28905530000000002</v>
      </c>
      <c r="U7018">
        <v>3.053833</v>
      </c>
      <c r="V7018">
        <v>3.7189760000000002E-2</v>
      </c>
      <c r="W7018">
        <v>0.12048449999999999</v>
      </c>
      <c r="X7018">
        <v>0.99201830000000002</v>
      </c>
      <c r="Y7018">
        <v>-1.0783869999999999E-2</v>
      </c>
      <c r="Z7018">
        <v>-9.422664E-2</v>
      </c>
      <c r="AA7018">
        <v>0.9954923</v>
      </c>
      <c r="AB7018">
        <v>40</v>
      </c>
      <c r="AC7018">
        <v>-8.3999999999946305E-3</v>
      </c>
      <c r="AD7018">
        <v>-7.12730000000001E-2</v>
      </c>
      <c r="AE7018">
        <v>0.33997999999999701</v>
      </c>
      <c r="AF7018">
        <v>-8.0530838000221396E-3</v>
      </c>
      <c r="AG7018">
        <v>-7.12730000000001E-2</v>
      </c>
      <c r="AH7018">
        <v>0.32567563235453101</v>
      </c>
      <c r="AI7018">
        <v>102.340711790296</v>
      </c>
      <c r="AJ7018">
        <v>91.416482111048097</v>
      </c>
      <c r="AK7018">
        <v>0.33348059943153202</v>
      </c>
      <c r="AL7018">
        <v>83.079934388286105</v>
      </c>
      <c r="AM7018">
        <v>87.853044750754705</v>
      </c>
      <c r="AN7018">
        <v>0.99999995026199695</v>
      </c>
    </row>
    <row r="7019" spans="1:40" x14ac:dyDescent="0.25">
      <c r="A7019" t="str">
        <f>"20190312151200919"</f>
        <v>20190312151200919</v>
      </c>
      <c r="B7019" t="str">
        <f>"1552374720908170"</f>
        <v>1552374720908170</v>
      </c>
      <c r="C7019" t="s">
        <v>40</v>
      </c>
      <c r="D7019">
        <v>5.1101660000000004</v>
      </c>
      <c r="E7019">
        <v>0.4819678</v>
      </c>
      <c r="F7019" t="s">
        <v>41</v>
      </c>
      <c r="G7019">
        <v>-186.59370000000001</v>
      </c>
      <c r="H7019">
        <v>1.0091319999999999</v>
      </c>
      <c r="I7019">
        <v>40.551729999999999</v>
      </c>
      <c r="J7019">
        <v>-186.58240000000001</v>
      </c>
      <c r="K7019">
        <v>1.10907</v>
      </c>
      <c r="L7019">
        <v>39.875979999999998</v>
      </c>
      <c r="M7019">
        <v>7.3598740000000004E-4</v>
      </c>
      <c r="N7019">
        <v>0</v>
      </c>
      <c r="O7019">
        <v>0.99994709999999998</v>
      </c>
      <c r="P7019">
        <v>3.7572109999999999E-2</v>
      </c>
      <c r="Q7019">
        <v>0.11000310000000001</v>
      </c>
      <c r="R7019">
        <v>0.99322089999999996</v>
      </c>
      <c r="S7019">
        <v>-3.20282E-2</v>
      </c>
      <c r="T7019">
        <v>-0.29387439999999998</v>
      </c>
      <c r="U7019">
        <v>3.0543819999999999</v>
      </c>
      <c r="V7019">
        <v>3.7086239999999999E-2</v>
      </c>
      <c r="W7019">
        <v>0.12011289999999999</v>
      </c>
      <c r="X7019">
        <v>0.99206729999999999</v>
      </c>
      <c r="Y7019">
        <v>-1.1173199999999999E-2</v>
      </c>
      <c r="Z7019">
        <v>-9.5766100000000007E-2</v>
      </c>
      <c r="AA7019">
        <v>0.99534120000000004</v>
      </c>
      <c r="AB7019">
        <v>40</v>
      </c>
      <c r="AC7019">
        <v>-1.1300000000005601E-2</v>
      </c>
      <c r="AD7019">
        <v>-9.9937999999999999E-2</v>
      </c>
      <c r="AE7019">
        <v>0.67574999999999996</v>
      </c>
      <c r="AF7019">
        <v>-1.1544926157971499E-2</v>
      </c>
      <c r="AG7019">
        <v>-9.9937999999999999E-2</v>
      </c>
      <c r="AH7019">
        <v>0.66128196077573798</v>
      </c>
      <c r="AI7019">
        <v>98.592654094533103</v>
      </c>
      <c r="AJ7019">
        <v>91.000191129009707</v>
      </c>
      <c r="AK7019">
        <v>0.66889066431771804</v>
      </c>
      <c r="AL7019">
        <v>83.101381687621796</v>
      </c>
      <c r="AM7019">
        <v>87.859121013083495</v>
      </c>
      <c r="AN7019">
        <v>1.0000000128365101</v>
      </c>
    </row>
    <row r="7020" spans="1:40" x14ac:dyDescent="0.25">
      <c r="A7020" t="str">
        <f>"20190312151200942"</f>
        <v>20190312151200942</v>
      </c>
      <c r="B7020" t="str">
        <f>"1552374720938421"</f>
        <v>1552374720938421</v>
      </c>
      <c r="C7020" t="s">
        <v>40</v>
      </c>
      <c r="D7020">
        <v>5.1418400000000002</v>
      </c>
      <c r="E7020">
        <v>0.48168050000000001</v>
      </c>
      <c r="F7020" t="s">
        <v>41</v>
      </c>
      <c r="G7020">
        <v>-186.59350000000001</v>
      </c>
      <c r="H7020">
        <v>1.0098119999999999</v>
      </c>
      <c r="I7020">
        <v>40.910550000000001</v>
      </c>
      <c r="J7020">
        <v>-186.58150000000001</v>
      </c>
      <c r="K7020">
        <v>1.109056</v>
      </c>
      <c r="L7020">
        <v>40.277589999999996</v>
      </c>
      <c r="M7020">
        <v>1.5275340000000001E-3</v>
      </c>
      <c r="N7020">
        <v>0</v>
      </c>
      <c r="O7020">
        <v>0.99994609999999995</v>
      </c>
      <c r="P7020">
        <v>3.845092E-2</v>
      </c>
      <c r="Q7020">
        <v>0.10982260000000001</v>
      </c>
      <c r="R7020">
        <v>0.99320719999999996</v>
      </c>
      <c r="S7020">
        <v>-3.3050540000000003E-2</v>
      </c>
      <c r="T7020">
        <v>-0.29302410000000001</v>
      </c>
      <c r="U7020">
        <v>3.0541689999999999</v>
      </c>
      <c r="V7020">
        <v>3.7180539999999998E-2</v>
      </c>
      <c r="W7020">
        <v>0.11994290000000001</v>
      </c>
      <c r="X7020">
        <v>0.99208430000000003</v>
      </c>
      <c r="Y7020">
        <v>-1.229888E-2</v>
      </c>
      <c r="Z7020">
        <v>-9.5497239999999997E-2</v>
      </c>
      <c r="AA7020">
        <v>0.99535370000000001</v>
      </c>
      <c r="AB7020">
        <v>40</v>
      </c>
      <c r="AC7020">
        <v>-1.2000000000000399E-2</v>
      </c>
      <c r="AD7020">
        <v>-9.9243999999999805E-2</v>
      </c>
      <c r="AE7020">
        <v>0.63295999999999697</v>
      </c>
      <c r="AF7020">
        <v>-1.26558820281458E-2</v>
      </c>
      <c r="AG7020">
        <v>-9.9243999999999805E-2</v>
      </c>
      <c r="AH7020">
        <v>0.61775927246428497</v>
      </c>
      <c r="AI7020">
        <v>99.124791400699806</v>
      </c>
      <c r="AJ7020">
        <v>91.173640343220299</v>
      </c>
      <c r="AK7020">
        <v>0.62580832656773799</v>
      </c>
      <c r="AL7020">
        <v>83.111192638508001</v>
      </c>
      <c r="AM7020">
        <v>87.853719181776498</v>
      </c>
      <c r="AN7020">
        <v>0.99999997506079497</v>
      </c>
    </row>
    <row r="7021" spans="1:40" x14ac:dyDescent="0.25">
      <c r="A7021" t="str">
        <f>"20190312151200964"</f>
        <v>20190312151200964</v>
      </c>
      <c r="B7021" t="str">
        <f>"1552374720957941"</f>
        <v>1552374720957941</v>
      </c>
      <c r="C7021" t="s">
        <v>40</v>
      </c>
      <c r="D7021">
        <v>5.1446800000000001</v>
      </c>
      <c r="E7021">
        <v>0.48148259999999998</v>
      </c>
      <c r="F7021" t="s">
        <v>41</v>
      </c>
      <c r="G7021">
        <v>-186.59180000000001</v>
      </c>
      <c r="H7021">
        <v>1.01264</v>
      </c>
      <c r="I7021">
        <v>41.270659999999999</v>
      </c>
      <c r="J7021">
        <v>-186.58019999999999</v>
      </c>
      <c r="K7021">
        <v>1.109049</v>
      </c>
      <c r="L7021">
        <v>40.676670000000001</v>
      </c>
      <c r="M7021">
        <v>2.3138910000000002E-3</v>
      </c>
      <c r="N7021">
        <v>0</v>
      </c>
      <c r="O7021">
        <v>0.99994439999999996</v>
      </c>
      <c r="P7021">
        <v>3.8953160000000001E-2</v>
      </c>
      <c r="Q7021">
        <v>0.1100231</v>
      </c>
      <c r="R7021">
        <v>0.99316539999999998</v>
      </c>
      <c r="S7021">
        <v>-3.2394409999999998E-2</v>
      </c>
      <c r="T7021">
        <v>-0.2965525</v>
      </c>
      <c r="U7021">
        <v>3.0545650000000002</v>
      </c>
      <c r="V7021">
        <v>3.6903909999999998E-2</v>
      </c>
      <c r="W7021">
        <v>0.1201536</v>
      </c>
      <c r="X7021">
        <v>0.99206919999999998</v>
      </c>
      <c r="Y7021">
        <v>-1.2868879999999999E-2</v>
      </c>
      <c r="Z7021">
        <v>-9.6623609999999999E-2</v>
      </c>
      <c r="AA7021">
        <v>0.99523779999999995</v>
      </c>
      <c r="AB7021">
        <v>40</v>
      </c>
      <c r="AC7021">
        <v>-1.1600000000015501E-2</v>
      </c>
      <c r="AD7021">
        <v>-9.6408999999999898E-2</v>
      </c>
      <c r="AE7021">
        <v>0.59398999999999702</v>
      </c>
      <c r="AF7021">
        <v>-1.2641570919698201E-2</v>
      </c>
      <c r="AG7021">
        <v>-9.6408999999999898E-2</v>
      </c>
      <c r="AH7021">
        <v>0.57872170423693903</v>
      </c>
      <c r="AI7021">
        <v>99.455809300802102</v>
      </c>
      <c r="AJ7021">
        <v>91.251367426638197</v>
      </c>
      <c r="AK7021">
        <v>0.58683329451491095</v>
      </c>
      <c r="AL7021">
        <v>83.099032939190906</v>
      </c>
      <c r="AM7021">
        <v>87.869640739143406</v>
      </c>
      <c r="AN7021">
        <v>1.00000004187744</v>
      </c>
    </row>
    <row r="7022" spans="1:40" x14ac:dyDescent="0.25">
      <c r="A7022" t="str">
        <f>"20190312151200989"</f>
        <v>20190312151200989</v>
      </c>
      <c r="B7022" t="str">
        <f>"1552374720978440"</f>
        <v>1552374720978440</v>
      </c>
      <c r="C7022" t="s">
        <v>40</v>
      </c>
      <c r="D7022">
        <v>5.1657000000000002</v>
      </c>
      <c r="E7022">
        <v>0.4814042</v>
      </c>
      <c r="F7022" t="s">
        <v>41</v>
      </c>
      <c r="G7022">
        <v>-186.59030000000001</v>
      </c>
      <c r="H7022">
        <v>1.016975</v>
      </c>
      <c r="I7022">
        <v>41.631810000000002</v>
      </c>
      <c r="J7022">
        <v>-186.57849999999999</v>
      </c>
      <c r="K7022">
        <v>1.10904</v>
      </c>
      <c r="L7022">
        <v>41.107999999999997</v>
      </c>
      <c r="M7022">
        <v>3.1638149999999999E-3</v>
      </c>
      <c r="N7022">
        <v>0</v>
      </c>
      <c r="O7022">
        <v>0.999942</v>
      </c>
      <c r="P7022">
        <v>3.9313920000000002E-2</v>
      </c>
      <c r="Q7022">
        <v>0.110738</v>
      </c>
      <c r="R7022">
        <v>0.9930717</v>
      </c>
      <c r="S7022">
        <v>-3.225708E-2</v>
      </c>
      <c r="T7022">
        <v>-0.29445840000000001</v>
      </c>
      <c r="U7022">
        <v>3.054535</v>
      </c>
      <c r="V7022">
        <v>3.6423730000000001E-2</v>
      </c>
      <c r="W7022">
        <v>0.12087970000000001</v>
      </c>
      <c r="X7022">
        <v>0.99199870000000001</v>
      </c>
      <c r="Y7022">
        <v>-1.3674840000000001E-2</v>
      </c>
      <c r="Z7022">
        <v>-9.5947710000000005E-2</v>
      </c>
      <c r="AA7022">
        <v>0.99529239999999997</v>
      </c>
      <c r="AB7022">
        <v>40</v>
      </c>
      <c r="AC7022">
        <v>-1.1800000000022201E-2</v>
      </c>
      <c r="AD7022">
        <v>-9.2064999999999994E-2</v>
      </c>
      <c r="AE7022">
        <v>0.52380999999999001</v>
      </c>
      <c r="AF7022">
        <v>-1.30542049091839E-2</v>
      </c>
      <c r="AG7022">
        <v>-9.2064999999999994E-2</v>
      </c>
      <c r="AH7022">
        <v>0.50808248213163099</v>
      </c>
      <c r="AI7022">
        <v>100.267290313771</v>
      </c>
      <c r="AJ7022">
        <v>91.471781364128901</v>
      </c>
      <c r="AK7022">
        <v>0.51652123396802396</v>
      </c>
      <c r="AL7022">
        <v>83.057124765918701</v>
      </c>
      <c r="AM7022">
        <v>87.897185839969694</v>
      </c>
      <c r="AN7022">
        <v>1.0000000053904401</v>
      </c>
    </row>
    <row r="7023" spans="1:40" x14ac:dyDescent="0.25">
      <c r="A7023" t="str">
        <f>"20190312151201009"</f>
        <v>20190312151201009</v>
      </c>
      <c r="B7023" t="str">
        <f>"1552374720997958"</f>
        <v>1552374720997958</v>
      </c>
      <c r="C7023" t="s">
        <v>40</v>
      </c>
      <c r="D7023">
        <v>5.1221420000000002</v>
      </c>
      <c r="E7023">
        <v>0.48091420000000001</v>
      </c>
      <c r="F7023" t="s">
        <v>41</v>
      </c>
      <c r="G7023">
        <v>-186.58760000000001</v>
      </c>
      <c r="H7023">
        <v>1.0245109999999999</v>
      </c>
      <c r="I7023">
        <v>41.994779999999999</v>
      </c>
      <c r="J7023">
        <v>-186.57660000000001</v>
      </c>
      <c r="K7023">
        <v>1.1090370000000001</v>
      </c>
      <c r="L7023">
        <v>41.48901</v>
      </c>
      <c r="M7023">
        <v>3.914697E-3</v>
      </c>
      <c r="N7023">
        <v>0</v>
      </c>
      <c r="O7023">
        <v>0.99993929999999998</v>
      </c>
      <c r="P7023">
        <v>3.9206999999999999E-2</v>
      </c>
      <c r="Q7023">
        <v>0.11134769999999899</v>
      </c>
      <c r="R7023">
        <v>0.9930078</v>
      </c>
      <c r="S7023">
        <v>-3.1936649999999997E-2</v>
      </c>
      <c r="T7023">
        <v>-0.29116989999999998</v>
      </c>
      <c r="U7023">
        <v>3.0546570000000002</v>
      </c>
      <c r="V7023">
        <v>3.5573649999999998E-2</v>
      </c>
      <c r="W7023">
        <v>0.1214993</v>
      </c>
      <c r="X7023">
        <v>0.9919538</v>
      </c>
      <c r="Y7023">
        <v>-1.432194E-2</v>
      </c>
      <c r="Z7023">
        <v>-9.4881380000000001E-2</v>
      </c>
      <c r="AA7023">
        <v>0.99538559999999998</v>
      </c>
      <c r="AB7023">
        <v>40</v>
      </c>
      <c r="AC7023">
        <v>-1.09999999999956E-2</v>
      </c>
      <c r="AD7023">
        <v>-8.4526000000000101E-2</v>
      </c>
      <c r="AE7023">
        <v>0.50576999999999805</v>
      </c>
      <c r="AF7023">
        <v>-1.2627436569279201E-2</v>
      </c>
      <c r="AG7023">
        <v>-8.4526000000000101E-2</v>
      </c>
      <c r="AH7023">
        <v>0.49198821334399301</v>
      </c>
      <c r="AI7023">
        <v>99.745377526732696</v>
      </c>
      <c r="AJ7023">
        <v>91.470238506160101</v>
      </c>
      <c r="AK7023">
        <v>0.49935608427226102</v>
      </c>
      <c r="AL7023">
        <v>83.021360329408097</v>
      </c>
      <c r="AM7023">
        <v>87.946127231773701</v>
      </c>
      <c r="AN7023">
        <v>0.99999995290462496</v>
      </c>
    </row>
    <row r="7024" spans="1:40" x14ac:dyDescent="0.25">
      <c r="A7024" t="str">
        <f>"20190312151201034"</f>
        <v>20190312151201034</v>
      </c>
      <c r="B7024" t="str">
        <f>"1552374721028214"</f>
        <v>1552374721028214</v>
      </c>
      <c r="C7024" t="s">
        <v>40</v>
      </c>
      <c r="D7024">
        <v>5.1437109999999997</v>
      </c>
      <c r="E7024">
        <v>0.48051769999999999</v>
      </c>
      <c r="F7024" t="s">
        <v>41</v>
      </c>
      <c r="G7024">
        <v>-186.58690000000001</v>
      </c>
      <c r="H7024">
        <v>1.0259529999999999</v>
      </c>
      <c r="I7024">
        <v>42.35548</v>
      </c>
      <c r="J7024">
        <v>-186.57429999999999</v>
      </c>
      <c r="K7024">
        <v>1.1090370000000001</v>
      </c>
      <c r="L7024">
        <v>41.913760000000003</v>
      </c>
      <c r="M7024">
        <v>4.751707E-3</v>
      </c>
      <c r="N7024">
        <v>0</v>
      </c>
      <c r="O7024">
        <v>0.99993560000000004</v>
      </c>
      <c r="P7024">
        <v>3.9038360000000001E-2</v>
      </c>
      <c r="Q7024">
        <v>0.112258399999999</v>
      </c>
      <c r="R7024">
        <v>0.99291189999999996</v>
      </c>
      <c r="S7024">
        <v>-3.6209110000000003E-2</v>
      </c>
      <c r="T7024">
        <v>-0.29297299999999998</v>
      </c>
      <c r="U7024">
        <v>3.0553889999999999</v>
      </c>
      <c r="V7024">
        <v>3.4577139999999999E-2</v>
      </c>
      <c r="W7024">
        <v>0.1224208</v>
      </c>
      <c r="X7024">
        <v>0.99187579999999997</v>
      </c>
      <c r="Y7024">
        <v>-1.6547470000000002E-2</v>
      </c>
      <c r="Z7024">
        <v>-9.5438040000000002E-2</v>
      </c>
      <c r="AA7024">
        <v>0.99529780000000001</v>
      </c>
      <c r="AB7024">
        <v>40</v>
      </c>
      <c r="AC7024">
        <v>-1.26000000000203E-2</v>
      </c>
      <c r="AD7024">
        <v>-8.3083999999999894E-2</v>
      </c>
      <c r="AE7024">
        <v>0.441720000000003</v>
      </c>
      <c r="AF7024">
        <v>-1.41970304924889E-2</v>
      </c>
      <c r="AG7024">
        <v>-8.3083999999999894E-2</v>
      </c>
      <c r="AH7024">
        <v>0.42657575382121199</v>
      </c>
      <c r="AI7024">
        <v>101.015542822209</v>
      </c>
      <c r="AJ7024">
        <v>91.906179122951201</v>
      </c>
      <c r="AK7024">
        <v>0.43482338998602699</v>
      </c>
      <c r="AL7024">
        <v>82.968165613945501</v>
      </c>
      <c r="AM7024">
        <v>88.003457431127899</v>
      </c>
      <c r="AN7024">
        <v>1.0000000167544201</v>
      </c>
    </row>
    <row r="7025" spans="1:40" x14ac:dyDescent="0.25">
      <c r="A7025" t="str">
        <f>"20190312151201056"</f>
        <v>20190312151201056</v>
      </c>
      <c r="B7025" t="str">
        <f>"1552374721048710"</f>
        <v>1552374721048710</v>
      </c>
      <c r="C7025" t="s">
        <v>40</v>
      </c>
      <c r="D7025">
        <v>5.269139</v>
      </c>
      <c r="E7025">
        <v>0.48055160000000002</v>
      </c>
      <c r="F7025" t="s">
        <v>41</v>
      </c>
      <c r="G7025">
        <v>-186.5847</v>
      </c>
      <c r="H7025">
        <v>1.0318290000000001</v>
      </c>
      <c r="I7025">
        <v>42.720469999999999</v>
      </c>
      <c r="J7025">
        <v>-186.57169999999999</v>
      </c>
      <c r="K7025">
        <v>1.109032</v>
      </c>
      <c r="L7025">
        <v>42.322110000000002</v>
      </c>
      <c r="M7025">
        <v>5.5563879999999998E-3</v>
      </c>
      <c r="N7025">
        <v>0</v>
      </c>
      <c r="O7025">
        <v>0.99993129999999997</v>
      </c>
      <c r="P7025">
        <v>3.9207640000000002E-2</v>
      </c>
      <c r="Q7025">
        <v>0.1128825</v>
      </c>
      <c r="R7025">
        <v>0.99283449999999995</v>
      </c>
      <c r="S7025">
        <v>-4.0115360000000003E-2</v>
      </c>
      <c r="T7025">
        <v>-0.29247390000000001</v>
      </c>
      <c r="U7025">
        <v>3.0560610000000001</v>
      </c>
      <c r="V7025">
        <v>3.394987E-2</v>
      </c>
      <c r="W7025">
        <v>0.123054</v>
      </c>
      <c r="X7025">
        <v>0.99181909999999895</v>
      </c>
      <c r="Y7025">
        <v>-1.8621680000000002E-2</v>
      </c>
      <c r="Z7025">
        <v>-9.5253110000000002E-2</v>
      </c>
      <c r="AA7025">
        <v>0.99527889999999997</v>
      </c>
      <c r="AB7025">
        <v>40</v>
      </c>
      <c r="AC7025">
        <v>-1.30000000000052E-2</v>
      </c>
      <c r="AD7025">
        <v>-7.7202999999999897E-2</v>
      </c>
      <c r="AE7025">
        <v>0.39836000000000299</v>
      </c>
      <c r="AF7025">
        <v>-1.46632067743296E-2</v>
      </c>
      <c r="AG7025">
        <v>-7.7202999999999897E-2</v>
      </c>
      <c r="AH7025">
        <v>0.38387875367201202</v>
      </c>
      <c r="AI7025">
        <v>101.363164848219</v>
      </c>
      <c r="AJ7025">
        <v>92.187491779518595</v>
      </c>
      <c r="AK7025">
        <v>0.39183952118524801</v>
      </c>
      <c r="AL7025">
        <v>82.931609440834904</v>
      </c>
      <c r="AM7025">
        <v>88.039536560139396</v>
      </c>
      <c r="AN7025">
        <v>1.0000000038569099</v>
      </c>
    </row>
    <row r="7026" spans="1:40" x14ac:dyDescent="0.25">
      <c r="A7026" t="str">
        <f>"20190312151201078"</f>
        <v>20190312151201078</v>
      </c>
      <c r="B7026" t="str">
        <f>"1552374721068229"</f>
        <v>1552374721068229</v>
      </c>
      <c r="C7026" t="s">
        <v>40</v>
      </c>
      <c r="D7026">
        <v>5.1164189999999996</v>
      </c>
      <c r="E7026">
        <v>0.48023919999999998</v>
      </c>
      <c r="F7026" t="s">
        <v>41</v>
      </c>
      <c r="G7026">
        <v>-186.58179999999999</v>
      </c>
      <c r="H7026">
        <v>1.0357590000000001</v>
      </c>
      <c r="I7026">
        <v>43.090179999999997</v>
      </c>
      <c r="J7026">
        <v>-186.56880000000001</v>
      </c>
      <c r="K7026">
        <v>1.1090180000000001</v>
      </c>
      <c r="L7026">
        <v>42.71857</v>
      </c>
      <c r="M7026">
        <v>6.3375849999999997E-3</v>
      </c>
      <c r="N7026">
        <v>0</v>
      </c>
      <c r="O7026">
        <v>0.9999266</v>
      </c>
      <c r="P7026">
        <v>3.903823E-2</v>
      </c>
      <c r="Q7026">
        <v>0.1128348</v>
      </c>
      <c r="R7026">
        <v>0.99284649999999997</v>
      </c>
      <c r="S7026">
        <v>-4.0435789999999999E-2</v>
      </c>
      <c r="T7026">
        <v>-0.2915664</v>
      </c>
      <c r="U7026">
        <v>3.0563959999999999</v>
      </c>
      <c r="V7026">
        <v>3.3005220000000002E-2</v>
      </c>
      <c r="W7026">
        <v>0.1230171</v>
      </c>
      <c r="X7026">
        <v>0.99185559999999995</v>
      </c>
      <c r="Y7026">
        <v>-1.950607E-2</v>
      </c>
      <c r="Z7026">
        <v>-9.4948320000000003E-2</v>
      </c>
      <c r="AA7026">
        <v>0.99529109999999998</v>
      </c>
      <c r="AB7026">
        <v>40</v>
      </c>
      <c r="AC7026">
        <v>-1.2999999999976799E-2</v>
      </c>
      <c r="AD7026">
        <v>-7.3258999999999894E-2</v>
      </c>
      <c r="AE7026">
        <v>0.371609999999996</v>
      </c>
      <c r="AF7026">
        <v>-1.4781219682690999E-2</v>
      </c>
      <c r="AG7026">
        <v>-7.3258999999999894E-2</v>
      </c>
      <c r="AH7026">
        <v>0.35763790287624198</v>
      </c>
      <c r="AI7026">
        <v>101.566789426798</v>
      </c>
      <c r="AJ7026">
        <v>92.366694835228998</v>
      </c>
      <c r="AK7026">
        <v>0.36536315510738698</v>
      </c>
      <c r="AL7026">
        <v>82.933740107566805</v>
      </c>
      <c r="AM7026">
        <v>88.094115437598802</v>
      </c>
      <c r="AN7026">
        <v>1.0000000413454999</v>
      </c>
    </row>
    <row r="7027" spans="1:40" x14ac:dyDescent="0.25">
      <c r="A7027" t="str">
        <f>"20190312151201101"</f>
        <v>20190312151201101</v>
      </c>
      <c r="B7027" t="str">
        <f>"1552374721088725"</f>
        <v>1552374721088725</v>
      </c>
      <c r="C7027" t="s">
        <v>40</v>
      </c>
      <c r="D7027">
        <v>5.1629160000000001</v>
      </c>
      <c r="E7027">
        <v>0.48008250000000002</v>
      </c>
      <c r="F7027" t="s">
        <v>41</v>
      </c>
      <c r="G7027">
        <v>-186.58410000000001</v>
      </c>
      <c r="H7027">
        <v>1.006448</v>
      </c>
      <c r="I7027">
        <v>43.787570000000002</v>
      </c>
      <c r="J7027">
        <v>-186.56549999999999</v>
      </c>
      <c r="K7027">
        <v>1.1090100000000001</v>
      </c>
      <c r="L7027">
        <v>43.127079999999999</v>
      </c>
      <c r="M7027">
        <v>7.1427259999999899E-3</v>
      </c>
      <c r="N7027">
        <v>0</v>
      </c>
      <c r="O7027">
        <v>0.99992110000000001</v>
      </c>
      <c r="P7027">
        <v>3.8916310000000003E-2</v>
      </c>
      <c r="Q7027">
        <v>0.11265509999999999</v>
      </c>
      <c r="R7027">
        <v>0.99287179999999997</v>
      </c>
      <c r="S7027">
        <v>-4.3869020000000002E-2</v>
      </c>
      <c r="T7027">
        <v>-0.29328609999999999</v>
      </c>
      <c r="U7027">
        <v>3.0566710000000001</v>
      </c>
      <c r="V7027">
        <v>3.2083769999999998E-2</v>
      </c>
      <c r="W7027">
        <v>0.1228472</v>
      </c>
      <c r="X7027">
        <v>0.99190679999999998</v>
      </c>
      <c r="Y7027">
        <v>-2.1426839999999999E-2</v>
      </c>
      <c r="Z7027">
        <v>-9.5491359999999997E-2</v>
      </c>
      <c r="AA7027">
        <v>0.99519959999999996</v>
      </c>
      <c r="AB7027">
        <v>40</v>
      </c>
      <c r="AC7027">
        <v>-1.86000000000206E-2</v>
      </c>
      <c r="AD7027">
        <v>-0.102562</v>
      </c>
      <c r="AE7027">
        <v>0.66049000000000202</v>
      </c>
      <c r="AF7027">
        <v>-2.2768898666505898E-2</v>
      </c>
      <c r="AG7027">
        <v>-0.102562</v>
      </c>
      <c r="AH7027">
        <v>0.64480481509649801</v>
      </c>
      <c r="AI7027">
        <v>99.032162471515207</v>
      </c>
      <c r="AJ7027">
        <v>92.022348404175005</v>
      </c>
      <c r="AK7027">
        <v>0.65330745913552402</v>
      </c>
      <c r="AL7027">
        <v>82.943548422085996</v>
      </c>
      <c r="AM7027">
        <v>88.1473824670895</v>
      </c>
      <c r="AN7027">
        <v>0.99999995136574504</v>
      </c>
    </row>
    <row r="7028" spans="1:40" x14ac:dyDescent="0.25">
      <c r="A7028" t="str">
        <f>"20190312151201123"</f>
        <v>20190312151201123</v>
      </c>
      <c r="B7028" t="str">
        <f>"1552374721118005"</f>
        <v>1552374721118005</v>
      </c>
      <c r="C7028" t="s">
        <v>40</v>
      </c>
      <c r="D7028">
        <v>5.1838379999999997</v>
      </c>
      <c r="E7028">
        <v>0.48015780000000002</v>
      </c>
      <c r="F7028" t="s">
        <v>41</v>
      </c>
      <c r="G7028">
        <v>-186.5806</v>
      </c>
      <c r="H7028">
        <v>1.009747</v>
      </c>
      <c r="I7028">
        <v>44.150239999999997</v>
      </c>
      <c r="J7028">
        <v>-186.56200000000001</v>
      </c>
      <c r="K7028">
        <v>1.1090100000000001</v>
      </c>
      <c r="L7028">
        <v>43.530520000000003</v>
      </c>
      <c r="M7028">
        <v>7.9371210000000001E-3</v>
      </c>
      <c r="N7028">
        <v>0</v>
      </c>
      <c r="O7028">
        <v>0.999915</v>
      </c>
      <c r="P7028">
        <v>3.9481889999999999E-2</v>
      </c>
      <c r="Q7028">
        <v>0.112257</v>
      </c>
      <c r="R7028">
        <v>0.99289450000000001</v>
      </c>
      <c r="S7028">
        <v>-4.5257569999999997E-2</v>
      </c>
      <c r="T7028">
        <v>-0.29656840000000001</v>
      </c>
      <c r="U7028">
        <v>3.0569760000000001</v>
      </c>
      <c r="V7028">
        <v>3.1859890000000002E-2</v>
      </c>
      <c r="W7028">
        <v>0.1224577</v>
      </c>
      <c r="X7028">
        <v>0.99196229999999996</v>
      </c>
      <c r="Y7028">
        <v>-2.267013E-2</v>
      </c>
      <c r="Z7028">
        <v>-9.6538079999999998E-2</v>
      </c>
      <c r="AA7028">
        <v>0.99507109999999999</v>
      </c>
      <c r="AB7028">
        <v>40</v>
      </c>
      <c r="AC7028">
        <v>-1.8599999999992099E-2</v>
      </c>
      <c r="AD7028">
        <v>-9.9263000000000101E-2</v>
      </c>
      <c r="AE7028">
        <v>0.61972000000000005</v>
      </c>
      <c r="AF7028">
        <v>-2.29306963800202E-2</v>
      </c>
      <c r="AG7028">
        <v>-9.9263000000000101E-2</v>
      </c>
      <c r="AH7028">
        <v>0.60406897788276803</v>
      </c>
      <c r="AI7028">
        <v>99.325074595986095</v>
      </c>
      <c r="AJ7028">
        <v>92.173926560325299</v>
      </c>
      <c r="AK7028">
        <v>0.61259961642642602</v>
      </c>
      <c r="AL7028">
        <v>82.966035767662802</v>
      </c>
      <c r="AM7028">
        <v>88.160403945877704</v>
      </c>
      <c r="AN7028">
        <v>1.0000000727506899</v>
      </c>
    </row>
    <row r="7029" spans="1:40" x14ac:dyDescent="0.25">
      <c r="A7029" t="str">
        <f>"20190312151201146"</f>
        <v>20190312151201146</v>
      </c>
      <c r="B7029" t="str">
        <f>"1552374721138501"</f>
        <v>1552374721138501</v>
      </c>
      <c r="C7029" t="s">
        <v>40</v>
      </c>
      <c r="D7029">
        <v>5.1077029999999999</v>
      </c>
      <c r="E7029">
        <v>0.51340140000000001</v>
      </c>
      <c r="F7029" t="s">
        <v>41</v>
      </c>
      <c r="G7029">
        <v>-186.57579999999999</v>
      </c>
      <c r="H7029">
        <v>1.012829</v>
      </c>
      <c r="I7029">
        <v>44.513069999999999</v>
      </c>
      <c r="J7029">
        <v>-186.55799999999999</v>
      </c>
      <c r="K7029">
        <v>1.1089979999999999</v>
      </c>
      <c r="L7029">
        <v>43.94153</v>
      </c>
      <c r="M7029">
        <v>8.7438240000000007E-3</v>
      </c>
      <c r="N7029">
        <v>0</v>
      </c>
      <c r="O7029">
        <v>0.99990809999999997</v>
      </c>
      <c r="P7029">
        <v>4.0316610000000003E-2</v>
      </c>
      <c r="Q7029">
        <v>0.1112789</v>
      </c>
      <c r="R7029">
        <v>0.9929711</v>
      </c>
      <c r="S7029">
        <v>-4.3121340000000001E-2</v>
      </c>
      <c r="T7029">
        <v>-0.29923709999999998</v>
      </c>
      <c r="U7029">
        <v>3.057007</v>
      </c>
      <c r="V7029">
        <v>3.1890830000000002E-2</v>
      </c>
      <c r="W7029">
        <v>0.121489899999999</v>
      </c>
      <c r="X7029">
        <v>0.99208019999999997</v>
      </c>
      <c r="Y7029">
        <v>-2.2780160000000001E-2</v>
      </c>
      <c r="Z7029">
        <v>-9.7397040000000004E-2</v>
      </c>
      <c r="AA7029">
        <v>0.99498489999999995</v>
      </c>
      <c r="AB7029">
        <v>40</v>
      </c>
      <c r="AC7029">
        <v>-1.7799999999994001E-2</v>
      </c>
      <c r="AD7029">
        <v>-9.6168999999999893E-2</v>
      </c>
      <c r="AE7029">
        <v>0.57153999999999805</v>
      </c>
      <c r="AF7029">
        <v>-2.21699560639824E-2</v>
      </c>
      <c r="AG7029">
        <v>-9.6168999999999893E-2</v>
      </c>
      <c r="AH7029">
        <v>0.55564606174004205</v>
      </c>
      <c r="AI7029">
        <v>99.811594669483995</v>
      </c>
      <c r="AJ7029">
        <v>92.284856464739306</v>
      </c>
      <c r="AK7029">
        <v>0.564342563909633</v>
      </c>
      <c r="AL7029">
        <v>83.021903063456094</v>
      </c>
      <c r="AM7029">
        <v>88.158837375058397</v>
      </c>
      <c r="AN7029">
        <v>0.99999997203606905</v>
      </c>
    </row>
    <row r="7030" spans="1:40" x14ac:dyDescent="0.25">
      <c r="A7030" t="str">
        <f>"20190312151201167"</f>
        <v>20190312151201167</v>
      </c>
      <c r="B7030" t="str">
        <f>"1552374721158021"</f>
        <v>1552374721158021</v>
      </c>
      <c r="C7030" t="s">
        <v>40</v>
      </c>
      <c r="D7030">
        <v>5.1292559999999998</v>
      </c>
      <c r="E7030">
        <v>0.51861789999999997</v>
      </c>
      <c r="F7030" t="s">
        <v>41</v>
      </c>
      <c r="G7030">
        <v>-186.48830000000001</v>
      </c>
      <c r="H7030">
        <v>1.0345230000000001</v>
      </c>
      <c r="I7030">
        <v>44.883180000000003</v>
      </c>
      <c r="J7030">
        <v>-186.554</v>
      </c>
      <c r="K7030">
        <v>1.108994</v>
      </c>
      <c r="L7030">
        <v>44.33267</v>
      </c>
      <c r="M7030">
        <v>9.5051979999999994E-3</v>
      </c>
      <c r="N7030">
        <v>0</v>
      </c>
      <c r="O7030">
        <v>0.99990109999999999</v>
      </c>
      <c r="P7030">
        <v>4.1497779999999998E-2</v>
      </c>
      <c r="Q7030">
        <v>0.1103917</v>
      </c>
      <c r="R7030">
        <v>0.99302140000000005</v>
      </c>
      <c r="S7030">
        <v>0.2243347</v>
      </c>
      <c r="T7030">
        <v>-0.24034759999999999</v>
      </c>
      <c r="U7030">
        <v>3.0390630000000001</v>
      </c>
      <c r="V7030">
        <v>3.2312800000000003E-2</v>
      </c>
      <c r="W7030">
        <v>0.12061470000000001</v>
      </c>
      <c r="X7030">
        <v>0.99217339999999998</v>
      </c>
      <c r="Y7030">
        <v>6.3905519999999993E-2</v>
      </c>
      <c r="Z7030">
        <v>-7.8647739999999994E-2</v>
      </c>
      <c r="AA7030">
        <v>0.99485210000000002</v>
      </c>
      <c r="AB7030">
        <v>40</v>
      </c>
      <c r="AC7030">
        <v>6.5699999999992501E-2</v>
      </c>
      <c r="AD7030">
        <v>-7.4471000000000107E-2</v>
      </c>
      <c r="AE7030">
        <v>0.55050999999999495</v>
      </c>
      <c r="AF7030">
        <v>5.9392442922147098E-2</v>
      </c>
      <c r="AG7030">
        <v>-7.4471000000000107E-2</v>
      </c>
      <c r="AH7030">
        <v>0.54134236561875604</v>
      </c>
      <c r="AI7030">
        <v>97.786714272726698</v>
      </c>
      <c r="AJ7030">
        <v>83.738933839039206</v>
      </c>
      <c r="AK7030">
        <v>0.54965893873471405</v>
      </c>
      <c r="AL7030">
        <v>83.072420294628898</v>
      </c>
      <c r="AM7030">
        <v>88.134667871878307</v>
      </c>
      <c r="AN7030">
        <v>1.00000003928374</v>
      </c>
    </row>
    <row r="7031" spans="1:40" x14ac:dyDescent="0.25">
      <c r="A7031" t="str">
        <f>"20190312151201190"</f>
        <v>20190312151201190</v>
      </c>
      <c r="B7031" t="str">
        <f>"1552374721178518"</f>
        <v>1552374721178518</v>
      </c>
      <c r="C7031" t="s">
        <v>40</v>
      </c>
      <c r="D7031">
        <v>5.1388930000000004</v>
      </c>
      <c r="E7031">
        <v>0.52073630000000004</v>
      </c>
      <c r="F7031" t="s">
        <v>41</v>
      </c>
      <c r="G7031">
        <v>-186.47239999999999</v>
      </c>
      <c r="H7031">
        <v>1.0430159999999999</v>
      </c>
      <c r="I7031">
        <v>45.249070000000003</v>
      </c>
      <c r="J7031">
        <v>-186.54949999999999</v>
      </c>
      <c r="K7031">
        <v>1.1089990000000001</v>
      </c>
      <c r="L7031">
        <v>44.741</v>
      </c>
      <c r="M7031">
        <v>1.0286669999999999E-2</v>
      </c>
      <c r="N7031">
        <v>0</v>
      </c>
      <c r="O7031">
        <v>0.99989320000000004</v>
      </c>
      <c r="P7031">
        <v>4.2767769999999997E-2</v>
      </c>
      <c r="Q7031">
        <v>0.10928740000000001</v>
      </c>
      <c r="R7031">
        <v>0.99308969999999996</v>
      </c>
      <c r="S7031">
        <v>0.27000429999999997</v>
      </c>
      <c r="T7031">
        <v>-0.21844420000000001</v>
      </c>
      <c r="U7031">
        <v>3.0340880000000001</v>
      </c>
      <c r="V7031">
        <v>3.2801499999999997E-2</v>
      </c>
      <c r="W7031">
        <v>0.1195259</v>
      </c>
      <c r="X7031">
        <v>0.99228910000000003</v>
      </c>
      <c r="Y7031">
        <v>7.8161369999999994E-2</v>
      </c>
      <c r="Z7031">
        <v>-7.1554640000000003E-2</v>
      </c>
      <c r="AA7031">
        <v>0.99436950000000002</v>
      </c>
      <c r="AB7031">
        <v>40</v>
      </c>
      <c r="AC7031">
        <v>7.7100000000001501E-2</v>
      </c>
      <c r="AD7031">
        <v>-6.5983000000000097E-2</v>
      </c>
      <c r="AE7031">
        <v>0.50806999999999602</v>
      </c>
      <c r="AF7031">
        <v>7.0703632328581498E-2</v>
      </c>
      <c r="AG7031">
        <v>-6.5983000000000097E-2</v>
      </c>
      <c r="AH7031">
        <v>0.50058337557699195</v>
      </c>
      <c r="AI7031">
        <v>97.436026811718406</v>
      </c>
      <c r="AJ7031">
        <v>81.960581739713504</v>
      </c>
      <c r="AK7031">
        <v>0.50983965696825795</v>
      </c>
      <c r="AL7031">
        <v>83.135258407464903</v>
      </c>
      <c r="AM7031">
        <v>88.106697525160399</v>
      </c>
      <c r="AN7031">
        <v>1.0000000185759299</v>
      </c>
    </row>
    <row r="7032" spans="1:40" x14ac:dyDescent="0.25">
      <c r="A7032" t="str">
        <f>"20190312151201212"</f>
        <v>20190312151201212</v>
      </c>
      <c r="B7032" t="str">
        <f>"1552374721208773"</f>
        <v>1552374721208773</v>
      </c>
      <c r="C7032" t="s">
        <v>40</v>
      </c>
      <c r="D7032">
        <v>5.1081909999999997</v>
      </c>
      <c r="E7032">
        <v>0.52176359999999999</v>
      </c>
      <c r="F7032" t="s">
        <v>41</v>
      </c>
      <c r="G7032">
        <v>-186.46549999999999</v>
      </c>
      <c r="H7032">
        <v>1.046665</v>
      </c>
      <c r="I7032">
        <v>45.613329999999998</v>
      </c>
      <c r="J7032">
        <v>-186.54470000000001</v>
      </c>
      <c r="K7032">
        <v>1.109008</v>
      </c>
      <c r="L7032">
        <v>45.144710000000003</v>
      </c>
      <c r="M7032">
        <v>1.1038910000000001E-2</v>
      </c>
      <c r="N7032">
        <v>0</v>
      </c>
      <c r="O7032">
        <v>0.99988500000000002</v>
      </c>
      <c r="P7032">
        <v>4.4472820000000003E-2</v>
      </c>
      <c r="Q7032">
        <v>0.1087955</v>
      </c>
      <c r="R7032">
        <v>0.99306879999999997</v>
      </c>
      <c r="S7032">
        <v>0.29159550000000001</v>
      </c>
      <c r="T7032">
        <v>-0.21666289999999999</v>
      </c>
      <c r="U7032">
        <v>3.0321660000000001</v>
      </c>
      <c r="V7032">
        <v>3.3754680000000002E-2</v>
      </c>
      <c r="W7032">
        <v>0.11904820000000001</v>
      </c>
      <c r="X7032">
        <v>0.99231449999999999</v>
      </c>
      <c r="Y7032">
        <v>8.4489750000000002E-2</v>
      </c>
      <c r="Z7032">
        <v>-7.0976339999999999E-2</v>
      </c>
      <c r="AA7032">
        <v>0.99389329999999998</v>
      </c>
      <c r="AB7032">
        <v>40</v>
      </c>
      <c r="AC7032">
        <v>7.9200000000014301E-2</v>
      </c>
      <c r="AD7032">
        <v>-6.2343000000000003E-2</v>
      </c>
      <c r="AE7032">
        <v>0.46862000000000098</v>
      </c>
      <c r="AF7032">
        <v>7.2769698886331294E-2</v>
      </c>
      <c r="AG7032">
        <v>-6.2343000000000003E-2</v>
      </c>
      <c r="AH7032">
        <v>0.461524367334049</v>
      </c>
      <c r="AI7032">
        <v>97.600209214376704</v>
      </c>
      <c r="AJ7032">
        <v>81.039797548909604</v>
      </c>
      <c r="AK7032">
        <v>0.47136696995875899</v>
      </c>
      <c r="AL7032">
        <v>83.162825029984702</v>
      </c>
      <c r="AM7032">
        <v>88.051771611820698</v>
      </c>
      <c r="AN7032">
        <v>0.99999995962769495</v>
      </c>
    </row>
    <row r="7033" spans="1:40" x14ac:dyDescent="0.25">
      <c r="A7033" t="str">
        <f>"20190312151201235"</f>
        <v>20190312151201235</v>
      </c>
      <c r="B7033" t="str">
        <f>"1552374721228293"</f>
        <v>1552374721228293</v>
      </c>
      <c r="C7033" t="s">
        <v>40</v>
      </c>
      <c r="D7033">
        <v>5.3329000000000004</v>
      </c>
      <c r="E7033">
        <v>0.52237370000000005</v>
      </c>
      <c r="F7033" t="s">
        <v>41</v>
      </c>
      <c r="G7033">
        <v>-186.46019999999999</v>
      </c>
      <c r="H7033">
        <v>1.054872</v>
      </c>
      <c r="I7033">
        <v>45.9831</v>
      </c>
      <c r="J7033">
        <v>-186.53970000000001</v>
      </c>
      <c r="K7033">
        <v>1.1090279999999999</v>
      </c>
      <c r="L7033">
        <v>45.542940000000002</v>
      </c>
      <c r="M7033">
        <v>1.1752530000000001E-2</v>
      </c>
      <c r="N7033">
        <v>0</v>
      </c>
      <c r="O7033">
        <v>0.99987669999999995</v>
      </c>
      <c r="P7033">
        <v>4.6093259999999997E-2</v>
      </c>
      <c r="Q7033">
        <v>0.1086565</v>
      </c>
      <c r="R7033">
        <v>0.99301019999999895</v>
      </c>
      <c r="S7033">
        <v>0.30509950000000002</v>
      </c>
      <c r="T7033">
        <v>-0.19556709999999999</v>
      </c>
      <c r="U7033">
        <v>3.0286870000000001</v>
      </c>
      <c r="V7033">
        <v>3.4660780000000002E-2</v>
      </c>
      <c r="W7033">
        <v>0.11892320000000001</v>
      </c>
      <c r="X7033">
        <v>0.99229829999999997</v>
      </c>
      <c r="Y7033">
        <v>8.8322029999999996E-2</v>
      </c>
      <c r="Z7033">
        <v>-6.4143229999999996E-2</v>
      </c>
      <c r="AA7033">
        <v>0.99402460000000004</v>
      </c>
      <c r="AB7033">
        <v>40</v>
      </c>
      <c r="AC7033">
        <v>7.9500000000024301E-2</v>
      </c>
      <c r="AD7033">
        <v>-5.4156000000000003E-2</v>
      </c>
      <c r="AE7033">
        <v>0.440159999999998</v>
      </c>
      <c r="AF7033">
        <v>7.3247435725428994E-2</v>
      </c>
      <c r="AG7033">
        <v>-5.4156000000000003E-2</v>
      </c>
      <c r="AH7033">
        <v>0.434691447997125</v>
      </c>
      <c r="AI7033">
        <v>97.003863069585606</v>
      </c>
      <c r="AJ7033">
        <v>80.435258045884098</v>
      </c>
      <c r="AK7033">
        <v>0.44413366697221701</v>
      </c>
      <c r="AL7033">
        <v>83.170038568503799</v>
      </c>
      <c r="AM7033">
        <v>87.999483287204697</v>
      </c>
      <c r="AN7033">
        <v>1.00000000667566</v>
      </c>
    </row>
    <row r="7034" spans="1:40" x14ac:dyDescent="0.25">
      <c r="A7034" t="str">
        <f>"20190312151201258"</f>
        <v>20190312151201258</v>
      </c>
      <c r="B7034" t="str">
        <f>"1552374721248790"</f>
        <v>1552374721248790</v>
      </c>
      <c r="C7034" t="s">
        <v>40</v>
      </c>
      <c r="D7034">
        <v>5.1493169999999999</v>
      </c>
      <c r="E7034">
        <v>0.52253249999999996</v>
      </c>
      <c r="F7034" t="s">
        <v>42</v>
      </c>
      <c r="G7034">
        <v>-184.68950000000001</v>
      </c>
      <c r="H7034" s="1">
        <v>-2.6606890000000001E-6</v>
      </c>
      <c r="I7034">
        <v>63.314489999999999</v>
      </c>
      <c r="J7034">
        <v>-186.5341</v>
      </c>
      <c r="K7034">
        <v>1.1090580000000001</v>
      </c>
      <c r="L7034">
        <v>45.964419999999997</v>
      </c>
      <c r="M7034">
        <v>1.2468109999999999E-2</v>
      </c>
      <c r="N7034">
        <v>0</v>
      </c>
      <c r="O7034">
        <v>0.99986790000000003</v>
      </c>
      <c r="P7034">
        <v>4.7667439999999998E-2</v>
      </c>
      <c r="Q7034">
        <v>0.10861999999999999</v>
      </c>
      <c r="R7034">
        <v>0.99293980000000004</v>
      </c>
      <c r="S7034">
        <v>0.31515500000000002</v>
      </c>
      <c r="T7034">
        <v>-0.18890940000000001</v>
      </c>
      <c r="U7034">
        <v>3.027161</v>
      </c>
      <c r="V7034">
        <v>3.551634E-2</v>
      </c>
      <c r="W7034">
        <v>0.1189052</v>
      </c>
      <c r="X7034">
        <v>0.99227019999999999</v>
      </c>
      <c r="Y7034">
        <v>9.0940590000000002E-2</v>
      </c>
      <c r="Z7034">
        <v>-6.1980550000000002E-2</v>
      </c>
      <c r="AA7034">
        <v>0.99392570000000002</v>
      </c>
      <c r="AB7034">
        <v>41</v>
      </c>
      <c r="AC7034">
        <v>1.84459999999998</v>
      </c>
      <c r="AD7034">
        <v>-1.1090606606890001</v>
      </c>
      <c r="AE7034">
        <v>17.350069999999899</v>
      </c>
      <c r="AF7034">
        <v>1.6215704321384801</v>
      </c>
      <c r="AG7034">
        <v>-1.1090606606890001</v>
      </c>
      <c r="AH7034">
        <v>17.3018145242184</v>
      </c>
      <c r="AI7034">
        <v>93.651729474047002</v>
      </c>
      <c r="AJ7034">
        <v>84.645733189455001</v>
      </c>
      <c r="AK7034">
        <v>17.4129920474894</v>
      </c>
      <c r="AL7034">
        <v>83.171077240077906</v>
      </c>
      <c r="AM7034">
        <v>87.950086538430398</v>
      </c>
      <c r="AN7034">
        <v>1.0000000034010299</v>
      </c>
    </row>
    <row r="7035" spans="1:40" x14ac:dyDescent="0.25">
      <c r="A7035" t="str">
        <f>"20190312151201280"</f>
        <v>20190312151201280</v>
      </c>
      <c r="B7035" t="str">
        <f>"1552374721268310"</f>
        <v>1552374721268310</v>
      </c>
      <c r="C7035" t="s">
        <v>40</v>
      </c>
      <c r="D7035">
        <v>5.1999240000000002</v>
      </c>
      <c r="E7035">
        <v>0.52269200000000005</v>
      </c>
      <c r="F7035" t="s">
        <v>42</v>
      </c>
      <c r="G7035">
        <v>-184.51769999999999</v>
      </c>
      <c r="H7035" s="1">
        <v>-3.2742069999999999E-6</v>
      </c>
      <c r="I7035">
        <v>64.983040000000003</v>
      </c>
      <c r="J7035">
        <v>-186.52860000000001</v>
      </c>
      <c r="K7035">
        <v>1.109091</v>
      </c>
      <c r="L7035">
        <v>46.359990000000003</v>
      </c>
      <c r="M7035">
        <v>1.308784E-2</v>
      </c>
      <c r="N7035">
        <v>0</v>
      </c>
      <c r="O7035">
        <v>0.99985979999999997</v>
      </c>
      <c r="P7035">
        <v>4.9180109999999999E-2</v>
      </c>
      <c r="Q7035">
        <v>0.1087714</v>
      </c>
      <c r="R7035">
        <v>0.99284950000000005</v>
      </c>
      <c r="S7035">
        <v>0.32073970000000002</v>
      </c>
      <c r="T7035">
        <v>-0.17641509999999999</v>
      </c>
      <c r="U7035">
        <v>3.0252379999999999</v>
      </c>
      <c r="V7035">
        <v>3.6404150000000003E-2</v>
      </c>
      <c r="W7035">
        <v>0.11907710000000001</v>
      </c>
      <c r="X7035">
        <v>0.99221740000000003</v>
      </c>
      <c r="Y7035">
        <v>9.2228840000000006E-2</v>
      </c>
      <c r="Z7035">
        <v>-5.7922290000000001E-2</v>
      </c>
      <c r="AA7035">
        <v>0.99405180000000004</v>
      </c>
      <c r="AB7035">
        <v>41</v>
      </c>
      <c r="AC7035">
        <v>2.0109000000000199</v>
      </c>
      <c r="AD7035">
        <v>-1.109094274207</v>
      </c>
      <c r="AE7035">
        <v>18.623049999999999</v>
      </c>
      <c r="AF7035">
        <v>1.76080572546729</v>
      </c>
      <c r="AG7035">
        <v>-1.109094274207</v>
      </c>
      <c r="AH7035">
        <v>18.582625504445399</v>
      </c>
      <c r="AI7035">
        <v>93.400421281306393</v>
      </c>
      <c r="AJ7035">
        <v>84.587072090359399</v>
      </c>
      <c r="AK7035">
        <v>18.698783317381402</v>
      </c>
      <c r="AL7035">
        <v>83.161157550908698</v>
      </c>
      <c r="AM7035">
        <v>87.898778046636195</v>
      </c>
      <c r="AN7035">
        <v>0.99999999337219603</v>
      </c>
    </row>
    <row r="7036" spans="1:40" x14ac:dyDescent="0.25">
      <c r="A7036" t="str">
        <f>"20190312151201303"</f>
        <v>20190312151201303</v>
      </c>
      <c r="B7036" t="str">
        <f>"1552374721298567"</f>
        <v>1552374721298567</v>
      </c>
      <c r="C7036" t="s">
        <v>40</v>
      </c>
      <c r="D7036">
        <v>5.1567889999999998</v>
      </c>
      <c r="E7036">
        <v>0.522594</v>
      </c>
      <c r="F7036" t="s">
        <v>41</v>
      </c>
      <c r="G7036">
        <v>-186.4128</v>
      </c>
      <c r="H7036">
        <v>1.050003</v>
      </c>
      <c r="I7036">
        <v>47.431959999999997</v>
      </c>
      <c r="J7036">
        <v>-186.52260000000001</v>
      </c>
      <c r="K7036">
        <v>1.109146</v>
      </c>
      <c r="L7036">
        <v>46.784669999999998</v>
      </c>
      <c r="M7036">
        <v>1.369068E-2</v>
      </c>
      <c r="N7036">
        <v>0</v>
      </c>
      <c r="O7036">
        <v>0.9998515</v>
      </c>
      <c r="P7036">
        <v>5.0153610000000001E-2</v>
      </c>
      <c r="Q7036">
        <v>0.1091433</v>
      </c>
      <c r="R7036">
        <v>0.99275999999999998</v>
      </c>
      <c r="S7036">
        <v>0.32649230000000001</v>
      </c>
      <c r="T7036">
        <v>-0.16666879999999901</v>
      </c>
      <c r="U7036">
        <v>3.023682</v>
      </c>
      <c r="V7036">
        <v>3.676687E-2</v>
      </c>
      <c r="W7036">
        <v>0.1194738</v>
      </c>
      <c r="X7036">
        <v>0.99215629999999999</v>
      </c>
      <c r="Y7036">
        <v>9.3571009999999996E-2</v>
      </c>
      <c r="Z7036">
        <v>-5.4750510000000002E-2</v>
      </c>
      <c r="AA7036">
        <v>0.99410609999999999</v>
      </c>
      <c r="AB7036">
        <v>41</v>
      </c>
      <c r="AC7036">
        <v>0.109800000000006</v>
      </c>
      <c r="AD7036">
        <v>-5.9142999999999897E-2</v>
      </c>
      <c r="AE7036">
        <v>0.64728999999999803</v>
      </c>
      <c r="AF7036">
        <v>0.100114949333756</v>
      </c>
      <c r="AG7036">
        <v>-5.9142999999999897E-2</v>
      </c>
      <c r="AH7036">
        <v>0.64351055645513699</v>
      </c>
      <c r="AI7036">
        <v>95.189044736120707</v>
      </c>
      <c r="AJ7036">
        <v>81.157028610836804</v>
      </c>
      <c r="AK7036">
        <v>0.65393175010722704</v>
      </c>
      <c r="AL7036">
        <v>83.138264642299504</v>
      </c>
      <c r="AM7036">
        <v>87.877730582483693</v>
      </c>
      <c r="AN7036">
        <v>0.99999995762286198</v>
      </c>
    </row>
    <row r="7037" spans="1:40" x14ac:dyDescent="0.25">
      <c r="A7037" t="str">
        <f>"20190312151201324"</f>
        <v>20190312151201324</v>
      </c>
      <c r="B7037" t="str">
        <f>"1552374721318086"</f>
        <v>1552374721318086</v>
      </c>
      <c r="C7037" t="s">
        <v>40</v>
      </c>
      <c r="D7037">
        <v>5.5369780000000004</v>
      </c>
      <c r="E7037">
        <v>0.5224683</v>
      </c>
      <c r="F7037" t="s">
        <v>42</v>
      </c>
      <c r="G7037">
        <v>-184.2277</v>
      </c>
      <c r="H7037" s="1">
        <v>-4.5560299999999996E-6</v>
      </c>
      <c r="I7037">
        <v>67.866240000000005</v>
      </c>
      <c r="J7037">
        <v>-186.51679999999999</v>
      </c>
      <c r="K7037">
        <v>1.109194</v>
      </c>
      <c r="L7037">
        <v>47.175449999999998</v>
      </c>
      <c r="M7037">
        <v>1.41952E-2</v>
      </c>
      <c r="N7037">
        <v>0</v>
      </c>
      <c r="O7037">
        <v>0.99984419999999996</v>
      </c>
      <c r="P7037">
        <v>5.1591680000000001E-2</v>
      </c>
      <c r="Q7037">
        <v>0.1096466</v>
      </c>
      <c r="R7037">
        <v>0.99263080000000004</v>
      </c>
      <c r="S7037">
        <v>0.32904050000000001</v>
      </c>
      <c r="T7037">
        <v>-0.15903320000000001</v>
      </c>
      <c r="U7037">
        <v>3.0227360000000001</v>
      </c>
      <c r="V7037">
        <v>3.769314E-2</v>
      </c>
      <c r="W7037">
        <v>0.1199979</v>
      </c>
      <c r="X7037">
        <v>0.99205829999999995</v>
      </c>
      <c r="Y7037">
        <v>9.3944589999999994E-2</v>
      </c>
      <c r="Z7037">
        <v>-5.2261660000000001E-2</v>
      </c>
      <c r="AA7037">
        <v>0.9942048</v>
      </c>
      <c r="AB7037">
        <v>41</v>
      </c>
      <c r="AC7037">
        <v>2.2890999999999901</v>
      </c>
      <c r="AD7037">
        <v>-1.1091985560299999</v>
      </c>
      <c r="AE7037">
        <v>20.69079</v>
      </c>
      <c r="AF7037">
        <v>1.9894948844974101</v>
      </c>
      <c r="AG7037">
        <v>-1.1091985560299999</v>
      </c>
      <c r="AH7037">
        <v>20.662537994214301</v>
      </c>
      <c r="AI7037">
        <v>93.058662613959498</v>
      </c>
      <c r="AJ7037">
        <v>84.500223182374597</v>
      </c>
      <c r="AK7037">
        <v>20.787710015643601</v>
      </c>
      <c r="AL7037">
        <v>83.108018407739095</v>
      </c>
      <c r="AM7037">
        <v>87.824100153791903</v>
      </c>
      <c r="AN7037">
        <v>0.99999996970317895</v>
      </c>
    </row>
    <row r="7038" spans="1:40" x14ac:dyDescent="0.25">
      <c r="A7038" t="str">
        <f>"20190312151201345"</f>
        <v>20190312151201345</v>
      </c>
      <c r="B7038" t="str">
        <f>"1552374721338581"</f>
        <v>1552374721338581</v>
      </c>
      <c r="C7038" t="s">
        <v>40</v>
      </c>
      <c r="D7038">
        <v>5.1791910000000003</v>
      </c>
      <c r="E7038">
        <v>0.52240399999999998</v>
      </c>
      <c r="F7038" t="s">
        <v>42</v>
      </c>
      <c r="G7038">
        <v>-184.196</v>
      </c>
      <c r="H7038" s="1">
        <v>-4.7538839999999999E-6</v>
      </c>
      <c r="I7038">
        <v>68.314309999999907</v>
      </c>
      <c r="J7038">
        <v>-186.511</v>
      </c>
      <c r="K7038">
        <v>1.109243</v>
      </c>
      <c r="L7038">
        <v>47.561279999999996</v>
      </c>
      <c r="M7038">
        <v>1.4639310000000001E-2</v>
      </c>
      <c r="N7038">
        <v>0</v>
      </c>
      <c r="O7038">
        <v>0.99983759999999999</v>
      </c>
      <c r="P7038">
        <v>5.25795999999999E-2</v>
      </c>
      <c r="Q7038">
        <v>0.1096635</v>
      </c>
      <c r="R7038">
        <v>0.99257709999999999</v>
      </c>
      <c r="S7038">
        <v>0.33184809999999998</v>
      </c>
      <c r="T7038">
        <v>-0.1585994</v>
      </c>
      <c r="U7038">
        <v>3.0225520000000001</v>
      </c>
      <c r="V7038">
        <v>3.8226759999999999E-2</v>
      </c>
      <c r="W7038">
        <v>0.12003709999999999</v>
      </c>
      <c r="X7038">
        <v>0.99203319999999995</v>
      </c>
      <c r="Y7038">
        <v>9.4422240000000005E-2</v>
      </c>
      <c r="Z7038">
        <v>-5.2118310000000001E-2</v>
      </c>
      <c r="AA7038">
        <v>0.99416700000000002</v>
      </c>
      <c r="AB7038">
        <v>41</v>
      </c>
      <c r="AC7038">
        <v>2.3149999999999902</v>
      </c>
      <c r="AD7038">
        <v>-1.109247753884</v>
      </c>
      <c r="AE7038">
        <v>20.7530299999999</v>
      </c>
      <c r="AF7038">
        <v>2.0052666513622701</v>
      </c>
      <c r="AG7038">
        <v>-1.109247753884</v>
      </c>
      <c r="AH7038">
        <v>20.726212887193601</v>
      </c>
      <c r="AI7038">
        <v>93.0492831895683</v>
      </c>
      <c r="AJ7038">
        <v>84.473817965606003</v>
      </c>
      <c r="AK7038">
        <v>20.852516048856899</v>
      </c>
      <c r="AL7038">
        <v>83.105756479667804</v>
      </c>
      <c r="AM7038">
        <v>87.793270505523495</v>
      </c>
      <c r="AN7038">
        <v>1.0000000302293699</v>
      </c>
    </row>
    <row r="7039" spans="1:40" x14ac:dyDescent="0.25">
      <c r="A7039" t="str">
        <f>"20190312151201368"</f>
        <v>20190312151201368</v>
      </c>
      <c r="B7039" t="str">
        <f>"1552374721358102"</f>
        <v>1552374721358102</v>
      </c>
      <c r="C7039" t="s">
        <v>40</v>
      </c>
      <c r="D7039">
        <v>5.2066270000000001</v>
      </c>
      <c r="E7039">
        <v>0.52249159999999994</v>
      </c>
      <c r="F7039" t="s">
        <v>42</v>
      </c>
      <c r="G7039">
        <v>-184.2133</v>
      </c>
      <c r="H7039" s="1">
        <v>-4.7650159999999997E-6</v>
      </c>
      <c r="I7039">
        <v>68.347430000000003</v>
      </c>
      <c r="J7039">
        <v>-186.5044</v>
      </c>
      <c r="K7039">
        <v>1.1093</v>
      </c>
      <c r="L7039">
        <v>47.984769999999997</v>
      </c>
      <c r="M7039">
        <v>1.505461E-2</v>
      </c>
      <c r="N7039">
        <v>0</v>
      </c>
      <c r="O7039">
        <v>0.99983120000000003</v>
      </c>
      <c r="P7039">
        <v>5.2740570000000001E-2</v>
      </c>
      <c r="Q7039">
        <v>0.1098364</v>
      </c>
      <c r="R7039">
        <v>0.99254940000000003</v>
      </c>
      <c r="S7039">
        <v>0.33410640000000003</v>
      </c>
      <c r="T7039">
        <v>-0.16129779999999999</v>
      </c>
      <c r="U7039">
        <v>3.0225520000000001</v>
      </c>
      <c r="V7039">
        <v>3.7958850000000002E-2</v>
      </c>
      <c r="W7039">
        <v>0.12023929999999999</v>
      </c>
      <c r="X7039">
        <v>0.99201899999999998</v>
      </c>
      <c r="Y7039">
        <v>9.4737520000000006E-2</v>
      </c>
      <c r="Z7039">
        <v>-5.299914E-2</v>
      </c>
      <c r="AA7039">
        <v>0.99409049999999999</v>
      </c>
      <c r="AB7039">
        <v>41</v>
      </c>
      <c r="AC7039">
        <v>2.2911000000000001</v>
      </c>
      <c r="AD7039">
        <v>-1.1093047650159999</v>
      </c>
      <c r="AE7039">
        <v>20.362660000000002</v>
      </c>
      <c r="AF7039">
        <v>1.9784731351624101</v>
      </c>
      <c r="AG7039">
        <v>-1.1093047650159999</v>
      </c>
      <c r="AH7039">
        <v>20.3352494064324</v>
      </c>
      <c r="AI7039">
        <v>93.107792237001803</v>
      </c>
      <c r="AJ7039">
        <v>84.443023659502501</v>
      </c>
      <c r="AK7039">
        <v>20.461360693513399</v>
      </c>
      <c r="AL7039">
        <v>83.094086749738906</v>
      </c>
      <c r="AM7039">
        <v>87.808689773845899</v>
      </c>
      <c r="AN7039">
        <v>1.0000000299594001</v>
      </c>
    </row>
    <row r="7040" spans="1:40" x14ac:dyDescent="0.25">
      <c r="A7040" t="str">
        <f>"20190312151201391"</f>
        <v>20190312151201391</v>
      </c>
      <c r="B7040" t="str">
        <f>"1552374721378597"</f>
        <v>1552374721378597</v>
      </c>
      <c r="C7040" t="s">
        <v>40</v>
      </c>
      <c r="D7040">
        <v>5.168196</v>
      </c>
      <c r="E7040">
        <v>0.52244590000000002</v>
      </c>
      <c r="F7040" t="s">
        <v>42</v>
      </c>
      <c r="G7040">
        <v>-184.21879999999999</v>
      </c>
      <c r="H7040" s="1">
        <v>-4.8556749999999999E-6</v>
      </c>
      <c r="I7040">
        <v>68.561009999999996</v>
      </c>
      <c r="J7040">
        <v>-186.49809999999999</v>
      </c>
      <c r="K7040">
        <v>1.109361</v>
      </c>
      <c r="L7040">
        <v>48.38373</v>
      </c>
      <c r="M7040">
        <v>1.5372459999999999E-2</v>
      </c>
      <c r="N7040">
        <v>0</v>
      </c>
      <c r="O7040">
        <v>0.99982610000000005</v>
      </c>
      <c r="P7040">
        <v>5.3246439999999999E-2</v>
      </c>
      <c r="Q7040">
        <v>0.10931780000000001</v>
      </c>
      <c r="R7040">
        <v>0.99257969999999895</v>
      </c>
      <c r="S7040">
        <v>0.3357697</v>
      </c>
      <c r="T7040">
        <v>-0.16295979999999999</v>
      </c>
      <c r="U7040">
        <v>3.0227050000000002</v>
      </c>
      <c r="V7040">
        <v>3.8129669999999997E-2</v>
      </c>
      <c r="W7040">
        <v>0.1197507</v>
      </c>
      <c r="X7040">
        <v>0.9920715</v>
      </c>
      <c r="Y7040">
        <v>9.4952750000000002E-2</v>
      </c>
      <c r="Z7040">
        <v>-5.3538450000000001E-2</v>
      </c>
      <c r="AA7040">
        <v>0.99404099999999995</v>
      </c>
      <c r="AB7040">
        <v>41</v>
      </c>
      <c r="AC7040">
        <v>2.2793000000000001</v>
      </c>
      <c r="AD7040">
        <v>-1.1093658556749999</v>
      </c>
      <c r="AE7040">
        <v>20.17728</v>
      </c>
      <c r="AF7040">
        <v>1.96297979156368</v>
      </c>
      <c r="AG7040">
        <v>-1.1093658556749999</v>
      </c>
      <c r="AH7040">
        <v>20.149792512548899</v>
      </c>
      <c r="AI7040">
        <v>93.136473402799396</v>
      </c>
      <c r="AJ7040">
        <v>84.435840060152003</v>
      </c>
      <c r="AK7040">
        <v>20.275554753510299</v>
      </c>
      <c r="AL7040">
        <v>83.122284880266605</v>
      </c>
      <c r="AM7040">
        <v>87.798954627290598</v>
      </c>
      <c r="AN7040">
        <v>0.99999998149852398</v>
      </c>
    </row>
    <row r="7041" spans="1:40" x14ac:dyDescent="0.25">
      <c r="A7041" t="str">
        <f>"20190312151201413"</f>
        <v>20190312151201413</v>
      </c>
      <c r="B7041" t="str">
        <f>"1552374721407878"</f>
        <v>1552374721407878</v>
      </c>
      <c r="C7041" t="s">
        <v>40</v>
      </c>
      <c r="D7041">
        <v>5.1883619999999997</v>
      </c>
      <c r="E7041">
        <v>0.52227780000000001</v>
      </c>
      <c r="F7041" t="s">
        <v>42</v>
      </c>
      <c r="G7041">
        <v>-184.18450000000001</v>
      </c>
      <c r="H7041" s="1">
        <v>-5.1017139999999998E-6</v>
      </c>
      <c r="I7041">
        <v>69.120359999999906</v>
      </c>
      <c r="J7041">
        <v>-186.4915</v>
      </c>
      <c r="K7041">
        <v>1.109434</v>
      </c>
      <c r="L7041">
        <v>48.797759999999997</v>
      </c>
      <c r="M7041">
        <v>1.562391E-2</v>
      </c>
      <c r="N7041">
        <v>0</v>
      </c>
      <c r="O7041">
        <v>0.99982199999999999</v>
      </c>
      <c r="P7041">
        <v>5.3407179999999999E-2</v>
      </c>
      <c r="Q7041">
        <v>0.1088268</v>
      </c>
      <c r="R7041">
        <v>0.99262499999999998</v>
      </c>
      <c r="S7041">
        <v>0.33718870000000001</v>
      </c>
      <c r="T7041">
        <v>-0.16167889999999999</v>
      </c>
      <c r="U7041">
        <v>3.0221559999999998</v>
      </c>
      <c r="V7041">
        <v>3.8018450000000002E-2</v>
      </c>
      <c r="W7041">
        <v>0.1192911</v>
      </c>
      <c r="X7041">
        <v>0.99213119999999999</v>
      </c>
      <c r="Y7041">
        <v>9.5185690000000003E-2</v>
      </c>
      <c r="Z7041">
        <v>-5.3126109999999997E-2</v>
      </c>
      <c r="AA7041">
        <v>0.99404090000000001</v>
      </c>
      <c r="AB7041">
        <v>41</v>
      </c>
      <c r="AC7041">
        <v>2.30699999999998</v>
      </c>
      <c r="AD7041">
        <v>-1.109439101714</v>
      </c>
      <c r="AE7041">
        <v>20.322599999999898</v>
      </c>
      <c r="AF7041">
        <v>1.9833465313148</v>
      </c>
      <c r="AG7041">
        <v>-1.109439101714</v>
      </c>
      <c r="AH7041">
        <v>20.296447182707201</v>
      </c>
      <c r="AI7041">
        <v>93.113970370693096</v>
      </c>
      <c r="AJ7041">
        <v>84.418839135580996</v>
      </c>
      <c r="AK7041">
        <v>20.423278062644901</v>
      </c>
      <c r="AL7041">
        <v>83.148808575555506</v>
      </c>
      <c r="AM7041">
        <v>87.805500474007005</v>
      </c>
      <c r="AN7041">
        <v>1.0000000435465199</v>
      </c>
    </row>
    <row r="7042" spans="1:40" x14ac:dyDescent="0.25">
      <c r="A7042" t="str">
        <f>"20190312151201435"</f>
        <v>20190312151201435</v>
      </c>
      <c r="B7042" t="str">
        <f>"1552374721428374"</f>
        <v>1552374721428374</v>
      </c>
      <c r="C7042" t="s">
        <v>40</v>
      </c>
      <c r="D7042">
        <v>5.1386779999999996</v>
      </c>
      <c r="E7042">
        <v>0.52218169999999997</v>
      </c>
      <c r="F7042" t="s">
        <v>42</v>
      </c>
      <c r="G7042">
        <v>-184.1602</v>
      </c>
      <c r="H7042" s="1">
        <v>-1.5872640000000001E-6</v>
      </c>
      <c r="I7042">
        <v>69.746369999999999</v>
      </c>
      <c r="J7042">
        <v>-186.48509999999999</v>
      </c>
      <c r="K7042">
        <v>1.1095029999999999</v>
      </c>
      <c r="L7042">
        <v>49.199190000000002</v>
      </c>
      <c r="M7042">
        <v>1.5796029999999999E-2</v>
      </c>
      <c r="N7042">
        <v>0</v>
      </c>
      <c r="O7042">
        <v>0.99981900000000001</v>
      </c>
      <c r="P7042">
        <v>5.3497690000000001E-2</v>
      </c>
      <c r="Q7042">
        <v>0.1085404</v>
      </c>
      <c r="R7042">
        <v>0.99265150000000002</v>
      </c>
      <c r="S7042">
        <v>0.33627319999999999</v>
      </c>
      <c r="T7042">
        <v>-0.16003039999999999</v>
      </c>
      <c r="U7042">
        <v>3.0217290000000001</v>
      </c>
      <c r="V7042">
        <v>3.7916270000000002E-2</v>
      </c>
      <c r="W7042">
        <v>0.1190345</v>
      </c>
      <c r="X7042">
        <v>0.99216590000000005</v>
      </c>
      <c r="Y7042">
        <v>9.4735429999999995E-2</v>
      </c>
      <c r="Z7042">
        <v>-5.2595089999999997E-2</v>
      </c>
      <c r="AA7042">
        <v>0.99411210000000005</v>
      </c>
      <c r="AB7042">
        <v>41</v>
      </c>
      <c r="AC7042">
        <v>2.32489999999998</v>
      </c>
      <c r="AD7042">
        <v>-1.1095045872639999</v>
      </c>
      <c r="AE7042">
        <v>20.547180000000001</v>
      </c>
      <c r="AF7042">
        <v>1.99428639740525</v>
      </c>
      <c r="AG7042">
        <v>-1.1095045872639999</v>
      </c>
      <c r="AH7042">
        <v>20.522260549027699</v>
      </c>
      <c r="AI7042">
        <v>93.080114950302004</v>
      </c>
      <c r="AJ7042">
        <v>84.449610461714201</v>
      </c>
      <c r="AK7042">
        <v>20.648761626456299</v>
      </c>
      <c r="AL7042">
        <v>83.163615980112993</v>
      </c>
      <c r="AM7042">
        <v>87.811469230654893</v>
      </c>
      <c r="AN7042">
        <v>1.0000000144218799</v>
      </c>
    </row>
    <row r="7043" spans="1:40" x14ac:dyDescent="0.25">
      <c r="A7043" t="str">
        <f>"20190312151201457"</f>
        <v>20190312151201457</v>
      </c>
      <c r="B7043" t="str">
        <f>"1552374721447894"</f>
        <v>1552374721447894</v>
      </c>
      <c r="C7043" t="s">
        <v>40</v>
      </c>
      <c r="D7043">
        <v>5.1332190000000004</v>
      </c>
      <c r="E7043">
        <v>0.52209039999999995</v>
      </c>
      <c r="F7043" t="s">
        <v>42</v>
      </c>
      <c r="G7043">
        <v>-184.14439999999999</v>
      </c>
      <c r="H7043" s="1">
        <v>-1.7613340000000001E-6</v>
      </c>
      <c r="I7043">
        <v>70.245480000000001</v>
      </c>
      <c r="J7043">
        <v>-186.4787</v>
      </c>
      <c r="K7043">
        <v>1.109572</v>
      </c>
      <c r="L7043">
        <v>49.596980000000002</v>
      </c>
      <c r="M7043">
        <v>1.59106E-2</v>
      </c>
      <c r="N7043">
        <v>0</v>
      </c>
      <c r="O7043">
        <v>0.99981699999999996</v>
      </c>
      <c r="P7043">
        <v>5.2955460000000003E-2</v>
      </c>
      <c r="Q7043">
        <v>0.1085642</v>
      </c>
      <c r="R7043">
        <v>0.99267799999999995</v>
      </c>
      <c r="S7043">
        <v>0.33604430000000002</v>
      </c>
      <c r="T7043">
        <v>-0.15928639999999999</v>
      </c>
      <c r="U7043">
        <v>3.021515</v>
      </c>
      <c r="V7043">
        <v>3.7240580000000002E-2</v>
      </c>
      <c r="W7043">
        <v>0.1190875</v>
      </c>
      <c r="X7043">
        <v>0.99218510000000004</v>
      </c>
      <c r="Y7043">
        <v>9.4556100000000004E-2</v>
      </c>
      <c r="Z7043">
        <v>-5.2355449999999998E-2</v>
      </c>
      <c r="AA7043">
        <v>0.99414190000000002</v>
      </c>
      <c r="AB7043">
        <v>41</v>
      </c>
      <c r="AC7043">
        <v>2.33430000000001</v>
      </c>
      <c r="AD7043">
        <v>-1.109573761334</v>
      </c>
      <c r="AE7043">
        <v>20.648499999999999</v>
      </c>
      <c r="AF7043">
        <v>1.9997543285604</v>
      </c>
      <c r="AG7043">
        <v>-1.109573761334</v>
      </c>
      <c r="AH7043">
        <v>20.624225421265098</v>
      </c>
      <c r="AI7043">
        <v>93.065170227554702</v>
      </c>
      <c r="AJ7043">
        <v>84.461831885325495</v>
      </c>
      <c r="AK7043">
        <v>20.750634822424001</v>
      </c>
      <c r="AL7043">
        <v>83.160557333510397</v>
      </c>
      <c r="AM7043">
        <v>87.850474762872295</v>
      </c>
      <c r="AN7043">
        <v>0.99999998305849802</v>
      </c>
    </row>
    <row r="7044" spans="1:40" x14ac:dyDescent="0.25">
      <c r="A7044" t="str">
        <f>"20190312151201480"</f>
        <v>20190312151201480</v>
      </c>
      <c r="B7044" t="str">
        <f>"1552374721468389"</f>
        <v>1552374721468389</v>
      </c>
      <c r="C7044" t="s">
        <v>40</v>
      </c>
      <c r="D7044">
        <v>5.1463619999999999</v>
      </c>
      <c r="E7044">
        <v>0.52213220000000005</v>
      </c>
      <c r="F7044" t="s">
        <v>42</v>
      </c>
      <c r="G7044">
        <v>-184.2106</v>
      </c>
      <c r="H7044" s="1">
        <v>-1.707785E-6</v>
      </c>
      <c r="I7044">
        <v>70.139859999999999</v>
      </c>
      <c r="J7044">
        <v>-186.47210000000001</v>
      </c>
      <c r="K7044">
        <v>1.109637</v>
      </c>
      <c r="L7044">
        <v>50.00967</v>
      </c>
      <c r="M7044">
        <v>1.597171E-2</v>
      </c>
      <c r="N7044">
        <v>0</v>
      </c>
      <c r="O7044">
        <v>0.99981569999999997</v>
      </c>
      <c r="P7044">
        <v>5.2061410000000002E-2</v>
      </c>
      <c r="Q7044">
        <v>0.1084128</v>
      </c>
      <c r="R7044">
        <v>0.99274180000000001</v>
      </c>
      <c r="S7044">
        <v>0.33367920000000001</v>
      </c>
      <c r="T7044">
        <v>-0.16323599999999999</v>
      </c>
      <c r="U7044">
        <v>3.022186</v>
      </c>
      <c r="V7044">
        <v>3.6266720000000002E-2</v>
      </c>
      <c r="W7044">
        <v>0.11896909999999999</v>
      </c>
      <c r="X7044">
        <v>0.99223539999999999</v>
      </c>
      <c r="Y7044">
        <v>9.3694879999999994E-2</v>
      </c>
      <c r="Z7044">
        <v>-5.3642530000000001E-2</v>
      </c>
      <c r="AA7044">
        <v>0.99415480000000001</v>
      </c>
      <c r="AB7044">
        <v>41</v>
      </c>
      <c r="AC7044">
        <v>2.2615000000000101</v>
      </c>
      <c r="AD7044">
        <v>-1.1096387077850001</v>
      </c>
      <c r="AE7044">
        <v>20.130189999999999</v>
      </c>
      <c r="AF7044">
        <v>1.9338767441645699</v>
      </c>
      <c r="AG7044">
        <v>-1.1096387077850001</v>
      </c>
      <c r="AH7044">
        <v>20.103420015861399</v>
      </c>
      <c r="AI7044">
        <v>93.144833553126404</v>
      </c>
      <c r="AJ7044">
        <v>84.505259319180993</v>
      </c>
      <c r="AK7044">
        <v>20.226682220709701</v>
      </c>
      <c r="AL7044">
        <v>83.167389879547599</v>
      </c>
      <c r="AM7044">
        <v>87.906741279849001</v>
      </c>
      <c r="AN7044">
        <v>1.0000000053737601</v>
      </c>
    </row>
    <row r="7045" spans="1:40" x14ac:dyDescent="0.25">
      <c r="A7045" t="str">
        <f>"20190312151201503"</f>
        <v>20190312151201503</v>
      </c>
      <c r="B7045" t="str">
        <f>"1552374721498646"</f>
        <v>1552374721498646</v>
      </c>
      <c r="C7045" t="s">
        <v>40</v>
      </c>
      <c r="D7045">
        <v>5.0290710000000001</v>
      </c>
      <c r="E7045">
        <v>0.52214659999999902</v>
      </c>
      <c r="F7045" t="s">
        <v>41</v>
      </c>
      <c r="G7045">
        <v>-186.35489999999999</v>
      </c>
      <c r="H7045">
        <v>1.0507249999999999</v>
      </c>
      <c r="I7045">
        <v>51.078519999999997</v>
      </c>
      <c r="J7045">
        <v>-186.46530000000001</v>
      </c>
      <c r="K7045">
        <v>1.1096919999999999</v>
      </c>
      <c r="L7045">
        <v>50.43356</v>
      </c>
      <c r="M7045">
        <v>1.5974019999999998E-2</v>
      </c>
      <c r="N7045">
        <v>0</v>
      </c>
      <c r="O7045">
        <v>0.99981529999999996</v>
      </c>
      <c r="P7045">
        <v>5.1155340000000001E-2</v>
      </c>
      <c r="Q7045">
        <v>0.1079522</v>
      </c>
      <c r="R7045">
        <v>0.99283909999999997</v>
      </c>
      <c r="S7045">
        <v>0.33106989999999997</v>
      </c>
      <c r="T7045">
        <v>-0.16661889999999999</v>
      </c>
      <c r="U7045">
        <v>3.0227659999999998</v>
      </c>
      <c r="V7045">
        <v>3.5339210000000003E-2</v>
      </c>
      <c r="W7045">
        <v>0.11854199999999999</v>
      </c>
      <c r="X7045">
        <v>0.99231990000000003</v>
      </c>
      <c r="Y7045">
        <v>9.281731E-2</v>
      </c>
      <c r="Z7045">
        <v>-5.474532E-2</v>
      </c>
      <c r="AA7045">
        <v>0.99417699999999998</v>
      </c>
      <c r="AB7045">
        <v>41</v>
      </c>
      <c r="AC7045">
        <v>0.11040000000002601</v>
      </c>
      <c r="AD7045">
        <v>-5.8966999999999901E-2</v>
      </c>
      <c r="AE7045">
        <v>0.64496000000000397</v>
      </c>
      <c r="AF7045">
        <v>9.92764938550732E-2</v>
      </c>
      <c r="AG7045">
        <v>-5.8966999999999901E-2</v>
      </c>
      <c r="AH7045">
        <v>0.64143224900972495</v>
      </c>
      <c r="AI7045">
        <v>95.190986964870604</v>
      </c>
      <c r="AJ7045">
        <v>81.201959694059994</v>
      </c>
      <c r="AK7045">
        <v>0.65174247935118501</v>
      </c>
      <c r="AL7045">
        <v>83.192034758294895</v>
      </c>
      <c r="AM7045">
        <v>87.960403449014606</v>
      </c>
      <c r="AN7045">
        <v>0.99999992473171395</v>
      </c>
    </row>
    <row r="7046" spans="1:40" x14ac:dyDescent="0.25">
      <c r="A7046" t="str">
        <f>"20190312151201524"</f>
        <v>20190312151201524</v>
      </c>
      <c r="B7046" t="str">
        <f>"1552374721518166"</f>
        <v>1552374721518166</v>
      </c>
      <c r="C7046" t="s">
        <v>40</v>
      </c>
      <c r="D7046">
        <v>5.195824</v>
      </c>
      <c r="E7046">
        <v>0.52198310000000003</v>
      </c>
      <c r="F7046" t="s">
        <v>41</v>
      </c>
      <c r="G7046">
        <v>-186.35509999999999</v>
      </c>
      <c r="H7046">
        <v>1.0529109999999999</v>
      </c>
      <c r="I7046">
        <v>51.446109999999997</v>
      </c>
      <c r="J7046">
        <v>-186.45910000000001</v>
      </c>
      <c r="K7046">
        <v>1.1097399999999999</v>
      </c>
      <c r="L7046">
        <v>50.821840000000002</v>
      </c>
      <c r="M7046">
        <v>1.5933269999999999E-2</v>
      </c>
      <c r="N7046">
        <v>0</v>
      </c>
      <c r="O7046">
        <v>0.99981580000000003</v>
      </c>
      <c r="P7046">
        <v>5.0642140000000002E-2</v>
      </c>
      <c r="Q7046">
        <v>0.10815</v>
      </c>
      <c r="R7046">
        <v>0.9928439</v>
      </c>
      <c r="S7046">
        <v>0.32830809999999999</v>
      </c>
      <c r="T7046">
        <v>-0.16956570000000001</v>
      </c>
      <c r="U7046">
        <v>3.0231629999999998</v>
      </c>
      <c r="V7046">
        <v>3.485154E-2</v>
      </c>
      <c r="W7046">
        <v>0.118766899999999</v>
      </c>
      <c r="X7046">
        <v>0.99231029999999998</v>
      </c>
      <c r="Y7046">
        <v>9.1940419999999995E-2</v>
      </c>
      <c r="Z7046">
        <v>-5.5708349999999997E-2</v>
      </c>
      <c r="AA7046">
        <v>0.99420500000000001</v>
      </c>
      <c r="AB7046">
        <v>41</v>
      </c>
      <c r="AC7046">
        <v>0.104000000000013</v>
      </c>
      <c r="AD7046">
        <v>-5.6828999999999803E-2</v>
      </c>
      <c r="AE7046">
        <v>0.624269999999995</v>
      </c>
      <c r="AF7046">
        <v>9.3287372210131697E-2</v>
      </c>
      <c r="AG7046">
        <v>-5.6828999999999803E-2</v>
      </c>
      <c r="AH7046">
        <v>0.62084194287331596</v>
      </c>
      <c r="AI7046">
        <v>95.1722727914388</v>
      </c>
      <c r="AJ7046">
        <v>81.454696363794696</v>
      </c>
      <c r="AK7046">
        <v>0.63037828887548597</v>
      </c>
      <c r="AL7046">
        <v>83.179057561235496</v>
      </c>
      <c r="AM7046">
        <v>87.988506514967</v>
      </c>
      <c r="AN7046">
        <v>0.99999996893103504</v>
      </c>
    </row>
    <row r="7047" spans="1:40" x14ac:dyDescent="0.25">
      <c r="A7047" t="str">
        <f>"20190312151201546"</f>
        <v>20190312151201546</v>
      </c>
      <c r="B7047" t="str">
        <f>"1552374721538662"</f>
        <v>1552374721538662</v>
      </c>
      <c r="C7047" t="s">
        <v>40</v>
      </c>
      <c r="D7047">
        <v>5.3961860000000001</v>
      </c>
      <c r="E7047">
        <v>0.4865295</v>
      </c>
      <c r="F7047" t="s">
        <v>41</v>
      </c>
      <c r="G7047">
        <v>-186.35149999999999</v>
      </c>
      <c r="H7047">
        <v>1.0535030000000001</v>
      </c>
      <c r="I7047">
        <v>51.820039999999999</v>
      </c>
      <c r="J7047">
        <v>-186.45269999999999</v>
      </c>
      <c r="K7047">
        <v>1.1097919999999999</v>
      </c>
      <c r="L7047">
        <v>51.22672</v>
      </c>
      <c r="M7047">
        <v>1.5846579999999999E-2</v>
      </c>
      <c r="N7047">
        <v>0</v>
      </c>
      <c r="O7047">
        <v>0.99981690000000001</v>
      </c>
      <c r="P7047">
        <v>4.9846059999999998E-2</v>
      </c>
      <c r="Q7047">
        <v>0.10803160000000001</v>
      </c>
      <c r="R7047">
        <v>0.99289700000000003</v>
      </c>
      <c r="S7047">
        <v>0.32554630000000001</v>
      </c>
      <c r="T7047">
        <v>-0.17036599999999999</v>
      </c>
      <c r="U7047">
        <v>3.02359</v>
      </c>
      <c r="V7047">
        <v>3.4125330000000002E-2</v>
      </c>
      <c r="W7047">
        <v>0.11867750000000001</v>
      </c>
      <c r="X7047">
        <v>0.99234630000000001</v>
      </c>
      <c r="Y7047">
        <v>9.1112440000000003E-2</v>
      </c>
      <c r="Z7047">
        <v>-5.5967610000000001E-2</v>
      </c>
      <c r="AA7047">
        <v>0.9942666</v>
      </c>
      <c r="AB7047">
        <v>41</v>
      </c>
      <c r="AC7047">
        <v>0.10120000000000499</v>
      </c>
      <c r="AD7047">
        <v>-5.6288999999999999E-2</v>
      </c>
      <c r="AE7047">
        <v>0.59332000000000495</v>
      </c>
      <c r="AF7047">
        <v>9.0988859609151707E-2</v>
      </c>
      <c r="AG7047">
        <v>-5.6288999999999999E-2</v>
      </c>
      <c r="AH7047">
        <v>0.58969175220272496</v>
      </c>
      <c r="AI7047">
        <v>95.3892506445343</v>
      </c>
      <c r="AJ7047">
        <v>81.228492069368599</v>
      </c>
      <c r="AK7047">
        <v>0.59931943628577</v>
      </c>
      <c r="AL7047">
        <v>83.184216728843097</v>
      </c>
      <c r="AM7047">
        <v>88.030458526172396</v>
      </c>
      <c r="AN7047">
        <v>1.00000003313877</v>
      </c>
    </row>
    <row r="7048" spans="1:40" x14ac:dyDescent="0.25">
      <c r="A7048" t="str">
        <f>"20190312151201568"</f>
        <v>20190312151201568</v>
      </c>
      <c r="B7048" t="str">
        <f>"1552374721558185"</f>
        <v>1552374721558185</v>
      </c>
      <c r="C7048" t="s">
        <v>40</v>
      </c>
      <c r="D7048">
        <v>5.1269150000000003</v>
      </c>
      <c r="E7048">
        <v>0.4790005</v>
      </c>
      <c r="F7048" t="s">
        <v>41</v>
      </c>
      <c r="G7048">
        <v>-186.4402</v>
      </c>
      <c r="H7048">
        <v>1.015916</v>
      </c>
      <c r="I7048">
        <v>52.158819999999999</v>
      </c>
      <c r="J7048">
        <v>-186.44640000000001</v>
      </c>
      <c r="K7048">
        <v>1.1098520000000001</v>
      </c>
      <c r="L7048">
        <v>51.632420000000003</v>
      </c>
      <c r="M7048">
        <v>1.571465E-2</v>
      </c>
      <c r="N7048">
        <v>0</v>
      </c>
      <c r="O7048">
        <v>0.99981869999999995</v>
      </c>
      <c r="P7048">
        <v>4.8511079999999998E-2</v>
      </c>
      <c r="Q7048">
        <v>0.1082352</v>
      </c>
      <c r="R7048">
        <v>0.99294099999999996</v>
      </c>
      <c r="S7048">
        <v>4.032898E-2</v>
      </c>
      <c r="T7048">
        <v>-0.30749490000000002</v>
      </c>
      <c r="U7048">
        <v>3.0528870000000001</v>
      </c>
      <c r="V7048">
        <v>3.2904999999999997E-2</v>
      </c>
      <c r="W7048">
        <v>0.1189113</v>
      </c>
      <c r="X7048">
        <v>0.99235949999999995</v>
      </c>
      <c r="Y7048">
        <v>-2.5733319999999998E-3</v>
      </c>
      <c r="Z7048">
        <v>-0.10019260000000001</v>
      </c>
      <c r="AA7048">
        <v>0.99496470000000004</v>
      </c>
      <c r="AB7048">
        <v>41</v>
      </c>
      <c r="AC7048">
        <v>6.2000000000068597E-3</v>
      </c>
      <c r="AD7048">
        <v>-9.3936000000000006E-2</v>
      </c>
      <c r="AE7048">
        <v>0.52639999999999498</v>
      </c>
      <c r="AF7048">
        <v>-2.0094547833212099E-3</v>
      </c>
      <c r="AG7048">
        <v>-9.3936000000000006E-2</v>
      </c>
      <c r="AH7048">
        <v>0.51018807439644098</v>
      </c>
      <c r="AI7048">
        <v>100.432398236331</v>
      </c>
      <c r="AJ7048">
        <v>90.225667138523605</v>
      </c>
      <c r="AK7048">
        <v>0.51876765633651001</v>
      </c>
      <c r="AL7048">
        <v>83.170725261552306</v>
      </c>
      <c r="AM7048">
        <v>88.100862513486206</v>
      </c>
      <c r="AN7048">
        <v>1.0000000067664601</v>
      </c>
    </row>
    <row r="7049" spans="1:40" x14ac:dyDescent="0.25">
      <c r="A7049" t="str">
        <f>"20190312151201590"</f>
        <v>20190312151201590</v>
      </c>
      <c r="B7049" t="str">
        <f>"1552374721578682"</f>
        <v>1552374721578682</v>
      </c>
      <c r="C7049" t="s">
        <v>40</v>
      </c>
      <c r="D7049">
        <v>5.318365</v>
      </c>
      <c r="E7049">
        <v>0.47608719999999999</v>
      </c>
      <c r="F7049" t="s">
        <v>41</v>
      </c>
      <c r="G7049">
        <v>-186.45320000000001</v>
      </c>
      <c r="H7049">
        <v>1.015695</v>
      </c>
      <c r="I7049">
        <v>52.525849999999998</v>
      </c>
      <c r="J7049">
        <v>-186.4402</v>
      </c>
      <c r="K7049">
        <v>1.1099110000000001</v>
      </c>
      <c r="L7049">
        <v>52.03</v>
      </c>
      <c r="M7049">
        <v>1.554323E-2</v>
      </c>
      <c r="N7049">
        <v>0</v>
      </c>
      <c r="O7049">
        <v>0.99982110000000002</v>
      </c>
      <c r="P7049">
        <v>4.7524009999999998E-2</v>
      </c>
      <c r="Q7049">
        <v>0.1079779</v>
      </c>
      <c r="R7049">
        <v>0.99301669999999997</v>
      </c>
      <c r="S7049">
        <v>-2.3605350000000001E-2</v>
      </c>
      <c r="T7049">
        <v>-0.32223819999999997</v>
      </c>
      <c r="U7049">
        <v>3.057617</v>
      </c>
      <c r="V7049">
        <v>3.2071389999999998E-2</v>
      </c>
      <c r="W7049">
        <v>0.1186874</v>
      </c>
      <c r="X7049">
        <v>0.99241360000000001</v>
      </c>
      <c r="Y7049">
        <v>-2.3220169999999998E-2</v>
      </c>
      <c r="Z7049">
        <v>-0.10477359999999999</v>
      </c>
      <c r="AA7049">
        <v>0.99422500000000003</v>
      </c>
      <c r="AB7049">
        <v>41</v>
      </c>
      <c r="AC7049">
        <v>-1.30000000000052E-2</v>
      </c>
      <c r="AD7049">
        <v>-9.4215999999999994E-2</v>
      </c>
      <c r="AE7049">
        <v>0.49584999999999702</v>
      </c>
      <c r="AF7049">
        <v>-1.9984957424004801E-2</v>
      </c>
      <c r="AG7049">
        <v>-9.4215999999999994E-2</v>
      </c>
      <c r="AH7049">
        <v>0.47833050048570402</v>
      </c>
      <c r="AI7049">
        <v>101.13334897918701</v>
      </c>
      <c r="AJ7049">
        <v>92.392463229538293</v>
      </c>
      <c r="AK7049">
        <v>0.48793044675869901</v>
      </c>
      <c r="AL7049">
        <v>83.183645326671297</v>
      </c>
      <c r="AM7049">
        <v>88.149041890370896</v>
      </c>
      <c r="AN7049">
        <v>1.0000000132201201</v>
      </c>
    </row>
    <row r="7050" spans="1:40" x14ac:dyDescent="0.25">
      <c r="A7050" t="str">
        <f>"20190312151201612"</f>
        <v>20190312151201612</v>
      </c>
      <c r="B7050" t="str">
        <f>"1552374721607957"</f>
        <v>1552374721607957</v>
      </c>
      <c r="C7050" t="s">
        <v>40</v>
      </c>
      <c r="D7050">
        <v>5.314419</v>
      </c>
      <c r="E7050">
        <v>0.47387629999999997</v>
      </c>
      <c r="F7050" t="s">
        <v>41</v>
      </c>
      <c r="G7050">
        <v>-186.45410000000001</v>
      </c>
      <c r="H7050">
        <v>1.0188489999999999</v>
      </c>
      <c r="I7050">
        <v>52.894509999999997</v>
      </c>
      <c r="J7050">
        <v>-186.43389999999999</v>
      </c>
      <c r="K7050">
        <v>1.109977</v>
      </c>
      <c r="L7050">
        <v>52.448180000000001</v>
      </c>
      <c r="M7050">
        <v>1.532147E-2</v>
      </c>
      <c r="N7050">
        <v>0</v>
      </c>
      <c r="O7050">
        <v>0.99982420000000005</v>
      </c>
      <c r="P7050">
        <v>4.6757569999999998E-2</v>
      </c>
      <c r="Q7050">
        <v>0.1079721</v>
      </c>
      <c r="R7050">
        <v>0.99305370000000004</v>
      </c>
      <c r="S7050">
        <v>-4.9713130000000001E-2</v>
      </c>
      <c r="T7050">
        <v>-0.3221946</v>
      </c>
      <c r="U7050">
        <v>3.0585019999999998</v>
      </c>
      <c r="V7050">
        <v>3.1508649999999999E-2</v>
      </c>
      <c r="W7050">
        <v>0.1187182</v>
      </c>
      <c r="X7050">
        <v>0.99242790000000003</v>
      </c>
      <c r="Y7050">
        <v>-3.148099E-2</v>
      </c>
      <c r="Z7050">
        <v>-0.104713</v>
      </c>
      <c r="AA7050">
        <v>0.99400409999999995</v>
      </c>
      <c r="AB7050">
        <v>41</v>
      </c>
      <c r="AC7050">
        <v>-2.0200000000016798E-2</v>
      </c>
      <c r="AD7050">
        <v>-9.1128000000000098E-2</v>
      </c>
      <c r="AE7050">
        <v>0.44632999999998901</v>
      </c>
      <c r="AF7050">
        <v>-2.5956639874901599E-2</v>
      </c>
      <c r="AG7050">
        <v>-9.1128000000000098E-2</v>
      </c>
      <c r="AH7050">
        <v>0.42815639435761499</v>
      </c>
      <c r="AI7050">
        <v>101.994052390698</v>
      </c>
      <c r="AJ7050">
        <v>93.469264897257204</v>
      </c>
      <c r="AK7050">
        <v>0.43851562978633901</v>
      </c>
      <c r="AL7050">
        <v>83.181867764329994</v>
      </c>
      <c r="AM7050">
        <v>88.181523873802306</v>
      </c>
      <c r="AN7050">
        <v>0.99999997136723495</v>
      </c>
    </row>
    <row r="7051" spans="1:40" x14ac:dyDescent="0.25">
      <c r="A7051" t="str">
        <f>"20190312151201634"</f>
        <v>20190312151201634</v>
      </c>
      <c r="B7051" t="str">
        <f>"1552374721628454"</f>
        <v>1552374721628454</v>
      </c>
      <c r="C7051" t="s">
        <v>40</v>
      </c>
      <c r="D7051">
        <v>4.7640500000000001</v>
      </c>
      <c r="E7051">
        <v>0.47323549999999998</v>
      </c>
      <c r="F7051" t="s">
        <v>41</v>
      </c>
      <c r="G7051">
        <v>-186.45240000000001</v>
      </c>
      <c r="H7051">
        <v>1.02382</v>
      </c>
      <c r="I7051">
        <v>53.266240000000003</v>
      </c>
      <c r="J7051">
        <v>-186.428</v>
      </c>
      <c r="K7051">
        <v>1.1100270000000001</v>
      </c>
      <c r="L7051">
        <v>52.845950000000002</v>
      </c>
      <c r="M7051">
        <v>1.507641E-2</v>
      </c>
      <c r="N7051">
        <v>0</v>
      </c>
      <c r="O7051">
        <v>0.99982749999999998</v>
      </c>
      <c r="P7051">
        <v>4.5543149999999998E-2</v>
      </c>
      <c r="Q7051">
        <v>0.10752879999999999</v>
      </c>
      <c r="R7051">
        <v>0.99315830000000005</v>
      </c>
      <c r="S7051">
        <v>-6.9808960000000003E-2</v>
      </c>
      <c r="T7051">
        <v>-0.32222220000000001</v>
      </c>
      <c r="U7051">
        <v>3.0592959999999998</v>
      </c>
      <c r="V7051">
        <v>3.052241E-2</v>
      </c>
      <c r="W7051">
        <v>0.1183101</v>
      </c>
      <c r="X7051">
        <v>0.99250749999999999</v>
      </c>
      <c r="Y7051">
        <v>-3.7758100000000003E-2</v>
      </c>
      <c r="Z7051">
        <v>-0.10467750000000001</v>
      </c>
      <c r="AA7051">
        <v>0.99378920000000004</v>
      </c>
      <c r="AB7051">
        <v>41</v>
      </c>
      <c r="AC7051">
        <v>-2.4400000000014101E-2</v>
      </c>
      <c r="AD7051">
        <v>-8.6206999999999895E-2</v>
      </c>
      <c r="AE7051">
        <v>0.420290000000001</v>
      </c>
      <c r="AF7051">
        <v>-2.9497242039375898E-2</v>
      </c>
      <c r="AG7051">
        <v>-8.6206999999999895E-2</v>
      </c>
      <c r="AH7051">
        <v>0.40297746377372101</v>
      </c>
      <c r="AI7051">
        <v>102.04372434138</v>
      </c>
      <c r="AJ7051">
        <v>94.186483969303794</v>
      </c>
      <c r="AK7051">
        <v>0.41314957393954799</v>
      </c>
      <c r="AL7051">
        <v>83.205416447494699</v>
      </c>
      <c r="AM7051">
        <v>88.238548037848602</v>
      </c>
      <c r="AN7051">
        <v>1.0000000174152299</v>
      </c>
    </row>
    <row r="7052" spans="1:40" x14ac:dyDescent="0.25">
      <c r="A7052" t="str">
        <f>"20190312151201657"</f>
        <v>20190312151201657</v>
      </c>
      <c r="B7052" t="str">
        <f>"1552374721647974"</f>
        <v>1552374721647974</v>
      </c>
      <c r="C7052" t="s">
        <v>40</v>
      </c>
      <c r="D7052">
        <v>5.1182049999999997</v>
      </c>
      <c r="E7052">
        <v>0.4727807</v>
      </c>
      <c r="F7052" t="s">
        <v>42</v>
      </c>
      <c r="G7052">
        <v>-186.70349999999999</v>
      </c>
      <c r="H7052" s="1">
        <v>-2.2819469999999999E-6</v>
      </c>
      <c r="I7052">
        <v>63.589010000000002</v>
      </c>
      <c r="J7052">
        <v>-186.42189999999999</v>
      </c>
      <c r="K7052">
        <v>1.1100719999999999</v>
      </c>
      <c r="L7052">
        <v>53.264279999999999</v>
      </c>
      <c r="M7052">
        <v>1.479109E-2</v>
      </c>
      <c r="N7052">
        <v>0</v>
      </c>
      <c r="O7052">
        <v>0.99983140000000004</v>
      </c>
      <c r="P7052">
        <v>4.390997E-2</v>
      </c>
      <c r="Q7052">
        <v>0.1073921</v>
      </c>
      <c r="R7052">
        <v>0.99324659999999998</v>
      </c>
      <c r="S7052">
        <v>-7.8445429999999997E-2</v>
      </c>
      <c r="T7052">
        <v>-0.3160174</v>
      </c>
      <c r="U7052">
        <v>3.0584720000000001</v>
      </c>
      <c r="V7052">
        <v>2.9159210000000001E-2</v>
      </c>
      <c r="W7052">
        <v>0.1182111</v>
      </c>
      <c r="X7052">
        <v>0.99256029999999995</v>
      </c>
      <c r="Y7052">
        <v>-4.0288810000000001E-2</v>
      </c>
      <c r="Z7052">
        <v>-0.1027028</v>
      </c>
      <c r="AA7052">
        <v>0.9938958</v>
      </c>
      <c r="AB7052">
        <v>41</v>
      </c>
      <c r="AC7052">
        <v>-0.28159999999999702</v>
      </c>
      <c r="AD7052">
        <v>-1.110074281947</v>
      </c>
      <c r="AE7052">
        <v>10.324729999999899</v>
      </c>
      <c r="AF7052">
        <v>-0.42933297024948203</v>
      </c>
      <c r="AG7052">
        <v>-1.110074281947</v>
      </c>
      <c r="AH7052">
        <v>10.201595232371099</v>
      </c>
      <c r="AI7052">
        <v>96.2046884506927</v>
      </c>
      <c r="AJ7052">
        <v>92.409864274752493</v>
      </c>
      <c r="AK7052">
        <v>10.270790475709299</v>
      </c>
      <c r="AL7052">
        <v>83.211128945163296</v>
      </c>
      <c r="AM7052">
        <v>88.317261650213993</v>
      </c>
      <c r="AN7052">
        <v>1.0000000364135599</v>
      </c>
    </row>
    <row r="7053" spans="1:40" x14ac:dyDescent="0.25">
      <c r="A7053" t="str">
        <f>"20190312151201679"</f>
        <v>20190312151201679</v>
      </c>
      <c r="B7053" t="str">
        <f>"1552374721668471"</f>
        <v>1552374721668471</v>
      </c>
      <c r="C7053" t="s">
        <v>40</v>
      </c>
      <c r="D7053">
        <v>5.0754489999999999</v>
      </c>
      <c r="E7053">
        <v>0.47240589999999999</v>
      </c>
      <c r="F7053" t="s">
        <v>42</v>
      </c>
      <c r="G7053">
        <v>-186.72219999999999</v>
      </c>
      <c r="H7053" s="1">
        <v>-2.4013849999999998E-6</v>
      </c>
      <c r="I7053">
        <v>63.875149999999998</v>
      </c>
      <c r="J7053">
        <v>-186.4162</v>
      </c>
      <c r="K7053">
        <v>1.1101099999999999</v>
      </c>
      <c r="L7053">
        <v>53.667450000000002</v>
      </c>
      <c r="M7053">
        <v>1.449449E-2</v>
      </c>
      <c r="N7053">
        <v>0</v>
      </c>
      <c r="O7053">
        <v>0.99983540000000004</v>
      </c>
      <c r="P7053">
        <v>4.254902E-2</v>
      </c>
      <c r="Q7053">
        <v>0.1072138</v>
      </c>
      <c r="R7053">
        <v>0.99332509999999996</v>
      </c>
      <c r="S7053">
        <v>-8.6578370000000002E-2</v>
      </c>
      <c r="T7053">
        <v>-0.3200055</v>
      </c>
      <c r="U7053">
        <v>3.0588380000000002</v>
      </c>
      <c r="V7053">
        <v>2.8082759999999998E-2</v>
      </c>
      <c r="W7053">
        <v>0.11806949999999999</v>
      </c>
      <c r="X7053">
        <v>0.99260809999999999</v>
      </c>
      <c r="Y7053">
        <v>-4.2626219999999999E-2</v>
      </c>
      <c r="Z7053">
        <v>-0.1039646</v>
      </c>
      <c r="AA7053">
        <v>0.99366710000000003</v>
      </c>
      <c r="AB7053">
        <v>41</v>
      </c>
      <c r="AC7053">
        <v>-0.30599999999998301</v>
      </c>
      <c r="AD7053">
        <v>-1.1101124013849999</v>
      </c>
      <c r="AE7053">
        <v>10.2076999999999</v>
      </c>
      <c r="AF7053">
        <v>-0.44863083062297898</v>
      </c>
      <c r="AG7053">
        <v>-1.1101124013849999</v>
      </c>
      <c r="AH7053">
        <v>10.0830458893646</v>
      </c>
      <c r="AI7053">
        <v>96.276625592853904</v>
      </c>
      <c r="AJ7053">
        <v>92.547614206669195</v>
      </c>
      <c r="AK7053">
        <v>10.1538876088386</v>
      </c>
      <c r="AL7053">
        <v>83.219298616443496</v>
      </c>
      <c r="AM7053">
        <v>88.379426354709494</v>
      </c>
      <c r="AN7053">
        <v>0.99999994421253702</v>
      </c>
    </row>
    <row r="7054" spans="1:40" x14ac:dyDescent="0.25">
      <c r="A7054" t="str">
        <f>"20190312151201703"</f>
        <v>20190312151201703</v>
      </c>
      <c r="B7054" t="str">
        <f>"1552374721698727"</f>
        <v>1552374721698727</v>
      </c>
      <c r="C7054" t="s">
        <v>40</v>
      </c>
      <c r="D7054">
        <v>5.122598</v>
      </c>
      <c r="E7054">
        <v>0.4722577</v>
      </c>
      <c r="F7054" t="s">
        <v>41</v>
      </c>
      <c r="G7054">
        <v>-186.44829999999999</v>
      </c>
      <c r="H7054">
        <v>0.99903229999999998</v>
      </c>
      <c r="I7054">
        <v>54.721130000000002</v>
      </c>
      <c r="J7054">
        <v>-186.4102</v>
      </c>
      <c r="K7054">
        <v>1.1101369999999999</v>
      </c>
      <c r="L7054">
        <v>54.098140000000001</v>
      </c>
      <c r="M7054">
        <v>1.416308E-2</v>
      </c>
      <c r="N7054">
        <v>0</v>
      </c>
      <c r="O7054">
        <v>0.9998397</v>
      </c>
      <c r="P7054">
        <v>4.0772019999999999E-2</v>
      </c>
      <c r="Q7054">
        <v>0.1069624</v>
      </c>
      <c r="R7054">
        <v>0.9934267</v>
      </c>
      <c r="S7054">
        <v>-9.3612669999999995E-2</v>
      </c>
      <c r="T7054">
        <v>-0.322497599999999</v>
      </c>
      <c r="U7054">
        <v>3.0589900000000001</v>
      </c>
      <c r="V7054">
        <v>2.6626279999999999E-2</v>
      </c>
      <c r="W7054">
        <v>0.117856</v>
      </c>
      <c r="X7054">
        <v>0.99267369999999999</v>
      </c>
      <c r="Y7054">
        <v>-4.4574040000000002E-2</v>
      </c>
      <c r="Z7054">
        <v>-0.1047529</v>
      </c>
      <c r="AA7054">
        <v>0.99349889999999996</v>
      </c>
      <c r="AB7054">
        <v>41</v>
      </c>
      <c r="AC7054">
        <v>-3.8099999999985798E-2</v>
      </c>
      <c r="AD7054">
        <v>-0.1111047</v>
      </c>
      <c r="AE7054">
        <v>0.62299000000000104</v>
      </c>
      <c r="AF7054">
        <v>-4.54790684183322E-2</v>
      </c>
      <c r="AG7054">
        <v>-0.1111047</v>
      </c>
      <c r="AH7054">
        <v>0.60327196813331996</v>
      </c>
      <c r="AI7054">
        <v>100.406357619145</v>
      </c>
      <c r="AJ7054">
        <v>94.311221447912402</v>
      </c>
      <c r="AK7054">
        <v>0.61510134739060596</v>
      </c>
      <c r="AL7054">
        <v>83.231617892721403</v>
      </c>
      <c r="AM7054">
        <v>88.463535639294506</v>
      </c>
      <c r="AN7054">
        <v>1.0000000350971601</v>
      </c>
    </row>
    <row r="7055" spans="1:40" x14ac:dyDescent="0.25">
      <c r="A7055" t="str">
        <f>"20190312151201726"</f>
        <v>20190312151201726</v>
      </c>
      <c r="B7055" t="str">
        <f>"1552374721718246"</f>
        <v>1552374721718246</v>
      </c>
      <c r="C7055" t="s">
        <v>40</v>
      </c>
      <c r="D7055">
        <v>5.1465670000000001</v>
      </c>
      <c r="E7055">
        <v>0.47224179999999999</v>
      </c>
      <c r="F7055" t="s">
        <v>41</v>
      </c>
      <c r="G7055">
        <v>-186.4426</v>
      </c>
      <c r="H7055">
        <v>1.0053350000000001</v>
      </c>
      <c r="I7055">
        <v>55.0922699999999</v>
      </c>
      <c r="J7055">
        <v>-186.40450000000001</v>
      </c>
      <c r="K7055">
        <v>1.1101589999999999</v>
      </c>
      <c r="L7055">
        <v>54.522309999999997</v>
      </c>
      <c r="M7055">
        <v>1.382803E-2</v>
      </c>
      <c r="N7055">
        <v>0</v>
      </c>
      <c r="O7055">
        <v>0.99984410000000001</v>
      </c>
      <c r="P7055">
        <v>3.8973760000000003E-2</v>
      </c>
      <c r="Q7055">
        <v>0.10697379999999999</v>
      </c>
      <c r="R7055">
        <v>0.99349770000000004</v>
      </c>
      <c r="S7055">
        <v>-0.1000366</v>
      </c>
      <c r="T7055">
        <v>-0.32247350000000002</v>
      </c>
      <c r="U7055">
        <v>3.0586850000000001</v>
      </c>
      <c r="V7055">
        <v>2.5154269999999999E-2</v>
      </c>
      <c r="W7055">
        <v>0.1179009</v>
      </c>
      <c r="X7055">
        <v>0.99270670000000005</v>
      </c>
      <c r="Y7055">
        <v>-4.6326739999999998E-2</v>
      </c>
      <c r="Z7055">
        <v>-0.1047486</v>
      </c>
      <c r="AA7055">
        <v>0.9934191</v>
      </c>
      <c r="AB7055">
        <v>41</v>
      </c>
      <c r="AC7055">
        <v>-3.8099999999985798E-2</v>
      </c>
      <c r="AD7055">
        <v>-0.104824</v>
      </c>
      <c r="AE7055">
        <v>0.56995999999999403</v>
      </c>
      <c r="AF7055">
        <v>-4.44804165523029E-2</v>
      </c>
      <c r="AG7055">
        <v>-0.104824</v>
      </c>
      <c r="AH7055">
        <v>0.55082990126479003</v>
      </c>
      <c r="AI7055">
        <v>100.74051894087999</v>
      </c>
      <c r="AJ7055">
        <v>94.616710488631298</v>
      </c>
      <c r="AK7055">
        <v>0.56247680713078796</v>
      </c>
      <c r="AL7055">
        <v>83.229026847549704</v>
      </c>
      <c r="AM7055">
        <v>88.548488521824794</v>
      </c>
      <c r="AN7055">
        <v>0.99999997587246603</v>
      </c>
    </row>
    <row r="7056" spans="1:40" x14ac:dyDescent="0.25">
      <c r="A7056" t="str">
        <f>"20190312151201748"</f>
        <v>20190312151201748</v>
      </c>
      <c r="B7056" t="str">
        <f>"1552374721738742"</f>
        <v>1552374721738742</v>
      </c>
      <c r="C7056" t="s">
        <v>40</v>
      </c>
      <c r="D7056">
        <v>5.1112789999999997</v>
      </c>
      <c r="E7056">
        <v>0.47232459999999998</v>
      </c>
      <c r="F7056" t="s">
        <v>41</v>
      </c>
      <c r="G7056">
        <v>-186.43690000000001</v>
      </c>
      <c r="H7056">
        <v>1.0103139999999999</v>
      </c>
      <c r="I7056">
        <v>55.4636</v>
      </c>
      <c r="J7056">
        <v>-186.39920000000001</v>
      </c>
      <c r="K7056">
        <v>1.1101799999999999</v>
      </c>
      <c r="L7056">
        <v>54.924709999999997</v>
      </c>
      <c r="M7056">
        <v>1.350691E-2</v>
      </c>
      <c r="N7056">
        <v>0</v>
      </c>
      <c r="O7056">
        <v>0.99984810000000002</v>
      </c>
      <c r="P7056">
        <v>3.7380389999999999E-2</v>
      </c>
      <c r="Q7056">
        <v>0.1071151</v>
      </c>
      <c r="R7056">
        <v>0.99354370000000003</v>
      </c>
      <c r="S7056">
        <v>-0.1056671</v>
      </c>
      <c r="T7056">
        <v>-0.32447740000000003</v>
      </c>
      <c r="U7056">
        <v>3.058716</v>
      </c>
      <c r="V7056">
        <v>2.387485E-2</v>
      </c>
      <c r="W7056">
        <v>0.11807089999999899</v>
      </c>
      <c r="X7056">
        <v>0.99271810000000005</v>
      </c>
      <c r="Y7056">
        <v>-4.7829860000000002E-2</v>
      </c>
      <c r="Z7056">
        <v>-0.1053851</v>
      </c>
      <c r="AA7056">
        <v>0.99328059999999996</v>
      </c>
      <c r="AB7056">
        <v>41</v>
      </c>
      <c r="AC7056">
        <v>-3.7700000000000899E-2</v>
      </c>
      <c r="AD7056">
        <v>-9.9865999999999996E-2</v>
      </c>
      <c r="AE7056">
        <v>0.53889000000000198</v>
      </c>
      <c r="AF7056">
        <v>-4.3489467129179303E-2</v>
      </c>
      <c r="AG7056">
        <v>-9.9865999999999996E-2</v>
      </c>
      <c r="AH7056">
        <v>0.52054182320098397</v>
      </c>
      <c r="AI7056">
        <v>100.82342875235</v>
      </c>
      <c r="AJ7056">
        <v>94.775772948546006</v>
      </c>
      <c r="AK7056">
        <v>0.53181607855402802</v>
      </c>
      <c r="AL7056">
        <v>83.219218121853302</v>
      </c>
      <c r="AM7056">
        <v>88.6223032543068</v>
      </c>
      <c r="AN7056">
        <v>0.99999998597847095</v>
      </c>
    </row>
    <row r="7057" spans="1:40" x14ac:dyDescent="0.25">
      <c r="A7057" t="str">
        <f>"20190312151201791"</f>
        <v>20190312151201791</v>
      </c>
      <c r="B7057" t="str">
        <f>"1552374721788518"</f>
        <v>1552374721788518</v>
      </c>
      <c r="C7057" t="s">
        <v>40</v>
      </c>
      <c r="D7057">
        <v>5.1359000000000004</v>
      </c>
      <c r="E7057">
        <v>0.4726378</v>
      </c>
      <c r="F7057" t="s">
        <v>41</v>
      </c>
      <c r="G7057">
        <v>-186.43180000000001</v>
      </c>
      <c r="H7057">
        <v>1.013665</v>
      </c>
      <c r="I7057">
        <v>55.83399</v>
      </c>
      <c r="J7057">
        <v>-186.38900000000001</v>
      </c>
      <c r="K7057">
        <v>1.1102080000000001</v>
      </c>
      <c r="L7057">
        <v>55.72513</v>
      </c>
      <c r="M7057">
        <v>1.286677E-2</v>
      </c>
      <c r="N7057">
        <v>0</v>
      </c>
      <c r="O7057">
        <v>0.99985610000000003</v>
      </c>
      <c r="P7057">
        <v>3.4529509999999999E-2</v>
      </c>
      <c r="Q7057">
        <v>0.106833399999999</v>
      </c>
      <c r="R7057">
        <v>0.99367720000000004</v>
      </c>
      <c r="S7057">
        <v>-0.109848</v>
      </c>
      <c r="T7057">
        <v>-0.32468370000000002</v>
      </c>
      <c r="U7057">
        <v>3.058624</v>
      </c>
      <c r="V7057">
        <v>2.165183E-2</v>
      </c>
      <c r="W7057">
        <v>0.1178394</v>
      </c>
      <c r="X7057">
        <v>0.99279660000000003</v>
      </c>
      <c r="Y7057">
        <v>-4.8547180000000002E-2</v>
      </c>
      <c r="Z7057">
        <v>-0.1054514</v>
      </c>
      <c r="AA7057">
        <v>0.99323870000000003</v>
      </c>
      <c r="AB7057">
        <v>41</v>
      </c>
      <c r="AC7057">
        <v>-4.2799999999999699E-2</v>
      </c>
      <c r="AD7057">
        <v>-9.6543000000000004E-2</v>
      </c>
      <c r="AE7057">
        <v>0.108859999999992</v>
      </c>
      <c r="AF7057">
        <v>-2.6288929114118599E-2</v>
      </c>
      <c r="AG7057">
        <v>-9.6543000000000004E-2</v>
      </c>
      <c r="AH7057">
        <v>6.4418029765300894E-2</v>
      </c>
      <c r="AI7057">
        <v>144.220782250046</v>
      </c>
      <c r="AJ7057">
        <v>112.200318794881</v>
      </c>
      <c r="AK7057">
        <v>0.119001433612416</v>
      </c>
      <c r="AL7057">
        <v>83.232575488818497</v>
      </c>
      <c r="AM7057">
        <v>88.7506384975201</v>
      </c>
      <c r="AN7057">
        <v>1.0000000074531299</v>
      </c>
    </row>
    <row r="7058" spans="1:40" x14ac:dyDescent="0.25">
      <c r="A7058" t="str">
        <f>"20190312151201812"</f>
        <v>20190312151201812</v>
      </c>
      <c r="B7058" t="str">
        <f>"1552374721808038"</f>
        <v>1552374721808038</v>
      </c>
      <c r="C7058" t="s">
        <v>40</v>
      </c>
      <c r="D7058">
        <v>5.1903870000000003</v>
      </c>
      <c r="E7058">
        <v>0.47290589999999999</v>
      </c>
      <c r="F7058" t="s">
        <v>41</v>
      </c>
      <c r="G7058">
        <v>-186.42150000000001</v>
      </c>
      <c r="H7058">
        <v>1.0203960000000001</v>
      </c>
      <c r="I7058">
        <v>56.584800000000001</v>
      </c>
      <c r="J7058">
        <v>-186.38409999999999</v>
      </c>
      <c r="K7058">
        <v>1.1102110000000001</v>
      </c>
      <c r="L7058">
        <v>56.126309999999997</v>
      </c>
      <c r="M7058">
        <v>1.254661E-2</v>
      </c>
      <c r="N7058">
        <v>0</v>
      </c>
      <c r="O7058">
        <v>0.99985990000000002</v>
      </c>
      <c r="P7058">
        <v>3.3063620000000002E-2</v>
      </c>
      <c r="Q7058">
        <v>0.1065087</v>
      </c>
      <c r="R7058">
        <v>0.99376189999999998</v>
      </c>
      <c r="S7058">
        <v>-0.1164398</v>
      </c>
      <c r="T7058">
        <v>-0.31947429999999999</v>
      </c>
      <c r="U7058">
        <v>3.0574650000000001</v>
      </c>
      <c r="V7058">
        <v>2.050076E-2</v>
      </c>
      <c r="W7058">
        <v>0.1175363</v>
      </c>
      <c r="X7058">
        <v>0.99285699999999999</v>
      </c>
      <c r="Y7058">
        <v>-5.038583E-2</v>
      </c>
      <c r="Z7058">
        <v>-0.1038086</v>
      </c>
      <c r="AA7058">
        <v>0.99332019999999999</v>
      </c>
      <c r="AB7058">
        <v>41</v>
      </c>
      <c r="AC7058">
        <v>-3.7400000000019397E-2</v>
      </c>
      <c r="AD7058">
        <v>-8.98150000000002E-2</v>
      </c>
      <c r="AE7058">
        <v>0.45849000000000401</v>
      </c>
      <c r="AF7058">
        <v>-4.1565412778845401E-2</v>
      </c>
      <c r="AG7058">
        <v>-8.98150000000002E-2</v>
      </c>
      <c r="AH7058">
        <v>0.441167153609624</v>
      </c>
      <c r="AI7058">
        <v>101.457907042831</v>
      </c>
      <c r="AJ7058">
        <v>95.382343658290097</v>
      </c>
      <c r="AK7058">
        <v>0.452131479979544</v>
      </c>
      <c r="AL7058">
        <v>83.250063608249306</v>
      </c>
      <c r="AM7058">
        <v>88.817110484018599</v>
      </c>
      <c r="AN7058">
        <v>1.00000004271363</v>
      </c>
    </row>
    <row r="7059" spans="1:40" x14ac:dyDescent="0.25">
      <c r="A7059" t="str">
        <f>"20190312151201836"</f>
        <v>20190312151201836</v>
      </c>
      <c r="B7059" t="str">
        <f>"1552374721828534"</f>
        <v>1552374721828534</v>
      </c>
      <c r="C7059" t="s">
        <v>40</v>
      </c>
      <c r="D7059">
        <v>5.084587</v>
      </c>
      <c r="E7059">
        <v>0.472937</v>
      </c>
      <c r="F7059" t="s">
        <v>42</v>
      </c>
      <c r="G7059">
        <v>-186.79759999999999</v>
      </c>
      <c r="H7059" s="1">
        <v>-3.6389279999999999E-6</v>
      </c>
      <c r="I7059">
        <v>66.791039999999995</v>
      </c>
      <c r="J7059">
        <v>-186.37899999999999</v>
      </c>
      <c r="K7059">
        <v>1.110222</v>
      </c>
      <c r="L7059">
        <v>56.558839999999996</v>
      </c>
      <c r="M7059">
        <v>1.2201480000000001E-2</v>
      </c>
      <c r="N7059">
        <v>0</v>
      </c>
      <c r="O7059">
        <v>0.99986390000000003</v>
      </c>
      <c r="P7059">
        <v>3.1892080000000003E-2</v>
      </c>
      <c r="Q7059">
        <v>0.106211</v>
      </c>
      <c r="R7059">
        <v>0.9938321</v>
      </c>
      <c r="S7059">
        <v>-0.1184998</v>
      </c>
      <c r="T7059">
        <v>-0.31822650000000002</v>
      </c>
      <c r="U7059">
        <v>3.0568849999999999</v>
      </c>
      <c r="V7059">
        <v>1.966942E-2</v>
      </c>
      <c r="W7059">
        <v>0.1172598</v>
      </c>
      <c r="X7059">
        <v>0.99290650000000003</v>
      </c>
      <c r="Y7059">
        <v>-5.0718180000000002E-2</v>
      </c>
      <c r="Z7059">
        <v>-0.1034254</v>
      </c>
      <c r="AA7059">
        <v>0.99334330000000004</v>
      </c>
      <c r="AB7059">
        <v>41</v>
      </c>
      <c r="AC7059">
        <v>-0.418599999999969</v>
      </c>
      <c r="AD7059">
        <v>-1.1102256389280001</v>
      </c>
      <c r="AE7059">
        <v>10.232199999999899</v>
      </c>
      <c r="AF7059">
        <v>-0.53711170505579997</v>
      </c>
      <c r="AG7059">
        <v>-1.1102256389280001</v>
      </c>
      <c r="AH7059">
        <v>10.1075339173375</v>
      </c>
      <c r="AI7059">
        <v>96.259558170673003</v>
      </c>
      <c r="AJ7059">
        <v>93.041821672033805</v>
      </c>
      <c r="AK7059">
        <v>10.182501256723199</v>
      </c>
      <c r="AL7059">
        <v>83.266016133093203</v>
      </c>
      <c r="AM7059">
        <v>88.865122380426101</v>
      </c>
      <c r="AN7059">
        <v>1.0000000322607101</v>
      </c>
    </row>
    <row r="7060" spans="1:40" x14ac:dyDescent="0.25">
      <c r="A7060" t="str">
        <f>"20190312151201858"</f>
        <v>20190312151201858</v>
      </c>
      <c r="B7060" t="str">
        <f>"1552374721848054"</f>
        <v>1552374721848054</v>
      </c>
      <c r="C7060" t="s">
        <v>40</v>
      </c>
      <c r="D7060">
        <v>5.1454309999999897</v>
      </c>
      <c r="E7060">
        <v>0.473049</v>
      </c>
      <c r="F7060" t="s">
        <v>42</v>
      </c>
      <c r="G7060">
        <v>-186.7971</v>
      </c>
      <c r="H7060" s="1">
        <v>-3.77269E-6</v>
      </c>
      <c r="I7060">
        <v>67.102649999999997</v>
      </c>
      <c r="J7060">
        <v>-186.37430000000001</v>
      </c>
      <c r="K7060">
        <v>1.110228</v>
      </c>
      <c r="L7060">
        <v>56.961820000000003</v>
      </c>
      <c r="M7060">
        <v>1.1879900000000001E-2</v>
      </c>
      <c r="N7060">
        <v>0</v>
      </c>
      <c r="O7060">
        <v>0.99986759999999997</v>
      </c>
      <c r="P7060">
        <v>3.029803E-2</v>
      </c>
      <c r="Q7060">
        <v>0.105832</v>
      </c>
      <c r="R7060">
        <v>0.99392239999999998</v>
      </c>
      <c r="S7060">
        <v>-0.1212158</v>
      </c>
      <c r="T7060">
        <v>-0.32188220000000001</v>
      </c>
      <c r="U7060">
        <v>3.056915</v>
      </c>
      <c r="V7060">
        <v>1.8392680000000002E-2</v>
      </c>
      <c r="W7060">
        <v>0.116898</v>
      </c>
      <c r="X7060">
        <v>0.99297360000000001</v>
      </c>
      <c r="Y7060">
        <v>-5.1272949999999998E-2</v>
      </c>
      <c r="Z7060">
        <v>-0.1045968</v>
      </c>
      <c r="AA7060">
        <v>0.99319210000000002</v>
      </c>
      <c r="AB7060">
        <v>41</v>
      </c>
      <c r="AC7060">
        <v>-0.42279999999999501</v>
      </c>
      <c r="AD7060">
        <v>-1.11023177269</v>
      </c>
      <c r="AE7060">
        <v>10.140829999999999</v>
      </c>
      <c r="AF7060">
        <v>-0.53682633110410405</v>
      </c>
      <c r="AG7060">
        <v>-1.11023177269</v>
      </c>
      <c r="AH7060">
        <v>10.0152549549817</v>
      </c>
      <c r="AI7060">
        <v>96.316649485741493</v>
      </c>
      <c r="AJ7060">
        <v>93.068167268375205</v>
      </c>
      <c r="AK7060">
        <v>10.0908933654134</v>
      </c>
      <c r="AL7060">
        <v>83.286889092153203</v>
      </c>
      <c r="AM7060">
        <v>88.938841433233804</v>
      </c>
      <c r="AN7060">
        <v>1.0000000016892701</v>
      </c>
    </row>
    <row r="7061" spans="1:40" x14ac:dyDescent="0.25">
      <c r="A7061" t="str">
        <f>"20190312151201880"</f>
        <v>20190312151201880</v>
      </c>
      <c r="B7061" t="str">
        <f>"1552374721868567"</f>
        <v>1552374721868567</v>
      </c>
      <c r="C7061" t="s">
        <v>40</v>
      </c>
      <c r="D7061">
        <v>5.2968120000000001</v>
      </c>
      <c r="E7061">
        <v>0.47342990000000001</v>
      </c>
      <c r="F7061" t="s">
        <v>41</v>
      </c>
      <c r="G7061">
        <v>-186.41800000000001</v>
      </c>
      <c r="H7061">
        <v>0.99647079999999999</v>
      </c>
      <c r="I7061">
        <v>58.035620000000002</v>
      </c>
      <c r="J7061">
        <v>-186.3698</v>
      </c>
      <c r="K7061">
        <v>1.110228</v>
      </c>
      <c r="L7061">
        <v>57.36618</v>
      </c>
      <c r="M7061">
        <v>1.1556510000000001E-2</v>
      </c>
      <c r="N7061">
        <v>0</v>
      </c>
      <c r="O7061">
        <v>0.99987119999999996</v>
      </c>
      <c r="P7061">
        <v>2.90254E-2</v>
      </c>
      <c r="Q7061">
        <v>0.10560750000000001</v>
      </c>
      <c r="R7061">
        <v>0.99398419999999998</v>
      </c>
      <c r="S7061">
        <v>-0.12466430000000001</v>
      </c>
      <c r="T7061">
        <v>-0.323837599999999</v>
      </c>
      <c r="U7061">
        <v>3.05661</v>
      </c>
      <c r="V7061">
        <v>1.743983E-2</v>
      </c>
      <c r="W7061">
        <v>0.1166891</v>
      </c>
      <c r="X7061">
        <v>0.99301530000000005</v>
      </c>
      <c r="Y7061">
        <v>-5.2069869999999997E-2</v>
      </c>
      <c r="Z7061">
        <v>-0.1052317</v>
      </c>
      <c r="AA7061">
        <v>0.99308359999999996</v>
      </c>
      <c r="AB7061">
        <v>41</v>
      </c>
      <c r="AC7061">
        <v>-4.8200000000008403E-2</v>
      </c>
      <c r="AD7061">
        <v>-0.113757199999999</v>
      </c>
      <c r="AE7061">
        <v>0.66943999999998705</v>
      </c>
      <c r="AF7061">
        <v>-5.4371719394862801E-2</v>
      </c>
      <c r="AG7061">
        <v>-0.113757199999999</v>
      </c>
      <c r="AH7061">
        <v>0.65016111371500995</v>
      </c>
      <c r="AI7061">
        <v>99.890610090487399</v>
      </c>
      <c r="AJ7061">
        <v>94.780412008296196</v>
      </c>
      <c r="AK7061">
        <v>0.662273703395308</v>
      </c>
      <c r="AL7061">
        <v>83.298940242756203</v>
      </c>
      <c r="AM7061">
        <v>88.993846379858297</v>
      </c>
      <c r="AN7061">
        <v>0.99999993988166203</v>
      </c>
    </row>
    <row r="7062" spans="1:40" x14ac:dyDescent="0.25">
      <c r="A7062" t="str">
        <f>"20190312151201904"</f>
        <v>20190312151201904</v>
      </c>
      <c r="B7062" t="str">
        <f>"1552374721898393"</f>
        <v>1552374721898393</v>
      </c>
      <c r="C7062" t="s">
        <v>40</v>
      </c>
      <c r="D7062">
        <v>5.1173149999999996</v>
      </c>
      <c r="E7062">
        <v>0.47341119999999998</v>
      </c>
      <c r="F7062" t="s">
        <v>41</v>
      </c>
      <c r="G7062">
        <v>-186.41229999999999</v>
      </c>
      <c r="H7062">
        <v>0.99966809999999995</v>
      </c>
      <c r="I7062">
        <v>58.406730000000003</v>
      </c>
      <c r="J7062">
        <v>-186.36519999999999</v>
      </c>
      <c r="K7062">
        <v>1.1102339999999999</v>
      </c>
      <c r="L7062">
        <v>57.795839999999998</v>
      </c>
      <c r="M7062">
        <v>1.121254E-2</v>
      </c>
      <c r="N7062">
        <v>0</v>
      </c>
      <c r="O7062">
        <v>0.99987490000000001</v>
      </c>
      <c r="P7062">
        <v>2.7777679999999999E-2</v>
      </c>
      <c r="Q7062">
        <v>0.1052327</v>
      </c>
      <c r="R7062">
        <v>0.99405960000000004</v>
      </c>
      <c r="S7062">
        <v>-0.1249695</v>
      </c>
      <c r="T7062">
        <v>-0.32474409999999998</v>
      </c>
      <c r="U7062">
        <v>3.056305</v>
      </c>
      <c r="V7062">
        <v>1.6532580000000002E-2</v>
      </c>
      <c r="W7062">
        <v>0.11632869999999999</v>
      </c>
      <c r="X7062">
        <v>0.99307319999999999</v>
      </c>
      <c r="Y7062">
        <v>-5.1828039999999999E-2</v>
      </c>
      <c r="Z7062">
        <v>-0.1055345</v>
      </c>
      <c r="AA7062">
        <v>0.99306410000000001</v>
      </c>
      <c r="AB7062">
        <v>41</v>
      </c>
      <c r="AC7062">
        <v>-4.7100000000000301E-2</v>
      </c>
      <c r="AD7062">
        <v>-0.110565899999999</v>
      </c>
      <c r="AE7062">
        <v>0.61088999999999705</v>
      </c>
      <c r="AF7062">
        <v>-5.2245745167845997E-2</v>
      </c>
      <c r="AG7062">
        <v>-0.110565899999999</v>
      </c>
      <c r="AH7062">
        <v>0.59107546393711297</v>
      </c>
      <c r="AI7062">
        <v>100.555013321949</v>
      </c>
      <c r="AJ7062">
        <v>95.051302725517104</v>
      </c>
      <c r="AK7062">
        <v>0.60359310814440803</v>
      </c>
      <c r="AL7062">
        <v>83.319731886125396</v>
      </c>
      <c r="AM7062">
        <v>89.046233890519403</v>
      </c>
      <c r="AN7062">
        <v>1.0000000366016899</v>
      </c>
    </row>
    <row r="7063" spans="1:40" x14ac:dyDescent="0.25">
      <c r="A7063" t="str">
        <f>"20190312151201926"</f>
        <v>20190312151201926</v>
      </c>
      <c r="B7063" t="str">
        <f>"1552374721917913"</f>
        <v>1552374721917913</v>
      </c>
      <c r="C7063" t="s">
        <v>40</v>
      </c>
      <c r="D7063">
        <v>5.1135529999999996</v>
      </c>
      <c r="E7063">
        <v>0.47333730000000002</v>
      </c>
      <c r="F7063" t="s">
        <v>41</v>
      </c>
      <c r="G7063">
        <v>-186.40649999999999</v>
      </c>
      <c r="H7063">
        <v>1.006175</v>
      </c>
      <c r="I7063">
        <v>58.780459999999998</v>
      </c>
      <c r="J7063">
        <v>-186.36070000000001</v>
      </c>
      <c r="K7063">
        <v>1.110236</v>
      </c>
      <c r="L7063">
        <v>58.225949999999997</v>
      </c>
      <c r="M7063">
        <v>1.0867659999999999E-2</v>
      </c>
      <c r="N7063">
        <v>0</v>
      </c>
      <c r="O7063">
        <v>0.99987859999999995</v>
      </c>
      <c r="P7063">
        <v>2.6566260000000001E-2</v>
      </c>
      <c r="Q7063">
        <v>0.1049498</v>
      </c>
      <c r="R7063">
        <v>0.99412259999999997</v>
      </c>
      <c r="S7063">
        <v>-0.12853999999999999</v>
      </c>
      <c r="T7063">
        <v>-0.32296859999999999</v>
      </c>
      <c r="U7063">
        <v>3.0557249999999998</v>
      </c>
      <c r="V7063">
        <v>1.5662880000000001E-2</v>
      </c>
      <c r="W7063">
        <v>0.1160588</v>
      </c>
      <c r="X7063">
        <v>0.99311879999999997</v>
      </c>
      <c r="Y7063">
        <v>-5.2652110000000002E-2</v>
      </c>
      <c r="Z7063">
        <v>-0.1049793</v>
      </c>
      <c r="AA7063">
        <v>0.99307959999999995</v>
      </c>
      <c r="AB7063">
        <v>41</v>
      </c>
      <c r="AC7063">
        <v>-4.5799999999985602E-2</v>
      </c>
      <c r="AD7063">
        <v>-0.104060999999999</v>
      </c>
      <c r="AE7063">
        <v>0.55450999999999995</v>
      </c>
      <c r="AF7063">
        <v>-5.0072425007060002E-2</v>
      </c>
      <c r="AG7063">
        <v>-0.104060999999999</v>
      </c>
      <c r="AH7063">
        <v>0.53525685360981601</v>
      </c>
      <c r="AI7063">
        <v>100.955149264696</v>
      </c>
      <c r="AJ7063">
        <v>95.3443749289669</v>
      </c>
      <c r="AK7063">
        <v>0.54757267901472895</v>
      </c>
      <c r="AL7063">
        <v>83.335300969192204</v>
      </c>
      <c r="AM7063">
        <v>89.096439899117797</v>
      </c>
      <c r="AN7063">
        <v>0.99999996089038601</v>
      </c>
    </row>
    <row r="7064" spans="1:40" x14ac:dyDescent="0.25">
      <c r="A7064" t="str">
        <f>"20190312151201948"</f>
        <v>20190312151201948</v>
      </c>
      <c r="B7064" t="str">
        <f>"1552374721938413"</f>
        <v>1552374721938413</v>
      </c>
      <c r="C7064" t="s">
        <v>40</v>
      </c>
      <c r="D7064">
        <v>5.0913979999999999</v>
      </c>
      <c r="E7064">
        <v>0.47334690000000001</v>
      </c>
      <c r="F7064" t="s">
        <v>41</v>
      </c>
      <c r="G7064">
        <v>-186.40090000000001</v>
      </c>
      <c r="H7064">
        <v>1.0119339999999999</v>
      </c>
      <c r="I7064">
        <v>59.153840000000002</v>
      </c>
      <c r="J7064">
        <v>-186.35659999999999</v>
      </c>
      <c r="K7064">
        <v>1.1102379999999901</v>
      </c>
      <c r="L7064">
        <v>58.620820000000002</v>
      </c>
      <c r="M7064">
        <v>1.055101E-2</v>
      </c>
      <c r="N7064">
        <v>0</v>
      </c>
      <c r="O7064">
        <v>0.99988189999999999</v>
      </c>
      <c r="P7064">
        <v>2.5648190000000001E-2</v>
      </c>
      <c r="Q7064">
        <v>0.1047226</v>
      </c>
      <c r="R7064">
        <v>0.99417069999999996</v>
      </c>
      <c r="S7064">
        <v>-0.1327362</v>
      </c>
      <c r="T7064">
        <v>-0.32373600000000002</v>
      </c>
      <c r="U7064">
        <v>3.0554809999999999</v>
      </c>
      <c r="V7064">
        <v>1.5058800000000001E-2</v>
      </c>
      <c r="W7064">
        <v>0.1158423</v>
      </c>
      <c r="X7064">
        <v>0.99315350000000002</v>
      </c>
      <c r="Y7064">
        <v>-5.369935E-2</v>
      </c>
      <c r="Z7064">
        <v>-0.1052289</v>
      </c>
      <c r="AA7064">
        <v>0.99299709999999997</v>
      </c>
      <c r="AB7064">
        <v>41</v>
      </c>
      <c r="AC7064">
        <v>-4.43000000000211E-2</v>
      </c>
      <c r="AD7064">
        <v>-9.8303999999999697E-2</v>
      </c>
      <c r="AE7064">
        <v>0.53302000000000704</v>
      </c>
      <c r="AF7064">
        <v>-4.82905078298018E-2</v>
      </c>
      <c r="AG7064">
        <v>-9.8303999999999697E-2</v>
      </c>
      <c r="AH7064">
        <v>0.51512182587856903</v>
      </c>
      <c r="AI7064">
        <v>100.75815154517799</v>
      </c>
      <c r="AJ7064">
        <v>95.355586515312794</v>
      </c>
      <c r="AK7064">
        <v>0.52663663474822098</v>
      </c>
      <c r="AL7064">
        <v>83.347790273175406</v>
      </c>
      <c r="AM7064">
        <v>89.131312961587</v>
      </c>
      <c r="AN7064">
        <v>1.00000004024448</v>
      </c>
    </row>
    <row r="7065" spans="1:40" x14ac:dyDescent="0.25">
      <c r="A7065" t="str">
        <f>"20190312151201969"</f>
        <v>20190312151201969</v>
      </c>
      <c r="B7065" t="str">
        <f>"1552374721957929"</f>
        <v>1552374721957929</v>
      </c>
      <c r="C7065" t="s">
        <v>40</v>
      </c>
      <c r="D7065">
        <v>5.112336</v>
      </c>
      <c r="E7065">
        <v>0.47335260000000001</v>
      </c>
      <c r="F7065" t="s">
        <v>41</v>
      </c>
      <c r="G7065">
        <v>-186.3965</v>
      </c>
      <c r="H7065">
        <v>1.013649</v>
      </c>
      <c r="I7065">
        <v>59.525669999999998</v>
      </c>
      <c r="J7065">
        <v>-186.3527</v>
      </c>
      <c r="K7065">
        <v>1.110241</v>
      </c>
      <c r="L7065">
        <v>59.024659999999997</v>
      </c>
      <c r="M7065">
        <v>1.0227139999999999E-2</v>
      </c>
      <c r="N7065">
        <v>0</v>
      </c>
      <c r="O7065">
        <v>0.99988509999999997</v>
      </c>
      <c r="P7065">
        <v>2.465328E-2</v>
      </c>
      <c r="Q7065">
        <v>0.104738</v>
      </c>
      <c r="R7065">
        <v>0.99419420000000003</v>
      </c>
      <c r="S7065">
        <v>-0.13525390000000001</v>
      </c>
      <c r="T7065">
        <v>-0.326204299999999</v>
      </c>
      <c r="U7065">
        <v>3.05545</v>
      </c>
      <c r="V7065">
        <v>1.4385230000000001E-2</v>
      </c>
      <c r="W7065">
        <v>0.115867899999999</v>
      </c>
      <c r="X7065">
        <v>0.9931605</v>
      </c>
      <c r="Y7065">
        <v>-5.4189309999999997E-2</v>
      </c>
      <c r="Z7065">
        <v>-0.1060205</v>
      </c>
      <c r="AA7065">
        <v>0.9928863</v>
      </c>
      <c r="AB7065">
        <v>41</v>
      </c>
      <c r="AC7065">
        <v>-4.3800000000004502E-2</v>
      </c>
      <c r="AD7065">
        <v>-9.6591999999999997E-2</v>
      </c>
      <c r="AE7065">
        <v>0.50100999999999996</v>
      </c>
      <c r="AF7065">
        <v>-4.71815066501702E-2</v>
      </c>
      <c r="AG7065">
        <v>-9.6591999999999997E-2</v>
      </c>
      <c r="AH7065">
        <v>0.48272900103134803</v>
      </c>
      <c r="AI7065">
        <v>101.26291735148099</v>
      </c>
      <c r="AJ7065">
        <v>95.582308186131996</v>
      </c>
      <c r="AK7065">
        <v>0.49455373567541</v>
      </c>
      <c r="AL7065">
        <v>83.346313568501301</v>
      </c>
      <c r="AM7065">
        <v>89.170169036077596</v>
      </c>
      <c r="AN7065">
        <v>1.0000000419263999</v>
      </c>
    </row>
    <row r="7066" spans="1:40" x14ac:dyDescent="0.25">
      <c r="A7066" t="str">
        <f>"20190312151201994"</f>
        <v>20190312151201994</v>
      </c>
      <c r="B7066" t="str">
        <f>"1552374721988185"</f>
        <v>1552374721988185</v>
      </c>
      <c r="C7066" t="s">
        <v>40</v>
      </c>
      <c r="D7066">
        <v>5.1215989999999998</v>
      </c>
      <c r="E7066">
        <v>0.47339560000000003</v>
      </c>
      <c r="F7066" t="s">
        <v>41</v>
      </c>
      <c r="G7066">
        <v>-186.39250000000001</v>
      </c>
      <c r="H7066">
        <v>1.0156860000000001</v>
      </c>
      <c r="I7066">
        <v>59.904809999999998</v>
      </c>
      <c r="J7066">
        <v>-186.3484</v>
      </c>
      <c r="K7066">
        <v>1.1102430000000001</v>
      </c>
      <c r="L7066">
        <v>59.465789999999998</v>
      </c>
      <c r="M7066">
        <v>9.8729409999999997E-3</v>
      </c>
      <c r="N7066">
        <v>0</v>
      </c>
      <c r="O7066">
        <v>0.99988849999999996</v>
      </c>
      <c r="P7066">
        <v>2.357592E-2</v>
      </c>
      <c r="Q7066">
        <v>0.1050967</v>
      </c>
      <c r="R7066">
        <v>0.99418249999999997</v>
      </c>
      <c r="S7066">
        <v>-0.13842769999999999</v>
      </c>
      <c r="T7066">
        <v>-0.32827650000000003</v>
      </c>
      <c r="U7066">
        <v>3.055542</v>
      </c>
      <c r="V7066">
        <v>1.365954E-2</v>
      </c>
      <c r="W7066">
        <v>0.1162383</v>
      </c>
      <c r="X7066">
        <v>0.99312739999999999</v>
      </c>
      <c r="Y7066">
        <v>-5.4860319999999997E-2</v>
      </c>
      <c r="Z7066">
        <v>-0.1066793</v>
      </c>
      <c r="AA7066">
        <v>0.99277879999999996</v>
      </c>
      <c r="AB7066">
        <v>41</v>
      </c>
      <c r="AC7066">
        <v>-4.4100000000014399E-2</v>
      </c>
      <c r="AD7066">
        <v>-9.4557000000000002E-2</v>
      </c>
      <c r="AE7066">
        <v>0.43901999999999203</v>
      </c>
      <c r="AF7066">
        <v>-4.6305896859245403E-2</v>
      </c>
      <c r="AG7066">
        <v>-9.4557000000000002E-2</v>
      </c>
      <c r="AH7066">
        <v>0.41930612760367802</v>
      </c>
      <c r="AI7066">
        <v>102.633780118982</v>
      </c>
      <c r="AJ7066">
        <v>96.301899346200699</v>
      </c>
      <c r="AK7066">
        <v>0.43232266998034102</v>
      </c>
      <c r="AL7066">
        <v>83.324946415991207</v>
      </c>
      <c r="AM7066">
        <v>89.211999743166004</v>
      </c>
      <c r="AN7066">
        <v>0.99999997902533</v>
      </c>
    </row>
    <row r="7067" spans="1:40" x14ac:dyDescent="0.25">
      <c r="A7067" t="str">
        <f>"20190312151202014"</f>
        <v>20190312151202014</v>
      </c>
      <c r="B7067" t="str">
        <f>"1552374722007920"</f>
        <v>1552374722007920</v>
      </c>
      <c r="C7067" t="s">
        <v>40</v>
      </c>
      <c r="D7067">
        <v>5.2374429999999998</v>
      </c>
      <c r="E7067">
        <v>0.47339759999999997</v>
      </c>
      <c r="F7067" t="s">
        <v>42</v>
      </c>
      <c r="G7067">
        <v>-186.8313</v>
      </c>
      <c r="H7067" s="1">
        <v>-9.3497399999999997E-7</v>
      </c>
      <c r="I7067">
        <v>69.918009999999995</v>
      </c>
      <c r="J7067">
        <v>-186.3449</v>
      </c>
      <c r="K7067">
        <v>1.1102449999999999</v>
      </c>
      <c r="L7067">
        <v>59.850070000000002</v>
      </c>
      <c r="M7067">
        <v>9.5643099999999995E-3</v>
      </c>
      <c r="N7067">
        <v>0</v>
      </c>
      <c r="O7067">
        <v>0.99989139999999999</v>
      </c>
      <c r="P7067">
        <v>2.2509120000000001E-2</v>
      </c>
      <c r="Q7067">
        <v>0.10543909999999999</v>
      </c>
      <c r="R7067">
        <v>0.99417100000000003</v>
      </c>
      <c r="S7067">
        <v>-0.14114380000000001</v>
      </c>
      <c r="T7067">
        <v>-0.3245268</v>
      </c>
      <c r="U7067">
        <v>3.0552060000000001</v>
      </c>
      <c r="V7067">
        <v>1.289919E-2</v>
      </c>
      <c r="W7067">
        <v>0.1165939</v>
      </c>
      <c r="X7067">
        <v>0.99309590000000003</v>
      </c>
      <c r="Y7067">
        <v>-5.5443680000000002E-2</v>
      </c>
      <c r="Z7067">
        <v>-0.10548250000000001</v>
      </c>
      <c r="AA7067">
        <v>0.99287429999999999</v>
      </c>
      <c r="AB7067">
        <v>41</v>
      </c>
      <c r="AC7067">
        <v>-0.486400000000003</v>
      </c>
      <c r="AD7067">
        <v>-1.1102459349739999</v>
      </c>
      <c r="AE7067">
        <v>10.06794</v>
      </c>
      <c r="AF7067">
        <v>-0.57569220692207601</v>
      </c>
      <c r="AG7067">
        <v>-1.1102459349739999</v>
      </c>
      <c r="AH7067">
        <v>9.9422048341472902</v>
      </c>
      <c r="AI7067">
        <v>96.361253111242902</v>
      </c>
      <c r="AJ7067">
        <v>93.313947348839605</v>
      </c>
      <c r="AK7067">
        <v>10.020554102312801</v>
      </c>
      <c r="AL7067">
        <v>83.304432671108103</v>
      </c>
      <c r="AM7067">
        <v>89.255834620404201</v>
      </c>
      <c r="AN7067">
        <v>0.99999999660833705</v>
      </c>
    </row>
    <row r="7068" spans="1:40" x14ac:dyDescent="0.25">
      <c r="A7068" t="str">
        <f>"20190312151202037"</f>
        <v>20190312151202037</v>
      </c>
      <c r="B7068" t="str">
        <f>"1552374722028416"</f>
        <v>1552374722028416</v>
      </c>
      <c r="C7068" t="s">
        <v>40</v>
      </c>
      <c r="D7068">
        <v>5.1423829999999997</v>
      </c>
      <c r="E7068">
        <v>0.47339399999999998</v>
      </c>
      <c r="F7068" t="s">
        <v>42</v>
      </c>
      <c r="G7068">
        <v>-186.8424</v>
      </c>
      <c r="H7068" s="1">
        <v>-1.093499E-6</v>
      </c>
      <c r="I7068">
        <v>70.392529999999994</v>
      </c>
      <c r="J7068">
        <v>-186.34119999999999</v>
      </c>
      <c r="K7068">
        <v>1.1102449999999999</v>
      </c>
      <c r="L7068">
        <v>60.264470000000003</v>
      </c>
      <c r="M7068">
        <v>9.2314979999999994E-3</v>
      </c>
      <c r="N7068">
        <v>0</v>
      </c>
      <c r="O7068">
        <v>0.99989430000000001</v>
      </c>
      <c r="P7068">
        <v>2.211221E-2</v>
      </c>
      <c r="Q7068">
        <v>0.10558090000000001</v>
      </c>
      <c r="R7068">
        <v>0.99416479999999996</v>
      </c>
      <c r="S7068">
        <v>-0.14416499999999999</v>
      </c>
      <c r="T7068">
        <v>-0.3217237</v>
      </c>
      <c r="U7068">
        <v>3.0549620000000002</v>
      </c>
      <c r="V7068">
        <v>1.283284E-2</v>
      </c>
      <c r="W7068">
        <v>0.116754</v>
      </c>
      <c r="X7068">
        <v>0.99307789999999996</v>
      </c>
      <c r="Y7068">
        <v>-5.6099240000000002E-2</v>
      </c>
      <c r="Z7068">
        <v>-0.1045859</v>
      </c>
      <c r="AA7068">
        <v>0.99293240000000005</v>
      </c>
      <c r="AB7068">
        <v>41</v>
      </c>
      <c r="AC7068">
        <v>-0.50120000000001097</v>
      </c>
      <c r="AD7068">
        <v>-1.1102460934989999</v>
      </c>
      <c r="AE7068">
        <v>10.12806</v>
      </c>
      <c r="AF7068">
        <v>-0.58763747988333903</v>
      </c>
      <c r="AG7068">
        <v>-1.1102460934989999</v>
      </c>
      <c r="AH7068">
        <v>10.003090558557</v>
      </c>
      <c r="AI7068">
        <v>96.3225427139906</v>
      </c>
      <c r="AJ7068">
        <v>93.362010574786595</v>
      </c>
      <c r="AK7068">
        <v>10.081655861939799</v>
      </c>
      <c r="AL7068">
        <v>83.295196201553907</v>
      </c>
      <c r="AM7068">
        <v>89.259648564417503</v>
      </c>
      <c r="AN7068">
        <v>0.99999994688343596</v>
      </c>
    </row>
    <row r="7069" spans="1:40" x14ac:dyDescent="0.25">
      <c r="A7069" t="str">
        <f>"20190312151202058"</f>
        <v>20190312151202058</v>
      </c>
      <c r="B7069" t="str">
        <f>"1552374722047936"</f>
        <v>1552374722047936</v>
      </c>
      <c r="C7069" t="s">
        <v>40</v>
      </c>
      <c r="D7069">
        <v>5.0944269999999996</v>
      </c>
      <c r="E7069">
        <v>0.47335129999999997</v>
      </c>
      <c r="F7069" t="s">
        <v>42</v>
      </c>
      <c r="G7069">
        <v>-186.8451</v>
      </c>
      <c r="H7069" s="1">
        <v>-1.237967E-6</v>
      </c>
      <c r="I7069">
        <v>70.819159999999997</v>
      </c>
      <c r="J7069">
        <v>-186.33779999999999</v>
      </c>
      <c r="K7069">
        <v>1.11025</v>
      </c>
      <c r="L7069">
        <v>60.665860000000002</v>
      </c>
      <c r="M7069">
        <v>8.9092730000000005E-3</v>
      </c>
      <c r="N7069">
        <v>0</v>
      </c>
      <c r="O7069">
        <v>0.99989700000000004</v>
      </c>
      <c r="P7069">
        <v>2.185815E-2</v>
      </c>
      <c r="Q7069">
        <v>0.1055606</v>
      </c>
      <c r="R7069">
        <v>0.99417259999999996</v>
      </c>
      <c r="S7069">
        <v>-0.14584349999999999</v>
      </c>
      <c r="T7069">
        <v>-0.32135429999999998</v>
      </c>
      <c r="U7069">
        <v>3.0549930000000001</v>
      </c>
      <c r="V7069">
        <v>1.289883E-2</v>
      </c>
      <c r="W7069">
        <v>0.116755399999999</v>
      </c>
      <c r="X7069">
        <v>0.99307690000000004</v>
      </c>
      <c r="Y7069">
        <v>-5.6321950000000003E-2</v>
      </c>
      <c r="Z7069">
        <v>-0.1044646</v>
      </c>
      <c r="AA7069">
        <v>0.9929325</v>
      </c>
      <c r="AB7069">
        <v>41</v>
      </c>
      <c r="AC7069">
        <v>-0.50730000000001496</v>
      </c>
      <c r="AD7069">
        <v>-1.110251237967</v>
      </c>
      <c r="AE7069">
        <v>10.1533</v>
      </c>
      <c r="AF7069">
        <v>-0.59069862189450395</v>
      </c>
      <c r="AG7069">
        <v>-1.110251237967</v>
      </c>
      <c r="AH7069">
        <v>10.028760128637201</v>
      </c>
      <c r="AI7069">
        <v>96.306462312126001</v>
      </c>
      <c r="AJ7069">
        <v>93.370853453486902</v>
      </c>
      <c r="AK7069">
        <v>10.1073049024484</v>
      </c>
      <c r="AL7069">
        <v>83.295115565721204</v>
      </c>
      <c r="AM7069">
        <v>89.255841151065795</v>
      </c>
      <c r="AN7069">
        <v>0.99999996627906895</v>
      </c>
    </row>
    <row r="7070" spans="1:40" x14ac:dyDescent="0.25">
      <c r="A7070" t="str">
        <f>"20190312151202082"</f>
        <v>20190312151202082</v>
      </c>
      <c r="B7070" t="str">
        <f>"1552374722078193"</f>
        <v>1552374722078193</v>
      </c>
      <c r="C7070" t="s">
        <v>40</v>
      </c>
      <c r="D7070">
        <v>5.0833529999999998</v>
      </c>
      <c r="E7070">
        <v>0.4733405</v>
      </c>
      <c r="F7070" t="s">
        <v>41</v>
      </c>
      <c r="G7070">
        <v>-186.38919999999999</v>
      </c>
      <c r="H7070">
        <v>0.99707730000000006</v>
      </c>
      <c r="I7070">
        <v>61.736690000000003</v>
      </c>
      <c r="J7070">
        <v>-186.33430000000001</v>
      </c>
      <c r="K7070">
        <v>1.1102590000000001</v>
      </c>
      <c r="L7070">
        <v>61.094700000000003</v>
      </c>
      <c r="M7070">
        <v>8.5650250000000004E-3</v>
      </c>
      <c r="N7070">
        <v>0</v>
      </c>
      <c r="O7070">
        <v>0.99989969999999995</v>
      </c>
      <c r="P7070">
        <v>2.1618689999999999E-2</v>
      </c>
      <c r="Q7070">
        <v>0.1055219</v>
      </c>
      <c r="R7070">
        <v>0.99418189999999995</v>
      </c>
      <c r="S7070">
        <v>-0.14712520000000001</v>
      </c>
      <c r="T7070">
        <v>-0.32291439999999999</v>
      </c>
      <c r="U7070">
        <v>3.0551149999999998</v>
      </c>
      <c r="V7070">
        <v>1.300133E-2</v>
      </c>
      <c r="W7070">
        <v>0.116745</v>
      </c>
      <c r="X7070">
        <v>0.99307679999999998</v>
      </c>
      <c r="Y7070">
        <v>-5.6389429999999997E-2</v>
      </c>
      <c r="Z7070">
        <v>-0.1049612</v>
      </c>
      <c r="AA7070">
        <v>0.99287630000000004</v>
      </c>
      <c r="AB7070">
        <v>41</v>
      </c>
      <c r="AC7070">
        <v>-5.4899999999974997E-2</v>
      </c>
      <c r="AD7070">
        <v>-0.1131817</v>
      </c>
      <c r="AE7070">
        <v>0.64198999999999895</v>
      </c>
      <c r="AF7070">
        <v>-5.85892015785427E-2</v>
      </c>
      <c r="AG7070">
        <v>-0.1131817</v>
      </c>
      <c r="AH7070">
        <v>0.62229502214750398</v>
      </c>
      <c r="AI7070">
        <v>100.26373869308</v>
      </c>
      <c r="AJ7070">
        <v>95.378554263514403</v>
      </c>
      <c r="AK7070">
        <v>0.63521168624802804</v>
      </c>
      <c r="AL7070">
        <v>83.295715638357606</v>
      </c>
      <c r="AM7070">
        <v>89.249928322074496</v>
      </c>
      <c r="AN7070">
        <v>0.99999998015250402</v>
      </c>
    </row>
    <row r="7071" spans="1:40" x14ac:dyDescent="0.25">
      <c r="A7071" t="str">
        <f>"20190312151202104"</f>
        <v>20190312151202104</v>
      </c>
      <c r="B7071" t="str">
        <f>"1552374722098689"</f>
        <v>1552374722098689</v>
      </c>
      <c r="C7071" t="s">
        <v>40</v>
      </c>
      <c r="D7071">
        <v>5.1180309999999896</v>
      </c>
      <c r="E7071">
        <v>0.47336549999999999</v>
      </c>
      <c r="F7071" t="s">
        <v>41</v>
      </c>
      <c r="G7071">
        <v>-186.38329999999999</v>
      </c>
      <c r="H7071">
        <v>1.0021180000000001</v>
      </c>
      <c r="I7071">
        <v>62.110390000000002</v>
      </c>
      <c r="J7071">
        <v>-186.33090000000001</v>
      </c>
      <c r="K7071">
        <v>1.1102669999999999</v>
      </c>
      <c r="L7071">
        <v>61.517969999999998</v>
      </c>
      <c r="M7071">
        <v>8.2256469999999905E-3</v>
      </c>
      <c r="N7071">
        <v>0</v>
      </c>
      <c r="O7071">
        <v>0.99990219999999996</v>
      </c>
      <c r="P7071">
        <v>2.142614E-2</v>
      </c>
      <c r="Q7071">
        <v>0.10548339999999901</v>
      </c>
      <c r="R7071">
        <v>0.99419020000000002</v>
      </c>
      <c r="S7071">
        <v>-0.1478882</v>
      </c>
      <c r="T7071">
        <v>-0.32532139999999998</v>
      </c>
      <c r="U7071">
        <v>3.0552980000000001</v>
      </c>
      <c r="V7071">
        <v>1.314591E-2</v>
      </c>
      <c r="W7071">
        <v>0.11673650000000001</v>
      </c>
      <c r="X7071">
        <v>0.99307590000000001</v>
      </c>
      <c r="Y7071">
        <v>-5.6291140000000003E-2</v>
      </c>
      <c r="Z7071">
        <v>-0.1057288</v>
      </c>
      <c r="AA7071">
        <v>0.99280049999999997</v>
      </c>
      <c r="AB7071">
        <v>41</v>
      </c>
      <c r="AC7071">
        <v>-5.2399999999977298E-2</v>
      </c>
      <c r="AD7071">
        <v>-0.108149</v>
      </c>
      <c r="AE7071">
        <v>0.59242000000000405</v>
      </c>
      <c r="AF7071">
        <v>-5.5438369390530901E-2</v>
      </c>
      <c r="AG7071">
        <v>-0.108149</v>
      </c>
      <c r="AH7071">
        <v>0.57302055800233698</v>
      </c>
      <c r="AI7071">
        <v>100.639458331589</v>
      </c>
      <c r="AJ7071">
        <v>95.526031147138298</v>
      </c>
      <c r="AK7071">
        <v>0.58576631765149401</v>
      </c>
      <c r="AL7071">
        <v>83.296206033155002</v>
      </c>
      <c r="AM7071">
        <v>89.2415875060871</v>
      </c>
      <c r="AN7071">
        <v>0.99999998427139303</v>
      </c>
    </row>
    <row r="7072" spans="1:40" x14ac:dyDescent="0.25">
      <c r="A7072" t="str">
        <f>"20190312151202127"</f>
        <v>20190312151202127</v>
      </c>
      <c r="B7072" t="str">
        <f>"1552374722118208"</f>
        <v>1552374722118208</v>
      </c>
      <c r="C7072" t="s">
        <v>40</v>
      </c>
      <c r="D7072">
        <v>5.1407339999999904</v>
      </c>
      <c r="E7072">
        <v>0.47334739999999997</v>
      </c>
      <c r="F7072" t="s">
        <v>41</v>
      </c>
      <c r="G7072">
        <v>-186.3775</v>
      </c>
      <c r="H7072">
        <v>1.0070969999999999</v>
      </c>
      <c r="I7072">
        <v>62.484160000000003</v>
      </c>
      <c r="J7072">
        <v>-186.32769999999999</v>
      </c>
      <c r="K7072">
        <v>1.1102719999999999</v>
      </c>
      <c r="L7072">
        <v>61.939610000000002</v>
      </c>
      <c r="M7072">
        <v>7.8878339999999998E-3</v>
      </c>
      <c r="N7072">
        <v>0</v>
      </c>
      <c r="O7072">
        <v>0.99990460000000003</v>
      </c>
      <c r="P7072">
        <v>2.177275E-2</v>
      </c>
      <c r="Q7072">
        <v>0.1054052</v>
      </c>
      <c r="R7072">
        <v>0.99419100000000005</v>
      </c>
      <c r="S7072">
        <v>-0.14822389999999999</v>
      </c>
      <c r="T7072">
        <v>-0.3263104</v>
      </c>
      <c r="U7072">
        <v>3.0553590000000002</v>
      </c>
      <c r="V7072">
        <v>1.3828210000000001E-2</v>
      </c>
      <c r="W7072">
        <v>0.1166901</v>
      </c>
      <c r="X7072">
        <v>0.99307210000000001</v>
      </c>
      <c r="Y7072">
        <v>-5.6060060000000002E-2</v>
      </c>
      <c r="Z7072">
        <v>-0.1060453</v>
      </c>
      <c r="AA7072">
        <v>0.99277979999999999</v>
      </c>
      <c r="AB7072">
        <v>41</v>
      </c>
      <c r="AC7072">
        <v>-4.9800000000004702E-2</v>
      </c>
      <c r="AD7072">
        <v>-0.103175</v>
      </c>
      <c r="AE7072">
        <v>0.54455000000000098</v>
      </c>
      <c r="AF7072">
        <v>-5.2234472284300899E-2</v>
      </c>
      <c r="AG7072">
        <v>-0.103175</v>
      </c>
      <c r="AH7072">
        <v>0.52543447665459397</v>
      </c>
      <c r="AI7072">
        <v>101.05618375461199</v>
      </c>
      <c r="AJ7072">
        <v>95.677232694704799</v>
      </c>
      <c r="AK7072">
        <v>0.53801013928838404</v>
      </c>
      <c r="AL7072">
        <v>83.298882939486901</v>
      </c>
      <c r="AM7072">
        <v>89.202226233937196</v>
      </c>
      <c r="AN7072">
        <v>0.99999999731411104</v>
      </c>
    </row>
    <row r="7073" spans="1:40" x14ac:dyDescent="0.25">
      <c r="A7073" t="str">
        <f>"20190312151202149"</f>
        <v>20190312151202149</v>
      </c>
      <c r="B7073" t="str">
        <f>"1552374722138705"</f>
        <v>1552374722138705</v>
      </c>
      <c r="C7073" t="s">
        <v>40</v>
      </c>
      <c r="D7073">
        <v>5.103434</v>
      </c>
      <c r="E7073">
        <v>0.47334209999999899</v>
      </c>
      <c r="F7073" t="s">
        <v>41</v>
      </c>
      <c r="G7073">
        <v>-186.37200000000001</v>
      </c>
      <c r="H7073">
        <v>1.011636</v>
      </c>
      <c r="I7073">
        <v>62.857819999999997</v>
      </c>
      <c r="J7073">
        <v>-186.32480000000001</v>
      </c>
      <c r="K7073">
        <v>1.110268</v>
      </c>
      <c r="L7073">
        <v>62.346890000000002</v>
      </c>
      <c r="M7073">
        <v>7.56120199999999E-3</v>
      </c>
      <c r="N7073">
        <v>0</v>
      </c>
      <c r="O7073">
        <v>0.99990670000000004</v>
      </c>
      <c r="P7073">
        <v>2.1884339999999999E-2</v>
      </c>
      <c r="Q7073">
        <v>0.10531310000000001</v>
      </c>
      <c r="R7073">
        <v>0.99419829999999998</v>
      </c>
      <c r="S7073">
        <v>-0.14762879999999901</v>
      </c>
      <c r="T7073">
        <v>-0.3282738</v>
      </c>
      <c r="U7073">
        <v>3.0555729999999999</v>
      </c>
      <c r="V7073">
        <v>1.426444E-2</v>
      </c>
      <c r="W7073">
        <v>0.116630399999999</v>
      </c>
      <c r="X7073">
        <v>0.99307290000000004</v>
      </c>
      <c r="Y7073">
        <v>-5.5534439999999997E-2</v>
      </c>
      <c r="Z7073">
        <v>-0.10667119999999999</v>
      </c>
      <c r="AA7073">
        <v>0.99274220000000002</v>
      </c>
      <c r="AB7073">
        <v>41</v>
      </c>
      <c r="AC7073">
        <v>-4.72000000000036E-2</v>
      </c>
      <c r="AD7073">
        <v>-9.8631999999999997E-2</v>
      </c>
      <c r="AE7073">
        <v>0.510929999999994</v>
      </c>
      <c r="AF7073">
        <v>-4.9242598747270397E-2</v>
      </c>
      <c r="AG7073">
        <v>-9.8631999999999997E-2</v>
      </c>
      <c r="AH7073">
        <v>0.49236525714158003</v>
      </c>
      <c r="AI7073">
        <v>101.272928896176</v>
      </c>
      <c r="AJ7073">
        <v>95.711292848943899</v>
      </c>
      <c r="AK7073">
        <v>0.50455589521427502</v>
      </c>
      <c r="AL7073">
        <v>83.302326726577206</v>
      </c>
      <c r="AM7073">
        <v>89.177063428670195</v>
      </c>
      <c r="AN7073">
        <v>0.99999995458353996</v>
      </c>
    </row>
    <row r="7074" spans="1:40" x14ac:dyDescent="0.25">
      <c r="A7074" t="str">
        <f>"20190312151202183"</f>
        <v>20190312151202183</v>
      </c>
      <c r="B7074" t="str">
        <f>"1552374722178720"</f>
        <v>1552374722178720</v>
      </c>
      <c r="C7074" t="s">
        <v>40</v>
      </c>
      <c r="D7074">
        <v>5.1583059999999996</v>
      </c>
      <c r="E7074">
        <v>0.47332689999999999</v>
      </c>
      <c r="F7074" t="s">
        <v>41</v>
      </c>
      <c r="G7074">
        <v>-186.36750000000001</v>
      </c>
      <c r="H7074">
        <v>1.0144919999999999</v>
      </c>
      <c r="I7074">
        <v>63.236289999999997</v>
      </c>
      <c r="J7074">
        <v>-186.32060000000001</v>
      </c>
      <c r="K7074">
        <v>1.1102829999999999</v>
      </c>
      <c r="L7074">
        <v>62.959560000000003</v>
      </c>
      <c r="M7074">
        <v>7.0697069999999997E-3</v>
      </c>
      <c r="N7074">
        <v>0</v>
      </c>
      <c r="O7074">
        <v>0.99990970000000001</v>
      </c>
      <c r="P7074">
        <v>2.2578669999999999E-2</v>
      </c>
      <c r="Q7074">
        <v>0.10561950000000001</v>
      </c>
      <c r="R7074">
        <v>0.99415030000000004</v>
      </c>
      <c r="S7074">
        <v>-0.14746090000000001</v>
      </c>
      <c r="T7074">
        <v>-0.32910009999999901</v>
      </c>
      <c r="U7074">
        <v>3.0556030000000001</v>
      </c>
      <c r="V7074">
        <v>1.544735E-2</v>
      </c>
      <c r="W7074">
        <v>0.11698989999999999</v>
      </c>
      <c r="X7074">
        <v>0.99301300000000003</v>
      </c>
      <c r="Y7074">
        <v>-5.4987399999999999E-2</v>
      </c>
      <c r="Z7074">
        <v>-0.1069379</v>
      </c>
      <c r="AA7074">
        <v>0.99274399999999996</v>
      </c>
      <c r="AB7074">
        <v>42</v>
      </c>
      <c r="AC7074">
        <v>-4.6899999999993697E-2</v>
      </c>
      <c r="AD7074">
        <v>-9.5790999999999904E-2</v>
      </c>
      <c r="AE7074">
        <v>0.27673000000000703</v>
      </c>
      <c r="AF7074">
        <v>-4.37585159594025E-2</v>
      </c>
      <c r="AG7074">
        <v>-9.5790999999999904E-2</v>
      </c>
      <c r="AH7074">
        <v>0.24755692375871</v>
      </c>
      <c r="AI7074">
        <v>110.85876361382</v>
      </c>
      <c r="AJ7074">
        <v>100.024139751495</v>
      </c>
      <c r="AK7074">
        <v>0.26902630707952102</v>
      </c>
      <c r="AL7074">
        <v>83.281587474755597</v>
      </c>
      <c r="AM7074">
        <v>89.108776443630802</v>
      </c>
      <c r="AN7074">
        <v>1.0000000377465099</v>
      </c>
    </row>
    <row r="7075" spans="1:40" x14ac:dyDescent="0.25">
      <c r="A7075" t="str">
        <f>"20190312151202214"</f>
        <v>20190312151202214</v>
      </c>
      <c r="B7075" t="str">
        <f>"1552374722208000"</f>
        <v>1552374722208000</v>
      </c>
      <c r="C7075" t="s">
        <v>40</v>
      </c>
      <c r="D7075">
        <v>5.1829179999999999</v>
      </c>
      <c r="E7075">
        <v>0.47334789999999999</v>
      </c>
      <c r="F7075" t="s">
        <v>41</v>
      </c>
      <c r="G7075">
        <v>-186.36840000000001</v>
      </c>
      <c r="H7075">
        <v>1.0015799999999999</v>
      </c>
      <c r="I7075">
        <v>63.964469999999999</v>
      </c>
      <c r="J7075">
        <v>-186.3168</v>
      </c>
      <c r="K7075">
        <v>1.1102879999999999</v>
      </c>
      <c r="L7075">
        <v>63.570469999999901</v>
      </c>
      <c r="M7075">
        <v>6.5795899999999997E-3</v>
      </c>
      <c r="N7075">
        <v>0</v>
      </c>
      <c r="O7075">
        <v>0.99991229999999998</v>
      </c>
      <c r="P7075">
        <v>2.395305E-2</v>
      </c>
      <c r="Q7075">
        <v>0.10519009999999999</v>
      </c>
      <c r="R7075">
        <v>0.99416360000000004</v>
      </c>
      <c r="S7075">
        <v>-0.1454773</v>
      </c>
      <c r="T7075">
        <v>-0.3306018</v>
      </c>
      <c r="U7075">
        <v>3.0560610000000001</v>
      </c>
      <c r="V7075">
        <v>1.7309000000000001E-2</v>
      </c>
      <c r="W7075">
        <v>0.1166257</v>
      </c>
      <c r="X7075">
        <v>0.99302509999999999</v>
      </c>
      <c r="Y7075">
        <v>-5.3845480000000001E-2</v>
      </c>
      <c r="Z7075">
        <v>-0.1074099</v>
      </c>
      <c r="AA7075">
        <v>0.99275570000000002</v>
      </c>
      <c r="AB7075">
        <v>42</v>
      </c>
      <c r="AC7075">
        <v>-5.1600000000007598E-2</v>
      </c>
      <c r="AD7075">
        <v>-0.108708</v>
      </c>
      <c r="AE7075">
        <v>0.39400000000000501</v>
      </c>
      <c r="AF7075">
        <v>-5.0418031069175098E-2</v>
      </c>
      <c r="AG7075">
        <v>-0.108708</v>
      </c>
      <c r="AH7075">
        <v>0.366241713131575</v>
      </c>
      <c r="AI7075">
        <v>106.385823997903</v>
      </c>
      <c r="AJ7075">
        <v>97.838257291052898</v>
      </c>
      <c r="AK7075">
        <v>0.38534711567422297</v>
      </c>
      <c r="AL7075">
        <v>83.302598188186195</v>
      </c>
      <c r="AM7075">
        <v>89.001402655205794</v>
      </c>
      <c r="AN7075">
        <v>1.00000000230574</v>
      </c>
    </row>
    <row r="7076" spans="1:40" x14ac:dyDescent="0.25">
      <c r="A7076" t="str">
        <f>"20190312151202238"</f>
        <v>20190312151202238</v>
      </c>
      <c r="B7076" t="str">
        <f>"1552374722228500"</f>
        <v>1552374722228500</v>
      </c>
      <c r="C7076" t="s">
        <v>40</v>
      </c>
      <c r="D7076">
        <v>5.3001079999999998</v>
      </c>
      <c r="E7076">
        <v>0.50375379999999903</v>
      </c>
      <c r="F7076" t="s">
        <v>42</v>
      </c>
      <c r="G7076">
        <v>-186.7876</v>
      </c>
      <c r="H7076" s="1">
        <v>-2.3380049999999998E-6</v>
      </c>
      <c r="I7076">
        <v>73.754440000000002</v>
      </c>
      <c r="J7076">
        <v>-186.3142</v>
      </c>
      <c r="K7076">
        <v>1.110298</v>
      </c>
      <c r="L7076">
        <v>64.002719999999997</v>
      </c>
      <c r="M7076">
        <v>6.2327459999999999E-3</v>
      </c>
      <c r="N7076">
        <v>0</v>
      </c>
      <c r="O7076">
        <v>0.99991399999999997</v>
      </c>
      <c r="P7076">
        <v>2.5224010000000002E-2</v>
      </c>
      <c r="Q7076">
        <v>0.10495699999999999</v>
      </c>
      <c r="R7076">
        <v>0.99415679999999995</v>
      </c>
      <c r="S7076">
        <v>-0.14129639999999999</v>
      </c>
      <c r="T7076">
        <v>-0.33320499999999997</v>
      </c>
      <c r="U7076">
        <v>3.0562740000000002</v>
      </c>
      <c r="V7076">
        <v>1.892485E-2</v>
      </c>
      <c r="W7076">
        <v>0.1164424</v>
      </c>
      <c r="X7076">
        <v>0.99301709999999999</v>
      </c>
      <c r="Y7076">
        <v>-5.2136469999999997E-2</v>
      </c>
      <c r="Z7076">
        <v>-0.108247</v>
      </c>
      <c r="AA7076">
        <v>0.99275590000000002</v>
      </c>
      <c r="AB7076">
        <v>42</v>
      </c>
      <c r="AC7076">
        <v>-0.47339999999999799</v>
      </c>
      <c r="AD7076">
        <v>-1.1103003380050001</v>
      </c>
      <c r="AE7076">
        <v>9.7517200000000006</v>
      </c>
      <c r="AF7076">
        <v>-0.52735461480175105</v>
      </c>
      <c r="AG7076">
        <v>-1.1103003380050001</v>
      </c>
      <c r="AH7076">
        <v>9.6241120156833002</v>
      </c>
      <c r="AI7076">
        <v>96.571150475954894</v>
      </c>
      <c r="AJ7076">
        <v>93.136394048043698</v>
      </c>
      <c r="AK7076">
        <v>9.7022884836901397</v>
      </c>
      <c r="AL7076">
        <v>83.313172345166805</v>
      </c>
      <c r="AM7076">
        <v>88.908193237013506</v>
      </c>
      <c r="AN7076">
        <v>0.99999997167884502</v>
      </c>
    </row>
    <row r="7077" spans="1:40" x14ac:dyDescent="0.25">
      <c r="A7077" t="str">
        <f>"20190312151202259"</f>
        <v>20190312151202259</v>
      </c>
      <c r="B7077" t="str">
        <f>"1552374722248016"</f>
        <v>1552374722248016</v>
      </c>
      <c r="C7077" t="s">
        <v>40</v>
      </c>
      <c r="D7077">
        <v>5.114865</v>
      </c>
      <c r="E7077">
        <v>0.54239309999999996</v>
      </c>
      <c r="F7077" t="s">
        <v>41</v>
      </c>
      <c r="G7077">
        <v>-186.27709999999999</v>
      </c>
      <c r="H7077">
        <v>1.0010460000000001</v>
      </c>
      <c r="I7077">
        <v>65.073999999999998</v>
      </c>
      <c r="J7077">
        <v>-186.31200000000001</v>
      </c>
      <c r="K7077">
        <v>1.1103050000000001</v>
      </c>
      <c r="L7077">
        <v>64.400940000000006</v>
      </c>
      <c r="M7077">
        <v>5.9135669999999998E-3</v>
      </c>
      <c r="N7077">
        <v>0</v>
      </c>
      <c r="O7077">
        <v>0.99991540000000001</v>
      </c>
      <c r="P7077">
        <v>2.6617749999999999E-2</v>
      </c>
      <c r="Q7077">
        <v>0.1048433</v>
      </c>
      <c r="R7077">
        <v>0.99413249999999997</v>
      </c>
      <c r="S7077">
        <v>0.105072</v>
      </c>
      <c r="T7077">
        <v>-0.31085000000000002</v>
      </c>
      <c r="U7077">
        <v>3.0477910000000001</v>
      </c>
      <c r="V7077">
        <v>2.0635879999999999E-2</v>
      </c>
      <c r="W7077">
        <v>0.11637889999999999</v>
      </c>
      <c r="X7077">
        <v>0.9929905</v>
      </c>
      <c r="Y7077">
        <v>2.8365660000000001E-2</v>
      </c>
      <c r="Z7077">
        <v>-0.10141269999999999</v>
      </c>
      <c r="AA7077">
        <v>0.99443999999999999</v>
      </c>
      <c r="AB7077">
        <v>42</v>
      </c>
      <c r="AC7077">
        <v>3.4900000000021601E-2</v>
      </c>
      <c r="AD7077">
        <v>-0.109259</v>
      </c>
      <c r="AE7077">
        <v>0.673059999999992</v>
      </c>
      <c r="AF7077">
        <v>3.0127167113851799E-2</v>
      </c>
      <c r="AG7077">
        <v>-0.109259</v>
      </c>
      <c r="AH7077">
        <v>0.656013968821341</v>
      </c>
      <c r="AI7077">
        <v>99.446031280460502</v>
      </c>
      <c r="AJ7077">
        <v>87.370562806867696</v>
      </c>
      <c r="AK7077">
        <v>0.66573230548624696</v>
      </c>
      <c r="AL7077">
        <v>83.316835793293905</v>
      </c>
      <c r="AM7077">
        <v>88.809476357981097</v>
      </c>
      <c r="AN7077">
        <v>1.00000001049941</v>
      </c>
    </row>
    <row r="7078" spans="1:40" x14ac:dyDescent="0.25">
      <c r="A7078" t="str">
        <f>"20190312151202282"</f>
        <v>20190312151202282</v>
      </c>
      <c r="B7078" t="str">
        <f>"1552374722278272"</f>
        <v>1552374722278272</v>
      </c>
      <c r="C7078" t="s">
        <v>40</v>
      </c>
      <c r="D7078">
        <v>5.2433189999999996</v>
      </c>
      <c r="E7078">
        <v>0.54291959999999995</v>
      </c>
      <c r="F7078" t="s">
        <v>42</v>
      </c>
      <c r="G7078">
        <v>-179.95779999999999</v>
      </c>
      <c r="H7078">
        <v>2.119877E-3</v>
      </c>
      <c r="I7078">
        <v>110.2201</v>
      </c>
      <c r="J7078">
        <v>-186.3099</v>
      </c>
      <c r="K7078">
        <v>1.1103160000000001</v>
      </c>
      <c r="L7078">
        <v>64.809269999999998</v>
      </c>
      <c r="M7078">
        <v>5.5860559999999998E-3</v>
      </c>
      <c r="N7078">
        <v>0</v>
      </c>
      <c r="O7078">
        <v>0.99991660000000004</v>
      </c>
      <c r="P7078">
        <v>2.809186E-2</v>
      </c>
      <c r="Q7078">
        <v>0.1045417</v>
      </c>
      <c r="R7078">
        <v>0.99412370000000005</v>
      </c>
      <c r="S7078">
        <v>0.41801450000000001</v>
      </c>
      <c r="T7078">
        <v>-7.2902079999999994E-2</v>
      </c>
      <c r="U7078">
        <v>3.014221</v>
      </c>
      <c r="V7078">
        <v>2.2435630000000002E-2</v>
      </c>
      <c r="W7078">
        <v>0.1161317</v>
      </c>
      <c r="X7078">
        <v>0.99298039999999999</v>
      </c>
      <c r="Y7078">
        <v>0.13179109999999999</v>
      </c>
      <c r="Z7078">
        <v>-2.3958380000000001E-2</v>
      </c>
      <c r="AA7078">
        <v>0.99098799999999998</v>
      </c>
      <c r="AB7078">
        <v>42</v>
      </c>
      <c r="AC7078">
        <v>6.3521000000000001</v>
      </c>
      <c r="AD7078">
        <v>-1.1081961229999999</v>
      </c>
      <c r="AE7078">
        <v>45.410829999999997</v>
      </c>
      <c r="AF7078">
        <v>6.0947562000088702</v>
      </c>
      <c r="AG7078">
        <v>-1.1081961229999999</v>
      </c>
      <c r="AH7078">
        <v>45.419077001266501</v>
      </c>
      <c r="AI7078">
        <v>91.385290903693601</v>
      </c>
      <c r="AJ7078">
        <v>82.357172878302705</v>
      </c>
      <c r="AK7078">
        <v>45.839575777177103</v>
      </c>
      <c r="AL7078">
        <v>83.331095946304202</v>
      </c>
      <c r="AM7078">
        <v>88.705666060118702</v>
      </c>
      <c r="AN7078">
        <v>1.00000000201127</v>
      </c>
    </row>
    <row r="7079" spans="1:40" x14ac:dyDescent="0.25">
      <c r="A7079" t="str">
        <f>"20190312151202304"</f>
        <v>20190312151202304</v>
      </c>
      <c r="B7079" t="str">
        <f>"1552374722298769"</f>
        <v>1552374722298769</v>
      </c>
      <c r="C7079" t="s">
        <v>40</v>
      </c>
      <c r="D7079">
        <v>5.1365449999999999</v>
      </c>
      <c r="E7079">
        <v>0.55134380000000005</v>
      </c>
      <c r="F7079" t="s">
        <v>42</v>
      </c>
      <c r="G7079">
        <v>-179.81010000000001</v>
      </c>
      <c r="H7079">
        <v>7.9985669999999995E-2</v>
      </c>
      <c r="I7079">
        <v>110.7043</v>
      </c>
      <c r="J7079">
        <v>-186.30789999999999</v>
      </c>
      <c r="K7079">
        <v>1.1103270000000001</v>
      </c>
      <c r="L7079">
        <v>65.229489999999998</v>
      </c>
      <c r="M7079">
        <v>5.2481000000000003E-3</v>
      </c>
      <c r="N7079">
        <v>0</v>
      </c>
      <c r="O7079">
        <v>0.99991770000000002</v>
      </c>
      <c r="P7079">
        <v>2.940835E-2</v>
      </c>
      <c r="Q7079">
        <v>0.1047999</v>
      </c>
      <c r="R7079">
        <v>0.99405840000000001</v>
      </c>
      <c r="S7079">
        <v>0.42668149999999999</v>
      </c>
      <c r="T7079">
        <v>-6.7636249999999995E-2</v>
      </c>
      <c r="U7079">
        <v>3.0127869999999999</v>
      </c>
      <c r="V7079">
        <v>2.4087870000000001E-2</v>
      </c>
      <c r="W7079">
        <v>0.1164519</v>
      </c>
      <c r="X7079">
        <v>0.99290420000000001</v>
      </c>
      <c r="Y7079">
        <v>0.1349911</v>
      </c>
      <c r="Z7079">
        <v>-2.223004E-2</v>
      </c>
      <c r="AA7079">
        <v>0.99059739999999996</v>
      </c>
      <c r="AB7079">
        <v>42</v>
      </c>
      <c r="AC7079">
        <v>6.4977999999999803</v>
      </c>
      <c r="AD7079">
        <v>-1.0303413299999999</v>
      </c>
      <c r="AE7079">
        <v>45.474809999999998</v>
      </c>
      <c r="AF7079">
        <v>6.2558905430647904</v>
      </c>
      <c r="AG7079">
        <v>-1.0303413299999999</v>
      </c>
      <c r="AH7079">
        <v>45.485404005437502</v>
      </c>
      <c r="AI7079">
        <v>91.285551780200706</v>
      </c>
      <c r="AJ7079">
        <v>82.168886740410599</v>
      </c>
      <c r="AK7079">
        <v>45.925153753482299</v>
      </c>
      <c r="AL7079">
        <v>83.312624567249102</v>
      </c>
      <c r="AM7079">
        <v>88.610276171991003</v>
      </c>
      <c r="AN7079">
        <v>1.0000000104361899</v>
      </c>
    </row>
    <row r="7080" spans="1:40" x14ac:dyDescent="0.25">
      <c r="A7080" t="str">
        <f>"20190312151202330"</f>
        <v>20190312151202330</v>
      </c>
      <c r="B7080" t="str">
        <f>"1552374722318289"</f>
        <v>1552374722318289</v>
      </c>
      <c r="C7080" t="s">
        <v>40</v>
      </c>
      <c r="D7080">
        <v>5.1321779999999997</v>
      </c>
      <c r="E7080">
        <v>0.55124430000000002</v>
      </c>
      <c r="F7080" t="s">
        <v>42</v>
      </c>
      <c r="G7080">
        <v>-183.9487</v>
      </c>
      <c r="H7080" s="1">
        <v>-5.3366340000000004E-6</v>
      </c>
      <c r="I7080">
        <v>79.57047</v>
      </c>
      <c r="J7080">
        <v>-186.3058</v>
      </c>
      <c r="K7080">
        <v>1.110339</v>
      </c>
      <c r="L7080">
        <v>65.692169999999905</v>
      </c>
      <c r="M7080">
        <v>4.8745969999999996E-3</v>
      </c>
      <c r="N7080">
        <v>0</v>
      </c>
      <c r="O7080">
        <v>0.99991870000000005</v>
      </c>
      <c r="P7080">
        <v>3.0581779999999999E-2</v>
      </c>
      <c r="Q7080">
        <v>0.1047937</v>
      </c>
      <c r="R7080">
        <v>0.99402369999999995</v>
      </c>
      <c r="S7080">
        <v>0.49810789999999999</v>
      </c>
      <c r="T7080">
        <v>-0.23443079999999999</v>
      </c>
      <c r="U7080">
        <v>3.0278930000000002</v>
      </c>
      <c r="V7080">
        <v>2.5632180000000001E-2</v>
      </c>
      <c r="W7080">
        <v>0.1165234</v>
      </c>
      <c r="X7080">
        <v>0.9928572</v>
      </c>
      <c r="Y7080">
        <v>0.1570406</v>
      </c>
      <c r="Z7080">
        <v>-7.6203409999999999E-2</v>
      </c>
      <c r="AA7080">
        <v>0.98464779999999996</v>
      </c>
      <c r="AB7080">
        <v>42</v>
      </c>
      <c r="AC7080">
        <v>2.3571</v>
      </c>
      <c r="AD7080">
        <v>-1.110344336634</v>
      </c>
      <c r="AE7080">
        <v>13.878299999999999</v>
      </c>
      <c r="AF7080">
        <v>2.2752607255838702</v>
      </c>
      <c r="AG7080">
        <v>-1.110344336634</v>
      </c>
      <c r="AH7080">
        <v>13.8037463065265</v>
      </c>
      <c r="AI7080">
        <v>94.537880465037702</v>
      </c>
      <c r="AJ7080">
        <v>80.640140847729498</v>
      </c>
      <c r="AK7080">
        <v>14.033997577676301</v>
      </c>
      <c r="AL7080">
        <v>83.308500208594694</v>
      </c>
      <c r="AM7080">
        <v>88.521147262004106</v>
      </c>
      <c r="AN7080">
        <v>1.0000000654954699</v>
      </c>
    </row>
    <row r="7081" spans="1:40" x14ac:dyDescent="0.25">
      <c r="A7081" t="str">
        <f>"20190312151202350"</f>
        <v>20190312151202350</v>
      </c>
      <c r="B7081" t="str">
        <f>"1552374722348545"</f>
        <v>1552374722348545</v>
      </c>
      <c r="C7081" t="s">
        <v>40</v>
      </c>
      <c r="D7081">
        <v>5.1139640000000002</v>
      </c>
      <c r="E7081">
        <v>0.55047069999999998</v>
      </c>
      <c r="F7081" t="s">
        <v>42</v>
      </c>
      <c r="G7081">
        <v>-183.75739999999999</v>
      </c>
      <c r="H7081" s="1">
        <v>-2.1512779999999999E-6</v>
      </c>
      <c r="I7081">
        <v>81.088750000000005</v>
      </c>
      <c r="J7081">
        <v>-186.30410000000001</v>
      </c>
      <c r="K7081">
        <v>1.1103479999999999</v>
      </c>
      <c r="L7081">
        <v>66.08569</v>
      </c>
      <c r="M7081">
        <v>4.5566579999999999E-3</v>
      </c>
      <c r="N7081">
        <v>0</v>
      </c>
      <c r="O7081">
        <v>0.99991940000000001</v>
      </c>
      <c r="P7081">
        <v>3.1511749999999998E-2</v>
      </c>
      <c r="Q7081">
        <v>0.1046599</v>
      </c>
      <c r="R7081">
        <v>0.99400869999999997</v>
      </c>
      <c r="S7081">
        <v>0.5007935</v>
      </c>
      <c r="T7081">
        <v>-0.2181969</v>
      </c>
      <c r="U7081">
        <v>3.0256349999999999</v>
      </c>
      <c r="V7081">
        <v>2.6877709999999999E-2</v>
      </c>
      <c r="W7081">
        <v>0.11645899999999999</v>
      </c>
      <c r="X7081">
        <v>0.99283180000000004</v>
      </c>
      <c r="Y7081">
        <v>0.15838569999999999</v>
      </c>
      <c r="Z7081">
        <v>-7.099374E-2</v>
      </c>
      <c r="AA7081">
        <v>0.98482170000000002</v>
      </c>
      <c r="AB7081">
        <v>42</v>
      </c>
      <c r="AC7081">
        <v>2.5467000000000102</v>
      </c>
      <c r="AD7081">
        <v>-1.1103501512780001</v>
      </c>
      <c r="AE7081">
        <v>15.00306</v>
      </c>
      <c r="AF7081">
        <v>2.4651807585126</v>
      </c>
      <c r="AG7081">
        <v>-1.1103501512780001</v>
      </c>
      <c r="AH7081">
        <v>14.934998198090501</v>
      </c>
      <c r="AI7081">
        <v>94.195302403326394</v>
      </c>
      <c r="AJ7081">
        <v>80.627231119743499</v>
      </c>
      <c r="AK7081">
        <v>15.177752297608199</v>
      </c>
      <c r="AL7081">
        <v>83.312215222869</v>
      </c>
      <c r="AM7081">
        <v>88.449280830477207</v>
      </c>
      <c r="AN7081">
        <v>1.0000000465335399</v>
      </c>
    </row>
    <row r="7082" spans="1:40" x14ac:dyDescent="0.25">
      <c r="A7082" t="str">
        <f>"20190312151202371"</f>
        <v>20190312151202371</v>
      </c>
      <c r="B7082" t="str">
        <f>"1552374722368065"</f>
        <v>1552374722368065</v>
      </c>
      <c r="C7082" t="s">
        <v>40</v>
      </c>
      <c r="D7082">
        <v>5.2409299999999996</v>
      </c>
      <c r="E7082">
        <v>0.55014059999999998</v>
      </c>
      <c r="F7082" t="s">
        <v>42</v>
      </c>
      <c r="G7082">
        <v>-183.8801</v>
      </c>
      <c r="H7082" s="1">
        <v>-2.0344310000000002E-6</v>
      </c>
      <c r="I7082">
        <v>80.841329999999999</v>
      </c>
      <c r="J7082">
        <v>-186.30260000000001</v>
      </c>
      <c r="K7082">
        <v>1.110358</v>
      </c>
      <c r="L7082">
        <v>66.480500000000006</v>
      </c>
      <c r="M7082">
        <v>4.237818E-3</v>
      </c>
      <c r="N7082">
        <v>0</v>
      </c>
      <c r="O7082">
        <v>0.99992000000000003</v>
      </c>
      <c r="P7082">
        <v>3.1826050000000002E-2</v>
      </c>
      <c r="Q7082">
        <v>0.1045997</v>
      </c>
      <c r="R7082">
        <v>0.99400500000000003</v>
      </c>
      <c r="S7082">
        <v>0.49716189999999999</v>
      </c>
      <c r="T7082">
        <v>-0.22772709999999999</v>
      </c>
      <c r="U7082">
        <v>3.0263059999999999</v>
      </c>
      <c r="V7082">
        <v>2.7508310000000001E-2</v>
      </c>
      <c r="W7082">
        <v>0.1164689</v>
      </c>
      <c r="X7082">
        <v>0.99281330000000001</v>
      </c>
      <c r="Y7082">
        <v>0.15747839999999999</v>
      </c>
      <c r="Z7082">
        <v>-7.4074249999999994E-2</v>
      </c>
      <c r="AA7082">
        <v>0.98474039999999996</v>
      </c>
      <c r="AB7082">
        <v>42</v>
      </c>
      <c r="AC7082">
        <v>2.4225000000000101</v>
      </c>
      <c r="AD7082">
        <v>-1.1103600344310001</v>
      </c>
      <c r="AE7082">
        <v>14.360829999999901</v>
      </c>
      <c r="AF7082">
        <v>2.34796714909083</v>
      </c>
      <c r="AG7082">
        <v>-1.1103600344310001</v>
      </c>
      <c r="AH7082">
        <v>14.2879155316849</v>
      </c>
      <c r="AI7082">
        <v>94.385126633376998</v>
      </c>
      <c r="AJ7082">
        <v>80.667856956088897</v>
      </c>
      <c r="AK7082">
        <v>14.5220652587651</v>
      </c>
      <c r="AL7082">
        <v>83.311643662653694</v>
      </c>
      <c r="AM7082">
        <v>88.412886972178896</v>
      </c>
      <c r="AN7082">
        <v>0.99999998022157699</v>
      </c>
    </row>
    <row r="7083" spans="1:40" x14ac:dyDescent="0.25">
      <c r="A7083" t="str">
        <f>"20190312151202394"</f>
        <v>20190312151202394</v>
      </c>
      <c r="B7083" t="str">
        <f>"1552374722388561"</f>
        <v>1552374722388561</v>
      </c>
      <c r="C7083" t="s">
        <v>40</v>
      </c>
      <c r="D7083">
        <v>5.1244839999999998</v>
      </c>
      <c r="E7083">
        <v>0.5496143</v>
      </c>
      <c r="F7083" t="s">
        <v>42</v>
      </c>
      <c r="G7083">
        <v>-183.952</v>
      </c>
      <c r="H7083" s="1">
        <v>-2.0151410000000001E-6</v>
      </c>
      <c r="I7083">
        <v>80.840900000000005</v>
      </c>
      <c r="J7083">
        <v>-186.30119999999999</v>
      </c>
      <c r="K7083">
        <v>1.110368</v>
      </c>
      <c r="L7083">
        <v>66.895659999999907</v>
      </c>
      <c r="M7083">
        <v>3.902141E-3</v>
      </c>
      <c r="N7083">
        <v>0</v>
      </c>
      <c r="O7083">
        <v>0.99992040000000004</v>
      </c>
      <c r="P7083">
        <v>3.2197080000000003E-2</v>
      </c>
      <c r="Q7083">
        <v>0.1043693</v>
      </c>
      <c r="R7083">
        <v>0.99401729999999999</v>
      </c>
      <c r="S7083">
        <v>0.49545289999999997</v>
      </c>
      <c r="T7083">
        <v>-0.23403950000000001</v>
      </c>
      <c r="U7083">
        <v>3.0268549999999999</v>
      </c>
      <c r="V7083">
        <v>2.8212629999999999E-2</v>
      </c>
      <c r="W7083">
        <v>0.1163117</v>
      </c>
      <c r="X7083">
        <v>0.99281200000000003</v>
      </c>
      <c r="Y7083">
        <v>0.1572151</v>
      </c>
      <c r="Z7083">
        <v>-7.6107320000000006E-2</v>
      </c>
      <c r="AA7083">
        <v>0.98462740000000004</v>
      </c>
      <c r="AB7083">
        <v>42</v>
      </c>
      <c r="AC7083">
        <v>2.34919999999999</v>
      </c>
      <c r="AD7083">
        <v>-1.1103700151410001</v>
      </c>
      <c r="AE7083">
        <v>13.94524</v>
      </c>
      <c r="AF7083">
        <v>2.2807014603449298</v>
      </c>
      <c r="AG7083">
        <v>-1.1103700151410001</v>
      </c>
      <c r="AH7083">
        <v>13.868800732271</v>
      </c>
      <c r="AI7083">
        <v>94.517061538391403</v>
      </c>
      <c r="AJ7083">
        <v>80.661386888750798</v>
      </c>
      <c r="AK7083">
        <v>14.098870680773899</v>
      </c>
      <c r="AL7083">
        <v>83.3207124311933</v>
      </c>
      <c r="AM7083">
        <v>88.372270148162201</v>
      </c>
      <c r="AN7083">
        <v>1.0000000156961999</v>
      </c>
    </row>
    <row r="7084" spans="1:40" x14ac:dyDescent="0.25">
      <c r="A7084" t="str">
        <f>"20190312151202416"</f>
        <v>20190312151202416</v>
      </c>
      <c r="B7084" t="str">
        <f>"1552374722408080"</f>
        <v>1552374722408080</v>
      </c>
      <c r="C7084" t="s">
        <v>40</v>
      </c>
      <c r="D7084">
        <v>5.0834279999999996</v>
      </c>
      <c r="E7084">
        <v>0.54924399999999995</v>
      </c>
      <c r="F7084" t="s">
        <v>42</v>
      </c>
      <c r="G7084">
        <v>-183.91820000000001</v>
      </c>
      <c r="H7084" s="1">
        <v>-2.2641730000000002E-6</v>
      </c>
      <c r="I7084">
        <v>81.546229999999994</v>
      </c>
      <c r="J7084">
        <v>-186.29990000000001</v>
      </c>
      <c r="K7084">
        <v>1.110371</v>
      </c>
      <c r="L7084">
        <v>67.31711</v>
      </c>
      <c r="M7084">
        <v>3.5604999999999999E-3</v>
      </c>
      <c r="N7084">
        <v>0</v>
      </c>
      <c r="O7084">
        <v>0.9999209</v>
      </c>
      <c r="P7084">
        <v>3.2359010000000001E-2</v>
      </c>
      <c r="Q7084">
        <v>0.10452889999999999</v>
      </c>
      <c r="R7084">
        <v>0.99399519999999997</v>
      </c>
      <c r="S7084">
        <v>0.49223329999999998</v>
      </c>
      <c r="T7084">
        <v>-0.22935759999999999</v>
      </c>
      <c r="U7084">
        <v>3.0262150000000001</v>
      </c>
      <c r="V7084">
        <v>2.871394E-2</v>
      </c>
      <c r="W7084">
        <v>0.1165409</v>
      </c>
      <c r="X7084">
        <v>0.99277070000000001</v>
      </c>
      <c r="Y7084">
        <v>0.15658339999999901</v>
      </c>
      <c r="Z7084">
        <v>-7.4619169999999999E-2</v>
      </c>
      <c r="AA7084">
        <v>0.98484190000000005</v>
      </c>
      <c r="AB7084">
        <v>42</v>
      </c>
      <c r="AC7084">
        <v>2.3816999999999902</v>
      </c>
      <c r="AD7084">
        <v>-1.110373264173</v>
      </c>
      <c r="AE7084">
        <v>14.22912</v>
      </c>
      <c r="AF7084">
        <v>2.3172918497396302</v>
      </c>
      <c r="AG7084">
        <v>-1.110373264173</v>
      </c>
      <c r="AH7084">
        <v>14.1536705462087</v>
      </c>
      <c r="AI7084">
        <v>94.427035416404195</v>
      </c>
      <c r="AJ7084">
        <v>80.701815834355202</v>
      </c>
      <c r="AK7084">
        <v>14.385032507202601</v>
      </c>
      <c r="AL7084">
        <v>83.307489993835901</v>
      </c>
      <c r="AM7084">
        <v>88.343294127005095</v>
      </c>
      <c r="AN7084">
        <v>0.99999996725081097</v>
      </c>
    </row>
    <row r="7085" spans="1:40" x14ac:dyDescent="0.25">
      <c r="A7085" t="str">
        <f>"20190312151202439"</f>
        <v>20190312151202439</v>
      </c>
      <c r="B7085" t="str">
        <f>"1552374722428580"</f>
        <v>1552374722428580</v>
      </c>
      <c r="C7085" t="s">
        <v>40</v>
      </c>
      <c r="D7085">
        <v>5.1394019999999996</v>
      </c>
      <c r="E7085">
        <v>0.5488999</v>
      </c>
      <c r="F7085" t="s">
        <v>42</v>
      </c>
      <c r="G7085">
        <v>-183.98840000000001</v>
      </c>
      <c r="H7085" s="1">
        <v>-2.264597E-6</v>
      </c>
      <c r="I7085">
        <v>81.602339999999998</v>
      </c>
      <c r="J7085">
        <v>-186.2987</v>
      </c>
      <c r="K7085">
        <v>1.1103769999999999</v>
      </c>
      <c r="L7085">
        <v>67.729550000000003</v>
      </c>
      <c r="M7085">
        <v>3.2246530000000001E-3</v>
      </c>
      <c r="N7085">
        <v>0</v>
      </c>
      <c r="O7085">
        <v>0.99992130000000001</v>
      </c>
      <c r="P7085">
        <v>3.290423E-2</v>
      </c>
      <c r="Q7085">
        <v>0.1045977</v>
      </c>
      <c r="R7085">
        <v>0.99397020000000003</v>
      </c>
      <c r="S7085">
        <v>0.4897919</v>
      </c>
      <c r="T7085">
        <v>-0.2352784</v>
      </c>
      <c r="U7085">
        <v>3.0269170000000001</v>
      </c>
      <c r="V7085">
        <v>2.9593270000000001E-2</v>
      </c>
      <c r="W7085">
        <v>0.1166721</v>
      </c>
      <c r="X7085">
        <v>0.99272950000000004</v>
      </c>
      <c r="Y7085">
        <v>0.15608179999999999</v>
      </c>
      <c r="Z7085">
        <v>-7.6524809999999999E-2</v>
      </c>
      <c r="AA7085">
        <v>0.98477530000000002</v>
      </c>
      <c r="AB7085">
        <v>42</v>
      </c>
      <c r="AC7085">
        <v>2.3102999999999798</v>
      </c>
      <c r="AD7085">
        <v>-1.1103792645970001</v>
      </c>
      <c r="AE7085">
        <v>13.872789999999901</v>
      </c>
      <c r="AF7085">
        <v>2.2515148667569198</v>
      </c>
      <c r="AG7085">
        <v>-1.1103792645970001</v>
      </c>
      <c r="AH7085">
        <v>13.794181805012901</v>
      </c>
      <c r="AI7085">
        <v>94.542317018345102</v>
      </c>
      <c r="AJ7085">
        <v>80.729811336296706</v>
      </c>
      <c r="AK7085">
        <v>14.0207600712738</v>
      </c>
      <c r="AL7085">
        <v>83.299921376993197</v>
      </c>
      <c r="AM7085">
        <v>88.292518261613793</v>
      </c>
      <c r="AN7085">
        <v>1.00000000035897</v>
      </c>
    </row>
    <row r="7086" spans="1:40" x14ac:dyDescent="0.25">
      <c r="A7086" t="str">
        <f>"20190312151202460"</f>
        <v>20190312151202460</v>
      </c>
      <c r="B7086" t="str">
        <f>"1552374722457857"</f>
        <v>1552374722457857</v>
      </c>
      <c r="C7086" t="s">
        <v>40</v>
      </c>
      <c r="D7086">
        <v>5.1130810000000002</v>
      </c>
      <c r="E7086">
        <v>0.548728199999999</v>
      </c>
      <c r="F7086" t="s">
        <v>42</v>
      </c>
      <c r="G7086">
        <v>-183.95089999999999</v>
      </c>
      <c r="H7086" s="1">
        <v>-2.5000519999999999E-6</v>
      </c>
      <c r="I7086">
        <v>82.264989999999997</v>
      </c>
      <c r="J7086">
        <v>-186.29769999999999</v>
      </c>
      <c r="K7086">
        <v>1.1103799999999999</v>
      </c>
      <c r="L7086">
        <v>68.139099999999999</v>
      </c>
      <c r="M7086">
        <v>2.8902490000000001E-3</v>
      </c>
      <c r="N7086">
        <v>0</v>
      </c>
      <c r="O7086">
        <v>0.99992159999999997</v>
      </c>
      <c r="P7086">
        <v>3.3344749999999999E-2</v>
      </c>
      <c r="Q7086">
        <v>0.1046023</v>
      </c>
      <c r="R7086">
        <v>0.99395500000000003</v>
      </c>
      <c r="S7086">
        <v>0.48881530000000001</v>
      </c>
      <c r="T7086">
        <v>-0.23118540000000001</v>
      </c>
      <c r="U7086">
        <v>3.0263369999999998</v>
      </c>
      <c r="V7086">
        <v>3.0366689999999998E-2</v>
      </c>
      <c r="W7086">
        <v>0.11673219999999999</v>
      </c>
      <c r="X7086">
        <v>0.99269909999999995</v>
      </c>
      <c r="Y7086">
        <v>0.15614800000000001</v>
      </c>
      <c r="Z7086">
        <v>-7.5217030000000004E-2</v>
      </c>
      <c r="AA7086">
        <v>0.98486549999999995</v>
      </c>
      <c r="AB7086">
        <v>42</v>
      </c>
      <c r="AC7086">
        <v>2.3468</v>
      </c>
      <c r="AD7086">
        <v>-1.110382500052</v>
      </c>
      <c r="AE7086">
        <v>14.125889999999901</v>
      </c>
      <c r="AF7086">
        <v>2.2921770304122302</v>
      </c>
      <c r="AG7086">
        <v>-1.110382500052</v>
      </c>
      <c r="AH7086">
        <v>14.0481432398142</v>
      </c>
      <c r="AI7086">
        <v>94.460588375806694</v>
      </c>
      <c r="AJ7086">
        <v>80.732949579298904</v>
      </c>
      <c r="AK7086">
        <v>14.2771619491238</v>
      </c>
      <c r="AL7086">
        <v>83.296454360198595</v>
      </c>
      <c r="AM7086">
        <v>88.247867071762897</v>
      </c>
      <c r="AN7086">
        <v>1.0000000227596</v>
      </c>
    </row>
    <row r="7087" spans="1:40" x14ac:dyDescent="0.25">
      <c r="A7087" t="str">
        <f>"20190312151202483"</f>
        <v>20190312151202483</v>
      </c>
      <c r="B7087" t="str">
        <f>"1552374722478354"</f>
        <v>1552374722478354</v>
      </c>
      <c r="C7087" t="s">
        <v>40</v>
      </c>
      <c r="D7087">
        <v>5.1532429999999998</v>
      </c>
      <c r="E7087">
        <v>0.548674</v>
      </c>
      <c r="F7087" t="s">
        <v>42</v>
      </c>
      <c r="G7087">
        <v>-183.94139999999999</v>
      </c>
      <c r="H7087" s="1">
        <v>-2.6575279999999999E-6</v>
      </c>
      <c r="I7087">
        <v>82.720240000000004</v>
      </c>
      <c r="J7087">
        <v>-186.29689999999999</v>
      </c>
      <c r="K7087">
        <v>1.110385</v>
      </c>
      <c r="L7087">
        <v>68.552189999999996</v>
      </c>
      <c r="M7087">
        <v>2.551958E-3</v>
      </c>
      <c r="N7087">
        <v>0</v>
      </c>
      <c r="O7087">
        <v>0.99992190000000003</v>
      </c>
      <c r="P7087">
        <v>3.3473999999999997E-2</v>
      </c>
      <c r="Q7087">
        <v>0.10428080000000001</v>
      </c>
      <c r="R7087">
        <v>0.99398439999999999</v>
      </c>
      <c r="S7087">
        <v>0.48902889999999999</v>
      </c>
      <c r="T7087">
        <v>-0.23044290000000001</v>
      </c>
      <c r="U7087">
        <v>3.0260929999999999</v>
      </c>
      <c r="V7087">
        <v>3.083296E-2</v>
      </c>
      <c r="W7087">
        <v>0.1164613</v>
      </c>
      <c r="X7087">
        <v>0.9927165</v>
      </c>
      <c r="Y7087">
        <v>0.15656529999999999</v>
      </c>
      <c r="Z7087">
        <v>-7.4979959999999998E-2</v>
      </c>
      <c r="AA7087">
        <v>0.98481739999999995</v>
      </c>
      <c r="AB7087">
        <v>42</v>
      </c>
      <c r="AC7087">
        <v>2.3555000000000001</v>
      </c>
      <c r="AD7087">
        <v>-1.1103876575280001</v>
      </c>
      <c r="AE7087">
        <v>14.168049999999999</v>
      </c>
      <c r="AF7087">
        <v>2.3055529176312</v>
      </c>
      <c r="AG7087">
        <v>-1.1103876575280001</v>
      </c>
      <c r="AH7087">
        <v>14.089799816402699</v>
      </c>
      <c r="AI7087">
        <v>94.447145019104198</v>
      </c>
      <c r="AJ7087">
        <v>80.706892149444101</v>
      </c>
      <c r="AK7087">
        <v>14.320300062229499</v>
      </c>
      <c r="AL7087">
        <v>83.312082076568998</v>
      </c>
      <c r="AM7087">
        <v>88.221011997486002</v>
      </c>
      <c r="AN7087">
        <v>0.99999997759615</v>
      </c>
    </row>
    <row r="7088" spans="1:40" x14ac:dyDescent="0.25">
      <c r="A7088" t="str">
        <f>"20190312151202506"</f>
        <v>20190312151202506</v>
      </c>
      <c r="B7088" t="str">
        <f>"1552374722497873"</f>
        <v>1552374722497873</v>
      </c>
      <c r="C7088" t="s">
        <v>40</v>
      </c>
      <c r="D7088">
        <v>5.1371479999999998</v>
      </c>
      <c r="E7088">
        <v>0.5479427</v>
      </c>
      <c r="F7088" t="s">
        <v>42</v>
      </c>
      <c r="G7088">
        <v>-183.92500000000001</v>
      </c>
      <c r="H7088" s="1">
        <v>-2.833077E-6</v>
      </c>
      <c r="I7088">
        <v>83.223349999999996</v>
      </c>
      <c r="J7088">
        <v>-186.2961</v>
      </c>
      <c r="K7088">
        <v>1.1103829999999999</v>
      </c>
      <c r="L7088">
        <v>68.972989999999996</v>
      </c>
      <c r="M7088">
        <v>2.207306E-3</v>
      </c>
      <c r="N7088">
        <v>0</v>
      </c>
      <c r="O7088">
        <v>0.99992219999999998</v>
      </c>
      <c r="P7088">
        <v>3.4223969999999999E-2</v>
      </c>
      <c r="Q7088">
        <v>0.10382039999999999</v>
      </c>
      <c r="R7088">
        <v>0.99400710000000003</v>
      </c>
      <c r="S7088">
        <v>0.489151</v>
      </c>
      <c r="T7088">
        <v>-0.22899990000000001</v>
      </c>
      <c r="U7088">
        <v>3.0256959999999999</v>
      </c>
      <c r="V7088">
        <v>3.1926339999999997E-2</v>
      </c>
      <c r="W7088">
        <v>0.1160474</v>
      </c>
      <c r="X7088">
        <v>0.99273040000000001</v>
      </c>
      <c r="Y7088">
        <v>0.1569702</v>
      </c>
      <c r="Z7088">
        <v>-7.4520110000000001E-2</v>
      </c>
      <c r="AA7088">
        <v>0.98478779999999999</v>
      </c>
      <c r="AB7088">
        <v>42</v>
      </c>
      <c r="AC7088">
        <v>2.3710999999999798</v>
      </c>
      <c r="AD7088">
        <v>-1.110385833077</v>
      </c>
      <c r="AE7088">
        <v>14.250360000000001</v>
      </c>
      <c r="AF7088">
        <v>2.3258956959541899</v>
      </c>
      <c r="AG7088">
        <v>-1.110385833077</v>
      </c>
      <c r="AH7088">
        <v>14.1718330846202</v>
      </c>
      <c r="AI7088">
        <v>94.421154831387696</v>
      </c>
      <c r="AJ7088">
        <v>80.679648916845494</v>
      </c>
      <c r="AK7088">
        <v>14.4042910434736</v>
      </c>
      <c r="AL7088">
        <v>83.335958636605696</v>
      </c>
      <c r="AM7088">
        <v>88.157995079376704</v>
      </c>
      <c r="AN7088">
        <v>0.99999996865835705</v>
      </c>
    </row>
    <row r="7089" spans="1:40" x14ac:dyDescent="0.25">
      <c r="A7089" t="str">
        <f>"20190312151202530"</f>
        <v>20190312151202530</v>
      </c>
      <c r="B7089" t="str">
        <f>"1552374722518369"</f>
        <v>1552374722518369</v>
      </c>
      <c r="C7089" t="s">
        <v>40</v>
      </c>
      <c r="D7089">
        <v>5.1504000000000003</v>
      </c>
      <c r="E7089">
        <v>0.54732590000000003</v>
      </c>
      <c r="F7089" t="s">
        <v>42</v>
      </c>
      <c r="G7089">
        <v>-183.82740000000001</v>
      </c>
      <c r="H7089" s="1">
        <v>-3.239077E-6</v>
      </c>
      <c r="I7089">
        <v>84.340059999999994</v>
      </c>
      <c r="J7089">
        <v>-186.2955</v>
      </c>
      <c r="K7089">
        <v>1.1103829999999999</v>
      </c>
      <c r="L7089">
        <v>69.407380000000003</v>
      </c>
      <c r="M7089">
        <v>1.852034E-3</v>
      </c>
      <c r="N7089">
        <v>0</v>
      </c>
      <c r="O7089">
        <v>0.99992239999999999</v>
      </c>
      <c r="P7089">
        <v>3.5017449999999999E-2</v>
      </c>
      <c r="Q7089">
        <v>0.1035123</v>
      </c>
      <c r="R7089">
        <v>0.9940116</v>
      </c>
      <c r="S7089">
        <v>0.48583979999999999</v>
      </c>
      <c r="T7089">
        <v>-0.2185211</v>
      </c>
      <c r="U7089">
        <v>3.0242</v>
      </c>
      <c r="V7089">
        <v>3.307359E-2</v>
      </c>
      <c r="W7089">
        <v>0.1157812</v>
      </c>
      <c r="X7089">
        <v>0.99272389999999999</v>
      </c>
      <c r="Y7089">
        <v>0.15638569999999999</v>
      </c>
      <c r="Z7089">
        <v>-7.1172120000000005E-2</v>
      </c>
      <c r="AA7089">
        <v>0.98512849999999996</v>
      </c>
      <c r="AB7089">
        <v>42</v>
      </c>
      <c r="AC7089">
        <v>2.46809999999999</v>
      </c>
      <c r="AD7089">
        <v>-1.1103862390769901</v>
      </c>
      <c r="AE7089">
        <v>14.9326799999999</v>
      </c>
      <c r="AF7089">
        <v>2.4273729930655898</v>
      </c>
      <c r="AG7089">
        <v>-1.1103862390769901</v>
      </c>
      <c r="AH7089">
        <v>14.8572595475441</v>
      </c>
      <c r="AI7089">
        <v>94.218441092306705</v>
      </c>
      <c r="AJ7089">
        <v>80.721020289531793</v>
      </c>
      <c r="AK7089">
        <v>15.0951402282485</v>
      </c>
      <c r="AL7089">
        <v>83.3513141255617</v>
      </c>
      <c r="AM7089">
        <v>88.091839560601301</v>
      </c>
      <c r="AN7089">
        <v>0.99999994513006696</v>
      </c>
    </row>
    <row r="7090" spans="1:40" x14ac:dyDescent="0.25">
      <c r="A7090" t="str">
        <f>"20190312151202551"</f>
        <v>20190312151202551</v>
      </c>
      <c r="B7090" t="str">
        <f>"1552374722548624"</f>
        <v>1552374722548624</v>
      </c>
      <c r="C7090" t="s">
        <v>40</v>
      </c>
      <c r="D7090">
        <v>5.0625819999999999</v>
      </c>
      <c r="E7090">
        <v>0.54695490000000002</v>
      </c>
      <c r="F7090" t="s">
        <v>42</v>
      </c>
      <c r="G7090">
        <v>-183.73150000000001</v>
      </c>
      <c r="H7090" s="1">
        <v>-3.637295E-6</v>
      </c>
      <c r="I7090">
        <v>85.435249999999996</v>
      </c>
      <c r="J7090">
        <v>-186.29509999999999</v>
      </c>
      <c r="K7090">
        <v>1.110387</v>
      </c>
      <c r="L7090">
        <v>69.822019999999995</v>
      </c>
      <c r="M7090">
        <v>1.5135389999999999E-3</v>
      </c>
      <c r="N7090">
        <v>0</v>
      </c>
      <c r="O7090">
        <v>0.99992250000000005</v>
      </c>
      <c r="P7090">
        <v>3.6186509999999998E-2</v>
      </c>
      <c r="Q7090">
        <v>0.1035566</v>
      </c>
      <c r="R7090">
        <v>0.99396510000000005</v>
      </c>
      <c r="S7090">
        <v>0.4835663</v>
      </c>
      <c r="T7090">
        <v>-0.20941689999999999</v>
      </c>
      <c r="U7090">
        <v>3.0228269999999999</v>
      </c>
      <c r="V7090">
        <v>3.4579369999999998E-2</v>
      </c>
      <c r="W7090">
        <v>0.1158599</v>
      </c>
      <c r="X7090">
        <v>0.99266339999999997</v>
      </c>
      <c r="Y7090">
        <v>0.15609990000000001</v>
      </c>
      <c r="Z7090">
        <v>-6.8257230000000002E-2</v>
      </c>
      <c r="AA7090">
        <v>0.98538000000000003</v>
      </c>
      <c r="AB7090">
        <v>42</v>
      </c>
      <c r="AC7090">
        <v>2.5635999999999801</v>
      </c>
      <c r="AD7090">
        <v>-1.1103906372949901</v>
      </c>
      <c r="AE7090">
        <v>15.61323</v>
      </c>
      <c r="AF7090">
        <v>2.5275158263703301</v>
      </c>
      <c r="AG7090">
        <v>-1.1103906372949901</v>
      </c>
      <c r="AH7090">
        <v>15.540554155861701</v>
      </c>
      <c r="AI7090">
        <v>94.034076946350297</v>
      </c>
      <c r="AJ7090">
        <v>80.762298532729801</v>
      </c>
      <c r="AK7090">
        <v>15.783856534168599</v>
      </c>
      <c r="AL7090">
        <v>83.346774344645794</v>
      </c>
      <c r="AM7090">
        <v>88.004911691531404</v>
      </c>
      <c r="AN7090">
        <v>0.99999993747858096</v>
      </c>
    </row>
    <row r="7091" spans="1:40" x14ac:dyDescent="0.25">
      <c r="A7091" t="str">
        <f>"20190312151202573"</f>
        <v>20190312151202573</v>
      </c>
      <c r="B7091" t="str">
        <f>"1552374722568145"</f>
        <v>1552374722568145</v>
      </c>
      <c r="C7091" t="s">
        <v>40</v>
      </c>
      <c r="D7091">
        <v>5.0897139999999998</v>
      </c>
      <c r="E7091">
        <v>0.54652339999999999</v>
      </c>
      <c r="F7091" t="s">
        <v>42</v>
      </c>
      <c r="G7091">
        <v>-183.53649999999999</v>
      </c>
      <c r="H7091" s="1">
        <v>-4.3227210000000001E-6</v>
      </c>
      <c r="I7091">
        <v>87.036600000000007</v>
      </c>
      <c r="J7091">
        <v>-186.29480000000001</v>
      </c>
      <c r="K7091">
        <v>1.1103909999999999</v>
      </c>
      <c r="L7091">
        <v>70.210750000000004</v>
      </c>
      <c r="M7091">
        <v>1.196637E-3</v>
      </c>
      <c r="N7091">
        <v>0</v>
      </c>
      <c r="O7091">
        <v>0.99992259999999999</v>
      </c>
      <c r="P7091">
        <v>3.7463730000000001E-2</v>
      </c>
      <c r="Q7091">
        <v>0.10419100000000001</v>
      </c>
      <c r="R7091">
        <v>0.99385140000000005</v>
      </c>
      <c r="S7091">
        <v>0.48408509999999999</v>
      </c>
      <c r="T7091">
        <v>-0.19485720000000001</v>
      </c>
      <c r="U7091">
        <v>3.020905</v>
      </c>
      <c r="V7091">
        <v>3.617128E-2</v>
      </c>
      <c r="W7091">
        <v>0.116522</v>
      </c>
      <c r="X7091">
        <v>0.9925292</v>
      </c>
      <c r="Y7091">
        <v>0.15672469999999999</v>
      </c>
      <c r="Z7091">
        <v>-6.3567570000000004E-2</v>
      </c>
      <c r="AA7091">
        <v>0.98559450000000004</v>
      </c>
      <c r="AB7091">
        <v>42</v>
      </c>
      <c r="AC7091">
        <v>2.7583000000000202</v>
      </c>
      <c r="AD7091">
        <v>-1.1103953227209999</v>
      </c>
      <c r="AE7091">
        <v>16.825849999999999</v>
      </c>
      <c r="AF7091">
        <v>2.7265981206387702</v>
      </c>
      <c r="AG7091">
        <v>-1.1103953227209999</v>
      </c>
      <c r="AH7091">
        <v>16.758065334669102</v>
      </c>
      <c r="AI7091">
        <v>93.741835396749906</v>
      </c>
      <c r="AJ7091">
        <v>80.758746946383198</v>
      </c>
      <c r="AK7091">
        <v>17.014701550283799</v>
      </c>
      <c r="AL7091">
        <v>83.3085803673345</v>
      </c>
      <c r="AM7091">
        <v>87.912862499878102</v>
      </c>
      <c r="AN7091">
        <v>0.99999997541673802</v>
      </c>
    </row>
    <row r="7092" spans="1:40" x14ac:dyDescent="0.25">
      <c r="A7092" t="str">
        <f>"20190312151202594"</f>
        <v>20190312151202594</v>
      </c>
      <c r="B7092" t="str">
        <f>"1552374722588641"</f>
        <v>1552374722588641</v>
      </c>
      <c r="C7092" t="s">
        <v>40</v>
      </c>
      <c r="D7092">
        <v>5.1779440000000001</v>
      </c>
      <c r="E7092">
        <v>0.54660390000000003</v>
      </c>
      <c r="F7092" t="s">
        <v>42</v>
      </c>
      <c r="G7092">
        <v>-183.4051</v>
      </c>
      <c r="H7092" s="1">
        <v>-4.8475160000000002E-6</v>
      </c>
      <c r="I7092">
        <v>88.205539999999999</v>
      </c>
      <c r="J7092">
        <v>-186.2946</v>
      </c>
      <c r="K7092">
        <v>1.110393</v>
      </c>
      <c r="L7092">
        <v>70.62567</v>
      </c>
      <c r="M7092">
        <v>8.5867599999999995E-4</v>
      </c>
      <c r="N7092">
        <v>0</v>
      </c>
      <c r="O7092">
        <v>0.99992259999999999</v>
      </c>
      <c r="P7092">
        <v>3.8881079999999998E-2</v>
      </c>
      <c r="Q7092">
        <v>0.10471949999999999</v>
      </c>
      <c r="R7092">
        <v>0.99374150000000006</v>
      </c>
      <c r="S7092">
        <v>0.48493960000000003</v>
      </c>
      <c r="T7092">
        <v>-0.1863418</v>
      </c>
      <c r="U7092">
        <v>3.019806</v>
      </c>
      <c r="V7092">
        <v>3.7924220000000002E-2</v>
      </c>
      <c r="W7092">
        <v>0.1170765</v>
      </c>
      <c r="X7092">
        <v>0.99239849999999996</v>
      </c>
      <c r="Y7092">
        <v>0.15741359999999999</v>
      </c>
      <c r="Z7092">
        <v>-6.0817320000000001E-2</v>
      </c>
      <c r="AA7092">
        <v>0.98565829999999999</v>
      </c>
      <c r="AB7092">
        <v>42</v>
      </c>
      <c r="AC7092">
        <v>2.8894999999999902</v>
      </c>
      <c r="AD7092">
        <v>-1.1103978475159999</v>
      </c>
      <c r="AE7092">
        <v>17.57987</v>
      </c>
      <c r="AF7092">
        <v>2.8632795974307199</v>
      </c>
      <c r="AG7092">
        <v>-1.1103978475159999</v>
      </c>
      <c r="AH7092">
        <v>17.5143083682023</v>
      </c>
      <c r="AI7092">
        <v>93.580264382568998</v>
      </c>
      <c r="AJ7092">
        <v>80.715288025776999</v>
      </c>
      <c r="AK7092">
        <v>17.7815171188881</v>
      </c>
      <c r="AL7092">
        <v>83.276590856221304</v>
      </c>
      <c r="AM7092">
        <v>87.8115233622093</v>
      </c>
      <c r="AN7092">
        <v>0.99999996805855296</v>
      </c>
    </row>
    <row r="7093" spans="1:40" x14ac:dyDescent="0.25">
      <c r="A7093" t="str">
        <f>"20190312151202617"</f>
        <v>20190312151202617</v>
      </c>
      <c r="B7093" t="str">
        <f>"1552374722608165"</f>
        <v>1552374722608165</v>
      </c>
      <c r="C7093" t="s">
        <v>40</v>
      </c>
      <c r="D7093">
        <v>5.1313510000000004</v>
      </c>
      <c r="E7093">
        <v>0.54650390000000004</v>
      </c>
      <c r="F7093" t="s">
        <v>42</v>
      </c>
      <c r="G7093">
        <v>-183.4265</v>
      </c>
      <c r="H7093" s="1">
        <v>-4.8806600000000003E-6</v>
      </c>
      <c r="I7093">
        <v>88.291669999999996</v>
      </c>
      <c r="J7093">
        <v>-186.2945</v>
      </c>
      <c r="K7093">
        <v>1.110398</v>
      </c>
      <c r="L7093">
        <v>71.043669999999906</v>
      </c>
      <c r="M7093">
        <v>5.179739E-4</v>
      </c>
      <c r="N7093">
        <v>0</v>
      </c>
      <c r="O7093">
        <v>0.99992259999999999</v>
      </c>
      <c r="P7093">
        <v>4.1562580000000002E-2</v>
      </c>
      <c r="Q7093">
        <v>0.1050514</v>
      </c>
      <c r="R7093">
        <v>0.99359790000000003</v>
      </c>
      <c r="S7093">
        <v>0.49024960000000001</v>
      </c>
      <c r="T7093">
        <v>-0.18980440000000001</v>
      </c>
      <c r="U7093">
        <v>3.019714</v>
      </c>
      <c r="V7093">
        <v>4.094416E-2</v>
      </c>
      <c r="W7093">
        <v>0.1174322</v>
      </c>
      <c r="X7093">
        <v>0.99223649999999997</v>
      </c>
      <c r="Y7093">
        <v>0.15943260000000001</v>
      </c>
      <c r="Z7093">
        <v>-6.1926269999999999E-2</v>
      </c>
      <c r="AA7093">
        <v>0.98526460000000005</v>
      </c>
      <c r="AB7093">
        <v>42</v>
      </c>
      <c r="AC7093">
        <v>2.8679999999999901</v>
      </c>
      <c r="AD7093">
        <v>-1.1104028806599999</v>
      </c>
      <c r="AE7093">
        <v>17.248000000000001</v>
      </c>
      <c r="AF7093">
        <v>2.8475803389650198</v>
      </c>
      <c r="AG7093">
        <v>-1.1104028806599999</v>
      </c>
      <c r="AH7093">
        <v>17.180193934978501</v>
      </c>
      <c r="AI7093">
        <v>93.648400802386504</v>
      </c>
      <c r="AJ7093">
        <v>80.588906481746307</v>
      </c>
      <c r="AK7093">
        <v>17.449950486683701</v>
      </c>
      <c r="AL7093">
        <v>83.256069463092302</v>
      </c>
      <c r="AM7093">
        <v>87.637057894046507</v>
      </c>
      <c r="AN7093">
        <v>1.0000000088835901</v>
      </c>
    </row>
    <row r="7094" spans="1:40" x14ac:dyDescent="0.25">
      <c r="A7094" t="str">
        <f>"20190312151202640"</f>
        <v>20190312151202640</v>
      </c>
      <c r="B7094" t="str">
        <f>"1552374722628663"</f>
        <v>1552374722628663</v>
      </c>
      <c r="C7094" t="s">
        <v>40</v>
      </c>
      <c r="D7094">
        <v>5.0672819999999996</v>
      </c>
      <c r="E7094">
        <v>0.54645140000000003</v>
      </c>
      <c r="F7094" t="s">
        <v>42</v>
      </c>
      <c r="G7094">
        <v>-183.48339999999999</v>
      </c>
      <c r="H7094" s="1">
        <v>-4.7942749999999999E-6</v>
      </c>
      <c r="I7094">
        <v>88.113829999999993</v>
      </c>
      <c r="J7094">
        <v>-186.2946</v>
      </c>
      <c r="K7094">
        <v>1.1104000000000001</v>
      </c>
      <c r="L7094">
        <v>71.460080000000005</v>
      </c>
      <c r="M7094">
        <v>1.7857330000000001E-4</v>
      </c>
      <c r="N7094">
        <v>0</v>
      </c>
      <c r="O7094">
        <v>0.99992250000000005</v>
      </c>
      <c r="P7094">
        <v>4.4390689999999997E-2</v>
      </c>
      <c r="Q7094">
        <v>0.1049914</v>
      </c>
      <c r="R7094">
        <v>0.99348190000000003</v>
      </c>
      <c r="S7094">
        <v>0.49722290000000002</v>
      </c>
      <c r="T7094">
        <v>-0.19640270000000001</v>
      </c>
      <c r="U7094">
        <v>3.0192869999999998</v>
      </c>
      <c r="V7094">
        <v>4.4109639999999999E-2</v>
      </c>
      <c r="W7094">
        <v>0.11739239999999999</v>
      </c>
      <c r="X7094">
        <v>0.99210549999999997</v>
      </c>
      <c r="Y7094">
        <v>0.16198360000000001</v>
      </c>
      <c r="Z7094">
        <v>-6.4053940000000004E-2</v>
      </c>
      <c r="AA7094">
        <v>0.98471240000000004</v>
      </c>
      <c r="AB7094">
        <v>42</v>
      </c>
      <c r="AC7094">
        <v>2.8112000000000101</v>
      </c>
      <c r="AD7094">
        <v>-1.1104047942749999</v>
      </c>
      <c r="AE7094">
        <v>16.653749999999999</v>
      </c>
      <c r="AF7094">
        <v>2.7961394510869799</v>
      </c>
      <c r="AG7094">
        <v>-1.1104047942749999</v>
      </c>
      <c r="AH7094">
        <v>16.582573333956599</v>
      </c>
      <c r="AI7094">
        <v>93.777758354401996</v>
      </c>
      <c r="AJ7094">
        <v>80.428866704687096</v>
      </c>
      <c r="AK7094">
        <v>16.853282558989001</v>
      </c>
      <c r="AL7094">
        <v>83.258365518856493</v>
      </c>
      <c r="AM7094">
        <v>87.454269828932496</v>
      </c>
      <c r="AN7094">
        <v>0.99999997952446895</v>
      </c>
    </row>
    <row r="7095" spans="1:40" x14ac:dyDescent="0.25">
      <c r="A7095" t="str">
        <f>"20190312151202662"</f>
        <v>20190312151202662</v>
      </c>
      <c r="B7095" t="str">
        <f>"1552374722657937"</f>
        <v>1552374722657937</v>
      </c>
      <c r="C7095" t="s">
        <v>40</v>
      </c>
      <c r="D7095">
        <v>5.1168239999999896</v>
      </c>
      <c r="E7095">
        <v>0.54615669999999905</v>
      </c>
      <c r="F7095" t="s">
        <v>42</v>
      </c>
      <c r="G7095">
        <v>-183.5232</v>
      </c>
      <c r="H7095" s="1">
        <v>-4.7534089999999997E-6</v>
      </c>
      <c r="I7095">
        <v>88.035030000000006</v>
      </c>
      <c r="J7095">
        <v>-186.29490000000001</v>
      </c>
      <c r="K7095">
        <v>1.1104019999999999</v>
      </c>
      <c r="L7095">
        <v>71.869869999999906</v>
      </c>
      <c r="M7095">
        <v>-1.5548579999999999E-4</v>
      </c>
      <c r="N7095">
        <v>0</v>
      </c>
      <c r="O7095">
        <v>0.99992230000000004</v>
      </c>
      <c r="P7095">
        <v>4.7281450000000003E-2</v>
      </c>
      <c r="Q7095">
        <v>0.10491929999999999</v>
      </c>
      <c r="R7095">
        <v>0.99335609999999996</v>
      </c>
      <c r="S7095">
        <v>0.50471499999999903</v>
      </c>
      <c r="T7095">
        <v>-0.20221790000000001</v>
      </c>
      <c r="U7095">
        <v>3.018494</v>
      </c>
      <c r="V7095">
        <v>4.733238E-2</v>
      </c>
      <c r="W7095">
        <v>0.1173384</v>
      </c>
      <c r="X7095">
        <v>0.99196340000000005</v>
      </c>
      <c r="Y7095">
        <v>0.16471259999999999</v>
      </c>
      <c r="Z7095">
        <v>-6.593106E-2</v>
      </c>
      <c r="AA7095">
        <v>0.9841356</v>
      </c>
      <c r="AB7095">
        <v>42</v>
      </c>
      <c r="AC7095">
        <v>2.7717000000000001</v>
      </c>
      <c r="AD7095">
        <v>-1.1104067534090001</v>
      </c>
      <c r="AE7095">
        <v>16.16516</v>
      </c>
      <c r="AF7095">
        <v>2.76155534947971</v>
      </c>
      <c r="AG7095">
        <v>-1.1104067534090001</v>
      </c>
      <c r="AH7095">
        <v>16.0909719014217</v>
      </c>
      <c r="AI7095">
        <v>93.890905411036201</v>
      </c>
      <c r="AJ7095">
        <v>80.261688168238607</v>
      </c>
      <c r="AK7095">
        <v>16.363941085160299</v>
      </c>
      <c r="AL7095">
        <v>83.261481301131894</v>
      </c>
      <c r="AM7095">
        <v>87.268155027611797</v>
      </c>
      <c r="AN7095">
        <v>1.0000000206252899</v>
      </c>
    </row>
    <row r="7096" spans="1:40" x14ac:dyDescent="0.25">
      <c r="A7096" t="str">
        <f>"20190312151202682"</f>
        <v>20190312151202682</v>
      </c>
      <c r="B7096" t="str">
        <f>"1552374722678433"</f>
        <v>1552374722678433</v>
      </c>
      <c r="C7096" t="s">
        <v>40</v>
      </c>
      <c r="D7096">
        <v>5.1528109999999998</v>
      </c>
      <c r="E7096">
        <v>0.54607930000000005</v>
      </c>
      <c r="F7096" t="s">
        <v>42</v>
      </c>
      <c r="G7096">
        <v>-183.57050000000001</v>
      </c>
      <c r="H7096" s="1">
        <v>-4.7107630000000003E-6</v>
      </c>
      <c r="I7096">
        <v>87.955159999999907</v>
      </c>
      <c r="J7096">
        <v>-186.29519999999999</v>
      </c>
      <c r="K7096">
        <v>1.1104050000000001</v>
      </c>
      <c r="L7096">
        <v>72.255129999999994</v>
      </c>
      <c r="M7096">
        <v>-4.6945489999999999E-4</v>
      </c>
      <c r="N7096">
        <v>0</v>
      </c>
      <c r="O7096">
        <v>0.99992199999999998</v>
      </c>
      <c r="P7096">
        <v>4.8727069999999997E-2</v>
      </c>
      <c r="Q7096">
        <v>0.1050686</v>
      </c>
      <c r="R7096">
        <v>0.99327049999999995</v>
      </c>
      <c r="S7096">
        <v>0.51112369999999996</v>
      </c>
      <c r="T7096">
        <v>-0.20832129999999999</v>
      </c>
      <c r="U7096">
        <v>3.0177309999999999</v>
      </c>
      <c r="V7096">
        <v>4.9089729999999998E-2</v>
      </c>
      <c r="W7096">
        <v>0.1175013</v>
      </c>
      <c r="X7096">
        <v>0.99185869999999998</v>
      </c>
      <c r="Y7096">
        <v>0.16707259999999999</v>
      </c>
      <c r="Z7096">
        <v>-6.7903290000000005E-2</v>
      </c>
      <c r="AA7096">
        <v>0.98360349999999996</v>
      </c>
      <c r="AB7096">
        <v>42</v>
      </c>
      <c r="AC7096">
        <v>2.7246999999999799</v>
      </c>
      <c r="AD7096">
        <v>-1.11040971076299</v>
      </c>
      <c r="AE7096">
        <v>15.7000299999999</v>
      </c>
      <c r="AF7096">
        <v>2.7188679199134498</v>
      </c>
      <c r="AG7096">
        <v>-1.11040971076299</v>
      </c>
      <c r="AH7096">
        <v>15.622884392545799</v>
      </c>
      <c r="AI7096">
        <v>94.005504955037594</v>
      </c>
      <c r="AJ7096">
        <v>80.127627044173494</v>
      </c>
      <c r="AK7096">
        <v>15.896533245791099</v>
      </c>
      <c r="AL7096">
        <v>83.252082791937198</v>
      </c>
      <c r="AM7096">
        <v>87.166591191375105</v>
      </c>
      <c r="AN7096">
        <v>1.00000001892942</v>
      </c>
    </row>
    <row r="7097" spans="1:40" x14ac:dyDescent="0.25">
      <c r="A7097" t="str">
        <f>"20190312151202707"</f>
        <v>20190312151202707</v>
      </c>
      <c r="B7097" t="str">
        <f>"1552374722697953"</f>
        <v>1552374722697953</v>
      </c>
      <c r="C7097" t="s">
        <v>40</v>
      </c>
      <c r="D7097">
        <v>5.0831169999999997</v>
      </c>
      <c r="E7097">
        <v>0.54599679999999995</v>
      </c>
      <c r="F7097" t="s">
        <v>42</v>
      </c>
      <c r="G7097">
        <v>-183.57730000000001</v>
      </c>
      <c r="H7097" s="1">
        <v>-4.8072009999999997E-6</v>
      </c>
      <c r="I7097">
        <v>88.182769999999906</v>
      </c>
      <c r="J7097">
        <v>-186.29580000000001</v>
      </c>
      <c r="K7097">
        <v>1.1103970000000001</v>
      </c>
      <c r="L7097">
        <v>72.708309999999997</v>
      </c>
      <c r="M7097">
        <v>-8.3865570000000002E-4</v>
      </c>
      <c r="N7097">
        <v>0</v>
      </c>
      <c r="O7097">
        <v>0.99992159999999997</v>
      </c>
      <c r="P7097">
        <v>5.1275179999999997E-2</v>
      </c>
      <c r="Q7097">
        <v>0.1053748</v>
      </c>
      <c r="R7097">
        <v>0.99310980000000004</v>
      </c>
      <c r="S7097">
        <v>0.51489259999999903</v>
      </c>
      <c r="T7097">
        <v>-0.21035609999999999</v>
      </c>
      <c r="U7097">
        <v>3.017334</v>
      </c>
      <c r="V7097">
        <v>5.2004149999999999E-2</v>
      </c>
      <c r="W7097">
        <v>0.11782189999999999</v>
      </c>
      <c r="X7097">
        <v>0.99167209999999995</v>
      </c>
      <c r="Y7097">
        <v>0.16864419999999999</v>
      </c>
      <c r="Z7097">
        <v>-6.8555870000000005E-2</v>
      </c>
      <c r="AA7097">
        <v>0.98329</v>
      </c>
      <c r="AB7097">
        <v>42</v>
      </c>
      <c r="AC7097">
        <v>2.7185000000000001</v>
      </c>
      <c r="AD7097">
        <v>-1.11040180720099</v>
      </c>
      <c r="AE7097">
        <v>15.474459999999899</v>
      </c>
      <c r="AF7097">
        <v>2.71790209301914</v>
      </c>
      <c r="AG7097">
        <v>-1.11040180720099</v>
      </c>
      <c r="AH7097">
        <v>15.39527629567</v>
      </c>
      <c r="AI7097">
        <v>94.062768706474102</v>
      </c>
      <c r="AJ7097">
        <v>79.988091113801303</v>
      </c>
      <c r="AK7097">
        <v>15.6727316119651</v>
      </c>
      <c r="AL7097">
        <v>83.233585099466396</v>
      </c>
      <c r="AM7097">
        <v>86.998109104228902</v>
      </c>
      <c r="AN7097">
        <v>0.99999999282762098</v>
      </c>
    </row>
    <row r="7098" spans="1:40" x14ac:dyDescent="0.25">
      <c r="A7098" t="str">
        <f>"20190312151202732"</f>
        <v>20190312151202732</v>
      </c>
      <c r="B7098" t="str">
        <f>"1552374722728210"</f>
        <v>1552374722728210</v>
      </c>
      <c r="C7098" t="s">
        <v>40</v>
      </c>
      <c r="D7098">
        <v>5.1378009999999996</v>
      </c>
      <c r="E7098">
        <v>0.54595830000000001</v>
      </c>
      <c r="F7098" t="s">
        <v>42</v>
      </c>
      <c r="G7098">
        <v>-183.5872</v>
      </c>
      <c r="H7098" s="1">
        <v>-4.8835389999999999E-6</v>
      </c>
      <c r="I7098">
        <v>88.364809999999906</v>
      </c>
      <c r="J7098">
        <v>-186.29650000000001</v>
      </c>
      <c r="K7098">
        <v>1.110395</v>
      </c>
      <c r="L7098">
        <v>73.151669999999996</v>
      </c>
      <c r="M7098">
        <v>-1.199833E-3</v>
      </c>
      <c r="N7098">
        <v>0</v>
      </c>
      <c r="O7098">
        <v>0.99992110000000001</v>
      </c>
      <c r="P7098">
        <v>5.375361E-2</v>
      </c>
      <c r="Q7098">
        <v>0.1054001</v>
      </c>
      <c r="R7098">
        <v>0.99297599999999997</v>
      </c>
      <c r="S7098">
        <v>0.52188109999999999</v>
      </c>
      <c r="T7098">
        <v>-0.21394360000000001</v>
      </c>
      <c r="U7098">
        <v>3.0165709999999999</v>
      </c>
      <c r="V7098">
        <v>5.4841090000000002E-2</v>
      </c>
      <c r="W7098">
        <v>0.1178593</v>
      </c>
      <c r="X7098">
        <v>0.99151480000000003</v>
      </c>
      <c r="Y7098">
        <v>0.1712399</v>
      </c>
      <c r="Z7098">
        <v>-6.9707340000000007E-2</v>
      </c>
      <c r="AA7098">
        <v>0.98276030000000003</v>
      </c>
      <c r="AB7098">
        <v>42</v>
      </c>
      <c r="AC7098">
        <v>2.70930000000001</v>
      </c>
      <c r="AD7098">
        <v>-1.1103998835390001</v>
      </c>
      <c r="AE7098">
        <v>15.2131399999999</v>
      </c>
      <c r="AF7098">
        <v>2.7135407940656502</v>
      </c>
      <c r="AG7098">
        <v>-1.1103998835390001</v>
      </c>
      <c r="AH7098">
        <v>15.131742311543499</v>
      </c>
      <c r="AI7098">
        <v>94.131296463673905</v>
      </c>
      <c r="AJ7098">
        <v>79.833340809696494</v>
      </c>
      <c r="AK7098">
        <v>15.413173486513999</v>
      </c>
      <c r="AL7098">
        <v>83.231427109418505</v>
      </c>
      <c r="AM7098">
        <v>86.834172664096201</v>
      </c>
      <c r="AN7098">
        <v>0.999999979183958</v>
      </c>
    </row>
    <row r="7099" spans="1:40" x14ac:dyDescent="0.25">
      <c r="A7099" t="str">
        <f>"20190312151202754"</f>
        <v>20190312151202754</v>
      </c>
      <c r="B7099" t="str">
        <f>"1552374722748705"</f>
        <v>1552374722748705</v>
      </c>
      <c r="C7099" t="s">
        <v>40</v>
      </c>
      <c r="D7099">
        <v>5.1401469999999998</v>
      </c>
      <c r="E7099">
        <v>0.54580609999999996</v>
      </c>
      <c r="F7099" t="s">
        <v>42</v>
      </c>
      <c r="G7099">
        <v>-183.61500000000001</v>
      </c>
      <c r="H7099" s="1">
        <v>-4.9070419999999997E-6</v>
      </c>
      <c r="I7099">
        <v>88.431089999999998</v>
      </c>
      <c r="J7099">
        <v>-186.29740000000001</v>
      </c>
      <c r="K7099">
        <v>1.110395</v>
      </c>
      <c r="L7099">
        <v>73.570309999999907</v>
      </c>
      <c r="M7099">
        <v>-1.540907E-3</v>
      </c>
      <c r="N7099">
        <v>0</v>
      </c>
      <c r="O7099">
        <v>0.99992049999999999</v>
      </c>
      <c r="P7099">
        <v>5.5248699999999998E-2</v>
      </c>
      <c r="Q7099">
        <v>0.10509</v>
      </c>
      <c r="R7099">
        <v>0.9929268</v>
      </c>
      <c r="S7099">
        <v>0.52928160000000002</v>
      </c>
      <c r="T7099">
        <v>-0.2191697</v>
      </c>
      <c r="U7099">
        <v>3.0158390000000002</v>
      </c>
      <c r="V7099">
        <v>5.6675080000000003E-2</v>
      </c>
      <c r="W7099">
        <v>0.1175591</v>
      </c>
      <c r="X7099">
        <v>0.99144730000000003</v>
      </c>
      <c r="Y7099">
        <v>0.17393539999999999</v>
      </c>
      <c r="Z7099">
        <v>-7.1386519999999995E-2</v>
      </c>
      <c r="AA7099">
        <v>0.98216619999999999</v>
      </c>
      <c r="AB7099">
        <v>42</v>
      </c>
      <c r="AC7099">
        <v>2.6823999999999999</v>
      </c>
      <c r="AD7099">
        <v>-1.1103999070420001</v>
      </c>
      <c r="AE7099">
        <v>14.86078</v>
      </c>
      <c r="AF7099">
        <v>2.6907489713866002</v>
      </c>
      <c r="AG7099">
        <v>-1.1103999070420001</v>
      </c>
      <c r="AH7099">
        <v>14.7767318068222</v>
      </c>
      <c r="AI7099">
        <v>94.228155121466102</v>
      </c>
      <c r="AJ7099">
        <v>79.679876388457899</v>
      </c>
      <c r="AK7099">
        <v>15.060707847618801</v>
      </c>
      <c r="AL7099">
        <v>83.248747703645606</v>
      </c>
      <c r="AM7099">
        <v>86.728305399654801</v>
      </c>
      <c r="AN7099">
        <v>0.99999997768155302</v>
      </c>
    </row>
    <row r="7100" spans="1:40" x14ac:dyDescent="0.25">
      <c r="A7100" t="str">
        <f>"20190312151202775"</f>
        <v>20190312151202775</v>
      </c>
      <c r="B7100" t="str">
        <f>"1552374722768225"</f>
        <v>1552374722768225</v>
      </c>
      <c r="C7100" t="s">
        <v>40</v>
      </c>
      <c r="D7100">
        <v>5.1778089999999999</v>
      </c>
      <c r="E7100">
        <v>0.54573909999999903</v>
      </c>
      <c r="F7100" t="s">
        <v>42</v>
      </c>
      <c r="G7100">
        <v>-183.63050000000001</v>
      </c>
      <c r="H7100" s="1">
        <v>-5.0022829999999997E-6</v>
      </c>
      <c r="I7100">
        <v>88.659540000000007</v>
      </c>
      <c r="J7100">
        <v>-186.29820000000001</v>
      </c>
      <c r="K7100">
        <v>1.1103909999999999</v>
      </c>
      <c r="L7100">
        <v>73.959379999999996</v>
      </c>
      <c r="M7100">
        <v>-1.8579320000000001E-3</v>
      </c>
      <c r="N7100">
        <v>0</v>
      </c>
      <c r="O7100">
        <v>0.99991980000000003</v>
      </c>
      <c r="P7100">
        <v>5.672961E-2</v>
      </c>
      <c r="Q7100">
        <v>0.1044356</v>
      </c>
      <c r="R7100">
        <v>0.99291240000000003</v>
      </c>
      <c r="S7100">
        <v>0.53289790000000004</v>
      </c>
      <c r="T7100">
        <v>-0.2218851</v>
      </c>
      <c r="U7100">
        <v>3.0151979999999998</v>
      </c>
      <c r="V7100">
        <v>5.847136E-2</v>
      </c>
      <c r="W7100">
        <v>0.11691360000000001</v>
      </c>
      <c r="X7100">
        <v>0.9914193</v>
      </c>
      <c r="Y7100">
        <v>0.1754144</v>
      </c>
      <c r="Z7100">
        <v>-7.2264309999999998E-2</v>
      </c>
      <c r="AA7100">
        <v>0.98183889999999996</v>
      </c>
      <c r="AB7100">
        <v>42</v>
      </c>
      <c r="AC7100">
        <v>2.6676999999999902</v>
      </c>
      <c r="AD7100">
        <v>-1.1103960022829999</v>
      </c>
      <c r="AE7100">
        <v>14.700159999999901</v>
      </c>
      <c r="AF7100">
        <v>2.6802044679512198</v>
      </c>
      <c r="AG7100">
        <v>-1.1103960022829999</v>
      </c>
      <c r="AH7100">
        <v>14.614450231765799</v>
      </c>
      <c r="AI7100">
        <v>94.273937891172395</v>
      </c>
      <c r="AJ7100">
        <v>79.607771789873695</v>
      </c>
      <c r="AK7100">
        <v>14.899618479970201</v>
      </c>
      <c r="AL7100">
        <v>83.285988819600504</v>
      </c>
      <c r="AM7100">
        <v>86.624752104423905</v>
      </c>
      <c r="AN7100">
        <v>0.99999995910884898</v>
      </c>
    </row>
    <row r="7101" spans="1:40" x14ac:dyDescent="0.25">
      <c r="A7101" t="str">
        <f>"20190312151202796"</f>
        <v>20190312151202796</v>
      </c>
      <c r="B7101" t="str">
        <f>"1552374722788721"</f>
        <v>1552374722788721</v>
      </c>
      <c r="C7101" t="s">
        <v>40</v>
      </c>
      <c r="D7101">
        <v>5.1526310000000004</v>
      </c>
      <c r="E7101">
        <v>0.54569009999999996</v>
      </c>
      <c r="F7101" t="s">
        <v>42</v>
      </c>
      <c r="G7101">
        <v>-183.6549</v>
      </c>
      <c r="H7101" s="1">
        <v>-5.0528390000000002E-6</v>
      </c>
      <c r="I7101">
        <v>88.787480000000002</v>
      </c>
      <c r="J7101">
        <v>-186.29929999999999</v>
      </c>
      <c r="K7101">
        <v>1.110387</v>
      </c>
      <c r="L7101">
        <v>74.359889999999993</v>
      </c>
      <c r="M7101">
        <v>-2.1841130000000001E-3</v>
      </c>
      <c r="N7101">
        <v>0</v>
      </c>
      <c r="O7101">
        <v>0.99991909999999895</v>
      </c>
      <c r="P7101">
        <v>5.8132789999999997E-2</v>
      </c>
      <c r="Q7101">
        <v>0.1035435</v>
      </c>
      <c r="R7101">
        <v>0.99292460000000005</v>
      </c>
      <c r="S7101">
        <v>0.53736879999999998</v>
      </c>
      <c r="T7101">
        <v>-0.2257372</v>
      </c>
      <c r="U7101">
        <v>3.014465</v>
      </c>
      <c r="V7101">
        <v>6.0199179999999998E-2</v>
      </c>
      <c r="W7101">
        <v>0.11602990000000001</v>
      </c>
      <c r="X7101">
        <v>0.99141970000000001</v>
      </c>
      <c r="Y7101">
        <v>0.17717179999999999</v>
      </c>
      <c r="Z7101">
        <v>-7.3508379999999998E-2</v>
      </c>
      <c r="AA7101">
        <v>0.98143089999999999</v>
      </c>
      <c r="AB7101">
        <v>42</v>
      </c>
      <c r="AC7101">
        <v>2.6443999999999899</v>
      </c>
      <c r="AD7101">
        <v>-1.1103920528389899</v>
      </c>
      <c r="AE7101">
        <v>14.427589999999901</v>
      </c>
      <c r="AF7101">
        <v>2.6606599529096799</v>
      </c>
      <c r="AG7101">
        <v>-1.1103920528389899</v>
      </c>
      <c r="AH7101">
        <v>14.339602123091099</v>
      </c>
      <c r="AI7101">
        <v>94.353863504327407</v>
      </c>
      <c r="AJ7101">
        <v>79.488520582121595</v>
      </c>
      <c r="AK7101">
        <v>14.626560461864701</v>
      </c>
      <c r="AL7101">
        <v>83.336968009064094</v>
      </c>
      <c r="AM7101">
        <v>86.525256307208096</v>
      </c>
      <c r="AN7101">
        <v>0.99999995025738497</v>
      </c>
    </row>
    <row r="7102" spans="1:40" x14ac:dyDescent="0.25">
      <c r="A7102" t="str">
        <f>"20190312151202818"</f>
        <v>20190312151202818</v>
      </c>
      <c r="B7102" t="str">
        <f>"1552374722808244"</f>
        <v>1552374722808244</v>
      </c>
      <c r="C7102" t="s">
        <v>40</v>
      </c>
      <c r="D7102">
        <v>5.0998260000000002</v>
      </c>
      <c r="E7102">
        <v>0.54555859999999901</v>
      </c>
      <c r="F7102" t="s">
        <v>42</v>
      </c>
      <c r="G7102">
        <v>-183.66329999999999</v>
      </c>
      <c r="H7102" s="1">
        <v>-5.1553070000000004E-6</v>
      </c>
      <c r="I7102">
        <v>89.029799999999994</v>
      </c>
      <c r="J7102">
        <v>-186.3005</v>
      </c>
      <c r="K7102">
        <v>1.110379</v>
      </c>
      <c r="L7102">
        <v>74.78134</v>
      </c>
      <c r="M7102">
        <v>-2.5275720000000001E-3</v>
      </c>
      <c r="N7102">
        <v>0</v>
      </c>
      <c r="O7102">
        <v>0.99991819999999998</v>
      </c>
      <c r="P7102">
        <v>5.9298490000000002E-2</v>
      </c>
      <c r="Q7102">
        <v>0.102644</v>
      </c>
      <c r="R7102">
        <v>0.99294910000000003</v>
      </c>
      <c r="S7102">
        <v>0.54147339999999999</v>
      </c>
      <c r="T7102">
        <v>-0.22809409999999999</v>
      </c>
      <c r="U7102">
        <v>3.013458</v>
      </c>
      <c r="V7102">
        <v>6.1706759999999999E-2</v>
      </c>
      <c r="W7102">
        <v>0.115138</v>
      </c>
      <c r="X7102">
        <v>0.99143110000000001</v>
      </c>
      <c r="Y7102">
        <v>0.1788516</v>
      </c>
      <c r="Z7102">
        <v>-7.4275640000000004E-2</v>
      </c>
      <c r="AA7102">
        <v>0.98106839999999995</v>
      </c>
      <c r="AB7102">
        <v>42</v>
      </c>
      <c r="AC7102">
        <v>2.6372</v>
      </c>
      <c r="AD7102">
        <v>-1.110384155307</v>
      </c>
      <c r="AE7102">
        <v>14.2484599999999</v>
      </c>
      <c r="AF7102">
        <v>2.6576031086279102</v>
      </c>
      <c r="AG7102">
        <v>-1.110384155307</v>
      </c>
      <c r="AH7102">
        <v>14.158609630912601</v>
      </c>
      <c r="AI7102">
        <v>94.407563211339706</v>
      </c>
      <c r="AJ7102">
        <v>79.369149744061403</v>
      </c>
      <c r="AK7102">
        <v>14.4485997223232</v>
      </c>
      <c r="AL7102">
        <v>83.3884156244617</v>
      </c>
      <c r="AM7102">
        <v>86.438499717615997</v>
      </c>
      <c r="AN7102">
        <v>1.0000000546604499</v>
      </c>
    </row>
    <row r="7103" spans="1:40" x14ac:dyDescent="0.25">
      <c r="A7103" t="str">
        <f>"20190312151202841"</f>
        <v>20190312151202841</v>
      </c>
      <c r="B7103" t="str">
        <f>"1552374722838498"</f>
        <v>1552374722838498</v>
      </c>
      <c r="C7103" t="s">
        <v>40</v>
      </c>
      <c r="D7103">
        <v>5.3339930000000004</v>
      </c>
      <c r="E7103">
        <v>0.54537919999999995</v>
      </c>
      <c r="F7103" t="s">
        <v>42</v>
      </c>
      <c r="G7103">
        <v>-183.6969</v>
      </c>
      <c r="H7103" s="1">
        <v>-5.2169620000000004E-6</v>
      </c>
      <c r="I7103">
        <v>89.187419999999904</v>
      </c>
      <c r="J7103">
        <v>-186.30189999999999</v>
      </c>
      <c r="K7103">
        <v>1.110374</v>
      </c>
      <c r="L7103">
        <v>75.185969999999998</v>
      </c>
      <c r="M7103">
        <v>-2.8573079999999998E-3</v>
      </c>
      <c r="N7103">
        <v>0</v>
      </c>
      <c r="O7103">
        <v>0.99991730000000001</v>
      </c>
      <c r="P7103">
        <v>6.0613449999999999E-2</v>
      </c>
      <c r="Q7103">
        <v>0.10154059999999999</v>
      </c>
      <c r="R7103">
        <v>0.99298319999999995</v>
      </c>
      <c r="S7103">
        <v>0.54449459999999905</v>
      </c>
      <c r="T7103">
        <v>-0.23221800000000001</v>
      </c>
      <c r="U7103">
        <v>3.0127869999999999</v>
      </c>
      <c r="V7103">
        <v>6.3350169999999997E-2</v>
      </c>
      <c r="W7103">
        <v>0.1140409</v>
      </c>
      <c r="X7103">
        <v>0.99145419999999995</v>
      </c>
      <c r="Y7103">
        <v>0.1801489</v>
      </c>
      <c r="Z7103">
        <v>-7.5611540000000005E-2</v>
      </c>
      <c r="AA7103">
        <v>0.98072899999999996</v>
      </c>
      <c r="AB7103">
        <v>41</v>
      </c>
      <c r="AC7103">
        <v>2.60499999999998</v>
      </c>
      <c r="AD7103">
        <v>-1.1103792169619999</v>
      </c>
      <c r="AE7103">
        <v>14.001449999999901</v>
      </c>
      <c r="AF7103">
        <v>2.6290176986124498</v>
      </c>
      <c r="AG7103">
        <v>-1.1103792169619999</v>
      </c>
      <c r="AH7103">
        <v>13.909396557133901</v>
      </c>
      <c r="AI7103">
        <v>94.485130748890995</v>
      </c>
      <c r="AJ7103">
        <v>79.296778749093605</v>
      </c>
      <c r="AK7103">
        <v>14.199154504712199</v>
      </c>
      <c r="AL7103">
        <v>83.451691272988398</v>
      </c>
      <c r="AM7103">
        <v>86.343986690617797</v>
      </c>
      <c r="AN7103">
        <v>1.0000000008047301</v>
      </c>
    </row>
    <row r="7104" spans="1:40" x14ac:dyDescent="0.25">
      <c r="A7104" t="str">
        <f>"20190312151202862"</f>
        <v>20190312151202862</v>
      </c>
      <c r="B7104" t="str">
        <f>"1552374722858017"</f>
        <v>1552374722858017</v>
      </c>
      <c r="C7104" t="s">
        <v>40</v>
      </c>
      <c r="D7104">
        <v>5.1373389999999999</v>
      </c>
      <c r="E7104">
        <v>0.54515480000000005</v>
      </c>
      <c r="F7104" t="s">
        <v>42</v>
      </c>
      <c r="G7104">
        <v>-183.68809999999999</v>
      </c>
      <c r="H7104" s="1">
        <v>-5.3825160000000002E-6</v>
      </c>
      <c r="I7104">
        <v>89.569670000000002</v>
      </c>
      <c r="J7104">
        <v>-186.30330000000001</v>
      </c>
      <c r="K7104">
        <v>1.110371</v>
      </c>
      <c r="L7104">
        <v>75.591800000000006</v>
      </c>
      <c r="M7104">
        <v>-3.188078E-3</v>
      </c>
      <c r="N7104">
        <v>0</v>
      </c>
      <c r="O7104">
        <v>0.99991620000000003</v>
      </c>
      <c r="P7104">
        <v>6.1838600000000001E-2</v>
      </c>
      <c r="Q7104">
        <v>0.10062409999999999</v>
      </c>
      <c r="R7104">
        <v>0.99300089999999996</v>
      </c>
      <c r="S7104">
        <v>0.54725649999999904</v>
      </c>
      <c r="T7104">
        <v>-0.2324841</v>
      </c>
      <c r="U7104">
        <v>3.0115660000000002</v>
      </c>
      <c r="V7104">
        <v>6.4904649999999994E-2</v>
      </c>
      <c r="W7104">
        <v>0.11313040000000001</v>
      </c>
      <c r="X7104">
        <v>0.9914579</v>
      </c>
      <c r="Y7104">
        <v>0.18141299999999999</v>
      </c>
      <c r="Z7104">
        <v>-7.5712580000000002E-2</v>
      </c>
      <c r="AA7104">
        <v>0.98048809999999997</v>
      </c>
      <c r="AB7104">
        <v>41</v>
      </c>
      <c r="AC7104">
        <v>2.61520000000001</v>
      </c>
      <c r="AD7104">
        <v>-1.110376382516</v>
      </c>
      <c r="AE7104">
        <v>13.9778699999999</v>
      </c>
      <c r="AF7104">
        <v>2.6436345207096501</v>
      </c>
      <c r="AG7104">
        <v>-1.110376382516</v>
      </c>
      <c r="AH7104">
        <v>13.884805204034301</v>
      </c>
      <c r="AI7104">
        <v>94.491893724982802</v>
      </c>
      <c r="AJ7104">
        <v>79.220043730021999</v>
      </c>
      <c r="AK7104">
        <v>14.1777838445899</v>
      </c>
      <c r="AL7104">
        <v>83.504198466240894</v>
      </c>
      <c r="AM7104">
        <v>86.2545420616093</v>
      </c>
      <c r="AN7104">
        <v>0.99999993423409395</v>
      </c>
    </row>
    <row r="7105" spans="1:40" x14ac:dyDescent="0.25">
      <c r="A7105" t="str">
        <f>"20190312151202885"</f>
        <v>20190312151202885</v>
      </c>
      <c r="B7105" t="str">
        <f>"1552374722878513"</f>
        <v>1552374722878513</v>
      </c>
      <c r="C7105" t="s">
        <v>40</v>
      </c>
      <c r="D7105">
        <v>5.1596270000000004</v>
      </c>
      <c r="E7105">
        <v>0.5449427</v>
      </c>
      <c r="F7105" t="s">
        <v>42</v>
      </c>
      <c r="G7105">
        <v>-183.66890000000001</v>
      </c>
      <c r="H7105" s="1">
        <v>-1.814991E-6</v>
      </c>
      <c r="I7105">
        <v>90.031419999999997</v>
      </c>
      <c r="J7105">
        <v>-186.30500000000001</v>
      </c>
      <c r="K7105">
        <v>1.1103689999999999</v>
      </c>
      <c r="L7105">
        <v>76.011080000000007</v>
      </c>
      <c r="M7105">
        <v>-3.5298579999999999E-3</v>
      </c>
      <c r="N7105">
        <v>0</v>
      </c>
      <c r="O7105">
        <v>0.999915</v>
      </c>
      <c r="P7105">
        <v>6.322448E-2</v>
      </c>
      <c r="Q7105">
        <v>9.9863830000000001E-2</v>
      </c>
      <c r="R7105">
        <v>0.99299040000000005</v>
      </c>
      <c r="S7105">
        <v>0.54922490000000002</v>
      </c>
      <c r="T7105">
        <v>-0.23149310000000001</v>
      </c>
      <c r="U7105">
        <v>3.0104060000000001</v>
      </c>
      <c r="V7105">
        <v>6.6630510000000004E-2</v>
      </c>
      <c r="W7105">
        <v>0.11237469999999999</v>
      </c>
      <c r="X7105">
        <v>0.99142940000000002</v>
      </c>
      <c r="Y7105">
        <v>0.18244009999999999</v>
      </c>
      <c r="Z7105">
        <v>-7.54084E-2</v>
      </c>
      <c r="AA7105">
        <v>0.98032090000000005</v>
      </c>
      <c r="AB7105">
        <v>41</v>
      </c>
      <c r="AC7105">
        <v>2.6360999999999901</v>
      </c>
      <c r="AD7105">
        <v>-1.1103708149910001</v>
      </c>
      <c r="AE7105">
        <v>14.0203399999999</v>
      </c>
      <c r="AF7105">
        <v>2.6694059490479098</v>
      </c>
      <c r="AG7105">
        <v>-1.1103708149910001</v>
      </c>
      <c r="AH7105">
        <v>13.926579254405199</v>
      </c>
      <c r="AI7105">
        <v>94.477400771329897</v>
      </c>
      <c r="AJ7105">
        <v>79.149320257070002</v>
      </c>
      <c r="AK7105">
        <v>14.223510860431899</v>
      </c>
      <c r="AL7105">
        <v>83.547775047256295</v>
      </c>
      <c r="AM7105">
        <v>86.155132382499204</v>
      </c>
      <c r="AN7105">
        <v>0.99999997662365403</v>
      </c>
    </row>
    <row r="7106" spans="1:40" x14ac:dyDescent="0.25">
      <c r="A7106" t="str">
        <f>"20190312151202907"</f>
        <v>20190312151202907</v>
      </c>
      <c r="B7106" t="str">
        <f>"1552374722898033"</f>
        <v>1552374722898033</v>
      </c>
      <c r="C7106" t="s">
        <v>40</v>
      </c>
      <c r="D7106">
        <v>5.1815670000000003</v>
      </c>
      <c r="E7106">
        <v>0.54472640000000006</v>
      </c>
      <c r="F7106" t="s">
        <v>42</v>
      </c>
      <c r="G7106">
        <v>-183.6438</v>
      </c>
      <c r="H7106" s="1">
        <v>-1.991373E-6</v>
      </c>
      <c r="I7106">
        <v>90.530090000000001</v>
      </c>
      <c r="J7106">
        <v>-186.30680000000001</v>
      </c>
      <c r="K7106">
        <v>1.110368</v>
      </c>
      <c r="L7106">
        <v>76.423400000000001</v>
      </c>
      <c r="M7106">
        <v>-3.865935E-3</v>
      </c>
      <c r="N7106">
        <v>0</v>
      </c>
      <c r="O7106">
        <v>0.99991379999999996</v>
      </c>
      <c r="P7106">
        <v>6.4871180000000001E-2</v>
      </c>
      <c r="Q7106">
        <v>9.9268789999999996E-2</v>
      </c>
      <c r="R7106">
        <v>0.99294380000000004</v>
      </c>
      <c r="S7106">
        <v>0.55155940000000003</v>
      </c>
      <c r="T7106">
        <v>-0.23013600000000001</v>
      </c>
      <c r="U7106">
        <v>3.0092159999999999</v>
      </c>
      <c r="V7106">
        <v>6.8611220000000001E-2</v>
      </c>
      <c r="W7106">
        <v>0.1117833</v>
      </c>
      <c r="X7106">
        <v>0.99136120000000005</v>
      </c>
      <c r="Y7106">
        <v>0.18358050000000001</v>
      </c>
      <c r="Z7106">
        <v>-7.4984549999999997E-2</v>
      </c>
      <c r="AA7106">
        <v>0.98014060000000003</v>
      </c>
      <c r="AB7106">
        <v>41</v>
      </c>
      <c r="AC7106">
        <v>2.66300000000001</v>
      </c>
      <c r="AD7106">
        <v>-1.1103699913730001</v>
      </c>
      <c r="AE7106">
        <v>14.106689999999899</v>
      </c>
      <c r="AF7106">
        <v>2.7013592330398599</v>
      </c>
      <c r="AG7106">
        <v>-1.1103699913730001</v>
      </c>
      <c r="AH7106">
        <v>14.0124601494009</v>
      </c>
      <c r="AI7106">
        <v>94.449158234208596</v>
      </c>
      <c r="AJ7106">
        <v>79.088232568367204</v>
      </c>
      <c r="AK7106">
        <v>14.3136055088234</v>
      </c>
      <c r="AL7106">
        <v>83.581874885753194</v>
      </c>
      <c r="AM7106">
        <v>86.040923599067</v>
      </c>
      <c r="AN7106">
        <v>1.0000000172671</v>
      </c>
    </row>
    <row r="7107" spans="1:40" x14ac:dyDescent="0.25">
      <c r="A7107" t="str">
        <f>"20190312151202931"</f>
        <v>20190312151202931</v>
      </c>
      <c r="B7107" t="str">
        <f>"1552374722928289"</f>
        <v>1552374722928289</v>
      </c>
      <c r="C7107" t="s">
        <v>40</v>
      </c>
      <c r="D7107">
        <v>5.1768589999999897</v>
      </c>
      <c r="E7107">
        <v>0.54442760000000001</v>
      </c>
      <c r="F7107" t="s">
        <v>42</v>
      </c>
      <c r="G7107">
        <v>-183.61580000000001</v>
      </c>
      <c r="H7107" s="1">
        <v>-2.163358E-6</v>
      </c>
      <c r="I7107">
        <v>91.013530000000003</v>
      </c>
      <c r="J7107">
        <v>-186.30879999999999</v>
      </c>
      <c r="K7107">
        <v>1.1103670000000001</v>
      </c>
      <c r="L7107">
        <v>76.855869999999996</v>
      </c>
      <c r="M7107">
        <v>-4.2183669999999998E-3</v>
      </c>
      <c r="N7107">
        <v>0</v>
      </c>
      <c r="O7107">
        <v>0.99991229999999998</v>
      </c>
      <c r="P7107">
        <v>6.6021170000000004E-2</v>
      </c>
      <c r="Q7107">
        <v>9.9019179999999998E-2</v>
      </c>
      <c r="R7107">
        <v>0.99289289999999997</v>
      </c>
      <c r="S7107">
        <v>0.55479429999999996</v>
      </c>
      <c r="T7107">
        <v>-0.2289187</v>
      </c>
      <c r="U7107">
        <v>3.007965</v>
      </c>
      <c r="V7107">
        <v>7.0111060000000003E-2</v>
      </c>
      <c r="W7107">
        <v>0.11153689999999999</v>
      </c>
      <c r="X7107">
        <v>0.99128400000000005</v>
      </c>
      <c r="Y7107">
        <v>0.18502389999999999</v>
      </c>
      <c r="Z7107">
        <v>-7.4602979999999999E-2</v>
      </c>
      <c r="AA7107">
        <v>0.97989820000000005</v>
      </c>
      <c r="AB7107">
        <v>41</v>
      </c>
      <c r="AC7107">
        <v>2.6929999999999801</v>
      </c>
      <c r="AD7107">
        <v>-1.110369163358</v>
      </c>
      <c r="AE7107">
        <v>14.15766</v>
      </c>
      <c r="AF7107">
        <v>2.73645850779269</v>
      </c>
      <c r="AG7107">
        <v>-1.110369163358</v>
      </c>
      <c r="AH7107">
        <v>14.0626926862535</v>
      </c>
      <c r="AI7107">
        <v>94.431836283310602</v>
      </c>
      <c r="AJ7107">
        <v>78.988426858646093</v>
      </c>
      <c r="AK7107">
        <v>14.3694276306266</v>
      </c>
      <c r="AL7107">
        <v>83.596081326047894</v>
      </c>
      <c r="AM7107">
        <v>85.954348536659793</v>
      </c>
      <c r="AN7107">
        <v>1.0000000047259601</v>
      </c>
    </row>
    <row r="7108" spans="1:40" x14ac:dyDescent="0.25">
      <c r="A7108" t="str">
        <f>"20190312151202954"</f>
        <v>20190312151202954</v>
      </c>
      <c r="B7108" t="str">
        <f>"1552374722948786"</f>
        <v>1552374722948786</v>
      </c>
      <c r="C7108" t="s">
        <v>40</v>
      </c>
      <c r="D7108">
        <v>5.2042310000000001</v>
      </c>
      <c r="E7108">
        <v>0.54424629999999996</v>
      </c>
      <c r="F7108" t="s">
        <v>42</v>
      </c>
      <c r="G7108">
        <v>-183.5626</v>
      </c>
      <c r="H7108" s="1">
        <v>-2.4129779999999998E-6</v>
      </c>
      <c r="I7108">
        <v>91.705439999999996</v>
      </c>
      <c r="J7108">
        <v>-186.3109</v>
      </c>
      <c r="K7108">
        <v>1.110374</v>
      </c>
      <c r="L7108">
        <v>77.281099999999995</v>
      </c>
      <c r="M7108">
        <v>-4.5655460000000002E-3</v>
      </c>
      <c r="N7108">
        <v>0</v>
      </c>
      <c r="O7108">
        <v>0.99991070000000004</v>
      </c>
      <c r="P7108">
        <v>6.7328899999999997E-2</v>
      </c>
      <c r="Q7108">
        <v>9.8765909999999998E-2</v>
      </c>
      <c r="R7108">
        <v>0.99283030000000005</v>
      </c>
      <c r="S7108">
        <v>0.55609129999999996</v>
      </c>
      <c r="T7108">
        <v>-0.2248414</v>
      </c>
      <c r="U7108">
        <v>3.0069270000000001</v>
      </c>
      <c r="V7108">
        <v>7.1763259999999995E-2</v>
      </c>
      <c r="W7108">
        <v>0.1112891</v>
      </c>
      <c r="X7108">
        <v>0.99119360000000001</v>
      </c>
      <c r="Y7108">
        <v>0.18585160000000001</v>
      </c>
      <c r="Z7108">
        <v>-7.3297509999999996E-2</v>
      </c>
      <c r="AA7108">
        <v>0.97984009999999999</v>
      </c>
      <c r="AB7108">
        <v>41</v>
      </c>
      <c r="AC7108">
        <v>2.7483</v>
      </c>
      <c r="AD7108">
        <v>-1.110376412978</v>
      </c>
      <c r="AE7108">
        <v>14.4243399999999</v>
      </c>
      <c r="AF7108">
        <v>2.7981311628225098</v>
      </c>
      <c r="AG7108">
        <v>-1.110376412978</v>
      </c>
      <c r="AH7108">
        <v>14.3297005656124</v>
      </c>
      <c r="AI7108">
        <v>94.349053614027696</v>
      </c>
      <c r="AJ7108">
        <v>78.951002077152395</v>
      </c>
      <c r="AK7108">
        <v>14.642499516235899</v>
      </c>
      <c r="AL7108">
        <v>83.610368079077404</v>
      </c>
      <c r="AM7108">
        <v>85.858962338373502</v>
      </c>
      <c r="AN7108">
        <v>0.99999999097279801</v>
      </c>
    </row>
    <row r="7109" spans="1:40" x14ac:dyDescent="0.25">
      <c r="A7109" t="str">
        <f>"20190312151202975"</f>
        <v>20190312151202975</v>
      </c>
      <c r="B7109" t="str">
        <f>"1552374722968305"</f>
        <v>1552374722968305</v>
      </c>
      <c r="C7109" t="s">
        <v>40</v>
      </c>
      <c r="D7109">
        <v>5.2079430000000002</v>
      </c>
      <c r="E7109">
        <v>0.54418279999999997</v>
      </c>
      <c r="F7109" t="s">
        <v>42</v>
      </c>
      <c r="G7109">
        <v>-183.51660000000001</v>
      </c>
      <c r="H7109" s="1">
        <v>-2.629723E-6</v>
      </c>
      <c r="I7109">
        <v>92.306470000000004</v>
      </c>
      <c r="J7109">
        <v>-186.31299999999999</v>
      </c>
      <c r="K7109">
        <v>1.1103829999999999</v>
      </c>
      <c r="L7109">
        <v>77.668210000000002</v>
      </c>
      <c r="M7109">
        <v>-4.8825439999999999E-3</v>
      </c>
      <c r="N7109">
        <v>0</v>
      </c>
      <c r="O7109">
        <v>0.99990900000000005</v>
      </c>
      <c r="P7109">
        <v>6.8571060000000003E-2</v>
      </c>
      <c r="Q7109">
        <v>9.9024570000000006E-2</v>
      </c>
      <c r="R7109">
        <v>0.99271960000000004</v>
      </c>
      <c r="S7109">
        <v>0.55899049999999995</v>
      </c>
      <c r="T7109">
        <v>-0.2221311</v>
      </c>
      <c r="U7109">
        <v>3.0058289999999999</v>
      </c>
      <c r="V7109">
        <v>7.3319060000000005E-2</v>
      </c>
      <c r="W7109">
        <v>0.1115573</v>
      </c>
      <c r="X7109">
        <v>0.99104959999999997</v>
      </c>
      <c r="Y7109">
        <v>0.18715219999999999</v>
      </c>
      <c r="Z7109">
        <v>-7.2429149999999998E-2</v>
      </c>
      <c r="AA7109">
        <v>0.97965709999999995</v>
      </c>
      <c r="AB7109">
        <v>41</v>
      </c>
      <c r="AC7109">
        <v>2.79639999999997</v>
      </c>
      <c r="AD7109">
        <v>-1.1103856297229999</v>
      </c>
      <c r="AE7109">
        <v>14.638259999999899</v>
      </c>
      <c r="AF7109">
        <v>2.8520116242852902</v>
      </c>
      <c r="AG7109">
        <v>-1.1103856297229999</v>
      </c>
      <c r="AH7109">
        <v>14.543693097847401</v>
      </c>
      <c r="AI7109">
        <v>94.2846691417557</v>
      </c>
      <c r="AJ7109">
        <v>78.905111963747899</v>
      </c>
      <c r="AK7109">
        <v>14.8622318470722</v>
      </c>
      <c r="AL7109">
        <v>83.594905203119296</v>
      </c>
      <c r="AM7109">
        <v>85.7688962645895</v>
      </c>
      <c r="AN7109">
        <v>1.00000001270136</v>
      </c>
    </row>
    <row r="7110" spans="1:40" x14ac:dyDescent="0.25">
      <c r="A7110" t="str">
        <f>"20190312151202998"</f>
        <v>20190312151202998</v>
      </c>
      <c r="B7110" t="str">
        <f>"1552374722988801"</f>
        <v>1552374722988801</v>
      </c>
      <c r="C7110" t="s">
        <v>40</v>
      </c>
      <c r="D7110">
        <v>5.2023320000000002</v>
      </c>
      <c r="E7110">
        <v>0.54397320000000005</v>
      </c>
      <c r="F7110" t="s">
        <v>42</v>
      </c>
      <c r="G7110">
        <v>-183.4821</v>
      </c>
      <c r="H7110" s="1">
        <v>-2.8049219999999998E-6</v>
      </c>
      <c r="I7110">
        <v>92.794319999999999</v>
      </c>
      <c r="J7110">
        <v>-186.31540000000001</v>
      </c>
      <c r="K7110">
        <v>1.1103889999999901</v>
      </c>
      <c r="L7110">
        <v>78.094969999999904</v>
      </c>
      <c r="M7110">
        <v>-5.2306399999999999E-3</v>
      </c>
      <c r="N7110">
        <v>0</v>
      </c>
      <c r="O7110">
        <v>0.99990699999999999</v>
      </c>
      <c r="P7110">
        <v>7.0040729999999995E-2</v>
      </c>
      <c r="Q7110">
        <v>9.9094340000000003E-2</v>
      </c>
      <c r="R7110">
        <v>0.99260999999999999</v>
      </c>
      <c r="S7110">
        <v>0.56240840000000003</v>
      </c>
      <c r="T7110">
        <v>-0.2206043</v>
      </c>
      <c r="U7110">
        <v>3.0051570000000001</v>
      </c>
      <c r="V7110">
        <v>7.5133099999999994E-2</v>
      </c>
      <c r="W7110">
        <v>0.11164739999999999</v>
      </c>
      <c r="X7110">
        <v>0.9909036</v>
      </c>
      <c r="Y7110">
        <v>0.1886167</v>
      </c>
      <c r="Z7110">
        <v>-7.1931869999999995E-2</v>
      </c>
      <c r="AA7110">
        <v>0.97941290000000003</v>
      </c>
      <c r="AB7110">
        <v>41</v>
      </c>
      <c r="AC7110">
        <v>2.8332999999999999</v>
      </c>
      <c r="AD7110">
        <v>-1.1103918049219901</v>
      </c>
      <c r="AE7110">
        <v>14.699350000000001</v>
      </c>
      <c r="AF7110">
        <v>2.8942305419998702</v>
      </c>
      <c r="AG7110">
        <v>-1.1103918049219901</v>
      </c>
      <c r="AH7110">
        <v>14.603977943097201</v>
      </c>
      <c r="AI7110">
        <v>94.265392380189795</v>
      </c>
      <c r="AJ7110">
        <v>78.790316563675702</v>
      </c>
      <c r="AK7110">
        <v>14.929357392505199</v>
      </c>
      <c r="AL7110">
        <v>83.589710541993199</v>
      </c>
      <c r="AM7110">
        <v>85.663969452067406</v>
      </c>
      <c r="AN7110">
        <v>1.0000000345676601</v>
      </c>
    </row>
    <row r="7111" spans="1:40" x14ac:dyDescent="0.25">
      <c r="A7111" t="str">
        <f>"20190312151203020"</f>
        <v>20190312151203020</v>
      </c>
      <c r="B7111" t="str">
        <f>"1552374723008321"</f>
        <v>1552374723008321</v>
      </c>
      <c r="C7111" t="s">
        <v>40</v>
      </c>
      <c r="D7111">
        <v>5.1637559999999896</v>
      </c>
      <c r="E7111">
        <v>0.52514110000000003</v>
      </c>
      <c r="F7111" t="s">
        <v>42</v>
      </c>
      <c r="G7111">
        <v>-183.47479999999999</v>
      </c>
      <c r="H7111" s="1">
        <v>-2.9430949999999999E-6</v>
      </c>
      <c r="I7111">
        <v>93.194590000000005</v>
      </c>
      <c r="J7111">
        <v>-186.31780000000001</v>
      </c>
      <c r="K7111">
        <v>1.110398</v>
      </c>
      <c r="L7111">
        <v>78.500489999999999</v>
      </c>
      <c r="M7111">
        <v>-5.5579419999999997E-3</v>
      </c>
      <c r="N7111">
        <v>0</v>
      </c>
      <c r="O7111">
        <v>0.99990489999999999</v>
      </c>
      <c r="P7111">
        <v>7.1499839999999995E-2</v>
      </c>
      <c r="Q7111">
        <v>9.9744860000000005E-2</v>
      </c>
      <c r="R7111">
        <v>0.99244080000000001</v>
      </c>
      <c r="S7111">
        <v>0.5652161</v>
      </c>
      <c r="T7111">
        <v>-0.22094539999999999</v>
      </c>
      <c r="U7111">
        <v>3.0045169999999999</v>
      </c>
      <c r="V7111">
        <v>7.6915029999999995E-2</v>
      </c>
      <c r="W7111">
        <v>0.11232259999999999</v>
      </c>
      <c r="X7111">
        <v>0.99069050000000003</v>
      </c>
      <c r="Y7111">
        <v>0.18985830000000001</v>
      </c>
      <c r="Z7111">
        <v>-7.2042499999999995E-2</v>
      </c>
      <c r="AA7111">
        <v>0.97916479999999995</v>
      </c>
      <c r="AB7111">
        <v>41</v>
      </c>
      <c r="AC7111">
        <v>2.8430000000000102</v>
      </c>
      <c r="AD7111">
        <v>-1.1104009430949999</v>
      </c>
      <c r="AE7111">
        <v>14.694100000000001</v>
      </c>
      <c r="AF7111">
        <v>2.9086212122526298</v>
      </c>
      <c r="AG7111">
        <v>-1.1104009430949999</v>
      </c>
      <c r="AH7111">
        <v>14.597718256477901</v>
      </c>
      <c r="AI7111">
        <v>94.266379468471101</v>
      </c>
      <c r="AJ7111">
        <v>78.731294965735003</v>
      </c>
      <c r="AK7111">
        <v>14.9260324904611</v>
      </c>
      <c r="AL7111">
        <v>83.550779183042707</v>
      </c>
      <c r="AM7111">
        <v>85.560587198672394</v>
      </c>
      <c r="AN7111">
        <v>0.999999977550455</v>
      </c>
    </row>
    <row r="7112" spans="1:40" x14ac:dyDescent="0.25">
      <c r="A7112" t="str">
        <f>"20190312151203041"</f>
        <v>20190312151203041</v>
      </c>
      <c r="B7112" t="str">
        <f>"1552374723038577"</f>
        <v>1552374723038577</v>
      </c>
      <c r="C7112" t="s">
        <v>40</v>
      </c>
      <c r="D7112">
        <v>5.2306269999999904</v>
      </c>
      <c r="E7112">
        <v>0.52563559999999998</v>
      </c>
      <c r="F7112" t="s">
        <v>41</v>
      </c>
      <c r="G7112">
        <v>-186.17230000000001</v>
      </c>
      <c r="H7112">
        <v>0.99260590000000004</v>
      </c>
      <c r="I7112">
        <v>79.545850000000002</v>
      </c>
      <c r="J7112">
        <v>-186.3203</v>
      </c>
      <c r="K7112">
        <v>1.1104039999999999</v>
      </c>
      <c r="L7112">
        <v>78.898799999999994</v>
      </c>
      <c r="M7112">
        <v>-5.8749079999999999E-3</v>
      </c>
      <c r="N7112">
        <v>0</v>
      </c>
      <c r="O7112">
        <v>0.99990270000000003</v>
      </c>
      <c r="P7112">
        <v>7.2851490000000005E-2</v>
      </c>
      <c r="Q7112">
        <v>0.1000481</v>
      </c>
      <c r="R7112">
        <v>0.99231199999999997</v>
      </c>
      <c r="S7112">
        <v>0.42086790000000002</v>
      </c>
      <c r="T7112">
        <v>-0.34109430000000002</v>
      </c>
      <c r="U7112">
        <v>3.0268250000000001</v>
      </c>
      <c r="V7112">
        <v>7.8580040000000004E-2</v>
      </c>
      <c r="W7112">
        <v>0.11265849999999999</v>
      </c>
      <c r="X7112">
        <v>0.99052169999999895</v>
      </c>
      <c r="Y7112">
        <v>0.1426887</v>
      </c>
      <c r="Z7112">
        <v>-0.11087900000000001</v>
      </c>
      <c r="AA7112">
        <v>0.98353740000000001</v>
      </c>
      <c r="AB7112">
        <v>41</v>
      </c>
      <c r="AC7112">
        <v>0.147999999999996</v>
      </c>
      <c r="AD7112">
        <v>-0.1177981</v>
      </c>
      <c r="AE7112">
        <v>0.64705000000000701</v>
      </c>
      <c r="AF7112">
        <v>0.147164044602897</v>
      </c>
      <c r="AG7112">
        <v>-0.1177981</v>
      </c>
      <c r="AH7112">
        <v>0.62643901371279398</v>
      </c>
      <c r="AI7112">
        <v>100.37373068258</v>
      </c>
      <c r="AJ7112">
        <v>76.779706720035193</v>
      </c>
      <c r="AK7112">
        <v>0.65418612511192198</v>
      </c>
      <c r="AL7112">
        <v>83.531410734654898</v>
      </c>
      <c r="AM7112">
        <v>85.464112522559603</v>
      </c>
      <c r="AN7112">
        <v>0.99999999923977001</v>
      </c>
    </row>
    <row r="7113" spans="1:40" x14ac:dyDescent="0.25">
      <c r="A7113" t="str">
        <f>"20190312151203063"</f>
        <v>20190312151203063</v>
      </c>
      <c r="B7113" t="str">
        <f>"1552374723058097"</f>
        <v>1552374723058097</v>
      </c>
      <c r="C7113" t="s">
        <v>40</v>
      </c>
      <c r="D7113">
        <v>5.206588</v>
      </c>
      <c r="E7113">
        <v>0.52390009999999998</v>
      </c>
      <c r="F7113" t="s">
        <v>41</v>
      </c>
      <c r="G7113">
        <v>-186.17529999999999</v>
      </c>
      <c r="H7113">
        <v>1.0045090000000001</v>
      </c>
      <c r="I7113">
        <v>79.921970000000002</v>
      </c>
      <c r="J7113">
        <v>-186.32320000000001</v>
      </c>
      <c r="K7113">
        <v>1.1104099999999999</v>
      </c>
      <c r="L7113">
        <v>79.321559999999906</v>
      </c>
      <c r="M7113">
        <v>-6.2077929999999996E-3</v>
      </c>
      <c r="N7113">
        <v>0</v>
      </c>
      <c r="O7113">
        <v>0.99990020000000002</v>
      </c>
      <c r="P7113">
        <v>7.3927889999999996E-2</v>
      </c>
      <c r="Q7113">
        <v>0.1001471</v>
      </c>
      <c r="R7113">
        <v>0.99222239999999995</v>
      </c>
      <c r="S7113">
        <v>0.42837520000000001</v>
      </c>
      <c r="T7113">
        <v>-0.31293559999999998</v>
      </c>
      <c r="U7113">
        <v>3.0233460000000001</v>
      </c>
      <c r="V7113">
        <v>7.9986329999999994E-2</v>
      </c>
      <c r="W7113">
        <v>0.1127988</v>
      </c>
      <c r="X7113">
        <v>0.99039319999999997</v>
      </c>
      <c r="Y7113">
        <v>0.14570169999999999</v>
      </c>
      <c r="Z7113">
        <v>-0.1019004</v>
      </c>
      <c r="AA7113">
        <v>0.98406669999999996</v>
      </c>
      <c r="AB7113">
        <v>41</v>
      </c>
      <c r="AC7113">
        <v>0.14790000000002099</v>
      </c>
      <c r="AD7113">
        <v>-0.105901</v>
      </c>
      <c r="AE7113">
        <v>0.60041000000000999</v>
      </c>
      <c r="AF7113">
        <v>0.147304158987725</v>
      </c>
      <c r="AG7113">
        <v>-0.105901</v>
      </c>
      <c r="AH7113">
        <v>0.58239816446613102</v>
      </c>
      <c r="AI7113">
        <v>99.997658200046104</v>
      </c>
      <c r="AJ7113">
        <v>75.806031491080901</v>
      </c>
      <c r="AK7113">
        <v>0.61000095002352295</v>
      </c>
      <c r="AL7113">
        <v>83.523320810472498</v>
      </c>
      <c r="AM7113">
        <v>85.382688462710107</v>
      </c>
      <c r="AN7113">
        <v>1.0000000364372701</v>
      </c>
    </row>
    <row r="7114" spans="1:40" x14ac:dyDescent="0.25">
      <c r="A7114" t="str">
        <f>"20190312151203087"</f>
        <v>20190312151203087</v>
      </c>
      <c r="B7114" t="str">
        <f>"1552374723078593"</f>
        <v>1552374723078593</v>
      </c>
      <c r="C7114" t="s">
        <v>40</v>
      </c>
      <c r="D7114">
        <v>5.5255780000000003</v>
      </c>
      <c r="E7114">
        <v>0.52357319999999996</v>
      </c>
      <c r="F7114" t="s">
        <v>41</v>
      </c>
      <c r="G7114">
        <v>-186.18860000000001</v>
      </c>
      <c r="H7114">
        <v>1.010019</v>
      </c>
      <c r="I7114">
        <v>80.294669999999996</v>
      </c>
      <c r="J7114">
        <v>-186.3262</v>
      </c>
      <c r="K7114">
        <v>1.1104229999999999</v>
      </c>
      <c r="L7114">
        <v>79.75085</v>
      </c>
      <c r="M7114">
        <v>-6.5435980000000003E-3</v>
      </c>
      <c r="N7114">
        <v>0</v>
      </c>
      <c r="O7114">
        <v>0.99989740000000005</v>
      </c>
      <c r="P7114">
        <v>7.5097990000000003E-2</v>
      </c>
      <c r="Q7114">
        <v>0.1002325</v>
      </c>
      <c r="R7114">
        <v>0.99212590000000001</v>
      </c>
      <c r="S7114">
        <v>0.41755680000000001</v>
      </c>
      <c r="T7114">
        <v>-0.31202010000000002</v>
      </c>
      <c r="U7114">
        <v>3.023895</v>
      </c>
      <c r="V7114">
        <v>8.1489880000000001E-2</v>
      </c>
      <c r="W7114">
        <v>0.1129309</v>
      </c>
      <c r="X7114">
        <v>0.99025549999999996</v>
      </c>
      <c r="Y7114">
        <v>0.14255899999999999</v>
      </c>
      <c r="Z7114">
        <v>-0.10163519999999999</v>
      </c>
      <c r="AA7114">
        <v>0.98455440000000005</v>
      </c>
      <c r="AB7114">
        <v>41</v>
      </c>
      <c r="AC7114">
        <v>0.13759999999999101</v>
      </c>
      <c r="AD7114">
        <v>-0.10040399999999899</v>
      </c>
      <c r="AE7114">
        <v>0.54381999999999597</v>
      </c>
      <c r="AF7114">
        <v>0.13677415536131399</v>
      </c>
      <c r="AG7114">
        <v>-0.10040399999999899</v>
      </c>
      <c r="AH7114">
        <v>0.52605506832096605</v>
      </c>
      <c r="AI7114">
        <v>100.46574399877299</v>
      </c>
      <c r="AJ7114">
        <v>75.425800370134596</v>
      </c>
      <c r="AK7114">
        <v>0.55274050665477503</v>
      </c>
      <c r="AL7114">
        <v>83.515702945825495</v>
      </c>
      <c r="AM7114">
        <v>85.295628889765197</v>
      </c>
      <c r="AN7114">
        <v>0.99999997199873603</v>
      </c>
    </row>
    <row r="7115" spans="1:40" x14ac:dyDescent="0.25">
      <c r="A7115" t="str">
        <f>"20190312151203108"</f>
        <v>20190312151203108</v>
      </c>
      <c r="B7115" t="str">
        <f>"1552374723098117"</f>
        <v>1552374723098117</v>
      </c>
      <c r="C7115" t="s">
        <v>40</v>
      </c>
      <c r="D7115">
        <v>5.2440689999999996</v>
      </c>
      <c r="E7115">
        <v>0.52358590000000005</v>
      </c>
      <c r="F7115" t="s">
        <v>41</v>
      </c>
      <c r="G7115">
        <v>-186.19890000000001</v>
      </c>
      <c r="H7115">
        <v>1.020629</v>
      </c>
      <c r="I7115">
        <v>80.669809999999998</v>
      </c>
      <c r="J7115">
        <v>-186.32910000000001</v>
      </c>
      <c r="K7115">
        <v>1.11043</v>
      </c>
      <c r="L7115">
        <v>80.149379999999994</v>
      </c>
      <c r="M7115">
        <v>-6.8516130000000003E-3</v>
      </c>
      <c r="N7115">
        <v>0</v>
      </c>
      <c r="O7115">
        <v>0.99989470000000003</v>
      </c>
      <c r="P7115">
        <v>7.6413560000000005E-2</v>
      </c>
      <c r="Q7115">
        <v>0.10019749999999999</v>
      </c>
      <c r="R7115">
        <v>0.99202900000000005</v>
      </c>
      <c r="S7115">
        <v>0.41807559999999999</v>
      </c>
      <c r="T7115">
        <v>-0.29532209999999998</v>
      </c>
      <c r="U7115">
        <v>3.021973</v>
      </c>
      <c r="V7115">
        <v>8.3112019999999995E-2</v>
      </c>
      <c r="W7115">
        <v>0.1129447</v>
      </c>
      <c r="X7115">
        <v>0.99011919999999998</v>
      </c>
      <c r="Y7115">
        <v>0.14318719999999999</v>
      </c>
      <c r="Z7115">
        <v>-9.6302670000000007E-2</v>
      </c>
      <c r="AA7115">
        <v>0.98499910000000002</v>
      </c>
      <c r="AB7115">
        <v>41</v>
      </c>
      <c r="AC7115">
        <v>0.13020000000000201</v>
      </c>
      <c r="AD7115">
        <v>-8.9801000000000006E-2</v>
      </c>
      <c r="AE7115">
        <v>0.52042999999998996</v>
      </c>
      <c r="AF7115">
        <v>0.130117102857846</v>
      </c>
      <c r="AG7115">
        <v>-8.9801000000000006E-2</v>
      </c>
      <c r="AH7115">
        <v>0.50536515746517796</v>
      </c>
      <c r="AI7115">
        <v>99.763998436352907</v>
      </c>
      <c r="AJ7115">
        <v>75.561568647801494</v>
      </c>
      <c r="AK7115">
        <v>0.52951734857030297</v>
      </c>
      <c r="AL7115">
        <v>83.514907821873393</v>
      </c>
      <c r="AM7115">
        <v>85.201759054746304</v>
      </c>
      <c r="AN7115">
        <v>1.0000000716676001</v>
      </c>
    </row>
    <row r="7116" spans="1:40" x14ac:dyDescent="0.25">
      <c r="A7116" t="str">
        <f>"20190312151203132"</f>
        <v>20190312151203132</v>
      </c>
      <c r="B7116" t="str">
        <f>"1552374723128370"</f>
        <v>1552374723128370</v>
      </c>
      <c r="C7116" t="s">
        <v>40</v>
      </c>
      <c r="D7116">
        <v>5.1974119999999999</v>
      </c>
      <c r="E7116">
        <v>0.52328189999999997</v>
      </c>
      <c r="F7116" t="s">
        <v>41</v>
      </c>
      <c r="G7116">
        <v>-186.20429999999999</v>
      </c>
      <c r="H7116">
        <v>1.0250300000000001</v>
      </c>
      <c r="I7116">
        <v>81.041960000000003</v>
      </c>
      <c r="J7116">
        <v>-186.33240000000001</v>
      </c>
      <c r="K7116">
        <v>1.1104320000000001</v>
      </c>
      <c r="L7116">
        <v>80.582179999999994</v>
      </c>
      <c r="M7116">
        <v>-7.1776919999999899E-3</v>
      </c>
      <c r="N7116">
        <v>0</v>
      </c>
      <c r="O7116">
        <v>0.99989159999999999</v>
      </c>
      <c r="P7116">
        <v>7.7746499999999996E-2</v>
      </c>
      <c r="Q7116">
        <v>0.1000545</v>
      </c>
      <c r="R7116">
        <v>0.99193980000000004</v>
      </c>
      <c r="S7116">
        <v>0.42156979999999999</v>
      </c>
      <c r="T7116">
        <v>-0.28908850000000003</v>
      </c>
      <c r="U7116">
        <v>3.020813</v>
      </c>
      <c r="V7116">
        <v>8.4770730000000002E-2</v>
      </c>
      <c r="W7116">
        <v>0.1128608</v>
      </c>
      <c r="X7116">
        <v>0.98998810000000004</v>
      </c>
      <c r="Y7116">
        <v>0.14470529999999901</v>
      </c>
      <c r="Z7116">
        <v>-9.4305730000000004E-2</v>
      </c>
      <c r="AA7116">
        <v>0.98497049999999997</v>
      </c>
      <c r="AB7116">
        <v>41</v>
      </c>
      <c r="AC7116">
        <v>0.12810000000001701</v>
      </c>
      <c r="AD7116">
        <v>-8.5401999999999895E-2</v>
      </c>
      <c r="AE7116">
        <v>0.45977999999999503</v>
      </c>
      <c r="AF7116">
        <v>0.12732081472002699</v>
      </c>
      <c r="AG7116">
        <v>-8.5401999999999895E-2</v>
      </c>
      <c r="AH7116">
        <v>0.444613812318365</v>
      </c>
      <c r="AI7116">
        <v>100.46233178598099</v>
      </c>
      <c r="AJ7116">
        <v>74.020262109246104</v>
      </c>
      <c r="AK7116">
        <v>0.47030366102045401</v>
      </c>
      <c r="AL7116">
        <v>83.519745649289803</v>
      </c>
      <c r="AM7116">
        <v>85.105813667927706</v>
      </c>
      <c r="AN7116">
        <v>1.0000000374914899</v>
      </c>
    </row>
    <row r="7117" spans="1:40" x14ac:dyDescent="0.25">
      <c r="A7117" t="str">
        <f>"20190312151203154"</f>
        <v>20190312151203154</v>
      </c>
      <c r="B7117" t="str">
        <f>"1552374723148866"</f>
        <v>1552374723148866</v>
      </c>
      <c r="C7117" t="s">
        <v>40</v>
      </c>
      <c r="D7117">
        <v>5.1985049999999999</v>
      </c>
      <c r="E7117">
        <v>0.5233584</v>
      </c>
      <c r="F7117" t="s">
        <v>41</v>
      </c>
      <c r="G7117">
        <v>-186.21559999999999</v>
      </c>
      <c r="H7117">
        <v>1.031882</v>
      </c>
      <c r="I7117">
        <v>81.415019999999998</v>
      </c>
      <c r="J7117">
        <v>-186.3356</v>
      </c>
      <c r="K7117">
        <v>1.1104309999999999</v>
      </c>
      <c r="L7117">
        <v>80.988950000000003</v>
      </c>
      <c r="M7117">
        <v>-7.4682699999999999E-3</v>
      </c>
      <c r="N7117">
        <v>0</v>
      </c>
      <c r="O7117">
        <v>0.99988869999999996</v>
      </c>
      <c r="P7117">
        <v>7.9026819999999998E-2</v>
      </c>
      <c r="Q7117">
        <v>0.1001166</v>
      </c>
      <c r="R7117">
        <v>0.99183239999999995</v>
      </c>
      <c r="S7117">
        <v>0.4230042</v>
      </c>
      <c r="T7117">
        <v>-0.28485139999999998</v>
      </c>
      <c r="U7117">
        <v>3.0199579999999999</v>
      </c>
      <c r="V7117">
        <v>8.6342520000000006E-2</v>
      </c>
      <c r="W7117">
        <v>0.1129826</v>
      </c>
      <c r="X7117">
        <v>0.98983829999999995</v>
      </c>
      <c r="Y7117">
        <v>0.14550739999999901</v>
      </c>
      <c r="Z7117">
        <v>-9.2952679999999996E-2</v>
      </c>
      <c r="AA7117">
        <v>0.98498090000000005</v>
      </c>
      <c r="AB7117">
        <v>41</v>
      </c>
      <c r="AC7117">
        <v>0.12000000000000401</v>
      </c>
      <c r="AD7117">
        <v>-7.8548999999999897E-2</v>
      </c>
      <c r="AE7117">
        <v>0.42606999999999501</v>
      </c>
      <c r="AF7117">
        <v>0.119418477738166</v>
      </c>
      <c r="AG7117">
        <v>-7.8548999999999897E-2</v>
      </c>
      <c r="AH7117">
        <v>0.41218236902337202</v>
      </c>
      <c r="AI7117">
        <v>100.372662242727</v>
      </c>
      <c r="AJ7117">
        <v>73.842511904679</v>
      </c>
      <c r="AK7117">
        <v>0.43626256263862501</v>
      </c>
      <c r="AL7117">
        <v>83.512721721768003</v>
      </c>
      <c r="AM7117">
        <v>85.014769831453904</v>
      </c>
      <c r="AN7117">
        <v>0.99999997940479901</v>
      </c>
    </row>
    <row r="7118" spans="1:40" x14ac:dyDescent="0.25">
      <c r="A7118" t="str">
        <f>"20190312151203177"</f>
        <v>20190312151203177</v>
      </c>
      <c r="B7118" t="str">
        <f>"1552374723168386"</f>
        <v>1552374723168386</v>
      </c>
      <c r="C7118" t="s">
        <v>40</v>
      </c>
      <c r="D7118">
        <v>5.173584</v>
      </c>
      <c r="E7118">
        <v>0.52344579999999996</v>
      </c>
      <c r="F7118" t="s">
        <v>41</v>
      </c>
      <c r="G7118">
        <v>-186.2225</v>
      </c>
      <c r="H7118">
        <v>1.0362880000000001</v>
      </c>
      <c r="I7118">
        <v>81.786869999999993</v>
      </c>
      <c r="J7118">
        <v>-186.3389</v>
      </c>
      <c r="K7118">
        <v>1.1104149999999999</v>
      </c>
      <c r="L7118">
        <v>81.4024</v>
      </c>
      <c r="M7118">
        <v>-7.7386709999999999E-3</v>
      </c>
      <c r="N7118">
        <v>0</v>
      </c>
      <c r="O7118">
        <v>0.99988569999999999</v>
      </c>
      <c r="P7118">
        <v>8.0460950000000003E-2</v>
      </c>
      <c r="Q7118">
        <v>9.992608E-2</v>
      </c>
      <c r="R7118">
        <v>0.99173630000000002</v>
      </c>
      <c r="S7118">
        <v>0.42739870000000002</v>
      </c>
      <c r="T7118">
        <v>-0.28057599999999999</v>
      </c>
      <c r="U7118">
        <v>3.0189819999999998</v>
      </c>
      <c r="V7118">
        <v>8.8050160000000002E-2</v>
      </c>
      <c r="W7118">
        <v>0.1128547</v>
      </c>
      <c r="X7118">
        <v>0.98970250000000004</v>
      </c>
      <c r="Y7118">
        <v>0.14724229999999899</v>
      </c>
      <c r="Z7118">
        <v>-9.1577259999999994E-2</v>
      </c>
      <c r="AA7118">
        <v>0.9848519</v>
      </c>
      <c r="AB7118">
        <v>41</v>
      </c>
      <c r="AC7118">
        <v>0.11639999999999801</v>
      </c>
      <c r="AD7118">
        <v>-7.4126999999999998E-2</v>
      </c>
      <c r="AE7118">
        <v>0.38446999999999298</v>
      </c>
      <c r="AF7118">
        <v>0.11544107219778001</v>
      </c>
      <c r="AG7118">
        <v>-7.4126999999999998E-2</v>
      </c>
      <c r="AH7118">
        <v>0.37092688944310298</v>
      </c>
      <c r="AI7118">
        <v>100.80302972285</v>
      </c>
      <c r="AJ7118">
        <v>72.712643712304896</v>
      </c>
      <c r="AK7118">
        <v>0.39548477921546998</v>
      </c>
      <c r="AL7118">
        <v>83.5200973276431</v>
      </c>
      <c r="AM7118">
        <v>84.915992157073504</v>
      </c>
      <c r="AN7118">
        <v>1.00000002624718</v>
      </c>
    </row>
    <row r="7119" spans="1:40" x14ac:dyDescent="0.25">
      <c r="A7119" t="str">
        <f>"20190312151203198"</f>
        <v>20190312151203198</v>
      </c>
      <c r="B7119" t="str">
        <f>"1552374723188881"</f>
        <v>1552374723188881</v>
      </c>
      <c r="C7119" t="s">
        <v>40</v>
      </c>
      <c r="D7119">
        <v>5.2092000000000001</v>
      </c>
      <c r="E7119">
        <v>0.52341599999999999</v>
      </c>
      <c r="F7119" t="s">
        <v>41</v>
      </c>
      <c r="G7119">
        <v>-186.23070000000001</v>
      </c>
      <c r="H7119">
        <v>1.039256</v>
      </c>
      <c r="I7119">
        <v>82.15804</v>
      </c>
      <c r="J7119">
        <v>-186.34229999999999</v>
      </c>
      <c r="K7119">
        <v>1.110395</v>
      </c>
      <c r="L7119">
        <v>81.811040000000006</v>
      </c>
      <c r="M7119">
        <v>-7.9674619999999998E-3</v>
      </c>
      <c r="N7119">
        <v>0</v>
      </c>
      <c r="O7119">
        <v>0.99988310000000002</v>
      </c>
      <c r="P7119">
        <v>8.2664559999999998E-2</v>
      </c>
      <c r="Q7119">
        <v>9.9773760000000003E-2</v>
      </c>
      <c r="R7119">
        <v>0.99157039999999996</v>
      </c>
      <c r="S7119">
        <v>0.43220520000000001</v>
      </c>
      <c r="T7119">
        <v>-0.28425810000000001</v>
      </c>
      <c r="U7119">
        <v>3.0185550000000001</v>
      </c>
      <c r="V7119">
        <v>9.0487369999999998E-2</v>
      </c>
      <c r="W7119">
        <v>0.1127623</v>
      </c>
      <c r="X7119">
        <v>0.98949310000000001</v>
      </c>
      <c r="Y7119">
        <v>0.14900920000000001</v>
      </c>
      <c r="Z7119">
        <v>-9.2758690000000005E-2</v>
      </c>
      <c r="AA7119">
        <v>0.98447560000000001</v>
      </c>
      <c r="AB7119">
        <v>41</v>
      </c>
      <c r="AC7119">
        <v>0.11159999999998101</v>
      </c>
      <c r="AD7119">
        <v>-7.1138999999999994E-2</v>
      </c>
      <c r="AE7119">
        <v>0.34699999999999398</v>
      </c>
      <c r="AF7119">
        <v>0.110165221608125</v>
      </c>
      <c r="AG7119">
        <v>-7.1138999999999994E-2</v>
      </c>
      <c r="AH7119">
        <v>0.33340055192874701</v>
      </c>
      <c r="AI7119">
        <v>101.45310852989201</v>
      </c>
      <c r="AJ7119">
        <v>71.714945229862494</v>
      </c>
      <c r="AK7119">
        <v>0.358263954926198</v>
      </c>
      <c r="AL7119">
        <v>83.525424957589706</v>
      </c>
      <c r="AM7119">
        <v>84.774936687223203</v>
      </c>
      <c r="AN7119">
        <v>0.99999994768920697</v>
      </c>
    </row>
    <row r="7120" spans="1:40" x14ac:dyDescent="0.25">
      <c r="A7120" t="str">
        <f>"20190312151203231"</f>
        <v>20190312151203231</v>
      </c>
      <c r="B7120" t="str">
        <f>"1552374723228897"</f>
        <v>1552374723228897</v>
      </c>
      <c r="C7120" t="s">
        <v>40</v>
      </c>
      <c r="D7120">
        <v>5.1680250000000001</v>
      </c>
      <c r="E7120">
        <v>0.52329740000000002</v>
      </c>
      <c r="F7120" t="s">
        <v>41</v>
      </c>
      <c r="G7120">
        <v>-186.18629999999999</v>
      </c>
      <c r="H7120">
        <v>1.0090349999999999</v>
      </c>
      <c r="I7120">
        <v>82.883160000000004</v>
      </c>
      <c r="J7120">
        <v>-186.34739999999999</v>
      </c>
      <c r="K7120">
        <v>1.1103559999999999</v>
      </c>
      <c r="L7120">
        <v>82.415369999999996</v>
      </c>
      <c r="M7120">
        <v>-8.2173860000000001E-3</v>
      </c>
      <c r="N7120">
        <v>0</v>
      </c>
      <c r="O7120">
        <v>0.99987969999999904</v>
      </c>
      <c r="P7120">
        <v>8.4688659999999999E-2</v>
      </c>
      <c r="Q7120">
        <v>9.9831409999999995E-2</v>
      </c>
      <c r="R7120">
        <v>0.99139370000000004</v>
      </c>
      <c r="S7120">
        <v>0.43898009999999899</v>
      </c>
      <c r="T7120">
        <v>-0.28527979999999997</v>
      </c>
      <c r="U7120">
        <v>3.0176090000000002</v>
      </c>
      <c r="V7120">
        <v>9.2772809999999997E-2</v>
      </c>
      <c r="W7120">
        <v>0.1129016</v>
      </c>
      <c r="X7120">
        <v>0.98926559999999997</v>
      </c>
      <c r="Y7120">
        <v>0.15145999999999901</v>
      </c>
      <c r="Z7120">
        <v>-9.3085340000000003E-2</v>
      </c>
      <c r="AA7120">
        <v>0.98407069999999996</v>
      </c>
      <c r="AB7120">
        <v>41</v>
      </c>
      <c r="AC7120">
        <v>0.16110000000000399</v>
      </c>
      <c r="AD7120">
        <v>-0.101320999999999</v>
      </c>
      <c r="AE7120">
        <v>0.46779000000000698</v>
      </c>
      <c r="AF7120">
        <v>0.15829990705993</v>
      </c>
      <c r="AG7120">
        <v>-0.101320999999999</v>
      </c>
      <c r="AH7120">
        <v>0.44767506316696598</v>
      </c>
      <c r="AI7120">
        <v>102.045122266729</v>
      </c>
      <c r="AJ7120">
        <v>70.5261775430249</v>
      </c>
      <c r="AK7120">
        <v>0.485528338820434</v>
      </c>
      <c r="AL7120">
        <v>83.517392677047297</v>
      </c>
      <c r="AM7120">
        <v>84.642500802046001</v>
      </c>
      <c r="AN7120">
        <v>0.999999996450608</v>
      </c>
    </row>
    <row r="7121" spans="1:40" x14ac:dyDescent="0.25">
      <c r="A7121" t="str">
        <f>"20190312151203253"</f>
        <v>20190312151203253</v>
      </c>
      <c r="B7121" t="str">
        <f>"1552374723248418"</f>
        <v>1552374723248418</v>
      </c>
      <c r="C7121" t="s">
        <v>40</v>
      </c>
      <c r="D7121">
        <v>5.1665449999999904</v>
      </c>
      <c r="E7121">
        <v>0.52325010000000005</v>
      </c>
      <c r="F7121" t="s">
        <v>41</v>
      </c>
      <c r="G7121">
        <v>-186.2226</v>
      </c>
      <c r="H7121">
        <v>1.03016</v>
      </c>
      <c r="I7121">
        <v>83.261409999999998</v>
      </c>
      <c r="J7121">
        <v>-186.35079999999999</v>
      </c>
      <c r="K7121">
        <v>1.1103229999999999</v>
      </c>
      <c r="L7121">
        <v>82.817750000000004</v>
      </c>
      <c r="M7121">
        <v>-8.3329649999999995E-3</v>
      </c>
      <c r="N7121">
        <v>0</v>
      </c>
      <c r="O7121">
        <v>0.99987800000000004</v>
      </c>
      <c r="P7121">
        <v>8.5982390000000006E-2</v>
      </c>
      <c r="Q7121">
        <v>0.10015010000000001</v>
      </c>
      <c r="R7121">
        <v>0.99125019999999997</v>
      </c>
      <c r="S7121">
        <v>0.44456479999999998</v>
      </c>
      <c r="T7121">
        <v>-0.28598059999999997</v>
      </c>
      <c r="U7121">
        <v>3.0168460000000001</v>
      </c>
      <c r="V7121">
        <v>9.4190259999999998E-2</v>
      </c>
      <c r="W7121">
        <v>0.1132682</v>
      </c>
      <c r="X7121">
        <v>0.98908969999999896</v>
      </c>
      <c r="Y7121">
        <v>0.15338979999999999</v>
      </c>
      <c r="Z7121">
        <v>-9.3308699999999994E-2</v>
      </c>
      <c r="AA7121">
        <v>0.98375049999999997</v>
      </c>
      <c r="AB7121">
        <v>41</v>
      </c>
      <c r="AC7121">
        <v>0.12819999999999199</v>
      </c>
      <c r="AD7121">
        <v>-8.0162999999999901E-2</v>
      </c>
      <c r="AE7121">
        <v>0.443659999999994</v>
      </c>
      <c r="AF7121">
        <v>0.128035000346754</v>
      </c>
      <c r="AG7121">
        <v>-8.0162999999999901E-2</v>
      </c>
      <c r="AH7121">
        <v>0.42963083582641298</v>
      </c>
      <c r="AI7121">
        <v>100.138157263935</v>
      </c>
      <c r="AJ7121">
        <v>73.405329624186095</v>
      </c>
      <c r="AK7121">
        <v>0.45541379313289998</v>
      </c>
      <c r="AL7121">
        <v>83.496252214154097</v>
      </c>
      <c r="AM7121">
        <v>84.560170800848297</v>
      </c>
      <c r="AN7121">
        <v>0.99999996242809797</v>
      </c>
    </row>
    <row r="7122" spans="1:40" x14ac:dyDescent="0.25">
      <c r="A7122" t="str">
        <f>"20190312151203275"</f>
        <v>20190312151203275</v>
      </c>
      <c r="B7122" t="str">
        <f>"1552374723268913"</f>
        <v>1552374723268913</v>
      </c>
      <c r="C7122" t="s">
        <v>40</v>
      </c>
      <c r="D7122">
        <v>5.2663859999999998</v>
      </c>
      <c r="E7122">
        <v>0.52308980000000005</v>
      </c>
      <c r="F7122" t="s">
        <v>41</v>
      </c>
      <c r="G7122">
        <v>-186.23</v>
      </c>
      <c r="H7122">
        <v>1.031493</v>
      </c>
      <c r="I7122">
        <v>83.630840000000006</v>
      </c>
      <c r="J7122">
        <v>-186.3544</v>
      </c>
      <c r="K7122">
        <v>1.1102909999999999</v>
      </c>
      <c r="L7122">
        <v>83.239689999999996</v>
      </c>
      <c r="M7122">
        <v>-8.4125039999999995E-3</v>
      </c>
      <c r="N7122">
        <v>0</v>
      </c>
      <c r="O7122">
        <v>0.99987649999999995</v>
      </c>
      <c r="P7122">
        <v>8.7085999999999997E-2</v>
      </c>
      <c r="Q7122">
        <v>0.10051300000000001</v>
      </c>
      <c r="R7122">
        <v>0.99111709999999997</v>
      </c>
      <c r="S7122">
        <v>0.44859310000000002</v>
      </c>
      <c r="T7122">
        <v>-0.29248790000000002</v>
      </c>
      <c r="U7122">
        <v>3.0171199999999998</v>
      </c>
      <c r="V7122">
        <v>9.5382110000000006E-2</v>
      </c>
      <c r="W7122">
        <v>0.1136819</v>
      </c>
      <c r="X7122">
        <v>0.98892809999999998</v>
      </c>
      <c r="Y7122">
        <v>0.1547116</v>
      </c>
      <c r="Z7122">
        <v>-9.5384819999999995E-2</v>
      </c>
      <c r="AA7122">
        <v>0.98334429999999995</v>
      </c>
      <c r="AB7122">
        <v>41</v>
      </c>
      <c r="AC7122">
        <v>0.124400000000008</v>
      </c>
      <c r="AD7122">
        <v>-7.8797999999999896E-2</v>
      </c>
      <c r="AE7122">
        <v>0.39115000000000999</v>
      </c>
      <c r="AF7122">
        <v>0.123147805845226</v>
      </c>
      <c r="AG7122">
        <v>-7.8797999999999896E-2</v>
      </c>
      <c r="AH7122">
        <v>0.37622376117530099</v>
      </c>
      <c r="AI7122">
        <v>101.257713560165</v>
      </c>
      <c r="AJ7122">
        <v>71.875384577909202</v>
      </c>
      <c r="AK7122">
        <v>0.40363204204000402</v>
      </c>
      <c r="AL7122">
        <v>83.472395451923603</v>
      </c>
      <c r="AM7122">
        <v>84.490863298236604</v>
      </c>
      <c r="AN7122">
        <v>1.0000000541326299</v>
      </c>
    </row>
    <row r="7123" spans="1:40" x14ac:dyDescent="0.25">
      <c r="A7123" t="str">
        <f>"20190312151203299"</f>
        <v>20190312151203299</v>
      </c>
      <c r="B7123" t="str">
        <f>"1552374723288437"</f>
        <v>1552374723288437</v>
      </c>
      <c r="C7123" t="s">
        <v>40</v>
      </c>
      <c r="D7123">
        <v>5.2378080000000002</v>
      </c>
      <c r="E7123">
        <v>0.52292729999999998</v>
      </c>
      <c r="F7123" t="s">
        <v>41</v>
      </c>
      <c r="G7123">
        <v>-186.24029999999999</v>
      </c>
      <c r="H7123">
        <v>1.0372429999999999</v>
      </c>
      <c r="I7123">
        <v>84.002529999999993</v>
      </c>
      <c r="J7123">
        <v>-186.358</v>
      </c>
      <c r="K7123">
        <v>1.1102540000000001</v>
      </c>
      <c r="L7123">
        <v>83.660740000000004</v>
      </c>
      <c r="M7123">
        <v>-8.4458139999999994E-3</v>
      </c>
      <c r="N7123">
        <v>0</v>
      </c>
      <c r="O7123">
        <v>0.99987519999999996</v>
      </c>
      <c r="P7123">
        <v>8.8221510000000003E-2</v>
      </c>
      <c r="Q7123">
        <v>0.100564</v>
      </c>
      <c r="R7123">
        <v>0.99101159999999999</v>
      </c>
      <c r="S7123">
        <v>0.4508972</v>
      </c>
      <c r="T7123">
        <v>-0.28888789999999998</v>
      </c>
      <c r="U7123">
        <v>3.0165709999999999</v>
      </c>
      <c r="V7123">
        <v>9.6560579999999993E-2</v>
      </c>
      <c r="W7123">
        <v>0.11379649999999999</v>
      </c>
      <c r="X7123">
        <v>0.98880049999999997</v>
      </c>
      <c r="Y7123">
        <v>0.15552160000000001</v>
      </c>
      <c r="Z7123">
        <v>-9.4226939999999995E-2</v>
      </c>
      <c r="AA7123">
        <v>0.98332819999999999</v>
      </c>
      <c r="AB7123">
        <v>41</v>
      </c>
      <c r="AC7123">
        <v>0.117700000000013</v>
      </c>
      <c r="AD7123">
        <v>-7.3010999999999895E-2</v>
      </c>
      <c r="AE7123">
        <v>0.34179000000000298</v>
      </c>
      <c r="AF7123">
        <v>0.11585658544473</v>
      </c>
      <c r="AG7123">
        <v>-7.3010999999999895E-2</v>
      </c>
      <c r="AH7123">
        <v>0.327426837959296</v>
      </c>
      <c r="AI7123">
        <v>101.87144362322999</v>
      </c>
      <c r="AJ7123">
        <v>70.5142035181739</v>
      </c>
      <c r="AK7123">
        <v>0.35491081799225999</v>
      </c>
      <c r="AL7123">
        <v>83.465786171105506</v>
      </c>
      <c r="AM7123">
        <v>84.422507898876802</v>
      </c>
      <c r="AN7123">
        <v>1.00000000891121</v>
      </c>
    </row>
    <row r="7124" spans="1:40" x14ac:dyDescent="0.25">
      <c r="A7124" t="str">
        <f>"20190312151203320"</f>
        <v>20190312151203320</v>
      </c>
      <c r="B7124" t="str">
        <f>"1552374723318689"</f>
        <v>1552374723318689</v>
      </c>
      <c r="C7124" t="s">
        <v>40</v>
      </c>
      <c r="D7124">
        <v>5.2414800000000001</v>
      </c>
      <c r="E7124">
        <v>0.52297870000000002</v>
      </c>
      <c r="F7124" t="s">
        <v>41</v>
      </c>
      <c r="G7124">
        <v>-186.1978</v>
      </c>
      <c r="H7124">
        <v>1.008704</v>
      </c>
      <c r="I7124">
        <v>84.72636</v>
      </c>
      <c r="J7124">
        <v>-186.3614</v>
      </c>
      <c r="K7124">
        <v>1.110223</v>
      </c>
      <c r="L7124">
        <v>84.065700000000007</v>
      </c>
      <c r="M7124">
        <v>-8.4227409999999992E-3</v>
      </c>
      <c r="N7124">
        <v>0</v>
      </c>
      <c r="O7124">
        <v>0.99987409999999999</v>
      </c>
      <c r="P7124">
        <v>8.9442949999999993E-2</v>
      </c>
      <c r="Q7124">
        <v>0.1006041</v>
      </c>
      <c r="R7124">
        <v>0.99089799999999995</v>
      </c>
      <c r="S7124">
        <v>0.45298769999999999</v>
      </c>
      <c r="T7124">
        <v>-0.28743590000000002</v>
      </c>
      <c r="U7124">
        <v>3.0160520000000002</v>
      </c>
      <c r="V7124">
        <v>9.777081E-2</v>
      </c>
      <c r="W7124">
        <v>0.1139244</v>
      </c>
      <c r="X7124">
        <v>0.98866679999999996</v>
      </c>
      <c r="Y7124">
        <v>0.15619659999999999</v>
      </c>
      <c r="Z7124">
        <v>-9.3763630000000001E-2</v>
      </c>
      <c r="AA7124">
        <v>0.98326550000000001</v>
      </c>
      <c r="AB7124">
        <v>41</v>
      </c>
      <c r="AC7124">
        <v>0.16360000000000199</v>
      </c>
      <c r="AD7124">
        <v>-0.101518999999999</v>
      </c>
      <c r="AE7124">
        <v>0.66065999999999203</v>
      </c>
      <c r="AF7124">
        <v>0.16547771190586499</v>
      </c>
      <c r="AG7124">
        <v>-0.101518999999999</v>
      </c>
      <c r="AH7124">
        <v>0.64491048022109598</v>
      </c>
      <c r="AI7124">
        <v>98.669471318887105</v>
      </c>
      <c r="AJ7124">
        <v>75.608931613494505</v>
      </c>
      <c r="AK7124">
        <v>0.67349722196725204</v>
      </c>
      <c r="AL7124">
        <v>83.458409822061</v>
      </c>
      <c r="AM7124">
        <v>84.3522934221523</v>
      </c>
      <c r="AN7124">
        <v>0.99999997081282699</v>
      </c>
    </row>
    <row r="7125" spans="1:40" x14ac:dyDescent="0.25">
      <c r="A7125" t="str">
        <f>"20190312151203345"</f>
        <v>20190312151203345</v>
      </c>
      <c r="B7125" t="str">
        <f>"1552374723338210"</f>
        <v>1552374723338210</v>
      </c>
      <c r="C7125" t="s">
        <v>40</v>
      </c>
      <c r="D7125">
        <v>5.2408530000000004</v>
      </c>
      <c r="E7125">
        <v>0.52284839999999999</v>
      </c>
      <c r="F7125" t="s">
        <v>41</v>
      </c>
      <c r="G7125">
        <v>-186.20519999999999</v>
      </c>
      <c r="H7125">
        <v>1.0113700000000001</v>
      </c>
      <c r="I7125">
        <v>85.095280000000002</v>
      </c>
      <c r="J7125">
        <v>-186.36490000000001</v>
      </c>
      <c r="K7125">
        <v>1.110198</v>
      </c>
      <c r="L7125">
        <v>84.493380000000002</v>
      </c>
      <c r="M7125">
        <v>-8.3458009999999999E-3</v>
      </c>
      <c r="N7125">
        <v>0</v>
      </c>
      <c r="O7125">
        <v>0.99987300000000001</v>
      </c>
      <c r="P7125">
        <v>9.0649590000000002E-2</v>
      </c>
      <c r="Q7125">
        <v>0.1006613</v>
      </c>
      <c r="R7125">
        <v>0.99078250000000001</v>
      </c>
      <c r="S7125">
        <v>0.45747379999999999</v>
      </c>
      <c r="T7125">
        <v>-0.28956199999999999</v>
      </c>
      <c r="U7125">
        <v>3.0156559999999999</v>
      </c>
      <c r="V7125">
        <v>9.8915030000000001E-2</v>
      </c>
      <c r="W7125">
        <v>0.1140931</v>
      </c>
      <c r="X7125">
        <v>0.98853360000000001</v>
      </c>
      <c r="Y7125">
        <v>0.1575599</v>
      </c>
      <c r="Z7125">
        <v>-9.4442579999999998E-2</v>
      </c>
      <c r="AA7125">
        <v>0.98298289999999999</v>
      </c>
      <c r="AB7125">
        <v>41</v>
      </c>
      <c r="AC7125">
        <v>0.159700000000015</v>
      </c>
      <c r="AD7125">
        <v>-9.8827999999999902E-2</v>
      </c>
      <c r="AE7125">
        <v>0.60189999999999999</v>
      </c>
      <c r="AF7125">
        <v>0.16067150213204001</v>
      </c>
      <c r="AG7125">
        <v>-9.8827999999999902E-2</v>
      </c>
      <c r="AH7125">
        <v>0.58579209639004803</v>
      </c>
      <c r="AI7125">
        <v>99.241014106600005</v>
      </c>
      <c r="AJ7125">
        <v>74.662067791589095</v>
      </c>
      <c r="AK7125">
        <v>0.61541423884600899</v>
      </c>
      <c r="AL7125">
        <v>83.448681097709297</v>
      </c>
      <c r="AM7125">
        <v>84.285867858214999</v>
      </c>
      <c r="AN7125">
        <v>1.0000000484782301</v>
      </c>
    </row>
    <row r="7126" spans="1:40" x14ac:dyDescent="0.25">
      <c r="A7126" t="str">
        <f>"20190312151203367"</f>
        <v>20190312151203367</v>
      </c>
      <c r="B7126" t="str">
        <f>"1552374723358705"</f>
        <v>1552374723358705</v>
      </c>
      <c r="C7126" t="s">
        <v>40</v>
      </c>
      <c r="D7126">
        <v>5.2480549999999999</v>
      </c>
      <c r="E7126">
        <v>0.52269849999999995</v>
      </c>
      <c r="F7126" t="s">
        <v>41</v>
      </c>
      <c r="G7126">
        <v>-186.2166</v>
      </c>
      <c r="H7126">
        <v>1.015687</v>
      </c>
      <c r="I7126">
        <v>85.46454</v>
      </c>
      <c r="J7126">
        <v>-186.36840000000001</v>
      </c>
      <c r="K7126">
        <v>1.110163</v>
      </c>
      <c r="L7126">
        <v>84.913849999999996</v>
      </c>
      <c r="M7126">
        <v>-8.208824E-3</v>
      </c>
      <c r="N7126">
        <v>0</v>
      </c>
      <c r="O7126">
        <v>0.99987219999999999</v>
      </c>
      <c r="P7126">
        <v>9.2210230000000004E-2</v>
      </c>
      <c r="Q7126">
        <v>0.1006107</v>
      </c>
      <c r="R7126">
        <v>0.99064359999999996</v>
      </c>
      <c r="S7126">
        <v>0.46032709999999999</v>
      </c>
      <c r="T7126">
        <v>-0.293487099999999</v>
      </c>
      <c r="U7126">
        <v>3.0155940000000001</v>
      </c>
      <c r="V7126">
        <v>0.10035529999999999</v>
      </c>
      <c r="W7126">
        <v>0.1141655</v>
      </c>
      <c r="X7126">
        <v>0.98838000000000004</v>
      </c>
      <c r="Y7126">
        <v>0.1583186</v>
      </c>
      <c r="Z7126">
        <v>-9.5700489999999999E-2</v>
      </c>
      <c r="AA7126">
        <v>0.98273940000000004</v>
      </c>
      <c r="AB7126">
        <v>41</v>
      </c>
      <c r="AC7126">
        <v>0.15180000000000801</v>
      </c>
      <c r="AD7126">
        <v>-9.4476000000000004E-2</v>
      </c>
      <c r="AE7126">
        <v>0.55069000000000201</v>
      </c>
      <c r="AF7126">
        <v>0.15215379815142399</v>
      </c>
      <c r="AG7126">
        <v>-9.4476000000000004E-2</v>
      </c>
      <c r="AH7126">
        <v>0.53479635653616597</v>
      </c>
      <c r="AI7126">
        <v>99.643302934644794</v>
      </c>
      <c r="AJ7126">
        <v>74.118527614390302</v>
      </c>
      <c r="AK7126">
        <v>0.56398903875187401</v>
      </c>
      <c r="AL7126">
        <v>83.444505189096901</v>
      </c>
      <c r="AM7126">
        <v>84.202334078957406</v>
      </c>
      <c r="AN7126">
        <v>0.99999998601416995</v>
      </c>
    </row>
    <row r="7127" spans="1:40" x14ac:dyDescent="0.25">
      <c r="A7127" t="str">
        <f>"20190312151203388"</f>
        <v>20190312151203388</v>
      </c>
      <c r="B7127" t="str">
        <f>"1552374723378229"</f>
        <v>1552374723378229</v>
      </c>
      <c r="C7127" t="s">
        <v>40</v>
      </c>
      <c r="D7127">
        <v>5.2618299999999998</v>
      </c>
      <c r="E7127">
        <v>0.52271809999999996</v>
      </c>
      <c r="F7127" t="s">
        <v>41</v>
      </c>
      <c r="G7127">
        <v>-186.22669999999999</v>
      </c>
      <c r="H7127">
        <v>1.020713</v>
      </c>
      <c r="I7127">
        <v>85.833770000000001</v>
      </c>
      <c r="J7127">
        <v>-186.37139999999999</v>
      </c>
      <c r="K7127">
        <v>1.110125</v>
      </c>
      <c r="L7127">
        <v>85.302759999999907</v>
      </c>
      <c r="M7127">
        <v>-8.0145459999999905E-3</v>
      </c>
      <c r="N7127">
        <v>0</v>
      </c>
      <c r="O7127">
        <v>0.99987190000000004</v>
      </c>
      <c r="P7127">
        <v>9.3520820000000005E-2</v>
      </c>
      <c r="Q7127">
        <v>0.10050340000000001</v>
      </c>
      <c r="R7127">
        <v>0.99053159999999896</v>
      </c>
      <c r="S7127">
        <v>0.46406560000000002</v>
      </c>
      <c r="T7127">
        <v>-0.29317589999999999</v>
      </c>
      <c r="U7127">
        <v>3.014923</v>
      </c>
      <c r="V7127">
        <v>0.10149</v>
      </c>
      <c r="W7127">
        <v>0.1141797</v>
      </c>
      <c r="X7127">
        <v>0.98826250000000004</v>
      </c>
      <c r="Y7127">
        <v>0.1593513</v>
      </c>
      <c r="Z7127">
        <v>-9.56042E-2</v>
      </c>
      <c r="AA7127">
        <v>0.98258179999999995</v>
      </c>
      <c r="AB7127">
        <v>41</v>
      </c>
      <c r="AC7127">
        <v>0.1447</v>
      </c>
      <c r="AD7127">
        <v>-8.9412000000000005E-2</v>
      </c>
      <c r="AE7127">
        <v>0.53101000000000897</v>
      </c>
      <c r="AF7127">
        <v>0.145121464684206</v>
      </c>
      <c r="AG7127">
        <v>-8.9412000000000005E-2</v>
      </c>
      <c r="AH7127">
        <v>0.516209142452974</v>
      </c>
      <c r="AI7127">
        <v>99.466684899095299</v>
      </c>
      <c r="AJ7127">
        <v>74.297776200168798</v>
      </c>
      <c r="AK7127">
        <v>0.54362360508731</v>
      </c>
      <c r="AL7127">
        <v>83.443686302524796</v>
      </c>
      <c r="AM7127">
        <v>84.136542767334006</v>
      </c>
      <c r="AN7127">
        <v>0.99999999644916904</v>
      </c>
    </row>
    <row r="7128" spans="1:40" x14ac:dyDescent="0.25">
      <c r="A7128" t="str">
        <f>"20190312151203410"</f>
        <v>20190312151203410</v>
      </c>
      <c r="B7128" t="str">
        <f>"1552374723398726"</f>
        <v>1552374723398726</v>
      </c>
      <c r="C7128" t="s">
        <v>40</v>
      </c>
      <c r="D7128">
        <v>5.1795849999999897</v>
      </c>
      <c r="E7128">
        <v>0.52256420000000003</v>
      </c>
      <c r="F7128" t="s">
        <v>41</v>
      </c>
      <c r="G7128">
        <v>-186.23159999999999</v>
      </c>
      <c r="H7128">
        <v>1.0225280000000001</v>
      </c>
      <c r="I7128">
        <v>86.201229999999995</v>
      </c>
      <c r="J7128">
        <v>-186.37440000000001</v>
      </c>
      <c r="K7128">
        <v>1.11007099999999</v>
      </c>
      <c r="L7128">
        <v>85.707369999999997</v>
      </c>
      <c r="M7128">
        <v>-7.7324200000000003E-3</v>
      </c>
      <c r="N7128">
        <v>0</v>
      </c>
      <c r="O7128">
        <v>0.99987210000000004</v>
      </c>
      <c r="P7128">
        <v>9.4509940000000001E-2</v>
      </c>
      <c r="Q7128">
        <v>0.10040350000000001</v>
      </c>
      <c r="R7128">
        <v>0.99044790000000005</v>
      </c>
      <c r="S7128">
        <v>0.4684296</v>
      </c>
      <c r="T7128">
        <v>-0.29390759999999899</v>
      </c>
      <c r="U7128">
        <v>3.0142820000000001</v>
      </c>
      <c r="V7128">
        <v>0.1022197</v>
      </c>
      <c r="W7128">
        <v>0.114203399999999</v>
      </c>
      <c r="X7128">
        <v>0.98818459999999997</v>
      </c>
      <c r="Y7128">
        <v>0.16048989999999999</v>
      </c>
      <c r="Z7128">
        <v>-9.5841549999999998E-2</v>
      </c>
      <c r="AA7128">
        <v>0.98237339999999995</v>
      </c>
      <c r="AB7128">
        <v>41</v>
      </c>
      <c r="AC7128">
        <v>0.14280000000002199</v>
      </c>
      <c r="AD7128">
        <v>-8.7542999999999704E-2</v>
      </c>
      <c r="AE7128">
        <v>0.49386000000001201</v>
      </c>
      <c r="AF7128">
        <v>0.142483159800428</v>
      </c>
      <c r="AG7128">
        <v>-8.7542999999999704E-2</v>
      </c>
      <c r="AH7128">
        <v>0.47885525563805498</v>
      </c>
      <c r="AI7128">
        <v>99.938747999312199</v>
      </c>
      <c r="AJ7128">
        <v>73.429650888331594</v>
      </c>
      <c r="AK7128">
        <v>0.50721551980188995</v>
      </c>
      <c r="AL7128">
        <v>83.442319762575394</v>
      </c>
      <c r="AM7128">
        <v>84.094219902499603</v>
      </c>
      <c r="AN7128">
        <v>1.0000000436584</v>
      </c>
    </row>
    <row r="7129" spans="1:40" x14ac:dyDescent="0.25">
      <c r="A7129" t="str">
        <f>"20190312151203431"</f>
        <v>20190312151203431</v>
      </c>
      <c r="B7129" t="str">
        <f>"1552374723428002"</f>
        <v>1552374723428002</v>
      </c>
      <c r="C7129" t="s">
        <v>40</v>
      </c>
      <c r="D7129">
        <v>5.2977239999999997</v>
      </c>
      <c r="E7129">
        <v>0.5224896</v>
      </c>
      <c r="F7129" t="s">
        <v>41</v>
      </c>
      <c r="G7129">
        <v>-186.24</v>
      </c>
      <c r="H7129">
        <v>1.0251939999999999</v>
      </c>
      <c r="I7129">
        <v>86.568569999999994</v>
      </c>
      <c r="J7129">
        <v>-186.37719999999999</v>
      </c>
      <c r="K7129">
        <v>1.110012</v>
      </c>
      <c r="L7129">
        <v>86.106480000000005</v>
      </c>
      <c r="M7129">
        <v>-7.3681079999999999E-3</v>
      </c>
      <c r="N7129">
        <v>0</v>
      </c>
      <c r="O7129">
        <v>0.99987289999999995</v>
      </c>
      <c r="P7129">
        <v>9.5627489999999996E-2</v>
      </c>
      <c r="Q7129">
        <v>9.9764969999999994E-2</v>
      </c>
      <c r="R7129">
        <v>0.99040510000000004</v>
      </c>
      <c r="S7129">
        <v>0.47044370000000002</v>
      </c>
      <c r="T7129">
        <v>-0.29707729999999999</v>
      </c>
      <c r="U7129">
        <v>3.01416</v>
      </c>
      <c r="V7129">
        <v>0.1029984</v>
      </c>
      <c r="W7129">
        <v>0.1136781</v>
      </c>
      <c r="X7129">
        <v>0.9881643</v>
      </c>
      <c r="Y7129">
        <v>0.16076199999999999</v>
      </c>
      <c r="Z7129">
        <v>-9.6862539999999997E-2</v>
      </c>
      <c r="AA7129">
        <v>0.98222869999999995</v>
      </c>
      <c r="AB7129">
        <v>41</v>
      </c>
      <c r="AC7129">
        <v>0.13719999999997801</v>
      </c>
      <c r="AD7129">
        <v>-8.4817999999999796E-2</v>
      </c>
      <c r="AE7129">
        <v>0.46208999999998901</v>
      </c>
      <c r="AF7129">
        <v>0.136378760963039</v>
      </c>
      <c r="AG7129">
        <v>-8.4817999999999796E-2</v>
      </c>
      <c r="AH7129">
        <v>0.44721955738874403</v>
      </c>
      <c r="AI7129">
        <v>100.282142566329</v>
      </c>
      <c r="AJ7129">
        <v>73.041013942794393</v>
      </c>
      <c r="AK7129">
        <v>0.47518269336834801</v>
      </c>
      <c r="AL7129">
        <v>83.4726144534215</v>
      </c>
      <c r="AM7129">
        <v>84.049430462413795</v>
      </c>
      <c r="AN7129">
        <v>1.00000003230832</v>
      </c>
    </row>
    <row r="7130" spans="1:40" x14ac:dyDescent="0.25">
      <c r="A7130" t="str">
        <f>"20190312151203455"</f>
        <v>20190312151203455</v>
      </c>
      <c r="B7130" t="str">
        <f>"1552374723448498"</f>
        <v>1552374723448498</v>
      </c>
      <c r="C7130" t="s">
        <v>40</v>
      </c>
      <c r="D7130">
        <v>5.3280200000000004</v>
      </c>
      <c r="E7130">
        <v>0.52231039999999995</v>
      </c>
      <c r="F7130" t="s">
        <v>41</v>
      </c>
      <c r="G7130">
        <v>-186.2467</v>
      </c>
      <c r="H7130">
        <v>1.027879</v>
      </c>
      <c r="I7130">
        <v>86.93562</v>
      </c>
      <c r="J7130">
        <v>-186.37989999999999</v>
      </c>
      <c r="K7130">
        <v>1.109939</v>
      </c>
      <c r="L7130">
        <v>86.525269999999907</v>
      </c>
      <c r="M7130">
        <v>-6.8921379999999999E-3</v>
      </c>
      <c r="N7130">
        <v>0</v>
      </c>
      <c r="O7130">
        <v>0.9998745</v>
      </c>
      <c r="P7130">
        <v>9.7057829999999998E-2</v>
      </c>
      <c r="Q7130">
        <v>9.9775000000000003E-2</v>
      </c>
      <c r="R7130">
        <v>0.99026499999999995</v>
      </c>
      <c r="S7130">
        <v>0.473526</v>
      </c>
      <c r="T7130">
        <v>-0.29851620000000001</v>
      </c>
      <c r="U7130">
        <v>3.0133969999999999</v>
      </c>
      <c r="V7130">
        <v>0.1039817</v>
      </c>
      <c r="W7130">
        <v>0.1137903</v>
      </c>
      <c r="X7130">
        <v>0.98804840000000005</v>
      </c>
      <c r="Y7130">
        <v>0.16130349999999999</v>
      </c>
      <c r="Z7130">
        <v>-9.7339899999999993E-2</v>
      </c>
      <c r="AA7130">
        <v>0.98209270000000004</v>
      </c>
      <c r="AB7130">
        <v>41</v>
      </c>
      <c r="AC7130">
        <v>0.13319999999998799</v>
      </c>
      <c r="AD7130">
        <v>-8.2059999999999994E-2</v>
      </c>
      <c r="AE7130">
        <v>0.41035000000000799</v>
      </c>
      <c r="AF7130">
        <v>0.13127597108776801</v>
      </c>
      <c r="AG7130">
        <v>-8.2059999999999994E-2</v>
      </c>
      <c r="AH7130">
        <v>0.39512709949481201</v>
      </c>
      <c r="AI7130">
        <v>101.14937421070501</v>
      </c>
      <c r="AJ7130">
        <v>71.621586666934405</v>
      </c>
      <c r="AK7130">
        <v>0.42437324248851999</v>
      </c>
      <c r="AL7130">
        <v>83.466143888994694</v>
      </c>
      <c r="AM7130">
        <v>83.992335812221299</v>
      </c>
      <c r="AN7130">
        <v>1.0000000335257599</v>
      </c>
    </row>
    <row r="7131" spans="1:40" x14ac:dyDescent="0.25">
      <c r="A7131" t="str">
        <f>"20190312151203476"</f>
        <v>20190312151203476</v>
      </c>
      <c r="B7131" t="str">
        <f>"1552374723468017"</f>
        <v>1552374723468017</v>
      </c>
      <c r="C7131" t="s">
        <v>40</v>
      </c>
      <c r="D7131">
        <v>5.286238</v>
      </c>
      <c r="E7131">
        <v>0.52217709999999995</v>
      </c>
      <c r="F7131" t="s">
        <v>41</v>
      </c>
      <c r="G7131">
        <v>-186.2567</v>
      </c>
      <c r="H7131">
        <v>1.033182</v>
      </c>
      <c r="I7131">
        <v>87.303650000000005</v>
      </c>
      <c r="J7131">
        <v>-186.38220000000001</v>
      </c>
      <c r="K7131">
        <v>1.1098570000000001</v>
      </c>
      <c r="L7131">
        <v>86.924930000000003</v>
      </c>
      <c r="M7131">
        <v>-6.3430400000000003E-3</v>
      </c>
      <c r="N7131">
        <v>0</v>
      </c>
      <c r="O7131">
        <v>0.9998766</v>
      </c>
      <c r="P7131">
        <v>9.7905930000000002E-2</v>
      </c>
      <c r="Q7131">
        <v>0.1002335</v>
      </c>
      <c r="R7131">
        <v>0.99013519999999999</v>
      </c>
      <c r="S7131">
        <v>0.4765472</v>
      </c>
      <c r="T7131">
        <v>-0.297089099999999</v>
      </c>
      <c r="U7131">
        <v>3.0126949999999999</v>
      </c>
      <c r="V7131">
        <v>0.1043111</v>
      </c>
      <c r="W7131">
        <v>0.114334199999999</v>
      </c>
      <c r="X7131">
        <v>0.98795089999999997</v>
      </c>
      <c r="Y7131">
        <v>0.16176450000000001</v>
      </c>
      <c r="Z7131">
        <v>-9.6890500000000004E-2</v>
      </c>
      <c r="AA7131">
        <v>0.98206130000000003</v>
      </c>
      <c r="AB7131">
        <v>41</v>
      </c>
      <c r="AC7131">
        <v>0.12550000000001599</v>
      </c>
      <c r="AD7131">
        <v>-7.6674999999999799E-2</v>
      </c>
      <c r="AE7131">
        <v>0.378720000000001</v>
      </c>
      <c r="AF7131">
        <v>0.123344406906178</v>
      </c>
      <c r="AG7131">
        <v>-7.6674999999999799E-2</v>
      </c>
      <c r="AH7131">
        <v>0.364455591473972</v>
      </c>
      <c r="AI7131">
        <v>101.270210300999</v>
      </c>
      <c r="AJ7131">
        <v>71.302398559315606</v>
      </c>
      <c r="AK7131">
        <v>0.39232738433185999</v>
      </c>
      <c r="AL7131">
        <v>83.434776090301298</v>
      </c>
      <c r="AM7131">
        <v>83.9728538057647</v>
      </c>
      <c r="AN7131">
        <v>1.0000000478418201</v>
      </c>
    </row>
    <row r="7132" spans="1:40" x14ac:dyDescent="0.25">
      <c r="A7132" t="str">
        <f>"20190312151203500"</f>
        <v>20190312151203500</v>
      </c>
      <c r="B7132" t="str">
        <f>"1552374723488517"</f>
        <v>1552374723488517</v>
      </c>
      <c r="C7132" t="s">
        <v>40</v>
      </c>
      <c r="D7132">
        <v>5.2526539999999997</v>
      </c>
      <c r="E7132">
        <v>0.52209510000000003</v>
      </c>
      <c r="F7132" t="s">
        <v>41</v>
      </c>
      <c r="G7132">
        <v>-186.2637</v>
      </c>
      <c r="H7132">
        <v>1.0365089999999999</v>
      </c>
      <c r="I7132">
        <v>87.670850000000002</v>
      </c>
      <c r="J7132">
        <v>-186.38419999999999</v>
      </c>
      <c r="K7132">
        <v>1.1097709999999901</v>
      </c>
      <c r="L7132">
        <v>87.337220000000002</v>
      </c>
      <c r="M7132">
        <v>-5.6684509999999997E-3</v>
      </c>
      <c r="N7132">
        <v>0</v>
      </c>
      <c r="O7132">
        <v>0.99987910000000002</v>
      </c>
      <c r="P7132">
        <v>9.9174999999999999E-2</v>
      </c>
      <c r="Q7132">
        <v>0.100393</v>
      </c>
      <c r="R7132">
        <v>0.98999269999999995</v>
      </c>
      <c r="S7132">
        <v>0.47819519999999999</v>
      </c>
      <c r="T7132">
        <v>-0.296232</v>
      </c>
      <c r="U7132">
        <v>3.0126040000000001</v>
      </c>
      <c r="V7132">
        <v>0.1049393</v>
      </c>
      <c r="W7132">
        <v>0.1145668</v>
      </c>
      <c r="X7132">
        <v>0.9878574</v>
      </c>
      <c r="Y7132">
        <v>0.16163169999999999</v>
      </c>
      <c r="Z7132">
        <v>-9.661409E-2</v>
      </c>
      <c r="AA7132">
        <v>0.98211040000000005</v>
      </c>
      <c r="AB7132">
        <v>41</v>
      </c>
      <c r="AC7132">
        <v>0.120499999999992</v>
      </c>
      <c r="AD7132">
        <v>-7.3261999999999702E-2</v>
      </c>
      <c r="AE7132">
        <v>0.33362999999999898</v>
      </c>
      <c r="AF7132">
        <v>0.117382410587501</v>
      </c>
      <c r="AG7132">
        <v>-7.3261999999999702E-2</v>
      </c>
      <c r="AH7132">
        <v>0.31932070400100798</v>
      </c>
      <c r="AI7132">
        <v>102.15261211011401</v>
      </c>
      <c r="AJ7132">
        <v>69.816553316508603</v>
      </c>
      <c r="AK7132">
        <v>0.34801100983019501</v>
      </c>
      <c r="AL7132">
        <v>83.421360793654699</v>
      </c>
      <c r="AM7132">
        <v>83.936256081241694</v>
      </c>
      <c r="AN7132">
        <v>1.00000002554074</v>
      </c>
    </row>
    <row r="7133" spans="1:40" x14ac:dyDescent="0.25">
      <c r="A7133" t="str">
        <f>"20190312151203521"</f>
        <v>20190312151203521</v>
      </c>
      <c r="B7133" t="str">
        <f>"1552374723518769"</f>
        <v>1552374723518769</v>
      </c>
      <c r="C7133" t="s">
        <v>40</v>
      </c>
      <c r="D7133">
        <v>5.2448620000000004</v>
      </c>
      <c r="E7133">
        <v>0.52186480000000002</v>
      </c>
      <c r="F7133" t="s">
        <v>41</v>
      </c>
      <c r="G7133">
        <v>-186.21639999999999</v>
      </c>
      <c r="H7133">
        <v>1.0056849999999999</v>
      </c>
      <c r="I7133">
        <v>88.385480000000001</v>
      </c>
      <c r="J7133">
        <v>-186.38579999999999</v>
      </c>
      <c r="K7133">
        <v>1.10968</v>
      </c>
      <c r="L7133">
        <v>87.738709999999998</v>
      </c>
      <c r="M7133">
        <v>-4.9084869999999996E-3</v>
      </c>
      <c r="N7133">
        <v>0</v>
      </c>
      <c r="O7133">
        <v>0.99988189999999999</v>
      </c>
      <c r="P7133">
        <v>0.100645</v>
      </c>
      <c r="Q7133">
        <v>0.1003819</v>
      </c>
      <c r="R7133">
        <v>0.98984550000000004</v>
      </c>
      <c r="S7133">
        <v>0.48171999999999998</v>
      </c>
      <c r="T7133">
        <v>-0.29911850000000001</v>
      </c>
      <c r="U7133">
        <v>3.0124209999999998</v>
      </c>
      <c r="V7133">
        <v>0.1056841</v>
      </c>
      <c r="W7133">
        <v>0.1146146</v>
      </c>
      <c r="X7133">
        <v>0.98777239999999999</v>
      </c>
      <c r="Y7133">
        <v>0.16199749999999999</v>
      </c>
      <c r="Z7133">
        <v>-9.7541089999999997E-2</v>
      </c>
      <c r="AA7133">
        <v>0.98195849999999996</v>
      </c>
      <c r="AB7133">
        <v>41</v>
      </c>
      <c r="AC7133">
        <v>0.169399999999996</v>
      </c>
      <c r="AD7133">
        <v>-0.103995</v>
      </c>
      <c r="AE7133">
        <v>0.64677000000000295</v>
      </c>
      <c r="AF7133">
        <v>0.16849633716735199</v>
      </c>
      <c r="AG7133">
        <v>-0.103995</v>
      </c>
      <c r="AH7133">
        <v>0.63067206560327804</v>
      </c>
      <c r="AI7133">
        <v>99.051605640567601</v>
      </c>
      <c r="AJ7133">
        <v>75.041688951809405</v>
      </c>
      <c r="AK7133">
        <v>0.661024379275167</v>
      </c>
      <c r="AL7133">
        <v>83.418603560196402</v>
      </c>
      <c r="AM7133">
        <v>83.893021569842901</v>
      </c>
      <c r="AN7133">
        <v>0.99999997486386405</v>
      </c>
    </row>
    <row r="7134" spans="1:40" x14ac:dyDescent="0.25">
      <c r="A7134" t="str">
        <f>"20190312151203545"</f>
        <v>20190312151203545</v>
      </c>
      <c r="B7134" t="str">
        <f>"1552374723538290"</f>
        <v>1552374723538290</v>
      </c>
      <c r="C7134" t="s">
        <v>40</v>
      </c>
      <c r="D7134">
        <v>5.2708640000000004</v>
      </c>
      <c r="E7134">
        <v>0.52171780000000001</v>
      </c>
      <c r="F7134" t="s">
        <v>41</v>
      </c>
      <c r="G7134">
        <v>-186.22319999999999</v>
      </c>
      <c r="H7134">
        <v>1.0082169999999999</v>
      </c>
      <c r="I7134">
        <v>88.750369999999904</v>
      </c>
      <c r="J7134">
        <v>-186.3871</v>
      </c>
      <c r="K7134">
        <v>1.109586</v>
      </c>
      <c r="L7134">
        <v>88.160550000000001</v>
      </c>
      <c r="M7134">
        <v>-4.0177540000000001E-3</v>
      </c>
      <c r="N7134">
        <v>0</v>
      </c>
      <c r="O7134">
        <v>0.99988469999999996</v>
      </c>
      <c r="P7134">
        <v>0.10245310000000001</v>
      </c>
      <c r="Q7134">
        <v>0.1000326</v>
      </c>
      <c r="R7134">
        <v>0.98969529999999994</v>
      </c>
      <c r="S7134">
        <v>0.483902</v>
      </c>
      <c r="T7134">
        <v>-0.30210779999999998</v>
      </c>
      <c r="U7134">
        <v>3.0122070000000001</v>
      </c>
      <c r="V7134">
        <v>0.10663739999999999</v>
      </c>
      <c r="W7134">
        <v>0.1143166</v>
      </c>
      <c r="X7134">
        <v>0.98770449999999999</v>
      </c>
      <c r="Y7134">
        <v>0.1618078</v>
      </c>
      <c r="Z7134">
        <v>-9.850979E-2</v>
      </c>
      <c r="AA7134">
        <v>0.98189309999999996</v>
      </c>
      <c r="AB7134">
        <v>41</v>
      </c>
      <c r="AC7134">
        <v>0.16390000000001201</v>
      </c>
      <c r="AD7134">
        <v>-0.101369</v>
      </c>
      <c r="AE7134">
        <v>0.58981999999998802</v>
      </c>
      <c r="AF7134">
        <v>0.16183126669006001</v>
      </c>
      <c r="AG7134">
        <v>-0.101369</v>
      </c>
      <c r="AH7134">
        <v>0.57343311269465402</v>
      </c>
      <c r="AI7134">
        <v>99.655305638312399</v>
      </c>
      <c r="AJ7134">
        <v>74.240152338607999</v>
      </c>
      <c r="AK7134">
        <v>0.60439272644050701</v>
      </c>
      <c r="AL7134">
        <v>83.435790834076201</v>
      </c>
      <c r="AM7134">
        <v>83.837936467264896</v>
      </c>
      <c r="AN7134">
        <v>0.99999999971728404</v>
      </c>
    </row>
    <row r="7135" spans="1:40" x14ac:dyDescent="0.25">
      <c r="A7135" t="str">
        <f>"20190312151203568"</f>
        <v>20190312151203568</v>
      </c>
      <c r="B7135" t="str">
        <f>"1552374723558786"</f>
        <v>1552374723558786</v>
      </c>
      <c r="C7135" t="s">
        <v>40</v>
      </c>
      <c r="D7135">
        <v>5.3181209999999997</v>
      </c>
      <c r="E7135">
        <v>0.52163400000000004</v>
      </c>
      <c r="F7135" t="s">
        <v>41</v>
      </c>
      <c r="G7135">
        <v>-186.2321</v>
      </c>
      <c r="H7135">
        <v>1.013137</v>
      </c>
      <c r="I7135">
        <v>89.115969999999905</v>
      </c>
      <c r="J7135">
        <v>-186.3879</v>
      </c>
      <c r="K7135">
        <v>1.1094850000000001</v>
      </c>
      <c r="L7135">
        <v>88.586150000000004</v>
      </c>
      <c r="M7135">
        <v>-3.0203859999999999E-3</v>
      </c>
      <c r="N7135">
        <v>0</v>
      </c>
      <c r="O7135">
        <v>0.99988719999999998</v>
      </c>
      <c r="P7135">
        <v>0.1042665</v>
      </c>
      <c r="Q7135">
        <v>0.1003971</v>
      </c>
      <c r="R7135">
        <v>0.98946900000000004</v>
      </c>
      <c r="S7135">
        <v>0.48783870000000001</v>
      </c>
      <c r="T7135">
        <v>-0.30400969999999999</v>
      </c>
      <c r="U7135">
        <v>3.0114749999999999</v>
      </c>
      <c r="V7135">
        <v>0.10749160000000001</v>
      </c>
      <c r="W7135">
        <v>0.11472209999999999</v>
      </c>
      <c r="X7135">
        <v>0.98756489999999997</v>
      </c>
      <c r="Y7135">
        <v>0.1621021</v>
      </c>
      <c r="Z7135">
        <v>-9.9135319999999999E-2</v>
      </c>
      <c r="AA7135">
        <v>0.98178160000000003</v>
      </c>
      <c r="AB7135">
        <v>41</v>
      </c>
      <c r="AC7135">
        <v>0.15579999999999899</v>
      </c>
      <c r="AD7135">
        <v>-9.6347999999999795E-2</v>
      </c>
      <c r="AE7135">
        <v>0.52981999999998597</v>
      </c>
      <c r="AF7135">
        <v>0.152750373352882</v>
      </c>
      <c r="AG7135">
        <v>-9.6347999999999795E-2</v>
      </c>
      <c r="AH7135">
        <v>0.51371084655143895</v>
      </c>
      <c r="AI7135">
        <v>100.191425733316</v>
      </c>
      <c r="AJ7135">
        <v>73.440312753292304</v>
      </c>
      <c r="AK7135">
        <v>0.54453140178325898</v>
      </c>
      <c r="AL7135">
        <v>83.412403651663794</v>
      </c>
      <c r="AM7135">
        <v>83.788089506737293</v>
      </c>
      <c r="AN7135">
        <v>1.00000001800548</v>
      </c>
    </row>
    <row r="7136" spans="1:40" x14ac:dyDescent="0.25">
      <c r="A7136" t="str">
        <f>"20190312151203590"</f>
        <v>20190312151203590</v>
      </c>
      <c r="B7136" t="str">
        <f>"1552374723578306"</f>
        <v>1552374723578306</v>
      </c>
      <c r="C7136" t="s">
        <v>40</v>
      </c>
      <c r="D7136">
        <v>5.3079739999999997</v>
      </c>
      <c r="E7136">
        <v>0.52154940000000005</v>
      </c>
      <c r="F7136" t="s">
        <v>41</v>
      </c>
      <c r="G7136">
        <v>-186.24109999999999</v>
      </c>
      <c r="H7136">
        <v>1.0194669999999999</v>
      </c>
      <c r="I7136">
        <v>89.481909999999999</v>
      </c>
      <c r="J7136">
        <v>-186.38820000000001</v>
      </c>
      <c r="K7136">
        <v>1.1093980000000001</v>
      </c>
      <c r="L7136">
        <v>88.973179999999999</v>
      </c>
      <c r="M7136">
        <v>-2.0156589999999999E-3</v>
      </c>
      <c r="N7136">
        <v>0</v>
      </c>
      <c r="O7136">
        <v>0.99988880000000002</v>
      </c>
      <c r="P7136">
        <v>0.1063998</v>
      </c>
      <c r="Q7136">
        <v>0.1001706</v>
      </c>
      <c r="R7136">
        <v>0.98926480000000006</v>
      </c>
      <c r="S7136">
        <v>0.4928284</v>
      </c>
      <c r="T7136">
        <v>-0.30256549999999999</v>
      </c>
      <c r="U7136">
        <v>3.0107119999999998</v>
      </c>
      <c r="V7136">
        <v>0.1086564</v>
      </c>
      <c r="W7136">
        <v>0.11452270000000001</v>
      </c>
      <c r="X7136">
        <v>0.98746060000000002</v>
      </c>
      <c r="Y7136">
        <v>0.16274240000000001</v>
      </c>
      <c r="Z7136">
        <v>-9.8675689999999996E-2</v>
      </c>
      <c r="AA7136">
        <v>0.98172199999999998</v>
      </c>
      <c r="AB7136">
        <v>41</v>
      </c>
      <c r="AC7136">
        <v>0.14710000000002299</v>
      </c>
      <c r="AD7136">
        <v>-8.99309999999999E-2</v>
      </c>
      <c r="AE7136">
        <v>0.50872999999999902</v>
      </c>
      <c r="AF7136">
        <v>0.14397327496121401</v>
      </c>
      <c r="AG7136">
        <v>-8.99309999999999E-2</v>
      </c>
      <c r="AH7136">
        <v>0.494181021937315</v>
      </c>
      <c r="AI7136">
        <v>99.910464471504199</v>
      </c>
      <c r="AJ7136">
        <v>73.757198223720394</v>
      </c>
      <c r="AK7136">
        <v>0.522523464647346</v>
      </c>
      <c r="AL7136">
        <v>83.423904435483095</v>
      </c>
      <c r="AM7136">
        <v>83.720652900082399</v>
      </c>
      <c r="AN7136">
        <v>1.0000000493143</v>
      </c>
    </row>
    <row r="7137" spans="1:40" x14ac:dyDescent="0.25">
      <c r="A7137" t="str">
        <f>"20190312151203612"</f>
        <v>20190312151203612</v>
      </c>
      <c r="B7137" t="str">
        <f>"1552374723608295"</f>
        <v>1552374723608295</v>
      </c>
      <c r="C7137" t="s">
        <v>40</v>
      </c>
      <c r="D7137">
        <v>5.2773830000000004</v>
      </c>
      <c r="E7137">
        <v>0.52142390000000005</v>
      </c>
      <c r="F7137" t="s">
        <v>41</v>
      </c>
      <c r="G7137">
        <v>-186.24340000000001</v>
      </c>
      <c r="H7137">
        <v>1.0219959999999999</v>
      </c>
      <c r="I7137">
        <v>89.845780000000005</v>
      </c>
      <c r="J7137">
        <v>-186.38800000000001</v>
      </c>
      <c r="K7137">
        <v>1.109289</v>
      </c>
      <c r="L7137">
        <v>89.372410000000002</v>
      </c>
      <c r="M7137">
        <v>-8.6964899999999903E-4</v>
      </c>
      <c r="N7137">
        <v>0</v>
      </c>
      <c r="O7137">
        <v>0.99988969999999999</v>
      </c>
      <c r="P7137">
        <v>0.10863639999999999</v>
      </c>
      <c r="Q7137">
        <v>0.1003854</v>
      </c>
      <c r="R7137">
        <v>0.98899999999999999</v>
      </c>
      <c r="S7137">
        <v>0.49877929999999998</v>
      </c>
      <c r="T7137">
        <v>-0.30143550000000002</v>
      </c>
      <c r="U7137">
        <v>3.00943</v>
      </c>
      <c r="V7137">
        <v>0.1097895</v>
      </c>
      <c r="W7137">
        <v>0.11475390000000001</v>
      </c>
      <c r="X7137">
        <v>0.98730839999999997</v>
      </c>
      <c r="Y7137">
        <v>0.16357389999999999</v>
      </c>
      <c r="Z7137">
        <v>-9.8329600000000003E-2</v>
      </c>
      <c r="AA7137">
        <v>0.98161849999999995</v>
      </c>
      <c r="AB7137">
        <v>41</v>
      </c>
      <c r="AC7137">
        <v>0.14459999999999601</v>
      </c>
      <c r="AD7137">
        <v>-8.7292999999999996E-2</v>
      </c>
      <c r="AE7137">
        <v>0.47337000000000201</v>
      </c>
      <c r="AF7137">
        <v>0.14063730167115701</v>
      </c>
      <c r="AG7137">
        <v>-8.7292999999999996E-2</v>
      </c>
      <c r="AH7137">
        <v>0.45896839430038</v>
      </c>
      <c r="AI7137">
        <v>100.306513969631</v>
      </c>
      <c r="AJ7137">
        <v>72.963864463808903</v>
      </c>
      <c r="AK7137">
        <v>0.48790460690283799</v>
      </c>
      <c r="AL7137">
        <v>83.410569640800901</v>
      </c>
      <c r="AM7137">
        <v>83.654731256122403</v>
      </c>
      <c r="AN7137">
        <v>1.000000034293</v>
      </c>
    </row>
    <row r="7138" spans="1:40" x14ac:dyDescent="0.25">
      <c r="A7138" t="str">
        <f>"20190312151203633"</f>
        <v>20190312151203633</v>
      </c>
      <c r="B7138" t="str">
        <f>"1552374723628792"</f>
        <v>1552374723628792</v>
      </c>
      <c r="C7138" t="s">
        <v>40</v>
      </c>
      <c r="D7138">
        <v>5.3299799999999999</v>
      </c>
      <c r="E7138">
        <v>0.52136579999999999</v>
      </c>
      <c r="F7138" t="s">
        <v>41</v>
      </c>
      <c r="G7138">
        <v>-186.24760000000001</v>
      </c>
      <c r="H7138">
        <v>1.0252669999999999</v>
      </c>
      <c r="I7138">
        <v>90.209590000000006</v>
      </c>
      <c r="J7138">
        <v>-186.38730000000001</v>
      </c>
      <c r="K7138">
        <v>1.1091819999999999</v>
      </c>
      <c r="L7138">
        <v>89.76764</v>
      </c>
      <c r="M7138">
        <v>3.8265420000000003E-4</v>
      </c>
      <c r="N7138">
        <v>0</v>
      </c>
      <c r="O7138">
        <v>0.99988940000000004</v>
      </c>
      <c r="P7138">
        <v>0.1111317</v>
      </c>
      <c r="Q7138">
        <v>0.1000433</v>
      </c>
      <c r="R7138">
        <v>0.98875740000000001</v>
      </c>
      <c r="S7138">
        <v>0.50439449999999997</v>
      </c>
      <c r="T7138">
        <v>-0.30195070000000002</v>
      </c>
      <c r="U7138">
        <v>3.0086360000000001</v>
      </c>
      <c r="V7138">
        <v>0.1110781</v>
      </c>
      <c r="W7138">
        <v>0.11441759999999999</v>
      </c>
      <c r="X7138">
        <v>0.98720319999999995</v>
      </c>
      <c r="Y7138">
        <v>0.1641599</v>
      </c>
      <c r="Z7138">
        <v>-9.8501770000000002E-2</v>
      </c>
      <c r="AA7138">
        <v>0.98150340000000003</v>
      </c>
      <c r="AB7138">
        <v>41</v>
      </c>
      <c r="AC7138">
        <v>0.13970000000000399</v>
      </c>
      <c r="AD7138">
        <v>-8.3914999999999906E-2</v>
      </c>
      <c r="AE7138">
        <v>0.44195000000000501</v>
      </c>
      <c r="AF7138">
        <v>0.135102567998268</v>
      </c>
      <c r="AG7138">
        <v>-8.3914999999999906E-2</v>
      </c>
      <c r="AH7138">
        <v>0.42797557303131101</v>
      </c>
      <c r="AI7138">
        <v>100.59081535559299</v>
      </c>
      <c r="AJ7138">
        <v>72.480228040195001</v>
      </c>
      <c r="AK7138">
        <v>0.45657148642486001</v>
      </c>
      <c r="AL7138">
        <v>83.429965376848102</v>
      </c>
      <c r="AM7138">
        <v>83.5801965370906</v>
      </c>
      <c r="AN7138">
        <v>0.99999994478980303</v>
      </c>
    </row>
    <row r="7139" spans="1:40" x14ac:dyDescent="0.25">
      <c r="A7139" t="str">
        <f>"20190312151203657"</f>
        <v>20190312151203657</v>
      </c>
      <c r="B7139" t="str">
        <f>"1552374723648311"</f>
        <v>1552374723648311</v>
      </c>
      <c r="C7139" t="s">
        <v>40</v>
      </c>
      <c r="D7139">
        <v>5.2430519999999996</v>
      </c>
      <c r="E7139">
        <v>0.52135039999999999</v>
      </c>
      <c r="F7139" t="s">
        <v>41</v>
      </c>
      <c r="G7139">
        <v>-186.2501</v>
      </c>
      <c r="H7139">
        <v>1.0277019999999999</v>
      </c>
      <c r="I7139">
        <v>90.572689999999994</v>
      </c>
      <c r="J7139">
        <v>-186.38579999999999</v>
      </c>
      <c r="K7139">
        <v>1.1090469999999999</v>
      </c>
      <c r="L7139">
        <v>90.185149999999993</v>
      </c>
      <c r="M7139">
        <v>1.8377630000000001E-3</v>
      </c>
      <c r="N7139">
        <v>0</v>
      </c>
      <c r="O7139">
        <v>0.99988719999999998</v>
      </c>
      <c r="P7139">
        <v>0.11378539999999999</v>
      </c>
      <c r="Q7139">
        <v>0.1000118</v>
      </c>
      <c r="R7139">
        <v>0.98845859999999997</v>
      </c>
      <c r="S7139">
        <v>0.51168820000000004</v>
      </c>
      <c r="T7139">
        <v>-0.30436020000000003</v>
      </c>
      <c r="U7139">
        <v>3.0074160000000001</v>
      </c>
      <c r="V7139">
        <v>0.1123305</v>
      </c>
      <c r="W7139">
        <v>0.1143839</v>
      </c>
      <c r="X7139">
        <v>0.98706539999999998</v>
      </c>
      <c r="Y7139">
        <v>0.16509070000000001</v>
      </c>
      <c r="Z7139">
        <v>-9.9291619999999997E-2</v>
      </c>
      <c r="AA7139">
        <v>0.98126769999999996</v>
      </c>
      <c r="AB7139">
        <v>40</v>
      </c>
      <c r="AC7139">
        <v>0.135699999999985</v>
      </c>
      <c r="AD7139">
        <v>-8.1344999999999695E-2</v>
      </c>
      <c r="AE7139">
        <v>0.38754000000001498</v>
      </c>
      <c r="AF7139">
        <v>0.12988978051920699</v>
      </c>
      <c r="AG7139">
        <v>-8.1344999999999695E-2</v>
      </c>
      <c r="AH7139">
        <v>0.37314419641922197</v>
      </c>
      <c r="AI7139">
        <v>101.633614070448</v>
      </c>
      <c r="AJ7139">
        <v>70.807227670499501</v>
      </c>
      <c r="AK7139">
        <v>0.40339181378614403</v>
      </c>
      <c r="AL7139">
        <v>83.431909111168594</v>
      </c>
      <c r="AM7139">
        <v>83.5075295062245</v>
      </c>
      <c r="AN7139">
        <v>0.999999960843309</v>
      </c>
    </row>
    <row r="7140" spans="1:40" x14ac:dyDescent="0.25">
      <c r="A7140" t="str">
        <f>"20190312151203678"</f>
        <v>20190312151203678</v>
      </c>
      <c r="B7140" t="str">
        <f>"1552374723668808"</f>
        <v>1552374723668808</v>
      </c>
      <c r="C7140" t="s">
        <v>40</v>
      </c>
      <c r="D7140">
        <v>5.3797040000000003</v>
      </c>
      <c r="E7140">
        <v>0.52182320000000004</v>
      </c>
      <c r="F7140" t="s">
        <v>41</v>
      </c>
      <c r="G7140">
        <v>-186.2559</v>
      </c>
      <c r="H7140">
        <v>1.032259</v>
      </c>
      <c r="I7140">
        <v>90.93638</v>
      </c>
      <c r="J7140">
        <v>-186.3837</v>
      </c>
      <c r="K7140">
        <v>1.108922</v>
      </c>
      <c r="L7140">
        <v>90.581599999999995</v>
      </c>
      <c r="M7140">
        <v>3.3592320000000002E-3</v>
      </c>
      <c r="N7140">
        <v>0</v>
      </c>
      <c r="O7140">
        <v>0.99988279999999996</v>
      </c>
      <c r="P7140">
        <v>0.116492899999999</v>
      </c>
      <c r="Q7140">
        <v>9.9677749999999996E-2</v>
      </c>
      <c r="R7140">
        <v>0.98817699999999997</v>
      </c>
      <c r="S7140">
        <v>0.51995849999999999</v>
      </c>
      <c r="T7140">
        <v>-0.30728470000000002</v>
      </c>
      <c r="U7140">
        <v>3.006256</v>
      </c>
      <c r="V7140">
        <v>0.11357059999999999</v>
      </c>
      <c r="W7140">
        <v>0.1140395</v>
      </c>
      <c r="X7140">
        <v>0.98696340000000005</v>
      </c>
      <c r="Y7140">
        <v>0.16625870000000001</v>
      </c>
      <c r="Z7140">
        <v>-0.10024039999999999</v>
      </c>
      <c r="AA7140">
        <v>0.98097400000000001</v>
      </c>
      <c r="AB7140">
        <v>40</v>
      </c>
      <c r="AC7140">
        <v>0.12780000000000699</v>
      </c>
      <c r="AD7140">
        <v>-7.6662999999999898E-2</v>
      </c>
      <c r="AE7140">
        <v>0.35478000000000498</v>
      </c>
      <c r="AF7140">
        <v>0.121582342338019</v>
      </c>
      <c r="AG7140">
        <v>-7.6662999999999898E-2</v>
      </c>
      <c r="AH7140">
        <v>0.341109262273181</v>
      </c>
      <c r="AI7140">
        <v>101.95306304832</v>
      </c>
      <c r="AJ7140">
        <v>70.382293038019895</v>
      </c>
      <c r="AK7140">
        <v>0.37015538675798498</v>
      </c>
      <c r="AL7140">
        <v>83.451772145605204</v>
      </c>
      <c r="AM7140">
        <v>83.435803934431107</v>
      </c>
      <c r="AN7140">
        <v>1.0000000208420801</v>
      </c>
    </row>
    <row r="7141" spans="1:40" x14ac:dyDescent="0.25">
      <c r="A7141" t="str">
        <f>"20190312151203701"</f>
        <v>20190312151203701</v>
      </c>
      <c r="B7141" t="str">
        <f>"1552374723688336"</f>
        <v>1552374723688336</v>
      </c>
      <c r="C7141" t="s">
        <v>40</v>
      </c>
      <c r="D7141">
        <v>5.3763969999999999</v>
      </c>
      <c r="E7141">
        <v>0.52226589999999995</v>
      </c>
      <c r="F7141" t="s">
        <v>41</v>
      </c>
      <c r="G7141">
        <v>-186.19540000000001</v>
      </c>
      <c r="H7141">
        <v>1.00027</v>
      </c>
      <c r="I7141">
        <v>91.643879999999996</v>
      </c>
      <c r="J7141">
        <v>-186.3809</v>
      </c>
      <c r="K7141">
        <v>1.108792</v>
      </c>
      <c r="L7141">
        <v>90.977360000000004</v>
      </c>
      <c r="M7141">
        <v>5.0180559999999999E-3</v>
      </c>
      <c r="N7141">
        <v>0</v>
      </c>
      <c r="O7141">
        <v>0.99987539999999997</v>
      </c>
      <c r="P7141">
        <v>0.11929380000000001</v>
      </c>
      <c r="Q7141">
        <v>9.9630289999999996E-2</v>
      </c>
      <c r="R7141">
        <v>0.98784760000000005</v>
      </c>
      <c r="S7141">
        <v>0.53233339999999996</v>
      </c>
      <c r="T7141">
        <v>-0.30727280000000001</v>
      </c>
      <c r="U7141">
        <v>3.0041199999999999</v>
      </c>
      <c r="V7141">
        <v>0.11477030000000001</v>
      </c>
      <c r="W7141">
        <v>0.11397649999999999</v>
      </c>
      <c r="X7141">
        <v>0.98683180000000004</v>
      </c>
      <c r="Y7141">
        <v>0.16866030000000001</v>
      </c>
      <c r="Z7141">
        <v>-0.1002494</v>
      </c>
      <c r="AA7141">
        <v>0.98056299999999996</v>
      </c>
      <c r="AB7141">
        <v>40</v>
      </c>
      <c r="AC7141">
        <v>0.18549999999999001</v>
      </c>
      <c r="AD7141">
        <v>-0.10852199999999999</v>
      </c>
      <c r="AE7141">
        <v>0.666520000000005</v>
      </c>
      <c r="AF7141">
        <v>0.17777855589369601</v>
      </c>
      <c r="AG7141">
        <v>-0.10852199999999999</v>
      </c>
      <c r="AH7141">
        <v>0.651415016278034</v>
      </c>
      <c r="AI7141">
        <v>99.130305661404407</v>
      </c>
      <c r="AJ7141">
        <v>74.735064712046906</v>
      </c>
      <c r="AK7141">
        <v>0.68390332858684</v>
      </c>
      <c r="AL7141">
        <v>83.455404891479205</v>
      </c>
      <c r="AM7141">
        <v>83.366201254205706</v>
      </c>
      <c r="AN7141">
        <v>0.99999993290278699</v>
      </c>
    </row>
    <row r="7142" spans="1:40" x14ac:dyDescent="0.25">
      <c r="A7142" t="str">
        <f>"20190312151203724"</f>
        <v>20190312151203724</v>
      </c>
      <c r="B7142" t="str">
        <f>"1552374723718584"</f>
        <v>1552374723718584</v>
      </c>
      <c r="C7142" t="s">
        <v>40</v>
      </c>
      <c r="D7142">
        <v>5.3908259999999997</v>
      </c>
      <c r="E7142">
        <v>0.52283769999999996</v>
      </c>
      <c r="F7142" t="s">
        <v>41</v>
      </c>
      <c r="G7142">
        <v>-186.19409999999999</v>
      </c>
      <c r="H7142">
        <v>1.003762</v>
      </c>
      <c r="I7142">
        <v>92.005960000000002</v>
      </c>
      <c r="J7142">
        <v>-186.37710000000001</v>
      </c>
      <c r="K7142">
        <v>1.1086659999999999</v>
      </c>
      <c r="L7142">
        <v>91.39819</v>
      </c>
      <c r="M7142">
        <v>6.9082240000000001E-3</v>
      </c>
      <c r="N7142">
        <v>0</v>
      </c>
      <c r="O7142">
        <v>0.99986370000000002</v>
      </c>
      <c r="P7142">
        <v>0.1218732</v>
      </c>
      <c r="Q7142">
        <v>9.9424029999999997E-2</v>
      </c>
      <c r="R7142">
        <v>0.98755340000000003</v>
      </c>
      <c r="S7142">
        <v>0.54458619999999902</v>
      </c>
      <c r="T7142">
        <v>-0.30652259999999998</v>
      </c>
      <c r="U7142">
        <v>3.0020449999999999</v>
      </c>
      <c r="V7142">
        <v>0.1155191</v>
      </c>
      <c r="W7142">
        <v>0.1137548</v>
      </c>
      <c r="X7142">
        <v>0.98677009999999998</v>
      </c>
      <c r="Y7142">
        <v>0.1707948</v>
      </c>
      <c r="Z7142">
        <v>-0.10001889999999999</v>
      </c>
      <c r="AA7142">
        <v>0.980217</v>
      </c>
      <c r="AB7142">
        <v>40</v>
      </c>
      <c r="AC7142">
        <v>0.18300000000002101</v>
      </c>
      <c r="AD7142">
        <v>-0.104903999999999</v>
      </c>
      <c r="AE7142">
        <v>0.60777000000000203</v>
      </c>
      <c r="AF7142">
        <v>0.174042423212386</v>
      </c>
      <c r="AG7142">
        <v>-0.104903999999999</v>
      </c>
      <c r="AH7142">
        <v>0.59282625780413001</v>
      </c>
      <c r="AI7142">
        <v>99.636343527637806</v>
      </c>
      <c r="AJ7142">
        <v>73.638772438381906</v>
      </c>
      <c r="AK7142">
        <v>0.62668858792520599</v>
      </c>
      <c r="AL7142">
        <v>83.468191117559996</v>
      </c>
      <c r="AM7142">
        <v>83.322895923827005</v>
      </c>
      <c r="AN7142">
        <v>1.0000000236209201</v>
      </c>
    </row>
    <row r="7143" spans="1:40" x14ac:dyDescent="0.25">
      <c r="A7143" t="str">
        <f>"20190312151203745"</f>
        <v>20190312151203745</v>
      </c>
      <c r="B7143" t="str">
        <f>"1552374723738104"</f>
        <v>1552374723738104</v>
      </c>
      <c r="C7143" t="s">
        <v>40</v>
      </c>
      <c r="D7143">
        <v>5.4012880000000001</v>
      </c>
      <c r="E7143">
        <v>0.52315059999999902</v>
      </c>
      <c r="F7143" t="s">
        <v>41</v>
      </c>
      <c r="G7143">
        <v>-186.1968</v>
      </c>
      <c r="H7143">
        <v>1.0094350000000001</v>
      </c>
      <c r="I7143">
        <v>92.368610000000004</v>
      </c>
      <c r="J7143">
        <v>-186.37270000000001</v>
      </c>
      <c r="K7143">
        <v>1.108554</v>
      </c>
      <c r="L7143">
        <v>91.793520000000001</v>
      </c>
      <c r="M7143">
        <v>8.7909549999999996E-3</v>
      </c>
      <c r="N7143">
        <v>0</v>
      </c>
      <c r="O7143">
        <v>0.99984870000000003</v>
      </c>
      <c r="P7143">
        <v>0.1247438</v>
      </c>
      <c r="Q7143">
        <v>9.9522600000000003E-2</v>
      </c>
      <c r="R7143">
        <v>0.98718499999999998</v>
      </c>
      <c r="S7143">
        <v>0.55738829999999995</v>
      </c>
      <c r="T7143">
        <v>-0.30675789999999997</v>
      </c>
      <c r="U7143">
        <v>2.999908</v>
      </c>
      <c r="V7143">
        <v>0.1165638</v>
      </c>
      <c r="W7143">
        <v>0.1138344</v>
      </c>
      <c r="X7143">
        <v>0.98663809999999996</v>
      </c>
      <c r="Y7143">
        <v>0.17310699999999901</v>
      </c>
      <c r="Z7143">
        <v>-0.1001039</v>
      </c>
      <c r="AA7143">
        <v>0.97980259999999997</v>
      </c>
      <c r="AB7143">
        <v>40</v>
      </c>
      <c r="AC7143">
        <v>0.17590000000001199</v>
      </c>
      <c r="AD7143">
        <v>-9.9118999999999902E-2</v>
      </c>
      <c r="AE7143">
        <v>0.57509000000000199</v>
      </c>
      <c r="AF7143">
        <v>0.16631906280661199</v>
      </c>
      <c r="AG7143">
        <v>-9.9118999999999902E-2</v>
      </c>
      <c r="AH7143">
        <v>0.56136505940407799</v>
      </c>
      <c r="AI7143">
        <v>99.608715787689803</v>
      </c>
      <c r="AJ7143">
        <v>73.496701239549793</v>
      </c>
      <c r="AK7143">
        <v>0.593815911485718</v>
      </c>
      <c r="AL7143">
        <v>83.463600827864894</v>
      </c>
      <c r="AM7143">
        <v>83.262170900813999</v>
      </c>
      <c r="AN7143">
        <v>1.0000000652326999</v>
      </c>
    </row>
    <row r="7144" spans="1:40" x14ac:dyDescent="0.25">
      <c r="A7144" t="str">
        <f>"20190312151203770"</f>
        <v>20190312151203770</v>
      </c>
      <c r="B7144" t="str">
        <f>"1552374723758599"</f>
        <v>1552374723758599</v>
      </c>
      <c r="C7144" t="s">
        <v>40</v>
      </c>
      <c r="D7144">
        <v>5.3637779999999999</v>
      </c>
      <c r="E7144">
        <v>0.52343109999999904</v>
      </c>
      <c r="F7144" t="s">
        <v>41</v>
      </c>
      <c r="G7144">
        <v>-186.19499999999999</v>
      </c>
      <c r="H7144">
        <v>1.0125879999999901</v>
      </c>
      <c r="I7144">
        <v>92.729759999999999</v>
      </c>
      <c r="J7144">
        <v>-186.36689999999999</v>
      </c>
      <c r="K7144">
        <v>1.1084419999999999</v>
      </c>
      <c r="L7144">
        <v>92.231049999999996</v>
      </c>
      <c r="M7144">
        <v>1.098682E-2</v>
      </c>
      <c r="N7144">
        <v>0</v>
      </c>
      <c r="O7144">
        <v>0.99982669999999996</v>
      </c>
      <c r="P7144">
        <v>0.127410199999999</v>
      </c>
      <c r="Q7144">
        <v>9.9894759999999999E-2</v>
      </c>
      <c r="R7144">
        <v>0.98680679999999998</v>
      </c>
      <c r="S7144">
        <v>0.56874080000000005</v>
      </c>
      <c r="T7144">
        <v>-0.30729390000000001</v>
      </c>
      <c r="U7144">
        <v>2.9980470000000001</v>
      </c>
      <c r="V7144">
        <v>0.1170972</v>
      </c>
      <c r="W7144">
        <v>0.1141892</v>
      </c>
      <c r="X7144">
        <v>0.98653389999999996</v>
      </c>
      <c r="Y7144">
        <v>0.17463380000000001</v>
      </c>
      <c r="Z7144">
        <v>-0.1002864</v>
      </c>
      <c r="AA7144">
        <v>0.97951299999999997</v>
      </c>
      <c r="AB7144">
        <v>40</v>
      </c>
      <c r="AC7144">
        <v>0.171899999999993</v>
      </c>
      <c r="AD7144">
        <v>-9.5854000000000106E-2</v>
      </c>
      <c r="AE7144">
        <v>0.49871000000000199</v>
      </c>
      <c r="AF7144">
        <v>0.16109066719248</v>
      </c>
      <c r="AG7144">
        <v>-9.5854000000000106E-2</v>
      </c>
      <c r="AH7144">
        <v>0.48456862886973801</v>
      </c>
      <c r="AI7144">
        <v>100.631394978885</v>
      </c>
      <c r="AJ7144">
        <v>71.611057750047607</v>
      </c>
      <c r="AK7144">
        <v>0.51956226619839996</v>
      </c>
      <c r="AL7144">
        <v>83.443138641615306</v>
      </c>
      <c r="AM7144">
        <v>83.230915502330504</v>
      </c>
      <c r="AN7144">
        <v>1.00000003174684</v>
      </c>
    </row>
    <row r="7145" spans="1:40" x14ac:dyDescent="0.25">
      <c r="A7145" t="str">
        <f>"20190312151203792"</f>
        <v>20190312151203792</v>
      </c>
      <c r="B7145" t="str">
        <f>"1552374723788855"</f>
        <v>1552374723788855</v>
      </c>
      <c r="C7145" t="s">
        <v>40</v>
      </c>
      <c r="D7145">
        <v>5.5807270000000004</v>
      </c>
      <c r="E7145">
        <v>0.52368289999999995</v>
      </c>
      <c r="F7145" t="s">
        <v>41</v>
      </c>
      <c r="G7145">
        <v>-186.2003</v>
      </c>
      <c r="H7145">
        <v>1.020438</v>
      </c>
      <c r="I7145">
        <v>93.092460000000003</v>
      </c>
      <c r="J7145">
        <v>-186.36060000000001</v>
      </c>
      <c r="K7145">
        <v>1.1083499999999999</v>
      </c>
      <c r="L7145">
        <v>92.631619999999998</v>
      </c>
      <c r="M7145">
        <v>1.308545E-2</v>
      </c>
      <c r="N7145">
        <v>0</v>
      </c>
      <c r="O7145">
        <v>0.99980119999999895</v>
      </c>
      <c r="P7145">
        <v>0.12987360000000001</v>
      </c>
      <c r="Q7145">
        <v>0.1005905</v>
      </c>
      <c r="R7145">
        <v>0.98641489999999998</v>
      </c>
      <c r="S7145">
        <v>0.57951350000000001</v>
      </c>
      <c r="T7145">
        <v>-0.30609730000000002</v>
      </c>
      <c r="U7145">
        <v>2.9962770000000001</v>
      </c>
      <c r="V7145">
        <v>0.1175216</v>
      </c>
      <c r="W7145">
        <v>0.1148676</v>
      </c>
      <c r="X7145">
        <v>0.98640470000000002</v>
      </c>
      <c r="Y7145">
        <v>0.1760774</v>
      </c>
      <c r="Z7145">
        <v>-9.9907350000000006E-2</v>
      </c>
      <c r="AA7145">
        <v>0.97929319999999997</v>
      </c>
      <c r="AB7145">
        <v>40</v>
      </c>
      <c r="AC7145">
        <v>0.16030000000000599</v>
      </c>
      <c r="AD7145">
        <v>-8.7911999999999907E-2</v>
      </c>
      <c r="AE7145">
        <v>0.46084000000000402</v>
      </c>
      <c r="AF7145">
        <v>0.14940511115095101</v>
      </c>
      <c r="AG7145">
        <v>-8.7911999999999907E-2</v>
      </c>
      <c r="AH7145">
        <v>0.44834366430453299</v>
      </c>
      <c r="AI7145">
        <v>100.537980440544</v>
      </c>
      <c r="AJ7145">
        <v>71.569971304572405</v>
      </c>
      <c r="AK7145">
        <v>0.480689555018667</v>
      </c>
      <c r="AL7145">
        <v>83.404011930200895</v>
      </c>
      <c r="AM7145">
        <v>83.205729433270903</v>
      </c>
      <c r="AN7145">
        <v>1.0000000620892</v>
      </c>
    </row>
    <row r="7146" spans="1:40" x14ac:dyDescent="0.25">
      <c r="A7146" t="str">
        <f>"20190312151203812"</f>
        <v>20190312151203812</v>
      </c>
      <c r="B7146" t="str">
        <f>"1552374723808375"</f>
        <v>1552374723808375</v>
      </c>
      <c r="C7146" t="s">
        <v>40</v>
      </c>
      <c r="D7146">
        <v>5.3791679999999999</v>
      </c>
      <c r="E7146">
        <v>0.52380669999999996</v>
      </c>
      <c r="F7146" t="s">
        <v>41</v>
      </c>
      <c r="G7146">
        <v>-186.1987</v>
      </c>
      <c r="H7146">
        <v>1.024553</v>
      </c>
      <c r="I7146">
        <v>93.453869999999995</v>
      </c>
      <c r="J7146">
        <v>-186.35419999999999</v>
      </c>
      <c r="K7146">
        <v>1.108274</v>
      </c>
      <c r="L7146">
        <v>92.990080000000006</v>
      </c>
      <c r="M7146">
        <v>1.502409E-2</v>
      </c>
      <c r="N7146">
        <v>0</v>
      </c>
      <c r="O7146">
        <v>0.99977369999999999</v>
      </c>
      <c r="P7146">
        <v>0.132258399999999</v>
      </c>
      <c r="Q7146">
        <v>0.10091120000000001</v>
      </c>
      <c r="R7146">
        <v>0.98606519999999998</v>
      </c>
      <c r="S7146">
        <v>0.58918760000000003</v>
      </c>
      <c r="T7146">
        <v>-0.30520419999999998</v>
      </c>
      <c r="U7146">
        <v>2.9948730000000001</v>
      </c>
      <c r="V7146">
        <v>0.1180191</v>
      </c>
      <c r="W7146">
        <v>0.1151726</v>
      </c>
      <c r="X7146">
        <v>0.98630960000000001</v>
      </c>
      <c r="Y7146">
        <v>0.177307399999999</v>
      </c>
      <c r="Z7146">
        <v>-9.9618819999999997E-2</v>
      </c>
      <c r="AA7146">
        <v>0.97910070000000005</v>
      </c>
      <c r="AB7146">
        <v>40</v>
      </c>
      <c r="AC7146">
        <v>0.15549999999998901</v>
      </c>
      <c r="AD7146">
        <v>-8.3720999999999907E-2</v>
      </c>
      <c r="AE7146">
        <v>0.46378999999998799</v>
      </c>
      <c r="AF7146">
        <v>0.14428706977647099</v>
      </c>
      <c r="AG7146">
        <v>-8.3720999999999907E-2</v>
      </c>
      <c r="AH7146">
        <v>0.45281010786859099</v>
      </c>
      <c r="AI7146">
        <v>99.990980778069698</v>
      </c>
      <c r="AJ7146">
        <v>72.325620370548904</v>
      </c>
      <c r="AK7146">
        <v>0.48256083360924001</v>
      </c>
      <c r="AL7146">
        <v>83.386419095331306</v>
      </c>
      <c r="AM7146">
        <v>83.176586403745404</v>
      </c>
      <c r="AN7146">
        <v>0.99999993140386201</v>
      </c>
    </row>
    <row r="7147" spans="1:40" x14ac:dyDescent="0.25">
      <c r="A7147" t="str">
        <f>"20190312151203834"</f>
        <v>20190312151203834</v>
      </c>
      <c r="B7147" t="str">
        <f>"1552374723828871"</f>
        <v>1552374723828871</v>
      </c>
      <c r="C7147" t="s">
        <v>40</v>
      </c>
      <c r="D7147">
        <v>5.5395789999999998</v>
      </c>
      <c r="E7147">
        <v>0.52412119999999995</v>
      </c>
      <c r="F7147" t="s">
        <v>41</v>
      </c>
      <c r="G7147">
        <v>-186.1902</v>
      </c>
      <c r="H7147">
        <v>1.024942</v>
      </c>
      <c r="I7147">
        <v>93.812650000000005</v>
      </c>
      <c r="J7147">
        <v>-186.34630000000001</v>
      </c>
      <c r="K7147">
        <v>1.108204</v>
      </c>
      <c r="L7147">
        <v>93.389769999999999</v>
      </c>
      <c r="M7147">
        <v>1.7237280000000001E-2</v>
      </c>
      <c r="N7147">
        <v>0</v>
      </c>
      <c r="O7147">
        <v>0.99973789999999996</v>
      </c>
      <c r="P7147">
        <v>0.13486600000000001</v>
      </c>
      <c r="Q7147">
        <v>0.1004949</v>
      </c>
      <c r="R7147">
        <v>0.98575449999999998</v>
      </c>
      <c r="S7147">
        <v>0.59671019999999997</v>
      </c>
      <c r="T7147">
        <v>-0.30323080000000002</v>
      </c>
      <c r="U7147">
        <v>2.9933779999999999</v>
      </c>
      <c r="V7147">
        <v>0.1184644</v>
      </c>
      <c r="W7147">
        <v>0.1147415</v>
      </c>
      <c r="X7147">
        <v>0.98630649999999997</v>
      </c>
      <c r="Y7147">
        <v>0.1776015</v>
      </c>
      <c r="Z7147">
        <v>-9.8997539999999995E-2</v>
      </c>
      <c r="AA7147">
        <v>0.97911040000000005</v>
      </c>
      <c r="AB7147">
        <v>40</v>
      </c>
      <c r="AC7147">
        <v>0.15610000000000901</v>
      </c>
      <c r="AD7147">
        <v>-8.32620000000001E-2</v>
      </c>
      <c r="AE7147">
        <v>0.42288000000000597</v>
      </c>
      <c r="AF7147">
        <v>0.14387787439715999</v>
      </c>
      <c r="AG7147">
        <v>-8.32620000000001E-2</v>
      </c>
      <c r="AH7147">
        <v>0.41146975059181701</v>
      </c>
      <c r="AI7147">
        <v>100.81392015546</v>
      </c>
      <c r="AJ7147">
        <v>70.726893172754998</v>
      </c>
      <c r="AK7147">
        <v>0.443780079585753</v>
      </c>
      <c r="AL7147">
        <v>83.411284399861501</v>
      </c>
      <c r="AM7147">
        <v>83.151063634068393</v>
      </c>
      <c r="AN7147">
        <v>0.99999996891592902</v>
      </c>
    </row>
    <row r="7148" spans="1:40" x14ac:dyDescent="0.25">
      <c r="A7148" t="str">
        <f>"20190312151203857"</f>
        <v>20190312151203857</v>
      </c>
      <c r="B7148" t="str">
        <f>"1552374723848395"</f>
        <v>1552374723848395</v>
      </c>
      <c r="C7148" t="s">
        <v>40</v>
      </c>
      <c r="D7148">
        <v>5.3723289999999997</v>
      </c>
      <c r="E7148">
        <v>0.52423169999999997</v>
      </c>
      <c r="F7148" t="s">
        <v>41</v>
      </c>
      <c r="G7148">
        <v>-186.1875</v>
      </c>
      <c r="H7148">
        <v>1.0279100000000001</v>
      </c>
      <c r="I7148">
        <v>94.172200000000004</v>
      </c>
      <c r="J7148">
        <v>-186.3374</v>
      </c>
      <c r="K7148">
        <v>1.1081350000000001</v>
      </c>
      <c r="L7148">
        <v>93.794370000000001</v>
      </c>
      <c r="M7148">
        <v>1.9521549999999999E-2</v>
      </c>
      <c r="N7148">
        <v>0</v>
      </c>
      <c r="O7148">
        <v>0.99969580000000002</v>
      </c>
      <c r="P7148">
        <v>0.13718</v>
      </c>
      <c r="Q7148">
        <v>0.1006483</v>
      </c>
      <c r="R7148">
        <v>0.9854195</v>
      </c>
      <c r="S7148">
        <v>0.60708619999999902</v>
      </c>
      <c r="T7148">
        <v>-0.3069885</v>
      </c>
      <c r="U7148">
        <v>2.9915769999999999</v>
      </c>
      <c r="V7148">
        <v>0.1185471</v>
      </c>
      <c r="W7148">
        <v>0.1148822</v>
      </c>
      <c r="X7148">
        <v>0.98628020000000005</v>
      </c>
      <c r="Y7148">
        <v>0.1787057</v>
      </c>
      <c r="Z7148">
        <v>-0.1002205</v>
      </c>
      <c r="AA7148">
        <v>0.97878500000000002</v>
      </c>
      <c r="AB7148">
        <v>40</v>
      </c>
      <c r="AC7148">
        <v>0.149900000000002</v>
      </c>
      <c r="AD7148">
        <v>-8.0224999999999894E-2</v>
      </c>
      <c r="AE7148">
        <v>0.377830000000003</v>
      </c>
      <c r="AF7148">
        <v>0.13715225353395299</v>
      </c>
      <c r="AG7148">
        <v>-8.0224999999999894E-2</v>
      </c>
      <c r="AH7148">
        <v>0.36641171380561599</v>
      </c>
      <c r="AI7148">
        <v>101.58806611605399</v>
      </c>
      <c r="AJ7148">
        <v>69.478528720946898</v>
      </c>
      <c r="AK7148">
        <v>0.39937993851520698</v>
      </c>
      <c r="AL7148">
        <v>83.403169318788997</v>
      </c>
      <c r="AM7148">
        <v>83.146146833985497</v>
      </c>
      <c r="AN7148">
        <v>0.99999998385364497</v>
      </c>
    </row>
    <row r="7149" spans="1:40" x14ac:dyDescent="0.25">
      <c r="A7149" t="str">
        <f>"20190312151203878"</f>
        <v>20190312151203878</v>
      </c>
      <c r="B7149" t="str">
        <f>"1552374723868888"</f>
        <v>1552374723868888</v>
      </c>
      <c r="C7149" t="s">
        <v>40</v>
      </c>
      <c r="D7149">
        <v>5.3540380000000001</v>
      </c>
      <c r="E7149">
        <v>0.52428679999999905</v>
      </c>
      <c r="F7149" t="s">
        <v>41</v>
      </c>
      <c r="G7149">
        <v>-186.18549999999999</v>
      </c>
      <c r="H7149">
        <v>1.0325059999999999</v>
      </c>
      <c r="I7149">
        <v>94.532480000000007</v>
      </c>
      <c r="J7149">
        <v>-186.328</v>
      </c>
      <c r="K7149">
        <v>1.108079</v>
      </c>
      <c r="L7149">
        <v>94.177369999999996</v>
      </c>
      <c r="M7149">
        <v>2.171507E-2</v>
      </c>
      <c r="N7149">
        <v>0</v>
      </c>
      <c r="O7149">
        <v>0.99965040000000005</v>
      </c>
      <c r="P7149">
        <v>0.14007910000000001</v>
      </c>
      <c r="Q7149">
        <v>0.1007501</v>
      </c>
      <c r="R7149">
        <v>0.98500109999999996</v>
      </c>
      <c r="S7149">
        <v>0.61523439999999996</v>
      </c>
      <c r="T7149">
        <v>-0.30633929999999998</v>
      </c>
      <c r="U7149">
        <v>2.990021</v>
      </c>
      <c r="V7149">
        <v>0.1193023</v>
      </c>
      <c r="W7149">
        <v>0.114968899999999</v>
      </c>
      <c r="X7149">
        <v>0.98617909999999998</v>
      </c>
      <c r="Y7149">
        <v>0.17921089999999901</v>
      </c>
      <c r="Z7149">
        <v>-0.100023</v>
      </c>
      <c r="AA7149">
        <v>0.9787129</v>
      </c>
      <c r="AB7149">
        <v>40</v>
      </c>
      <c r="AC7149">
        <v>0.14250000000001201</v>
      </c>
      <c r="AD7149">
        <v>-7.5573000000000098E-2</v>
      </c>
      <c r="AE7149">
        <v>0.35511000000000997</v>
      </c>
      <c r="AF7149">
        <v>0.12969500638339301</v>
      </c>
      <c r="AG7149">
        <v>-7.5573000000000098E-2</v>
      </c>
      <c r="AH7149">
        <v>0.344675557325618</v>
      </c>
      <c r="AI7149">
        <v>101.596750924695</v>
      </c>
      <c r="AJ7149">
        <v>69.379613988678003</v>
      </c>
      <c r="AK7149">
        <v>0.37594323085741799</v>
      </c>
      <c r="AL7149">
        <v>83.398169092657398</v>
      </c>
      <c r="AM7149">
        <v>83.102203618028199</v>
      </c>
      <c r="AN7149">
        <v>1.0000000520146499</v>
      </c>
    </row>
    <row r="7150" spans="1:40" x14ac:dyDescent="0.25">
      <c r="A7150" t="str">
        <f>"20190312151203902"</f>
        <v>20190312151203902</v>
      </c>
      <c r="B7150" t="str">
        <f>"1552374723898169"</f>
        <v>1552374723898169</v>
      </c>
      <c r="C7150" t="s">
        <v>40</v>
      </c>
      <c r="D7150">
        <v>5.3889699999999996</v>
      </c>
      <c r="E7150">
        <v>0.52435279999999995</v>
      </c>
      <c r="F7150" t="s">
        <v>41</v>
      </c>
      <c r="G7150">
        <v>-186.10769999999999</v>
      </c>
      <c r="H7150">
        <v>1.0003550000000001</v>
      </c>
      <c r="I7150">
        <v>95.232010000000002</v>
      </c>
      <c r="J7150">
        <v>-186.3168</v>
      </c>
      <c r="K7150">
        <v>1.1080319999999999</v>
      </c>
      <c r="L7150">
        <v>94.592380000000006</v>
      </c>
      <c r="M7150">
        <v>2.4115629999999999E-2</v>
      </c>
      <c r="N7150">
        <v>0</v>
      </c>
      <c r="O7150">
        <v>0.99959529999999996</v>
      </c>
      <c r="P7150">
        <v>0.14323930000000001</v>
      </c>
      <c r="Q7150">
        <v>0.1004492</v>
      </c>
      <c r="R7150">
        <v>0.98457729999999999</v>
      </c>
      <c r="S7150">
        <v>0.62403869999999995</v>
      </c>
      <c r="T7150">
        <v>-0.30520520000000001</v>
      </c>
      <c r="U7150">
        <v>2.988159</v>
      </c>
      <c r="V7150">
        <v>0.12011040000000001</v>
      </c>
      <c r="W7150">
        <v>0.1146544</v>
      </c>
      <c r="X7150">
        <v>0.98611749999999998</v>
      </c>
      <c r="Y7150">
        <v>0.17974109999999999</v>
      </c>
      <c r="Z7150">
        <v>-9.9674399999999996E-2</v>
      </c>
      <c r="AA7150">
        <v>0.97865119999999906</v>
      </c>
      <c r="AB7150">
        <v>40</v>
      </c>
      <c r="AC7150">
        <v>0.209100000000006</v>
      </c>
      <c r="AD7150">
        <v>-0.10767699999999999</v>
      </c>
      <c r="AE7150">
        <v>0.63962999999999604</v>
      </c>
      <c r="AF7150">
        <v>0.18877901468556099</v>
      </c>
      <c r="AG7150">
        <v>-0.10767699999999999</v>
      </c>
      <c r="AH7150">
        <v>0.62839816410640803</v>
      </c>
      <c r="AI7150">
        <v>99.3195326800316</v>
      </c>
      <c r="AJ7150">
        <v>73.279045820859594</v>
      </c>
      <c r="AK7150">
        <v>0.66491811929511702</v>
      </c>
      <c r="AL7150">
        <v>83.416307770219206</v>
      </c>
      <c r="AM7150">
        <v>83.055506189045204</v>
      </c>
      <c r="AN7150">
        <v>0.99999993171688195</v>
      </c>
    </row>
    <row r="7151" spans="1:40" x14ac:dyDescent="0.25">
      <c r="A7151" t="str">
        <f>"20190312151203923"</f>
        <v>20190312151203923</v>
      </c>
      <c r="B7151" t="str">
        <f>"1552374723918664"</f>
        <v>1552374723918664</v>
      </c>
      <c r="C7151" t="s">
        <v>40</v>
      </c>
      <c r="D7151">
        <v>5.3867019999999997</v>
      </c>
      <c r="E7151">
        <v>0.52436910000000003</v>
      </c>
      <c r="F7151" t="s">
        <v>41</v>
      </c>
      <c r="G7151">
        <v>-186.1046</v>
      </c>
      <c r="H7151">
        <v>1.006699</v>
      </c>
      <c r="I7151">
        <v>95.590869999999995</v>
      </c>
      <c r="J7151">
        <v>-186.3057</v>
      </c>
      <c r="K7151">
        <v>1.107996</v>
      </c>
      <c r="L7151">
        <v>94.970339999999993</v>
      </c>
      <c r="M7151">
        <v>2.6315410000000001E-2</v>
      </c>
      <c r="N7151">
        <v>0</v>
      </c>
      <c r="O7151">
        <v>0.99953979999999998</v>
      </c>
      <c r="P7151">
        <v>0.14571479999999901</v>
      </c>
      <c r="Q7151">
        <v>9.9838590000000005E-2</v>
      </c>
      <c r="R7151">
        <v>0.98427609999999999</v>
      </c>
      <c r="S7151">
        <v>0.63400269999999903</v>
      </c>
      <c r="T7151">
        <v>-0.30298979999999998</v>
      </c>
      <c r="U7151">
        <v>2.9856569999999998</v>
      </c>
      <c r="V7151">
        <v>0.12042460000000001</v>
      </c>
      <c r="W7151">
        <v>0.1140362</v>
      </c>
      <c r="X7151">
        <v>0.98615090000000005</v>
      </c>
      <c r="Y7151">
        <v>0.18088209999999999</v>
      </c>
      <c r="Z7151">
        <v>-9.8986480000000002E-2</v>
      </c>
      <c r="AA7151">
        <v>0.97851080000000001</v>
      </c>
      <c r="AB7151">
        <v>40</v>
      </c>
      <c r="AC7151">
        <v>0.201099999999996</v>
      </c>
      <c r="AD7151">
        <v>-0.101296999999999</v>
      </c>
      <c r="AE7151">
        <v>0.62052999999998704</v>
      </c>
      <c r="AF7151">
        <v>0.18034976891327301</v>
      </c>
      <c r="AG7151">
        <v>-0.101296999999999</v>
      </c>
      <c r="AH7151">
        <v>0.61087614803191803</v>
      </c>
      <c r="AI7151">
        <v>99.036433477117498</v>
      </c>
      <c r="AJ7151">
        <v>73.551749168714593</v>
      </c>
      <c r="AK7151">
        <v>0.64494712154593403</v>
      </c>
      <c r="AL7151">
        <v>83.451962118222497</v>
      </c>
      <c r="AM7151">
        <v>83.037751481384504</v>
      </c>
      <c r="AN7151">
        <v>0.99999996838320404</v>
      </c>
    </row>
    <row r="7152" spans="1:40" x14ac:dyDescent="0.25">
      <c r="A7152" t="str">
        <f>"20190312151203946"</f>
        <v>20190312151203946</v>
      </c>
      <c r="B7152" t="str">
        <f>"1552374723938187"</f>
        <v>1552374723938187</v>
      </c>
      <c r="C7152" t="s">
        <v>40</v>
      </c>
      <c r="D7152">
        <v>5.3771409999999999</v>
      </c>
      <c r="E7152">
        <v>0.52440140000000002</v>
      </c>
      <c r="F7152" t="s">
        <v>41</v>
      </c>
      <c r="G7152">
        <v>-186.09540000000001</v>
      </c>
      <c r="H7152">
        <v>1.008894</v>
      </c>
      <c r="I7152">
        <v>95.947659999999999</v>
      </c>
      <c r="J7152">
        <v>-186.29249999999999</v>
      </c>
      <c r="K7152">
        <v>1.1079699999999999</v>
      </c>
      <c r="L7152">
        <v>95.386629999999997</v>
      </c>
      <c r="M7152">
        <v>2.8747910000000002E-2</v>
      </c>
      <c r="N7152">
        <v>0</v>
      </c>
      <c r="O7152">
        <v>0.99947269999999999</v>
      </c>
      <c r="P7152">
        <v>0.1479994</v>
      </c>
      <c r="Q7152">
        <v>9.9465269999999995E-2</v>
      </c>
      <c r="R7152">
        <v>0.98397299999999999</v>
      </c>
      <c r="S7152">
        <v>0.64181519999999903</v>
      </c>
      <c r="T7152">
        <v>-0.30253849999999999</v>
      </c>
      <c r="U7152">
        <v>2.9835820000000002</v>
      </c>
      <c r="V7152">
        <v>0.1203181</v>
      </c>
      <c r="W7152">
        <v>0.1136582</v>
      </c>
      <c r="X7152">
        <v>0.98620759999999996</v>
      </c>
      <c r="Y7152">
        <v>0.18107999999999999</v>
      </c>
      <c r="Z7152">
        <v>-9.8868830000000005E-2</v>
      </c>
      <c r="AA7152">
        <v>0.97848610000000003</v>
      </c>
      <c r="AB7152">
        <v>40</v>
      </c>
      <c r="AC7152">
        <v>0.19709999999997699</v>
      </c>
      <c r="AD7152">
        <v>-9.9076000000000095E-2</v>
      </c>
      <c r="AE7152">
        <v>0.56102999999998804</v>
      </c>
      <c r="AF7152">
        <v>0.17600239801009401</v>
      </c>
      <c r="AG7152">
        <v>-9.9076000000000095E-2</v>
      </c>
      <c r="AH7152">
        <v>0.55116454992004504</v>
      </c>
      <c r="AI7152">
        <v>99.7170160716624</v>
      </c>
      <c r="AJ7152">
        <v>72.290249739223299</v>
      </c>
      <c r="AK7152">
        <v>0.587005331295952</v>
      </c>
      <c r="AL7152">
        <v>83.473762068546506</v>
      </c>
      <c r="AM7152">
        <v>83.044244350084696</v>
      </c>
      <c r="AN7152">
        <v>1.0000000309563</v>
      </c>
    </row>
    <row r="7153" spans="1:40" x14ac:dyDescent="0.25">
      <c r="A7153" t="str">
        <f>"20190312151203970"</f>
        <v>20190312151203970</v>
      </c>
      <c r="B7153" t="str">
        <f>"1552374723958679"</f>
        <v>1552374723958679</v>
      </c>
      <c r="C7153" t="s">
        <v>40</v>
      </c>
      <c r="D7153">
        <v>5.379016</v>
      </c>
      <c r="E7153">
        <v>0.52448739999999905</v>
      </c>
      <c r="F7153" t="s">
        <v>41</v>
      </c>
      <c r="G7153">
        <v>-186.09229999999999</v>
      </c>
      <c r="H7153">
        <v>1.015001</v>
      </c>
      <c r="I7153">
        <v>96.305629999999994</v>
      </c>
      <c r="J7153">
        <v>-186.2784</v>
      </c>
      <c r="K7153">
        <v>1.1079490000000001</v>
      </c>
      <c r="L7153">
        <v>95.80386</v>
      </c>
      <c r="M7153">
        <v>3.1191320000000002E-2</v>
      </c>
      <c r="N7153">
        <v>0</v>
      </c>
      <c r="O7153">
        <v>0.99939940000000005</v>
      </c>
      <c r="P7153">
        <v>0.15064369999999999</v>
      </c>
      <c r="Q7153">
        <v>9.9000610000000003E-2</v>
      </c>
      <c r="R7153">
        <v>0.98361849999999995</v>
      </c>
      <c r="S7153">
        <v>0.64921569999999995</v>
      </c>
      <c r="T7153">
        <v>-0.30160439999999999</v>
      </c>
      <c r="U7153">
        <v>2.9817200000000001</v>
      </c>
      <c r="V7153">
        <v>0.12056</v>
      </c>
      <c r="W7153">
        <v>0.1131887</v>
      </c>
      <c r="X7153">
        <v>0.986232</v>
      </c>
      <c r="Y7153">
        <v>0.1811275</v>
      </c>
      <c r="Z7153">
        <v>-9.8589540000000003E-2</v>
      </c>
      <c r="AA7153">
        <v>0.97850550000000003</v>
      </c>
      <c r="AB7153">
        <v>40</v>
      </c>
      <c r="AC7153">
        <v>0.18610000000001001</v>
      </c>
      <c r="AD7153">
        <v>-9.2948000000000003E-2</v>
      </c>
      <c r="AE7153">
        <v>0.50177000000000704</v>
      </c>
      <c r="AF7153">
        <v>0.16536850289427199</v>
      </c>
      <c r="AG7153">
        <v>-9.2948000000000003E-2</v>
      </c>
      <c r="AH7153">
        <v>0.492475832682152</v>
      </c>
      <c r="AI7153">
        <v>100.143944083305</v>
      </c>
      <c r="AJ7153">
        <v>71.438459209898696</v>
      </c>
      <c r="AK7153">
        <v>0.52774853692783696</v>
      </c>
      <c r="AL7153">
        <v>83.5008368044018</v>
      </c>
      <c r="AM7153">
        <v>83.030567921963396</v>
      </c>
      <c r="AN7153">
        <v>0.99999997661584406</v>
      </c>
    </row>
    <row r="7154" spans="1:40" x14ac:dyDescent="0.25">
      <c r="A7154" t="str">
        <f>"20190312151203991"</f>
        <v>20190312151203991</v>
      </c>
      <c r="B7154" t="str">
        <f>"1552374723988936"</f>
        <v>1552374723988936</v>
      </c>
      <c r="C7154" t="s">
        <v>40</v>
      </c>
      <c r="D7154">
        <v>5.4849629999999996</v>
      </c>
      <c r="E7154">
        <v>0.52467839999999999</v>
      </c>
      <c r="F7154" t="s">
        <v>41</v>
      </c>
      <c r="G7154">
        <v>-186.08869999999999</v>
      </c>
      <c r="H7154">
        <v>1.0200560000000001</v>
      </c>
      <c r="I7154">
        <v>96.662300000000002</v>
      </c>
      <c r="J7154">
        <v>-186.26410000000001</v>
      </c>
      <c r="K7154">
        <v>1.1079319999999999</v>
      </c>
      <c r="L7154">
        <v>96.194699999999997</v>
      </c>
      <c r="M7154">
        <v>3.3483119999999998E-2</v>
      </c>
      <c r="N7154">
        <v>0</v>
      </c>
      <c r="O7154">
        <v>0.99932529999999997</v>
      </c>
      <c r="P7154">
        <v>0.15313950000000001</v>
      </c>
      <c r="Q7154">
        <v>9.8451579999999997E-2</v>
      </c>
      <c r="R7154">
        <v>0.98328819999999995</v>
      </c>
      <c r="S7154">
        <v>0.65821839999999998</v>
      </c>
      <c r="T7154">
        <v>-0.30509320000000001</v>
      </c>
      <c r="U7154">
        <v>2.9798580000000001</v>
      </c>
      <c r="V7154">
        <v>0.1208007</v>
      </c>
      <c r="W7154">
        <v>0.11263430000000001</v>
      </c>
      <c r="X7154">
        <v>0.98626599999999998</v>
      </c>
      <c r="Y7154">
        <v>0.1817957</v>
      </c>
      <c r="Z7154">
        <v>-9.9729899999999996E-2</v>
      </c>
      <c r="AA7154">
        <v>0.97826590000000002</v>
      </c>
      <c r="AB7154">
        <v>40</v>
      </c>
      <c r="AC7154">
        <v>0.17540000000002401</v>
      </c>
      <c r="AD7154">
        <v>-8.7875999999999996E-2</v>
      </c>
      <c r="AE7154">
        <v>0.46760000000000401</v>
      </c>
      <c r="AF7154">
        <v>0.15484882778113701</v>
      </c>
      <c r="AG7154">
        <v>-8.7875999999999996E-2</v>
      </c>
      <c r="AH7154">
        <v>0.45900015060515797</v>
      </c>
      <c r="AI7154">
        <v>100.281978452982</v>
      </c>
      <c r="AJ7154">
        <v>71.357602524466301</v>
      </c>
      <c r="AK7154">
        <v>0.49232254579366003</v>
      </c>
      <c r="AL7154">
        <v>83.532805911044704</v>
      </c>
      <c r="AM7154">
        <v>83.0170289508076</v>
      </c>
      <c r="AN7154">
        <v>0.99999995870648895</v>
      </c>
    </row>
    <row r="7155" spans="1:40" x14ac:dyDescent="0.25">
      <c r="A7155" t="str">
        <f>"20190312151204012"</f>
        <v>20190312151204012</v>
      </c>
      <c r="B7155" t="str">
        <f>"1552374724008455"</f>
        <v>1552374724008455</v>
      </c>
      <c r="C7155" t="s">
        <v>40</v>
      </c>
      <c r="D7155">
        <v>5.3981469999999998</v>
      </c>
      <c r="E7155">
        <v>0.52481109999999997</v>
      </c>
      <c r="F7155" t="s">
        <v>41</v>
      </c>
      <c r="G7155">
        <v>-186.0795</v>
      </c>
      <c r="H7155">
        <v>1.02289599999999</v>
      </c>
      <c r="I7155">
        <v>97.018209999999996</v>
      </c>
      <c r="J7155">
        <v>-186.25</v>
      </c>
      <c r="K7155">
        <v>1.1079220000000001</v>
      </c>
      <c r="L7155">
        <v>96.558840000000004</v>
      </c>
      <c r="M7155">
        <v>3.5619280000000003E-2</v>
      </c>
      <c r="N7155">
        <v>0</v>
      </c>
      <c r="O7155">
        <v>0.99925140000000001</v>
      </c>
      <c r="P7155">
        <v>0.15557550000000001</v>
      </c>
      <c r="Q7155">
        <v>9.7999790000000003E-2</v>
      </c>
      <c r="R7155">
        <v>0.98295080000000001</v>
      </c>
      <c r="S7155">
        <v>0.66715999999999998</v>
      </c>
      <c r="T7155">
        <v>-0.30747940000000001</v>
      </c>
      <c r="U7155">
        <v>2.977875</v>
      </c>
      <c r="V7155">
        <v>0.12113549999999999</v>
      </c>
      <c r="W7155">
        <v>0.112178</v>
      </c>
      <c r="X7155">
        <v>0.98627699999999996</v>
      </c>
      <c r="Y7155">
        <v>0.18261279999999999</v>
      </c>
      <c r="Z7155">
        <v>-0.1005158</v>
      </c>
      <c r="AA7155">
        <v>0.97803329999999999</v>
      </c>
      <c r="AB7155">
        <v>40</v>
      </c>
      <c r="AC7155">
        <v>0.17050000000000401</v>
      </c>
      <c r="AD7155">
        <v>-8.5026000000000004E-2</v>
      </c>
      <c r="AE7155">
        <v>0.45936999999999201</v>
      </c>
      <c r="AF7155">
        <v>0.149525112913719</v>
      </c>
      <c r="AG7155">
        <v>-8.5026000000000004E-2</v>
      </c>
      <c r="AH7155">
        <v>0.45155535454558998</v>
      </c>
      <c r="AI7155">
        <v>100.134627900026</v>
      </c>
      <c r="AJ7155">
        <v>71.678562084305099</v>
      </c>
      <c r="AK7155">
        <v>0.48320742780575499</v>
      </c>
      <c r="AL7155">
        <v>83.559117101729797</v>
      </c>
      <c r="AM7155">
        <v>82.997944780047405</v>
      </c>
      <c r="AN7155">
        <v>1.0000000168866201</v>
      </c>
    </row>
    <row r="7156" spans="1:40" x14ac:dyDescent="0.25">
      <c r="A7156" t="str">
        <f>"20190312151204035"</f>
        <v>20190312151204035</v>
      </c>
      <c r="B7156" t="str">
        <f>"1552374724027976"</f>
        <v>1552374724027976</v>
      </c>
      <c r="C7156" t="s">
        <v>40</v>
      </c>
      <c r="D7156">
        <v>5.3710559999999896</v>
      </c>
      <c r="E7156">
        <v>0.5249258</v>
      </c>
      <c r="F7156" t="s">
        <v>41</v>
      </c>
      <c r="G7156">
        <v>-186.06540000000001</v>
      </c>
      <c r="H7156">
        <v>1.0232950000000001</v>
      </c>
      <c r="I7156">
        <v>97.372489999999999</v>
      </c>
      <c r="J7156">
        <v>-186.23349999999999</v>
      </c>
      <c r="K7156">
        <v>1.1079049999999999</v>
      </c>
      <c r="L7156">
        <v>96.963710000000006</v>
      </c>
      <c r="M7156">
        <v>3.7995590000000003E-2</v>
      </c>
      <c r="N7156">
        <v>0</v>
      </c>
      <c r="O7156">
        <v>0.99916389999999999</v>
      </c>
      <c r="P7156">
        <v>0.158749799999999</v>
      </c>
      <c r="Q7156">
        <v>9.7848690000000002E-2</v>
      </c>
      <c r="R7156">
        <v>0.98245819999999995</v>
      </c>
      <c r="S7156">
        <v>0.6752319</v>
      </c>
      <c r="T7156">
        <v>-0.30951919999999999</v>
      </c>
      <c r="U7156">
        <v>2.976013</v>
      </c>
      <c r="V7156">
        <v>0.121978</v>
      </c>
      <c r="W7156">
        <v>0.1120179</v>
      </c>
      <c r="X7156">
        <v>0.98619129999999999</v>
      </c>
      <c r="Y7156">
        <v>0.18291470000000001</v>
      </c>
      <c r="Z7156">
        <v>-0.10119110000000001</v>
      </c>
      <c r="AA7156">
        <v>0.97790719999999998</v>
      </c>
      <c r="AB7156">
        <v>40</v>
      </c>
      <c r="AC7156">
        <v>0.16809999999998099</v>
      </c>
      <c r="AD7156">
        <v>-8.4609999999999796E-2</v>
      </c>
      <c r="AE7156">
        <v>0.40878000000000703</v>
      </c>
      <c r="AF7156">
        <v>0.14705615931185001</v>
      </c>
      <c r="AG7156">
        <v>-8.4609999999999796E-2</v>
      </c>
      <c r="AH7156">
        <v>0.40020709110585501</v>
      </c>
      <c r="AI7156">
        <v>101.22411453297499</v>
      </c>
      <c r="AJ7156">
        <v>69.824135851527899</v>
      </c>
      <c r="AK7156">
        <v>0.43468388728242802</v>
      </c>
      <c r="AL7156">
        <v>83.568347979853499</v>
      </c>
      <c r="AM7156">
        <v>82.949127267221797</v>
      </c>
      <c r="AN7156">
        <v>0.99999996130004898</v>
      </c>
    </row>
    <row r="7157" spans="1:40" x14ac:dyDescent="0.25">
      <c r="A7157" t="str">
        <f>"20190312151204059"</f>
        <v>20190312151204059</v>
      </c>
      <c r="B7157" t="str">
        <f>"1552374724048475"</f>
        <v>1552374724048475</v>
      </c>
      <c r="C7157" t="s">
        <v>40</v>
      </c>
      <c r="D7157">
        <v>5.3083900000000002</v>
      </c>
      <c r="E7157">
        <v>0.52492019999999995</v>
      </c>
      <c r="F7157" t="s">
        <v>41</v>
      </c>
      <c r="G7157">
        <v>-186.05699999999999</v>
      </c>
      <c r="H7157">
        <v>1.0279959999999999</v>
      </c>
      <c r="I7157">
        <v>97.729060000000004</v>
      </c>
      <c r="J7157">
        <v>-186.21600000000001</v>
      </c>
      <c r="K7157">
        <v>1.107901</v>
      </c>
      <c r="L7157">
        <v>97.368799999999993</v>
      </c>
      <c r="M7157">
        <v>4.0374189999999997E-2</v>
      </c>
      <c r="N7157">
        <v>0</v>
      </c>
      <c r="O7157">
        <v>0.99907060000000003</v>
      </c>
      <c r="P7157">
        <v>0.1621129</v>
      </c>
      <c r="Q7157">
        <v>9.7488649999999996E-2</v>
      </c>
      <c r="R7157">
        <v>0.9819447</v>
      </c>
      <c r="S7157">
        <v>0.68530269999999904</v>
      </c>
      <c r="T7157">
        <v>-0.31047000000000002</v>
      </c>
      <c r="U7157">
        <v>2.9737849999999999</v>
      </c>
      <c r="V7157">
        <v>0.12300659999999999</v>
      </c>
      <c r="W7157">
        <v>0.11164739999999999</v>
      </c>
      <c r="X7157">
        <v>0.98610560000000003</v>
      </c>
      <c r="Y7157">
        <v>0.18387239999999999</v>
      </c>
      <c r="Z7157">
        <v>-0.1015112</v>
      </c>
      <c r="AA7157">
        <v>0.97769450000000002</v>
      </c>
      <c r="AB7157">
        <v>40</v>
      </c>
      <c r="AC7157">
        <v>0.158999999999963</v>
      </c>
      <c r="AD7157">
        <v>-7.9905000000000101E-2</v>
      </c>
      <c r="AE7157">
        <v>0.36026000000001002</v>
      </c>
      <c r="AF7157">
        <v>0.13861606062572701</v>
      </c>
      <c r="AG7157">
        <v>-7.9905000000000101E-2</v>
      </c>
      <c r="AH7157">
        <v>0.35189733089174902</v>
      </c>
      <c r="AI7157">
        <v>101.92940137359599</v>
      </c>
      <c r="AJ7157">
        <v>68.499997794634893</v>
      </c>
      <c r="AK7157">
        <v>0.38656299975182901</v>
      </c>
      <c r="AL7157">
        <v>83.589710383594905</v>
      </c>
      <c r="AM7157">
        <v>82.889663999963702</v>
      </c>
      <c r="AN7157">
        <v>1.0000000099608399</v>
      </c>
    </row>
    <row r="7158" spans="1:40" x14ac:dyDescent="0.25">
      <c r="A7158" t="str">
        <f>"20190312151204080"</f>
        <v>20190312151204080</v>
      </c>
      <c r="B7158" t="str">
        <f>"1552374724067992"</f>
        <v>1552374724067992</v>
      </c>
      <c r="C7158" t="s">
        <v>40</v>
      </c>
      <c r="D7158">
        <v>5.3384919999999996</v>
      </c>
      <c r="E7158">
        <v>0.52477459999999998</v>
      </c>
      <c r="F7158" t="s">
        <v>41</v>
      </c>
      <c r="G7158">
        <v>-185.96870000000001</v>
      </c>
      <c r="H7158">
        <v>0.9970599</v>
      </c>
      <c r="I7158">
        <v>98.425089999999997</v>
      </c>
      <c r="J7158">
        <v>-186.19820000000001</v>
      </c>
      <c r="K7158">
        <v>1.1078969999999999</v>
      </c>
      <c r="L7158">
        <v>97.756069999999994</v>
      </c>
      <c r="M7158">
        <v>4.2650100000000003E-2</v>
      </c>
      <c r="N7158">
        <v>0</v>
      </c>
      <c r="O7158">
        <v>0.99897610000000003</v>
      </c>
      <c r="P7158">
        <v>0.1649224</v>
      </c>
      <c r="Q7158">
        <v>9.6592289999999997E-2</v>
      </c>
      <c r="R7158">
        <v>0.98156540000000003</v>
      </c>
      <c r="S7158">
        <v>0.6953125</v>
      </c>
      <c r="T7158">
        <v>-0.31177290000000002</v>
      </c>
      <c r="U7158">
        <v>2.9713129999999999</v>
      </c>
      <c r="V7158">
        <v>0.1235747</v>
      </c>
      <c r="W7158">
        <v>0.110746</v>
      </c>
      <c r="X7158">
        <v>0.98613620000000002</v>
      </c>
      <c r="Y7158">
        <v>0.18492620000000001</v>
      </c>
      <c r="Z7158">
        <v>-0.101951899999999</v>
      </c>
      <c r="AA7158">
        <v>0.97744980000000004</v>
      </c>
      <c r="AB7158">
        <v>39</v>
      </c>
      <c r="AC7158">
        <v>0.22950000000000101</v>
      </c>
      <c r="AD7158">
        <v>-0.11083709999999899</v>
      </c>
      <c r="AE7158">
        <v>0.66902000000000295</v>
      </c>
      <c r="AF7158">
        <v>0.195942337795323</v>
      </c>
      <c r="AG7158">
        <v>-0.11083709999999899</v>
      </c>
      <c r="AH7158">
        <v>0.66194499421878505</v>
      </c>
      <c r="AI7158">
        <v>99.121288759578704</v>
      </c>
      <c r="AJ7158">
        <v>73.510719489485894</v>
      </c>
      <c r="AK7158">
        <v>0.699177686892549</v>
      </c>
      <c r="AL7158">
        <v>83.641678986721899</v>
      </c>
      <c r="AM7158">
        <v>82.857383035126105</v>
      </c>
      <c r="AN7158">
        <v>0.999999993973265</v>
      </c>
    </row>
    <row r="7159" spans="1:40" x14ac:dyDescent="0.25">
      <c r="A7159" t="str">
        <f>"20190312151204102"</f>
        <v>20190312151204102</v>
      </c>
      <c r="B7159" t="str">
        <f>"1552374724098248"</f>
        <v>1552374724098248</v>
      </c>
      <c r="C7159" t="s">
        <v>40</v>
      </c>
      <c r="D7159">
        <v>5.3167350000000004</v>
      </c>
      <c r="E7159">
        <v>0.52457529999999997</v>
      </c>
      <c r="F7159" t="s">
        <v>41</v>
      </c>
      <c r="G7159">
        <v>-185.95740000000001</v>
      </c>
      <c r="H7159">
        <v>0.99993929999999998</v>
      </c>
      <c r="I7159">
        <v>98.774280000000005</v>
      </c>
      <c r="J7159">
        <v>-186.18</v>
      </c>
      <c r="K7159">
        <v>1.1078889999999999</v>
      </c>
      <c r="L7159">
        <v>98.135859999999994</v>
      </c>
      <c r="M7159">
        <v>4.4883579999999999E-2</v>
      </c>
      <c r="N7159">
        <v>0</v>
      </c>
      <c r="O7159">
        <v>0.99887820000000005</v>
      </c>
      <c r="P7159">
        <v>0.16747020000000001</v>
      </c>
      <c r="Q7159">
        <v>9.59092E-2</v>
      </c>
      <c r="R7159">
        <v>0.98120090000000004</v>
      </c>
      <c r="S7159">
        <v>0.70256039999999997</v>
      </c>
      <c r="T7159">
        <v>-0.31482480000000002</v>
      </c>
      <c r="U7159">
        <v>2.9692690000000002</v>
      </c>
      <c r="V7159">
        <v>0.1239238</v>
      </c>
      <c r="W7159">
        <v>0.1100588</v>
      </c>
      <c r="X7159">
        <v>0.98616930000000003</v>
      </c>
      <c r="Y7159">
        <v>0.18511549999999999</v>
      </c>
      <c r="Z7159">
        <v>-0.1029624</v>
      </c>
      <c r="AA7159">
        <v>0.97730799999999995</v>
      </c>
      <c r="AB7159">
        <v>39</v>
      </c>
      <c r="AC7159">
        <v>0.22259999999999899</v>
      </c>
      <c r="AD7159">
        <v>-0.107949699999999</v>
      </c>
      <c r="AE7159">
        <v>0.63842000000000998</v>
      </c>
      <c r="AF7159">
        <v>0.18890229844033099</v>
      </c>
      <c r="AG7159">
        <v>-0.107949699999999</v>
      </c>
      <c r="AH7159">
        <v>0.63166631276619201</v>
      </c>
      <c r="AI7159">
        <v>99.298641857059394</v>
      </c>
      <c r="AJ7159">
        <v>73.350498384752001</v>
      </c>
      <c r="AK7159">
        <v>0.66808648150502703</v>
      </c>
      <c r="AL7159">
        <v>83.681294655197206</v>
      </c>
      <c r="AM7159">
        <v>82.837652243824195</v>
      </c>
      <c r="AN7159">
        <v>0.99999996796318402</v>
      </c>
    </row>
    <row r="7160" spans="1:40" x14ac:dyDescent="0.25">
      <c r="A7160" t="str">
        <f>"20190312151204124"</f>
        <v>20190312151204124</v>
      </c>
      <c r="B7160" t="str">
        <f>"1552374724118744"</f>
        <v>1552374724118744</v>
      </c>
      <c r="C7160" t="s">
        <v>40</v>
      </c>
      <c r="D7160">
        <v>5.2944809999999896</v>
      </c>
      <c r="E7160">
        <v>0.52443909999999905</v>
      </c>
      <c r="F7160" t="s">
        <v>41</v>
      </c>
      <c r="G7160">
        <v>-185.94329999999999</v>
      </c>
      <c r="H7160">
        <v>1.0019499999999999</v>
      </c>
      <c r="I7160">
        <v>99.126300000000001</v>
      </c>
      <c r="J7160">
        <v>-186.1601</v>
      </c>
      <c r="K7160">
        <v>1.107888</v>
      </c>
      <c r="L7160">
        <v>98.53152</v>
      </c>
      <c r="M7160">
        <v>4.7211530000000002E-2</v>
      </c>
      <c r="N7160">
        <v>0</v>
      </c>
      <c r="O7160">
        <v>0.99877090000000002</v>
      </c>
      <c r="P7160">
        <v>0.1702911</v>
      </c>
      <c r="Q7160">
        <v>9.5216179999999997E-2</v>
      </c>
      <c r="R7160">
        <v>0.98078270000000001</v>
      </c>
      <c r="S7160">
        <v>0.70858759999999998</v>
      </c>
      <c r="T7160">
        <v>-0.3173919</v>
      </c>
      <c r="U7160">
        <v>2.9675600000000002</v>
      </c>
      <c r="V7160">
        <v>0.1244545</v>
      </c>
      <c r="W7160">
        <v>0.10936070000000001</v>
      </c>
      <c r="X7160">
        <v>0.98618019999999995</v>
      </c>
      <c r="Y7160">
        <v>0.1848099</v>
      </c>
      <c r="Z7160">
        <v>-0.1038128</v>
      </c>
      <c r="AA7160">
        <v>0.97727589999999998</v>
      </c>
      <c r="AB7160">
        <v>39</v>
      </c>
      <c r="AC7160">
        <v>0.21680000000000599</v>
      </c>
      <c r="AD7160">
        <v>-0.105938</v>
      </c>
      <c r="AE7160">
        <v>0.59477999999999998</v>
      </c>
      <c r="AF7160">
        <v>0.18334034011757899</v>
      </c>
      <c r="AG7160">
        <v>-0.105938</v>
      </c>
      <c r="AH7160">
        <v>0.58789022512224798</v>
      </c>
      <c r="AI7160">
        <v>99.760985507547502</v>
      </c>
      <c r="AJ7160">
        <v>72.679308901978999</v>
      </c>
      <c r="AK7160">
        <v>0.62486115013874699</v>
      </c>
      <c r="AL7160">
        <v>83.721536179029798</v>
      </c>
      <c r="AM7160">
        <v>82.807378933775396</v>
      </c>
      <c r="AN7160">
        <v>1.0000000360733801</v>
      </c>
    </row>
    <row r="7161" spans="1:40" x14ac:dyDescent="0.25">
      <c r="A7161" t="str">
        <f>"20190312151204137"</f>
        <v>20190312151204137</v>
      </c>
      <c r="B7161" t="str">
        <f>"1552374724128503"</f>
        <v>1552374724128503</v>
      </c>
      <c r="C7161" t="s">
        <v>40</v>
      </c>
      <c r="D7161">
        <v>5.2040550000000003</v>
      </c>
      <c r="E7161">
        <v>0.52437690000000003</v>
      </c>
      <c r="F7161" t="s">
        <v>41</v>
      </c>
      <c r="G7161">
        <v>-185.93119999999999</v>
      </c>
      <c r="H7161">
        <v>1.005654</v>
      </c>
      <c r="I7161">
        <v>99.479069999999993</v>
      </c>
      <c r="J7161">
        <v>-186.14830000000001</v>
      </c>
      <c r="K7161">
        <v>1.107893</v>
      </c>
      <c r="L7161">
        <v>98.759739999999994</v>
      </c>
      <c r="M7161">
        <v>4.8554550000000002E-2</v>
      </c>
      <c r="N7161">
        <v>0</v>
      </c>
      <c r="O7161">
        <v>0.9987066</v>
      </c>
      <c r="P7161">
        <v>0.17194189999999901</v>
      </c>
      <c r="Q7161">
        <v>9.5104820000000007E-2</v>
      </c>
      <c r="R7161">
        <v>0.98050550000000003</v>
      </c>
      <c r="S7161">
        <v>0.71612549999999997</v>
      </c>
      <c r="T7161">
        <v>-0.31993310000000003</v>
      </c>
      <c r="U7161">
        <v>2.9654850000000001</v>
      </c>
      <c r="V7161">
        <v>0.1247877</v>
      </c>
      <c r="W7161">
        <v>0.109246</v>
      </c>
      <c r="X7161">
        <v>0.98615070000000005</v>
      </c>
      <c r="Y7161">
        <v>0.18597089999999999</v>
      </c>
      <c r="Z7161">
        <v>-0.1046532</v>
      </c>
      <c r="AA7161">
        <v>0.976966</v>
      </c>
      <c r="AB7161">
        <v>39</v>
      </c>
      <c r="AC7161">
        <v>0.217100000000016</v>
      </c>
      <c r="AD7161">
        <v>-0.102238999999999</v>
      </c>
      <c r="AE7161">
        <v>0.71932999999998504</v>
      </c>
      <c r="AF7161">
        <v>0.17860631583871101</v>
      </c>
      <c r="AG7161">
        <v>-0.102238999999999</v>
      </c>
      <c r="AH7161">
        <v>0.71577147246639095</v>
      </c>
      <c r="AI7161">
        <v>97.890250740354503</v>
      </c>
      <c r="AJ7161">
        <v>75.989114816272206</v>
      </c>
      <c r="AK7161">
        <v>0.74476964893528197</v>
      </c>
      <c r="AL7161">
        <v>83.728146954936705</v>
      </c>
      <c r="AM7161">
        <v>82.788111260801401</v>
      </c>
      <c r="AN7161">
        <v>0.99999993084888705</v>
      </c>
    </row>
    <row r="7162" spans="1:40" x14ac:dyDescent="0.25">
      <c r="A7162" t="str">
        <f>"20190312151204159"</f>
        <v>20190312151204159</v>
      </c>
      <c r="B7162" t="str">
        <f>"1552374724148024"</f>
        <v>1552374724148024</v>
      </c>
      <c r="C7162" t="s">
        <v>40</v>
      </c>
      <c r="D7162">
        <v>5.4036900000000001</v>
      </c>
      <c r="E7162">
        <v>0.52423129999999996</v>
      </c>
      <c r="F7162" t="s">
        <v>41</v>
      </c>
      <c r="G7162">
        <v>-185.97040000000001</v>
      </c>
      <c r="H7162">
        <v>1.028599</v>
      </c>
      <c r="I7162">
        <v>99.490880000000004</v>
      </c>
      <c r="J7162">
        <v>-186.12739999999999</v>
      </c>
      <c r="K7162">
        <v>1.107893</v>
      </c>
      <c r="L7162">
        <v>99.146090000000001</v>
      </c>
      <c r="M7162">
        <v>5.082921E-2</v>
      </c>
      <c r="N7162">
        <v>0</v>
      </c>
      <c r="O7162">
        <v>0.99859339999999996</v>
      </c>
      <c r="P7162">
        <v>0.1744927</v>
      </c>
      <c r="Q7162">
        <v>9.4800499999999996E-2</v>
      </c>
      <c r="R7162">
        <v>0.98008419999999896</v>
      </c>
      <c r="S7162">
        <v>0.7208099</v>
      </c>
      <c r="T7162">
        <v>-0.32145679999999999</v>
      </c>
      <c r="U7162">
        <v>2.9644469999999998</v>
      </c>
      <c r="V7162">
        <v>0.1251042</v>
      </c>
      <c r="W7162">
        <v>0.1089379</v>
      </c>
      <c r="X7162">
        <v>0.98614480000000004</v>
      </c>
      <c r="Y7162">
        <v>0.18525720000000001</v>
      </c>
      <c r="Z7162">
        <v>-0.1051516</v>
      </c>
      <c r="AA7162">
        <v>0.97704800000000003</v>
      </c>
      <c r="AB7162">
        <v>39</v>
      </c>
      <c r="AC7162">
        <v>0.15699999999998199</v>
      </c>
      <c r="AD7162">
        <v>-7.9293999999999906E-2</v>
      </c>
      <c r="AE7162">
        <v>0.34479000000000298</v>
      </c>
      <c r="AF7162">
        <v>0.13342471446651499</v>
      </c>
      <c r="AG7162">
        <v>-7.9293999999999906E-2</v>
      </c>
      <c r="AH7162">
        <v>0.33753884016188102</v>
      </c>
      <c r="AI7162">
        <v>102.323736328395</v>
      </c>
      <c r="AJ7162">
        <v>68.431757118335</v>
      </c>
      <c r="AK7162">
        <v>0.37151333957786697</v>
      </c>
      <c r="AL7162">
        <v>83.745906504240494</v>
      </c>
      <c r="AM7162">
        <v>82.769970208723805</v>
      </c>
      <c r="AN7162">
        <v>1.0000000467405401</v>
      </c>
    </row>
    <row r="7163" spans="1:40" x14ac:dyDescent="0.25">
      <c r="A7163" t="str">
        <f>"20190312151204182"</f>
        <v>20190312151204182</v>
      </c>
      <c r="B7163" t="str">
        <f>"1552374724178280"</f>
        <v>1552374724178280</v>
      </c>
      <c r="C7163" t="s">
        <v>40</v>
      </c>
      <c r="D7163">
        <v>5.2498529999999999</v>
      </c>
      <c r="E7163">
        <v>0.52401889999999995</v>
      </c>
      <c r="F7163" t="s">
        <v>41</v>
      </c>
      <c r="G7163">
        <v>-185.8742</v>
      </c>
      <c r="H7163">
        <v>0.99590060000000002</v>
      </c>
      <c r="I7163">
        <v>100.1769</v>
      </c>
      <c r="J7163">
        <v>-186.1052</v>
      </c>
      <c r="K7163">
        <v>1.107901</v>
      </c>
      <c r="L7163">
        <v>99.54025</v>
      </c>
      <c r="M7163">
        <v>5.3148939999999999E-2</v>
      </c>
      <c r="N7163">
        <v>0</v>
      </c>
      <c r="O7163">
        <v>0.99847269999999999</v>
      </c>
      <c r="P7163">
        <v>0.17685590000000001</v>
      </c>
      <c r="Q7163">
        <v>9.4303680000000001E-2</v>
      </c>
      <c r="R7163">
        <v>0.97970860000000004</v>
      </c>
      <c r="S7163">
        <v>0.72743230000000003</v>
      </c>
      <c r="T7163">
        <v>-0.32185849999999999</v>
      </c>
      <c r="U7163">
        <v>2.962555</v>
      </c>
      <c r="V7163">
        <v>0.1251852</v>
      </c>
      <c r="W7163">
        <v>0.1084393</v>
      </c>
      <c r="X7163">
        <v>0.98618939999999999</v>
      </c>
      <c r="Y7163">
        <v>0.18517520000000001</v>
      </c>
      <c r="Z7163">
        <v>-0.1053007</v>
      </c>
      <c r="AA7163">
        <v>0.97704760000000002</v>
      </c>
      <c r="AB7163">
        <v>39</v>
      </c>
      <c r="AC7163">
        <v>0.23099999999999399</v>
      </c>
      <c r="AD7163">
        <v>-0.1120004</v>
      </c>
      <c r="AE7163">
        <v>0.63665000000000205</v>
      </c>
      <c r="AF7163">
        <v>0.191592635153396</v>
      </c>
      <c r="AG7163">
        <v>-0.1120004</v>
      </c>
      <c r="AH7163">
        <v>0.63077823897887397</v>
      </c>
      <c r="AI7163">
        <v>99.642190487424202</v>
      </c>
      <c r="AJ7163">
        <v>73.104361438547102</v>
      </c>
      <c r="AK7163">
        <v>0.668680053698681</v>
      </c>
      <c r="AL7163">
        <v>83.774643974469996</v>
      </c>
      <c r="AM7163">
        <v>82.765662352423206</v>
      </c>
      <c r="AN7163">
        <v>0.99999997437794397</v>
      </c>
    </row>
    <row r="7164" spans="1:40" x14ac:dyDescent="0.25">
      <c r="A7164" t="str">
        <f>"20190312151204202"</f>
        <v>20190312151204202</v>
      </c>
      <c r="B7164" t="str">
        <f>"1552374724198776"</f>
        <v>1552374724198776</v>
      </c>
      <c r="C7164" t="s">
        <v>40</v>
      </c>
      <c r="D7164">
        <v>5.2233320000000001</v>
      </c>
      <c r="E7164">
        <v>0.52385680000000001</v>
      </c>
      <c r="F7164" t="s">
        <v>41</v>
      </c>
      <c r="G7164">
        <v>-185.8605</v>
      </c>
      <c r="H7164">
        <v>0.99983420000000001</v>
      </c>
      <c r="I7164">
        <v>100.5278</v>
      </c>
      <c r="J7164">
        <v>-186.08349999999999</v>
      </c>
      <c r="K7164">
        <v>1.107901</v>
      </c>
      <c r="L7164">
        <v>99.91037</v>
      </c>
      <c r="M7164">
        <v>5.5326130000000001E-2</v>
      </c>
      <c r="N7164">
        <v>0</v>
      </c>
      <c r="O7164">
        <v>0.99835439999999998</v>
      </c>
      <c r="P7164">
        <v>0.1791575</v>
      </c>
      <c r="Q7164">
        <v>9.4083399999999998E-2</v>
      </c>
      <c r="R7164">
        <v>0.9793115</v>
      </c>
      <c r="S7164">
        <v>0.733429</v>
      </c>
      <c r="T7164">
        <v>-0.32398199999999999</v>
      </c>
      <c r="U7164">
        <v>2.9609070000000002</v>
      </c>
      <c r="V7164">
        <v>0.1253485</v>
      </c>
      <c r="W7164">
        <v>0.10821600000000001</v>
      </c>
      <c r="X7164">
        <v>0.98619319999999999</v>
      </c>
      <c r="Y7164">
        <v>0.185006</v>
      </c>
      <c r="Z7164">
        <v>-0.1060019</v>
      </c>
      <c r="AA7164">
        <v>0.97700379999999998</v>
      </c>
      <c r="AB7164">
        <v>39</v>
      </c>
      <c r="AC7164">
        <v>0.22299999999998399</v>
      </c>
      <c r="AD7164">
        <v>-0.1080668</v>
      </c>
      <c r="AE7164">
        <v>0.61742999999999804</v>
      </c>
      <c r="AF7164">
        <v>0.18352115787180001</v>
      </c>
      <c r="AG7164">
        <v>-0.1080668</v>
      </c>
      <c r="AH7164">
        <v>0.61223212668696203</v>
      </c>
      <c r="AI7164">
        <v>99.596798799085505</v>
      </c>
      <c r="AJ7164">
        <v>73.313504802182905</v>
      </c>
      <c r="AK7164">
        <v>0.64821803862318295</v>
      </c>
      <c r="AL7164">
        <v>83.787513946072295</v>
      </c>
      <c r="AM7164">
        <v>82.756353182459407</v>
      </c>
      <c r="AN7164">
        <v>0.99999998841724402</v>
      </c>
    </row>
    <row r="7165" spans="1:40" x14ac:dyDescent="0.25">
      <c r="A7165" t="str">
        <f>"20190312151204225"</f>
        <v>20190312151204225</v>
      </c>
      <c r="B7165" t="str">
        <f>"1552374724218296"</f>
        <v>1552374724218296</v>
      </c>
      <c r="C7165" t="s">
        <v>40</v>
      </c>
      <c r="D7165">
        <v>5.2226220000000003</v>
      </c>
      <c r="E7165">
        <v>0.523790799999999</v>
      </c>
      <c r="F7165" t="s">
        <v>41</v>
      </c>
      <c r="G7165">
        <v>-185.8417</v>
      </c>
      <c r="H7165">
        <v>1.0015860000000001</v>
      </c>
      <c r="I7165">
        <v>100.8779</v>
      </c>
      <c r="J7165">
        <v>-186.05969999999999</v>
      </c>
      <c r="K7165">
        <v>1.107907</v>
      </c>
      <c r="L7165">
        <v>100.30159999999999</v>
      </c>
      <c r="M7165">
        <v>5.7622909999999999E-2</v>
      </c>
      <c r="N7165">
        <v>0</v>
      </c>
      <c r="O7165">
        <v>0.99822460000000002</v>
      </c>
      <c r="P7165">
        <v>0.1815339</v>
      </c>
      <c r="Q7165">
        <v>9.3609719999999993E-2</v>
      </c>
      <c r="R7165">
        <v>0.97891910000000004</v>
      </c>
      <c r="S7165">
        <v>0.73957819999999996</v>
      </c>
      <c r="T7165">
        <v>-0.32517410000000002</v>
      </c>
      <c r="U7165">
        <v>2.95932</v>
      </c>
      <c r="V7165">
        <v>0.12546589999999999</v>
      </c>
      <c r="W7165">
        <v>0.107741</v>
      </c>
      <c r="X7165">
        <v>0.9862303</v>
      </c>
      <c r="Y7165">
        <v>0.1847693</v>
      </c>
      <c r="Z7165">
        <v>-0.1063979</v>
      </c>
      <c r="AA7165">
        <v>0.97700549999999997</v>
      </c>
      <c r="AB7165">
        <v>39</v>
      </c>
      <c r="AC7165">
        <v>0.21799999999998901</v>
      </c>
      <c r="AD7165">
        <v>-0.106320999999999</v>
      </c>
      <c r="AE7165">
        <v>0.57630000000000303</v>
      </c>
      <c r="AF7165">
        <v>0.17909323847395001</v>
      </c>
      <c r="AG7165">
        <v>-0.106320999999999</v>
      </c>
      <c r="AH7165">
        <v>0.57090638991432696</v>
      </c>
      <c r="AI7165">
        <v>100.075936312455</v>
      </c>
      <c r="AJ7165">
        <v>72.583367607704105</v>
      </c>
      <c r="AK7165">
        <v>0.60771099146970897</v>
      </c>
      <c r="AL7165">
        <v>83.814889633850299</v>
      </c>
      <c r="AM7165">
        <v>82.749910866038107</v>
      </c>
      <c r="AN7165">
        <v>1.0000000098909501</v>
      </c>
    </row>
    <row r="7166" spans="1:40" x14ac:dyDescent="0.25">
      <c r="A7166" t="str">
        <f>"20190312151204259"</f>
        <v>20190312151204259</v>
      </c>
      <c r="B7166" t="str">
        <f>"1552374724248555"</f>
        <v>1552374724248555</v>
      </c>
      <c r="C7166" t="s">
        <v>40</v>
      </c>
      <c r="D7166">
        <v>5.22851</v>
      </c>
      <c r="E7166">
        <v>0.52359440000000002</v>
      </c>
      <c r="F7166" t="s">
        <v>41</v>
      </c>
      <c r="G7166">
        <v>-185.8254</v>
      </c>
      <c r="H7166">
        <v>1.00546</v>
      </c>
      <c r="I7166">
        <v>101.2289</v>
      </c>
      <c r="J7166">
        <v>-186.0222</v>
      </c>
      <c r="K7166">
        <v>1.1079270000000001</v>
      </c>
      <c r="L7166">
        <v>100.892</v>
      </c>
      <c r="M7166">
        <v>6.1059589999999997E-2</v>
      </c>
      <c r="N7166">
        <v>0</v>
      </c>
      <c r="O7166">
        <v>0.99802040000000003</v>
      </c>
      <c r="P7166">
        <v>0.18570929999999999</v>
      </c>
      <c r="Q7166">
        <v>9.2853770000000002E-2</v>
      </c>
      <c r="R7166">
        <v>0.97820759999999995</v>
      </c>
      <c r="S7166">
        <v>0.74679569999999995</v>
      </c>
      <c r="T7166">
        <v>-0.32671640000000002</v>
      </c>
      <c r="U7166">
        <v>2.9573670000000001</v>
      </c>
      <c r="V7166">
        <v>0.12626499999999999</v>
      </c>
      <c r="W7166">
        <v>0.10698149999999999</v>
      </c>
      <c r="X7166">
        <v>0.98621099999999995</v>
      </c>
      <c r="Y7166">
        <v>0.18376719999999999</v>
      </c>
      <c r="Z7166">
        <v>-0.1069108</v>
      </c>
      <c r="AA7166">
        <v>0.97713850000000002</v>
      </c>
      <c r="AB7166">
        <v>39</v>
      </c>
      <c r="AC7166">
        <v>0.19679999999999601</v>
      </c>
      <c r="AD7166">
        <v>-0.102467</v>
      </c>
      <c r="AE7166">
        <v>0.33689999999998499</v>
      </c>
      <c r="AF7166">
        <v>0.16451288701598099</v>
      </c>
      <c r="AG7166">
        <v>-0.102467</v>
      </c>
      <c r="AH7166">
        <v>0.32581739048429598</v>
      </c>
      <c r="AI7166">
        <v>105.68130227523901</v>
      </c>
      <c r="AJ7166">
        <v>63.209712757661102</v>
      </c>
      <c r="AK7166">
        <v>0.37910545765700698</v>
      </c>
      <c r="AL7166">
        <v>83.858658786829594</v>
      </c>
      <c r="AM7166">
        <v>82.704089344448803</v>
      </c>
      <c r="AN7166">
        <v>1.0000000140441201</v>
      </c>
    </row>
    <row r="7167" spans="1:40" x14ac:dyDescent="0.25">
      <c r="A7167" t="str">
        <f>"20190312151204280"</f>
        <v>20190312151204280</v>
      </c>
      <c r="B7167" t="str">
        <f>"1552374724278808"</f>
        <v>1552374724278808</v>
      </c>
      <c r="C7167" t="s">
        <v>40</v>
      </c>
      <c r="D7167">
        <v>5.197546</v>
      </c>
      <c r="E7167">
        <v>0.52340169999999997</v>
      </c>
      <c r="F7167" t="s">
        <v>41</v>
      </c>
      <c r="G7167">
        <v>-185.75829999999999</v>
      </c>
      <c r="H7167">
        <v>0.99294649999999995</v>
      </c>
      <c r="I7167">
        <v>101.9208</v>
      </c>
      <c r="J7167">
        <v>-185.9966</v>
      </c>
      <c r="K7167">
        <v>1.107953</v>
      </c>
      <c r="L7167">
        <v>101.2766</v>
      </c>
      <c r="M7167">
        <v>6.325646E-2</v>
      </c>
      <c r="N7167">
        <v>0</v>
      </c>
      <c r="O7167">
        <v>0.99788359999999998</v>
      </c>
      <c r="P7167">
        <v>0.1888301</v>
      </c>
      <c r="Q7167">
        <v>9.1838400000000001E-2</v>
      </c>
      <c r="R7167">
        <v>0.97770599999999996</v>
      </c>
      <c r="S7167">
        <v>0.75778199999999996</v>
      </c>
      <c r="T7167">
        <v>-0.33016839999999997</v>
      </c>
      <c r="U7167">
        <v>2.9543149999999998</v>
      </c>
      <c r="V7167">
        <v>0.12722320000000001</v>
      </c>
      <c r="W7167">
        <v>0.1059645</v>
      </c>
      <c r="X7167">
        <v>0.98619769999999896</v>
      </c>
      <c r="Y7167">
        <v>0.1852251</v>
      </c>
      <c r="Z7167">
        <v>-0.10804850000000001</v>
      </c>
      <c r="AA7167">
        <v>0.976738</v>
      </c>
      <c r="AB7167">
        <v>39</v>
      </c>
      <c r="AC7167">
        <v>0.238300000000009</v>
      </c>
      <c r="AD7167">
        <v>-0.115006499999999</v>
      </c>
      <c r="AE7167">
        <v>0.644199999999997</v>
      </c>
      <c r="AF7167">
        <v>0.19169401926540899</v>
      </c>
      <c r="AG7167">
        <v>-0.115006499999999</v>
      </c>
      <c r="AH7167">
        <v>0.64004155718495903</v>
      </c>
      <c r="AI7167">
        <v>99.766699927734393</v>
      </c>
      <c r="AJ7167">
        <v>73.326912636523005</v>
      </c>
      <c r="AK7167">
        <v>0.67795743744583603</v>
      </c>
      <c r="AL7167">
        <v>83.917262004016493</v>
      </c>
      <c r="AM7167">
        <v>82.6492273762765</v>
      </c>
      <c r="AN7167">
        <v>1.00000006068188</v>
      </c>
    </row>
    <row r="7168" spans="1:40" x14ac:dyDescent="0.25">
      <c r="A7168" t="str">
        <f>"20190312151204303"</f>
        <v>20190312151204303</v>
      </c>
      <c r="B7168" t="str">
        <f>"1552374724298328"</f>
        <v>1552374724298328</v>
      </c>
      <c r="C7168" t="s">
        <v>40</v>
      </c>
      <c r="D7168">
        <v>5.2518979999999997</v>
      </c>
      <c r="E7168">
        <v>0.52328229999999998</v>
      </c>
      <c r="F7168" t="s">
        <v>41</v>
      </c>
      <c r="G7168">
        <v>-185.73910000000001</v>
      </c>
      <c r="H7168">
        <v>0.99618640000000003</v>
      </c>
      <c r="I7168">
        <v>102.2696</v>
      </c>
      <c r="J7168">
        <v>-185.9708</v>
      </c>
      <c r="K7168">
        <v>1.1079870000000001</v>
      </c>
      <c r="L7168">
        <v>101.6534</v>
      </c>
      <c r="M7168">
        <v>6.5371159999999998E-2</v>
      </c>
      <c r="N7168">
        <v>0</v>
      </c>
      <c r="O7168">
        <v>0.9977473</v>
      </c>
      <c r="P7168">
        <v>0.19209039999999999</v>
      </c>
      <c r="Q7168">
        <v>9.0881589999999998E-2</v>
      </c>
      <c r="R7168">
        <v>0.97716009999999998</v>
      </c>
      <c r="S7168">
        <v>0.76519780000000004</v>
      </c>
      <c r="T7168">
        <v>-0.33222220000000002</v>
      </c>
      <c r="U7168">
        <v>2.951813</v>
      </c>
      <c r="V7168">
        <v>0.12840370000000001</v>
      </c>
      <c r="W7168">
        <v>0.10500669999999999</v>
      </c>
      <c r="X7168">
        <v>0.98614710000000005</v>
      </c>
      <c r="Y7168">
        <v>0.18562400000000001</v>
      </c>
      <c r="Z7168">
        <v>-0.1087412</v>
      </c>
      <c r="AA7168">
        <v>0.97658540000000005</v>
      </c>
      <c r="AB7168">
        <v>39</v>
      </c>
      <c r="AC7168">
        <v>0.231699999999989</v>
      </c>
      <c r="AD7168">
        <v>-0.1118006</v>
      </c>
      <c r="AE7168">
        <v>0.61619999999999198</v>
      </c>
      <c r="AF7168">
        <v>0.18556607242714401</v>
      </c>
      <c r="AG7168">
        <v>-0.1118006</v>
      </c>
      <c r="AH7168">
        <v>0.61236848615814099</v>
      </c>
      <c r="AI7168">
        <v>99.910940805860704</v>
      </c>
      <c r="AJ7168">
        <v>73.141612843906799</v>
      </c>
      <c r="AK7168">
        <v>0.64956085491353999</v>
      </c>
      <c r="AL7168">
        <v>83.972447484871907</v>
      </c>
      <c r="AM7168">
        <v>82.581399662597804</v>
      </c>
      <c r="AN7168">
        <v>1.00000001002849</v>
      </c>
    </row>
    <row r="7169" spans="1:40" x14ac:dyDescent="0.25">
      <c r="A7169" t="str">
        <f>"20190312151204325"</f>
        <v>20190312151204325</v>
      </c>
      <c r="B7169" t="str">
        <f>"1552374724318824"</f>
        <v>1552374724318824</v>
      </c>
      <c r="C7169" t="s">
        <v>40</v>
      </c>
      <c r="D7169">
        <v>5.2163240000000002</v>
      </c>
      <c r="E7169">
        <v>0.52313460000000001</v>
      </c>
      <c r="F7169" t="s">
        <v>41</v>
      </c>
      <c r="G7169">
        <v>-185.7176</v>
      </c>
      <c r="H7169">
        <v>0.99821329999999997</v>
      </c>
      <c r="I7169">
        <v>102.6176</v>
      </c>
      <c r="J7169">
        <v>-185.9425</v>
      </c>
      <c r="K7169">
        <v>1.1080410000000001</v>
      </c>
      <c r="L7169">
        <v>102.0532</v>
      </c>
      <c r="M7169">
        <v>6.7543889999999995E-2</v>
      </c>
      <c r="N7169">
        <v>0</v>
      </c>
      <c r="O7169">
        <v>0.99760260000000001</v>
      </c>
      <c r="P7169">
        <v>0.19583449999999999</v>
      </c>
      <c r="Q7169">
        <v>8.9871909999999999E-2</v>
      </c>
      <c r="R7169">
        <v>0.97650999999999999</v>
      </c>
      <c r="S7169">
        <v>0.77436830000000001</v>
      </c>
      <c r="T7169">
        <v>-0.33576080000000003</v>
      </c>
      <c r="U7169">
        <v>2.9491269999999998</v>
      </c>
      <c r="V7169">
        <v>0.13001219999999999</v>
      </c>
      <c r="W7169">
        <v>0.10399890000000001</v>
      </c>
      <c r="X7169">
        <v>0.98604309999999995</v>
      </c>
      <c r="Y7169">
        <v>0.18651110000000001</v>
      </c>
      <c r="Z7169">
        <v>-0.1099058</v>
      </c>
      <c r="AA7169">
        <v>0.97628599999999999</v>
      </c>
      <c r="AB7169">
        <v>39</v>
      </c>
      <c r="AC7169">
        <v>0.224899999999991</v>
      </c>
      <c r="AD7169">
        <v>-0.1098277</v>
      </c>
      <c r="AE7169">
        <v>0.56439999999999202</v>
      </c>
      <c r="AF7169">
        <v>0.180366281741632</v>
      </c>
      <c r="AG7169">
        <v>-0.1098277</v>
      </c>
      <c r="AH7169">
        <v>0.56000366806893997</v>
      </c>
      <c r="AI7169">
        <v>100.57403902606799</v>
      </c>
      <c r="AJ7169">
        <v>72.147260650584002</v>
      </c>
      <c r="AK7169">
        <v>0.59849663952879395</v>
      </c>
      <c r="AL7169">
        <v>84.030507834264299</v>
      </c>
      <c r="AM7169">
        <v>82.488738963014498</v>
      </c>
      <c r="AN7169">
        <v>0.99999996920382905</v>
      </c>
    </row>
    <row r="7170" spans="1:40" x14ac:dyDescent="0.25">
      <c r="A7170" t="str">
        <f>"20190312151204348"</f>
        <v>20190312151204348</v>
      </c>
      <c r="B7170" t="str">
        <f>"1552374724338344"</f>
        <v>1552374724338344</v>
      </c>
      <c r="C7170" t="s">
        <v>40</v>
      </c>
      <c r="D7170">
        <v>5.2128050000000004</v>
      </c>
      <c r="E7170">
        <v>0.52298329999999904</v>
      </c>
      <c r="F7170" t="s">
        <v>41</v>
      </c>
      <c r="G7170">
        <v>-185.69929999999999</v>
      </c>
      <c r="H7170">
        <v>1.0027469999999901</v>
      </c>
      <c r="I7170">
        <v>102.96639999999999</v>
      </c>
      <c r="J7170">
        <v>-185.91380000000001</v>
      </c>
      <c r="K7170">
        <v>1.108117</v>
      </c>
      <c r="L7170">
        <v>102.4487</v>
      </c>
      <c r="M7170">
        <v>6.9596569999999996E-2</v>
      </c>
      <c r="N7170">
        <v>0</v>
      </c>
      <c r="O7170">
        <v>0.99746170000000001</v>
      </c>
      <c r="P7170">
        <v>0.19876369999999999</v>
      </c>
      <c r="Q7170">
        <v>8.9778479999999994E-2</v>
      </c>
      <c r="R7170">
        <v>0.97592659999999998</v>
      </c>
      <c r="S7170">
        <v>0.78425599999999995</v>
      </c>
      <c r="T7170">
        <v>-0.33968710000000002</v>
      </c>
      <c r="U7170">
        <v>2.9461360000000001</v>
      </c>
      <c r="V7170">
        <v>0.13092309999999999</v>
      </c>
      <c r="W7170">
        <v>0.10391690000000001</v>
      </c>
      <c r="X7170">
        <v>0.98593129999999995</v>
      </c>
      <c r="Y7170">
        <v>0.18775849999999999</v>
      </c>
      <c r="Z7170">
        <v>-0.1111994</v>
      </c>
      <c r="AA7170">
        <v>0.9759004</v>
      </c>
      <c r="AB7170">
        <v>39</v>
      </c>
      <c r="AC7170">
        <v>0.21450000000001501</v>
      </c>
      <c r="AD7170">
        <v>-0.10537000000000001</v>
      </c>
      <c r="AE7170">
        <v>0.51769999999998995</v>
      </c>
      <c r="AF7170">
        <v>0.17186882658327099</v>
      </c>
      <c r="AG7170">
        <v>-0.10537000000000001</v>
      </c>
      <c r="AH7170">
        <v>0.51322849394546699</v>
      </c>
      <c r="AI7170">
        <v>101.01665725713001</v>
      </c>
      <c r="AJ7170">
        <v>71.485446070776803</v>
      </c>
      <c r="AK7170">
        <v>0.55140295379027804</v>
      </c>
      <c r="AL7170">
        <v>84.035232192809502</v>
      </c>
      <c r="AM7170">
        <v>82.435872496055396</v>
      </c>
      <c r="AN7170">
        <v>1.00000005426945</v>
      </c>
    </row>
    <row r="7171" spans="1:40" x14ac:dyDescent="0.25">
      <c r="A7171" t="str">
        <f>"20190312151204372"</f>
        <v>20190312151204372</v>
      </c>
      <c r="B7171" t="str">
        <f>"1552374724368600"</f>
        <v>1552374724368600</v>
      </c>
      <c r="C7171" t="s">
        <v>40</v>
      </c>
      <c r="D7171">
        <v>5.2313609999999997</v>
      </c>
      <c r="E7171">
        <v>0.5227792</v>
      </c>
      <c r="F7171" t="s">
        <v>41</v>
      </c>
      <c r="G7171">
        <v>-185.6806</v>
      </c>
      <c r="H7171">
        <v>1.007639</v>
      </c>
      <c r="I7171">
        <v>103.31570000000001</v>
      </c>
      <c r="J7171">
        <v>-185.8835</v>
      </c>
      <c r="K7171">
        <v>1.1082110000000001</v>
      </c>
      <c r="L7171">
        <v>102.8563</v>
      </c>
      <c r="M7171">
        <v>7.1590459999999995E-2</v>
      </c>
      <c r="N7171">
        <v>0</v>
      </c>
      <c r="O7171">
        <v>0.99732069999999995</v>
      </c>
      <c r="P7171">
        <v>0.20097139999999999</v>
      </c>
      <c r="Q7171">
        <v>8.9459060000000007E-2</v>
      </c>
      <c r="R7171">
        <v>0.97550369999999997</v>
      </c>
      <c r="S7171">
        <v>0.79180909999999904</v>
      </c>
      <c r="T7171">
        <v>-0.34117960000000003</v>
      </c>
      <c r="U7171">
        <v>2.9441220000000001</v>
      </c>
      <c r="V7171">
        <v>0.13115439999999901</v>
      </c>
      <c r="W7171">
        <v>0.1036205</v>
      </c>
      <c r="X7171">
        <v>0.98593169999999997</v>
      </c>
      <c r="Y7171">
        <v>0.18828339999999999</v>
      </c>
      <c r="Z7171">
        <v>-0.11168939999999999</v>
      </c>
      <c r="AA7171">
        <v>0.97574320000000003</v>
      </c>
      <c r="AB7171">
        <v>39</v>
      </c>
      <c r="AC7171">
        <v>0.202899999999999</v>
      </c>
      <c r="AD7171">
        <v>-0.10057199999999999</v>
      </c>
      <c r="AE7171">
        <v>0.45940000000000197</v>
      </c>
      <c r="AF7171">
        <v>0.16295197172519901</v>
      </c>
      <c r="AG7171">
        <v>-0.10057199999999999</v>
      </c>
      <c r="AH7171">
        <v>0.45452053362065298</v>
      </c>
      <c r="AI7171">
        <v>101.765861049444</v>
      </c>
      <c r="AJ7171">
        <v>70.276532800430203</v>
      </c>
      <c r="AK7171">
        <v>0.49321089582037198</v>
      </c>
      <c r="AL7171">
        <v>84.052306520419293</v>
      </c>
      <c r="AM7171">
        <v>82.422667235250501</v>
      </c>
      <c r="AN7171">
        <v>1.0000000008622401</v>
      </c>
    </row>
    <row r="7172" spans="1:40" x14ac:dyDescent="0.25">
      <c r="A7172" t="str">
        <f>"20190312151204393"</f>
        <v>20190312151204393</v>
      </c>
      <c r="B7172" t="str">
        <f>"1552374724388120"</f>
        <v>1552374724388120</v>
      </c>
      <c r="C7172" t="s">
        <v>40</v>
      </c>
      <c r="D7172">
        <v>5.2445180000000002</v>
      </c>
      <c r="E7172">
        <v>0.52260770000000001</v>
      </c>
      <c r="F7172" t="s">
        <v>41</v>
      </c>
      <c r="G7172">
        <v>-185.66419999999999</v>
      </c>
      <c r="H7172">
        <v>1.0140709999999999</v>
      </c>
      <c r="I7172">
        <v>103.66540000000001</v>
      </c>
      <c r="J7172">
        <v>-185.85509999999999</v>
      </c>
      <c r="K7172">
        <v>1.1083179999999999</v>
      </c>
      <c r="L7172">
        <v>103.2294</v>
      </c>
      <c r="M7172">
        <v>7.3288000000000006E-2</v>
      </c>
      <c r="N7172">
        <v>0</v>
      </c>
      <c r="O7172">
        <v>0.99719740000000001</v>
      </c>
      <c r="P7172">
        <v>0.20256650000000001</v>
      </c>
      <c r="Q7172">
        <v>8.9694529999999995E-2</v>
      </c>
      <c r="R7172">
        <v>0.97515209999999997</v>
      </c>
      <c r="S7172">
        <v>0.79696659999999997</v>
      </c>
      <c r="T7172">
        <v>-0.34236119999999998</v>
      </c>
      <c r="U7172">
        <v>2.9425659999999998</v>
      </c>
      <c r="V7172">
        <v>0.13106409999999999</v>
      </c>
      <c r="W7172">
        <v>0.10388509999999999</v>
      </c>
      <c r="X7172">
        <v>0.98591589999999996</v>
      </c>
      <c r="Y7172">
        <v>0.18832399999999999</v>
      </c>
      <c r="Z7172">
        <v>-0.11208170000000001</v>
      </c>
      <c r="AA7172">
        <v>0.97569039999999996</v>
      </c>
      <c r="AB7172">
        <v>39</v>
      </c>
      <c r="AC7172">
        <v>0.19089999999999899</v>
      </c>
      <c r="AD7172">
        <v>-9.4247000000000206E-2</v>
      </c>
      <c r="AE7172">
        <v>0.43600000000000699</v>
      </c>
      <c r="AF7172">
        <v>0.15245176293985899</v>
      </c>
      <c r="AG7172">
        <v>-9.4247000000000206E-2</v>
      </c>
      <c r="AH7172">
        <v>0.431885455565095</v>
      </c>
      <c r="AI7172">
        <v>101.627909415049</v>
      </c>
      <c r="AJ7172">
        <v>70.557416823798704</v>
      </c>
      <c r="AK7172">
        <v>0.467599276903997</v>
      </c>
      <c r="AL7172">
        <v>84.037064010703901</v>
      </c>
      <c r="AM7172">
        <v>82.427703742981905</v>
      </c>
      <c r="AN7172">
        <v>1.0000000370918101</v>
      </c>
    </row>
    <row r="7173" spans="1:40" x14ac:dyDescent="0.25">
      <c r="A7173" t="str">
        <f>"20190312151204416"</f>
        <v>20190312151204416</v>
      </c>
      <c r="B7173" t="str">
        <f>"1552374724408616"</f>
        <v>1552374724408616</v>
      </c>
      <c r="C7173" t="s">
        <v>40</v>
      </c>
      <c r="D7173">
        <v>5.2514200000000004</v>
      </c>
      <c r="E7173">
        <v>0.52241369999999998</v>
      </c>
      <c r="F7173" t="s">
        <v>41</v>
      </c>
      <c r="G7173">
        <v>-185.64189999999999</v>
      </c>
      <c r="H7173">
        <v>1.017023</v>
      </c>
      <c r="I7173">
        <v>104.0127</v>
      </c>
      <c r="J7173">
        <v>-185.82490000000001</v>
      </c>
      <c r="K7173">
        <v>1.108449</v>
      </c>
      <c r="L7173">
        <v>103.6199</v>
      </c>
      <c r="M7173">
        <v>7.492161E-2</v>
      </c>
      <c r="N7173">
        <v>0</v>
      </c>
      <c r="O7173">
        <v>0.99707610000000002</v>
      </c>
      <c r="P7173">
        <v>0.204239</v>
      </c>
      <c r="Q7173">
        <v>8.9192030000000005E-2</v>
      </c>
      <c r="R7173">
        <v>0.97484930000000003</v>
      </c>
      <c r="S7173">
        <v>0.80033869999999996</v>
      </c>
      <c r="T7173">
        <v>-0.34283609999999998</v>
      </c>
      <c r="U7173">
        <v>2.9417110000000002</v>
      </c>
      <c r="V7173">
        <v>0.1311022</v>
      </c>
      <c r="W7173">
        <v>0.10341649999999999</v>
      </c>
      <c r="X7173">
        <v>0.98596010000000001</v>
      </c>
      <c r="Y7173">
        <v>0.18782409999999999</v>
      </c>
      <c r="Z7173">
        <v>-0.1122349</v>
      </c>
      <c r="AA7173">
        <v>0.9757692</v>
      </c>
      <c r="AB7173">
        <v>39</v>
      </c>
      <c r="AC7173">
        <v>0.18300000000002101</v>
      </c>
      <c r="AD7173">
        <v>-9.1425999999999993E-2</v>
      </c>
      <c r="AE7173">
        <v>0.39279999999999399</v>
      </c>
      <c r="AF7173">
        <v>0.14653048323640899</v>
      </c>
      <c r="AG7173">
        <v>-9.1425999999999993E-2</v>
      </c>
      <c r="AH7173">
        <v>0.388131032815971</v>
      </c>
      <c r="AI7173">
        <v>102.427790587099</v>
      </c>
      <c r="AJ7173">
        <v>69.317054688603406</v>
      </c>
      <c r="AK7173">
        <v>0.42482419261182403</v>
      </c>
      <c r="AL7173">
        <v>84.064058221430997</v>
      </c>
      <c r="AM7173">
        <v>82.425863666489207</v>
      </c>
      <c r="AN7173">
        <v>1.00000003905454</v>
      </c>
    </row>
    <row r="7174" spans="1:40" x14ac:dyDescent="0.25">
      <c r="A7174" t="str">
        <f>"20190312151204438"</f>
        <v>20190312151204438</v>
      </c>
      <c r="B7174" t="str">
        <f>"1552374724428136"</f>
        <v>1552374724428136</v>
      </c>
      <c r="C7174" t="s">
        <v>40</v>
      </c>
      <c r="D7174">
        <v>5.2307940000000004</v>
      </c>
      <c r="E7174">
        <v>0.52223710000000001</v>
      </c>
      <c r="F7174" t="s">
        <v>41</v>
      </c>
      <c r="G7174">
        <v>-185.62270000000001</v>
      </c>
      <c r="H7174">
        <v>1.0214190000000001</v>
      </c>
      <c r="I7174">
        <v>104.3605</v>
      </c>
      <c r="J7174">
        <v>-185.79470000000001</v>
      </c>
      <c r="K7174">
        <v>1.1085860000000001</v>
      </c>
      <c r="L7174">
        <v>104.0035</v>
      </c>
      <c r="M7174">
        <v>7.6375299999999993E-2</v>
      </c>
      <c r="N7174">
        <v>0</v>
      </c>
      <c r="O7174">
        <v>0.99696589999999996</v>
      </c>
      <c r="P7174">
        <v>0.20629339999999999</v>
      </c>
      <c r="Q7174">
        <v>8.8642200000000004E-2</v>
      </c>
      <c r="R7174">
        <v>0.97446679999999997</v>
      </c>
      <c r="S7174">
        <v>0.80299379999999998</v>
      </c>
      <c r="T7174">
        <v>-0.34559489999999998</v>
      </c>
      <c r="U7174">
        <v>2.9407649999999999</v>
      </c>
      <c r="V7174">
        <v>0.13170399999999999</v>
      </c>
      <c r="W7174">
        <v>0.1028995</v>
      </c>
      <c r="X7174">
        <v>0.98593399999999998</v>
      </c>
      <c r="Y7174">
        <v>0.18726490000000001</v>
      </c>
      <c r="Z7174">
        <v>-0.11313529999999999</v>
      </c>
      <c r="AA7174">
        <v>0.97577259999999999</v>
      </c>
      <c r="AB7174">
        <v>39</v>
      </c>
      <c r="AC7174">
        <v>0.17199999999999699</v>
      </c>
      <c r="AD7174">
        <v>-8.7166999999999994E-2</v>
      </c>
      <c r="AE7174">
        <v>0.35699999999999898</v>
      </c>
      <c r="AF7174">
        <v>0.13757197867503301</v>
      </c>
      <c r="AG7174">
        <v>-8.7166999999999994E-2</v>
      </c>
      <c r="AH7174">
        <v>0.35206050588556798</v>
      </c>
      <c r="AI7174">
        <v>102.98593762054099</v>
      </c>
      <c r="AJ7174">
        <v>68.656314968558803</v>
      </c>
      <c r="AK7174">
        <v>0.38790557486322103</v>
      </c>
      <c r="AL7174">
        <v>84.093839093680103</v>
      </c>
      <c r="AM7174">
        <v>82.391303340188401</v>
      </c>
      <c r="AN7174">
        <v>1.00000005153612</v>
      </c>
    </row>
    <row r="7175" spans="1:40" x14ac:dyDescent="0.25">
      <c r="A7175" t="str">
        <f>"20190312151204460"</f>
        <v>20190312151204460</v>
      </c>
      <c r="B7175" t="str">
        <f>"1552374724448632"</f>
        <v>1552374724448632</v>
      </c>
      <c r="C7175" t="s">
        <v>40</v>
      </c>
      <c r="D7175">
        <v>5.277012</v>
      </c>
      <c r="E7175">
        <v>0.52208880000000002</v>
      </c>
      <c r="F7175" t="s">
        <v>41</v>
      </c>
      <c r="G7175">
        <v>-185.51240000000001</v>
      </c>
      <c r="H7175">
        <v>0.98695160000000004</v>
      </c>
      <c r="I7175">
        <v>105.0313</v>
      </c>
      <c r="J7175">
        <v>-185.76410000000001</v>
      </c>
      <c r="K7175">
        <v>1.1087229999999999</v>
      </c>
      <c r="L7175">
        <v>104.3875</v>
      </c>
      <c r="M7175">
        <v>7.7674869999999993E-2</v>
      </c>
      <c r="N7175">
        <v>0</v>
      </c>
      <c r="O7175">
        <v>0.99686560000000002</v>
      </c>
      <c r="P7175">
        <v>0.20805360000000001</v>
      </c>
      <c r="Q7175">
        <v>8.8842599999999994E-2</v>
      </c>
      <c r="R7175">
        <v>0.97407429999999995</v>
      </c>
      <c r="S7175">
        <v>0.80749510000000002</v>
      </c>
      <c r="T7175">
        <v>-0.34786</v>
      </c>
      <c r="U7175">
        <v>2.9393159999999998</v>
      </c>
      <c r="V7175">
        <v>0.13216889999999901</v>
      </c>
      <c r="W7175">
        <v>0.1031338</v>
      </c>
      <c r="X7175">
        <v>0.98584720000000003</v>
      </c>
      <c r="Y7175">
        <v>0.18747449999999999</v>
      </c>
      <c r="Z7175">
        <v>-0.1138787</v>
      </c>
      <c r="AA7175">
        <v>0.97564589999999995</v>
      </c>
      <c r="AB7175">
        <v>39</v>
      </c>
      <c r="AC7175">
        <v>0.25169999999999898</v>
      </c>
      <c r="AD7175">
        <v>-0.121771399999999</v>
      </c>
      <c r="AE7175">
        <v>0.64379999999999804</v>
      </c>
      <c r="AF7175">
        <v>0.19487908091362</v>
      </c>
      <c r="AG7175">
        <v>-0.121771399999999</v>
      </c>
      <c r="AH7175">
        <v>0.64150012909973897</v>
      </c>
      <c r="AI7175">
        <v>100.294240642551</v>
      </c>
      <c r="AJ7175">
        <v>73.101926489253799</v>
      </c>
      <c r="AK7175">
        <v>0.68141657278839296</v>
      </c>
      <c r="AL7175">
        <v>84.080342286933998</v>
      </c>
      <c r="AM7175">
        <v>82.364097484005896</v>
      </c>
      <c r="AN7175">
        <v>0.999999950288743</v>
      </c>
    </row>
    <row r="7176" spans="1:40" x14ac:dyDescent="0.25">
      <c r="A7176" t="str">
        <f>"20190312151204483"</f>
        <v>20190312151204483</v>
      </c>
      <c r="B7176" t="str">
        <f>"1552374724478888"</f>
        <v>1552374724478888</v>
      </c>
      <c r="C7176" t="s">
        <v>40</v>
      </c>
      <c r="D7176">
        <v>5.4000209999999997</v>
      </c>
      <c r="E7176">
        <v>0.52186049999999995</v>
      </c>
      <c r="F7176" t="s">
        <v>41</v>
      </c>
      <c r="G7176">
        <v>-185.49039999999999</v>
      </c>
      <c r="H7176">
        <v>0.99160269999999995</v>
      </c>
      <c r="I7176">
        <v>105.37730000000001</v>
      </c>
      <c r="J7176">
        <v>-185.73249999999999</v>
      </c>
      <c r="K7176">
        <v>1.1088559999999901</v>
      </c>
      <c r="L7176">
        <v>104.7773</v>
      </c>
      <c r="M7176">
        <v>7.8871319999999995E-2</v>
      </c>
      <c r="N7176">
        <v>0</v>
      </c>
      <c r="O7176">
        <v>0.99677179999999999</v>
      </c>
      <c r="P7176">
        <v>0.2100331</v>
      </c>
      <c r="Q7176">
        <v>8.9016979999999996E-2</v>
      </c>
      <c r="R7176">
        <v>0.97363339999999998</v>
      </c>
      <c r="S7176">
        <v>0.81210329999999997</v>
      </c>
      <c r="T7176">
        <v>-0.3476477</v>
      </c>
      <c r="U7176">
        <v>2.93811</v>
      </c>
      <c r="V7176">
        <v>0.13296069999999999</v>
      </c>
      <c r="W7176">
        <v>0.10333779999999999</v>
      </c>
      <c r="X7176">
        <v>0.98571940000000002</v>
      </c>
      <c r="Y7176">
        <v>0.1878223</v>
      </c>
      <c r="Z7176">
        <v>-0.1138117</v>
      </c>
      <c r="AA7176">
        <v>0.97558679999999998</v>
      </c>
      <c r="AB7176">
        <v>39</v>
      </c>
      <c r="AC7176">
        <v>0.24209999999999299</v>
      </c>
      <c r="AD7176">
        <v>-0.11725329999999901</v>
      </c>
      <c r="AE7176">
        <v>0.60000000000000797</v>
      </c>
      <c r="AF7176">
        <v>0.187848090400212</v>
      </c>
      <c r="AG7176">
        <v>-0.11725329999999901</v>
      </c>
      <c r="AH7176">
        <v>0.59760057895610996</v>
      </c>
      <c r="AI7176">
        <v>100.60179295091901</v>
      </c>
      <c r="AJ7176">
        <v>72.550127088885404</v>
      </c>
      <c r="AK7176">
        <v>0.63730816203511298</v>
      </c>
      <c r="AL7176">
        <v>84.068591408840504</v>
      </c>
      <c r="AM7176">
        <v>82.317912731248697</v>
      </c>
      <c r="AN7176">
        <v>0.99999999209484502</v>
      </c>
    </row>
    <row r="7177" spans="1:40" x14ac:dyDescent="0.25">
      <c r="A7177" t="str">
        <f>"20190312151204504"</f>
        <v>20190312151204504</v>
      </c>
      <c r="B7177" t="str">
        <f>"1552374724498408"</f>
        <v>1552374724498408</v>
      </c>
      <c r="C7177" t="s">
        <v>40</v>
      </c>
      <c r="D7177">
        <v>5.2759510000000001</v>
      </c>
      <c r="E7177">
        <v>0.52168700000000001</v>
      </c>
      <c r="F7177" t="s">
        <v>41</v>
      </c>
      <c r="G7177">
        <v>-185.46950000000001</v>
      </c>
      <c r="H7177">
        <v>0.99700370000000005</v>
      </c>
      <c r="I7177">
        <v>105.72320000000001</v>
      </c>
      <c r="J7177">
        <v>-185.70269999999999</v>
      </c>
      <c r="K7177">
        <v>1.1089719999999901</v>
      </c>
      <c r="L7177">
        <v>105.1414</v>
      </c>
      <c r="M7177">
        <v>7.9889370000000001E-2</v>
      </c>
      <c r="N7177">
        <v>0</v>
      </c>
      <c r="O7177">
        <v>0.99669079999999999</v>
      </c>
      <c r="P7177">
        <v>0.21193809999999999</v>
      </c>
      <c r="Q7177">
        <v>8.8873679999999997E-2</v>
      </c>
      <c r="R7177">
        <v>0.97323360000000003</v>
      </c>
      <c r="S7177">
        <v>0.81639099999999998</v>
      </c>
      <c r="T7177">
        <v>-0.3472828</v>
      </c>
      <c r="U7177">
        <v>2.936874</v>
      </c>
      <c r="V7177">
        <v>0.13385529999999901</v>
      </c>
      <c r="W7177">
        <v>0.1032187</v>
      </c>
      <c r="X7177">
        <v>0.98561080000000001</v>
      </c>
      <c r="Y7177">
        <v>0.1882509</v>
      </c>
      <c r="Z7177">
        <v>-0.1136993</v>
      </c>
      <c r="AA7177">
        <v>0.97551730000000003</v>
      </c>
      <c r="AB7177">
        <v>39</v>
      </c>
      <c r="AC7177">
        <v>0.23319999999998201</v>
      </c>
      <c r="AD7177">
        <v>-0.11196829999999899</v>
      </c>
      <c r="AE7177">
        <v>0.58180000000000098</v>
      </c>
      <c r="AF7177">
        <v>0.180218675683015</v>
      </c>
      <c r="AG7177">
        <v>-0.11196829999999899</v>
      </c>
      <c r="AH7177">
        <v>0.58006205868612304</v>
      </c>
      <c r="AI7177">
        <v>100.444445267497</v>
      </c>
      <c r="AJ7177">
        <v>72.740575437774794</v>
      </c>
      <c r="AK7177">
        <v>0.61764687580931898</v>
      </c>
      <c r="AL7177">
        <v>84.075452041944601</v>
      </c>
      <c r="AM7177">
        <v>82.266006924768504</v>
      </c>
      <c r="AN7177">
        <v>0.99999999522220995</v>
      </c>
    </row>
    <row r="7178" spans="1:40" x14ac:dyDescent="0.25">
      <c r="A7178" t="str">
        <f>"20190312151204527"</f>
        <v>20190312151204527</v>
      </c>
      <c r="B7178" t="str">
        <f>"1552374724518904"</f>
        <v>1552374724518904</v>
      </c>
      <c r="C7178" t="s">
        <v>40</v>
      </c>
      <c r="D7178">
        <v>5.2474020000000001</v>
      </c>
      <c r="E7178">
        <v>0.52152730000000003</v>
      </c>
      <c r="F7178" t="s">
        <v>41</v>
      </c>
      <c r="G7178">
        <v>-185.4436</v>
      </c>
      <c r="H7178">
        <v>0.99945309999999998</v>
      </c>
      <c r="I7178">
        <v>106.0675</v>
      </c>
      <c r="J7178">
        <v>-185.67009999999999</v>
      </c>
      <c r="K7178">
        <v>1.109081</v>
      </c>
      <c r="L7178">
        <v>105.53530000000001</v>
      </c>
      <c r="M7178">
        <v>8.0892169999999999E-2</v>
      </c>
      <c r="N7178">
        <v>0</v>
      </c>
      <c r="O7178">
        <v>0.99661</v>
      </c>
      <c r="P7178">
        <v>0.21308589999999999</v>
      </c>
      <c r="Q7178">
        <v>8.8975960000000007E-2</v>
      </c>
      <c r="R7178">
        <v>0.97297359999999999</v>
      </c>
      <c r="S7178">
        <v>0.8208008</v>
      </c>
      <c r="T7178">
        <v>-0.34714699999999998</v>
      </c>
      <c r="U7178">
        <v>2.9354550000000001</v>
      </c>
      <c r="V7178">
        <v>0.13400049999999999</v>
      </c>
      <c r="W7178">
        <v>0.1033487</v>
      </c>
      <c r="X7178">
        <v>0.9855775</v>
      </c>
      <c r="Y7178">
        <v>0.18874540000000001</v>
      </c>
      <c r="Z7178">
        <v>-0.1136662</v>
      </c>
      <c r="AA7178">
        <v>0.97542569999999995</v>
      </c>
      <c r="AB7178">
        <v>39</v>
      </c>
      <c r="AC7178">
        <v>0.22649999999998699</v>
      </c>
      <c r="AD7178">
        <v>-0.1096279</v>
      </c>
      <c r="AE7178">
        <v>0.53219999999998802</v>
      </c>
      <c r="AF7178">
        <v>0.17636597755289801</v>
      </c>
      <c r="AG7178">
        <v>-0.1096279</v>
      </c>
      <c r="AH7178">
        <v>0.52974849907604005</v>
      </c>
      <c r="AI7178">
        <v>101.10858162356099</v>
      </c>
      <c r="AJ7178">
        <v>71.586162678023797</v>
      </c>
      <c r="AK7178">
        <v>0.56899622737757904</v>
      </c>
      <c r="AL7178">
        <v>84.067963856691506</v>
      </c>
      <c r="AM7178">
        <v>82.257460730770802</v>
      </c>
      <c r="AN7178">
        <v>1.00000004814909</v>
      </c>
    </row>
    <row r="7179" spans="1:40" x14ac:dyDescent="0.25">
      <c r="A7179" t="str">
        <f>"20190312151204550"</f>
        <v>20190312151204550</v>
      </c>
      <c r="B7179" t="str">
        <f>"1552374724538424"</f>
        <v>1552374724538424</v>
      </c>
      <c r="C7179" t="s">
        <v>40</v>
      </c>
      <c r="D7179">
        <v>5.2467569999999997</v>
      </c>
      <c r="E7179">
        <v>0.52139840000000004</v>
      </c>
      <c r="F7179" t="s">
        <v>41</v>
      </c>
      <c r="G7179">
        <v>-185.4238</v>
      </c>
      <c r="H7179">
        <v>1.005287</v>
      </c>
      <c r="I7179">
        <v>106.4134</v>
      </c>
      <c r="J7179">
        <v>-185.63839999999999</v>
      </c>
      <c r="K7179">
        <v>1.109178</v>
      </c>
      <c r="L7179">
        <v>105.9157</v>
      </c>
      <c r="M7179">
        <v>8.1783830000000002E-2</v>
      </c>
      <c r="N7179">
        <v>0</v>
      </c>
      <c r="O7179">
        <v>0.99653729999999996</v>
      </c>
      <c r="P7179">
        <v>0.21407019999999999</v>
      </c>
      <c r="Q7179">
        <v>8.8986309999999999E-2</v>
      </c>
      <c r="R7179">
        <v>0.97275659999999997</v>
      </c>
      <c r="S7179">
        <v>0.82296749999999996</v>
      </c>
      <c r="T7179">
        <v>-0.34688449999999998</v>
      </c>
      <c r="U7179">
        <v>2.9348139999999998</v>
      </c>
      <c r="V7179">
        <v>0.134092299999999</v>
      </c>
      <c r="W7179">
        <v>0.1033838</v>
      </c>
      <c r="X7179">
        <v>0.98556129999999997</v>
      </c>
      <c r="Y7179">
        <v>0.1885925</v>
      </c>
      <c r="Z7179">
        <v>-0.1135833</v>
      </c>
      <c r="AA7179">
        <v>0.97546489999999997</v>
      </c>
      <c r="AB7179">
        <v>38</v>
      </c>
      <c r="AC7179">
        <v>0.21459999999998999</v>
      </c>
      <c r="AD7179">
        <v>-0.103890999999999</v>
      </c>
      <c r="AE7179">
        <v>0.49769999999999398</v>
      </c>
      <c r="AF7179">
        <v>0.167035309960266</v>
      </c>
      <c r="AG7179">
        <v>-0.103890999999999</v>
      </c>
      <c r="AH7179">
        <v>0.49538365892777197</v>
      </c>
      <c r="AI7179">
        <v>101.239698716269</v>
      </c>
      <c r="AJ7179">
        <v>71.3667307167008</v>
      </c>
      <c r="AK7179">
        <v>0.53300947851533498</v>
      </c>
      <c r="AL7179">
        <v>84.065941750075396</v>
      </c>
      <c r="AM7179">
        <v>82.252095129983104</v>
      </c>
      <c r="AN7179">
        <v>1.0000000155397</v>
      </c>
    </row>
    <row r="7180" spans="1:40" x14ac:dyDescent="0.25">
      <c r="A7180" t="str">
        <f>"20190312151204572"</f>
        <v>20190312151204572</v>
      </c>
      <c r="B7180" t="str">
        <f>"1552374724568680"</f>
        <v>1552374724568680</v>
      </c>
      <c r="C7180" t="s">
        <v>40</v>
      </c>
      <c r="D7180">
        <v>5.2920360000000004</v>
      </c>
      <c r="E7180">
        <v>0.5211983</v>
      </c>
      <c r="F7180" t="s">
        <v>41</v>
      </c>
      <c r="G7180">
        <v>-185.4014</v>
      </c>
      <c r="H7180">
        <v>1.009471</v>
      </c>
      <c r="I7180">
        <v>106.758</v>
      </c>
      <c r="J7180">
        <v>-185.60579999999999</v>
      </c>
      <c r="K7180">
        <v>1.1092599999999999</v>
      </c>
      <c r="L7180">
        <v>106.3014</v>
      </c>
      <c r="M7180">
        <v>8.2633739999999997E-2</v>
      </c>
      <c r="N7180">
        <v>0</v>
      </c>
      <c r="O7180">
        <v>0.9964672</v>
      </c>
      <c r="P7180">
        <v>0.2150899</v>
      </c>
      <c r="Q7180">
        <v>8.8481260000000006E-2</v>
      </c>
      <c r="R7180">
        <v>0.97257769999999999</v>
      </c>
      <c r="S7180">
        <v>0.82482909999999898</v>
      </c>
      <c r="T7180">
        <v>-0.3473755</v>
      </c>
      <c r="U7180">
        <v>2.9342649999999999</v>
      </c>
      <c r="V7180">
        <v>0.13425909999999999</v>
      </c>
      <c r="W7180">
        <v>0.10290000000000001</v>
      </c>
      <c r="X7180">
        <v>0.98558920000000005</v>
      </c>
      <c r="Y7180">
        <v>0.18837129999999999</v>
      </c>
      <c r="Z7180">
        <v>-0.1137432</v>
      </c>
      <c r="AA7180">
        <v>0.97548900000000005</v>
      </c>
      <c r="AB7180">
        <v>38</v>
      </c>
      <c r="AC7180">
        <v>0.204399999999992</v>
      </c>
      <c r="AD7180">
        <v>-9.97890000000001E-2</v>
      </c>
      <c r="AE7180">
        <v>0.45659999999999401</v>
      </c>
      <c r="AF7180">
        <v>0.15961497897132099</v>
      </c>
      <c r="AG7180">
        <v>-9.97890000000001E-2</v>
      </c>
      <c r="AH7180">
        <v>0.45387098984919799</v>
      </c>
      <c r="AI7180">
        <v>101.71758148327</v>
      </c>
      <c r="AJ7180">
        <v>70.624512820482195</v>
      </c>
      <c r="AK7180">
        <v>0.49135899448336701</v>
      </c>
      <c r="AL7180">
        <v>84.093809949183097</v>
      </c>
      <c r="AM7180">
        <v>82.2427915630428</v>
      </c>
      <c r="AN7180">
        <v>0.99999999354472502</v>
      </c>
    </row>
    <row r="7181" spans="1:40" x14ac:dyDescent="0.25">
      <c r="A7181" t="str">
        <f>"20190312151204595"</f>
        <v>20190312151204595</v>
      </c>
      <c r="B7181" t="str">
        <f>"1552374724588200"</f>
        <v>1552374724588200</v>
      </c>
      <c r="C7181" t="s">
        <v>40</v>
      </c>
      <c r="D7181">
        <v>5.2731669999999999</v>
      </c>
      <c r="E7181">
        <v>0.52106920000000001</v>
      </c>
      <c r="F7181" t="s">
        <v>41</v>
      </c>
      <c r="G7181">
        <v>-185.38</v>
      </c>
      <c r="H7181">
        <v>1.0138750000000001</v>
      </c>
      <c r="I7181">
        <v>107.1024</v>
      </c>
      <c r="J7181">
        <v>-185.5727</v>
      </c>
      <c r="K7181">
        <v>1.1093309999999901</v>
      </c>
      <c r="L7181">
        <v>106.6905</v>
      </c>
      <c r="M7181">
        <v>8.3455970000000004E-2</v>
      </c>
      <c r="N7181">
        <v>0</v>
      </c>
      <c r="O7181">
        <v>0.99639880000000003</v>
      </c>
      <c r="P7181">
        <v>0.21644250000000001</v>
      </c>
      <c r="Q7181">
        <v>8.8341119999999995E-2</v>
      </c>
      <c r="R7181">
        <v>0.97229030000000005</v>
      </c>
      <c r="S7181">
        <v>0.82678220000000002</v>
      </c>
      <c r="T7181">
        <v>-0.34931089999999998</v>
      </c>
      <c r="U7181">
        <v>2.9335170000000002</v>
      </c>
      <c r="V7181">
        <v>0.13479849999999999</v>
      </c>
      <c r="W7181">
        <v>0.1027743</v>
      </c>
      <c r="X7181">
        <v>0.98552870000000004</v>
      </c>
      <c r="Y7181">
        <v>0.18820799999999999</v>
      </c>
      <c r="Z7181">
        <v>-0.1143762</v>
      </c>
      <c r="AA7181">
        <v>0.97544649999999999</v>
      </c>
      <c r="AB7181">
        <v>38</v>
      </c>
      <c r="AC7181">
        <v>0.19270000000000201</v>
      </c>
      <c r="AD7181">
        <v>-9.5455999999999694E-2</v>
      </c>
      <c r="AE7181">
        <v>0.41190000000000199</v>
      </c>
      <c r="AF7181">
        <v>0.15099505298004801</v>
      </c>
      <c r="AG7181">
        <v>-9.5455999999999694E-2</v>
      </c>
      <c r="AH7181">
        <v>0.40854510530189803</v>
      </c>
      <c r="AI7181">
        <v>102.361460277359</v>
      </c>
      <c r="AJ7181">
        <v>69.716084569851802</v>
      </c>
      <c r="AK7181">
        <v>0.44589287617833401</v>
      </c>
      <c r="AL7181">
        <v>84.101050486564404</v>
      </c>
      <c r="AM7181">
        <v>82.211535647283995</v>
      </c>
      <c r="AN7181">
        <v>1.0000000054332101</v>
      </c>
    </row>
    <row r="7182" spans="1:40" x14ac:dyDescent="0.25">
      <c r="A7182" t="str">
        <f>"20190312151204617"</f>
        <v>20190312151204617</v>
      </c>
      <c r="B7182" t="str">
        <f>"1552374724608697"</f>
        <v>1552374724608697</v>
      </c>
      <c r="C7182" t="s">
        <v>40</v>
      </c>
      <c r="D7182">
        <v>5.286632</v>
      </c>
      <c r="E7182">
        <v>0.52097700000000002</v>
      </c>
      <c r="F7182" t="s">
        <v>41</v>
      </c>
      <c r="G7182">
        <v>-185.35839999999999</v>
      </c>
      <c r="H7182">
        <v>1.019002</v>
      </c>
      <c r="I7182">
        <v>107.4468</v>
      </c>
      <c r="J7182">
        <v>-185.53980000000001</v>
      </c>
      <c r="K7182">
        <v>1.1093919999999999</v>
      </c>
      <c r="L7182">
        <v>107.07380000000001</v>
      </c>
      <c r="M7182">
        <v>8.4244040000000006E-2</v>
      </c>
      <c r="N7182">
        <v>0</v>
      </c>
      <c r="O7182">
        <v>0.99633260000000001</v>
      </c>
      <c r="P7182">
        <v>0.2177974</v>
      </c>
      <c r="Q7182">
        <v>8.8206679999999996E-2</v>
      </c>
      <c r="R7182">
        <v>0.97199990000000003</v>
      </c>
      <c r="S7182">
        <v>0.83003229999999995</v>
      </c>
      <c r="T7182">
        <v>-0.35030519999999998</v>
      </c>
      <c r="U7182">
        <v>2.9325559999999999</v>
      </c>
      <c r="V7182">
        <v>0.135378</v>
      </c>
      <c r="W7182">
        <v>0.10265050000000001</v>
      </c>
      <c r="X7182">
        <v>0.98546210000000001</v>
      </c>
      <c r="Y7182">
        <v>0.1885058</v>
      </c>
      <c r="Z7182">
        <v>-0.1147016</v>
      </c>
      <c r="AA7182">
        <v>0.97535070000000001</v>
      </c>
      <c r="AB7182">
        <v>38</v>
      </c>
      <c r="AC7182">
        <v>0.18140000000002399</v>
      </c>
      <c r="AD7182">
        <v>-9.0389999999999901E-2</v>
      </c>
      <c r="AE7182">
        <v>0.37299999999999001</v>
      </c>
      <c r="AF7182">
        <v>0.14255803201792799</v>
      </c>
      <c r="AG7182">
        <v>-9.0389999999999901E-2</v>
      </c>
      <c r="AH7182">
        <v>0.36941301818315903</v>
      </c>
      <c r="AI7182">
        <v>102.85899015242499</v>
      </c>
      <c r="AJ7182">
        <v>68.898189460394093</v>
      </c>
      <c r="AK7182">
        <v>0.40615160050899202</v>
      </c>
      <c r="AL7182">
        <v>84.108181027745005</v>
      </c>
      <c r="AM7182">
        <v>82.177944469447098</v>
      </c>
      <c r="AN7182">
        <v>0.99999993928532804</v>
      </c>
    </row>
    <row r="7183" spans="1:40" x14ac:dyDescent="0.25">
      <c r="A7183" t="str">
        <f>"20190312151204638"</f>
        <v>20190312151204638</v>
      </c>
      <c r="B7183" t="str">
        <f>"1552374724628216"</f>
        <v>1552374724628216</v>
      </c>
      <c r="C7183" t="s">
        <v>40</v>
      </c>
      <c r="D7183">
        <v>5.3154659999999998</v>
      </c>
      <c r="E7183">
        <v>0.52082390000000001</v>
      </c>
      <c r="F7183" t="s">
        <v>41</v>
      </c>
      <c r="G7183">
        <v>-185.33600000000001</v>
      </c>
      <c r="H7183">
        <v>1.0234890000000001</v>
      </c>
      <c r="I7183">
        <v>107.79040000000001</v>
      </c>
      <c r="J7183">
        <v>-185.50829999999999</v>
      </c>
      <c r="K7183">
        <v>1.109434</v>
      </c>
      <c r="L7183">
        <v>107.4383</v>
      </c>
      <c r="M7183">
        <v>8.498095E-2</v>
      </c>
      <c r="N7183">
        <v>0</v>
      </c>
      <c r="O7183">
        <v>0.99627010000000005</v>
      </c>
      <c r="P7183">
        <v>0.21948290000000001</v>
      </c>
      <c r="Q7183">
        <v>8.8551160000000004E-2</v>
      </c>
      <c r="R7183">
        <v>0.97158940000000005</v>
      </c>
      <c r="S7183">
        <v>0.83349609999999996</v>
      </c>
      <c r="T7183">
        <v>-0.35144589999999998</v>
      </c>
      <c r="U7183">
        <v>2.931549</v>
      </c>
      <c r="V7183">
        <v>0.13635269999999999</v>
      </c>
      <c r="W7183">
        <v>0.1029992</v>
      </c>
      <c r="X7183">
        <v>0.98529140000000004</v>
      </c>
      <c r="Y7183">
        <v>0.18892220000000001</v>
      </c>
      <c r="Z7183">
        <v>-0.1150742</v>
      </c>
      <c r="AA7183">
        <v>0.97522629999999999</v>
      </c>
      <c r="AB7183">
        <v>38</v>
      </c>
      <c r="AC7183">
        <v>0.172300000000007</v>
      </c>
      <c r="AD7183">
        <v>-8.5945000000000105E-2</v>
      </c>
      <c r="AE7183">
        <v>0.35210000000000702</v>
      </c>
      <c r="AF7183">
        <v>0.135249944771692</v>
      </c>
      <c r="AG7183">
        <v>-8.5945000000000105E-2</v>
      </c>
      <c r="AH7183">
        <v>0.34870745357120397</v>
      </c>
      <c r="AI7183">
        <v>102.941250919092</v>
      </c>
      <c r="AJ7183">
        <v>68.800680218118998</v>
      </c>
      <c r="AK7183">
        <v>0.38376552576001299</v>
      </c>
      <c r="AL7183">
        <v>84.0880959941491</v>
      </c>
      <c r="AM7183">
        <v>82.120983854817894</v>
      </c>
      <c r="AN7183">
        <v>1.0000000184559401</v>
      </c>
    </row>
    <row r="7184" spans="1:40" x14ac:dyDescent="0.25">
      <c r="A7184" t="str">
        <f>"20190312151204660"</f>
        <v>20190312151204660</v>
      </c>
      <c r="B7184" t="str">
        <f>"1552374724648712"</f>
        <v>1552374724648712</v>
      </c>
      <c r="C7184" t="s">
        <v>40</v>
      </c>
      <c r="D7184">
        <v>5.3922210000000002</v>
      </c>
      <c r="E7184">
        <v>0.52066210000000002</v>
      </c>
      <c r="F7184" t="s">
        <v>41</v>
      </c>
      <c r="G7184">
        <v>-185.2182</v>
      </c>
      <c r="H7184">
        <v>0.98837750000000002</v>
      </c>
      <c r="I7184">
        <v>108.4524</v>
      </c>
      <c r="J7184">
        <v>-185.4761</v>
      </c>
      <c r="K7184">
        <v>1.1094679999999999</v>
      </c>
      <c r="L7184">
        <v>107.80670000000001</v>
      </c>
      <c r="M7184">
        <v>8.5719820000000002E-2</v>
      </c>
      <c r="N7184">
        <v>0</v>
      </c>
      <c r="O7184">
        <v>0.99620679999999995</v>
      </c>
      <c r="P7184">
        <v>0.2210329</v>
      </c>
      <c r="Q7184">
        <v>8.8676669999999999E-2</v>
      </c>
      <c r="R7184">
        <v>0.97122649999999999</v>
      </c>
      <c r="S7184">
        <v>0.83793639999999903</v>
      </c>
      <c r="T7184">
        <v>-0.34980810000000001</v>
      </c>
      <c r="U7184">
        <v>2.9303129999999999</v>
      </c>
      <c r="V7184">
        <v>0.13718830000000001</v>
      </c>
      <c r="W7184">
        <v>0.1031267</v>
      </c>
      <c r="X7184">
        <v>0.98516199999999998</v>
      </c>
      <c r="Y7184">
        <v>0.18968560000000001</v>
      </c>
      <c r="Z7184">
        <v>-0.114548499999999</v>
      </c>
      <c r="AA7184">
        <v>0.97514000000000001</v>
      </c>
      <c r="AB7184">
        <v>38</v>
      </c>
      <c r="AC7184">
        <v>0.25790000000000601</v>
      </c>
      <c r="AD7184">
        <v>-0.1210905</v>
      </c>
      <c r="AE7184">
        <v>0.64569999999998995</v>
      </c>
      <c r="AF7184">
        <v>0.195660593202267</v>
      </c>
      <c r="AG7184">
        <v>-0.1210905</v>
      </c>
      <c r="AH7184">
        <v>0.64584380758231696</v>
      </c>
      <c r="AI7184">
        <v>100.17279086638899</v>
      </c>
      <c r="AJ7184">
        <v>73.145635669547204</v>
      </c>
      <c r="AK7184">
        <v>0.68560936451811805</v>
      </c>
      <c r="AL7184">
        <v>84.080751302115701</v>
      </c>
      <c r="AM7184">
        <v>82.0722834651949</v>
      </c>
      <c r="AN7184">
        <v>0.99999995607688896</v>
      </c>
    </row>
    <row r="7185" spans="1:40" x14ac:dyDescent="0.25">
      <c r="A7185" t="str">
        <f>"20190312151204682"</f>
        <v>20190312151204682</v>
      </c>
      <c r="B7185" t="str">
        <f>"1552374724678968"</f>
        <v>1552374724678968</v>
      </c>
      <c r="C7185" t="s">
        <v>40</v>
      </c>
      <c r="D7185">
        <v>5.3904399999999999</v>
      </c>
      <c r="E7185">
        <v>0.52047619999999895</v>
      </c>
      <c r="F7185" t="s">
        <v>41</v>
      </c>
      <c r="G7185">
        <v>-185.19229999999999</v>
      </c>
      <c r="H7185">
        <v>0.99183189999999999</v>
      </c>
      <c r="I7185">
        <v>108.7938</v>
      </c>
      <c r="J7185">
        <v>-185.4435</v>
      </c>
      <c r="K7185">
        <v>1.109499</v>
      </c>
      <c r="L7185">
        <v>108.1765</v>
      </c>
      <c r="M7185">
        <v>8.6459969999999997E-2</v>
      </c>
      <c r="N7185">
        <v>0</v>
      </c>
      <c r="O7185">
        <v>0.996143</v>
      </c>
      <c r="P7185">
        <v>0.22289709999999999</v>
      </c>
      <c r="Q7185">
        <v>8.8788279999999997E-2</v>
      </c>
      <c r="R7185">
        <v>0.97079009999999999</v>
      </c>
      <c r="S7185">
        <v>0.84178159999999902</v>
      </c>
      <c r="T7185">
        <v>-0.34907640000000001</v>
      </c>
      <c r="U7185">
        <v>2.9291839999999998</v>
      </c>
      <c r="V7185">
        <v>0.13834369999999999</v>
      </c>
      <c r="W7185">
        <v>0.1032368</v>
      </c>
      <c r="X7185">
        <v>0.98498889999999995</v>
      </c>
      <c r="Y7185">
        <v>0.1902459</v>
      </c>
      <c r="Z7185">
        <v>-0.1143166</v>
      </c>
      <c r="AA7185">
        <v>0.97505810000000004</v>
      </c>
      <c r="AB7185">
        <v>38</v>
      </c>
      <c r="AC7185">
        <v>0.25120000000001103</v>
      </c>
      <c r="AD7185">
        <v>-0.1176671</v>
      </c>
      <c r="AE7185">
        <v>0.61729999999999996</v>
      </c>
      <c r="AF7185">
        <v>0.19092968177924399</v>
      </c>
      <c r="AG7185">
        <v>-0.1176671</v>
      </c>
      <c r="AH7185">
        <v>0.61746133082641896</v>
      </c>
      <c r="AI7185">
        <v>100.31829730538</v>
      </c>
      <c r="AJ7185">
        <v>72.817490178578296</v>
      </c>
      <c r="AK7185">
        <v>0.65693088287327905</v>
      </c>
      <c r="AL7185">
        <v>84.074409296112094</v>
      </c>
      <c r="AM7185">
        <v>82.004989102786894</v>
      </c>
      <c r="AN7185">
        <v>0.99999997466356905</v>
      </c>
    </row>
    <row r="7186" spans="1:40" x14ac:dyDescent="0.25">
      <c r="A7186" t="str">
        <f>"20190312151204704"</f>
        <v>20190312151204704</v>
      </c>
      <c r="B7186" t="str">
        <f>"1552374724698489"</f>
        <v>1552374724698489</v>
      </c>
      <c r="C7186" t="s">
        <v>40</v>
      </c>
      <c r="D7186">
        <v>5.3315919999999997</v>
      </c>
      <c r="E7186">
        <v>0.52053059999999995</v>
      </c>
      <c r="F7186" t="s">
        <v>41</v>
      </c>
      <c r="G7186">
        <v>-185.16669999999999</v>
      </c>
      <c r="H7186">
        <v>0.99547969999999997</v>
      </c>
      <c r="I7186">
        <v>109.1349</v>
      </c>
      <c r="J7186">
        <v>-185.4093</v>
      </c>
      <c r="K7186">
        <v>1.1095189999999999</v>
      </c>
      <c r="L7186">
        <v>108.56100000000001</v>
      </c>
      <c r="M7186">
        <v>8.7234500000000006E-2</v>
      </c>
      <c r="N7186">
        <v>0</v>
      </c>
      <c r="O7186">
        <v>0.9960755</v>
      </c>
      <c r="P7186">
        <v>0.2252017</v>
      </c>
      <c r="Q7186">
        <v>8.8316660000000005E-2</v>
      </c>
      <c r="R7186">
        <v>0.97030119999999997</v>
      </c>
      <c r="S7186">
        <v>0.84571839999999998</v>
      </c>
      <c r="T7186">
        <v>-0.34834890000000002</v>
      </c>
      <c r="U7186">
        <v>2.9279480000000002</v>
      </c>
      <c r="V7186">
        <v>0.13990900000000001</v>
      </c>
      <c r="W7186">
        <v>0.10276109999999999</v>
      </c>
      <c r="X7186">
        <v>0.98481759999999996</v>
      </c>
      <c r="Y7186">
        <v>0.1908098</v>
      </c>
      <c r="Z7186">
        <v>-0.1140888</v>
      </c>
      <c r="AA7186">
        <v>0.97497460000000002</v>
      </c>
      <c r="AB7186">
        <v>38</v>
      </c>
      <c r="AC7186">
        <v>0.24260000000001</v>
      </c>
      <c r="AD7186">
        <v>-0.1140393</v>
      </c>
      <c r="AE7186">
        <v>0.57389999999999397</v>
      </c>
      <c r="AF7186">
        <v>0.185394874968483</v>
      </c>
      <c r="AG7186">
        <v>-0.1140393</v>
      </c>
      <c r="AH7186">
        <v>0.57365994349355198</v>
      </c>
      <c r="AI7186">
        <v>100.711477655583</v>
      </c>
      <c r="AJ7186">
        <v>72.090254304245406</v>
      </c>
      <c r="AK7186">
        <v>0.61356495367491004</v>
      </c>
      <c r="AL7186">
        <v>84.101811012894103</v>
      </c>
      <c r="AM7186">
        <v>81.914330662441103</v>
      </c>
      <c r="AN7186">
        <v>1.0000000386119801</v>
      </c>
    </row>
    <row r="7187" spans="1:40" x14ac:dyDescent="0.25">
      <c r="A7187" t="str">
        <f>"20190312151204727"</f>
        <v>20190312151204727</v>
      </c>
      <c r="B7187" t="str">
        <f>"1552374724718008"</f>
        <v>1552374724718008</v>
      </c>
      <c r="C7187" t="s">
        <v>40</v>
      </c>
      <c r="D7187">
        <v>5.3700599999999996</v>
      </c>
      <c r="E7187">
        <v>0.52057710000000001</v>
      </c>
      <c r="F7187" t="s">
        <v>41</v>
      </c>
      <c r="G7187">
        <v>-185.14259999999999</v>
      </c>
      <c r="H7187">
        <v>1.000313</v>
      </c>
      <c r="I7187">
        <v>109.47620000000001</v>
      </c>
      <c r="J7187">
        <v>-185.37440000000001</v>
      </c>
      <c r="K7187">
        <v>1.1095299999999999</v>
      </c>
      <c r="L7187">
        <v>108.9513</v>
      </c>
      <c r="M7187">
        <v>8.8030410000000003E-2</v>
      </c>
      <c r="N7187">
        <v>0</v>
      </c>
      <c r="O7187">
        <v>0.99600549999999999</v>
      </c>
      <c r="P7187">
        <v>0.22691420000000001</v>
      </c>
      <c r="Q7187">
        <v>8.7922500000000001E-2</v>
      </c>
      <c r="R7187">
        <v>0.96993790000000002</v>
      </c>
      <c r="S7187">
        <v>0.85261540000000002</v>
      </c>
      <c r="T7187">
        <v>-0.34913270000000002</v>
      </c>
      <c r="U7187">
        <v>2.9257200000000001</v>
      </c>
      <c r="V7187">
        <v>0.1408546</v>
      </c>
      <c r="W7187">
        <v>0.1023631</v>
      </c>
      <c r="X7187">
        <v>0.98472420000000005</v>
      </c>
      <c r="Y7187">
        <v>0.19233449999999999</v>
      </c>
      <c r="Z7187">
        <v>-0.114359</v>
      </c>
      <c r="AA7187">
        <v>0.97464320000000004</v>
      </c>
      <c r="AB7187">
        <v>38</v>
      </c>
      <c r="AC7187">
        <v>0.23180000000002099</v>
      </c>
      <c r="AD7187">
        <v>-0.109216999999999</v>
      </c>
      <c r="AE7187">
        <v>0.52490000000000203</v>
      </c>
      <c r="AF7187">
        <v>0.17823050625904599</v>
      </c>
      <c r="AG7187">
        <v>-0.109216999999999</v>
      </c>
      <c r="AH7187">
        <v>0.52427566264384795</v>
      </c>
      <c r="AI7187">
        <v>101.157476302419</v>
      </c>
      <c r="AJ7187">
        <v>71.224241375003899</v>
      </c>
      <c r="AK7187">
        <v>0.56441069877439598</v>
      </c>
      <c r="AL7187">
        <v>84.124735314680905</v>
      </c>
      <c r="AM7187">
        <v>81.859650436767097</v>
      </c>
      <c r="AN7187">
        <v>0.99999998632420395</v>
      </c>
    </row>
    <row r="7188" spans="1:40" x14ac:dyDescent="0.25">
      <c r="A7188" t="str">
        <f>"20190312151204751"</f>
        <v>20190312151204751</v>
      </c>
      <c r="B7188" t="str">
        <f>"1552374724738504"</f>
        <v>1552374724738504</v>
      </c>
      <c r="C7188" t="s">
        <v>40</v>
      </c>
      <c r="D7188">
        <v>5.3435090000000001</v>
      </c>
      <c r="E7188">
        <v>0.52066040000000002</v>
      </c>
      <c r="F7188" t="s">
        <v>41</v>
      </c>
      <c r="G7188">
        <v>-185.12010000000001</v>
      </c>
      <c r="H7188">
        <v>1.005943</v>
      </c>
      <c r="I7188">
        <v>109.81740000000001</v>
      </c>
      <c r="J7188">
        <v>-185.3399</v>
      </c>
      <c r="K7188">
        <v>1.109532</v>
      </c>
      <c r="L7188">
        <v>109.3329</v>
      </c>
      <c r="M7188">
        <v>8.8821579999999997E-2</v>
      </c>
      <c r="N7188">
        <v>0</v>
      </c>
      <c r="O7188">
        <v>0.99593540000000003</v>
      </c>
      <c r="P7188">
        <v>0.2277643</v>
      </c>
      <c r="Q7188">
        <v>8.7390930000000006E-2</v>
      </c>
      <c r="R7188">
        <v>0.9697867</v>
      </c>
      <c r="S7188">
        <v>0.85853579999999996</v>
      </c>
      <c r="T7188">
        <v>-0.34969709999999898</v>
      </c>
      <c r="U7188">
        <v>2.9238279999999999</v>
      </c>
      <c r="V7188">
        <v>0.14092869999999999</v>
      </c>
      <c r="W7188">
        <v>0.1018295</v>
      </c>
      <c r="X7188">
        <v>0.98476889999999995</v>
      </c>
      <c r="Y7188">
        <v>0.19353590000000001</v>
      </c>
      <c r="Z7188">
        <v>-0.1145543</v>
      </c>
      <c r="AA7188">
        <v>0.97438250000000004</v>
      </c>
      <c r="AB7188">
        <v>38</v>
      </c>
      <c r="AC7188">
        <v>0.219799999999992</v>
      </c>
      <c r="AD7188">
        <v>-0.103588999999999</v>
      </c>
      <c r="AE7188">
        <v>0.48450000000001098</v>
      </c>
      <c r="AF7188">
        <v>0.169467577382969</v>
      </c>
      <c r="AG7188">
        <v>-0.103588999999999</v>
      </c>
      <c r="AH7188">
        <v>0.48376977455067899</v>
      </c>
      <c r="AI7188">
        <v>101.424911371435</v>
      </c>
      <c r="AJ7188">
        <v>70.694323162177596</v>
      </c>
      <c r="AK7188">
        <v>0.52295615062246603</v>
      </c>
      <c r="AL7188">
        <v>84.155468822070105</v>
      </c>
      <c r="AM7188">
        <v>81.855790181998401</v>
      </c>
      <c r="AN7188">
        <v>0.99999996598057395</v>
      </c>
    </row>
    <row r="7189" spans="1:40" x14ac:dyDescent="0.25">
      <c r="A7189" t="str">
        <f>"20190312151204773"</f>
        <v>20190312151204773</v>
      </c>
      <c r="B7189" t="str">
        <f>"1552374724768761"</f>
        <v>1552374724768761</v>
      </c>
      <c r="C7189" t="s">
        <v>40</v>
      </c>
      <c r="D7189">
        <v>5.3726430000000001</v>
      </c>
      <c r="E7189">
        <v>0.52075119999999997</v>
      </c>
      <c r="F7189" t="s">
        <v>41</v>
      </c>
      <c r="G7189">
        <v>-185.09630000000001</v>
      </c>
      <c r="H7189">
        <v>1.010408</v>
      </c>
      <c r="I7189">
        <v>110.15819999999999</v>
      </c>
      <c r="J7189">
        <v>-185.3049</v>
      </c>
      <c r="K7189">
        <v>1.1095269999999999</v>
      </c>
      <c r="L7189">
        <v>109.7165</v>
      </c>
      <c r="M7189">
        <v>8.9630680000000004E-2</v>
      </c>
      <c r="N7189">
        <v>0</v>
      </c>
      <c r="O7189">
        <v>0.99586300000000005</v>
      </c>
      <c r="P7189">
        <v>0.22962340000000001</v>
      </c>
      <c r="Q7189">
        <v>8.7096530000000005E-2</v>
      </c>
      <c r="R7189">
        <v>0.96937470000000003</v>
      </c>
      <c r="S7189">
        <v>0.86213680000000004</v>
      </c>
      <c r="T7189">
        <v>-0.35103299999999998</v>
      </c>
      <c r="U7189">
        <v>2.9225919999999999</v>
      </c>
      <c r="V7189">
        <v>0.14201540000000001</v>
      </c>
      <c r="W7189">
        <v>0.1015254</v>
      </c>
      <c r="X7189">
        <v>0.98464419999999997</v>
      </c>
      <c r="Y7189">
        <v>0.1939409</v>
      </c>
      <c r="Z7189">
        <v>-0.1149955</v>
      </c>
      <c r="AA7189">
        <v>0.97424999999999995</v>
      </c>
      <c r="AB7189">
        <v>38</v>
      </c>
      <c r="AC7189">
        <v>0.20859999999998899</v>
      </c>
      <c r="AD7189">
        <v>-9.9119000000000096E-2</v>
      </c>
      <c r="AE7189">
        <v>0.44169999999999698</v>
      </c>
      <c r="AF7189">
        <v>0.16151571971315701</v>
      </c>
      <c r="AG7189">
        <v>-9.9119000000000096E-2</v>
      </c>
      <c r="AH7189">
        <v>0.44048445881980902</v>
      </c>
      <c r="AI7189">
        <v>101.929329668736</v>
      </c>
      <c r="AJ7189">
        <v>69.863151772966901</v>
      </c>
      <c r="AK7189">
        <v>0.47951899059082098</v>
      </c>
      <c r="AL7189">
        <v>84.172983383359494</v>
      </c>
      <c r="AM7189">
        <v>81.792817242078101</v>
      </c>
      <c r="AN7189">
        <v>0.99999999063797995</v>
      </c>
    </row>
    <row r="7190" spans="1:40" x14ac:dyDescent="0.25">
      <c r="A7190" t="str">
        <f>"20190312151204796"</f>
        <v>20190312151204796</v>
      </c>
      <c r="B7190" t="str">
        <f>"1552374724788281"</f>
        <v>1552374724788281</v>
      </c>
      <c r="C7190" t="s">
        <v>40</v>
      </c>
      <c r="D7190">
        <v>5.3733069999999996</v>
      </c>
      <c r="E7190">
        <v>0.52077910000000005</v>
      </c>
      <c r="F7190" t="s">
        <v>41</v>
      </c>
      <c r="G7190">
        <v>-185.07230000000001</v>
      </c>
      <c r="H7190">
        <v>1.015495</v>
      </c>
      <c r="I7190">
        <v>110.49890000000001</v>
      </c>
      <c r="J7190">
        <v>-185.27029999999999</v>
      </c>
      <c r="K7190">
        <v>1.109524</v>
      </c>
      <c r="L7190">
        <v>110.09180000000001</v>
      </c>
      <c r="M7190">
        <v>9.0434619999999993E-2</v>
      </c>
      <c r="N7190">
        <v>0</v>
      </c>
      <c r="O7190">
        <v>0.99579039999999996</v>
      </c>
      <c r="P7190">
        <v>0.23153960000000001</v>
      </c>
      <c r="Q7190">
        <v>8.6638569999999998E-2</v>
      </c>
      <c r="R7190">
        <v>0.96895989999999999</v>
      </c>
      <c r="S7190">
        <v>0.86845399999999995</v>
      </c>
      <c r="T7190">
        <v>-0.35097420000000001</v>
      </c>
      <c r="U7190">
        <v>2.9205779999999999</v>
      </c>
      <c r="V7190">
        <v>0.14316479999999901</v>
      </c>
      <c r="W7190">
        <v>0.1010581</v>
      </c>
      <c r="X7190">
        <v>0.98452580000000001</v>
      </c>
      <c r="Y7190">
        <v>0.19526879999999999</v>
      </c>
      <c r="Z7190">
        <v>-0.11498949999999999</v>
      </c>
      <c r="AA7190">
        <v>0.9739854</v>
      </c>
      <c r="AB7190">
        <v>38</v>
      </c>
      <c r="AC7190">
        <v>0.197999999999979</v>
      </c>
      <c r="AD7190">
        <v>-9.4028999999999904E-2</v>
      </c>
      <c r="AE7190">
        <v>0.40709999999999902</v>
      </c>
      <c r="AF7190">
        <v>0.153735850696751</v>
      </c>
      <c r="AG7190">
        <v>-9.4028999999999904E-2</v>
      </c>
      <c r="AH7190">
        <v>0.405830847940856</v>
      </c>
      <c r="AI7190">
        <v>102.225287990401</v>
      </c>
      <c r="AJ7190">
        <v>69.252432627892702</v>
      </c>
      <c r="AK7190">
        <v>0.44404373857858598</v>
      </c>
      <c r="AL7190">
        <v>84.199896030334799</v>
      </c>
      <c r="AM7190">
        <v>81.726327123569504</v>
      </c>
      <c r="AN7190">
        <v>0.99999997520014405</v>
      </c>
    </row>
    <row r="7191" spans="1:40" x14ac:dyDescent="0.25">
      <c r="A7191" t="str">
        <f>"20190312151204816"</f>
        <v>20190312151204816</v>
      </c>
      <c r="B7191" t="str">
        <f>"1552374724808789"</f>
        <v>1552374724808789</v>
      </c>
      <c r="C7191" t="s">
        <v>40</v>
      </c>
      <c r="D7191">
        <v>5.3399830000000001</v>
      </c>
      <c r="E7191">
        <v>0.52982530000000005</v>
      </c>
      <c r="F7191" t="s">
        <v>41</v>
      </c>
      <c r="G7191">
        <v>-185.04650000000001</v>
      </c>
      <c r="H7191">
        <v>1.019434</v>
      </c>
      <c r="I7191">
        <v>110.8386</v>
      </c>
      <c r="J7191">
        <v>-185.23689999999999</v>
      </c>
      <c r="K7191">
        <v>1.1095280000000001</v>
      </c>
      <c r="L7191">
        <v>110.4509</v>
      </c>
      <c r="M7191">
        <v>9.121319E-2</v>
      </c>
      <c r="N7191">
        <v>0</v>
      </c>
      <c r="O7191">
        <v>0.99571940000000003</v>
      </c>
      <c r="P7191">
        <v>0.23337379999999999</v>
      </c>
      <c r="Q7191">
        <v>8.6581740000000004E-2</v>
      </c>
      <c r="R7191">
        <v>0.96852479999999996</v>
      </c>
      <c r="S7191">
        <v>0.87431340000000002</v>
      </c>
      <c r="T7191">
        <v>-0.3520932</v>
      </c>
      <c r="U7191">
        <v>2.9186709999999998</v>
      </c>
      <c r="V7191">
        <v>0.14426050000000001</v>
      </c>
      <c r="W7191">
        <v>0.1009917</v>
      </c>
      <c r="X7191">
        <v>0.98437269999999999</v>
      </c>
      <c r="Y7191">
        <v>0.19645879999999999</v>
      </c>
      <c r="Z7191">
        <v>-0.1153642</v>
      </c>
      <c r="AA7191">
        <v>0.9737017</v>
      </c>
      <c r="AB7191">
        <v>38</v>
      </c>
      <c r="AC7191">
        <v>0.190399999999982</v>
      </c>
      <c r="AD7191">
        <v>-9.0094000000000105E-2</v>
      </c>
      <c r="AE7191">
        <v>0.38769999999999499</v>
      </c>
      <c r="AF7191">
        <v>0.147808046856056</v>
      </c>
      <c r="AG7191">
        <v>-9.0094000000000105E-2</v>
      </c>
      <c r="AH7191">
        <v>0.386631007311454</v>
      </c>
      <c r="AI7191">
        <v>102.27946181008301</v>
      </c>
      <c r="AJ7191">
        <v>69.078272363831701</v>
      </c>
      <c r="AK7191">
        <v>0.42361265723072</v>
      </c>
      <c r="AL7191">
        <v>84.203720259369803</v>
      </c>
      <c r="AM7191">
        <v>81.662613476036597</v>
      </c>
      <c r="AN7191">
        <v>1.0000000139172101</v>
      </c>
    </row>
    <row r="7192" spans="1:40" x14ac:dyDescent="0.25">
      <c r="A7192" t="str">
        <f>"20190312151204839"</f>
        <v>20190312151204839</v>
      </c>
      <c r="B7192" t="str">
        <f>"1552374724828300"</f>
        <v>1552374724828300</v>
      </c>
      <c r="C7192" t="s">
        <v>40</v>
      </c>
      <c r="D7192">
        <v>5.3844719999999997</v>
      </c>
      <c r="E7192">
        <v>0.53149840000000004</v>
      </c>
      <c r="F7192" t="s">
        <v>41</v>
      </c>
      <c r="G7192">
        <v>-185.00569999999999</v>
      </c>
      <c r="H7192">
        <v>0.98024710000000004</v>
      </c>
      <c r="I7192">
        <v>111.15600000000001</v>
      </c>
      <c r="J7192">
        <v>-185.20179999999999</v>
      </c>
      <c r="K7192">
        <v>1.1095250000000001</v>
      </c>
      <c r="L7192">
        <v>110.8249</v>
      </c>
      <c r="M7192">
        <v>9.2031940000000007E-2</v>
      </c>
      <c r="N7192">
        <v>0</v>
      </c>
      <c r="O7192">
        <v>0.99564419999999998</v>
      </c>
      <c r="P7192">
        <v>0.23512730000000001</v>
      </c>
      <c r="Q7192">
        <v>8.6124039999999999E-2</v>
      </c>
      <c r="R7192">
        <v>0.96814140000000004</v>
      </c>
      <c r="S7192">
        <v>0.95553589999999999</v>
      </c>
      <c r="T7192">
        <v>-0.53445159999999903</v>
      </c>
      <c r="U7192">
        <v>2.9150239999999998</v>
      </c>
      <c r="V7192">
        <v>0.14523069999999999</v>
      </c>
      <c r="W7192">
        <v>0.1005254</v>
      </c>
      <c r="X7192">
        <v>0.98427779999999998</v>
      </c>
      <c r="Y7192">
        <v>0.21802160000000001</v>
      </c>
      <c r="Z7192">
        <v>-0.17267650000000001</v>
      </c>
      <c r="AA7192">
        <v>0.96054640000000002</v>
      </c>
      <c r="AB7192">
        <v>38</v>
      </c>
      <c r="AC7192">
        <v>0.196100000000001</v>
      </c>
      <c r="AD7192">
        <v>-0.1292779</v>
      </c>
      <c r="AE7192">
        <v>0.331100000000006</v>
      </c>
      <c r="AF7192">
        <v>0.148079914345321</v>
      </c>
      <c r="AG7192">
        <v>-0.1292779</v>
      </c>
      <c r="AH7192">
        <v>0.31247738412530202</v>
      </c>
      <c r="AI7192">
        <v>110.49895750198</v>
      </c>
      <c r="AJ7192">
        <v>64.644193710939206</v>
      </c>
      <c r="AK7192">
        <v>0.36916466793386299</v>
      </c>
      <c r="AL7192">
        <v>84.230574150520297</v>
      </c>
      <c r="AM7192">
        <v>81.606540128152304</v>
      </c>
      <c r="AN7192">
        <v>1.0000000499202399</v>
      </c>
    </row>
    <row r="7193" spans="1:40" x14ac:dyDescent="0.25">
      <c r="A7193" t="str">
        <f>"20190312151204851"</f>
        <v>20190312151204851</v>
      </c>
      <c r="B7193" t="str">
        <f>"1552374724848793"</f>
        <v>1552374724848793</v>
      </c>
      <c r="C7193" t="s">
        <v>40</v>
      </c>
      <c r="D7193">
        <v>5.2437430000000003</v>
      </c>
      <c r="E7193">
        <v>0.52974129999999997</v>
      </c>
      <c r="F7193" t="s">
        <v>41</v>
      </c>
      <c r="G7193">
        <v>-184.8716</v>
      </c>
      <c r="H7193">
        <v>0.94235959999999996</v>
      </c>
      <c r="I7193">
        <v>111.8122</v>
      </c>
      <c r="J7193">
        <v>-185.1816</v>
      </c>
      <c r="K7193">
        <v>1.109524</v>
      </c>
      <c r="L7193">
        <v>111.0389</v>
      </c>
      <c r="M7193">
        <v>9.2503429999999998E-2</v>
      </c>
      <c r="N7193">
        <v>0</v>
      </c>
      <c r="O7193">
        <v>0.9956005</v>
      </c>
      <c r="P7193">
        <v>0.23587659999999999</v>
      </c>
      <c r="Q7193">
        <v>8.5895540000000006E-2</v>
      </c>
      <c r="R7193">
        <v>0.96797940000000005</v>
      </c>
      <c r="S7193">
        <v>0.9724121</v>
      </c>
      <c r="T7193">
        <v>-0.4921122</v>
      </c>
      <c r="U7193">
        <v>2.906326</v>
      </c>
      <c r="V7193">
        <v>0.1455246</v>
      </c>
      <c r="W7193">
        <v>0.1002929</v>
      </c>
      <c r="X7193">
        <v>0.98425810000000002</v>
      </c>
      <c r="Y7193">
        <v>0.22413469999999999</v>
      </c>
      <c r="Z7193">
        <v>-0.159549</v>
      </c>
      <c r="AA7193">
        <v>0.96140930000000002</v>
      </c>
      <c r="AB7193">
        <v>38</v>
      </c>
      <c r="AC7193">
        <v>0.310000000000002</v>
      </c>
      <c r="AD7193">
        <v>-0.16716439999999999</v>
      </c>
      <c r="AE7193">
        <v>0.77330000000000598</v>
      </c>
      <c r="AF7193">
        <v>0.227952382463223</v>
      </c>
      <c r="AG7193">
        <v>-0.16716439999999999</v>
      </c>
      <c r="AH7193">
        <v>0.76775340668485403</v>
      </c>
      <c r="AI7193">
        <v>101.789854763759</v>
      </c>
      <c r="AJ7193">
        <v>73.463407122747896</v>
      </c>
      <c r="AK7193">
        <v>0.81813905833557399</v>
      </c>
      <c r="AL7193">
        <v>84.243963032857906</v>
      </c>
      <c r="AM7193">
        <v>81.589631248279304</v>
      </c>
      <c r="AN7193">
        <v>1.0000000412055801</v>
      </c>
    </row>
    <row r="7194" spans="1:40" x14ac:dyDescent="0.25">
      <c r="A7194" t="str">
        <f>"20190312151204864"</f>
        <v>20190312151204864</v>
      </c>
      <c r="B7194" t="str">
        <f>"1552374724858552"</f>
        <v>1552374724858552</v>
      </c>
      <c r="C7194" t="s">
        <v>40</v>
      </c>
      <c r="D7194">
        <v>5.352169</v>
      </c>
      <c r="E7194">
        <v>0.52930069999999996</v>
      </c>
      <c r="F7194" t="s">
        <v>41</v>
      </c>
      <c r="G7194">
        <v>-184.92070000000001</v>
      </c>
      <c r="H7194">
        <v>0.98288229999999999</v>
      </c>
      <c r="I7194">
        <v>111.8288</v>
      </c>
      <c r="J7194">
        <v>-185.16239999999999</v>
      </c>
      <c r="K7194">
        <v>1.109524</v>
      </c>
      <c r="L7194">
        <v>111.2415</v>
      </c>
      <c r="M7194">
        <v>9.2950580000000005E-2</v>
      </c>
      <c r="N7194">
        <v>0</v>
      </c>
      <c r="O7194">
        <v>0.99555890000000002</v>
      </c>
      <c r="P7194">
        <v>0.2364763</v>
      </c>
      <c r="Q7194">
        <v>8.549147E-2</v>
      </c>
      <c r="R7194">
        <v>0.96786890000000003</v>
      </c>
      <c r="S7194">
        <v>0.96023559999999997</v>
      </c>
      <c r="T7194">
        <v>-0.46603889999999998</v>
      </c>
      <c r="U7194">
        <v>2.9066160000000001</v>
      </c>
      <c r="V7194">
        <v>0.14568829999999999</v>
      </c>
      <c r="W7194">
        <v>9.988677E-2</v>
      </c>
      <c r="X7194">
        <v>0.98427520000000002</v>
      </c>
      <c r="Y7194">
        <v>0.22044</v>
      </c>
      <c r="Z7194">
        <v>-0.15143690000000001</v>
      </c>
      <c r="AA7194">
        <v>0.96357309999999996</v>
      </c>
      <c r="AB7194">
        <v>38</v>
      </c>
      <c r="AC7194">
        <v>0.24169999999997999</v>
      </c>
      <c r="AD7194">
        <v>-0.126641699999999</v>
      </c>
      <c r="AE7194">
        <v>0.58729999999999905</v>
      </c>
      <c r="AF7194">
        <v>0.17894210469383101</v>
      </c>
      <c r="AG7194">
        <v>-0.126641699999999</v>
      </c>
      <c r="AH7194">
        <v>0.58400361793605604</v>
      </c>
      <c r="AI7194">
        <v>101.713531438887</v>
      </c>
      <c r="AJ7194">
        <v>72.964630972674399</v>
      </c>
      <c r="AK7194">
        <v>0.623793734157014</v>
      </c>
      <c r="AL7194">
        <v>84.267350106143596</v>
      </c>
      <c r="AM7194">
        <v>81.580450181130701</v>
      </c>
      <c r="AN7194">
        <v>1.0000000584564701</v>
      </c>
    </row>
    <row r="7195" spans="1:40" x14ac:dyDescent="0.25">
      <c r="A7195" t="str">
        <f>"20190312151204882"</f>
        <v>20190312151204882</v>
      </c>
      <c r="B7195" t="str">
        <f>"1552374724878073"</f>
        <v>1552374724878073</v>
      </c>
      <c r="C7195" t="s">
        <v>40</v>
      </c>
      <c r="D7195">
        <v>5.3653500000000003</v>
      </c>
      <c r="E7195">
        <v>0.52878760000000002</v>
      </c>
      <c r="F7195" t="s">
        <v>41</v>
      </c>
      <c r="G7195">
        <v>-184.86160000000001</v>
      </c>
      <c r="H7195">
        <v>0.96310340000000005</v>
      </c>
      <c r="I7195">
        <v>112.1536</v>
      </c>
      <c r="J7195">
        <v>-185.13120000000001</v>
      </c>
      <c r="K7195">
        <v>1.1095280000000001</v>
      </c>
      <c r="L7195">
        <v>111.5682</v>
      </c>
      <c r="M7195">
        <v>9.3673989999999999E-2</v>
      </c>
      <c r="N7195">
        <v>0</v>
      </c>
      <c r="O7195">
        <v>0.99549109999999996</v>
      </c>
      <c r="P7195">
        <v>0.23765210000000001</v>
      </c>
      <c r="Q7195">
        <v>8.4948880000000004E-2</v>
      </c>
      <c r="R7195">
        <v>0.96762859999999995</v>
      </c>
      <c r="S7195">
        <v>0.95860290000000004</v>
      </c>
      <c r="T7195">
        <v>-0.46659899999999999</v>
      </c>
      <c r="U7195">
        <v>2.9066010000000002</v>
      </c>
      <c r="V7195">
        <v>0.14616399999999999</v>
      </c>
      <c r="W7195">
        <v>9.9339230000000001E-2</v>
      </c>
      <c r="X7195">
        <v>0.98426000000000002</v>
      </c>
      <c r="Y7195">
        <v>0.21923529999999999</v>
      </c>
      <c r="Z7195">
        <v>-0.1516335</v>
      </c>
      <c r="AA7195">
        <v>0.96381700000000003</v>
      </c>
      <c r="AB7195">
        <v>38</v>
      </c>
      <c r="AC7195">
        <v>0.26959999999999601</v>
      </c>
      <c r="AD7195">
        <v>-0.14642459999999999</v>
      </c>
      <c r="AE7195">
        <v>0.58539999999999204</v>
      </c>
      <c r="AF7195">
        <v>0.20308877099820999</v>
      </c>
      <c r="AG7195">
        <v>-0.14642459999999999</v>
      </c>
      <c r="AH7195">
        <v>0.57823638172679803</v>
      </c>
      <c r="AI7195">
        <v>103.437131613546</v>
      </c>
      <c r="AJ7195">
        <v>70.647653057484405</v>
      </c>
      <c r="AK7195">
        <v>0.63011310535746101</v>
      </c>
      <c r="AL7195">
        <v>84.298878159372606</v>
      </c>
      <c r="AM7195">
        <v>81.553226148864994</v>
      </c>
      <c r="AN7195">
        <v>0.99999997255649598</v>
      </c>
    </row>
    <row r="7196" spans="1:40" x14ac:dyDescent="0.25">
      <c r="A7196" t="str">
        <f>"20190312151204896"</f>
        <v>20190312151204896</v>
      </c>
      <c r="B7196" t="str">
        <f>"1552374724888809"</f>
        <v>1552374724888809</v>
      </c>
      <c r="C7196" t="s">
        <v>40</v>
      </c>
      <c r="D7196">
        <v>5.4263909999999997</v>
      </c>
      <c r="E7196">
        <v>0.52893669999999904</v>
      </c>
      <c r="F7196" t="s">
        <v>41</v>
      </c>
      <c r="G7196">
        <v>-184.82730000000001</v>
      </c>
      <c r="H7196">
        <v>0.96492730000000004</v>
      </c>
      <c r="I7196">
        <v>112.4901</v>
      </c>
      <c r="J7196">
        <v>-185.10919999999999</v>
      </c>
      <c r="K7196">
        <v>1.1095299999999999</v>
      </c>
      <c r="L7196">
        <v>111.7972</v>
      </c>
      <c r="M7196">
        <v>9.4181780000000007E-2</v>
      </c>
      <c r="N7196">
        <v>0</v>
      </c>
      <c r="O7196">
        <v>0.99544319999999997</v>
      </c>
      <c r="P7196">
        <v>0.2384732</v>
      </c>
      <c r="Q7196">
        <v>8.5120689999999999E-2</v>
      </c>
      <c r="R7196">
        <v>0.96741149999999998</v>
      </c>
      <c r="S7196">
        <v>0.95793150000000005</v>
      </c>
      <c r="T7196">
        <v>-0.45568839999999999</v>
      </c>
      <c r="U7196">
        <v>2.905106</v>
      </c>
      <c r="V7196">
        <v>0.1464993</v>
      </c>
      <c r="W7196">
        <v>9.9506730000000002E-2</v>
      </c>
      <c r="X7196">
        <v>0.98419330000000005</v>
      </c>
      <c r="Y7196">
        <v>0.21884580000000001</v>
      </c>
      <c r="Z7196">
        <v>-0.1482407</v>
      </c>
      <c r="AA7196">
        <v>0.96443310000000004</v>
      </c>
      <c r="AB7196">
        <v>38</v>
      </c>
      <c r="AC7196">
        <v>0.281899999999978</v>
      </c>
      <c r="AD7196">
        <v>-0.144602699999999</v>
      </c>
      <c r="AE7196">
        <v>0.69289999999999397</v>
      </c>
      <c r="AF7196">
        <v>0.20762255675163399</v>
      </c>
      <c r="AG7196">
        <v>-0.144602699999999</v>
      </c>
      <c r="AH7196">
        <v>0.69056751420117801</v>
      </c>
      <c r="AI7196">
        <v>101.339110362713</v>
      </c>
      <c r="AJ7196">
        <v>73.266333406537996</v>
      </c>
      <c r="AK7196">
        <v>0.73545942008337195</v>
      </c>
      <c r="AL7196">
        <v>84.289233731972899</v>
      </c>
      <c r="AM7196">
        <v>81.533564318944698</v>
      </c>
      <c r="AN7196">
        <v>1.00000004299033</v>
      </c>
    </row>
    <row r="7197" spans="1:40" x14ac:dyDescent="0.25">
      <c r="A7197" t="str">
        <f>"20190312151204909"</f>
        <v>20190312151204909</v>
      </c>
      <c r="B7197" t="str">
        <f>"1552374724898569"</f>
        <v>1552374724898569</v>
      </c>
      <c r="C7197" t="s">
        <v>40</v>
      </c>
      <c r="D7197">
        <v>5.3601039999999998</v>
      </c>
      <c r="E7197">
        <v>0.52931890000000004</v>
      </c>
      <c r="F7197" t="s">
        <v>41</v>
      </c>
      <c r="G7197">
        <v>-184.87389999999999</v>
      </c>
      <c r="H7197">
        <v>0.99800469999999997</v>
      </c>
      <c r="I7197">
        <v>112.5082</v>
      </c>
      <c r="J7197">
        <v>-185.08969999999999</v>
      </c>
      <c r="K7197">
        <v>1.109537</v>
      </c>
      <c r="L7197">
        <v>111.99930000000001</v>
      </c>
      <c r="M7197">
        <v>9.4630030000000004E-2</v>
      </c>
      <c r="N7197">
        <v>0</v>
      </c>
      <c r="O7197">
        <v>0.99540079999999997</v>
      </c>
      <c r="P7197">
        <v>0.2390678</v>
      </c>
      <c r="Q7197">
        <v>8.4999229999999995E-2</v>
      </c>
      <c r="R7197">
        <v>0.96727540000000001</v>
      </c>
      <c r="S7197">
        <v>0.96128849999999999</v>
      </c>
      <c r="T7197">
        <v>-0.45553399999999999</v>
      </c>
      <c r="U7197">
        <v>2.904175</v>
      </c>
      <c r="V7197">
        <v>0.14665999999999901</v>
      </c>
      <c r="W7197">
        <v>9.9382419999999999E-2</v>
      </c>
      <c r="X7197">
        <v>0.98418190000000005</v>
      </c>
      <c r="Y7197">
        <v>0.21950610000000001</v>
      </c>
      <c r="Z7197">
        <v>-0.1481894</v>
      </c>
      <c r="AA7197">
        <v>0.96429089999999995</v>
      </c>
      <c r="AB7197">
        <v>38</v>
      </c>
      <c r="AC7197">
        <v>0.21580000000000099</v>
      </c>
      <c r="AD7197">
        <v>-0.1115323</v>
      </c>
      <c r="AE7197">
        <v>0.50889999999999702</v>
      </c>
      <c r="AF7197">
        <v>0.16014885195825701</v>
      </c>
      <c r="AG7197">
        <v>-0.1115323</v>
      </c>
      <c r="AH7197">
        <v>0.50642187573127995</v>
      </c>
      <c r="AI7197">
        <v>101.85902368716501</v>
      </c>
      <c r="AJ7197">
        <v>72.451168069190501</v>
      </c>
      <c r="AK7197">
        <v>0.54272481511906701</v>
      </c>
      <c r="AL7197">
        <v>84.296391500334494</v>
      </c>
      <c r="AM7197">
        <v>81.524315271643999</v>
      </c>
      <c r="AN7197">
        <v>1.0000000166463301</v>
      </c>
    </row>
    <row r="7198" spans="1:40" x14ac:dyDescent="0.25">
      <c r="A7198" t="str">
        <f>"20190312151204921"</f>
        <v>20190312151204921</v>
      </c>
      <c r="B7198" t="str">
        <f>"1552374724918089"</f>
        <v>1552374724918089</v>
      </c>
      <c r="C7198" t="s">
        <v>40</v>
      </c>
      <c r="D7198">
        <v>5.3455620000000001</v>
      </c>
      <c r="E7198">
        <v>0.52978939999999997</v>
      </c>
      <c r="F7198" t="s">
        <v>41</v>
      </c>
      <c r="G7198">
        <v>-184.8125</v>
      </c>
      <c r="H7198">
        <v>0.97811650000000006</v>
      </c>
      <c r="I7198">
        <v>112.8319</v>
      </c>
      <c r="J7198">
        <v>-185.06960000000001</v>
      </c>
      <c r="K7198">
        <v>1.1095389999999901</v>
      </c>
      <c r="L7198">
        <v>112.20610000000001</v>
      </c>
      <c r="M7198">
        <v>9.5089439999999997E-2</v>
      </c>
      <c r="N7198">
        <v>0</v>
      </c>
      <c r="O7198">
        <v>0.99535700000000005</v>
      </c>
      <c r="P7198">
        <v>0.23991480000000001</v>
      </c>
      <c r="Q7198">
        <v>8.5095770000000001E-2</v>
      </c>
      <c r="R7198">
        <v>0.96705719999999995</v>
      </c>
      <c r="S7198">
        <v>0.9662018</v>
      </c>
      <c r="T7198">
        <v>-0.45822889999999999</v>
      </c>
      <c r="U7198">
        <v>2.9029539999999998</v>
      </c>
      <c r="V7198">
        <v>0.14706920000000001</v>
      </c>
      <c r="W7198">
        <v>9.9474930000000003E-2</v>
      </c>
      <c r="X7198">
        <v>0.98411150000000003</v>
      </c>
      <c r="Y7198">
        <v>0.22060679999999999</v>
      </c>
      <c r="Z7198">
        <v>-0.1490379</v>
      </c>
      <c r="AA7198">
        <v>0.96390889999999996</v>
      </c>
      <c r="AB7198">
        <v>38</v>
      </c>
      <c r="AC7198">
        <v>0.25710000000000799</v>
      </c>
      <c r="AD7198">
        <v>-0.131422499999999</v>
      </c>
      <c r="AE7198">
        <v>0.62579999999999802</v>
      </c>
      <c r="AF7198">
        <v>0.18927889459147401</v>
      </c>
      <c r="AG7198">
        <v>-0.131422499999999</v>
      </c>
      <c r="AH7198">
        <v>0.623872651870787</v>
      </c>
      <c r="AI7198">
        <v>101.39709331688699</v>
      </c>
      <c r="AJ7198">
        <v>73.1225447592699</v>
      </c>
      <c r="AK7198">
        <v>0.66506801095550305</v>
      </c>
      <c r="AL7198">
        <v>84.291064736010497</v>
      </c>
      <c r="AM7198">
        <v>81.500412829049196</v>
      </c>
      <c r="AN7198">
        <v>1.0000000278596901</v>
      </c>
    </row>
    <row r="7199" spans="1:40" x14ac:dyDescent="0.25">
      <c r="A7199" t="str">
        <f>"20190312151204940"</f>
        <v>20190312151204940</v>
      </c>
      <c r="B7199" t="str">
        <f>"1552374724928824"</f>
        <v>1552374724928824</v>
      </c>
      <c r="C7199" t="s">
        <v>40</v>
      </c>
      <c r="D7199">
        <v>5.3929529999999897</v>
      </c>
      <c r="E7199">
        <v>0.53009890000000004</v>
      </c>
      <c r="F7199" t="s">
        <v>41</v>
      </c>
      <c r="G7199">
        <v>-184.75049999999999</v>
      </c>
      <c r="H7199">
        <v>0.95852680000000001</v>
      </c>
      <c r="I7199">
        <v>113.1583</v>
      </c>
      <c r="J7199">
        <v>-185.03880000000001</v>
      </c>
      <c r="K7199">
        <v>1.1095360000000001</v>
      </c>
      <c r="L7199">
        <v>112.5217</v>
      </c>
      <c r="M7199">
        <v>9.5795249999999998E-2</v>
      </c>
      <c r="N7199">
        <v>0</v>
      </c>
      <c r="O7199">
        <v>0.99528939999999999</v>
      </c>
      <c r="P7199">
        <v>0.2413177</v>
      </c>
      <c r="Q7199">
        <v>8.5080279999999994E-2</v>
      </c>
      <c r="R7199">
        <v>0.96670940000000005</v>
      </c>
      <c r="S7199">
        <v>0.97235110000000002</v>
      </c>
      <c r="T7199">
        <v>-0.46013769999999998</v>
      </c>
      <c r="U7199">
        <v>2.901443</v>
      </c>
      <c r="V7199">
        <v>0.1478005</v>
      </c>
      <c r="W7199">
        <v>9.9451680000000001E-2</v>
      </c>
      <c r="X7199">
        <v>0.98400430000000005</v>
      </c>
      <c r="Y7199">
        <v>0.22187519999999999</v>
      </c>
      <c r="Z7199">
        <v>-0.14963180000000001</v>
      </c>
      <c r="AA7199">
        <v>0.96352570000000004</v>
      </c>
      <c r="AB7199">
        <v>38</v>
      </c>
      <c r="AC7199">
        <v>0.28830000000001998</v>
      </c>
      <c r="AD7199">
        <v>-0.15100920000000001</v>
      </c>
      <c r="AE7199">
        <v>0.63660000000000105</v>
      </c>
      <c r="AF7199">
        <v>0.21590264544453799</v>
      </c>
      <c r="AG7199">
        <v>-0.15100920000000001</v>
      </c>
      <c r="AH7199">
        <v>0.63179220744466402</v>
      </c>
      <c r="AI7199">
        <v>102.744468194486</v>
      </c>
      <c r="AJ7199">
        <v>71.133139191843</v>
      </c>
      <c r="AK7199">
        <v>0.68452839545368105</v>
      </c>
      <c r="AL7199">
        <v>84.292403590678703</v>
      </c>
      <c r="AM7199">
        <v>81.457853810155797</v>
      </c>
      <c r="AN7199">
        <v>1.00000004343678</v>
      </c>
    </row>
    <row r="7200" spans="1:40" x14ac:dyDescent="0.25">
      <c r="A7200" t="str">
        <f>"20190312151204961"</f>
        <v>20190312151204961</v>
      </c>
      <c r="B7200" t="str">
        <f>"1552374724958104"</f>
        <v>1552374724958104</v>
      </c>
      <c r="C7200" t="s">
        <v>40</v>
      </c>
      <c r="D7200">
        <v>5.3095509999999999</v>
      </c>
      <c r="E7200">
        <v>0.53172509999999995</v>
      </c>
      <c r="F7200" t="s">
        <v>41</v>
      </c>
      <c r="G7200">
        <v>-184.70959999999999</v>
      </c>
      <c r="H7200">
        <v>0.95461490000000004</v>
      </c>
      <c r="I7200">
        <v>113.49679999999999</v>
      </c>
      <c r="J7200">
        <v>-185.0042</v>
      </c>
      <c r="K7200">
        <v>1.109532</v>
      </c>
      <c r="L7200">
        <v>112.8734</v>
      </c>
      <c r="M7200">
        <v>9.6592259999999999E-2</v>
      </c>
      <c r="N7200">
        <v>0</v>
      </c>
      <c r="O7200">
        <v>0.9952124</v>
      </c>
      <c r="P7200">
        <v>0.24293429999999999</v>
      </c>
      <c r="Q7200">
        <v>8.5425790000000001E-2</v>
      </c>
      <c r="R7200">
        <v>0.96627399999999997</v>
      </c>
      <c r="S7200">
        <v>0.9784851</v>
      </c>
      <c r="T7200">
        <v>-0.46069840000000001</v>
      </c>
      <c r="U7200">
        <v>2.899597</v>
      </c>
      <c r="V7200">
        <v>0.14866480000000001</v>
      </c>
      <c r="W7200">
        <v>9.9786180000000002E-2</v>
      </c>
      <c r="X7200">
        <v>0.98384020000000005</v>
      </c>
      <c r="Y7200">
        <v>0.22310199999999999</v>
      </c>
      <c r="Z7200">
        <v>-0.14981159999999999</v>
      </c>
      <c r="AA7200">
        <v>0.96321440000000003</v>
      </c>
      <c r="AB7200">
        <v>38</v>
      </c>
      <c r="AC7200">
        <v>0.29460000000000203</v>
      </c>
      <c r="AD7200">
        <v>-0.1549171</v>
      </c>
      <c r="AE7200">
        <v>0.62339999999998896</v>
      </c>
      <c r="AF7200">
        <v>0.22180310020406799</v>
      </c>
      <c r="AG7200">
        <v>-0.1549171</v>
      </c>
      <c r="AH7200">
        <v>0.61775877975983495</v>
      </c>
      <c r="AI7200">
        <v>103.27996161996499</v>
      </c>
      <c r="AJ7200">
        <v>70.249586354956307</v>
      </c>
      <c r="AK7200">
        <v>0.67440479913988305</v>
      </c>
      <c r="AL7200">
        <v>84.273142216936904</v>
      </c>
      <c r="AM7200">
        <v>81.407233171065499</v>
      </c>
      <c r="AN7200">
        <v>1.00000002180703</v>
      </c>
    </row>
    <row r="7201" spans="1:40" x14ac:dyDescent="0.25">
      <c r="A7201" t="str">
        <f>"20190312151204986"</f>
        <v>20190312151204986</v>
      </c>
      <c r="B7201" t="str">
        <f>"1552374724978601"</f>
        <v>1552374724978601</v>
      </c>
      <c r="C7201" t="s">
        <v>40</v>
      </c>
      <c r="D7201">
        <v>5.3312470000000003</v>
      </c>
      <c r="E7201">
        <v>0.53239700000000001</v>
      </c>
      <c r="F7201" t="s">
        <v>41</v>
      </c>
      <c r="G7201">
        <v>-184.67400000000001</v>
      </c>
      <c r="H7201">
        <v>0.95328139999999995</v>
      </c>
      <c r="I7201">
        <v>113.83320000000001</v>
      </c>
      <c r="J7201">
        <v>-184.9633</v>
      </c>
      <c r="K7201">
        <v>1.109515</v>
      </c>
      <c r="L7201">
        <v>113.2847</v>
      </c>
      <c r="M7201">
        <v>9.7552550000000002E-2</v>
      </c>
      <c r="N7201">
        <v>0</v>
      </c>
      <c r="O7201">
        <v>0.99511890000000003</v>
      </c>
      <c r="P7201">
        <v>0.24500759999999999</v>
      </c>
      <c r="Q7201">
        <v>8.566464E-2</v>
      </c>
      <c r="R7201">
        <v>0.96572919999999995</v>
      </c>
      <c r="S7201">
        <v>0.99586490000000005</v>
      </c>
      <c r="T7201">
        <v>-0.47144419999999998</v>
      </c>
      <c r="U7201">
        <v>2.8959959999999998</v>
      </c>
      <c r="V7201">
        <v>0.14983529999999901</v>
      </c>
      <c r="W7201">
        <v>0.10000920000000001</v>
      </c>
      <c r="X7201">
        <v>0.98363999999999996</v>
      </c>
      <c r="Y7201">
        <v>0.22753470000000001</v>
      </c>
      <c r="Z7201">
        <v>-0.1531564</v>
      </c>
      <c r="AA7201">
        <v>0.96165020000000001</v>
      </c>
      <c r="AB7201">
        <v>38</v>
      </c>
      <c r="AC7201">
        <v>0.289299999999997</v>
      </c>
      <c r="AD7201">
        <v>-0.156233599999999</v>
      </c>
      <c r="AE7201">
        <v>0.54850000000000398</v>
      </c>
      <c r="AF7201">
        <v>0.22041554849660699</v>
      </c>
      <c r="AG7201">
        <v>-0.156233599999999</v>
      </c>
      <c r="AH7201">
        <v>0.539842118352724</v>
      </c>
      <c r="AI7201">
        <v>104.999159927127</v>
      </c>
      <c r="AJ7201">
        <v>67.789987142892102</v>
      </c>
      <c r="AK7201">
        <v>0.60367330944441899</v>
      </c>
      <c r="AL7201">
        <v>84.260300053336707</v>
      </c>
      <c r="AM7201">
        <v>81.338864637872902</v>
      </c>
      <c r="AN7201">
        <v>1.0000000534053599</v>
      </c>
    </row>
    <row r="7202" spans="1:40" x14ac:dyDescent="0.25">
      <c r="A7202" t="str">
        <f>"20190312151205007"</f>
        <v>20190312151205007</v>
      </c>
      <c r="B7202" t="str">
        <f>"1552374724998120"</f>
        <v>1552374724998120</v>
      </c>
      <c r="C7202" t="s">
        <v>40</v>
      </c>
      <c r="D7202">
        <v>5.3020389999999997</v>
      </c>
      <c r="E7202">
        <v>0.53287549999999995</v>
      </c>
      <c r="F7202" t="s">
        <v>41</v>
      </c>
      <c r="G7202">
        <v>-184.6576</v>
      </c>
      <c r="H7202">
        <v>0.96571949999999995</v>
      </c>
      <c r="I7202">
        <v>114.1619</v>
      </c>
      <c r="J7202">
        <v>-184.9272</v>
      </c>
      <c r="K7202">
        <v>1.109488</v>
      </c>
      <c r="L7202">
        <v>113.6444</v>
      </c>
      <c r="M7202">
        <v>9.8437960000000005E-2</v>
      </c>
      <c r="N7202">
        <v>0</v>
      </c>
      <c r="O7202">
        <v>0.99503169999999996</v>
      </c>
      <c r="P7202">
        <v>0.2470995</v>
      </c>
      <c r="Q7202">
        <v>8.564252E-2</v>
      </c>
      <c r="R7202">
        <v>0.965198</v>
      </c>
      <c r="S7202">
        <v>1.007568</v>
      </c>
      <c r="T7202">
        <v>-0.47421679999999999</v>
      </c>
      <c r="U7202">
        <v>2.8928989999999999</v>
      </c>
      <c r="V7202">
        <v>0.1510996</v>
      </c>
      <c r="W7202">
        <v>9.9966940000000004E-2</v>
      </c>
      <c r="X7202">
        <v>0.98345079999999996</v>
      </c>
      <c r="Y7202">
        <v>0.2304147</v>
      </c>
      <c r="Z7202">
        <v>-0.154017299999999</v>
      </c>
      <c r="AA7202">
        <v>0.96082659999999998</v>
      </c>
      <c r="AB7202">
        <v>37</v>
      </c>
      <c r="AC7202">
        <v>0.26959999999999601</v>
      </c>
      <c r="AD7202">
        <v>-0.14376849999999999</v>
      </c>
      <c r="AE7202">
        <v>0.51749999999999796</v>
      </c>
      <c r="AF7202">
        <v>0.20490435063141199</v>
      </c>
      <c r="AG7202">
        <v>-0.14376849999999999</v>
      </c>
      <c r="AH7202">
        <v>0.51053591088763595</v>
      </c>
      <c r="AI7202">
        <v>104.64610507766599</v>
      </c>
      <c r="AJ7202">
        <v>68.131867407471802</v>
      </c>
      <c r="AK7202">
        <v>0.56859659760308001</v>
      </c>
      <c r="AL7202">
        <v>84.262733128920402</v>
      </c>
      <c r="AM7202">
        <v>81.265250433697702</v>
      </c>
      <c r="AN7202">
        <v>0.99999997711688104</v>
      </c>
    </row>
    <row r="7203" spans="1:40" x14ac:dyDescent="0.25">
      <c r="A7203" t="str">
        <f>"20190312151205028"</f>
        <v>20190312151205028</v>
      </c>
      <c r="B7203" t="str">
        <f>"1552374725018799"</f>
        <v>1552374725018799</v>
      </c>
      <c r="C7203" t="s">
        <v>40</v>
      </c>
      <c r="D7203">
        <v>5.2934029999999996</v>
      </c>
      <c r="E7203">
        <v>0.53352489999999997</v>
      </c>
      <c r="F7203" t="s">
        <v>41</v>
      </c>
      <c r="G7203">
        <v>-184.62710000000001</v>
      </c>
      <c r="H7203">
        <v>0.96849620000000003</v>
      </c>
      <c r="I7203">
        <v>114.49590000000001</v>
      </c>
      <c r="J7203">
        <v>-184.89080000000001</v>
      </c>
      <c r="K7203">
        <v>1.109442</v>
      </c>
      <c r="L7203">
        <v>114.0033</v>
      </c>
      <c r="M7203">
        <v>9.9395250000000004E-2</v>
      </c>
      <c r="N7203">
        <v>0</v>
      </c>
      <c r="O7203">
        <v>0.99493659999999995</v>
      </c>
      <c r="P7203">
        <v>0.2492798</v>
      </c>
      <c r="Q7203">
        <v>8.5897280000000006E-2</v>
      </c>
      <c r="R7203">
        <v>0.96461459999999999</v>
      </c>
      <c r="S7203">
        <v>1.0183869999999999</v>
      </c>
      <c r="T7203">
        <v>-0.47850350000000003</v>
      </c>
      <c r="U7203">
        <v>2.8899080000000001</v>
      </c>
      <c r="V7203">
        <v>0.15239220000000001</v>
      </c>
      <c r="W7203">
        <v>0.1001937</v>
      </c>
      <c r="X7203">
        <v>0.98322830000000006</v>
      </c>
      <c r="Y7203">
        <v>0.23292080000000001</v>
      </c>
      <c r="Z7203">
        <v>-0.15536259999999999</v>
      </c>
      <c r="AA7203">
        <v>0.96000540000000001</v>
      </c>
      <c r="AB7203">
        <v>37</v>
      </c>
      <c r="AC7203">
        <v>0.26369999999999999</v>
      </c>
      <c r="AD7203">
        <v>-0.14094580000000001</v>
      </c>
      <c r="AE7203">
        <v>0.49260000000000997</v>
      </c>
      <c r="AF7203">
        <v>0.20065789705534801</v>
      </c>
      <c r="AG7203">
        <v>-0.14094580000000001</v>
      </c>
      <c r="AH7203">
        <v>0.48548097742537</v>
      </c>
      <c r="AI7203">
        <v>105.01914929652099</v>
      </c>
      <c r="AJ7203">
        <v>67.543824408155999</v>
      </c>
      <c r="AK7203">
        <v>0.54389437359675596</v>
      </c>
      <c r="AL7203">
        <v>84.249675454826701</v>
      </c>
      <c r="AM7203">
        <v>81.189732875188497</v>
      </c>
      <c r="AN7203">
        <v>1.0000000250307099</v>
      </c>
    </row>
    <row r="7204" spans="1:40" x14ac:dyDescent="0.25">
      <c r="A7204" t="str">
        <f>"20190312151205051"</f>
        <v>20190312151205051</v>
      </c>
      <c r="B7204" t="str">
        <f>"1552374725048080"</f>
        <v>1552374725048080</v>
      </c>
      <c r="C7204" t="s">
        <v>40</v>
      </c>
      <c r="D7204">
        <v>5.2733549999999996</v>
      </c>
      <c r="E7204">
        <v>0.53462609999999999</v>
      </c>
      <c r="F7204" t="s">
        <v>41</v>
      </c>
      <c r="G7204">
        <v>-184.59540000000001</v>
      </c>
      <c r="H7204">
        <v>0.97209299999999998</v>
      </c>
      <c r="I7204">
        <v>114.83</v>
      </c>
      <c r="J7204">
        <v>-184.8518</v>
      </c>
      <c r="K7204">
        <v>1.109372</v>
      </c>
      <c r="L7204">
        <v>114.3822</v>
      </c>
      <c r="M7204">
        <v>0.1005269</v>
      </c>
      <c r="N7204">
        <v>0</v>
      </c>
      <c r="O7204">
        <v>0.99482289999999995</v>
      </c>
      <c r="P7204">
        <v>0.25147019999999998</v>
      </c>
      <c r="Q7204">
        <v>8.6518419999999999E-2</v>
      </c>
      <c r="R7204">
        <v>0.96399029999999997</v>
      </c>
      <c r="S7204">
        <v>1.0306850000000001</v>
      </c>
      <c r="T7204">
        <v>-0.47953010000000001</v>
      </c>
      <c r="U7204">
        <v>2.8863979999999998</v>
      </c>
      <c r="V7204">
        <v>0.15353620000000001</v>
      </c>
      <c r="W7204">
        <v>0.1007744</v>
      </c>
      <c r="X7204">
        <v>0.9829909</v>
      </c>
      <c r="Y7204">
        <v>0.2357969</v>
      </c>
      <c r="Z7204">
        <v>-0.15567510000000001</v>
      </c>
      <c r="AA7204">
        <v>0.95925240000000001</v>
      </c>
      <c r="AB7204">
        <v>37</v>
      </c>
      <c r="AC7204">
        <v>0.25639999999998497</v>
      </c>
      <c r="AD7204">
        <v>-0.13727900000000001</v>
      </c>
      <c r="AE7204">
        <v>0.44779999999999998</v>
      </c>
      <c r="AF7204">
        <v>0.19619390124692301</v>
      </c>
      <c r="AG7204">
        <v>-0.13727900000000001</v>
      </c>
      <c r="AH7204">
        <v>0.44015607381865102</v>
      </c>
      <c r="AI7204">
        <v>105.900620250904</v>
      </c>
      <c r="AJ7204">
        <v>65.975692676567206</v>
      </c>
      <c r="AK7204">
        <v>0.50107378702835503</v>
      </c>
      <c r="AL7204">
        <v>84.216234261423097</v>
      </c>
      <c r="AM7204">
        <v>81.122534459776901</v>
      </c>
      <c r="AN7204">
        <v>0.99999997694430398</v>
      </c>
    </row>
    <row r="7205" spans="1:40" x14ac:dyDescent="0.25">
      <c r="A7205" t="str">
        <f>"20190312151205065"</f>
        <v>20190312151205065</v>
      </c>
      <c r="B7205" t="str">
        <f>"1552374725058816"</f>
        <v>1552374725058816</v>
      </c>
      <c r="C7205" t="s">
        <v>40</v>
      </c>
      <c r="D7205">
        <v>5.2166269999999999</v>
      </c>
      <c r="E7205">
        <v>0.53491239999999995</v>
      </c>
      <c r="F7205" t="s">
        <v>41</v>
      </c>
      <c r="G7205">
        <v>-184.56780000000001</v>
      </c>
      <c r="H7205">
        <v>0.97709889999999999</v>
      </c>
      <c r="I7205">
        <v>115.16419999999999</v>
      </c>
      <c r="J7205">
        <v>-184.82830000000001</v>
      </c>
      <c r="K7205">
        <v>1.109305</v>
      </c>
      <c r="L7205">
        <v>114.60899999999999</v>
      </c>
      <c r="M7205">
        <v>0.1012868</v>
      </c>
      <c r="N7205">
        <v>0</v>
      </c>
      <c r="O7205">
        <v>0.99474589999999996</v>
      </c>
      <c r="P7205">
        <v>0.25280520000000001</v>
      </c>
      <c r="Q7205">
        <v>8.6776270000000003E-2</v>
      </c>
      <c r="R7205">
        <v>0.96361790000000003</v>
      </c>
      <c r="S7205">
        <v>1.0467379999999999</v>
      </c>
      <c r="T7205">
        <v>-0.48759130000000001</v>
      </c>
      <c r="U7205">
        <v>2.8827820000000002</v>
      </c>
      <c r="V7205">
        <v>0.15416769999999999</v>
      </c>
      <c r="W7205">
        <v>0.1010017</v>
      </c>
      <c r="X7205">
        <v>0.98286870000000004</v>
      </c>
      <c r="Y7205">
        <v>0.24002689999999999</v>
      </c>
      <c r="Z7205">
        <v>-0.1581641</v>
      </c>
      <c r="AA7205">
        <v>0.95779499999999995</v>
      </c>
      <c r="AB7205">
        <v>37</v>
      </c>
      <c r="AC7205">
        <v>0.260500000000007</v>
      </c>
      <c r="AD7205">
        <v>-0.13220609999999999</v>
      </c>
      <c r="AE7205">
        <v>0.55519999999999903</v>
      </c>
      <c r="AF7205">
        <v>0.193908065154418</v>
      </c>
      <c r="AG7205">
        <v>-0.13220609999999999</v>
      </c>
      <c r="AH7205">
        <v>0.55303177100970702</v>
      </c>
      <c r="AI7205">
        <v>102.712650796023</v>
      </c>
      <c r="AJ7205">
        <v>70.6779381383474</v>
      </c>
      <c r="AK7205">
        <v>0.60076861632018796</v>
      </c>
      <c r="AL7205">
        <v>84.203143998346206</v>
      </c>
      <c r="AM7205">
        <v>81.085515816449004</v>
      </c>
      <c r="AN7205">
        <v>0.99999995228293304</v>
      </c>
    </row>
    <row r="7206" spans="1:40" x14ac:dyDescent="0.25">
      <c r="A7206" t="str">
        <f>"20190312151205078"</f>
        <v>20190312151205078</v>
      </c>
      <c r="B7206" t="str">
        <f>"1552374725068576"</f>
        <v>1552374725068576</v>
      </c>
      <c r="C7206" t="s">
        <v>40</v>
      </c>
      <c r="D7206">
        <v>5.32585</v>
      </c>
      <c r="E7206">
        <v>0.53538439999999998</v>
      </c>
      <c r="F7206" t="s">
        <v>79</v>
      </c>
      <c r="G7206">
        <v>-182.44290000000001</v>
      </c>
      <c r="H7206" s="1">
        <v>-2.4461300000000002E-6</v>
      </c>
      <c r="I7206">
        <v>121.1327</v>
      </c>
      <c r="J7206">
        <v>-184.8049</v>
      </c>
      <c r="K7206">
        <v>1.109229</v>
      </c>
      <c r="L7206">
        <v>114.8318</v>
      </c>
      <c r="M7206">
        <v>0.1020833</v>
      </c>
      <c r="N7206">
        <v>0</v>
      </c>
      <c r="O7206">
        <v>0.9946644</v>
      </c>
      <c r="P7206">
        <v>0.2542239</v>
      </c>
      <c r="Q7206">
        <v>8.6615869999999998E-2</v>
      </c>
      <c r="R7206">
        <v>0.96325899999999998</v>
      </c>
      <c r="S7206">
        <v>1.053436</v>
      </c>
      <c r="T7206">
        <v>-0.48989670000000002</v>
      </c>
      <c r="U7206">
        <v>2.881027</v>
      </c>
      <c r="V7206">
        <v>0.15484619999999999</v>
      </c>
      <c r="W7206">
        <v>0.1008072</v>
      </c>
      <c r="X7206">
        <v>0.98278209999999999</v>
      </c>
      <c r="Y7206">
        <v>0.24136389999999999</v>
      </c>
      <c r="Z7206">
        <v>-0.15887509999999999</v>
      </c>
      <c r="AA7206">
        <v>0.9573412</v>
      </c>
      <c r="AB7206">
        <v>37</v>
      </c>
      <c r="AC7206">
        <v>2.3619999999999899</v>
      </c>
      <c r="AD7206">
        <v>-1.1092314461299999</v>
      </c>
      <c r="AE7206">
        <v>6.3008999999999897</v>
      </c>
      <c r="AF7206">
        <v>1.6612295927019201</v>
      </c>
      <c r="AG7206">
        <v>-1.1092314461299999</v>
      </c>
      <c r="AH7206">
        <v>6.3369312466405896</v>
      </c>
      <c r="AI7206">
        <v>99.610225649666006</v>
      </c>
      <c r="AJ7206">
        <v>75.310432557453098</v>
      </c>
      <c r="AK7206">
        <v>6.6443040106095399</v>
      </c>
      <c r="AL7206">
        <v>84.214345745438294</v>
      </c>
      <c r="AM7206">
        <v>81.046140752101394</v>
      </c>
      <c r="AN7206">
        <v>1.0000000466533401</v>
      </c>
    </row>
    <row r="7207" spans="1:40" x14ac:dyDescent="0.25">
      <c r="A7207" t="str">
        <f>"20190312151205095"</f>
        <v>20190312151205095</v>
      </c>
      <c r="B7207" t="str">
        <f>"1552374725088101"</f>
        <v>1552374725088101</v>
      </c>
      <c r="C7207" t="s">
        <v>40</v>
      </c>
      <c r="D7207">
        <v>5.2238069999999999</v>
      </c>
      <c r="E7207">
        <v>0.53606909999999997</v>
      </c>
      <c r="F7207" t="s">
        <v>79</v>
      </c>
      <c r="G7207">
        <v>-182.42189999999999</v>
      </c>
      <c r="H7207" s="1">
        <v>-2.4986690000000001E-6</v>
      </c>
      <c r="I7207">
        <v>121.2921</v>
      </c>
      <c r="J7207">
        <v>-184.7749</v>
      </c>
      <c r="K7207">
        <v>1.109108</v>
      </c>
      <c r="L7207">
        <v>115.1138</v>
      </c>
      <c r="M7207">
        <v>0.1032259</v>
      </c>
      <c r="N7207">
        <v>0</v>
      </c>
      <c r="O7207">
        <v>0.9945465</v>
      </c>
      <c r="P7207">
        <v>0.25682899999999997</v>
      </c>
      <c r="Q7207">
        <v>8.6369600000000005E-2</v>
      </c>
      <c r="R7207">
        <v>0.96258980000000005</v>
      </c>
      <c r="S7207">
        <v>1.0618289999999999</v>
      </c>
      <c r="T7207">
        <v>-0.49425520000000001</v>
      </c>
      <c r="U7207">
        <v>2.8786320000000001</v>
      </c>
      <c r="V7207">
        <v>0.15640499999999999</v>
      </c>
      <c r="W7207">
        <v>0.10050539999999999</v>
      </c>
      <c r="X7207">
        <v>0.9825661</v>
      </c>
      <c r="Y7207">
        <v>0.24288969999999999</v>
      </c>
      <c r="Z7207">
        <v>-0.16023770000000001</v>
      </c>
      <c r="AA7207">
        <v>0.95672800000000002</v>
      </c>
      <c r="AB7207">
        <v>37</v>
      </c>
      <c r="AC7207">
        <v>2.3530000000000002</v>
      </c>
      <c r="AD7207">
        <v>-1.1091104986689999</v>
      </c>
      <c r="AE7207">
        <v>6.1783000000000001</v>
      </c>
      <c r="AF7207">
        <v>1.65598957727574</v>
      </c>
      <c r="AG7207">
        <v>-1.1091104986689999</v>
      </c>
      <c r="AH7207">
        <v>6.21333598254036</v>
      </c>
      <c r="AI7207">
        <v>99.7863036670269</v>
      </c>
      <c r="AJ7207">
        <v>75.076331545239995</v>
      </c>
      <c r="AK7207">
        <v>6.5251798143985704</v>
      </c>
      <c r="AL7207">
        <v>84.231725611085693</v>
      </c>
      <c r="AM7207">
        <v>80.955531447477298</v>
      </c>
      <c r="AN7207">
        <v>1.00000000016168</v>
      </c>
    </row>
    <row r="7208" spans="1:40" x14ac:dyDescent="0.25">
      <c r="A7208" t="str">
        <f>"20190312151205107"</f>
        <v>20190312151205107</v>
      </c>
      <c r="B7208" t="str">
        <f>"1552374725098832"</f>
        <v>1552374725098832</v>
      </c>
      <c r="C7208" t="s">
        <v>40</v>
      </c>
      <c r="D7208">
        <v>5.2924540000000002</v>
      </c>
      <c r="E7208">
        <v>0.53650319999999996</v>
      </c>
      <c r="F7208" t="s">
        <v>41</v>
      </c>
      <c r="G7208">
        <v>-184.5067</v>
      </c>
      <c r="H7208">
        <v>0.98371319999999995</v>
      </c>
      <c r="I7208">
        <v>115.8312</v>
      </c>
      <c r="J7208">
        <v>-184.7533</v>
      </c>
      <c r="K7208">
        <v>1.109008</v>
      </c>
      <c r="L7208">
        <v>115.3145</v>
      </c>
      <c r="M7208">
        <v>0.1041281</v>
      </c>
      <c r="N7208">
        <v>0</v>
      </c>
      <c r="O7208">
        <v>0.99445249999999996</v>
      </c>
      <c r="P7208">
        <v>0.25831959999999998</v>
      </c>
      <c r="Q7208">
        <v>8.5856589999999997E-2</v>
      </c>
      <c r="R7208">
        <v>0.9622368</v>
      </c>
      <c r="S7208">
        <v>1.0750729999999999</v>
      </c>
      <c r="T7208">
        <v>-0.50254770000000004</v>
      </c>
      <c r="U7208">
        <v>2.8748629999999999</v>
      </c>
      <c r="V7208">
        <v>0.15705339999999901</v>
      </c>
      <c r="W7208">
        <v>9.9952719999999995E-2</v>
      </c>
      <c r="X7208">
        <v>0.98251900000000003</v>
      </c>
      <c r="Y7208">
        <v>0.24614050000000001</v>
      </c>
      <c r="Z7208">
        <v>-0.1628336</v>
      </c>
      <c r="AA7208">
        <v>0.95545800000000003</v>
      </c>
      <c r="AB7208">
        <v>37</v>
      </c>
      <c r="AC7208">
        <v>0.24660000000000001</v>
      </c>
      <c r="AD7208">
        <v>-0.12529480000000001</v>
      </c>
      <c r="AE7208">
        <v>0.51670000000000005</v>
      </c>
      <c r="AF7208">
        <v>0.182700192534899</v>
      </c>
      <c r="AG7208">
        <v>-0.12529480000000001</v>
      </c>
      <c r="AH7208">
        <v>0.51491087520010403</v>
      </c>
      <c r="AI7208">
        <v>102.916037135135</v>
      </c>
      <c r="AJ7208">
        <v>70.464345027141903</v>
      </c>
      <c r="AK7208">
        <v>0.56054558838569601</v>
      </c>
      <c r="AL7208">
        <v>84.263551825959198</v>
      </c>
      <c r="AM7208">
        <v>80.918231749133099</v>
      </c>
      <c r="AN7208">
        <v>0.99999995102397798</v>
      </c>
    </row>
    <row r="7209" spans="1:40" x14ac:dyDescent="0.25">
      <c r="A7209" t="str">
        <f>"20190312151205129"</f>
        <v>20190312151205129</v>
      </c>
      <c r="B7209" t="str">
        <f>"1552374725118477"</f>
        <v>1552374725118477</v>
      </c>
      <c r="C7209" t="s">
        <v>40</v>
      </c>
      <c r="D7209">
        <v>5.2099270000000004</v>
      </c>
      <c r="E7209">
        <v>0.53708059999999902</v>
      </c>
      <c r="F7209" t="s">
        <v>41</v>
      </c>
      <c r="G7209">
        <v>-184.43719999999999</v>
      </c>
      <c r="H7209">
        <v>0.96098890000000003</v>
      </c>
      <c r="I7209">
        <v>116.1525</v>
      </c>
      <c r="J7209">
        <v>-184.715</v>
      </c>
      <c r="K7209">
        <v>1.108824</v>
      </c>
      <c r="L7209">
        <v>115.6645</v>
      </c>
      <c r="M7209">
        <v>0.10585219999999999</v>
      </c>
      <c r="N7209">
        <v>0</v>
      </c>
      <c r="O7209">
        <v>0.9942704</v>
      </c>
      <c r="P7209">
        <v>0.2621945</v>
      </c>
      <c r="Q7209">
        <v>8.5376779999999999E-2</v>
      </c>
      <c r="R7209">
        <v>0.9612309</v>
      </c>
      <c r="S7209">
        <v>1.0830379999999999</v>
      </c>
      <c r="T7209">
        <v>-0.50731899999999996</v>
      </c>
      <c r="U7209">
        <v>2.8722379999999998</v>
      </c>
      <c r="V7209">
        <v>0.15934949999999901</v>
      </c>
      <c r="W7209">
        <v>9.9389989999999998E-2</v>
      </c>
      <c r="X7209">
        <v>0.98220640000000003</v>
      </c>
      <c r="Y7209">
        <v>0.2469819</v>
      </c>
      <c r="Z7209">
        <v>-0.16433499999999901</v>
      </c>
      <c r="AA7209">
        <v>0.95498369999999999</v>
      </c>
      <c r="AB7209">
        <v>37</v>
      </c>
      <c r="AC7209">
        <v>0.27780000000001298</v>
      </c>
      <c r="AD7209">
        <v>-0.147835099999999</v>
      </c>
      <c r="AE7209">
        <v>0.48799999999999899</v>
      </c>
      <c r="AF7209">
        <v>0.21002041821110301</v>
      </c>
      <c r="AG7209">
        <v>-0.147835099999999</v>
      </c>
      <c r="AH7209">
        <v>0.48130646877322297</v>
      </c>
      <c r="AI7209">
        <v>105.72294283510701</v>
      </c>
      <c r="AJ7209">
        <v>66.425716073360604</v>
      </c>
      <c r="AK7209">
        <v>0.54554533243400305</v>
      </c>
      <c r="AL7209">
        <v>84.2959556480114</v>
      </c>
      <c r="AM7209">
        <v>80.784836391114595</v>
      </c>
      <c r="AN7209">
        <v>1.0000000227317001</v>
      </c>
    </row>
    <row r="7210" spans="1:40" x14ac:dyDescent="0.25">
      <c r="A7210" t="str">
        <f>"20190312151205141"</f>
        <v>20190312151205141</v>
      </c>
      <c r="B7210" t="str">
        <f>"1552374725137980"</f>
        <v>1552374725137980</v>
      </c>
      <c r="C7210" t="s">
        <v>40</v>
      </c>
      <c r="D7210">
        <v>5.1873089999999999</v>
      </c>
      <c r="E7210">
        <v>0.53748799999999997</v>
      </c>
      <c r="F7210" t="s">
        <v>41</v>
      </c>
      <c r="G7210">
        <v>-184.4007</v>
      </c>
      <c r="H7210">
        <v>0.96215300000000004</v>
      </c>
      <c r="I7210">
        <v>116.4834</v>
      </c>
      <c r="J7210">
        <v>-184.69210000000001</v>
      </c>
      <c r="K7210">
        <v>1.108714</v>
      </c>
      <c r="L7210">
        <v>115.8707</v>
      </c>
      <c r="M7210">
        <v>0.1069693</v>
      </c>
      <c r="N7210">
        <v>0</v>
      </c>
      <c r="O7210">
        <v>0.99415089999999995</v>
      </c>
      <c r="P7210">
        <v>0.26441700000000001</v>
      </c>
      <c r="Q7210">
        <v>8.5032979999999994E-2</v>
      </c>
      <c r="R7210">
        <v>0.96065239999999996</v>
      </c>
      <c r="S7210">
        <v>1.1000669999999999</v>
      </c>
      <c r="T7210">
        <v>-0.51341870000000001</v>
      </c>
      <c r="U7210">
        <v>2.8665310000000002</v>
      </c>
      <c r="V7210">
        <v>0.1605425</v>
      </c>
      <c r="W7210">
        <v>9.8994750000000006E-2</v>
      </c>
      <c r="X7210">
        <v>0.98205200000000004</v>
      </c>
      <c r="Y7210">
        <v>0.25135849999999998</v>
      </c>
      <c r="Z7210">
        <v>-0.16626479999999999</v>
      </c>
      <c r="AA7210">
        <v>0.95350659999999998</v>
      </c>
      <c r="AB7210">
        <v>37</v>
      </c>
      <c r="AC7210">
        <v>0.29140000000000998</v>
      </c>
      <c r="AD7210">
        <v>-0.146560999999999</v>
      </c>
      <c r="AE7210">
        <v>0.61270000000000302</v>
      </c>
      <c r="AF7210">
        <v>0.21418557348725401</v>
      </c>
      <c r="AG7210">
        <v>-0.146560999999999</v>
      </c>
      <c r="AH7210">
        <v>0.61180864564558901</v>
      </c>
      <c r="AI7210">
        <v>102.74028515926101</v>
      </c>
      <c r="AJ7210">
        <v>70.7055698752106</v>
      </c>
      <c r="AK7210">
        <v>0.66457911906540801</v>
      </c>
      <c r="AL7210">
        <v>84.318713296035398</v>
      </c>
      <c r="AM7210">
        <v>80.715607941356296</v>
      </c>
      <c r="AN7210">
        <v>0.99999999276890605</v>
      </c>
    </row>
    <row r="7211" spans="1:40" x14ac:dyDescent="0.25">
      <c r="A7211" t="str">
        <f>"20190312151205154"</f>
        <v>20190312151205154</v>
      </c>
      <c r="B7211" t="str">
        <f>"1552374725148717"</f>
        <v>1552374725148717</v>
      </c>
      <c r="C7211" t="s">
        <v>40</v>
      </c>
      <c r="D7211">
        <v>5.2243050000000002</v>
      </c>
      <c r="E7211">
        <v>0.53779929999999998</v>
      </c>
      <c r="F7211" t="s">
        <v>79</v>
      </c>
      <c r="G7211">
        <v>-182.3074</v>
      </c>
      <c r="H7211" s="1">
        <v>-2.7443359999999999E-6</v>
      </c>
      <c r="I7211">
        <v>122.0228</v>
      </c>
      <c r="J7211">
        <v>-184.66679999999999</v>
      </c>
      <c r="K7211">
        <v>1.1085849999999999</v>
      </c>
      <c r="L7211">
        <v>116.0951</v>
      </c>
      <c r="M7211">
        <v>0.1082872</v>
      </c>
      <c r="N7211">
        <v>0</v>
      </c>
      <c r="O7211">
        <v>0.99400820000000001</v>
      </c>
      <c r="P7211">
        <v>0.266762</v>
      </c>
      <c r="Q7211">
        <v>8.4976079999999996E-2</v>
      </c>
      <c r="R7211">
        <v>0.96000890000000005</v>
      </c>
      <c r="S7211">
        <v>1.109802</v>
      </c>
      <c r="T7211">
        <v>-0.51598180000000005</v>
      </c>
      <c r="U7211">
        <v>2.863083</v>
      </c>
      <c r="V7211">
        <v>0.16167100000000001</v>
      </c>
      <c r="W7211">
        <v>9.8879930000000005E-2</v>
      </c>
      <c r="X7211">
        <v>0.98187849999999999</v>
      </c>
      <c r="Y7211">
        <v>0.25323259999999997</v>
      </c>
      <c r="Z7211">
        <v>-0.1670799</v>
      </c>
      <c r="AA7211">
        <v>0.9528681</v>
      </c>
      <c r="AB7211">
        <v>37</v>
      </c>
      <c r="AC7211">
        <v>2.3593999999999902</v>
      </c>
      <c r="AD7211">
        <v>-1.1085877443359999</v>
      </c>
      <c r="AE7211">
        <v>5.9276999999999997</v>
      </c>
      <c r="AF7211">
        <v>1.65363045001538</v>
      </c>
      <c r="AG7211">
        <v>-1.1085877443359999</v>
      </c>
      <c r="AH7211">
        <v>5.9681627875238199</v>
      </c>
      <c r="AI7211">
        <v>100.148804226603</v>
      </c>
      <c r="AJ7211">
        <v>74.513262012307607</v>
      </c>
      <c r="AK7211">
        <v>6.2914567081474999</v>
      </c>
      <c r="AL7211">
        <v>84.325324878087102</v>
      </c>
      <c r="AM7211">
        <v>80.649870731989907</v>
      </c>
      <c r="AN7211">
        <v>1.0000000707800201</v>
      </c>
    </row>
    <row r="7212" spans="1:40" x14ac:dyDescent="0.25">
      <c r="A7212" t="str">
        <f>"20190312151205168"</f>
        <v>20190312151205168</v>
      </c>
      <c r="B7212" t="str">
        <f>"1552374725158477"</f>
        <v>1552374725158477</v>
      </c>
      <c r="C7212" t="s">
        <v>40</v>
      </c>
      <c r="D7212">
        <v>5.2851540000000004</v>
      </c>
      <c r="E7212">
        <v>0.53805879999999995</v>
      </c>
      <c r="F7212" t="s">
        <v>41</v>
      </c>
      <c r="G7212">
        <v>-184.38339999999999</v>
      </c>
      <c r="H7212">
        <v>0.97747090000000003</v>
      </c>
      <c r="I7212">
        <v>116.8189</v>
      </c>
      <c r="J7212">
        <v>-184.643</v>
      </c>
      <c r="K7212">
        <v>1.108463</v>
      </c>
      <c r="L7212">
        <v>116.3022</v>
      </c>
      <c r="M7212">
        <v>0.109606</v>
      </c>
      <c r="N7212">
        <v>0</v>
      </c>
      <c r="O7212">
        <v>0.99386359999999996</v>
      </c>
      <c r="P7212">
        <v>0.26919700000000002</v>
      </c>
      <c r="Q7212">
        <v>8.510297E-2</v>
      </c>
      <c r="R7212">
        <v>0.95931770000000005</v>
      </c>
      <c r="S7212">
        <v>1.118973</v>
      </c>
      <c r="T7212">
        <v>-0.51796850000000005</v>
      </c>
      <c r="U7212">
        <v>2.8598789999999998</v>
      </c>
      <c r="V7212">
        <v>0.1628926</v>
      </c>
      <c r="W7212">
        <v>9.8951090000000005E-2</v>
      </c>
      <c r="X7212">
        <v>0.98166940000000003</v>
      </c>
      <c r="Y7212">
        <v>0.25492389999999998</v>
      </c>
      <c r="Z7212">
        <v>-0.16770869999999999</v>
      </c>
      <c r="AA7212">
        <v>0.95230649999999994</v>
      </c>
      <c r="AB7212">
        <v>37</v>
      </c>
      <c r="AC7212">
        <v>0.25960000000000599</v>
      </c>
      <c r="AD7212">
        <v>-0.130992099999999</v>
      </c>
      <c r="AE7212">
        <v>0.51670000000000005</v>
      </c>
      <c r="AF7212">
        <v>0.191565328909441</v>
      </c>
      <c r="AG7212">
        <v>-0.130992099999999</v>
      </c>
      <c r="AH7212">
        <v>0.51558483609188299</v>
      </c>
      <c r="AI7212">
        <v>103.39587985812</v>
      </c>
      <c r="AJ7212">
        <v>69.617472333296504</v>
      </c>
      <c r="AK7212">
        <v>0.56540598573988099</v>
      </c>
      <c r="AL7212">
        <v>84.321227579129797</v>
      </c>
      <c r="AM7212">
        <v>80.578511462498298</v>
      </c>
      <c r="AN7212">
        <v>1.00000006412165</v>
      </c>
    </row>
    <row r="7213" spans="1:40" x14ac:dyDescent="0.25">
      <c r="A7213" t="str">
        <f>"20190312151205186"</f>
        <v>20190312151205186</v>
      </c>
      <c r="B7213" t="str">
        <f>"1552374725178972"</f>
        <v>1552374725178972</v>
      </c>
      <c r="C7213" t="s">
        <v>40</v>
      </c>
      <c r="D7213">
        <v>5.2040160000000002</v>
      </c>
      <c r="E7213">
        <v>0.53888019999999903</v>
      </c>
      <c r="F7213" t="s">
        <v>79</v>
      </c>
      <c r="G7213">
        <v>-182.2457</v>
      </c>
      <c r="H7213" s="1">
        <v>-2.8636660000000001E-6</v>
      </c>
      <c r="I7213">
        <v>122.3721</v>
      </c>
      <c r="J7213">
        <v>-184.60759999999999</v>
      </c>
      <c r="K7213">
        <v>1.108274</v>
      </c>
      <c r="L7213">
        <v>116.6066</v>
      </c>
      <c r="M7213">
        <v>0.111674</v>
      </c>
      <c r="N7213">
        <v>0</v>
      </c>
      <c r="O7213">
        <v>0.99363330000000005</v>
      </c>
      <c r="P7213">
        <v>0.2734219</v>
      </c>
      <c r="Q7213">
        <v>8.5585179999999997E-2</v>
      </c>
      <c r="R7213">
        <v>0.95807920000000002</v>
      </c>
      <c r="S7213">
        <v>1.1283570000000001</v>
      </c>
      <c r="T7213">
        <v>-0.52171210000000001</v>
      </c>
      <c r="U7213">
        <v>2.8568730000000002</v>
      </c>
      <c r="V7213">
        <v>0.1652296</v>
      </c>
      <c r="W7213">
        <v>9.9344929999999998E-2</v>
      </c>
      <c r="X7213">
        <v>0.98123890000000002</v>
      </c>
      <c r="Y7213">
        <v>0.255889799999999</v>
      </c>
      <c r="Z7213">
        <v>-0.1688702</v>
      </c>
      <c r="AA7213">
        <v>0.95184210000000002</v>
      </c>
      <c r="AB7213">
        <v>37</v>
      </c>
      <c r="AC7213">
        <v>2.3618999999999901</v>
      </c>
      <c r="AD7213">
        <v>-1.1082768636660001</v>
      </c>
      <c r="AE7213">
        <v>5.7655000000000003</v>
      </c>
      <c r="AF7213">
        <v>1.65095749509654</v>
      </c>
      <c r="AG7213">
        <v>-1.1082768636660001</v>
      </c>
      <c r="AH7213">
        <v>5.8094066285257702</v>
      </c>
      <c r="AI7213">
        <v>100.39845572046799</v>
      </c>
      <c r="AJ7213">
        <v>74.1355425805545</v>
      </c>
      <c r="AK7213">
        <v>6.1402885626582702</v>
      </c>
      <c r="AL7213">
        <v>84.298550148928001</v>
      </c>
      <c r="AM7213">
        <v>80.441702817581898</v>
      </c>
      <c r="AN7213">
        <v>1.00000000735303</v>
      </c>
    </row>
    <row r="7214" spans="1:40" x14ac:dyDescent="0.25">
      <c r="A7214" t="str">
        <f>"20190312151205208"</f>
        <v>20190312151205208</v>
      </c>
      <c r="B7214" t="str">
        <f>"1552374725198493"</f>
        <v>1552374725198493</v>
      </c>
      <c r="C7214" t="s">
        <v>40</v>
      </c>
      <c r="D7214">
        <v>5.1800490000000003</v>
      </c>
      <c r="E7214">
        <v>0.53944890000000001</v>
      </c>
      <c r="F7214" t="s">
        <v>79</v>
      </c>
      <c r="G7214">
        <v>-182.17410000000001</v>
      </c>
      <c r="H7214" s="1">
        <v>-2.964961E-6</v>
      </c>
      <c r="I7214">
        <v>122.6514</v>
      </c>
      <c r="J7214">
        <v>-184.56360000000001</v>
      </c>
      <c r="K7214">
        <v>1.108053</v>
      </c>
      <c r="L7214">
        <v>116.9743</v>
      </c>
      <c r="M7214">
        <v>0.11440409999999999</v>
      </c>
      <c r="N7214">
        <v>0</v>
      </c>
      <c r="O7214">
        <v>0.99332259999999994</v>
      </c>
      <c r="P7214">
        <v>0.27824349999999998</v>
      </c>
      <c r="Q7214">
        <v>8.5726189999999994E-2</v>
      </c>
      <c r="R7214">
        <v>0.95667740000000001</v>
      </c>
      <c r="S7214">
        <v>1.1475070000000001</v>
      </c>
      <c r="T7214">
        <v>-0.52261270000000004</v>
      </c>
      <c r="U7214">
        <v>2.8504489999999998</v>
      </c>
      <c r="V7214">
        <v>0.16753289999999901</v>
      </c>
      <c r="W7214">
        <v>9.9381940000000002E-2</v>
      </c>
      <c r="X7214">
        <v>0.98084450000000001</v>
      </c>
      <c r="Y7214">
        <v>0.25946619999999998</v>
      </c>
      <c r="Z7214">
        <v>-0.16913839999999999</v>
      </c>
      <c r="AA7214">
        <v>0.9508257</v>
      </c>
      <c r="AB7214">
        <v>37</v>
      </c>
      <c r="AC7214">
        <v>2.3894999999999902</v>
      </c>
      <c r="AD7214">
        <v>-1.108055964961</v>
      </c>
      <c r="AE7214">
        <v>5.6770999999999896</v>
      </c>
      <c r="AF7214">
        <v>1.6702010974760499</v>
      </c>
      <c r="AG7214">
        <v>-1.108055964961</v>
      </c>
      <c r="AH7214">
        <v>5.7278516752378197</v>
      </c>
      <c r="AI7214">
        <v>100.520889935727</v>
      </c>
      <c r="AJ7214">
        <v>73.7436885305179</v>
      </c>
      <c r="AK7214">
        <v>6.0684136758316498</v>
      </c>
      <c r="AL7214">
        <v>84.296418974525693</v>
      </c>
      <c r="AM7214">
        <v>80.307146965144199</v>
      </c>
      <c r="AN7214">
        <v>0.999999987880411</v>
      </c>
    </row>
    <row r="7215" spans="1:40" x14ac:dyDescent="0.25">
      <c r="A7215" t="str">
        <f>"20190312151205229"</f>
        <v>20190312151205229</v>
      </c>
      <c r="B7215" t="str">
        <f>"1552374725218012"</f>
        <v>1552374725218012</v>
      </c>
      <c r="C7215" t="s">
        <v>40</v>
      </c>
      <c r="D7215">
        <v>5.2173049999999996</v>
      </c>
      <c r="E7215">
        <v>0.54000669999999995</v>
      </c>
      <c r="F7215" t="s">
        <v>79</v>
      </c>
      <c r="G7215">
        <v>-182.10239999999999</v>
      </c>
      <c r="H7215" s="1">
        <v>-3.0801470000000002E-6</v>
      </c>
      <c r="I7215">
        <v>122.9777</v>
      </c>
      <c r="J7215">
        <v>-184.52029999999999</v>
      </c>
      <c r="K7215">
        <v>1.1078509999999999</v>
      </c>
      <c r="L7215">
        <v>117.3274</v>
      </c>
      <c r="M7215">
        <v>0.1172406</v>
      </c>
      <c r="N7215">
        <v>0</v>
      </c>
      <c r="O7215">
        <v>0.99299170000000003</v>
      </c>
      <c r="P7215">
        <v>0.28333059999999899</v>
      </c>
      <c r="Q7215">
        <v>8.5310280000000002E-2</v>
      </c>
      <c r="R7215">
        <v>0.95522030000000002</v>
      </c>
      <c r="S7215">
        <v>1.1658630000000001</v>
      </c>
      <c r="T7215">
        <v>-0.524875599999999</v>
      </c>
      <c r="U7215">
        <v>2.8437960000000002</v>
      </c>
      <c r="V7215">
        <v>0.16999610000000001</v>
      </c>
      <c r="W7215">
        <v>9.8866170000000003E-2</v>
      </c>
      <c r="X7215">
        <v>0.98047269999999997</v>
      </c>
      <c r="Y7215">
        <v>0.26270019999999999</v>
      </c>
      <c r="Z7215">
        <v>-0.169853</v>
      </c>
      <c r="AA7215">
        <v>0.94980969999999998</v>
      </c>
      <c r="AB7215">
        <v>37</v>
      </c>
      <c r="AC7215">
        <v>2.4178999999999999</v>
      </c>
      <c r="AD7215">
        <v>-1.1078540801469901</v>
      </c>
      <c r="AE7215">
        <v>5.6502999999999997</v>
      </c>
      <c r="AF7215">
        <v>1.68398497849788</v>
      </c>
      <c r="AG7215">
        <v>-1.1078540801469901</v>
      </c>
      <c r="AH7215">
        <v>5.7093172982460496</v>
      </c>
      <c r="AI7215">
        <v>100.54304011139401</v>
      </c>
      <c r="AJ7215">
        <v>73.566374604613202</v>
      </c>
      <c r="AK7215">
        <v>6.0547047890674603</v>
      </c>
      <c r="AL7215">
        <v>84.326116488209394</v>
      </c>
      <c r="AM7215">
        <v>80.163741344366898</v>
      </c>
      <c r="AN7215">
        <v>0.99999995451548296</v>
      </c>
    </row>
    <row r="7216" spans="1:40" x14ac:dyDescent="0.25">
      <c r="A7216" t="str">
        <f>"20190312151205242"</f>
        <v>20190312151205242</v>
      </c>
      <c r="B7216" t="str">
        <f>"1552374725238509"</f>
        <v>1552374725238509</v>
      </c>
      <c r="C7216" t="s">
        <v>40</v>
      </c>
      <c r="D7216">
        <v>5.1356279999999996</v>
      </c>
      <c r="E7216">
        <v>0.54047939999999906</v>
      </c>
      <c r="F7216" t="s">
        <v>79</v>
      </c>
      <c r="G7216">
        <v>-182.03460000000001</v>
      </c>
      <c r="H7216" s="1">
        <v>-3.186748E-6</v>
      </c>
      <c r="I7216">
        <v>123.27849999999999</v>
      </c>
      <c r="J7216">
        <v>-184.49469999999999</v>
      </c>
      <c r="K7216">
        <v>1.107739</v>
      </c>
      <c r="L7216">
        <v>117.53149999999999</v>
      </c>
      <c r="M7216">
        <v>0.118964</v>
      </c>
      <c r="N7216">
        <v>0</v>
      </c>
      <c r="O7216">
        <v>0.99278679999999997</v>
      </c>
      <c r="P7216">
        <v>0.28629719999999997</v>
      </c>
      <c r="Q7216">
        <v>8.5017549999999997E-2</v>
      </c>
      <c r="R7216">
        <v>0.95436160000000003</v>
      </c>
      <c r="S7216">
        <v>1.1847080000000001</v>
      </c>
      <c r="T7216">
        <v>-0.52802340000000003</v>
      </c>
      <c r="U7216">
        <v>2.8363800000000001</v>
      </c>
      <c r="V7216">
        <v>0.1713644</v>
      </c>
      <c r="W7216">
        <v>9.851741E-2</v>
      </c>
      <c r="X7216">
        <v>0.98026970000000002</v>
      </c>
      <c r="Y7216">
        <v>0.26721409999999901</v>
      </c>
      <c r="Z7216">
        <v>-0.17087749999999999</v>
      </c>
      <c r="AA7216">
        <v>0.94836569999999998</v>
      </c>
      <c r="AB7216">
        <v>37</v>
      </c>
      <c r="AC7216">
        <v>2.4600999999999802</v>
      </c>
      <c r="AD7216">
        <v>-1.107742186748</v>
      </c>
      <c r="AE7216">
        <v>5.7469999999999999</v>
      </c>
      <c r="AF7216">
        <v>1.7053178842525001</v>
      </c>
      <c r="AG7216">
        <v>-1.107742186748</v>
      </c>
      <c r="AH7216">
        <v>5.8162479484999103</v>
      </c>
      <c r="AI7216">
        <v>100.357227038258</v>
      </c>
      <c r="AJ7216">
        <v>73.6589174469798</v>
      </c>
      <c r="AK7216">
        <v>6.1614886218414897</v>
      </c>
      <c r="AL7216">
        <v>84.346197602500396</v>
      </c>
      <c r="AM7216">
        <v>80.084121667148096</v>
      </c>
      <c r="AN7216">
        <v>1.0000000611992701</v>
      </c>
    </row>
    <row r="7217" spans="1:40" x14ac:dyDescent="0.25">
      <c r="A7217" t="str">
        <f>"20190312151205255"</f>
        <v>20190312151205255</v>
      </c>
      <c r="B7217" t="str">
        <f>"1552374725248269"</f>
        <v>1552374725248269</v>
      </c>
      <c r="C7217" t="s">
        <v>40</v>
      </c>
      <c r="D7217">
        <v>5.184412</v>
      </c>
      <c r="E7217">
        <v>0.54074750000000005</v>
      </c>
      <c r="F7217" t="s">
        <v>79</v>
      </c>
      <c r="G7217">
        <v>-181.99209999999999</v>
      </c>
      <c r="H7217" s="1">
        <v>-3.2493360000000001E-6</v>
      </c>
      <c r="I7217">
        <v>123.4525</v>
      </c>
      <c r="J7217">
        <v>-184.46789999999999</v>
      </c>
      <c r="K7217">
        <v>1.1076269999999999</v>
      </c>
      <c r="L7217">
        <v>117.7427</v>
      </c>
      <c r="M7217">
        <v>0.12081450000000001</v>
      </c>
      <c r="N7217">
        <v>0</v>
      </c>
      <c r="O7217">
        <v>0.99256319999999998</v>
      </c>
      <c r="P7217">
        <v>0.28967559999999998</v>
      </c>
      <c r="Q7217">
        <v>8.4649589999999997E-2</v>
      </c>
      <c r="R7217">
        <v>0.95337430000000001</v>
      </c>
      <c r="S7217">
        <v>1.1968540000000001</v>
      </c>
      <c r="T7217">
        <v>-0.5297579</v>
      </c>
      <c r="U7217">
        <v>2.831604</v>
      </c>
      <c r="V7217">
        <v>0.1730315</v>
      </c>
      <c r="W7217">
        <v>9.8089369999999995E-2</v>
      </c>
      <c r="X7217">
        <v>0.98001970000000005</v>
      </c>
      <c r="Y7217">
        <v>0.26940720000000001</v>
      </c>
      <c r="Z7217">
        <v>-0.17143630000000001</v>
      </c>
      <c r="AA7217">
        <v>0.94764409999999999</v>
      </c>
      <c r="AB7217">
        <v>37</v>
      </c>
      <c r="AC7217">
        <v>2.4757999999999898</v>
      </c>
      <c r="AD7217">
        <v>-1.107630249336</v>
      </c>
      <c r="AE7217">
        <v>5.7098000000000004</v>
      </c>
      <c r="AF7217">
        <v>1.7134819411363</v>
      </c>
      <c r="AG7217">
        <v>-1.107630249336</v>
      </c>
      <c r="AH7217">
        <v>5.7839034670293099</v>
      </c>
      <c r="AI7217">
        <v>100.404429561431</v>
      </c>
      <c r="AJ7217">
        <v>73.498072242749799</v>
      </c>
      <c r="AK7217">
        <v>6.1332213760598897</v>
      </c>
      <c r="AL7217">
        <v>84.370841609803406</v>
      </c>
      <c r="AM7217">
        <v>79.987096199821806</v>
      </c>
      <c r="AN7217">
        <v>1.0000000184436599</v>
      </c>
    </row>
    <row r="7218" spans="1:40" x14ac:dyDescent="0.25">
      <c r="A7218" t="str">
        <f>"20190312151205268"</f>
        <v>20190312151205268</v>
      </c>
      <c r="B7218" t="str">
        <f>"1552374725259005"</f>
        <v>1552374725259005</v>
      </c>
      <c r="C7218" t="s">
        <v>40</v>
      </c>
      <c r="D7218">
        <v>5.0952789999999997</v>
      </c>
      <c r="E7218">
        <v>0.54102629999999996</v>
      </c>
      <c r="F7218" t="s">
        <v>41</v>
      </c>
      <c r="G7218">
        <v>-184.16050000000001</v>
      </c>
      <c r="H7218">
        <v>0.97277590000000003</v>
      </c>
      <c r="I7218">
        <v>118.4616</v>
      </c>
      <c r="J7218">
        <v>-184.43960000000001</v>
      </c>
      <c r="K7218">
        <v>1.1075140000000001</v>
      </c>
      <c r="L7218">
        <v>117.9606</v>
      </c>
      <c r="M7218">
        <v>0.12280439999999899</v>
      </c>
      <c r="N7218">
        <v>0</v>
      </c>
      <c r="O7218">
        <v>0.99231899999999995</v>
      </c>
      <c r="P7218">
        <v>0.29315950000000002</v>
      </c>
      <c r="Q7218">
        <v>8.4145170000000005E-2</v>
      </c>
      <c r="R7218">
        <v>0.95235349999999996</v>
      </c>
      <c r="S7218">
        <v>1.208618</v>
      </c>
      <c r="T7218">
        <v>-0.530196</v>
      </c>
      <c r="U7218">
        <v>2.8265690000000001</v>
      </c>
      <c r="V7218">
        <v>0.1746694</v>
      </c>
      <c r="W7218">
        <v>9.7524669999999994E-2</v>
      </c>
      <c r="X7218">
        <v>0.97978540000000003</v>
      </c>
      <c r="Y7218">
        <v>0.27141189999999998</v>
      </c>
      <c r="Z7218">
        <v>-0.17160400000000001</v>
      </c>
      <c r="AA7218">
        <v>0.94704149999999998</v>
      </c>
      <c r="AB7218">
        <v>37</v>
      </c>
      <c r="AC7218">
        <v>0.27909999999999902</v>
      </c>
      <c r="AD7218">
        <v>-0.134738099999999</v>
      </c>
      <c r="AE7218">
        <v>0.501000000000004</v>
      </c>
      <c r="AF7218">
        <v>0.20418465975772099</v>
      </c>
      <c r="AG7218">
        <v>-0.134738099999999</v>
      </c>
      <c r="AH7218">
        <v>0.50368345093428002</v>
      </c>
      <c r="AI7218">
        <v>103.923473508548</v>
      </c>
      <c r="AJ7218">
        <v>67.933207727881097</v>
      </c>
      <c r="AK7218">
        <v>0.55994888125350495</v>
      </c>
      <c r="AL7218">
        <v>84.403352002012497</v>
      </c>
      <c r="AM7218">
        <v>79.891892854624302</v>
      </c>
      <c r="AN7218">
        <v>0.999999945304063</v>
      </c>
    </row>
    <row r="7219" spans="1:40" x14ac:dyDescent="0.25">
      <c r="A7219" t="str">
        <f>"20190312151205286"</f>
        <v>20190312151205286</v>
      </c>
      <c r="B7219" t="str">
        <f>"1552374725278528"</f>
        <v>1552374725278528</v>
      </c>
      <c r="C7219" t="s">
        <v>40</v>
      </c>
      <c r="D7219">
        <v>5.1691659999999997</v>
      </c>
      <c r="E7219">
        <v>0.55485090000000004</v>
      </c>
      <c r="F7219" t="s">
        <v>79</v>
      </c>
      <c r="G7219">
        <v>-181.8955</v>
      </c>
      <c r="H7219" s="1">
        <v>-3.4381510000000001E-6</v>
      </c>
      <c r="I7219">
        <v>123.8403</v>
      </c>
      <c r="J7219">
        <v>-184.4023</v>
      </c>
      <c r="K7219">
        <v>1.107369</v>
      </c>
      <c r="L7219">
        <v>118.2426</v>
      </c>
      <c r="M7219">
        <v>0.12546269999999901</v>
      </c>
      <c r="N7219">
        <v>0</v>
      </c>
      <c r="O7219">
        <v>0.99198629999999999</v>
      </c>
      <c r="P7219">
        <v>0.30044369999999998</v>
      </c>
      <c r="Q7219">
        <v>8.3739040000000001E-2</v>
      </c>
      <c r="R7219">
        <v>0.95011650000000003</v>
      </c>
      <c r="S7219">
        <v>1.220718</v>
      </c>
      <c r="T7219">
        <v>-0.53142080000000003</v>
      </c>
      <c r="U7219">
        <v>2.821259</v>
      </c>
      <c r="V7219">
        <v>0.1795776</v>
      </c>
      <c r="W7219">
        <v>9.7012119999999993E-2</v>
      </c>
      <c r="X7219">
        <v>0.9789487</v>
      </c>
      <c r="Y7219">
        <v>0.27287850000000002</v>
      </c>
      <c r="Z7219">
        <v>-0.17201849999999999</v>
      </c>
      <c r="AA7219">
        <v>0.94654479999999996</v>
      </c>
      <c r="AB7219">
        <v>37</v>
      </c>
      <c r="AC7219">
        <v>2.5067999999999899</v>
      </c>
      <c r="AD7219">
        <v>-1.1073724381509999</v>
      </c>
      <c r="AE7219">
        <v>5.5976999999999997</v>
      </c>
      <c r="AF7219">
        <v>1.7282692793157599</v>
      </c>
      <c r="AG7219">
        <v>-1.1073724381509999</v>
      </c>
      <c r="AH7219">
        <v>5.6827583999443601</v>
      </c>
      <c r="AI7219">
        <v>100.560647006191</v>
      </c>
      <c r="AJ7219">
        <v>73.084168816720705</v>
      </c>
      <c r="AK7219">
        <v>6.0420966105104004</v>
      </c>
      <c r="AL7219">
        <v>84.432859241718702</v>
      </c>
      <c r="AM7219">
        <v>79.605271922997005</v>
      </c>
      <c r="AN7219">
        <v>1.0000000115401699</v>
      </c>
    </row>
    <row r="7220" spans="1:40" x14ac:dyDescent="0.25">
      <c r="A7220" t="str">
        <f>"20190312151205307"</f>
        <v>20190312151205307</v>
      </c>
      <c r="B7220" t="str">
        <f>"1552374725299021"</f>
        <v>1552374725299021</v>
      </c>
      <c r="C7220" t="s">
        <v>40</v>
      </c>
      <c r="D7220">
        <v>5.2357339999999999</v>
      </c>
      <c r="E7220">
        <v>0.55467270000000002</v>
      </c>
      <c r="F7220" t="s">
        <v>79</v>
      </c>
      <c r="G7220">
        <v>-180.25640000000001</v>
      </c>
      <c r="H7220" s="1">
        <v>-4.6572320000000001E-6</v>
      </c>
      <c r="I7220">
        <v>126.79340000000001</v>
      </c>
      <c r="J7220">
        <v>-184.35380000000001</v>
      </c>
      <c r="K7220">
        <v>1.1071959999999901</v>
      </c>
      <c r="L7220">
        <v>118.6</v>
      </c>
      <c r="M7220">
        <v>0.1289805</v>
      </c>
      <c r="N7220">
        <v>0</v>
      </c>
      <c r="O7220">
        <v>0.99153500000000006</v>
      </c>
      <c r="P7220">
        <v>0.3072704</v>
      </c>
      <c r="Q7220">
        <v>8.3843269999999998E-2</v>
      </c>
      <c r="R7220">
        <v>0.94792149999999997</v>
      </c>
      <c r="S7220">
        <v>1.3406830000000001</v>
      </c>
      <c r="T7220">
        <v>-0.35809839999999998</v>
      </c>
      <c r="U7220">
        <v>2.7651210000000002</v>
      </c>
      <c r="V7220">
        <v>0.18319369999999999</v>
      </c>
      <c r="W7220">
        <v>9.7005949999999994E-2</v>
      </c>
      <c r="X7220">
        <v>0.97827909999999996</v>
      </c>
      <c r="Y7220">
        <v>0.3135521</v>
      </c>
      <c r="Z7220">
        <v>-0.1171975</v>
      </c>
      <c r="AA7220">
        <v>0.94231089999999995</v>
      </c>
      <c r="AB7220">
        <v>37</v>
      </c>
      <c r="AC7220">
        <v>4.0973999999999897</v>
      </c>
      <c r="AD7220">
        <v>-1.1072006572319999</v>
      </c>
      <c r="AE7220">
        <v>8.1934000000000093</v>
      </c>
      <c r="AF7220">
        <v>2.9629783767286901</v>
      </c>
      <c r="AG7220">
        <v>-1.1072006572319999</v>
      </c>
      <c r="AH7220">
        <v>8.5289013405048806</v>
      </c>
      <c r="AI7220">
        <v>96.991176773161399</v>
      </c>
      <c r="AJ7220">
        <v>70.842544953620802</v>
      </c>
      <c r="AK7220">
        <v>9.0965538657451397</v>
      </c>
      <c r="AL7220">
        <v>84.433214600776196</v>
      </c>
      <c r="AM7220">
        <v>79.393563877792701</v>
      </c>
      <c r="AN7220">
        <v>1.00000004177595</v>
      </c>
    </row>
    <row r="7221" spans="1:40" x14ac:dyDescent="0.25">
      <c r="A7221" t="str">
        <f>"20190312151205329"</f>
        <v>20190312151205329</v>
      </c>
      <c r="B7221" t="str">
        <f>"1552374725318545"</f>
        <v>1552374725318545</v>
      </c>
      <c r="C7221" t="s">
        <v>40</v>
      </c>
      <c r="D7221">
        <v>5.2059499999999996</v>
      </c>
      <c r="E7221">
        <v>0.55513889999999999</v>
      </c>
      <c r="F7221" t="s">
        <v>79</v>
      </c>
      <c r="G7221">
        <v>-180.45760000000001</v>
      </c>
      <c r="H7221" s="1">
        <v>-4.5526099999999899E-6</v>
      </c>
      <c r="I7221">
        <v>126.4984</v>
      </c>
      <c r="J7221">
        <v>-184.303</v>
      </c>
      <c r="K7221">
        <v>1.1070329999999999</v>
      </c>
      <c r="L7221">
        <v>118.9631</v>
      </c>
      <c r="M7221">
        <v>0.1327023</v>
      </c>
      <c r="N7221">
        <v>0</v>
      </c>
      <c r="O7221">
        <v>0.99104369999999997</v>
      </c>
      <c r="P7221">
        <v>0.31472889999999998</v>
      </c>
      <c r="Q7221">
        <v>8.4268949999999995E-2</v>
      </c>
      <c r="R7221">
        <v>0.94543350000000004</v>
      </c>
      <c r="S7221">
        <v>1.3605039999999999</v>
      </c>
      <c r="T7221">
        <v>-0.38661889999999999</v>
      </c>
      <c r="U7221">
        <v>2.7579959999999999</v>
      </c>
      <c r="V7221">
        <v>0.18727969999999999</v>
      </c>
      <c r="W7221">
        <v>9.7315860000000004E-2</v>
      </c>
      <c r="X7221">
        <v>0.97747430000000002</v>
      </c>
      <c r="Y7221">
        <v>0.31590970000000002</v>
      </c>
      <c r="Z7221">
        <v>-0.12633639999999999</v>
      </c>
      <c r="AA7221">
        <v>0.94034050000000002</v>
      </c>
      <c r="AB7221">
        <v>37</v>
      </c>
      <c r="AC7221">
        <v>3.8453999999999802</v>
      </c>
      <c r="AD7221">
        <v>-1.10703755261</v>
      </c>
      <c r="AE7221">
        <v>7.5353000000000003</v>
      </c>
      <c r="AF7221">
        <v>2.7639898285614901</v>
      </c>
      <c r="AG7221">
        <v>-1.10703755261</v>
      </c>
      <c r="AH7221">
        <v>7.8446602305336501</v>
      </c>
      <c r="AI7221">
        <v>97.581494506498501</v>
      </c>
      <c r="AJ7221">
        <v>70.590585818503001</v>
      </c>
      <c r="AK7221">
        <v>8.3907011654447796</v>
      </c>
      <c r="AL7221">
        <v>84.415373616796799</v>
      </c>
      <c r="AM7221">
        <v>79.153827199559402</v>
      </c>
      <c r="AN7221">
        <v>1.00000003490005</v>
      </c>
    </row>
    <row r="7222" spans="1:40" x14ac:dyDescent="0.25">
      <c r="A7222" t="str">
        <f>"20190312151205351"</f>
        <v>20190312151205351</v>
      </c>
      <c r="B7222" t="str">
        <f>"1552374725348797"</f>
        <v>1552374725348797</v>
      </c>
      <c r="C7222" t="s">
        <v>40</v>
      </c>
      <c r="D7222">
        <v>5.0676829999999997</v>
      </c>
      <c r="E7222">
        <v>0.55679679999999998</v>
      </c>
      <c r="F7222" t="s">
        <v>79</v>
      </c>
      <c r="G7222">
        <v>-180.63130000000001</v>
      </c>
      <c r="H7222" s="1">
        <v>-4.4595299999999998E-6</v>
      </c>
      <c r="I7222">
        <v>126.23309999999999</v>
      </c>
      <c r="J7222">
        <v>-184.2516</v>
      </c>
      <c r="K7222">
        <v>1.1068800000000001</v>
      </c>
      <c r="L7222">
        <v>119.3201</v>
      </c>
      <c r="M7222">
        <v>0.13650209999999999</v>
      </c>
      <c r="N7222">
        <v>0</v>
      </c>
      <c r="O7222">
        <v>0.99052750000000001</v>
      </c>
      <c r="P7222">
        <v>0.32253739999999997</v>
      </c>
      <c r="Q7222">
        <v>8.4735309999999994E-2</v>
      </c>
      <c r="R7222">
        <v>0.94275640000000005</v>
      </c>
      <c r="S7222">
        <v>1.3880619999999999</v>
      </c>
      <c r="T7222">
        <v>-0.41850470000000001</v>
      </c>
      <c r="U7222">
        <v>2.748367</v>
      </c>
      <c r="V7222">
        <v>0.19166559999999999</v>
      </c>
      <c r="W7222">
        <v>9.7664180000000003E-2</v>
      </c>
      <c r="X7222">
        <v>0.97658900000000004</v>
      </c>
      <c r="Y7222">
        <v>0.32051230000000003</v>
      </c>
      <c r="Z7222">
        <v>-0.13647709999999999</v>
      </c>
      <c r="AA7222">
        <v>0.93736109999999995</v>
      </c>
      <c r="AB7222">
        <v>37</v>
      </c>
      <c r="AC7222">
        <v>3.6202999999999799</v>
      </c>
      <c r="AD7222">
        <v>-1.10688445952999</v>
      </c>
      <c r="AE7222">
        <v>6.9129999999999896</v>
      </c>
      <c r="AF7222">
        <v>2.5905415203439799</v>
      </c>
      <c r="AG7222">
        <v>-1.10688445952999</v>
      </c>
      <c r="AH7222">
        <v>7.1976985667681603</v>
      </c>
      <c r="AI7222">
        <v>98.233362409658</v>
      </c>
      <c r="AJ7222">
        <v>70.205563123668</v>
      </c>
      <c r="AK7222">
        <v>7.7293572328772298</v>
      </c>
      <c r="AL7222">
        <v>84.395320828388094</v>
      </c>
      <c r="AM7222">
        <v>78.896245653925305</v>
      </c>
      <c r="AN7222">
        <v>1.00000003459971</v>
      </c>
    </row>
    <row r="7223" spans="1:40" x14ac:dyDescent="0.25">
      <c r="A7223" t="str">
        <f>"20190312151205375"</f>
        <v>20190312151205375</v>
      </c>
      <c r="B7223" t="str">
        <f>"1552374725368320"</f>
        <v>1552374725368320</v>
      </c>
      <c r="C7223" t="s">
        <v>40</v>
      </c>
      <c r="D7223">
        <v>4.9734819999999997</v>
      </c>
      <c r="E7223">
        <v>0.55762219999999996</v>
      </c>
      <c r="F7223" t="s">
        <v>79</v>
      </c>
      <c r="G7223">
        <v>-180.28319999999999</v>
      </c>
      <c r="H7223" s="1">
        <v>-4.6905880000000001E-6</v>
      </c>
      <c r="I7223">
        <v>126.9362</v>
      </c>
      <c r="J7223">
        <v>-184.19630000000001</v>
      </c>
      <c r="K7223">
        <v>1.106719</v>
      </c>
      <c r="L7223">
        <v>119.6936</v>
      </c>
      <c r="M7223">
        <v>0.14062639999999901</v>
      </c>
      <c r="N7223">
        <v>0</v>
      </c>
      <c r="O7223">
        <v>0.98995029999999995</v>
      </c>
      <c r="P7223">
        <v>0.33142310000000003</v>
      </c>
      <c r="Q7223">
        <v>8.4983420000000004E-2</v>
      </c>
      <c r="R7223">
        <v>0.93964700000000001</v>
      </c>
      <c r="S7223">
        <v>1.423019</v>
      </c>
      <c r="T7223">
        <v>-0.39691100000000001</v>
      </c>
      <c r="U7223">
        <v>2.730988</v>
      </c>
      <c r="V7223">
        <v>0.19686480000000001</v>
      </c>
      <c r="W7223">
        <v>9.7779500000000005E-2</v>
      </c>
      <c r="X7223">
        <v>0.97554260000000004</v>
      </c>
      <c r="Y7223">
        <v>0.32887100000000002</v>
      </c>
      <c r="Z7223">
        <v>-0.12962660000000001</v>
      </c>
      <c r="AA7223">
        <v>0.93543620000000005</v>
      </c>
      <c r="AB7223">
        <v>37</v>
      </c>
      <c r="AC7223">
        <v>3.9131000000000098</v>
      </c>
      <c r="AD7223">
        <v>-1.106723690588</v>
      </c>
      <c r="AE7223">
        <v>7.2425999999999897</v>
      </c>
      <c r="AF7223">
        <v>2.80489570943609</v>
      </c>
      <c r="AG7223">
        <v>-1.106723690588</v>
      </c>
      <c r="AH7223">
        <v>7.58388687394483</v>
      </c>
      <c r="AI7223">
        <v>97.793633614861406</v>
      </c>
      <c r="AJ7223">
        <v>69.703118372206006</v>
      </c>
      <c r="AK7223">
        <v>8.1613489929615408</v>
      </c>
      <c r="AL7223">
        <v>84.388681351972593</v>
      </c>
      <c r="AM7223">
        <v>78.590919049825104</v>
      </c>
      <c r="AN7223">
        <v>0.99999997225702397</v>
      </c>
    </row>
    <row r="7224" spans="1:40" x14ac:dyDescent="0.25">
      <c r="A7224" t="str">
        <f>"20190312151205397"</f>
        <v>20190312151205397</v>
      </c>
      <c r="B7224" t="str">
        <f>"1552374725388812"</f>
        <v>1552374725388812</v>
      </c>
      <c r="C7224" t="s">
        <v>40</v>
      </c>
      <c r="D7224">
        <v>4.9656060000000002</v>
      </c>
      <c r="E7224">
        <v>0.55819510000000006</v>
      </c>
      <c r="F7224" t="s">
        <v>79</v>
      </c>
      <c r="G7224">
        <v>-179.97559999999999</v>
      </c>
      <c r="H7224" s="1">
        <v>-4.8976469999999997E-6</v>
      </c>
      <c r="I7224">
        <v>127.5685</v>
      </c>
      <c r="J7224">
        <v>-184.1397</v>
      </c>
      <c r="K7224">
        <v>1.1065510000000001</v>
      </c>
      <c r="L7224">
        <v>120.0642</v>
      </c>
      <c r="M7224">
        <v>0.14488010000000001</v>
      </c>
      <c r="N7224">
        <v>0</v>
      </c>
      <c r="O7224">
        <v>0.98933660000000001</v>
      </c>
      <c r="P7224">
        <v>0.34008119999999997</v>
      </c>
      <c r="Q7224">
        <v>8.4125000000000005E-2</v>
      </c>
      <c r="R7224">
        <v>0.93662570000000001</v>
      </c>
      <c r="S7224">
        <v>1.4546809999999999</v>
      </c>
      <c r="T7224">
        <v>-0.381438</v>
      </c>
      <c r="U7224">
        <v>2.7141109999999999</v>
      </c>
      <c r="V7224">
        <v>0.20169780000000001</v>
      </c>
      <c r="W7224">
        <v>9.6790490000000007E-2</v>
      </c>
      <c r="X7224">
        <v>0.97465360000000001</v>
      </c>
      <c r="Y7224">
        <v>0.33600439999999998</v>
      </c>
      <c r="Z7224">
        <v>-0.1247381</v>
      </c>
      <c r="AA7224">
        <v>0.93356380000000005</v>
      </c>
      <c r="AB7224">
        <v>37</v>
      </c>
      <c r="AC7224">
        <v>4.1641000000000101</v>
      </c>
      <c r="AD7224">
        <v>-1.106555897647</v>
      </c>
      <c r="AE7224">
        <v>7.5042999999999997</v>
      </c>
      <c r="AF7224">
        <v>2.98321623360536</v>
      </c>
      <c r="AG7224">
        <v>-1.106555897647</v>
      </c>
      <c r="AH7224">
        <v>7.8971816920889299</v>
      </c>
      <c r="AI7224">
        <v>97.467731025802195</v>
      </c>
      <c r="AJ7224">
        <v>69.305587457191905</v>
      </c>
      <c r="AK7224">
        <v>8.5140779729180593</v>
      </c>
      <c r="AL7224">
        <v>84.445617798034505</v>
      </c>
      <c r="AM7224">
        <v>78.308075415879699</v>
      </c>
      <c r="AN7224">
        <v>1.0000000207361199</v>
      </c>
    </row>
    <row r="7225" spans="1:40" x14ac:dyDescent="0.25">
      <c r="A7225" t="str">
        <f>"20190312151205419"</f>
        <v>20190312151205419</v>
      </c>
      <c r="B7225" t="str">
        <f>"1552374725408334"</f>
        <v>1552374725408334</v>
      </c>
      <c r="C7225" t="s">
        <v>40</v>
      </c>
      <c r="D7225">
        <v>4.9670809999999896</v>
      </c>
      <c r="E7225">
        <v>0.55834510000000004</v>
      </c>
      <c r="F7225" t="s">
        <v>79</v>
      </c>
      <c r="G7225">
        <v>-179.9205</v>
      </c>
      <c r="H7225" s="1">
        <v>-4.9196740000000002E-6</v>
      </c>
      <c r="I7225">
        <v>127.7373</v>
      </c>
      <c r="J7225">
        <v>-184.08439999999999</v>
      </c>
      <c r="K7225">
        <v>1.1063909999999999</v>
      </c>
      <c r="L7225">
        <v>120.4144</v>
      </c>
      <c r="M7225">
        <v>0.1490715</v>
      </c>
      <c r="N7225">
        <v>0</v>
      </c>
      <c r="O7225">
        <v>0.98871370000000003</v>
      </c>
      <c r="P7225">
        <v>0.34812209999999899</v>
      </c>
      <c r="Q7225">
        <v>8.3270880000000005E-2</v>
      </c>
      <c r="R7225">
        <v>0.93374349999999995</v>
      </c>
      <c r="S7225">
        <v>1.4841310000000001</v>
      </c>
      <c r="T7225">
        <v>-0.38924300000000001</v>
      </c>
      <c r="U7225">
        <v>2.6990660000000002</v>
      </c>
      <c r="V7225">
        <v>0.20596880000000001</v>
      </c>
      <c r="W7225">
        <v>9.5810389999999995E-2</v>
      </c>
      <c r="X7225">
        <v>0.97385690000000003</v>
      </c>
      <c r="Y7225">
        <v>0.34187590000000001</v>
      </c>
      <c r="Z7225">
        <v>-0.1272924</v>
      </c>
      <c r="AA7225">
        <v>0.93108400000000002</v>
      </c>
      <c r="AB7225">
        <v>37</v>
      </c>
      <c r="AC7225">
        <v>4.1638999999999804</v>
      </c>
      <c r="AD7225">
        <v>-1.1063959196740001</v>
      </c>
      <c r="AE7225">
        <v>7.3228999999999997</v>
      </c>
      <c r="AF7225">
        <v>2.9742997904881898</v>
      </c>
      <c r="AG7225">
        <v>-1.1063959196740001</v>
      </c>
      <c r="AH7225">
        <v>7.7285293657403704</v>
      </c>
      <c r="AI7225">
        <v>97.609932813839094</v>
      </c>
      <c r="AJ7225">
        <v>68.950939425352402</v>
      </c>
      <c r="AK7225">
        <v>8.3546835566573492</v>
      </c>
      <c r="AL7225">
        <v>84.502035598461504</v>
      </c>
      <c r="AM7225">
        <v>78.058041056494901</v>
      </c>
      <c r="AN7225">
        <v>1.0000000195415</v>
      </c>
    </row>
    <row r="7226" spans="1:40" x14ac:dyDescent="0.25">
      <c r="A7226" t="str">
        <f>"20190312151205440"</f>
        <v>20190312151205440</v>
      </c>
      <c r="B7226" t="str">
        <f>"1552374725428829"</f>
        <v>1552374725428829</v>
      </c>
      <c r="C7226" t="s">
        <v>40</v>
      </c>
      <c r="D7226">
        <v>4.9220670000000002</v>
      </c>
      <c r="E7226">
        <v>0.55850509999999998</v>
      </c>
      <c r="F7226" t="s">
        <v>79</v>
      </c>
      <c r="G7226">
        <v>-179.71279999999999</v>
      </c>
      <c r="H7226" s="1">
        <v>-4.9033659999999998E-6</v>
      </c>
      <c r="I7226">
        <v>128.1962</v>
      </c>
      <c r="J7226">
        <v>-184.02699999999999</v>
      </c>
      <c r="K7226">
        <v>1.10622</v>
      </c>
      <c r="L7226">
        <v>120.7677</v>
      </c>
      <c r="M7226">
        <v>0.15347649999999999</v>
      </c>
      <c r="N7226">
        <v>0</v>
      </c>
      <c r="O7226">
        <v>0.98803940000000001</v>
      </c>
      <c r="P7226">
        <v>0.35643709999999901</v>
      </c>
      <c r="Q7226">
        <v>8.2787570000000005E-2</v>
      </c>
      <c r="R7226">
        <v>0.93064429999999998</v>
      </c>
      <c r="S7226">
        <v>1.5081629999999999</v>
      </c>
      <c r="T7226">
        <v>-0.381693</v>
      </c>
      <c r="U7226">
        <v>2.684631</v>
      </c>
      <c r="V7226">
        <v>0.2103467</v>
      </c>
      <c r="W7226">
        <v>9.5191440000000002E-2</v>
      </c>
      <c r="X7226">
        <v>0.9729814</v>
      </c>
      <c r="Y7226">
        <v>0.34630640000000001</v>
      </c>
      <c r="Z7226">
        <v>-0.1249575</v>
      </c>
      <c r="AA7226">
        <v>0.92976210000000004</v>
      </c>
      <c r="AB7226">
        <v>37</v>
      </c>
      <c r="AC7226">
        <v>4.31420000000002</v>
      </c>
      <c r="AD7226">
        <v>-1.1062249033660001</v>
      </c>
      <c r="AE7226">
        <v>7.4284999999999997</v>
      </c>
      <c r="AF7226">
        <v>3.0719066831455999</v>
      </c>
      <c r="AG7226">
        <v>-1.1062249033660001</v>
      </c>
      <c r="AH7226">
        <v>7.8721290997711604</v>
      </c>
      <c r="AI7226">
        <v>97.458181037285001</v>
      </c>
      <c r="AJ7226">
        <v>68.682995377163095</v>
      </c>
      <c r="AK7226">
        <v>8.5223682606565205</v>
      </c>
      <c r="AL7226">
        <v>84.537661409353404</v>
      </c>
      <c r="AM7226">
        <v>77.801087163559103</v>
      </c>
      <c r="AN7226">
        <v>0.999999974598061</v>
      </c>
    </row>
    <row r="7227" spans="1:40" x14ac:dyDescent="0.25">
      <c r="A7227" t="str">
        <f>"20190312151205464"</f>
        <v>20190312151205464</v>
      </c>
      <c r="B7227" t="str">
        <f>"1552374725458108"</f>
        <v>1552374725458108</v>
      </c>
      <c r="C7227" t="s">
        <v>40</v>
      </c>
      <c r="D7227">
        <v>4.909783</v>
      </c>
      <c r="E7227">
        <v>0.55816119999999902</v>
      </c>
      <c r="F7227" t="s">
        <v>79</v>
      </c>
      <c r="G7227">
        <v>-179.57509999999999</v>
      </c>
      <c r="H7227" s="1">
        <v>-4.8972369999999998E-6</v>
      </c>
      <c r="I7227">
        <v>128.51849999999999</v>
      </c>
      <c r="J7227">
        <v>-183.9639</v>
      </c>
      <c r="K7227">
        <v>1.1060299999999901</v>
      </c>
      <c r="L7227">
        <v>121.1431</v>
      </c>
      <c r="M7227">
        <v>0.15832950000000001</v>
      </c>
      <c r="N7227">
        <v>0</v>
      </c>
      <c r="O7227">
        <v>0.98727319999999996</v>
      </c>
      <c r="P7227">
        <v>0.36557640000000002</v>
      </c>
      <c r="Q7227">
        <v>8.1109399999999998E-2</v>
      </c>
      <c r="R7227">
        <v>0.92724059999999997</v>
      </c>
      <c r="S7227">
        <v>1.5336299999999901</v>
      </c>
      <c r="T7227">
        <v>-0.38108330000000001</v>
      </c>
      <c r="U7227">
        <v>2.6700900000000001</v>
      </c>
      <c r="V7227">
        <v>0.21514159999999999</v>
      </c>
      <c r="W7227">
        <v>9.3368060000000003E-2</v>
      </c>
      <c r="X7227">
        <v>0.97210929999999995</v>
      </c>
      <c r="Y7227">
        <v>0.35056279999999901</v>
      </c>
      <c r="Z7227">
        <v>-0.124823</v>
      </c>
      <c r="AA7227">
        <v>0.92818369999999994</v>
      </c>
      <c r="AB7227">
        <v>37</v>
      </c>
      <c r="AC7227">
        <v>4.3887999999999998</v>
      </c>
      <c r="AD7227">
        <v>-1.10603489723699</v>
      </c>
      <c r="AE7227">
        <v>7.3753999999999804</v>
      </c>
      <c r="AF7227">
        <v>3.11384019282707</v>
      </c>
      <c r="AG7227">
        <v>-1.10603489723699</v>
      </c>
      <c r="AH7227">
        <v>7.8469797751354298</v>
      </c>
      <c r="AI7227">
        <v>97.463942201069699</v>
      </c>
      <c r="AJ7227">
        <v>68.355821419074402</v>
      </c>
      <c r="AK7227">
        <v>8.5143646581383798</v>
      </c>
      <c r="AL7227">
        <v>84.642600952409396</v>
      </c>
      <c r="AM7227">
        <v>77.520778932453396</v>
      </c>
      <c r="AN7227">
        <v>0.99999999691260599</v>
      </c>
    </row>
    <row r="7228" spans="1:40" x14ac:dyDescent="0.25">
      <c r="A7228" t="str">
        <f>"20190312151205486"</f>
        <v>20190312151205486</v>
      </c>
      <c r="B7228" t="str">
        <f>"1552374725478605"</f>
        <v>1552374725478605</v>
      </c>
      <c r="C7228" t="s">
        <v>40</v>
      </c>
      <c r="D7228">
        <v>4.9022589999999999</v>
      </c>
      <c r="E7228">
        <v>0.55780819999999998</v>
      </c>
      <c r="F7228" t="s">
        <v>79</v>
      </c>
      <c r="G7228">
        <v>-179.35210000000001</v>
      </c>
      <c r="H7228" s="1">
        <v>-4.8787109999999996E-6</v>
      </c>
      <c r="I7228">
        <v>129.00720000000001</v>
      </c>
      <c r="J7228">
        <v>-183.90119999999999</v>
      </c>
      <c r="K7228">
        <v>1.1058509999999999</v>
      </c>
      <c r="L7228">
        <v>121.5048</v>
      </c>
      <c r="M7228">
        <v>0.16318550000000001</v>
      </c>
      <c r="N7228">
        <v>0</v>
      </c>
      <c r="O7228">
        <v>0.98648210000000003</v>
      </c>
      <c r="P7228">
        <v>0.37449270000000001</v>
      </c>
      <c r="Q7228">
        <v>7.9491560000000003E-2</v>
      </c>
      <c r="R7228">
        <v>0.92381610000000003</v>
      </c>
      <c r="S7228">
        <v>1.5566249999999999</v>
      </c>
      <c r="T7228">
        <v>-0.37332179999999998</v>
      </c>
      <c r="U7228">
        <v>2.6543580000000002</v>
      </c>
      <c r="V7228">
        <v>0.21972459999999999</v>
      </c>
      <c r="W7228">
        <v>9.1607049999999995E-2</v>
      </c>
      <c r="X7228">
        <v>0.97125139999999999</v>
      </c>
      <c r="Y7228">
        <v>0.35448610000000003</v>
      </c>
      <c r="Z7228">
        <v>-0.1224523</v>
      </c>
      <c r="AA7228">
        <v>0.92700870000000002</v>
      </c>
      <c r="AB7228">
        <v>36</v>
      </c>
      <c r="AC7228">
        <v>4.5490999999999797</v>
      </c>
      <c r="AD7228">
        <v>-1.105855878711</v>
      </c>
      <c r="AE7228">
        <v>7.5023999999999997</v>
      </c>
      <c r="AF7228">
        <v>3.21265115306996</v>
      </c>
      <c r="AG7228">
        <v>-1.105855878711</v>
      </c>
      <c r="AH7228">
        <v>8.0168838341042594</v>
      </c>
      <c r="AI7228">
        <v>97.296584781260606</v>
      </c>
      <c r="AJ7228">
        <v>68.162263844039401</v>
      </c>
      <c r="AK7228">
        <v>8.7071505709573902</v>
      </c>
      <c r="AL7228">
        <v>84.743933839810694</v>
      </c>
      <c r="AM7228">
        <v>77.252646245886993</v>
      </c>
      <c r="AN7228">
        <v>1.00000001672841</v>
      </c>
    </row>
    <row r="7229" spans="1:40" x14ac:dyDescent="0.25">
      <c r="A7229" t="str">
        <f>"20190312151205507"</f>
        <v>20190312151205507</v>
      </c>
      <c r="B7229" t="str">
        <f>"1552374725498125"</f>
        <v>1552374725498125</v>
      </c>
      <c r="C7229" t="s">
        <v>40</v>
      </c>
      <c r="D7229">
        <v>4.9098870000000003</v>
      </c>
      <c r="E7229">
        <v>0.55741989999999997</v>
      </c>
      <c r="F7229" t="s">
        <v>79</v>
      </c>
      <c r="G7229">
        <v>-179.21729999999999</v>
      </c>
      <c r="H7229" s="1">
        <v>-4.8617469999999998E-6</v>
      </c>
      <c r="I7229">
        <v>129.3329</v>
      </c>
      <c r="J7229">
        <v>-183.84010000000001</v>
      </c>
      <c r="K7229">
        <v>1.1056820000000001</v>
      </c>
      <c r="L7229">
        <v>121.84699999999999</v>
      </c>
      <c r="M7229">
        <v>0.1679726</v>
      </c>
      <c r="N7229">
        <v>0</v>
      </c>
      <c r="O7229">
        <v>0.9856781</v>
      </c>
      <c r="P7229">
        <v>0.38363390000000003</v>
      </c>
      <c r="Q7229">
        <v>7.7775490000000003E-2</v>
      </c>
      <c r="R7229">
        <v>0.92020429999999998</v>
      </c>
      <c r="S7229">
        <v>1.5792079999999999</v>
      </c>
      <c r="T7229">
        <v>-0.37284509999999899</v>
      </c>
      <c r="U7229">
        <v>2.639297</v>
      </c>
      <c r="V7229">
        <v>0.2246359</v>
      </c>
      <c r="W7229">
        <v>8.9738440000000003E-2</v>
      </c>
      <c r="X7229">
        <v>0.97030190000000005</v>
      </c>
      <c r="Y7229">
        <v>0.35812060000000001</v>
      </c>
      <c r="Z7229">
        <v>-0.1224058</v>
      </c>
      <c r="AA7229">
        <v>0.92561680000000002</v>
      </c>
      <c r="AB7229">
        <v>36</v>
      </c>
      <c r="AC7229">
        <v>4.6228000000000096</v>
      </c>
      <c r="AD7229">
        <v>-1.1056868617469999</v>
      </c>
      <c r="AE7229">
        <v>7.4858999999999796</v>
      </c>
      <c r="AF7229">
        <v>3.2482356505766998</v>
      </c>
      <c r="AG7229">
        <v>-1.1056868617469999</v>
      </c>
      <c r="AH7229">
        <v>8.0292954121247995</v>
      </c>
      <c r="AI7229">
        <v>97.274813276831495</v>
      </c>
      <c r="AJ7229">
        <v>67.974302899254099</v>
      </c>
      <c r="AK7229">
        <v>8.7317331093595492</v>
      </c>
      <c r="AL7229">
        <v>84.851440215605194</v>
      </c>
      <c r="AM7229">
        <v>76.965019536481606</v>
      </c>
      <c r="AN7229">
        <v>1.00000002616302</v>
      </c>
    </row>
    <row r="7230" spans="1:40" x14ac:dyDescent="0.25">
      <c r="A7230" t="str">
        <f>"20190312151205531"</f>
        <v>20190312151205531</v>
      </c>
      <c r="B7230" t="str">
        <f>"1552374725528381"</f>
        <v>1552374725528381</v>
      </c>
      <c r="C7230" t="s">
        <v>40</v>
      </c>
      <c r="D7230">
        <v>5.3672849999999999</v>
      </c>
      <c r="E7230">
        <v>0.5573844</v>
      </c>
      <c r="F7230" t="s">
        <v>79</v>
      </c>
      <c r="G7230">
        <v>-179.1112</v>
      </c>
      <c r="H7230" s="1">
        <v>-4.8485530000000002E-6</v>
      </c>
      <c r="I7230">
        <v>129.59039999999999</v>
      </c>
      <c r="J7230">
        <v>-183.77369999999999</v>
      </c>
      <c r="K7230">
        <v>1.1054839999999999</v>
      </c>
      <c r="L7230">
        <v>122.2072</v>
      </c>
      <c r="M7230">
        <v>0.17323820000000001</v>
      </c>
      <c r="N7230">
        <v>0</v>
      </c>
      <c r="O7230">
        <v>0.98476620000000004</v>
      </c>
      <c r="P7230">
        <v>0.39328150000000001</v>
      </c>
      <c r="Q7230">
        <v>7.6412720000000003E-2</v>
      </c>
      <c r="R7230">
        <v>0.91623730000000003</v>
      </c>
      <c r="S7230">
        <v>1.6023559999999999</v>
      </c>
      <c r="T7230">
        <v>-0.37465599999999999</v>
      </c>
      <c r="U7230">
        <v>2.6237949999999999</v>
      </c>
      <c r="V7230">
        <v>0.22965479999999999</v>
      </c>
      <c r="W7230">
        <v>8.8204829999999998E-2</v>
      </c>
      <c r="X7230">
        <v>0.96926699999999999</v>
      </c>
      <c r="Y7230">
        <v>0.36146729999999999</v>
      </c>
      <c r="Z7230">
        <v>-0.12309109999999999</v>
      </c>
      <c r="AA7230">
        <v>0.92422400000000005</v>
      </c>
      <c r="AB7230">
        <v>36</v>
      </c>
      <c r="AC7230">
        <v>4.6624999999999899</v>
      </c>
      <c r="AD7230">
        <v>-1.1054888485529999</v>
      </c>
      <c r="AE7230">
        <v>7.38319999999998</v>
      </c>
      <c r="AF7230">
        <v>3.26053308676387</v>
      </c>
      <c r="AG7230">
        <v>-1.1054888485529999</v>
      </c>
      <c r="AH7230">
        <v>7.9519049366730403</v>
      </c>
      <c r="AI7230">
        <v>97.3296423993433</v>
      </c>
      <c r="AJ7230">
        <v>67.704816037810602</v>
      </c>
      <c r="AK7230">
        <v>8.6652163115551897</v>
      </c>
      <c r="AL7230">
        <v>84.939659172158201</v>
      </c>
      <c r="AM7230">
        <v>76.670343806007907</v>
      </c>
      <c r="AN7230">
        <v>0.99999996824368298</v>
      </c>
    </row>
    <row r="7231" spans="1:40" x14ac:dyDescent="0.25">
      <c r="A7231" t="str">
        <f>"20190312151205552"</f>
        <v>20190312151205552</v>
      </c>
      <c r="B7231" t="str">
        <f>"1552374725548877"</f>
        <v>1552374725548877</v>
      </c>
      <c r="C7231" t="s">
        <v>40</v>
      </c>
      <c r="D7231">
        <v>5.1405459999999996</v>
      </c>
      <c r="E7231">
        <v>0.56033250000000001</v>
      </c>
      <c r="F7231" t="s">
        <v>79</v>
      </c>
      <c r="G7231">
        <v>-178.88159999999999</v>
      </c>
      <c r="H7231" s="1">
        <v>-4.8550309999999999E-6</v>
      </c>
      <c r="I7231">
        <v>130.03039999999999</v>
      </c>
      <c r="J7231">
        <v>-183.7047</v>
      </c>
      <c r="K7231">
        <v>1.1052630000000001</v>
      </c>
      <c r="L7231">
        <v>122.5692</v>
      </c>
      <c r="M7231">
        <v>0.17878749999999999</v>
      </c>
      <c r="N7231">
        <v>0</v>
      </c>
      <c r="O7231">
        <v>0.98377360000000003</v>
      </c>
      <c r="P7231">
        <v>0.40296789999999999</v>
      </c>
      <c r="Q7231">
        <v>7.5598280000000004E-2</v>
      </c>
      <c r="R7231">
        <v>0.91208650000000002</v>
      </c>
      <c r="S7231">
        <v>1.629364</v>
      </c>
      <c r="T7231">
        <v>-0.36819770000000002</v>
      </c>
      <c r="U7231">
        <v>2.6056059999999999</v>
      </c>
      <c r="V7231">
        <v>0.2344881</v>
      </c>
      <c r="W7231">
        <v>8.7204970000000007E-2</v>
      </c>
      <c r="X7231">
        <v>0.9681997</v>
      </c>
      <c r="Y7231">
        <v>0.36612660000000002</v>
      </c>
      <c r="Z7231">
        <v>-0.1211102</v>
      </c>
      <c r="AA7231">
        <v>0.92265030000000003</v>
      </c>
      <c r="AB7231">
        <v>36</v>
      </c>
      <c r="AC7231">
        <v>4.8231000000000099</v>
      </c>
      <c r="AD7231">
        <v>-1.10526785503099</v>
      </c>
      <c r="AE7231">
        <v>7.4611999999999901</v>
      </c>
      <c r="AF7231">
        <v>3.3592613037163601</v>
      </c>
      <c r="AG7231">
        <v>-1.10526785503099</v>
      </c>
      <c r="AH7231">
        <v>8.0783352651104199</v>
      </c>
      <c r="AI7231">
        <v>97.200118346165098</v>
      </c>
      <c r="AJ7231">
        <v>67.420708194584293</v>
      </c>
      <c r="AK7231">
        <v>8.8184893373829993</v>
      </c>
      <c r="AL7231">
        <v>84.997168793735895</v>
      </c>
      <c r="AM7231">
        <v>76.385692312442998</v>
      </c>
      <c r="AN7231">
        <v>1.0000000174571999</v>
      </c>
    </row>
    <row r="7232" spans="1:40" x14ac:dyDescent="0.25">
      <c r="A7232" t="str">
        <f>"20190312151205576"</f>
        <v>20190312151205576</v>
      </c>
      <c r="B7232" t="str">
        <f>"1552374725568401"</f>
        <v>1552374725568401</v>
      </c>
      <c r="C7232" t="s">
        <v>40</v>
      </c>
      <c r="D7232">
        <v>5.1063039999999997</v>
      </c>
      <c r="E7232">
        <v>0.56386579999999997</v>
      </c>
      <c r="F7232" t="s">
        <v>79</v>
      </c>
      <c r="G7232">
        <v>-178.63630000000001</v>
      </c>
      <c r="H7232" s="1">
        <v>-4.8094229999999996E-6</v>
      </c>
      <c r="I7232">
        <v>130.3511</v>
      </c>
      <c r="J7232">
        <v>-183.6327</v>
      </c>
      <c r="K7232">
        <v>1.1050089999999999</v>
      </c>
      <c r="L7232">
        <v>122.9345</v>
      </c>
      <c r="M7232">
        <v>0.1846777</v>
      </c>
      <c r="N7232">
        <v>0</v>
      </c>
      <c r="O7232">
        <v>0.98268469999999997</v>
      </c>
      <c r="P7232">
        <v>0.41299760000000002</v>
      </c>
      <c r="Q7232">
        <v>7.4414980000000006E-2</v>
      </c>
      <c r="R7232">
        <v>0.90768680000000002</v>
      </c>
      <c r="S7232">
        <v>1.678909</v>
      </c>
      <c r="T7232">
        <v>-0.36612109999999998</v>
      </c>
      <c r="U7232">
        <v>2.5777589999999999</v>
      </c>
      <c r="V7232">
        <v>0.2393826</v>
      </c>
      <c r="W7232">
        <v>8.5817329999999997E-2</v>
      </c>
      <c r="X7232">
        <v>0.96712529999999997</v>
      </c>
      <c r="Y7232">
        <v>0.37760480000000002</v>
      </c>
      <c r="Z7232">
        <v>-0.1204591</v>
      </c>
      <c r="AA7232">
        <v>0.91809819999999998</v>
      </c>
      <c r="AB7232">
        <v>36</v>
      </c>
      <c r="AC7232">
        <v>4.9963999999999897</v>
      </c>
      <c r="AD7232">
        <v>-1.105013809423</v>
      </c>
      <c r="AE7232">
        <v>7.4165999999999999</v>
      </c>
      <c r="AF7232">
        <v>3.48735524852759</v>
      </c>
      <c r="AG7232">
        <v>-1.105013809423</v>
      </c>
      <c r="AH7232">
        <v>8.0883265330570993</v>
      </c>
      <c r="AI7232">
        <v>97.150640436775404</v>
      </c>
      <c r="AJ7232">
        <v>66.676272582794496</v>
      </c>
      <c r="AK7232">
        <v>8.8771464026343505</v>
      </c>
      <c r="AL7232">
        <v>85.076973800384707</v>
      </c>
      <c r="AM7232">
        <v>76.097583656179296</v>
      </c>
      <c r="AN7232">
        <v>0.99999999460558897</v>
      </c>
    </row>
    <row r="7233" spans="1:40" x14ac:dyDescent="0.25">
      <c r="A7233" t="str">
        <f>"20190312151205598"</f>
        <v>20190312151205598</v>
      </c>
      <c r="B7233" t="str">
        <f>"1552374725588892"</f>
        <v>1552374725588892</v>
      </c>
      <c r="C7233" t="s">
        <v>40</v>
      </c>
      <c r="D7233">
        <v>5.1823129999999997</v>
      </c>
      <c r="E7233">
        <v>0.56685189999999996</v>
      </c>
      <c r="F7233" t="s">
        <v>79</v>
      </c>
      <c r="G7233">
        <v>-178.52610000000001</v>
      </c>
      <c r="H7233" s="1">
        <v>-4.7691370000000002E-6</v>
      </c>
      <c r="I7233">
        <v>130.44319999999999</v>
      </c>
      <c r="J7233">
        <v>-183.55869999999999</v>
      </c>
      <c r="K7233">
        <v>1.104719</v>
      </c>
      <c r="L7233">
        <v>123.297</v>
      </c>
      <c r="M7233">
        <v>0.19086040000000001</v>
      </c>
      <c r="N7233">
        <v>0</v>
      </c>
      <c r="O7233">
        <v>0.98150230000000005</v>
      </c>
      <c r="P7233">
        <v>0.42296109999999998</v>
      </c>
      <c r="Q7233">
        <v>7.1851399999999996E-2</v>
      </c>
      <c r="R7233">
        <v>0.90329470000000001</v>
      </c>
      <c r="S7233">
        <v>1.732559</v>
      </c>
      <c r="T7233">
        <v>-0.37490210000000002</v>
      </c>
      <c r="U7233">
        <v>2.547501</v>
      </c>
      <c r="V7233">
        <v>0.2439221</v>
      </c>
      <c r="W7233">
        <v>8.3036849999999995E-2</v>
      </c>
      <c r="X7233">
        <v>0.96623340000000002</v>
      </c>
      <c r="Y7233">
        <v>0.38987309999999997</v>
      </c>
      <c r="Z7233">
        <v>-0.12329469999999999</v>
      </c>
      <c r="AA7233">
        <v>0.91257730000000004</v>
      </c>
      <c r="AB7233">
        <v>36</v>
      </c>
      <c r="AC7233">
        <v>5.0325999999999702</v>
      </c>
      <c r="AD7233">
        <v>-1.104723769137</v>
      </c>
      <c r="AE7233">
        <v>7.1461999999999701</v>
      </c>
      <c r="AF7233">
        <v>3.5197570257467299</v>
      </c>
      <c r="AG7233">
        <v>-1.104723769137</v>
      </c>
      <c r="AH7233">
        <v>7.85003092197495</v>
      </c>
      <c r="AI7233">
        <v>97.317386635398904</v>
      </c>
      <c r="AJ7233">
        <v>65.849732055116505</v>
      </c>
      <c r="AK7233">
        <v>8.67364338685611</v>
      </c>
      <c r="AL7233">
        <v>85.236854698223993</v>
      </c>
      <c r="AM7233">
        <v>75.831911882696005</v>
      </c>
      <c r="AN7233">
        <v>1.00000004630094</v>
      </c>
    </row>
    <row r="7234" spans="1:40" x14ac:dyDescent="0.25">
      <c r="A7234" t="str">
        <f>"20190312151205620"</f>
        <v>20190312151205620</v>
      </c>
      <c r="B7234" t="str">
        <f>"1552374725608412"</f>
        <v>1552374725608412</v>
      </c>
      <c r="C7234" t="s">
        <v>40</v>
      </c>
      <c r="D7234">
        <v>5.2110500000000002</v>
      </c>
      <c r="E7234">
        <v>0.56930819999999904</v>
      </c>
      <c r="F7234" t="s">
        <v>79</v>
      </c>
      <c r="G7234">
        <v>-178.4965</v>
      </c>
      <c r="H7234" s="1">
        <v>-4.7520730000000001E-6</v>
      </c>
      <c r="I7234">
        <v>130.4513</v>
      </c>
      <c r="J7234">
        <v>-183.4871</v>
      </c>
      <c r="K7234">
        <v>1.104425</v>
      </c>
      <c r="L7234">
        <v>123.6354</v>
      </c>
      <c r="M7234">
        <v>0.1969813</v>
      </c>
      <c r="N7234">
        <v>0</v>
      </c>
      <c r="O7234">
        <v>0.98029189999999999</v>
      </c>
      <c r="P7234">
        <v>0.43312529999999999</v>
      </c>
      <c r="Q7234">
        <v>6.9982240000000001E-2</v>
      </c>
      <c r="R7234">
        <v>0.89861290000000005</v>
      </c>
      <c r="S7234">
        <v>1.78160099999999</v>
      </c>
      <c r="T7234">
        <v>-0.38879730000000001</v>
      </c>
      <c r="U7234">
        <v>2.5178829999999999</v>
      </c>
      <c r="V7234">
        <v>0.2487973</v>
      </c>
      <c r="W7234">
        <v>8.0936339999999996E-2</v>
      </c>
      <c r="X7234">
        <v>0.96516800000000003</v>
      </c>
      <c r="Y7234">
        <v>0.40070319999999998</v>
      </c>
      <c r="Z7234">
        <v>-0.1278078</v>
      </c>
      <c r="AA7234">
        <v>0.90724970000000005</v>
      </c>
      <c r="AB7234">
        <v>36</v>
      </c>
      <c r="AC7234">
        <v>4.9905999999999997</v>
      </c>
      <c r="AD7234">
        <v>-1.104429752073</v>
      </c>
      <c r="AE7234">
        <v>6.8158999999999903</v>
      </c>
      <c r="AF7234">
        <v>3.4903820094771998</v>
      </c>
      <c r="AG7234">
        <v>-1.104429752073</v>
      </c>
      <c r="AH7234">
        <v>7.5366726984092898</v>
      </c>
      <c r="AI7234">
        <v>97.574354150486201</v>
      </c>
      <c r="AJ7234">
        <v>65.150213466500304</v>
      </c>
      <c r="AK7234">
        <v>8.3787807592927308</v>
      </c>
      <c r="AL7234">
        <v>85.357611523981703</v>
      </c>
      <c r="AM7234">
        <v>75.545197021866599</v>
      </c>
      <c r="AN7234">
        <v>1.0000000279219401</v>
      </c>
    </row>
    <row r="7235" spans="1:40" x14ac:dyDescent="0.25">
      <c r="A7235" t="str">
        <f>"20190312151205641"</f>
        <v>20190312151205641</v>
      </c>
      <c r="B7235" t="str">
        <f>"1552374725638669"</f>
        <v>1552374725638669</v>
      </c>
      <c r="C7235" t="s">
        <v>40</v>
      </c>
      <c r="D7235">
        <v>5.1691960000000003</v>
      </c>
      <c r="E7235">
        <v>0.57229770000000002</v>
      </c>
      <c r="F7235" t="s">
        <v>79</v>
      </c>
      <c r="G7235">
        <v>-178.42779999999999</v>
      </c>
      <c r="H7235" s="1">
        <v>-4.7318439999999997E-6</v>
      </c>
      <c r="I7235">
        <v>130.5214</v>
      </c>
      <c r="J7235">
        <v>-183.41120000000001</v>
      </c>
      <c r="K7235">
        <v>1.1041339999999999</v>
      </c>
      <c r="L7235">
        <v>123.9815</v>
      </c>
      <c r="M7235">
        <v>0.20354159999999999</v>
      </c>
      <c r="N7235">
        <v>0</v>
      </c>
      <c r="O7235">
        <v>0.9789504</v>
      </c>
      <c r="P7235">
        <v>0.44354969999999999</v>
      </c>
      <c r="Q7235">
        <v>6.8001969999999995E-2</v>
      </c>
      <c r="R7235">
        <v>0.89366630000000002</v>
      </c>
      <c r="S7235">
        <v>1.8282320000000001</v>
      </c>
      <c r="T7235">
        <v>-0.39910319999999999</v>
      </c>
      <c r="U7235">
        <v>2.4883730000000002</v>
      </c>
      <c r="V7235">
        <v>0.25355909999999998</v>
      </c>
      <c r="W7235">
        <v>7.8721830000000007E-2</v>
      </c>
      <c r="X7235">
        <v>0.9641113</v>
      </c>
      <c r="Y7235">
        <v>0.41048879999999999</v>
      </c>
      <c r="Z7235">
        <v>-0.131157</v>
      </c>
      <c r="AA7235">
        <v>0.90238390000000002</v>
      </c>
      <c r="AB7235">
        <v>36</v>
      </c>
      <c r="AC7235">
        <v>4.9834000000000103</v>
      </c>
      <c r="AD7235">
        <v>-1.1041387318439999</v>
      </c>
      <c r="AE7235">
        <v>6.5399000000000003</v>
      </c>
      <c r="AF7235">
        <v>3.4849182815251898</v>
      </c>
      <c r="AG7235">
        <v>-1.1041387318439999</v>
      </c>
      <c r="AH7235">
        <v>7.28601883350004</v>
      </c>
      <c r="AI7235">
        <v>97.784599416530995</v>
      </c>
      <c r="AJ7235">
        <v>64.438111179911104</v>
      </c>
      <c r="AK7235">
        <v>8.15167763164024</v>
      </c>
      <c r="AL7235">
        <v>85.484899599602599</v>
      </c>
      <c r="AM7235">
        <v>75.265018990761504</v>
      </c>
      <c r="AN7235">
        <v>0.999999971249524</v>
      </c>
    </row>
    <row r="7236" spans="1:40" x14ac:dyDescent="0.25">
      <c r="A7236" t="str">
        <f>"20190312151205664"</f>
        <v>20190312151205664</v>
      </c>
      <c r="B7236" t="str">
        <f>"1552374725658192"</f>
        <v>1552374725658192</v>
      </c>
      <c r="C7236" t="s">
        <v>40</v>
      </c>
      <c r="D7236">
        <v>5.2005809999999997</v>
      </c>
      <c r="E7236">
        <v>0.57391119999999995</v>
      </c>
      <c r="F7236" t="s">
        <v>79</v>
      </c>
      <c r="G7236">
        <v>-178.3597</v>
      </c>
      <c r="H7236" s="1">
        <v>-4.7086500000000002E-6</v>
      </c>
      <c r="I7236">
        <v>130.5829</v>
      </c>
      <c r="J7236">
        <v>-183.3287</v>
      </c>
      <c r="K7236">
        <v>1.103828</v>
      </c>
      <c r="L7236">
        <v>124.34399999999999</v>
      </c>
      <c r="M7236">
        <v>0.21076490000000001</v>
      </c>
      <c r="N7236">
        <v>0</v>
      </c>
      <c r="O7236">
        <v>0.97742030000000002</v>
      </c>
      <c r="P7236">
        <v>0.45403959999999999</v>
      </c>
      <c r="Q7236">
        <v>6.6475560000000003E-2</v>
      </c>
      <c r="R7236">
        <v>0.88849820000000002</v>
      </c>
      <c r="S7236">
        <v>1.8790439999999999</v>
      </c>
      <c r="T7236">
        <v>-0.41071370000000001</v>
      </c>
      <c r="U7236">
        <v>2.4555509999999998</v>
      </c>
      <c r="V7236">
        <v>0.2578009</v>
      </c>
      <c r="W7236">
        <v>7.6955759999999998E-2</v>
      </c>
      <c r="X7236">
        <v>0.96312850000000005</v>
      </c>
      <c r="Y7236">
        <v>0.42105619999999999</v>
      </c>
      <c r="Z7236">
        <v>-0.1349052</v>
      </c>
      <c r="AA7236">
        <v>0.89694609999999997</v>
      </c>
      <c r="AB7236">
        <v>36</v>
      </c>
      <c r="AC7236">
        <v>4.9689999999999896</v>
      </c>
      <c r="AD7236">
        <v>-1.1038327086499999</v>
      </c>
      <c r="AE7236">
        <v>6.2389000000000001</v>
      </c>
      <c r="AF7236">
        <v>3.47569200810555</v>
      </c>
      <c r="AG7236">
        <v>-1.1038327086499999</v>
      </c>
      <c r="AH7236">
        <v>7.0118308872522803</v>
      </c>
      <c r="AI7236">
        <v>98.028433872037496</v>
      </c>
      <c r="AJ7236">
        <v>63.632861092366802</v>
      </c>
      <c r="AK7236">
        <v>7.9034583553859203</v>
      </c>
      <c r="AL7236">
        <v>85.586396045749495</v>
      </c>
      <c r="AM7236">
        <v>75.014909680920994</v>
      </c>
      <c r="AN7236">
        <v>1.0000000002751099</v>
      </c>
    </row>
    <row r="7237" spans="1:40" x14ac:dyDescent="0.25">
      <c r="A7237" t="str">
        <f>"20190312151205686"</f>
        <v>20190312151205686</v>
      </c>
      <c r="B7237" t="str">
        <f>"1552374725678688"</f>
        <v>1552374725678688</v>
      </c>
      <c r="C7237" t="s">
        <v>40</v>
      </c>
      <c r="D7237">
        <v>5.2532719999999999</v>
      </c>
      <c r="E7237">
        <v>0.57535639999999999</v>
      </c>
      <c r="F7237" t="s">
        <v>79</v>
      </c>
      <c r="G7237">
        <v>-178.2587</v>
      </c>
      <c r="H7237" s="1">
        <v>-4.704116E-6</v>
      </c>
      <c r="I7237">
        <v>130.75229999999999</v>
      </c>
      <c r="J7237">
        <v>-183.24700000000001</v>
      </c>
      <c r="K7237">
        <v>1.1035280000000001</v>
      </c>
      <c r="L7237">
        <v>124.6905</v>
      </c>
      <c r="M7237">
        <v>0.218031</v>
      </c>
      <c r="N7237">
        <v>0</v>
      </c>
      <c r="O7237">
        <v>0.97582469999999999</v>
      </c>
      <c r="P7237">
        <v>0.46455269999999999</v>
      </c>
      <c r="Q7237">
        <v>6.4771380000000003E-2</v>
      </c>
      <c r="R7237">
        <v>0.88317349999999994</v>
      </c>
      <c r="S7237">
        <v>1.919861</v>
      </c>
      <c r="T7237">
        <v>-0.41799029999999998</v>
      </c>
      <c r="U7237">
        <v>2.426666</v>
      </c>
      <c r="V7237">
        <v>0.26206800000000002</v>
      </c>
      <c r="W7237">
        <v>7.5006370000000003E-2</v>
      </c>
      <c r="X7237">
        <v>0.96213009999999999</v>
      </c>
      <c r="Y7237">
        <v>0.42858930000000001</v>
      </c>
      <c r="Z7237">
        <v>-0.1372892</v>
      </c>
      <c r="AA7237">
        <v>0.89300780000000002</v>
      </c>
      <c r="AB7237">
        <v>36</v>
      </c>
      <c r="AC7237">
        <v>4.9882999999999997</v>
      </c>
      <c r="AD7237">
        <v>-1.1035327041159999</v>
      </c>
      <c r="AE7237">
        <v>6.0617999999999901</v>
      </c>
      <c r="AF7237">
        <v>3.4777312801695701</v>
      </c>
      <c r="AG7237">
        <v>-1.1035327041159999</v>
      </c>
      <c r="AH7237">
        <v>6.8679477886038898</v>
      </c>
      <c r="AI7237">
        <v>98.157672683021005</v>
      </c>
      <c r="AJ7237">
        <v>63.143657283607901</v>
      </c>
      <c r="AK7237">
        <v>7.7769599531637397</v>
      </c>
      <c r="AL7237">
        <v>85.698411521110003</v>
      </c>
      <c r="AM7237">
        <v>74.763236187732105</v>
      </c>
      <c r="AN7237">
        <v>0.99999996074529196</v>
      </c>
    </row>
    <row r="7238" spans="1:40" x14ac:dyDescent="0.25">
      <c r="A7238" t="str">
        <f>"20190312151205708"</f>
        <v>20190312151205708</v>
      </c>
      <c r="B7238" t="str">
        <f>"1552374725698205"</f>
        <v>1552374725698205</v>
      </c>
      <c r="C7238" t="s">
        <v>40</v>
      </c>
      <c r="D7238">
        <v>5.1789860000000001</v>
      </c>
      <c r="E7238">
        <v>0.57649830000000002</v>
      </c>
      <c r="F7238" t="s">
        <v>79</v>
      </c>
      <c r="G7238">
        <v>-178.15860000000001</v>
      </c>
      <c r="H7238" s="1">
        <v>-4.698723E-6</v>
      </c>
      <c r="I7238">
        <v>130.91810000000001</v>
      </c>
      <c r="J7238">
        <v>-183.1601</v>
      </c>
      <c r="K7238">
        <v>1.103194</v>
      </c>
      <c r="L7238">
        <v>125.0459</v>
      </c>
      <c r="M7238">
        <v>0.22588510000000001</v>
      </c>
      <c r="N7238">
        <v>0</v>
      </c>
      <c r="O7238">
        <v>0.97403609999999896</v>
      </c>
      <c r="P7238">
        <v>0.47668959999999999</v>
      </c>
      <c r="Q7238">
        <v>6.2768820000000003E-2</v>
      </c>
      <c r="R7238">
        <v>0.87682789999999999</v>
      </c>
      <c r="S7238">
        <v>1.9589840000000001</v>
      </c>
      <c r="T7238">
        <v>-0.42484699999999997</v>
      </c>
      <c r="U7238">
        <v>2.3975680000000001</v>
      </c>
      <c r="V7238">
        <v>0.26758100000000001</v>
      </c>
      <c r="W7238">
        <v>7.2709540000000003E-2</v>
      </c>
      <c r="X7238">
        <v>0.96078810000000003</v>
      </c>
      <c r="Y7238">
        <v>0.43517359999999999</v>
      </c>
      <c r="Z7238">
        <v>-0.1395411</v>
      </c>
      <c r="AA7238">
        <v>0.88946740000000002</v>
      </c>
      <c r="AB7238">
        <v>36</v>
      </c>
      <c r="AC7238">
        <v>5.0014999999999903</v>
      </c>
      <c r="AD7238">
        <v>-1.103198698723</v>
      </c>
      <c r="AE7238">
        <v>5.8722000000000003</v>
      </c>
      <c r="AF7238">
        <v>3.4745333077362401</v>
      </c>
      <c r="AG7238">
        <v>-1.103198698723</v>
      </c>
      <c r="AH7238">
        <v>6.7129693830186197</v>
      </c>
      <c r="AI7238">
        <v>98.303566382908102</v>
      </c>
      <c r="AJ7238">
        <v>62.634586854864096</v>
      </c>
      <c r="AK7238">
        <v>7.6389388669355096</v>
      </c>
      <c r="AL7238">
        <v>85.830370883030895</v>
      </c>
      <c r="AM7238">
        <v>74.437396285501293</v>
      </c>
      <c r="AN7238">
        <v>1.0000000209348101</v>
      </c>
    </row>
    <row r="7239" spans="1:40" x14ac:dyDescent="0.25">
      <c r="A7239" t="str">
        <f>"20190312151205731"</f>
        <v>20190312151205731</v>
      </c>
      <c r="B7239" t="str">
        <f>"1552374725728461"</f>
        <v>1552374725728461</v>
      </c>
      <c r="C7239" t="s">
        <v>40</v>
      </c>
      <c r="D7239">
        <v>5.2449149999999998</v>
      </c>
      <c r="E7239">
        <v>0.57808479999999995</v>
      </c>
      <c r="F7239" t="s">
        <v>79</v>
      </c>
      <c r="G7239">
        <v>-178.0488</v>
      </c>
      <c r="H7239" s="1">
        <v>-4.6897409999999998E-6</v>
      </c>
      <c r="I7239">
        <v>131.09190000000001</v>
      </c>
      <c r="J7239">
        <v>-183.07169999999999</v>
      </c>
      <c r="K7239">
        <v>1.102843</v>
      </c>
      <c r="L7239">
        <v>125.39360000000001</v>
      </c>
      <c r="M7239">
        <v>0.23398450000000001</v>
      </c>
      <c r="N7239">
        <v>0</v>
      </c>
      <c r="O7239">
        <v>0.97212169999999998</v>
      </c>
      <c r="P7239">
        <v>0.48891990000000002</v>
      </c>
      <c r="Q7239">
        <v>6.1393459999999997E-2</v>
      </c>
      <c r="R7239">
        <v>0.87016559999999898</v>
      </c>
      <c r="S7239">
        <v>1.999573</v>
      </c>
      <c r="T7239">
        <v>-0.43157770000000001</v>
      </c>
      <c r="U7239">
        <v>2.3652190000000002</v>
      </c>
      <c r="V7239">
        <v>0.27305170000000001</v>
      </c>
      <c r="W7239">
        <v>7.1022100000000005E-2</v>
      </c>
      <c r="X7239">
        <v>0.95937410000000001</v>
      </c>
      <c r="Y7239">
        <v>0.44238129999999998</v>
      </c>
      <c r="Z7239">
        <v>-0.14179849999999999</v>
      </c>
      <c r="AA7239">
        <v>0.885546099999999</v>
      </c>
      <c r="AB7239">
        <v>36</v>
      </c>
      <c r="AC7239">
        <v>5.0228999999999902</v>
      </c>
      <c r="AD7239">
        <v>-1.102847689741</v>
      </c>
      <c r="AE7239">
        <v>5.6982999999999997</v>
      </c>
      <c r="AF7239">
        <v>3.4766800032881502</v>
      </c>
      <c r="AG7239">
        <v>-1.102847689741</v>
      </c>
      <c r="AH7239">
        <v>6.57686136594294</v>
      </c>
      <c r="AI7239">
        <v>98.432522452697</v>
      </c>
      <c r="AJ7239">
        <v>62.138041035132801</v>
      </c>
      <c r="AK7239">
        <v>7.5205506646032001</v>
      </c>
      <c r="AL7239">
        <v>85.927304706386494</v>
      </c>
      <c r="AM7239">
        <v>74.112882791712295</v>
      </c>
      <c r="AN7239">
        <v>1.0000000166560501</v>
      </c>
    </row>
    <row r="7240" spans="1:40" x14ac:dyDescent="0.25">
      <c r="A7240" t="str">
        <f>"20190312151205753"</f>
        <v>20190312151205753</v>
      </c>
      <c r="B7240" t="str">
        <f>"1552374725748958"</f>
        <v>1552374725748958</v>
      </c>
      <c r="C7240" t="s">
        <v>40</v>
      </c>
      <c r="D7240">
        <v>5.279655</v>
      </c>
      <c r="E7240">
        <v>0.57900319999999905</v>
      </c>
      <c r="F7240" t="s">
        <v>79</v>
      </c>
      <c r="G7240">
        <v>-177.89570000000001</v>
      </c>
      <c r="H7240" s="1">
        <v>-4.662575E-6</v>
      </c>
      <c r="I7240">
        <v>131.2955</v>
      </c>
      <c r="J7240">
        <v>-182.97819999999999</v>
      </c>
      <c r="K7240">
        <v>1.1024620000000001</v>
      </c>
      <c r="L7240">
        <v>125.74760000000001</v>
      </c>
      <c r="M7240">
        <v>0.24267710000000001</v>
      </c>
      <c r="N7240">
        <v>0</v>
      </c>
      <c r="O7240">
        <v>0.9699875</v>
      </c>
      <c r="P7240">
        <v>0.50078829999999996</v>
      </c>
      <c r="Q7240">
        <v>6.1336000000000002E-2</v>
      </c>
      <c r="R7240">
        <v>0.86339379999999999</v>
      </c>
      <c r="S7240">
        <v>2.0435490000000001</v>
      </c>
      <c r="T7240">
        <v>-0.435415</v>
      </c>
      <c r="U7240">
        <v>2.3301240000000001</v>
      </c>
      <c r="V7240">
        <v>0.2776651</v>
      </c>
      <c r="W7240">
        <v>7.0645860000000005E-2</v>
      </c>
      <c r="X7240">
        <v>0.95807679999999995</v>
      </c>
      <c r="Y7240">
        <v>0.45030530000000002</v>
      </c>
      <c r="Z7240">
        <v>-0.143091</v>
      </c>
      <c r="AA7240">
        <v>0.88133430000000001</v>
      </c>
      <c r="AB7240">
        <v>36</v>
      </c>
      <c r="AC7240">
        <v>5.08249999999998</v>
      </c>
      <c r="AD7240">
        <v>-1.1024666625749999</v>
      </c>
      <c r="AE7240">
        <v>5.5478999999999896</v>
      </c>
      <c r="AF7240">
        <v>3.5086976894334301</v>
      </c>
      <c r="AG7240">
        <v>-1.1024666625749999</v>
      </c>
      <c r="AH7240">
        <v>6.47651750223545</v>
      </c>
      <c r="AI7240">
        <v>98.512386470594507</v>
      </c>
      <c r="AJ7240">
        <v>61.553076757527101</v>
      </c>
      <c r="AK7240">
        <v>7.4479306639285303</v>
      </c>
      <c r="AL7240">
        <v>85.948915684629696</v>
      </c>
      <c r="AM7240">
        <v>73.837614921139107</v>
      </c>
      <c r="AN7240">
        <v>0.99999994999569297</v>
      </c>
    </row>
    <row r="7241" spans="1:40" x14ac:dyDescent="0.25">
      <c r="A7241" t="str">
        <f>"20190312151205776"</f>
        <v>20190312151205776</v>
      </c>
      <c r="B7241" t="str">
        <f>"1552374725768480"</f>
        <v>1552374725768480</v>
      </c>
      <c r="C7241" t="s">
        <v>40</v>
      </c>
      <c r="D7241">
        <v>5.2095010000000004</v>
      </c>
      <c r="E7241">
        <v>0.57961099999999999</v>
      </c>
      <c r="F7241" t="s">
        <v>79</v>
      </c>
      <c r="G7241">
        <v>-177.71459999999999</v>
      </c>
      <c r="H7241" s="1">
        <v>-4.63739E-6</v>
      </c>
      <c r="I7241">
        <v>131.5547</v>
      </c>
      <c r="J7241">
        <v>-182.88220000000001</v>
      </c>
      <c r="K7241">
        <v>1.102061</v>
      </c>
      <c r="L7241">
        <v>126.09699999999999</v>
      </c>
      <c r="M7241">
        <v>0.25171569999999999</v>
      </c>
      <c r="N7241">
        <v>0</v>
      </c>
      <c r="O7241">
        <v>0.9676806</v>
      </c>
      <c r="P7241">
        <v>0.51249270000000002</v>
      </c>
      <c r="Q7241">
        <v>6.2608269999999994E-2</v>
      </c>
      <c r="R7241">
        <v>0.85640620000000001</v>
      </c>
      <c r="S7241">
        <v>2.0826419999999999</v>
      </c>
      <c r="T7241">
        <v>-0.4362086</v>
      </c>
      <c r="U7241">
        <v>2.2976529999999999</v>
      </c>
      <c r="V7241">
        <v>0.28188479999999999</v>
      </c>
      <c r="W7241">
        <v>7.1593329999999997E-2</v>
      </c>
      <c r="X7241">
        <v>0.9567734</v>
      </c>
      <c r="Y7241">
        <v>0.45639980000000002</v>
      </c>
      <c r="Z7241">
        <v>-0.14337800000000001</v>
      </c>
      <c r="AA7241">
        <v>0.87814689999999995</v>
      </c>
      <c r="AB7241">
        <v>36</v>
      </c>
      <c r="AC7241">
        <v>5.1676000000000197</v>
      </c>
      <c r="AD7241">
        <v>-1.10206563739</v>
      </c>
      <c r="AE7241">
        <v>5.4576999999999796</v>
      </c>
      <c r="AF7241">
        <v>3.5508769958170601</v>
      </c>
      <c r="AG7241">
        <v>-1.10206563739</v>
      </c>
      <c r="AH7241">
        <v>6.4442925034133296</v>
      </c>
      <c r="AI7241">
        <v>98.518514857574999</v>
      </c>
      <c r="AJ7241">
        <v>61.144745876042002</v>
      </c>
      <c r="AK7241">
        <v>7.4399047022181604</v>
      </c>
      <c r="AL7241">
        <v>85.894492008702898</v>
      </c>
      <c r="AM7241">
        <v>73.583960011483498</v>
      </c>
      <c r="AN7241">
        <v>0.99999999215954405</v>
      </c>
    </row>
    <row r="7242" spans="1:40" x14ac:dyDescent="0.25">
      <c r="A7242" t="str">
        <f>"20190312151205799"</f>
        <v>20190312151205799</v>
      </c>
      <c r="B7242" t="str">
        <f>"1552374725788973"</f>
        <v>1552374725788973</v>
      </c>
      <c r="C7242" t="s">
        <v>40</v>
      </c>
      <c r="D7242">
        <v>5.2656429999999999</v>
      </c>
      <c r="E7242">
        <v>0.58006610000000003</v>
      </c>
      <c r="F7242" t="s">
        <v>79</v>
      </c>
      <c r="G7242">
        <v>-177.47200000000001</v>
      </c>
      <c r="H7242" s="1">
        <v>-4.596861E-6</v>
      </c>
      <c r="I7242">
        <v>131.88390000000001</v>
      </c>
      <c r="J7242">
        <v>-182.78049999999999</v>
      </c>
      <c r="K7242">
        <v>1.10164</v>
      </c>
      <c r="L7242">
        <v>126.45229999999999</v>
      </c>
      <c r="M7242">
        <v>0.26140560000000002</v>
      </c>
      <c r="N7242">
        <v>0</v>
      </c>
      <c r="O7242">
        <v>0.96510720000000005</v>
      </c>
      <c r="P7242">
        <v>0.52191730000000003</v>
      </c>
      <c r="Q7242">
        <v>6.3692849999999995E-2</v>
      </c>
      <c r="R7242">
        <v>0.8506148</v>
      </c>
      <c r="S7242">
        <v>2.1190190000000002</v>
      </c>
      <c r="T7242">
        <v>-0.43164609999999898</v>
      </c>
      <c r="U7242">
        <v>2.2665250000000001</v>
      </c>
      <c r="V7242">
        <v>0.2829738</v>
      </c>
      <c r="W7242">
        <v>7.2417060000000005E-2</v>
      </c>
      <c r="X7242">
        <v>0.95638990000000002</v>
      </c>
      <c r="Y7242">
        <v>0.46119110000000002</v>
      </c>
      <c r="Z7242">
        <v>-0.14190459999999999</v>
      </c>
      <c r="AA7242">
        <v>0.87588009999999905</v>
      </c>
      <c r="AB7242">
        <v>36</v>
      </c>
      <c r="AC7242">
        <v>5.30849999999998</v>
      </c>
      <c r="AD7242">
        <v>-1.101644596861</v>
      </c>
      <c r="AE7242">
        <v>5.4316000000000102</v>
      </c>
      <c r="AF7242">
        <v>3.6275343286578701</v>
      </c>
      <c r="AG7242">
        <v>-1.101644596861</v>
      </c>
      <c r="AH7242">
        <v>6.4938981111820597</v>
      </c>
      <c r="AI7242">
        <v>98.424407642592698</v>
      </c>
      <c r="AJ7242">
        <v>60.811986317679199</v>
      </c>
      <c r="AK7242">
        <v>7.5195304907818699</v>
      </c>
      <c r="AL7242">
        <v>85.847173048159405</v>
      </c>
      <c r="AM7242">
        <v>73.517724762195101</v>
      </c>
      <c r="AN7242">
        <v>1.0000000214437399</v>
      </c>
    </row>
    <row r="7243" spans="1:40" x14ac:dyDescent="0.25">
      <c r="A7243" t="str">
        <f>"20190312151205820"</f>
        <v>20190312151205820</v>
      </c>
      <c r="B7243" t="str">
        <f>"1552374725808493"</f>
        <v>1552374725808493</v>
      </c>
      <c r="C7243" t="s">
        <v>40</v>
      </c>
      <c r="D7243">
        <v>5.2461710000000004</v>
      </c>
      <c r="E7243">
        <v>0.58045639999999998</v>
      </c>
      <c r="F7243" t="s">
        <v>79</v>
      </c>
      <c r="G7243">
        <v>-177.2765</v>
      </c>
      <c r="H7243" s="1">
        <v>-4.5822069999999999E-6</v>
      </c>
      <c r="I7243">
        <v>132.1968</v>
      </c>
      <c r="J7243">
        <v>-182.6823</v>
      </c>
      <c r="K7243">
        <v>1.101245</v>
      </c>
      <c r="L7243">
        <v>126.7816</v>
      </c>
      <c r="M7243">
        <v>0.27085140000000002</v>
      </c>
      <c r="N7243">
        <v>0</v>
      </c>
      <c r="O7243">
        <v>0.96249810000000002</v>
      </c>
      <c r="P7243">
        <v>0.53289219999999904</v>
      </c>
      <c r="Q7243">
        <v>6.4229579999999994E-2</v>
      </c>
      <c r="R7243">
        <v>0.84374199999999999</v>
      </c>
      <c r="S7243">
        <v>2.1475680000000001</v>
      </c>
      <c r="T7243">
        <v>-0.42983660000000001</v>
      </c>
      <c r="U7243">
        <v>2.2413789999999998</v>
      </c>
      <c r="V7243">
        <v>0.28608339999999999</v>
      </c>
      <c r="W7243">
        <v>7.2656760000000001E-2</v>
      </c>
      <c r="X7243">
        <v>0.95544609999999996</v>
      </c>
      <c r="Y7243">
        <v>0.46331230000000001</v>
      </c>
      <c r="Z7243">
        <v>-0.14127129999999999</v>
      </c>
      <c r="AA7243">
        <v>0.87486239999999904</v>
      </c>
      <c r="AB7243">
        <v>36</v>
      </c>
      <c r="AC7243">
        <v>5.4057999999999904</v>
      </c>
      <c r="AD7243">
        <v>-1.1012495822069901</v>
      </c>
      <c r="AE7243">
        <v>5.4151999999999898</v>
      </c>
      <c r="AF7243">
        <v>3.6609667408528401</v>
      </c>
      <c r="AG7243">
        <v>-1.1012495822069901</v>
      </c>
      <c r="AH7243">
        <v>6.5415762803368498</v>
      </c>
      <c r="AI7243">
        <v>98.357273036461905</v>
      </c>
      <c r="AJ7243">
        <v>60.7666182648872</v>
      </c>
      <c r="AK7243">
        <v>7.5767835096040201</v>
      </c>
      <c r="AL7243">
        <v>85.833402816618801</v>
      </c>
      <c r="AM7243">
        <v>73.331043087314001</v>
      </c>
      <c r="AN7243">
        <v>0.99999998326723305</v>
      </c>
    </row>
    <row r="7244" spans="1:40" x14ac:dyDescent="0.25">
      <c r="A7244" t="str">
        <f>"20190312151205832"</f>
        <v>20190312151205832</v>
      </c>
      <c r="B7244" t="str">
        <f>"1552374725828990"</f>
        <v>1552374725828990</v>
      </c>
      <c r="C7244" t="s">
        <v>40</v>
      </c>
      <c r="D7244">
        <v>5.1864309999999998</v>
      </c>
      <c r="E7244">
        <v>0.5809126</v>
      </c>
      <c r="F7244" t="s">
        <v>79</v>
      </c>
      <c r="G7244">
        <v>-177.10669999999999</v>
      </c>
      <c r="H7244" s="1">
        <v>-4.558413E-6</v>
      </c>
      <c r="I7244">
        <v>132.4392</v>
      </c>
      <c r="J7244">
        <v>-182.6208</v>
      </c>
      <c r="K7244">
        <v>1.1010200000000001</v>
      </c>
      <c r="L7244">
        <v>126.9811</v>
      </c>
      <c r="M7244">
        <v>0.27676669999999998</v>
      </c>
      <c r="N7244">
        <v>0</v>
      </c>
      <c r="O7244">
        <v>0.96081329999999998</v>
      </c>
      <c r="P7244">
        <v>0.53948160000000001</v>
      </c>
      <c r="Q7244">
        <v>6.419909E-2</v>
      </c>
      <c r="R7244">
        <v>0.83954629999999997</v>
      </c>
      <c r="S7244">
        <v>2.1796419999999999</v>
      </c>
      <c r="T7244">
        <v>-0.43051240000000002</v>
      </c>
      <c r="U7244">
        <v>2.2117309999999999</v>
      </c>
      <c r="V7244">
        <v>0.28772730000000002</v>
      </c>
      <c r="W7244">
        <v>7.2459389999999999E-2</v>
      </c>
      <c r="X7244">
        <v>0.95496740000000002</v>
      </c>
      <c r="Y7244">
        <v>0.47013919999999998</v>
      </c>
      <c r="Z7244">
        <v>-0.14157</v>
      </c>
      <c r="AA7244">
        <v>0.87116419999999894</v>
      </c>
      <c r="AB7244">
        <v>36</v>
      </c>
      <c r="AC7244">
        <v>5.5141000000000098</v>
      </c>
      <c r="AD7244">
        <v>-1.1010245584130001</v>
      </c>
      <c r="AE7244">
        <v>5.4581</v>
      </c>
      <c r="AF7244">
        <v>3.7130756125227902</v>
      </c>
      <c r="AG7244">
        <v>-1.1010245584130001</v>
      </c>
      <c r="AH7244">
        <v>6.63747197585759</v>
      </c>
      <c r="AI7244">
        <v>98.2373521725589</v>
      </c>
      <c r="AJ7244">
        <v>60.776865637356302</v>
      </c>
      <c r="AK7244">
        <v>7.6847394108606499</v>
      </c>
      <c r="AL7244">
        <v>85.844741443011401</v>
      </c>
      <c r="AM7244">
        <v>73.232686611632303</v>
      </c>
      <c r="AN7244">
        <v>1.0000000487136</v>
      </c>
    </row>
    <row r="7245" spans="1:40" x14ac:dyDescent="0.25">
      <c r="A7245" t="str">
        <f>"20190312151205845"</f>
        <v>20190312151205845</v>
      </c>
      <c r="B7245" t="str">
        <f>"1552374725838750"</f>
        <v>1552374725838750</v>
      </c>
      <c r="C7245" t="s">
        <v>40</v>
      </c>
      <c r="D7245">
        <v>5.2202679999999999</v>
      </c>
      <c r="E7245">
        <v>0.58112229999999998</v>
      </c>
      <c r="F7245" t="s">
        <v>79</v>
      </c>
      <c r="G7245">
        <v>-176.99549999999999</v>
      </c>
      <c r="H7245" s="1">
        <v>-4.538529E-6</v>
      </c>
      <c r="I7245">
        <v>132.58680000000001</v>
      </c>
      <c r="J7245">
        <v>-182.55940000000001</v>
      </c>
      <c r="K7245">
        <v>1.1008009999999999</v>
      </c>
      <c r="L7245">
        <v>127.17570000000001</v>
      </c>
      <c r="M7245">
        <v>0.28267360000000002</v>
      </c>
      <c r="N7245">
        <v>0</v>
      </c>
      <c r="O7245">
        <v>0.95909149999999999</v>
      </c>
      <c r="P7245">
        <v>0.54585349999999999</v>
      </c>
      <c r="Q7245">
        <v>6.4144090000000001E-2</v>
      </c>
      <c r="R7245">
        <v>0.83542169999999905</v>
      </c>
      <c r="S7245">
        <v>2.2001650000000001</v>
      </c>
      <c r="T7245">
        <v>-0.43063010000000002</v>
      </c>
      <c r="U7245">
        <v>2.1925050000000001</v>
      </c>
      <c r="V7245">
        <v>0.28915360000000001</v>
      </c>
      <c r="W7245">
        <v>7.2248240000000005E-2</v>
      </c>
      <c r="X7245">
        <v>0.95455250000000003</v>
      </c>
      <c r="Y7245">
        <v>0.47260479999999999</v>
      </c>
      <c r="Z7245">
        <v>-0.14159869999999999</v>
      </c>
      <c r="AA7245">
        <v>0.86982440000000005</v>
      </c>
      <c r="AB7245">
        <v>36</v>
      </c>
      <c r="AC7245">
        <v>5.5639000000000101</v>
      </c>
      <c r="AD7245">
        <v>-1.1008055385290001</v>
      </c>
      <c r="AE7245">
        <v>5.4111000000000002</v>
      </c>
      <c r="AF7245">
        <v>3.7320917288721098</v>
      </c>
      <c r="AG7245">
        <v>-1.1008055385290001</v>
      </c>
      <c r="AH7245">
        <v>6.62994340256847</v>
      </c>
      <c r="AI7245">
        <v>98.232810146376593</v>
      </c>
      <c r="AJ7245">
        <v>60.624205817399698</v>
      </c>
      <c r="AK7245">
        <v>7.6874203103273198</v>
      </c>
      <c r="AL7245">
        <v>85.856871218228505</v>
      </c>
      <c r="AM7245">
        <v>73.147359170312697</v>
      </c>
      <c r="AN7245">
        <v>1.00000004391615</v>
      </c>
    </row>
    <row r="7246" spans="1:40" x14ac:dyDescent="0.25">
      <c r="A7246" t="str">
        <f>"20190312151205858"</f>
        <v>20190312151205858</v>
      </c>
      <c r="B7246" t="str">
        <f>"1552374725848510"</f>
        <v>1552374725848510</v>
      </c>
      <c r="C7246" t="s">
        <v>40</v>
      </c>
      <c r="D7246">
        <v>5.098732</v>
      </c>
      <c r="E7246">
        <v>0.58124699999999996</v>
      </c>
      <c r="F7246" t="s">
        <v>79</v>
      </c>
      <c r="G7246">
        <v>-176.89920000000001</v>
      </c>
      <c r="H7246" s="1">
        <v>-4.5258809999999998E-6</v>
      </c>
      <c r="I7246">
        <v>132.72649999999999</v>
      </c>
      <c r="J7246">
        <v>-182.49950000000001</v>
      </c>
      <c r="K7246">
        <v>1.1005910000000001</v>
      </c>
      <c r="L7246">
        <v>127.363</v>
      </c>
      <c r="M7246">
        <v>0.28843159999999901</v>
      </c>
      <c r="N7246">
        <v>0</v>
      </c>
      <c r="O7246">
        <v>0.95737510000000003</v>
      </c>
      <c r="P7246">
        <v>0.55202689999999999</v>
      </c>
      <c r="Q7246">
        <v>6.382786E-2</v>
      </c>
      <c r="R7246">
        <v>0.8313798</v>
      </c>
      <c r="S7246">
        <v>2.2178650000000002</v>
      </c>
      <c r="T7246">
        <v>-0.43133559999999999</v>
      </c>
      <c r="U7246">
        <v>2.1749879999999999</v>
      </c>
      <c r="V7246">
        <v>0.29051120000000002</v>
      </c>
      <c r="W7246">
        <v>7.1782139999999994E-2</v>
      </c>
      <c r="X7246">
        <v>0.95417540000000001</v>
      </c>
      <c r="Y7246">
        <v>0.47427370000000002</v>
      </c>
      <c r="Z7246">
        <v>-0.14182149999999999</v>
      </c>
      <c r="AA7246">
        <v>0.86887930000000002</v>
      </c>
      <c r="AB7246">
        <v>36</v>
      </c>
      <c r="AC7246">
        <v>5.6002999999999998</v>
      </c>
      <c r="AD7246">
        <v>-1.1005955258809901</v>
      </c>
      <c r="AE7246">
        <v>5.3634999999999797</v>
      </c>
      <c r="AF7246">
        <v>3.7397076906149702</v>
      </c>
      <c r="AG7246">
        <v>-1.1005955258809901</v>
      </c>
      <c r="AH7246">
        <v>6.6176842062385397</v>
      </c>
      <c r="AI7246">
        <v>98.238669343114594</v>
      </c>
      <c r="AJ7246">
        <v>60.528852136605003</v>
      </c>
      <c r="AK7246">
        <v>7.6805252669549304</v>
      </c>
      <c r="AL7246">
        <v>85.883646381256298</v>
      </c>
      <c r="AM7246">
        <v>73.066442348524006</v>
      </c>
      <c r="AN7246">
        <v>1.0000000634567801</v>
      </c>
    </row>
    <row r="7247" spans="1:40" x14ac:dyDescent="0.25">
      <c r="A7247" t="str">
        <f>"20190312151205869"</f>
        <v>20190312151205869</v>
      </c>
      <c r="B7247" t="str">
        <f>"1552374725858269"</f>
        <v>1552374725858269</v>
      </c>
      <c r="C7247" t="s">
        <v>40</v>
      </c>
      <c r="D7247">
        <v>5.0909690000000003</v>
      </c>
      <c r="E7247">
        <v>0.58131250000000001</v>
      </c>
      <c r="F7247" t="s">
        <v>79</v>
      </c>
      <c r="G7247">
        <v>-176.80009999999999</v>
      </c>
      <c r="H7247" s="1">
        <v>-4.5116369999999997E-6</v>
      </c>
      <c r="I7247">
        <v>132.86699999999999</v>
      </c>
      <c r="J7247">
        <v>-182.43629999999999</v>
      </c>
      <c r="K7247">
        <v>1.100384</v>
      </c>
      <c r="L7247">
        <v>127.5538</v>
      </c>
      <c r="M7247">
        <v>0.29451699999999997</v>
      </c>
      <c r="N7247">
        <v>0</v>
      </c>
      <c r="O7247">
        <v>0.95552009999999998</v>
      </c>
      <c r="P7247">
        <v>0.55847019999999903</v>
      </c>
      <c r="Q7247">
        <v>6.3079380000000004E-2</v>
      </c>
      <c r="R7247">
        <v>0.82712269999999899</v>
      </c>
      <c r="S7247">
        <v>2.2344819999999999</v>
      </c>
      <c r="T7247">
        <v>-0.43149690000000002</v>
      </c>
      <c r="U7247">
        <v>2.1578979999999999</v>
      </c>
      <c r="V7247">
        <v>0.29185709999999998</v>
      </c>
      <c r="W7247">
        <v>7.0882260000000002E-2</v>
      </c>
      <c r="X7247">
        <v>0.95383189999999995</v>
      </c>
      <c r="Y7247">
        <v>0.47535119999999997</v>
      </c>
      <c r="Z7247">
        <v>-0.14186079999999901</v>
      </c>
      <c r="AA7247">
        <v>0.86828379999999905</v>
      </c>
      <c r="AB7247">
        <v>36</v>
      </c>
      <c r="AC7247">
        <v>5.6361999999999997</v>
      </c>
      <c r="AD7247">
        <v>-1.100388511637</v>
      </c>
      <c r="AE7247">
        <v>5.3132000000000197</v>
      </c>
      <c r="AF7247">
        <v>3.7455428262250301</v>
      </c>
      <c r="AG7247">
        <v>-1.100388511637</v>
      </c>
      <c r="AH7247">
        <v>6.6043494761385704</v>
      </c>
      <c r="AI7247">
        <v>98.246481477940193</v>
      </c>
      <c r="AJ7247">
        <v>60.441008388316703</v>
      </c>
      <c r="AK7247">
        <v>7.6718562253603499</v>
      </c>
      <c r="AL7247">
        <v>85.935337440043597</v>
      </c>
      <c r="AM7247">
        <v>72.986738528671097</v>
      </c>
      <c r="AN7247">
        <v>1.0000000775303599</v>
      </c>
    </row>
    <row r="7248" spans="1:40" x14ac:dyDescent="0.25">
      <c r="A7248" t="str">
        <f>"20190312151205882"</f>
        <v>20190312151205882</v>
      </c>
      <c r="B7248" t="str">
        <f>"1552374725878765"</f>
        <v>1552374725878765</v>
      </c>
      <c r="C7248" t="s">
        <v>40</v>
      </c>
      <c r="D7248">
        <v>5.1745950000000001</v>
      </c>
      <c r="E7248">
        <v>0.58161940000000001</v>
      </c>
      <c r="F7248" t="s">
        <v>79</v>
      </c>
      <c r="G7248">
        <v>-176.7064</v>
      </c>
      <c r="H7248" s="1">
        <v>-4.4983440000000001E-6</v>
      </c>
      <c r="I7248">
        <v>133.00049999999999</v>
      </c>
      <c r="J7248">
        <v>-182.37909999999999</v>
      </c>
      <c r="K7248">
        <v>1.100193</v>
      </c>
      <c r="L7248">
        <v>127.72450000000001</v>
      </c>
      <c r="M7248">
        <v>0.3000236</v>
      </c>
      <c r="N7248">
        <v>0</v>
      </c>
      <c r="O7248">
        <v>0.95380489999999996</v>
      </c>
      <c r="P7248">
        <v>0.5643281</v>
      </c>
      <c r="Q7248">
        <v>6.2490980000000002E-2</v>
      </c>
      <c r="R7248">
        <v>0.82318210000000003</v>
      </c>
      <c r="S7248">
        <v>2.2512509999999999</v>
      </c>
      <c r="T7248">
        <v>-0.43233660000000002</v>
      </c>
      <c r="U7248">
        <v>2.1399689999999998</v>
      </c>
      <c r="V7248">
        <v>0.2931319</v>
      </c>
      <c r="W7248">
        <v>7.0155469999999998E-2</v>
      </c>
      <c r="X7248">
        <v>0.95349450000000002</v>
      </c>
      <c r="Y7248">
        <v>0.47712159999999898</v>
      </c>
      <c r="Z7248">
        <v>-0.14214949999999901</v>
      </c>
      <c r="AA7248">
        <v>0.86726499999999995</v>
      </c>
      <c r="AB7248">
        <v>36</v>
      </c>
      <c r="AC7248">
        <v>5.6726999999999901</v>
      </c>
      <c r="AD7248">
        <v>-1.1001974983439999</v>
      </c>
      <c r="AE7248">
        <v>5.2759999999999803</v>
      </c>
      <c r="AF7248">
        <v>3.75250499264174</v>
      </c>
      <c r="AG7248">
        <v>-1.1001974983439999</v>
      </c>
      <c r="AH7248">
        <v>6.6018827548514798</v>
      </c>
      <c r="AI7248">
        <v>98.243685748155301</v>
      </c>
      <c r="AJ7248">
        <v>60.386133908554498</v>
      </c>
      <c r="AK7248">
        <v>7.6731078556194596</v>
      </c>
      <c r="AL7248">
        <v>85.977082776219405</v>
      </c>
      <c r="AM7248">
        <v>72.9110515379231</v>
      </c>
      <c r="AN7248">
        <v>0.99999993114938801</v>
      </c>
    </row>
    <row r="7249" spans="1:40" x14ac:dyDescent="0.25">
      <c r="A7249" t="str">
        <f>"20190312151205893"</f>
        <v>20190312151205893</v>
      </c>
      <c r="B7249" t="str">
        <f>"1552374725888525"</f>
        <v>1552374725888525</v>
      </c>
      <c r="C7249" t="s">
        <v>40</v>
      </c>
      <c r="D7249">
        <v>5.3479229999999998</v>
      </c>
      <c r="E7249">
        <v>0.58188300000000004</v>
      </c>
      <c r="F7249" t="s">
        <v>79</v>
      </c>
      <c r="G7249">
        <v>-176.6285</v>
      </c>
      <c r="H7249" s="1">
        <v>-4.4849379999999998E-6</v>
      </c>
      <c r="I7249">
        <v>133.10509999999999</v>
      </c>
      <c r="J7249">
        <v>-182.31530000000001</v>
      </c>
      <c r="K7249">
        <v>1.0999840000000001</v>
      </c>
      <c r="L7249">
        <v>127.9102</v>
      </c>
      <c r="M7249">
        <v>0.3061488</v>
      </c>
      <c r="N7249">
        <v>0</v>
      </c>
      <c r="O7249">
        <v>0.95185600000000004</v>
      </c>
      <c r="P7249">
        <v>0.57112030000000003</v>
      </c>
      <c r="Q7249">
        <v>6.1997629999999998E-2</v>
      </c>
      <c r="R7249">
        <v>0.81852170000000002</v>
      </c>
      <c r="S7249">
        <v>2.2682340000000001</v>
      </c>
      <c r="T7249">
        <v>-0.4339614</v>
      </c>
      <c r="U7249">
        <v>2.12236</v>
      </c>
      <c r="V7249">
        <v>0.294904099999999</v>
      </c>
      <c r="W7249">
        <v>6.9499989999999998E-2</v>
      </c>
      <c r="X7249">
        <v>0.95299599999999995</v>
      </c>
      <c r="Y7249">
        <v>0.47826469999999999</v>
      </c>
      <c r="Z7249">
        <v>-0.14264170000000001</v>
      </c>
      <c r="AA7249">
        <v>0.86655419999999905</v>
      </c>
      <c r="AB7249">
        <v>35</v>
      </c>
      <c r="AC7249">
        <v>5.6867999999999999</v>
      </c>
      <c r="AD7249">
        <v>-1.0999884849379999</v>
      </c>
      <c r="AE7249">
        <v>5.1948999999999899</v>
      </c>
      <c r="AF7249">
        <v>3.7466535175918101</v>
      </c>
      <c r="AG7249">
        <v>-1.0999884849379999</v>
      </c>
      <c r="AH7249">
        <v>6.5529678737254402</v>
      </c>
      <c r="AI7249">
        <v>98.291018588273005</v>
      </c>
      <c r="AJ7249">
        <v>60.2412760589892</v>
      </c>
      <c r="AK7249">
        <v>7.6281567368504604</v>
      </c>
      <c r="AL7249">
        <v>86.014731293974094</v>
      </c>
      <c r="AM7249">
        <v>72.805346203384303</v>
      </c>
      <c r="AN7249">
        <v>1.0000000264114</v>
      </c>
    </row>
    <row r="7250" spans="1:40" x14ac:dyDescent="0.25">
      <c r="A7250" t="str">
        <f>"20190312151205905"</f>
        <v>20190312151205905</v>
      </c>
      <c r="B7250" t="str">
        <f>"1552374725898286"</f>
        <v>1552374725898286</v>
      </c>
      <c r="C7250" t="s">
        <v>40</v>
      </c>
      <c r="D7250">
        <v>5.2067170000000003</v>
      </c>
      <c r="E7250">
        <v>0.58188300000000004</v>
      </c>
      <c r="F7250" t="s">
        <v>79</v>
      </c>
      <c r="G7250">
        <v>-176.4973</v>
      </c>
      <c r="H7250" s="1">
        <v>-4.453133E-6</v>
      </c>
      <c r="I7250">
        <v>133.25729999999999</v>
      </c>
      <c r="J7250">
        <v>-182.25569999999999</v>
      </c>
      <c r="K7250">
        <v>1.099793</v>
      </c>
      <c r="L7250">
        <v>128.0796</v>
      </c>
      <c r="M7250">
        <v>0.31186000000000003</v>
      </c>
      <c r="N7250">
        <v>0</v>
      </c>
      <c r="O7250">
        <v>0.94999960000000006</v>
      </c>
      <c r="P7250">
        <v>0.57739619999999903</v>
      </c>
      <c r="Q7250">
        <v>6.184187E-2</v>
      </c>
      <c r="R7250">
        <v>0.81411869999999997</v>
      </c>
      <c r="S7250">
        <v>2.2871549999999998</v>
      </c>
      <c r="T7250">
        <v>-0.43242449999999999</v>
      </c>
      <c r="U7250">
        <v>2.102036</v>
      </c>
      <c r="V7250">
        <v>0.2965314</v>
      </c>
      <c r="W7250">
        <v>6.9196019999999997E-2</v>
      </c>
      <c r="X7250">
        <v>0.95251300000000005</v>
      </c>
      <c r="Y7250">
        <v>0.4808038</v>
      </c>
      <c r="Z7250">
        <v>-0.14215839999999999</v>
      </c>
      <c r="AA7250">
        <v>0.86522759999999999</v>
      </c>
      <c r="AB7250">
        <v>35</v>
      </c>
      <c r="AC7250">
        <v>5.7583999999999902</v>
      </c>
      <c r="AD7250">
        <v>-1.0997974531329999</v>
      </c>
      <c r="AE7250">
        <v>5.1776999999999802</v>
      </c>
      <c r="AF7250">
        <v>3.7799881825839599</v>
      </c>
      <c r="AG7250">
        <v>-1.0997974531329999</v>
      </c>
      <c r="AH7250">
        <v>6.5826741422941302</v>
      </c>
      <c r="AI7250">
        <v>98.243989926660007</v>
      </c>
      <c r="AJ7250">
        <v>60.134139112579597</v>
      </c>
      <c r="AK7250">
        <v>7.67003676405922</v>
      </c>
      <c r="AL7250">
        <v>86.032189368283895</v>
      </c>
      <c r="AM7250">
        <v>72.707861311186903</v>
      </c>
      <c r="AN7250">
        <v>0.99999998776940002</v>
      </c>
    </row>
    <row r="7251" spans="1:40" x14ac:dyDescent="0.25">
      <c r="A7251" t="str">
        <f>"20190312151205920"</f>
        <v>20190312151205920</v>
      </c>
      <c r="B7251" t="str">
        <f>"1552374725909022"</f>
        <v>1552374725909022</v>
      </c>
      <c r="C7251" t="s">
        <v>40</v>
      </c>
      <c r="D7251">
        <v>5.2582760000000004</v>
      </c>
      <c r="E7251">
        <v>0.61972930000000004</v>
      </c>
      <c r="F7251" t="s">
        <v>79</v>
      </c>
      <c r="G7251">
        <v>-176.4015</v>
      </c>
      <c r="H7251" s="1">
        <v>-4.4331E-6</v>
      </c>
      <c r="I7251">
        <v>133.3767</v>
      </c>
      <c r="J7251">
        <v>-182.1739</v>
      </c>
      <c r="K7251">
        <v>1.099537</v>
      </c>
      <c r="L7251">
        <v>128.30779999999999</v>
      </c>
      <c r="M7251">
        <v>0.31967649999999997</v>
      </c>
      <c r="N7251">
        <v>0</v>
      </c>
      <c r="O7251">
        <v>0.94739720000000005</v>
      </c>
      <c r="P7251">
        <v>0.58738729999999995</v>
      </c>
      <c r="Q7251">
        <v>6.0850960000000003E-2</v>
      </c>
      <c r="R7251">
        <v>0.80701509999999999</v>
      </c>
      <c r="S7251">
        <v>2.303391</v>
      </c>
      <c r="T7251">
        <v>-0.43272579999999999</v>
      </c>
      <c r="U7251">
        <v>2.0842130000000001</v>
      </c>
      <c r="V7251">
        <v>0.3004172</v>
      </c>
      <c r="W7251">
        <v>6.7952040000000005E-2</v>
      </c>
      <c r="X7251">
        <v>0.95138420000000001</v>
      </c>
      <c r="Y7251">
        <v>0.48031269999999998</v>
      </c>
      <c r="Z7251">
        <v>-0.14216570000000001</v>
      </c>
      <c r="AA7251">
        <v>0.86549909999999997</v>
      </c>
      <c r="AB7251">
        <v>35</v>
      </c>
      <c r="AC7251">
        <v>5.7724000000000002</v>
      </c>
      <c r="AD7251">
        <v>-1.0995414331</v>
      </c>
      <c r="AE7251">
        <v>5.06890000000001</v>
      </c>
      <c r="AF7251">
        <v>3.7715542642937399</v>
      </c>
      <c r="AG7251">
        <v>-1.0995414331</v>
      </c>
      <c r="AH7251">
        <v>6.5149113127982199</v>
      </c>
      <c r="AI7251">
        <v>98.310025532369394</v>
      </c>
      <c r="AJ7251">
        <v>59.932974952168301</v>
      </c>
      <c r="AK7251">
        <v>7.6077383199767201</v>
      </c>
      <c r="AL7251">
        <v>86.103632145932295</v>
      </c>
      <c r="AM7251">
        <v>72.475522271572203</v>
      </c>
      <c r="AN7251">
        <v>0.99999993490281802</v>
      </c>
    </row>
    <row r="7252" spans="1:40" x14ac:dyDescent="0.25">
      <c r="A7252" t="str">
        <f>"20190312151205932"</f>
        <v>20190312151205932</v>
      </c>
      <c r="B7252" t="str">
        <f>"1552374725928542"</f>
        <v>1552374725928542</v>
      </c>
      <c r="C7252" t="s">
        <v>40</v>
      </c>
      <c r="D7252">
        <v>5.2662129999999996</v>
      </c>
      <c r="E7252">
        <v>0.62047459999999999</v>
      </c>
      <c r="F7252" t="s">
        <v>79</v>
      </c>
      <c r="G7252">
        <v>-174.72190000000001</v>
      </c>
      <c r="H7252" s="1">
        <v>-3.484681E-6</v>
      </c>
      <c r="I7252">
        <v>133.7483</v>
      </c>
      <c r="J7252">
        <v>-182.10810000000001</v>
      </c>
      <c r="K7252">
        <v>1.099334</v>
      </c>
      <c r="L7252">
        <v>128.48609999999999</v>
      </c>
      <c r="M7252">
        <v>0.3259455</v>
      </c>
      <c r="N7252">
        <v>0</v>
      </c>
      <c r="O7252">
        <v>0.94525809999999999</v>
      </c>
      <c r="P7252">
        <v>0.59409569999999901</v>
      </c>
      <c r="Q7252">
        <v>6.0479329999999998E-2</v>
      </c>
      <c r="R7252">
        <v>0.80211759999999999</v>
      </c>
      <c r="S7252">
        <v>2.5693969999999999</v>
      </c>
      <c r="T7252">
        <v>-0.37911309999999998</v>
      </c>
      <c r="U7252">
        <v>1.8758239999999999</v>
      </c>
      <c r="V7252">
        <v>0.30206119999999997</v>
      </c>
      <c r="W7252">
        <v>6.7424449999999997E-2</v>
      </c>
      <c r="X7252">
        <v>0.9509012</v>
      </c>
      <c r="Y7252">
        <v>0.56493590000000005</v>
      </c>
      <c r="Z7252">
        <v>-0.12392649999999999</v>
      </c>
      <c r="AA7252">
        <v>0.81577549999999999</v>
      </c>
      <c r="AB7252">
        <v>35</v>
      </c>
      <c r="AC7252">
        <v>7.3861999999999997</v>
      </c>
      <c r="AD7252">
        <v>-1.099337484681</v>
      </c>
      <c r="AE7252">
        <v>5.2622</v>
      </c>
      <c r="AF7252">
        <v>5.1910467490951504</v>
      </c>
      <c r="AG7252">
        <v>-1.099337484681</v>
      </c>
      <c r="AH7252">
        <v>7.2756372643259102</v>
      </c>
      <c r="AI7252">
        <v>97.012189357742301</v>
      </c>
      <c r="AJ7252">
        <v>54.492771083631098</v>
      </c>
      <c r="AK7252">
        <v>9.0050212025604903</v>
      </c>
      <c r="AL7252">
        <v>86.133930795687206</v>
      </c>
      <c r="AM7252">
        <v>72.377142834856699</v>
      </c>
      <c r="AN7252">
        <v>1.0000000585823301</v>
      </c>
    </row>
    <row r="7253" spans="1:40" x14ac:dyDescent="0.25">
      <c r="A7253" t="str">
        <f>"20190312151205944"</f>
        <v>20190312151205944</v>
      </c>
      <c r="B7253" t="str">
        <f>"1552374725938301"</f>
        <v>1552374725938301</v>
      </c>
      <c r="C7253" t="s">
        <v>40</v>
      </c>
      <c r="D7253">
        <v>5.2104999999999997</v>
      </c>
      <c r="E7253">
        <v>0.62047180000000002</v>
      </c>
      <c r="F7253" t="s">
        <v>79</v>
      </c>
      <c r="G7253">
        <v>-175.34039999999999</v>
      </c>
      <c r="H7253" s="1">
        <v>-3.687743E-6</v>
      </c>
      <c r="I7253">
        <v>133.31989999999999</v>
      </c>
      <c r="J7253">
        <v>-182.04470000000001</v>
      </c>
      <c r="K7253">
        <v>1.099148</v>
      </c>
      <c r="L7253">
        <v>128.65479999999999</v>
      </c>
      <c r="M7253">
        <v>0.3319626</v>
      </c>
      <c r="N7253">
        <v>0</v>
      </c>
      <c r="O7253">
        <v>0.94316120000000003</v>
      </c>
      <c r="P7253">
        <v>0.60068639999999995</v>
      </c>
      <c r="Q7253">
        <v>6.0370559999999997E-2</v>
      </c>
      <c r="R7253">
        <v>0.79720210000000002</v>
      </c>
      <c r="S7253">
        <v>2.592514</v>
      </c>
      <c r="T7253">
        <v>-0.42112369999999999</v>
      </c>
      <c r="U7253">
        <v>1.8516999999999999</v>
      </c>
      <c r="V7253">
        <v>0.30386370000000001</v>
      </c>
      <c r="W7253">
        <v>6.7160869999999998E-2</v>
      </c>
      <c r="X7253">
        <v>0.95034529999999995</v>
      </c>
      <c r="Y7253">
        <v>0.56669939999999996</v>
      </c>
      <c r="Z7253">
        <v>-0.13729379999999999</v>
      </c>
      <c r="AA7253">
        <v>0.81240519999999905</v>
      </c>
      <c r="AB7253">
        <v>35</v>
      </c>
      <c r="AC7253">
        <v>6.7043000000000097</v>
      </c>
      <c r="AD7253">
        <v>-1.0991516877429901</v>
      </c>
      <c r="AE7253">
        <v>4.66509999999999</v>
      </c>
      <c r="AF7253">
        <v>4.6902480239975004</v>
      </c>
      <c r="AG7253">
        <v>-1.0991516877429901</v>
      </c>
      <c r="AH7253">
        <v>6.5084705829015297</v>
      </c>
      <c r="AI7253">
        <v>97.801556489811702</v>
      </c>
      <c r="AJ7253">
        <v>54.222064077931002</v>
      </c>
      <c r="AK7253">
        <v>8.0973298245641008</v>
      </c>
      <c r="AL7253">
        <v>86.149066745771606</v>
      </c>
      <c r="AM7253">
        <v>72.2688264812531</v>
      </c>
      <c r="AN7253">
        <v>0.999999959934467</v>
      </c>
    </row>
    <row r="7254" spans="1:40" x14ac:dyDescent="0.25">
      <c r="A7254" t="str">
        <f>"20190312151205955"</f>
        <v>20190312151205955</v>
      </c>
      <c r="B7254" t="str">
        <f>"1552374725948062"</f>
        <v>1552374725948062</v>
      </c>
      <c r="C7254" t="s">
        <v>40</v>
      </c>
      <c r="D7254">
        <v>5.1888170000000002</v>
      </c>
      <c r="E7254">
        <v>0.61985279999999998</v>
      </c>
      <c r="F7254" t="s">
        <v>79</v>
      </c>
      <c r="G7254">
        <v>-175.29750000000001</v>
      </c>
      <c r="H7254" s="1">
        <v>-3.6849469999999999E-6</v>
      </c>
      <c r="I7254">
        <v>133.3897</v>
      </c>
      <c r="J7254">
        <v>-181.97659999999999</v>
      </c>
      <c r="K7254">
        <v>1.098956</v>
      </c>
      <c r="L7254">
        <v>128.83269999999999</v>
      </c>
      <c r="M7254">
        <v>0.33839459999999999</v>
      </c>
      <c r="N7254">
        <v>0</v>
      </c>
      <c r="O7254">
        <v>0.94087209999999999</v>
      </c>
      <c r="P7254">
        <v>0.60752249999999997</v>
      </c>
      <c r="Q7254">
        <v>6.00995E-2</v>
      </c>
      <c r="R7254">
        <v>0.79202550000000005</v>
      </c>
      <c r="S7254">
        <v>2.6080169999999998</v>
      </c>
      <c r="T7254">
        <v>-0.42486000000000002</v>
      </c>
      <c r="U7254">
        <v>1.8302</v>
      </c>
      <c r="V7254">
        <v>0.30556830000000001</v>
      </c>
      <c r="W7254">
        <v>6.673316E-2</v>
      </c>
      <c r="X7254">
        <v>0.94982880000000003</v>
      </c>
      <c r="Y7254">
        <v>0.56771799999999994</v>
      </c>
      <c r="Z7254">
        <v>-0.1384811</v>
      </c>
      <c r="AA7254">
        <v>0.81149199999999999</v>
      </c>
      <c r="AB7254">
        <v>35</v>
      </c>
      <c r="AC7254">
        <v>6.6790999999999698</v>
      </c>
      <c r="AD7254">
        <v>-1.098959684947</v>
      </c>
      <c r="AE7254">
        <v>4.5570000000000102</v>
      </c>
      <c r="AF7254">
        <v>4.6566810669317897</v>
      </c>
      <c r="AG7254">
        <v>-1.098959684947</v>
      </c>
      <c r="AH7254">
        <v>6.4297621975645702</v>
      </c>
      <c r="AI7254">
        <v>97.881184866601004</v>
      </c>
      <c r="AJ7254">
        <v>54.086498610855799</v>
      </c>
      <c r="AK7254">
        <v>8.0146261837649106</v>
      </c>
      <c r="AL7254">
        <v>86.173628075981</v>
      </c>
      <c r="AM7254">
        <v>72.166558956596802</v>
      </c>
      <c r="AN7254">
        <v>1.00000002495895</v>
      </c>
    </row>
    <row r="7255" spans="1:40" x14ac:dyDescent="0.25">
      <c r="A7255" t="str">
        <f>"20190312151205966"</f>
        <v>20190312151205966</v>
      </c>
      <c r="B7255" t="str">
        <f>"1552374725958797"</f>
        <v>1552374725958797</v>
      </c>
      <c r="C7255" t="s">
        <v>40</v>
      </c>
      <c r="D7255">
        <v>5.1988719999999997</v>
      </c>
      <c r="E7255">
        <v>0.61907959999999995</v>
      </c>
      <c r="F7255" t="s">
        <v>79</v>
      </c>
      <c r="G7255">
        <v>-175.36340000000001</v>
      </c>
      <c r="H7255" s="1">
        <v>-3.7345559999999998E-6</v>
      </c>
      <c r="I7255">
        <v>133.40190000000001</v>
      </c>
      <c r="J7255">
        <v>-181.91059999999999</v>
      </c>
      <c r="K7255">
        <v>1.098781</v>
      </c>
      <c r="L7255">
        <v>129.00049999999999</v>
      </c>
      <c r="M7255">
        <v>0.34459770000000001</v>
      </c>
      <c r="N7255">
        <v>0</v>
      </c>
      <c r="O7255">
        <v>0.93861729999999999</v>
      </c>
      <c r="P7255">
        <v>0.61438040000000005</v>
      </c>
      <c r="Q7255">
        <v>5.9966169999999999E-2</v>
      </c>
      <c r="R7255">
        <v>0.78672790000000004</v>
      </c>
      <c r="S7255">
        <v>2.6206510000000001</v>
      </c>
      <c r="T7255">
        <v>-0.43549080000000001</v>
      </c>
      <c r="U7255">
        <v>1.810654</v>
      </c>
      <c r="V7255">
        <v>0.30757250000000003</v>
      </c>
      <c r="W7255">
        <v>6.6440079999999999E-2</v>
      </c>
      <c r="X7255">
        <v>0.9492022</v>
      </c>
      <c r="Y7255">
        <v>0.56782290000000002</v>
      </c>
      <c r="Z7255">
        <v>-0.1418922</v>
      </c>
      <c r="AA7255">
        <v>0.81082909999999997</v>
      </c>
      <c r="AB7255">
        <v>35</v>
      </c>
      <c r="AC7255">
        <v>6.5471999999999699</v>
      </c>
      <c r="AD7255">
        <v>-1.098784734556</v>
      </c>
      <c r="AE7255">
        <v>4.4014000000000202</v>
      </c>
      <c r="AF7255">
        <v>4.5410910898844401</v>
      </c>
      <c r="AG7255">
        <v>-1.098784734556</v>
      </c>
      <c r="AH7255">
        <v>6.2666157234287496</v>
      </c>
      <c r="AI7255">
        <v>98.080865182653099</v>
      </c>
      <c r="AJ7255">
        <v>54.071106683161901</v>
      </c>
      <c r="AK7255">
        <v>7.8166046851971203</v>
      </c>
      <c r="AL7255">
        <v>86.190457470422004</v>
      </c>
      <c r="AM7255">
        <v>72.045982954646206</v>
      </c>
      <c r="AN7255">
        <v>0.99999997173574695</v>
      </c>
    </row>
    <row r="7256" spans="1:40" x14ac:dyDescent="0.25">
      <c r="A7256" t="str">
        <f>"20190312151205978"</f>
        <v>20190312151205978</v>
      </c>
      <c r="B7256" t="str">
        <f>"1552374725968557"</f>
        <v>1552374725968557</v>
      </c>
      <c r="C7256" t="s">
        <v>40</v>
      </c>
      <c r="D7256">
        <v>5.2205380000000003</v>
      </c>
      <c r="E7256">
        <v>0.61819019999999902</v>
      </c>
      <c r="F7256" t="s">
        <v>79</v>
      </c>
      <c r="G7256">
        <v>-175.2551</v>
      </c>
      <c r="H7256" s="1">
        <v>-3.7099560000000001E-6</v>
      </c>
      <c r="I7256">
        <v>133.5318</v>
      </c>
      <c r="J7256">
        <v>-181.8425</v>
      </c>
      <c r="K7256">
        <v>1.098598</v>
      </c>
      <c r="L7256">
        <v>129.17169999999999</v>
      </c>
      <c r="M7256">
        <v>0.3509642</v>
      </c>
      <c r="N7256">
        <v>0</v>
      </c>
      <c r="O7256">
        <v>0.9362547</v>
      </c>
      <c r="P7256">
        <v>0.62088920000000003</v>
      </c>
      <c r="Q7256">
        <v>6.0280889999999997E-2</v>
      </c>
      <c r="R7256">
        <v>0.78157719999999997</v>
      </c>
      <c r="S7256">
        <v>2.6313019999999998</v>
      </c>
      <c r="T7256">
        <v>-0.43441370000000001</v>
      </c>
      <c r="U7256">
        <v>1.791504</v>
      </c>
      <c r="V7256">
        <v>0.30905179999999999</v>
      </c>
      <c r="W7256">
        <v>6.6607540000000007E-2</v>
      </c>
      <c r="X7256">
        <v>0.94870989999999999</v>
      </c>
      <c r="Y7256">
        <v>0.56785019999999997</v>
      </c>
      <c r="Z7256">
        <v>-0.1415912</v>
      </c>
      <c r="AA7256">
        <v>0.81086259999999999</v>
      </c>
      <c r="AB7256">
        <v>35</v>
      </c>
      <c r="AC7256">
        <v>6.5873999999999997</v>
      </c>
      <c r="AD7256">
        <v>-1.0986017099559999</v>
      </c>
      <c r="AE7256">
        <v>4.3601000000000099</v>
      </c>
      <c r="AF7256">
        <v>4.54983222938968</v>
      </c>
      <c r="AG7256">
        <v>-1.0986017099559999</v>
      </c>
      <c r="AH7256">
        <v>6.2735755540990503</v>
      </c>
      <c r="AI7256">
        <v>98.068461307567503</v>
      </c>
      <c r="AJ7256">
        <v>54.048969806404301</v>
      </c>
      <c r="AK7256">
        <v>7.82723765230753</v>
      </c>
      <c r="AL7256">
        <v>86.180841628828901</v>
      </c>
      <c r="AM7256">
        <v>71.956458983037606</v>
      </c>
      <c r="AN7256">
        <v>1.00000002691305</v>
      </c>
    </row>
    <row r="7257" spans="1:40" x14ac:dyDescent="0.25">
      <c r="A7257" t="str">
        <f>"20190312151205994"</f>
        <v>20190312151205994</v>
      </c>
      <c r="B7257" t="str">
        <f>"1552374725989054"</f>
        <v>1552374725989054</v>
      </c>
      <c r="C7257" t="s">
        <v>40</v>
      </c>
      <c r="D7257">
        <v>5.2952859999999999</v>
      </c>
      <c r="E7257">
        <v>0.61676330000000001</v>
      </c>
      <c r="F7257" t="s">
        <v>79</v>
      </c>
      <c r="G7257">
        <v>-175.1258</v>
      </c>
      <c r="H7257" s="1">
        <v>-3.6793609999999999E-6</v>
      </c>
      <c r="I7257">
        <v>133.68350000000001</v>
      </c>
      <c r="J7257">
        <v>-181.7433</v>
      </c>
      <c r="K7257">
        <v>1.098349</v>
      </c>
      <c r="L7257">
        <v>129.41319999999999</v>
      </c>
      <c r="M7257">
        <v>0.36018800000000001</v>
      </c>
      <c r="N7257">
        <v>0</v>
      </c>
      <c r="O7257">
        <v>0.93274420000000002</v>
      </c>
      <c r="P7257">
        <v>0.62999209999999894</v>
      </c>
      <c r="Q7257">
        <v>6.0276200000000002E-2</v>
      </c>
      <c r="R7257">
        <v>0.77425889999999997</v>
      </c>
      <c r="S7257">
        <v>2.6407620000000001</v>
      </c>
      <c r="T7257">
        <v>-0.43193009999999898</v>
      </c>
      <c r="U7257">
        <v>1.7738799999999999</v>
      </c>
      <c r="V7257">
        <v>0.3108301</v>
      </c>
      <c r="W7257">
        <v>6.640915E-2</v>
      </c>
      <c r="X7257">
        <v>0.94814259999999995</v>
      </c>
      <c r="Y7257">
        <v>0.56493349999999998</v>
      </c>
      <c r="Z7257">
        <v>-0.14070929999999901</v>
      </c>
      <c r="AA7257">
        <v>0.81305039999999995</v>
      </c>
      <c r="AB7257">
        <v>35</v>
      </c>
      <c r="AC7257">
        <v>6.6174999999999997</v>
      </c>
      <c r="AD7257">
        <v>-1.0983526793609999</v>
      </c>
      <c r="AE7257">
        <v>4.2703000000000202</v>
      </c>
      <c r="AF7257">
        <v>4.5464839292600701</v>
      </c>
      <c r="AG7257">
        <v>-1.0983526793609999</v>
      </c>
      <c r="AH7257">
        <v>6.2459669172799597</v>
      </c>
      <c r="AI7257">
        <v>98.091697948634106</v>
      </c>
      <c r="AJ7257">
        <v>53.948859381689203</v>
      </c>
      <c r="AK7257">
        <v>7.8031402306401798</v>
      </c>
      <c r="AL7257">
        <v>86.192233499513193</v>
      </c>
      <c r="AM7257">
        <v>71.849276239431006</v>
      </c>
      <c r="AN7257">
        <v>0.99999995810224496</v>
      </c>
    </row>
    <row r="7258" spans="1:40" x14ac:dyDescent="0.25">
      <c r="A7258" t="str">
        <f>"20190312151206011"</f>
        <v>20190312151206011</v>
      </c>
      <c r="B7258" t="str">
        <f>"1552374725998814"</f>
        <v>1552374725998814</v>
      </c>
      <c r="C7258" t="s">
        <v>40</v>
      </c>
      <c r="D7258">
        <v>5.2255219999999998</v>
      </c>
      <c r="E7258">
        <v>0.61594079999999996</v>
      </c>
      <c r="F7258" t="s">
        <v>79</v>
      </c>
      <c r="G7258">
        <v>-175.03059999999999</v>
      </c>
      <c r="H7258" s="1">
        <v>-3.6741009999999999E-6</v>
      </c>
      <c r="I7258">
        <v>133.8409</v>
      </c>
      <c r="J7258">
        <v>-181.64340000000001</v>
      </c>
      <c r="K7258">
        <v>1.0981099999999999</v>
      </c>
      <c r="L7258">
        <v>129.64959999999999</v>
      </c>
      <c r="M7258">
        <v>0.36939499999999997</v>
      </c>
      <c r="N7258">
        <v>0</v>
      </c>
      <c r="O7258">
        <v>0.92913559999999995</v>
      </c>
      <c r="P7258">
        <v>0.63945699999999905</v>
      </c>
      <c r="Q7258">
        <v>6.0591909999999999E-2</v>
      </c>
      <c r="R7258">
        <v>0.76643549999999905</v>
      </c>
      <c r="S7258">
        <v>2.6529389999999999</v>
      </c>
      <c r="T7258">
        <v>-0.43408020000000003</v>
      </c>
      <c r="U7258">
        <v>1.7498629999999999</v>
      </c>
      <c r="V7258">
        <v>0.31315989999999999</v>
      </c>
      <c r="W7258">
        <v>6.6518090000000002E-2</v>
      </c>
      <c r="X7258">
        <v>0.94736799999999999</v>
      </c>
      <c r="Y7258">
        <v>0.56355809999999995</v>
      </c>
      <c r="Z7258">
        <v>-0.14139669999999999</v>
      </c>
      <c r="AA7258">
        <v>0.81388530000000003</v>
      </c>
      <c r="AB7258">
        <v>35</v>
      </c>
      <c r="AC7258">
        <v>6.6128000000000204</v>
      </c>
      <c r="AD7258">
        <v>-1.098113674101</v>
      </c>
      <c r="AE7258">
        <v>4.1913000000000098</v>
      </c>
      <c r="AF7258">
        <v>4.5078462536873003</v>
      </c>
      <c r="AG7258">
        <v>-1.098113674101</v>
      </c>
      <c r="AH7258">
        <v>6.2155514104889003</v>
      </c>
      <c r="AI7258">
        <v>98.139150065012799</v>
      </c>
      <c r="AJ7258">
        <v>54.048394064742403</v>
      </c>
      <c r="AK7258">
        <v>7.7562626840870204</v>
      </c>
      <c r="AL7258">
        <v>86.185977846702002</v>
      </c>
      <c r="AM7258">
        <v>71.708292874200893</v>
      </c>
      <c r="AN7258">
        <v>0.99999995334462699</v>
      </c>
    </row>
    <row r="7259" spans="1:40" x14ac:dyDescent="0.25">
      <c r="A7259" t="str">
        <f>"20190312151206027"</f>
        <v>20190312151206027</v>
      </c>
      <c r="B7259" t="str">
        <f>"1552374726018334"</f>
        <v>1552374726018334</v>
      </c>
      <c r="C7259" t="s">
        <v>40</v>
      </c>
      <c r="D7259">
        <v>5.3100259999999997</v>
      </c>
      <c r="E7259">
        <v>0.61522929999999998</v>
      </c>
      <c r="F7259" t="s">
        <v>79</v>
      </c>
      <c r="G7259">
        <v>-174.9462</v>
      </c>
      <c r="H7259" s="1">
        <v>-3.6670510000000001E-6</v>
      </c>
      <c r="I7259">
        <v>133.96680000000001</v>
      </c>
      <c r="J7259">
        <v>-181.54499999999999</v>
      </c>
      <c r="K7259">
        <v>1.0978840000000001</v>
      </c>
      <c r="L7259">
        <v>129.87610000000001</v>
      </c>
      <c r="M7259">
        <v>0.37837749999999998</v>
      </c>
      <c r="N7259">
        <v>0</v>
      </c>
      <c r="O7259">
        <v>0.92551300000000003</v>
      </c>
      <c r="P7259">
        <v>0.6476693</v>
      </c>
      <c r="Q7259">
        <v>6.0436230000000001E-2</v>
      </c>
      <c r="R7259">
        <v>0.75952089999999906</v>
      </c>
      <c r="S7259">
        <v>2.670013</v>
      </c>
      <c r="T7259">
        <v>-0.43779269999999998</v>
      </c>
      <c r="U7259">
        <v>1.7211609999999999</v>
      </c>
      <c r="V7259">
        <v>0.31420789999999998</v>
      </c>
      <c r="W7259">
        <v>6.62074E-2</v>
      </c>
      <c r="X7259">
        <v>0.94704279999999996</v>
      </c>
      <c r="Y7259">
        <v>0.56399200000000005</v>
      </c>
      <c r="Z7259">
        <v>-0.14255479999999901</v>
      </c>
      <c r="AA7259">
        <v>0.81338259999999996</v>
      </c>
      <c r="AB7259">
        <v>35</v>
      </c>
      <c r="AC7259">
        <v>6.5987999999999802</v>
      </c>
      <c r="AD7259">
        <v>-1.097887667051</v>
      </c>
      <c r="AE7259">
        <v>4.0906999999999902</v>
      </c>
      <c r="AF7259">
        <v>4.4706327763311497</v>
      </c>
      <c r="AG7259">
        <v>-1.097887667051</v>
      </c>
      <c r="AH7259">
        <v>6.1604500064709597</v>
      </c>
      <c r="AI7259">
        <v>98.207577205012498</v>
      </c>
      <c r="AJ7259">
        <v>54.031643238951403</v>
      </c>
      <c r="AK7259">
        <v>7.6904524595434003</v>
      </c>
      <c r="AL7259">
        <v>86.203818748781799</v>
      </c>
      <c r="AM7259">
        <v>71.645294799192996</v>
      </c>
      <c r="AN7259">
        <v>1.0000000446345001</v>
      </c>
    </row>
    <row r="7260" spans="1:40" x14ac:dyDescent="0.25">
      <c r="A7260" t="str">
        <f>"20190312151206041"</f>
        <v>20190312151206041</v>
      </c>
      <c r="B7260" t="str">
        <f>"1552374726038829"</f>
        <v>1552374726038829</v>
      </c>
      <c r="C7260" t="s">
        <v>40</v>
      </c>
      <c r="D7260">
        <v>5.3081860000000001</v>
      </c>
      <c r="E7260">
        <v>0.61469059999999998</v>
      </c>
      <c r="F7260" t="s">
        <v>79</v>
      </c>
      <c r="G7260">
        <v>-174.91299999999899</v>
      </c>
      <c r="H7260" s="1">
        <v>-3.6902720000000001E-6</v>
      </c>
      <c r="I7260">
        <v>134.0667</v>
      </c>
      <c r="J7260">
        <v>-181.4511</v>
      </c>
      <c r="K7260">
        <v>1.0976699999999999</v>
      </c>
      <c r="L7260">
        <v>130.08750000000001</v>
      </c>
      <c r="M7260">
        <v>0.38688549999999999</v>
      </c>
      <c r="N7260">
        <v>0</v>
      </c>
      <c r="O7260">
        <v>0.92198809999999998</v>
      </c>
      <c r="P7260">
        <v>0.65561619999999998</v>
      </c>
      <c r="Q7260">
        <v>6.0284049999999999E-2</v>
      </c>
      <c r="R7260">
        <v>0.75268409999999997</v>
      </c>
      <c r="S7260">
        <v>2.6843569999999999</v>
      </c>
      <c r="T7260">
        <v>-0.44438169999999999</v>
      </c>
      <c r="U7260">
        <v>1.69616699999999</v>
      </c>
      <c r="V7260">
        <v>0.31546370000000001</v>
      </c>
      <c r="W7260">
        <v>6.5901000000000001E-2</v>
      </c>
      <c r="X7260">
        <v>0.9466466</v>
      </c>
      <c r="Y7260">
        <v>0.56352780000000002</v>
      </c>
      <c r="Z7260">
        <v>-0.144594</v>
      </c>
      <c r="AA7260">
        <v>0.81334439999999997</v>
      </c>
      <c r="AB7260">
        <v>35</v>
      </c>
      <c r="AC7260">
        <v>6.5381000000000098</v>
      </c>
      <c r="AD7260">
        <v>-1.0976736902719999</v>
      </c>
      <c r="AE7260">
        <v>3.9791999999999899</v>
      </c>
      <c r="AF7260">
        <v>4.3986622166666702</v>
      </c>
      <c r="AG7260">
        <v>-1.0976736902719999</v>
      </c>
      <c r="AH7260">
        <v>6.0741368468990702</v>
      </c>
      <c r="AI7260">
        <v>98.326977387153505</v>
      </c>
      <c r="AJ7260">
        <v>54.089352901933999</v>
      </c>
      <c r="AK7260">
        <v>7.5794627290793697</v>
      </c>
      <c r="AL7260">
        <v>86.221412568662004</v>
      </c>
      <c r="AM7260">
        <v>71.569690543052403</v>
      </c>
      <c r="AN7260">
        <v>1.00000003655512</v>
      </c>
    </row>
    <row r="7261" spans="1:40" x14ac:dyDescent="0.25">
      <c r="A7261" t="str">
        <f>"20190312151206055"</f>
        <v>20190312151206055</v>
      </c>
      <c r="B7261" t="str">
        <f>"1552374726048590"</f>
        <v>1552374726048590</v>
      </c>
      <c r="C7261" t="s">
        <v>40</v>
      </c>
      <c r="D7261">
        <v>5.3239809999999999</v>
      </c>
      <c r="E7261">
        <v>0.61433590000000005</v>
      </c>
      <c r="F7261" t="s">
        <v>79</v>
      </c>
      <c r="G7261">
        <v>-174.84440000000001</v>
      </c>
      <c r="H7261" s="1">
        <v>-3.7018209999999998E-6</v>
      </c>
      <c r="I7261">
        <v>134.1773</v>
      </c>
      <c r="J7261">
        <v>-181.35589999999999</v>
      </c>
      <c r="K7261">
        <v>1.0974660000000001</v>
      </c>
      <c r="L7261">
        <v>130.29560000000001</v>
      </c>
      <c r="M7261">
        <v>0.39542149999999998</v>
      </c>
      <c r="N7261">
        <v>0</v>
      </c>
      <c r="O7261">
        <v>0.91835869999999997</v>
      </c>
      <c r="P7261">
        <v>0.66396669999999902</v>
      </c>
      <c r="Q7261">
        <v>5.9942769999999999E-2</v>
      </c>
      <c r="R7261">
        <v>0.74535569999999995</v>
      </c>
      <c r="S7261">
        <v>2.698944</v>
      </c>
      <c r="T7261">
        <v>-0.4484167</v>
      </c>
      <c r="U7261">
        <v>1.67077599999999</v>
      </c>
      <c r="V7261">
        <v>0.317247099999999</v>
      </c>
      <c r="W7261">
        <v>6.5391409999999997E-2</v>
      </c>
      <c r="X7261">
        <v>0.94608579999999998</v>
      </c>
      <c r="Y7261">
        <v>0.56323599999999996</v>
      </c>
      <c r="Z7261">
        <v>-0.14579349999999999</v>
      </c>
      <c r="AA7261">
        <v>0.81333230000000001</v>
      </c>
      <c r="AB7261">
        <v>35</v>
      </c>
      <c r="AC7261">
        <v>6.5114999999999803</v>
      </c>
      <c r="AD7261">
        <v>-1.097469701821</v>
      </c>
      <c r="AE7261">
        <v>3.8816999999999902</v>
      </c>
      <c r="AF7261">
        <v>4.3543004952849396</v>
      </c>
      <c r="AG7261">
        <v>-1.097469701821</v>
      </c>
      <c r="AH7261">
        <v>6.0143231704460698</v>
      </c>
      <c r="AI7261">
        <v>98.407757555131695</v>
      </c>
      <c r="AJ7261">
        <v>54.095895863879498</v>
      </c>
      <c r="AK7261">
        <v>7.5057615035530096</v>
      </c>
      <c r="AL7261">
        <v>86.250673090492299</v>
      </c>
      <c r="AM7261">
        <v>71.462362071713301</v>
      </c>
      <c r="AN7261">
        <v>1.0000000499609101</v>
      </c>
    </row>
    <row r="7262" spans="1:40" x14ac:dyDescent="0.25">
      <c r="A7262" t="str">
        <f>"20190312151206068"</f>
        <v>20190312151206068</v>
      </c>
      <c r="B7262" t="str">
        <f>"1552374726058350"</f>
        <v>1552374726058350</v>
      </c>
      <c r="C7262" t="s">
        <v>40</v>
      </c>
      <c r="D7262">
        <v>5.3414710000000003</v>
      </c>
      <c r="E7262">
        <v>0.6139753</v>
      </c>
      <c r="F7262" t="s">
        <v>79</v>
      </c>
      <c r="G7262">
        <v>-174.79140000000001</v>
      </c>
      <c r="H7262" s="1">
        <v>-3.7125890000000002E-6</v>
      </c>
      <c r="I7262">
        <v>134.26750000000001</v>
      </c>
      <c r="J7262">
        <v>-181.2697</v>
      </c>
      <c r="K7262">
        <v>1.0972959999999901</v>
      </c>
      <c r="L7262">
        <v>130.47909999999999</v>
      </c>
      <c r="M7262">
        <v>0.40307989999999999</v>
      </c>
      <c r="N7262">
        <v>0</v>
      </c>
      <c r="O7262">
        <v>0.91502249999999996</v>
      </c>
      <c r="P7262">
        <v>0.67103119999999905</v>
      </c>
      <c r="Q7262">
        <v>5.9915820000000002E-2</v>
      </c>
      <c r="R7262">
        <v>0.73900429999999995</v>
      </c>
      <c r="S7262">
        <v>2.715103</v>
      </c>
      <c r="T7262">
        <v>-0.4539185</v>
      </c>
      <c r="U7262">
        <v>1.6428069999999999</v>
      </c>
      <c r="V7262">
        <v>0.31837480000000001</v>
      </c>
      <c r="W7262">
        <v>6.523582E-2</v>
      </c>
      <c r="X7262">
        <v>0.94571760000000005</v>
      </c>
      <c r="Y7262">
        <v>0.5644093</v>
      </c>
      <c r="Z7262">
        <v>-0.14750539999999901</v>
      </c>
      <c r="AA7262">
        <v>0.81220950000000003</v>
      </c>
      <c r="AB7262">
        <v>35</v>
      </c>
      <c r="AC7262">
        <v>6.4782999999999902</v>
      </c>
      <c r="AD7262">
        <v>-1.0972997125889901</v>
      </c>
      <c r="AE7262">
        <v>3.7884000000000202</v>
      </c>
      <c r="AF7262">
        <v>4.3092093733138004</v>
      </c>
      <c r="AG7262">
        <v>-1.0972997125889901</v>
      </c>
      <c r="AH7262">
        <v>5.9513030163384002</v>
      </c>
      <c r="AI7262">
        <v>98.493843356437097</v>
      </c>
      <c r="AJ7262">
        <v>54.0925182840367</v>
      </c>
      <c r="AK7262">
        <v>7.4290887512925803</v>
      </c>
      <c r="AL7262">
        <v>86.259606636969806</v>
      </c>
      <c r="AM7262">
        <v>71.394249837175295</v>
      </c>
      <c r="AN7262">
        <v>1.0000000022179301</v>
      </c>
    </row>
    <row r="7263" spans="1:40" x14ac:dyDescent="0.25">
      <c r="A7263" t="str">
        <f>"20190312151206080"</f>
        <v>20190312151206080</v>
      </c>
      <c r="B7263" t="str">
        <f>"1552374726069086"</f>
        <v>1552374726069086</v>
      </c>
      <c r="C7263" t="s">
        <v>40</v>
      </c>
      <c r="D7263">
        <v>5.3555869999999999</v>
      </c>
      <c r="E7263">
        <v>0.61363840000000003</v>
      </c>
      <c r="F7263" t="s">
        <v>79</v>
      </c>
      <c r="G7263">
        <v>-174.7174</v>
      </c>
      <c r="H7263" s="1">
        <v>-3.7175399999999998E-6</v>
      </c>
      <c r="I7263">
        <v>134.36709999999999</v>
      </c>
      <c r="J7263">
        <v>-181.18530000000001</v>
      </c>
      <c r="K7263">
        <v>1.097132</v>
      </c>
      <c r="L7263">
        <v>130.65629999999999</v>
      </c>
      <c r="M7263">
        <v>0.41052650000000002</v>
      </c>
      <c r="N7263">
        <v>0</v>
      </c>
      <c r="O7263">
        <v>0.91170510000000005</v>
      </c>
      <c r="P7263">
        <v>0.67772480000000002</v>
      </c>
      <c r="Q7263">
        <v>5.9973020000000002E-2</v>
      </c>
      <c r="R7263">
        <v>0.73286589999999996</v>
      </c>
      <c r="S7263">
        <v>2.7285159999999999</v>
      </c>
      <c r="T7263">
        <v>-0.45694050000000003</v>
      </c>
      <c r="U7263">
        <v>1.6190340000000001</v>
      </c>
      <c r="V7263">
        <v>0.31929610000000003</v>
      </c>
      <c r="W7263">
        <v>6.5173949999999994E-2</v>
      </c>
      <c r="X7263">
        <v>0.94541120000000001</v>
      </c>
      <c r="Y7263">
        <v>0.56457460000000004</v>
      </c>
      <c r="Z7263">
        <v>-0.1483737</v>
      </c>
      <c r="AA7263">
        <v>0.8119364</v>
      </c>
      <c r="AB7263">
        <v>35</v>
      </c>
      <c r="AC7263">
        <v>6.46790000000001</v>
      </c>
      <c r="AD7263">
        <v>-1.0971357175399901</v>
      </c>
      <c r="AE7263">
        <v>3.7107999999999999</v>
      </c>
      <c r="AF7263">
        <v>4.28132640338087</v>
      </c>
      <c r="AG7263">
        <v>-1.0971357175399901</v>
      </c>
      <c r="AH7263">
        <v>5.9112244194519796</v>
      </c>
      <c r="AI7263">
        <v>98.5485551915488</v>
      </c>
      <c r="AJ7263">
        <v>54.085288485642302</v>
      </c>
      <c r="AK7263">
        <v>7.3807883516677002</v>
      </c>
      <c r="AL7263">
        <v>86.2631590416959</v>
      </c>
      <c r="AM7263">
        <v>71.338502384023002</v>
      </c>
      <c r="AN7263">
        <v>0.99999999015962604</v>
      </c>
    </row>
    <row r="7264" spans="1:40" x14ac:dyDescent="0.25">
      <c r="A7264" t="str">
        <f>"20190312151206091"</f>
        <v>20190312151206091</v>
      </c>
      <c r="B7264" t="str">
        <f>"1552374726088606"</f>
        <v>1552374726088606</v>
      </c>
      <c r="C7264" t="s">
        <v>40</v>
      </c>
      <c r="D7264">
        <v>5.3806440000000002</v>
      </c>
      <c r="E7264">
        <v>0.61286719999999995</v>
      </c>
      <c r="F7264" t="s">
        <v>79</v>
      </c>
      <c r="G7264">
        <v>-174.64769999999999</v>
      </c>
      <c r="H7264" s="1">
        <v>-3.7228129999999999E-6</v>
      </c>
      <c r="I7264">
        <v>134.4624</v>
      </c>
      <c r="J7264">
        <v>-181.1052</v>
      </c>
      <c r="K7264">
        <v>1.0969799999999901</v>
      </c>
      <c r="L7264">
        <v>130.81979999999999</v>
      </c>
      <c r="M7264">
        <v>0.41752509999999998</v>
      </c>
      <c r="N7264">
        <v>0</v>
      </c>
      <c r="O7264">
        <v>0.90852060000000001</v>
      </c>
      <c r="P7264">
        <v>0.68409679999999995</v>
      </c>
      <c r="Q7264">
        <v>6.020884E-2</v>
      </c>
      <c r="R7264">
        <v>0.7269021</v>
      </c>
      <c r="S7264">
        <v>2.7413940000000001</v>
      </c>
      <c r="T7264">
        <v>-0.4600611</v>
      </c>
      <c r="U7264">
        <v>1.596039</v>
      </c>
      <c r="V7264">
        <v>0.32031920000000003</v>
      </c>
      <c r="W7264">
        <v>6.529625E-2</v>
      </c>
      <c r="X7264">
        <v>0.94505660000000002</v>
      </c>
      <c r="Y7264">
        <v>0.56487549999999997</v>
      </c>
      <c r="Z7264">
        <v>-0.14926879999999901</v>
      </c>
      <c r="AA7264">
        <v>0.81156300000000003</v>
      </c>
      <c r="AB7264">
        <v>35</v>
      </c>
      <c r="AC7264">
        <v>6.4574999999999996</v>
      </c>
      <c r="AD7264">
        <v>-1.0969837228129999</v>
      </c>
      <c r="AE7264">
        <v>3.6426000000000101</v>
      </c>
      <c r="AF7264">
        <v>4.2533509834455803</v>
      </c>
      <c r="AG7264">
        <v>-1.0969837228129999</v>
      </c>
      <c r="AH7264">
        <v>5.8776601008592397</v>
      </c>
      <c r="AI7264">
        <v>98.597979855280499</v>
      </c>
      <c r="AJ7264">
        <v>54.108734288597503</v>
      </c>
      <c r="AK7264">
        <v>7.3376601268883297</v>
      </c>
      <c r="AL7264">
        <v>86.2561367855876</v>
      </c>
      <c r="AM7264">
        <v>71.276331273883599</v>
      </c>
      <c r="AN7264">
        <v>0.99999998367813103</v>
      </c>
    </row>
    <row r="7265" spans="1:40" x14ac:dyDescent="0.25">
      <c r="A7265" t="str">
        <f>"20190312151206103"</f>
        <v>20190312151206103</v>
      </c>
      <c r="B7265" t="str">
        <f>"1552374726098366"</f>
        <v>1552374726098366</v>
      </c>
      <c r="C7265" t="s">
        <v>40</v>
      </c>
      <c r="D7265">
        <v>5.3446740000000004</v>
      </c>
      <c r="E7265">
        <v>0.61241060000000003</v>
      </c>
      <c r="F7265" t="s">
        <v>79</v>
      </c>
      <c r="G7265">
        <v>-174.55619999999999</v>
      </c>
      <c r="H7265" s="1">
        <v>-3.7235660000000001E-6</v>
      </c>
      <c r="I7265">
        <v>134.57130000000001</v>
      </c>
      <c r="J7265">
        <v>-181.0284</v>
      </c>
      <c r="K7265">
        <v>1.096841</v>
      </c>
      <c r="L7265">
        <v>130.97389999999999</v>
      </c>
      <c r="M7265">
        <v>0.42417379999999999</v>
      </c>
      <c r="N7265">
        <v>0</v>
      </c>
      <c r="O7265">
        <v>0.90543490000000004</v>
      </c>
      <c r="P7265">
        <v>0.689754599999999</v>
      </c>
      <c r="Q7265">
        <v>6.0034730000000001E-2</v>
      </c>
      <c r="R7265">
        <v>0.72155000000000002</v>
      </c>
      <c r="S7265">
        <v>2.7512210000000001</v>
      </c>
      <c r="T7265">
        <v>-0.46084580000000003</v>
      </c>
      <c r="U7265">
        <v>1.5760350000000001</v>
      </c>
      <c r="V7265">
        <v>0.32078489999999998</v>
      </c>
      <c r="W7265">
        <v>6.5035019999999999E-2</v>
      </c>
      <c r="X7265">
        <v>0.94491670000000005</v>
      </c>
      <c r="Y7265">
        <v>0.56451960000000001</v>
      </c>
      <c r="Z7265">
        <v>-0.14943310000000001</v>
      </c>
      <c r="AA7265">
        <v>0.81178039999999996</v>
      </c>
      <c r="AB7265">
        <v>35</v>
      </c>
      <c r="AC7265">
        <v>6.4722000000000097</v>
      </c>
      <c r="AD7265">
        <v>-1.0968447235659999</v>
      </c>
      <c r="AE7265">
        <v>3.5974000000000199</v>
      </c>
      <c r="AF7265">
        <v>4.2417355104044301</v>
      </c>
      <c r="AG7265">
        <v>-1.0968447235659999</v>
      </c>
      <c r="AH7265">
        <v>5.8744480052455703</v>
      </c>
      <c r="AI7265">
        <v>98.607901728699403</v>
      </c>
      <c r="AJ7265">
        <v>54.168253486347801</v>
      </c>
      <c r="AK7265">
        <v>7.3283373185310001</v>
      </c>
      <c r="AL7265">
        <v>86.271136246400204</v>
      </c>
      <c r="AM7265">
        <v>71.248428597146798</v>
      </c>
      <c r="AN7265">
        <v>1.00000003791664</v>
      </c>
    </row>
    <row r="7266" spans="1:40" x14ac:dyDescent="0.25">
      <c r="A7266" t="str">
        <f>"20190312151206114"</f>
        <v>20190312151206114</v>
      </c>
      <c r="B7266" t="str">
        <f>"1552374726108125"</f>
        <v>1552374726108125</v>
      </c>
      <c r="C7266" t="s">
        <v>40</v>
      </c>
      <c r="D7266">
        <v>5.3105560000000001</v>
      </c>
      <c r="E7266">
        <v>0.61188310000000001</v>
      </c>
      <c r="F7266" t="s">
        <v>79</v>
      </c>
      <c r="G7266">
        <v>-174.4922</v>
      </c>
      <c r="H7266" s="1">
        <v>-3.7282990000000001E-6</v>
      </c>
      <c r="I7266">
        <v>134.65860000000001</v>
      </c>
      <c r="J7266">
        <v>-180.93780000000001</v>
      </c>
      <c r="K7266">
        <v>1.0966819999999999</v>
      </c>
      <c r="L7266">
        <v>131.15260000000001</v>
      </c>
      <c r="M7266">
        <v>0.4319654</v>
      </c>
      <c r="N7266">
        <v>0</v>
      </c>
      <c r="O7266">
        <v>0.90174290000000001</v>
      </c>
      <c r="P7266">
        <v>0.69660259999999996</v>
      </c>
      <c r="Q7266">
        <v>6.0033339999999998E-2</v>
      </c>
      <c r="R7266">
        <v>0.71494099999999905</v>
      </c>
      <c r="S7266">
        <v>2.761307</v>
      </c>
      <c r="T7266">
        <v>-0.46337739999999999</v>
      </c>
      <c r="U7266">
        <v>1.5566409999999999</v>
      </c>
      <c r="V7266">
        <v>0.3216715</v>
      </c>
      <c r="W7266">
        <v>6.4920340000000007E-2</v>
      </c>
      <c r="X7266">
        <v>0.94462310000000005</v>
      </c>
      <c r="Y7266">
        <v>0.56293740000000003</v>
      </c>
      <c r="Z7266">
        <v>-0.15003449999999999</v>
      </c>
      <c r="AA7266">
        <v>0.81276759999999904</v>
      </c>
      <c r="AB7266">
        <v>35</v>
      </c>
      <c r="AC7266">
        <v>6.4456000000000104</v>
      </c>
      <c r="AD7266">
        <v>-1.0966857282989999</v>
      </c>
      <c r="AE7266">
        <v>3.5059999999999998</v>
      </c>
      <c r="AF7266">
        <v>4.2044482179739102</v>
      </c>
      <c r="AG7266">
        <v>-1.0966857282989999</v>
      </c>
      <c r="AH7266">
        <v>5.8166348416069704</v>
      </c>
      <c r="AI7266">
        <v>98.687804136361294</v>
      </c>
      <c r="AJ7266">
        <v>54.139402818909701</v>
      </c>
      <c r="AK7266">
        <v>7.2603956699944998</v>
      </c>
      <c r="AL7266">
        <v>86.277720710193805</v>
      </c>
      <c r="AM7266">
        <v>71.194805640723004</v>
      </c>
      <c r="AN7266">
        <v>1.00000000275578</v>
      </c>
    </row>
    <row r="7267" spans="1:40" x14ac:dyDescent="0.25">
      <c r="A7267" t="str">
        <f>"20190312151206127"</f>
        <v>20190312151206127</v>
      </c>
      <c r="B7267" t="str">
        <f>"1552374726118862"</f>
        <v>1552374726118862</v>
      </c>
      <c r="C7267" t="s">
        <v>40</v>
      </c>
      <c r="D7267">
        <v>5.399527</v>
      </c>
      <c r="E7267">
        <v>0.61147899999999999</v>
      </c>
      <c r="F7267" t="s">
        <v>79</v>
      </c>
      <c r="G7267">
        <v>-174.38040000000001</v>
      </c>
      <c r="H7267" s="1">
        <v>-3.7236499999999999E-6</v>
      </c>
      <c r="I7267">
        <v>134.77709999999999</v>
      </c>
      <c r="J7267">
        <v>-180.8475</v>
      </c>
      <c r="K7267">
        <v>1.0965290000000001</v>
      </c>
      <c r="L7267">
        <v>131.32570000000001</v>
      </c>
      <c r="M7267">
        <v>0.43963360000000001</v>
      </c>
      <c r="N7267">
        <v>0</v>
      </c>
      <c r="O7267">
        <v>0.89802870000000001</v>
      </c>
      <c r="P7267">
        <v>0.70337830000000001</v>
      </c>
      <c r="Q7267">
        <v>5.9995819999999998E-2</v>
      </c>
      <c r="R7267">
        <v>0.70827929999999995</v>
      </c>
      <c r="S7267">
        <v>2.7733460000000001</v>
      </c>
      <c r="T7267">
        <v>-0.4638275</v>
      </c>
      <c r="U7267">
        <v>1.5328980000000001</v>
      </c>
      <c r="V7267">
        <v>0.32263750000000002</v>
      </c>
      <c r="W7267">
        <v>6.4772839999999998E-2</v>
      </c>
      <c r="X7267">
        <v>0.94430380000000003</v>
      </c>
      <c r="Y7267">
        <v>0.56274499999999905</v>
      </c>
      <c r="Z7267">
        <v>-0.15003179999999999</v>
      </c>
      <c r="AA7267">
        <v>0.81290130000000005</v>
      </c>
      <c r="AB7267">
        <v>35</v>
      </c>
      <c r="AC7267">
        <v>6.4670999999999799</v>
      </c>
      <c r="AD7267">
        <v>-1.09653272365</v>
      </c>
      <c r="AE7267">
        <v>3.4513999999999698</v>
      </c>
      <c r="AF7267">
        <v>4.1969515439740102</v>
      </c>
      <c r="AG7267">
        <v>-1.09653272365</v>
      </c>
      <c r="AH7267">
        <v>5.8133247871035802</v>
      </c>
      <c r="AI7267">
        <v>98.695048822499004</v>
      </c>
      <c r="AJ7267">
        <v>54.1724581681042</v>
      </c>
      <c r="AK7267">
        <v>7.2533806846775901</v>
      </c>
      <c r="AL7267">
        <v>86.286189920066604</v>
      </c>
      <c r="AM7267">
        <v>71.136392431877596</v>
      </c>
      <c r="AN7267">
        <v>1.0000000719511699</v>
      </c>
    </row>
    <row r="7268" spans="1:40" x14ac:dyDescent="0.25">
      <c r="A7268" t="str">
        <f>"20190312151206139"</f>
        <v>20190312151206139</v>
      </c>
      <c r="B7268" t="str">
        <f>"1552374726128622"</f>
        <v>1552374726128622</v>
      </c>
      <c r="C7268" t="s">
        <v>40</v>
      </c>
      <c r="D7268">
        <v>5.4254939999999996</v>
      </c>
      <c r="E7268">
        <v>0.61116530000000002</v>
      </c>
      <c r="F7268" t="s">
        <v>79</v>
      </c>
      <c r="G7268">
        <v>-174.30099999999999</v>
      </c>
      <c r="H7268" s="1">
        <v>-3.7243020000000001E-6</v>
      </c>
      <c r="I7268">
        <v>134.8716</v>
      </c>
      <c r="J7268">
        <v>-180.76240000000001</v>
      </c>
      <c r="K7268">
        <v>1.0963879999999999</v>
      </c>
      <c r="L7268">
        <v>131.4871</v>
      </c>
      <c r="M7268">
        <v>0.44680880000000001</v>
      </c>
      <c r="N7268">
        <v>0</v>
      </c>
      <c r="O7268">
        <v>0.89447960000000004</v>
      </c>
      <c r="P7268">
        <v>0.70948250000000002</v>
      </c>
      <c r="Q7268">
        <v>5.9807590000000001E-2</v>
      </c>
      <c r="R7268">
        <v>0.70218059999999904</v>
      </c>
      <c r="S7268">
        <v>2.7855989999999999</v>
      </c>
      <c r="T7268">
        <v>-0.46658470000000002</v>
      </c>
      <c r="U7268">
        <v>1.5087740000000001</v>
      </c>
      <c r="V7268">
        <v>0.32325979999999999</v>
      </c>
      <c r="W7268">
        <v>6.4492079999999993E-2</v>
      </c>
      <c r="X7268">
        <v>0.94411009999999995</v>
      </c>
      <c r="Y7268">
        <v>0.56298649999999995</v>
      </c>
      <c r="Z7268">
        <v>-0.1507714</v>
      </c>
      <c r="AA7268">
        <v>0.81259720000000002</v>
      </c>
      <c r="AB7268">
        <v>35</v>
      </c>
      <c r="AC7268">
        <v>6.4614000000000198</v>
      </c>
      <c r="AD7268">
        <v>-1.0963917243019901</v>
      </c>
      <c r="AE7268">
        <v>3.3845000000000001</v>
      </c>
      <c r="AF7268">
        <v>4.1736413191070403</v>
      </c>
      <c r="AG7268">
        <v>-1.0963917243019901</v>
      </c>
      <c r="AH7268">
        <v>5.78447827010827</v>
      </c>
      <c r="AI7268">
        <v>98.738389565346296</v>
      </c>
      <c r="AJ7268">
        <v>54.1886379528246</v>
      </c>
      <c r="AK7268">
        <v>7.2167545012304704</v>
      </c>
      <c r="AL7268">
        <v>86.302309734519298</v>
      </c>
      <c r="AM7268">
        <v>71.098986172552998</v>
      </c>
      <c r="AN7268">
        <v>1.00000000380038</v>
      </c>
    </row>
    <row r="7269" spans="1:40" x14ac:dyDescent="0.25">
      <c r="A7269" t="str">
        <f>"20190312151206151"</f>
        <v>20190312151206151</v>
      </c>
      <c r="B7269" t="str">
        <f>"1552374726148142"</f>
        <v>1552374726148142</v>
      </c>
      <c r="C7269" t="s">
        <v>40</v>
      </c>
      <c r="D7269">
        <v>5.1991820000000004</v>
      </c>
      <c r="E7269">
        <v>0.61228689999999997</v>
      </c>
      <c r="F7269" t="s">
        <v>79</v>
      </c>
      <c r="G7269">
        <v>-174.23419999999999</v>
      </c>
      <c r="H7269" s="1">
        <v>-3.7268009999999999E-6</v>
      </c>
      <c r="I7269">
        <v>134.95609999999999</v>
      </c>
      <c r="J7269">
        <v>-180.6703</v>
      </c>
      <c r="K7269">
        <v>1.096244</v>
      </c>
      <c r="L7269">
        <v>131.6566</v>
      </c>
      <c r="M7269">
        <v>0.45448369999999999</v>
      </c>
      <c r="N7269">
        <v>0</v>
      </c>
      <c r="O7269">
        <v>0.89060379999999995</v>
      </c>
      <c r="P7269">
        <v>0.71593249999999997</v>
      </c>
      <c r="Q7269">
        <v>5.9348440000000002E-2</v>
      </c>
      <c r="R7269">
        <v>0.69564250000000005</v>
      </c>
      <c r="S7269">
        <v>2.7969970000000002</v>
      </c>
      <c r="T7269">
        <v>-0.46974749999999998</v>
      </c>
      <c r="U7269">
        <v>1.486313</v>
      </c>
      <c r="V7269">
        <v>0.32384359999999901</v>
      </c>
      <c r="W7269">
        <v>6.3942479999999996E-2</v>
      </c>
      <c r="X7269">
        <v>0.94394739999999999</v>
      </c>
      <c r="Y7269">
        <v>0.56225159999999996</v>
      </c>
      <c r="Z7269">
        <v>-0.15155769999999999</v>
      </c>
      <c r="AA7269">
        <v>0.81295969999999995</v>
      </c>
      <c r="AB7269">
        <v>35</v>
      </c>
      <c r="AC7269">
        <v>6.4360999999999997</v>
      </c>
      <c r="AD7269">
        <v>-1.096247726801</v>
      </c>
      <c r="AE7269">
        <v>3.2994999999999899</v>
      </c>
      <c r="AF7269">
        <v>4.1379521529976699</v>
      </c>
      <c r="AG7269">
        <v>-1.096247726801</v>
      </c>
      <c r="AH7269">
        <v>5.7327373759428699</v>
      </c>
      <c r="AI7269">
        <v>98.813704745000393</v>
      </c>
      <c r="AJ7269">
        <v>54.177839468097602</v>
      </c>
      <c r="AK7269">
        <v>7.1546268190973299</v>
      </c>
      <c r="AL7269">
        <v>86.333864634434505</v>
      </c>
      <c r="AM7269">
        <v>71.064249684969496</v>
      </c>
      <c r="AN7269">
        <v>1.00000000598813</v>
      </c>
    </row>
    <row r="7270" spans="1:40" x14ac:dyDescent="0.25">
      <c r="A7270" t="str">
        <f>"20190312151206166"</f>
        <v>20190312151206166</v>
      </c>
      <c r="B7270" t="str">
        <f>"1552374726158878"</f>
        <v>1552374726158878</v>
      </c>
      <c r="C7270" t="s">
        <v>40</v>
      </c>
      <c r="D7270">
        <v>5.2228190000000003</v>
      </c>
      <c r="E7270">
        <v>0.61343689999999995</v>
      </c>
      <c r="F7270" t="s">
        <v>79</v>
      </c>
      <c r="G7270">
        <v>-173.98240000000001</v>
      </c>
      <c r="H7270" s="1">
        <v>-3.6731870000000001E-6</v>
      </c>
      <c r="I7270">
        <v>135.10910000000001</v>
      </c>
      <c r="J7270">
        <v>-180.55539999999999</v>
      </c>
      <c r="K7270">
        <v>1.096071</v>
      </c>
      <c r="L7270">
        <v>131.864</v>
      </c>
      <c r="M7270">
        <v>0.46395189999999997</v>
      </c>
      <c r="N7270">
        <v>0</v>
      </c>
      <c r="O7270">
        <v>0.88570740000000003</v>
      </c>
      <c r="P7270">
        <v>0.72356919999999902</v>
      </c>
      <c r="Q7270">
        <v>5.8059810000000003E-2</v>
      </c>
      <c r="R7270">
        <v>0.68780580000000002</v>
      </c>
      <c r="S7270">
        <v>2.816071</v>
      </c>
      <c r="T7270">
        <v>-0.46159919999999999</v>
      </c>
      <c r="U7270">
        <v>1.453751</v>
      </c>
      <c r="V7270">
        <v>0.32413380000000003</v>
      </c>
      <c r="W7270">
        <v>6.2562409999999999E-2</v>
      </c>
      <c r="X7270">
        <v>0.94394029999999995</v>
      </c>
      <c r="Y7270">
        <v>0.56356600000000001</v>
      </c>
      <c r="Z7270">
        <v>-0.148673</v>
      </c>
      <c r="AA7270">
        <v>0.81258209999999997</v>
      </c>
      <c r="AB7270">
        <v>35</v>
      </c>
      <c r="AC7270">
        <v>6.5729999999999702</v>
      </c>
      <c r="AD7270">
        <v>-1.0960746731869999</v>
      </c>
      <c r="AE7270">
        <v>3.2450999999999999</v>
      </c>
      <c r="AF7270">
        <v>4.2223679286455802</v>
      </c>
      <c r="AG7270">
        <v>-1.0960746731869999</v>
      </c>
      <c r="AH7270">
        <v>5.7950060832284702</v>
      </c>
      <c r="AI7270">
        <v>98.691360683016399</v>
      </c>
      <c r="AJ7270">
        <v>53.922102106900503</v>
      </c>
      <c r="AK7270">
        <v>7.2534037609050603</v>
      </c>
      <c r="AL7270">
        <v>86.413095577806999</v>
      </c>
      <c r="AM7270">
        <v>71.048359126629805</v>
      </c>
      <c r="AN7270">
        <v>1.0000000327057601</v>
      </c>
    </row>
    <row r="7271" spans="1:40" x14ac:dyDescent="0.25">
      <c r="A7271" t="str">
        <f>"20190312151206179"</f>
        <v>20190312151206179</v>
      </c>
      <c r="B7271" t="str">
        <f>"1552374726168637"</f>
        <v>1552374726168637</v>
      </c>
      <c r="C7271" t="s">
        <v>40</v>
      </c>
      <c r="D7271">
        <v>5.2792430000000001</v>
      </c>
      <c r="E7271">
        <v>0.61441279999999998</v>
      </c>
      <c r="F7271" t="s">
        <v>79</v>
      </c>
      <c r="G7271">
        <v>-173.87629999999999</v>
      </c>
      <c r="H7271" s="1">
        <v>-3.6588640000000001E-6</v>
      </c>
      <c r="I7271">
        <v>135.19540000000001</v>
      </c>
      <c r="J7271">
        <v>-180.45740000000001</v>
      </c>
      <c r="K7271">
        <v>1.0959299999999901</v>
      </c>
      <c r="L7271">
        <v>132.0377</v>
      </c>
      <c r="M7271">
        <v>0.47194150000000001</v>
      </c>
      <c r="N7271">
        <v>0</v>
      </c>
      <c r="O7271">
        <v>0.88147540000000002</v>
      </c>
      <c r="P7271">
        <v>0.72972389999999998</v>
      </c>
      <c r="Q7271">
        <v>5.7603729999999999E-2</v>
      </c>
      <c r="R7271">
        <v>0.68131109999999995</v>
      </c>
      <c r="S7271">
        <v>2.8379059999999998</v>
      </c>
      <c r="T7271">
        <v>-0.46571889999999999</v>
      </c>
      <c r="U7271">
        <v>1.415497</v>
      </c>
      <c r="V7271">
        <v>0.32407269999999999</v>
      </c>
      <c r="W7271">
        <v>6.2043679999999997E-2</v>
      </c>
      <c r="X7271">
        <v>0.94399549999999999</v>
      </c>
      <c r="Y7271">
        <v>0.56723440000000003</v>
      </c>
      <c r="Z7271">
        <v>-0.14980070000000001</v>
      </c>
      <c r="AA7271">
        <v>0.80981789999999998</v>
      </c>
      <c r="AB7271">
        <v>35</v>
      </c>
      <c r="AC7271">
        <v>6.5811000000000197</v>
      </c>
      <c r="AD7271">
        <v>-1.0959336588639901</v>
      </c>
      <c r="AE7271">
        <v>3.1577000000000002</v>
      </c>
      <c r="AF7271">
        <v>4.2163706527203901</v>
      </c>
      <c r="AG7271">
        <v>-1.0959336588639901</v>
      </c>
      <c r="AH7271">
        <v>5.76028406101097</v>
      </c>
      <c r="AI7271">
        <v>98.728110605636303</v>
      </c>
      <c r="AJ7271">
        <v>53.796890908700597</v>
      </c>
      <c r="AK7271">
        <v>7.2221689629424901</v>
      </c>
      <c r="AL7271">
        <v>86.442874418618302</v>
      </c>
      <c r="AM7271">
        <v>71.052705665154804</v>
      </c>
      <c r="AN7271">
        <v>1.0000000185667399</v>
      </c>
    </row>
    <row r="7272" spans="1:40" x14ac:dyDescent="0.25">
      <c r="A7272" t="str">
        <f>"20190312151206190"</f>
        <v>20190312151206190</v>
      </c>
      <c r="B7272" t="str">
        <f>"1552374726178398"</f>
        <v>1552374726178398</v>
      </c>
      <c r="C7272" t="s">
        <v>40</v>
      </c>
      <c r="D7272">
        <v>5.265828</v>
      </c>
      <c r="E7272">
        <v>0.61529679999999998</v>
      </c>
      <c r="F7272" t="s">
        <v>79</v>
      </c>
      <c r="G7272">
        <v>-173.76150000000001</v>
      </c>
      <c r="H7272" s="1">
        <v>-3.6411659999999999E-6</v>
      </c>
      <c r="I7272">
        <v>135.28290000000001</v>
      </c>
      <c r="J7272">
        <v>-180.36859999999999</v>
      </c>
      <c r="K7272">
        <v>1.095812</v>
      </c>
      <c r="L7272">
        <v>132.19030000000001</v>
      </c>
      <c r="M7272">
        <v>0.47907129999999998</v>
      </c>
      <c r="N7272">
        <v>0</v>
      </c>
      <c r="O7272">
        <v>0.87762019999999996</v>
      </c>
      <c r="P7272">
        <v>0.73495790000000005</v>
      </c>
      <c r="Q7272">
        <v>5.7350619999999998E-2</v>
      </c>
      <c r="R7272">
        <v>0.67568329999999999</v>
      </c>
      <c r="S7272">
        <v>2.855804</v>
      </c>
      <c r="T7272">
        <v>-0.46742080000000003</v>
      </c>
      <c r="U7272">
        <v>1.3840790000000001</v>
      </c>
      <c r="V7272">
        <v>0.32370080000000001</v>
      </c>
      <c r="W7272">
        <v>6.175336E-2</v>
      </c>
      <c r="X7272">
        <v>0.94414209999999998</v>
      </c>
      <c r="Y7272">
        <v>0.56974950000000002</v>
      </c>
      <c r="Z7272">
        <v>-0.15012590000000001</v>
      </c>
      <c r="AA7272">
        <v>0.80798999999999999</v>
      </c>
      <c r="AB7272">
        <v>35</v>
      </c>
      <c r="AC7272">
        <v>6.6070999999999698</v>
      </c>
      <c r="AD7272">
        <v>-1.0958156411660001</v>
      </c>
      <c r="AE7272">
        <v>3.0926</v>
      </c>
      <c r="AF7272">
        <v>4.2222675098714202</v>
      </c>
      <c r="AG7272">
        <v>-1.0958156411660001</v>
      </c>
      <c r="AH7272">
        <v>5.7504509010763298</v>
      </c>
      <c r="AI7272">
        <v>98.732537603845003</v>
      </c>
      <c r="AJ7272">
        <v>53.712030164773502</v>
      </c>
      <c r="AK7272">
        <v>7.2177586832776202</v>
      </c>
      <c r="AL7272">
        <v>86.4595404042648</v>
      </c>
      <c r="AM7272">
        <v>71.075630508988795</v>
      </c>
      <c r="AN7272">
        <v>0.99999999519216898</v>
      </c>
    </row>
    <row r="7273" spans="1:40" x14ac:dyDescent="0.25">
      <c r="A7273" t="str">
        <f>"20190312151206202"</f>
        <v>20190312151206202</v>
      </c>
      <c r="B7273" t="str">
        <f>"1552374726198895"</f>
        <v>1552374726198895</v>
      </c>
      <c r="C7273" t="s">
        <v>40</v>
      </c>
      <c r="D7273">
        <v>5.1973820000000002</v>
      </c>
      <c r="E7273">
        <v>0.61699899999999996</v>
      </c>
      <c r="F7273" t="s">
        <v>79</v>
      </c>
      <c r="G7273">
        <v>-173.6456</v>
      </c>
      <c r="H7273" s="1">
        <v>-3.6220779999999998E-6</v>
      </c>
      <c r="I7273">
        <v>135.3681</v>
      </c>
      <c r="J7273">
        <v>-180.27269999999999</v>
      </c>
      <c r="K7273">
        <v>1.0956859999999999</v>
      </c>
      <c r="L7273">
        <v>132.35319999999999</v>
      </c>
      <c r="M7273">
        <v>0.4867129</v>
      </c>
      <c r="N7273">
        <v>0</v>
      </c>
      <c r="O7273">
        <v>0.87340479999999998</v>
      </c>
      <c r="P7273">
        <v>0.74063990000000002</v>
      </c>
      <c r="Q7273">
        <v>5.6958000000000002E-2</v>
      </c>
      <c r="R7273">
        <v>0.66948369999999902</v>
      </c>
      <c r="S7273">
        <v>2.8708499999999999</v>
      </c>
      <c r="T7273">
        <v>-0.46793069999999998</v>
      </c>
      <c r="U7273">
        <v>1.3569789999999999</v>
      </c>
      <c r="V7273">
        <v>0.32342490000000002</v>
      </c>
      <c r="W7273">
        <v>6.1316460000000003E-2</v>
      </c>
      <c r="X7273">
        <v>0.94426509999999997</v>
      </c>
      <c r="Y7273">
        <v>0.57050159999999905</v>
      </c>
      <c r="Z7273">
        <v>-0.1499791</v>
      </c>
      <c r="AA7273">
        <v>0.80748640000000005</v>
      </c>
      <c r="AB7273">
        <v>35</v>
      </c>
      <c r="AC7273">
        <v>6.62709999999998</v>
      </c>
      <c r="AD7273">
        <v>-1.0956896220779999</v>
      </c>
      <c r="AE7273">
        <v>3.0149000000000101</v>
      </c>
      <c r="AF7273">
        <v>4.2256405947012601</v>
      </c>
      <c r="AG7273">
        <v>-1.0956896220779999</v>
      </c>
      <c r="AH7273">
        <v>5.7297592417594201</v>
      </c>
      <c r="AI7273">
        <v>98.749258377067406</v>
      </c>
      <c r="AJ7273">
        <v>53.5915936188781</v>
      </c>
      <c r="AK7273">
        <v>7.2032433772602804</v>
      </c>
      <c r="AL7273">
        <v>86.484620393780503</v>
      </c>
      <c r="AM7273">
        <v>71.092902062069896</v>
      </c>
      <c r="AN7273">
        <v>0.99999997664247497</v>
      </c>
    </row>
    <row r="7274" spans="1:40" x14ac:dyDescent="0.25">
      <c r="A7274" t="str">
        <f>"20190312151206223"</f>
        <v>20190312151206223</v>
      </c>
      <c r="B7274" t="str">
        <f>"1552374726218414"</f>
        <v>1552374726218414</v>
      </c>
      <c r="C7274" t="s">
        <v>40</v>
      </c>
      <c r="D7274">
        <v>5.277323</v>
      </c>
      <c r="E7274">
        <v>0.61808039999999997</v>
      </c>
      <c r="F7274" t="s">
        <v>79</v>
      </c>
      <c r="G7274">
        <v>-173.52440000000001</v>
      </c>
      <c r="H7274" s="1">
        <v>-3.5959569999999998E-6</v>
      </c>
      <c r="I7274">
        <v>135.4408</v>
      </c>
      <c r="J7274">
        <v>-180.10319999999999</v>
      </c>
      <c r="K7274">
        <v>1.095485</v>
      </c>
      <c r="L7274">
        <v>132.63249999999999</v>
      </c>
      <c r="M7274">
        <v>0.49998359999999897</v>
      </c>
      <c r="N7274">
        <v>0</v>
      </c>
      <c r="O7274">
        <v>0.86587510000000001</v>
      </c>
      <c r="P7274">
        <v>0.75031029999999999</v>
      </c>
      <c r="Q7274">
        <v>5.6677650000000003E-2</v>
      </c>
      <c r="R7274">
        <v>0.65865189999999996</v>
      </c>
      <c r="S7274">
        <v>2.8909760000000002</v>
      </c>
      <c r="T7274">
        <v>-0.46939920000000002</v>
      </c>
      <c r="U7274">
        <v>1.3227690000000001</v>
      </c>
      <c r="V7274">
        <v>0.3227737</v>
      </c>
      <c r="W7274">
        <v>6.0974729999999998E-2</v>
      </c>
      <c r="X7274">
        <v>0.94450999999999996</v>
      </c>
      <c r="Y7274">
        <v>0.56809460000000001</v>
      </c>
      <c r="Z7274">
        <v>-0.14966760000000001</v>
      </c>
      <c r="AA7274">
        <v>0.80923929999999999</v>
      </c>
      <c r="AB7274">
        <v>35</v>
      </c>
      <c r="AC7274">
        <v>6.57879999999997</v>
      </c>
      <c r="AD7274">
        <v>-1.095488595957</v>
      </c>
      <c r="AE7274">
        <v>2.8083</v>
      </c>
      <c r="AF7274">
        <v>4.1945289704845798</v>
      </c>
      <c r="AG7274">
        <v>-1.095488595957</v>
      </c>
      <c r="AH7274">
        <v>5.5905967164906203</v>
      </c>
      <c r="AI7274">
        <v>98.908080483206007</v>
      </c>
      <c r="AJ7274">
        <v>53.119730980016897</v>
      </c>
      <c r="AK7274">
        <v>7.0745275598121697</v>
      </c>
      <c r="AL7274">
        <v>86.504236726501802</v>
      </c>
      <c r="AM7274">
        <v>71.132821016406098</v>
      </c>
      <c r="AN7274">
        <v>0.99999995960513</v>
      </c>
    </row>
    <row r="7275" spans="1:40" x14ac:dyDescent="0.25">
      <c r="A7275" t="str">
        <f>"20190312151206245"</f>
        <v>20190312151206245</v>
      </c>
      <c r="B7275" t="str">
        <f>"1552374726238910"</f>
        <v>1552374726238910</v>
      </c>
      <c r="C7275" t="s">
        <v>40</v>
      </c>
      <c r="D7275">
        <v>5.1725370000000002</v>
      </c>
      <c r="E7275">
        <v>0.61890599999999996</v>
      </c>
      <c r="F7275" t="s">
        <v>79</v>
      </c>
      <c r="G7275">
        <v>-173.31370000000001</v>
      </c>
      <c r="H7275" s="1">
        <v>-3.5632189999999999E-6</v>
      </c>
      <c r="I7275">
        <v>135.60079999999999</v>
      </c>
      <c r="J7275">
        <v>-179.91739999999999</v>
      </c>
      <c r="K7275">
        <v>1.095291</v>
      </c>
      <c r="L7275">
        <v>132.92779999999999</v>
      </c>
      <c r="M7275">
        <v>0.51422020000000002</v>
      </c>
      <c r="N7275">
        <v>0</v>
      </c>
      <c r="O7275">
        <v>0.85749549999999997</v>
      </c>
      <c r="P7275">
        <v>0.76123790000000002</v>
      </c>
      <c r="Q7275">
        <v>5.6661370000000003E-2</v>
      </c>
      <c r="R7275">
        <v>0.64599249999999997</v>
      </c>
      <c r="S7275">
        <v>2.9150999999999998</v>
      </c>
      <c r="T7275">
        <v>-0.47035460000000001</v>
      </c>
      <c r="U7275">
        <v>1.2744599999999999</v>
      </c>
      <c r="V7275">
        <v>0.32301940000000001</v>
      </c>
      <c r="W7275">
        <v>6.0862880000000001E-2</v>
      </c>
      <c r="X7275">
        <v>0.94443330000000003</v>
      </c>
      <c r="Y7275">
        <v>0.56832530000000003</v>
      </c>
      <c r="Z7275">
        <v>-0.1493129</v>
      </c>
      <c r="AA7275">
        <v>0.80914280000000005</v>
      </c>
      <c r="AB7275">
        <v>34</v>
      </c>
      <c r="AC7275">
        <v>6.6036999999999697</v>
      </c>
      <c r="AD7275">
        <v>-1.0952945632189901</v>
      </c>
      <c r="AE7275">
        <v>2.673</v>
      </c>
      <c r="AF7275">
        <v>4.1896987152199099</v>
      </c>
      <c r="AG7275">
        <v>-1.0952945632189901</v>
      </c>
      <c r="AH7275">
        <v>5.5572774797611002</v>
      </c>
      <c r="AI7275">
        <v>98.943711359761494</v>
      </c>
      <c r="AJ7275">
        <v>52.986917692509799</v>
      </c>
      <c r="AK7275">
        <v>7.04532316445402</v>
      </c>
      <c r="AL7275">
        <v>86.510657467031805</v>
      </c>
      <c r="AM7275">
        <v>71.118051339061793</v>
      </c>
      <c r="AN7275">
        <v>1.0000000405435701</v>
      </c>
    </row>
    <row r="7276" spans="1:40" x14ac:dyDescent="0.25">
      <c r="A7276" t="str">
        <f>"20190312151206255"</f>
        <v>20190312151206255</v>
      </c>
      <c r="B7276" t="str">
        <f>"1552374726248670"</f>
        <v>1552374726248670</v>
      </c>
      <c r="C7276" t="s">
        <v>40</v>
      </c>
      <c r="D7276">
        <v>5.248456</v>
      </c>
      <c r="E7276">
        <v>0.6192107</v>
      </c>
      <c r="F7276" t="s">
        <v>79</v>
      </c>
      <c r="G7276">
        <v>-173.08240000000001</v>
      </c>
      <c r="H7276" s="1">
        <v>-3.5234079999999998E-6</v>
      </c>
      <c r="I7276">
        <v>135.7662</v>
      </c>
      <c r="J7276">
        <v>-179.8254</v>
      </c>
      <c r="K7276">
        <v>1.0951979999999999</v>
      </c>
      <c r="L7276">
        <v>133.07079999999999</v>
      </c>
      <c r="M7276">
        <v>0.52115879999999903</v>
      </c>
      <c r="N7276">
        <v>0</v>
      </c>
      <c r="O7276">
        <v>0.85329569999999999</v>
      </c>
      <c r="P7276">
        <v>0.76656590000000002</v>
      </c>
      <c r="Q7276">
        <v>5.6856650000000002E-2</v>
      </c>
      <c r="R7276">
        <v>0.63964379999999998</v>
      </c>
      <c r="S7276">
        <v>2.9399410000000001</v>
      </c>
      <c r="T7276">
        <v>-0.4711188</v>
      </c>
      <c r="U7276">
        <v>1.22087099999999</v>
      </c>
      <c r="V7276">
        <v>0.323216</v>
      </c>
      <c r="W7276">
        <v>6.1010889999999998E-2</v>
      </c>
      <c r="X7276">
        <v>0.94435639999999998</v>
      </c>
      <c r="Y7276">
        <v>0.57662209999999903</v>
      </c>
      <c r="Z7276">
        <v>-0.14960979999999999</v>
      </c>
      <c r="AA7276">
        <v>0.80319600000000002</v>
      </c>
      <c r="AB7276">
        <v>34</v>
      </c>
      <c r="AC7276">
        <v>6.7429999999999897</v>
      </c>
      <c r="AD7276">
        <v>-1.0952015234079999</v>
      </c>
      <c r="AE7276">
        <v>2.6953999999999998</v>
      </c>
      <c r="AF7276">
        <v>4.2529138854731201</v>
      </c>
      <c r="AG7276">
        <v>-1.0952015234079999</v>
      </c>
      <c r="AH7276">
        <v>5.6856359555647202</v>
      </c>
      <c r="AI7276">
        <v>98.768654039407195</v>
      </c>
      <c r="AJ7276">
        <v>53.203135366485299</v>
      </c>
      <c r="AK7276">
        <v>7.1842326739419899</v>
      </c>
      <c r="AL7276">
        <v>86.502161050682702</v>
      </c>
      <c r="AM7276">
        <v>71.105944717719495</v>
      </c>
      <c r="AN7276">
        <v>0.99999996078777498</v>
      </c>
    </row>
    <row r="7277" spans="1:40" x14ac:dyDescent="0.25">
      <c r="A7277" t="str">
        <f>"20190312151206267"</f>
        <v>20190312151206267</v>
      </c>
      <c r="B7277" t="str">
        <f>"1552374726258430"</f>
        <v>1552374726258430</v>
      </c>
      <c r="C7277" t="s">
        <v>40</v>
      </c>
      <c r="D7277">
        <v>5.2451410000000003</v>
      </c>
      <c r="E7277">
        <v>0.61960139999999997</v>
      </c>
      <c r="F7277" t="s">
        <v>79</v>
      </c>
      <c r="G7277">
        <v>-172.96080000000001</v>
      </c>
      <c r="H7277" s="1">
        <v>-3.5006859999999998E-6</v>
      </c>
      <c r="I7277">
        <v>135.8484</v>
      </c>
      <c r="J7277">
        <v>-179.73349999999999</v>
      </c>
      <c r="K7277">
        <v>1.095118</v>
      </c>
      <c r="L7277">
        <v>133.2099</v>
      </c>
      <c r="M7277">
        <v>0.52798639999999997</v>
      </c>
      <c r="N7277">
        <v>0</v>
      </c>
      <c r="O7277">
        <v>0.84908739999999905</v>
      </c>
      <c r="P7277">
        <v>0.77198089999999997</v>
      </c>
      <c r="Q7277">
        <v>5.7032760000000002E-2</v>
      </c>
      <c r="R7277">
        <v>0.63308219999999904</v>
      </c>
      <c r="S7277">
        <v>2.9518740000000001</v>
      </c>
      <c r="T7277">
        <v>-0.4709507</v>
      </c>
      <c r="U7277">
        <v>1.1943969999999999</v>
      </c>
      <c r="V7277">
        <v>0.32370389999999999</v>
      </c>
      <c r="W7277">
        <v>6.1131310000000001E-2</v>
      </c>
      <c r="X7277">
        <v>0.94418159999999896</v>
      </c>
      <c r="Y7277">
        <v>0.57746750000000002</v>
      </c>
      <c r="Z7277">
        <v>-0.1492655</v>
      </c>
      <c r="AA7277">
        <v>0.80265259999999905</v>
      </c>
      <c r="AB7277">
        <v>34</v>
      </c>
      <c r="AC7277">
        <v>6.77269999999998</v>
      </c>
      <c r="AD7277">
        <v>-1.095121500686</v>
      </c>
      <c r="AE7277">
        <v>2.6384999999999899</v>
      </c>
      <c r="AF7277">
        <v>4.2613986763938403</v>
      </c>
      <c r="AG7277">
        <v>-1.095121500686</v>
      </c>
      <c r="AH7277">
        <v>5.6879096576918897</v>
      </c>
      <c r="AI7277">
        <v>98.7596368803122</v>
      </c>
      <c r="AJ7277">
        <v>53.1593409217055</v>
      </c>
      <c r="AK7277">
        <v>7.19104485137595</v>
      </c>
      <c r="AL7277">
        <v>86.495248983234305</v>
      </c>
      <c r="AM7277">
        <v>71.076197548303199</v>
      </c>
      <c r="AN7277">
        <v>1.00000007285804</v>
      </c>
    </row>
    <row r="7278" spans="1:40" x14ac:dyDescent="0.25">
      <c r="A7278" t="str">
        <f>"20190312151206278"</f>
        <v>20190312151206278</v>
      </c>
      <c r="B7278" t="str">
        <f>"1552374726268189"</f>
        <v>1552374726268189</v>
      </c>
      <c r="C7278" t="s">
        <v>40</v>
      </c>
      <c r="D7278">
        <v>5.2090249999999996</v>
      </c>
      <c r="E7278">
        <v>0.61992000000000003</v>
      </c>
      <c r="F7278" t="s">
        <v>79</v>
      </c>
      <c r="G7278">
        <v>-172.81370000000001</v>
      </c>
      <c r="H7278" s="1">
        <v>-3.4679240000000001E-6</v>
      </c>
      <c r="I7278">
        <v>135.934</v>
      </c>
      <c r="J7278">
        <v>-179.63040000000001</v>
      </c>
      <c r="K7278">
        <v>1.095021</v>
      </c>
      <c r="L7278">
        <v>133.3646</v>
      </c>
      <c r="M7278">
        <v>0.5355799</v>
      </c>
      <c r="N7278">
        <v>0</v>
      </c>
      <c r="O7278">
        <v>0.8443176</v>
      </c>
      <c r="P7278">
        <v>0.77777419999999997</v>
      </c>
      <c r="Q7278">
        <v>5.7297870000000001E-2</v>
      </c>
      <c r="R7278">
        <v>0.62592669999999995</v>
      </c>
      <c r="S7278">
        <v>2.9638979999999999</v>
      </c>
      <c r="T7278">
        <v>-0.46906409999999998</v>
      </c>
      <c r="U7278">
        <v>1.166809</v>
      </c>
      <c r="V7278">
        <v>0.32396209999999998</v>
      </c>
      <c r="W7278">
        <v>6.1346909999999998E-2</v>
      </c>
      <c r="X7278">
        <v>0.944079</v>
      </c>
      <c r="Y7278">
        <v>0.57789959999999996</v>
      </c>
      <c r="Z7278">
        <v>-0.14832239999999999</v>
      </c>
      <c r="AA7278">
        <v>0.80251629999999996</v>
      </c>
      <c r="AB7278">
        <v>34</v>
      </c>
      <c r="AC7278">
        <v>6.8166999999999902</v>
      </c>
      <c r="AD7278">
        <v>-1.095024467924</v>
      </c>
      <c r="AE7278">
        <v>2.5693999999999999</v>
      </c>
      <c r="AF7278">
        <v>4.2831814768205998</v>
      </c>
      <c r="AG7278">
        <v>-1.095024467924</v>
      </c>
      <c r="AH7278">
        <v>5.69247849451191</v>
      </c>
      <c r="AI7278">
        <v>98.738618109018105</v>
      </c>
      <c r="AJ7278">
        <v>53.041164859725299</v>
      </c>
      <c r="AK7278">
        <v>7.2075677977534198</v>
      </c>
      <c r="AL7278">
        <v>86.482872606092499</v>
      </c>
      <c r="AM7278">
        <v>71.060266891550697</v>
      </c>
      <c r="AN7278">
        <v>1.00000002192197</v>
      </c>
    </row>
    <row r="7279" spans="1:40" x14ac:dyDescent="0.25">
      <c r="A7279" t="str">
        <f>"20190312151206289"</f>
        <v>20190312151206289</v>
      </c>
      <c r="B7279" t="str">
        <f>"1552374726278926"</f>
        <v>1552374726278926</v>
      </c>
      <c r="C7279" t="s">
        <v>40</v>
      </c>
      <c r="D7279">
        <v>5.1945169999999896</v>
      </c>
      <c r="E7279">
        <v>0.62016269999999996</v>
      </c>
      <c r="F7279" t="s">
        <v>79</v>
      </c>
      <c r="G7279">
        <v>-172.66390000000001</v>
      </c>
      <c r="H7279" s="1">
        <v>-3.4371699999999999E-6</v>
      </c>
      <c r="I7279">
        <v>136.02799999999999</v>
      </c>
      <c r="J7279">
        <v>-179.52709999999999</v>
      </c>
      <c r="K7279">
        <v>1.0949359999999999</v>
      </c>
      <c r="L7279">
        <v>133.51499999999999</v>
      </c>
      <c r="M7279">
        <v>0.54306239999999995</v>
      </c>
      <c r="N7279">
        <v>0</v>
      </c>
      <c r="O7279">
        <v>0.83952380000000004</v>
      </c>
      <c r="P7279">
        <v>0.78339150000000002</v>
      </c>
      <c r="Q7279">
        <v>5.6987999999999997E-2</v>
      </c>
      <c r="R7279">
        <v>0.61891049999999903</v>
      </c>
      <c r="S7279">
        <v>2.9759829999999998</v>
      </c>
      <c r="T7279">
        <v>-0.46777770000000002</v>
      </c>
      <c r="U7279">
        <v>1.137772</v>
      </c>
      <c r="V7279">
        <v>0.32407780000000003</v>
      </c>
      <c r="W7279">
        <v>6.0998049999999998E-2</v>
      </c>
      <c r="X7279">
        <v>0.94406190000000001</v>
      </c>
      <c r="Y7279">
        <v>0.57870730000000004</v>
      </c>
      <c r="Z7279">
        <v>-0.1475891</v>
      </c>
      <c r="AA7279">
        <v>0.80206940000000004</v>
      </c>
      <c r="AB7279">
        <v>34</v>
      </c>
      <c r="AC7279">
        <v>6.8631999999999698</v>
      </c>
      <c r="AD7279">
        <v>-1.0949394371700001</v>
      </c>
      <c r="AE7279">
        <v>2.5129999999999999</v>
      </c>
      <c r="AF7279">
        <v>4.3011932588147204</v>
      </c>
      <c r="AG7279">
        <v>-1.0949394371700001</v>
      </c>
      <c r="AH7279">
        <v>5.70955399795041</v>
      </c>
      <c r="AI7279">
        <v>98.708491825653397</v>
      </c>
      <c r="AJ7279">
        <v>53.008092959785102</v>
      </c>
      <c r="AK7279">
        <v>7.2317468620143801</v>
      </c>
      <c r="AL7279">
        <v>86.502898332400605</v>
      </c>
      <c r="AM7279">
        <v>71.053666373058206</v>
      </c>
      <c r="AN7279">
        <v>1.00000002679412</v>
      </c>
    </row>
    <row r="7280" spans="1:40" x14ac:dyDescent="0.25">
      <c r="A7280" t="str">
        <f>"20190312151206301"</f>
        <v>20190312151206301</v>
      </c>
      <c r="B7280" t="str">
        <f>"1552374726298445"</f>
        <v>1552374726298445</v>
      </c>
      <c r="C7280" t="s">
        <v>40</v>
      </c>
      <c r="D7280">
        <v>5.1479269999999904</v>
      </c>
      <c r="E7280">
        <v>0.62060950000000004</v>
      </c>
      <c r="F7280" t="s">
        <v>79</v>
      </c>
      <c r="G7280">
        <v>-172.5564</v>
      </c>
      <c r="H7280" s="1">
        <v>-3.4187099999999998E-6</v>
      </c>
      <c r="I7280">
        <v>136.10499999999999</v>
      </c>
      <c r="J7280">
        <v>-179.42699999999999</v>
      </c>
      <c r="K7280">
        <v>1.094859</v>
      </c>
      <c r="L7280">
        <v>133.6591</v>
      </c>
      <c r="M7280">
        <v>0.55023580000000005</v>
      </c>
      <c r="N7280">
        <v>0</v>
      </c>
      <c r="O7280">
        <v>0.83483929999999995</v>
      </c>
      <c r="P7280">
        <v>0.78879489999999997</v>
      </c>
      <c r="Q7280">
        <v>5.6765879999999998E-2</v>
      </c>
      <c r="R7280">
        <v>0.61202959999999995</v>
      </c>
      <c r="S7280">
        <v>2.986847</v>
      </c>
      <c r="T7280">
        <v>-0.469167</v>
      </c>
      <c r="U7280">
        <v>1.1097870000000001</v>
      </c>
      <c r="V7280">
        <v>0.32426939999999999</v>
      </c>
      <c r="W7280">
        <v>6.073485E-2</v>
      </c>
      <c r="X7280">
        <v>0.94401310000000005</v>
      </c>
      <c r="Y7280">
        <v>0.57928000000000002</v>
      </c>
      <c r="Z7280">
        <v>-0.1476983</v>
      </c>
      <c r="AA7280">
        <v>0.80163580000000001</v>
      </c>
      <c r="AB7280">
        <v>34</v>
      </c>
      <c r="AC7280">
        <v>6.87060000000002</v>
      </c>
      <c r="AD7280">
        <v>-1.09486241871</v>
      </c>
      <c r="AE7280">
        <v>2.4458999999999902</v>
      </c>
      <c r="AF7280">
        <v>4.2938745541112899</v>
      </c>
      <c r="AG7280">
        <v>-1.09486241871</v>
      </c>
      <c r="AH7280">
        <v>5.6948613339482304</v>
      </c>
      <c r="AI7280">
        <v>98.727289304716706</v>
      </c>
      <c r="AJ7280">
        <v>52.984032994611397</v>
      </c>
      <c r="AK7280">
        <v>7.2157832572248601</v>
      </c>
      <c r="AL7280">
        <v>86.518006671876606</v>
      </c>
      <c r="AM7280">
        <v>71.042354543786004</v>
      </c>
      <c r="AN7280">
        <v>1.00000004937624</v>
      </c>
    </row>
    <row r="7281" spans="1:40" x14ac:dyDescent="0.25">
      <c r="A7281" t="str">
        <f>"20190312151206313"</f>
        <v>20190312151206313</v>
      </c>
      <c r="B7281" t="str">
        <f>"1552374726308206"</f>
        <v>1552374726308206</v>
      </c>
      <c r="C7281" t="s">
        <v>40</v>
      </c>
      <c r="D7281">
        <v>5.20059</v>
      </c>
      <c r="E7281">
        <v>0.62084589999999995</v>
      </c>
      <c r="F7281" t="s">
        <v>79</v>
      </c>
      <c r="G7281">
        <v>-172.4306</v>
      </c>
      <c r="H7281" s="1">
        <v>-3.3918030000000002E-6</v>
      </c>
      <c r="I7281">
        <v>136.18109999999999</v>
      </c>
      <c r="J7281">
        <v>-179.32149999999999</v>
      </c>
      <c r="K7281">
        <v>1.0947800000000001</v>
      </c>
      <c r="L7281">
        <v>133.80760000000001</v>
      </c>
      <c r="M7281">
        <v>0.55768700000000004</v>
      </c>
      <c r="N7281">
        <v>0</v>
      </c>
      <c r="O7281">
        <v>0.829879699999999</v>
      </c>
      <c r="P7281">
        <v>0.79435519999999904</v>
      </c>
      <c r="Q7281">
        <v>5.6216049999999997E-2</v>
      </c>
      <c r="R7281">
        <v>0.60484680000000002</v>
      </c>
      <c r="S7281">
        <v>2.9983979999999999</v>
      </c>
      <c r="T7281">
        <v>-0.4692171</v>
      </c>
      <c r="U7281">
        <v>1.080856</v>
      </c>
      <c r="V7281">
        <v>0.32440839999999999</v>
      </c>
      <c r="W7281">
        <v>6.0147970000000002E-2</v>
      </c>
      <c r="X7281">
        <v>0.94400289999999998</v>
      </c>
      <c r="Y7281">
        <v>0.5798951</v>
      </c>
      <c r="Z7281">
        <v>-0.1473399</v>
      </c>
      <c r="AA7281">
        <v>0.80125690000000005</v>
      </c>
      <c r="AB7281">
        <v>34</v>
      </c>
      <c r="AC7281">
        <v>6.8908999999999798</v>
      </c>
      <c r="AD7281">
        <v>-1.0947833918030001</v>
      </c>
      <c r="AE7281">
        <v>2.3734999999999702</v>
      </c>
      <c r="AF7281">
        <v>4.2985812459626498</v>
      </c>
      <c r="AG7281">
        <v>-1.0947833918030001</v>
      </c>
      <c r="AH7281">
        <v>5.68523184722154</v>
      </c>
      <c r="AI7281">
        <v>98.732514415516704</v>
      </c>
      <c r="AJ7281">
        <v>52.907218408014003</v>
      </c>
      <c r="AK7281">
        <v>7.2109786131822302</v>
      </c>
      <c r="AL7281">
        <v>86.551693945896503</v>
      </c>
      <c r="AM7281">
        <v>71.0346185469852</v>
      </c>
      <c r="AN7281">
        <v>1.0000000317470401</v>
      </c>
    </row>
    <row r="7282" spans="1:40" x14ac:dyDescent="0.25">
      <c r="A7282" t="str">
        <f>"20190312151206323"</f>
        <v>20190312151206323</v>
      </c>
      <c r="B7282" t="str">
        <f>"1552374726318941"</f>
        <v>1552374726318941</v>
      </c>
      <c r="C7282" t="s">
        <v>40</v>
      </c>
      <c r="D7282">
        <v>5.2522960000000003</v>
      </c>
      <c r="E7282">
        <v>0.62097170000000002</v>
      </c>
      <c r="F7282" t="s">
        <v>79</v>
      </c>
      <c r="G7282">
        <v>-172.32210000000001</v>
      </c>
      <c r="H7282" s="1">
        <v>-3.3717670000000002E-6</v>
      </c>
      <c r="I7282">
        <v>136.2551</v>
      </c>
      <c r="J7282">
        <v>-179.2277</v>
      </c>
      <c r="K7282">
        <v>1.094711</v>
      </c>
      <c r="L7282">
        <v>133.9375</v>
      </c>
      <c r="M7282">
        <v>0.56423230000000002</v>
      </c>
      <c r="N7282">
        <v>0</v>
      </c>
      <c r="O7282">
        <v>0.82544309999999999</v>
      </c>
      <c r="P7282">
        <v>0.79909209999999997</v>
      </c>
      <c r="Q7282">
        <v>5.5924069999999999E-2</v>
      </c>
      <c r="R7282">
        <v>0.59860210000000003</v>
      </c>
      <c r="S7282">
        <v>3.0088810000000001</v>
      </c>
      <c r="T7282">
        <v>-0.47062290000000001</v>
      </c>
      <c r="U7282">
        <v>1.0520940000000001</v>
      </c>
      <c r="V7282">
        <v>0.32435799999999998</v>
      </c>
      <c r="W7282">
        <v>5.9831929999999998E-2</v>
      </c>
      <c r="X7282">
        <v>0.94404030000000005</v>
      </c>
      <c r="Y7282">
        <v>0.58114119999999903</v>
      </c>
      <c r="Z7282">
        <v>-0.14749960000000001</v>
      </c>
      <c r="AA7282">
        <v>0.80032419999999904</v>
      </c>
      <c r="AB7282">
        <v>34</v>
      </c>
      <c r="AC7282">
        <v>6.90559999999999</v>
      </c>
      <c r="AD7282">
        <v>-1.094714371767</v>
      </c>
      <c r="AE7282">
        <v>2.3175999999999899</v>
      </c>
      <c r="AF7282">
        <v>4.2961090664272197</v>
      </c>
      <c r="AG7282">
        <v>-1.094714371767</v>
      </c>
      <c r="AH7282">
        <v>5.6819057631897003</v>
      </c>
      <c r="AI7282">
        <v>98.736973982467703</v>
      </c>
      <c r="AJ7282">
        <v>52.906944706384998</v>
      </c>
      <c r="AK7282">
        <v>7.2068721209800701</v>
      </c>
      <c r="AL7282">
        <v>86.569834368869707</v>
      </c>
      <c r="AM7282">
        <v>71.038052069940207</v>
      </c>
      <c r="AN7282">
        <v>1.0000000300178</v>
      </c>
    </row>
    <row r="7283" spans="1:40" x14ac:dyDescent="0.25">
      <c r="A7283" t="str">
        <f>"20190312151206346"</f>
        <v>20190312151206346</v>
      </c>
      <c r="B7283" t="str">
        <f>"1552374726338465"</f>
        <v>1552374726338465</v>
      </c>
      <c r="C7283" t="s">
        <v>40</v>
      </c>
      <c r="D7283">
        <v>5.1893099999999999</v>
      </c>
      <c r="E7283">
        <v>0.62137529999999996</v>
      </c>
      <c r="F7283" t="s">
        <v>79</v>
      </c>
      <c r="G7283">
        <v>-172.23410000000001</v>
      </c>
      <c r="H7283" s="1">
        <v>-3.357236E-6</v>
      </c>
      <c r="I7283">
        <v>136.31960000000001</v>
      </c>
      <c r="J7283">
        <v>-179.0224</v>
      </c>
      <c r="K7283">
        <v>1.0945739999999999</v>
      </c>
      <c r="L7283">
        <v>134.2141</v>
      </c>
      <c r="M7283">
        <v>0.578275599999999</v>
      </c>
      <c r="N7283">
        <v>0</v>
      </c>
      <c r="O7283">
        <v>0.81566539999999998</v>
      </c>
      <c r="P7283">
        <v>0.80966039999999995</v>
      </c>
      <c r="Q7283">
        <v>5.5210990000000001E-2</v>
      </c>
      <c r="R7283">
        <v>0.58429600000000004</v>
      </c>
      <c r="S7283">
        <v>3.0174099999999999</v>
      </c>
      <c r="T7283">
        <v>-0.47232289999999999</v>
      </c>
      <c r="U7283">
        <v>1.027771</v>
      </c>
      <c r="V7283">
        <v>0.32502419999999999</v>
      </c>
      <c r="W7283">
        <v>5.9038930000000003E-2</v>
      </c>
      <c r="X7283">
        <v>0.94386110000000001</v>
      </c>
      <c r="Y7283">
        <v>0.57378799999999996</v>
      </c>
      <c r="Z7283">
        <v>-0.14683270000000001</v>
      </c>
      <c r="AA7283">
        <v>0.80573419999999996</v>
      </c>
      <c r="AB7283">
        <v>34</v>
      </c>
      <c r="AC7283">
        <v>6.7882999999999898</v>
      </c>
      <c r="AD7283">
        <v>-1.094577357236</v>
      </c>
      <c r="AE7283">
        <v>2.1055000000000001</v>
      </c>
      <c r="AF7283">
        <v>4.2199534686479501</v>
      </c>
      <c r="AG7283">
        <v>-1.094577357236</v>
      </c>
      <c r="AH7283">
        <v>5.5129458892435501</v>
      </c>
      <c r="AI7283">
        <v>98.9594796502126</v>
      </c>
      <c r="AJ7283">
        <v>52.567297859978297</v>
      </c>
      <c r="AK7283">
        <v>7.0284193988588202</v>
      </c>
      <c r="AL7283">
        <v>86.615350458244805</v>
      </c>
      <c r="AM7283">
        <v>70.998547755997294</v>
      </c>
      <c r="AN7283">
        <v>1.00000005096719</v>
      </c>
    </row>
    <row r="7284" spans="1:40" x14ac:dyDescent="0.25">
      <c r="A7284" t="str">
        <f>"20190312151206357"</f>
        <v>20190312151206357</v>
      </c>
      <c r="B7284" t="str">
        <f>"1552374726348222"</f>
        <v>1552374726348222</v>
      </c>
      <c r="C7284" t="s">
        <v>40</v>
      </c>
      <c r="D7284">
        <v>5.1743259999999998</v>
      </c>
      <c r="E7284">
        <v>0.62153230000000004</v>
      </c>
      <c r="F7284" t="s">
        <v>79</v>
      </c>
      <c r="G7284">
        <v>-172.02170000000001</v>
      </c>
      <c r="H7284" s="1">
        <v>-3.3140080000000002E-6</v>
      </c>
      <c r="I7284">
        <v>136.4539</v>
      </c>
      <c r="J7284">
        <v>-178.91309999999999</v>
      </c>
      <c r="K7284">
        <v>1.094506</v>
      </c>
      <c r="L7284">
        <v>134.35830000000001</v>
      </c>
      <c r="M7284">
        <v>0.5856209</v>
      </c>
      <c r="N7284">
        <v>0</v>
      </c>
      <c r="O7284">
        <v>0.81040730000000005</v>
      </c>
      <c r="P7284">
        <v>0.8150733</v>
      </c>
      <c r="Q7284">
        <v>5.4736920000000001E-2</v>
      </c>
      <c r="R7284">
        <v>0.57676640000000001</v>
      </c>
      <c r="S7284">
        <v>3.0365139999999999</v>
      </c>
      <c r="T7284">
        <v>-0.47476649999999998</v>
      </c>
      <c r="U7284">
        <v>0.97151180000000004</v>
      </c>
      <c r="V7284">
        <v>0.32526300000000002</v>
      </c>
      <c r="W7284">
        <v>5.852864E-2</v>
      </c>
      <c r="X7284">
        <v>0.94381060000000006</v>
      </c>
      <c r="Y7284">
        <v>0.58128789999999997</v>
      </c>
      <c r="Z7284">
        <v>-0.14758009999999999</v>
      </c>
      <c r="AA7284">
        <v>0.80020279999999999</v>
      </c>
      <c r="AB7284">
        <v>34</v>
      </c>
      <c r="AC7284">
        <v>6.8913999999999698</v>
      </c>
      <c r="AD7284">
        <v>-1.094509314008</v>
      </c>
      <c r="AE7284">
        <v>2.0955999999999899</v>
      </c>
      <c r="AF7284">
        <v>4.2598831671740296</v>
      </c>
      <c r="AG7284">
        <v>-1.094509314008</v>
      </c>
      <c r="AH7284">
        <v>5.6054370729153504</v>
      </c>
      <c r="AI7284">
        <v>98.836512197233404</v>
      </c>
      <c r="AJ7284">
        <v>52.766779408083899</v>
      </c>
      <c r="AK7284">
        <v>7.1249898255953097</v>
      </c>
      <c r="AL7284">
        <v>86.644638512801805</v>
      </c>
      <c r="AM7284">
        <v>70.984645151540406</v>
      </c>
      <c r="AN7284">
        <v>1.0000000347708</v>
      </c>
    </row>
    <row r="7285" spans="1:40" x14ac:dyDescent="0.25">
      <c r="A7285" t="str">
        <f>"20190312151206369"</f>
        <v>20190312151206369</v>
      </c>
      <c r="B7285" t="str">
        <f>"1552374726358957"</f>
        <v>1552374726358957</v>
      </c>
      <c r="C7285" t="s">
        <v>40</v>
      </c>
      <c r="D7285">
        <v>5.1713969999999998</v>
      </c>
      <c r="E7285">
        <v>0.62163500000000005</v>
      </c>
      <c r="F7285" t="s">
        <v>79</v>
      </c>
      <c r="G7285">
        <v>-171.92250000000001</v>
      </c>
      <c r="H7285" s="1">
        <v>-3.2952959999999999E-6</v>
      </c>
      <c r="I7285">
        <v>136.5205</v>
      </c>
      <c r="J7285">
        <v>-178.78919999999999</v>
      </c>
      <c r="K7285">
        <v>1.0944370000000001</v>
      </c>
      <c r="L7285">
        <v>134.51679999999999</v>
      </c>
      <c r="M7285">
        <v>0.5937846</v>
      </c>
      <c r="N7285">
        <v>0</v>
      </c>
      <c r="O7285">
        <v>0.80444450000000001</v>
      </c>
      <c r="P7285">
        <v>0.82088490000000003</v>
      </c>
      <c r="Q7285">
        <v>5.4237790000000001E-2</v>
      </c>
      <c r="R7285">
        <v>0.56851229999999997</v>
      </c>
      <c r="S7285">
        <v>3.0460050000000001</v>
      </c>
      <c r="T7285">
        <v>-0.476914</v>
      </c>
      <c r="U7285">
        <v>0.94212340000000006</v>
      </c>
      <c r="V7285">
        <v>0.32526179999999999</v>
      </c>
      <c r="W7285">
        <v>5.8004060000000003E-2</v>
      </c>
      <c r="X7285">
        <v>0.9438434</v>
      </c>
      <c r="Y7285">
        <v>0.58080600000000004</v>
      </c>
      <c r="Z7285">
        <v>-0.14771300000000001</v>
      </c>
      <c r="AA7285">
        <v>0.80052819999999902</v>
      </c>
      <c r="AB7285">
        <v>34</v>
      </c>
      <c r="AC7285">
        <v>6.8666999999999803</v>
      </c>
      <c r="AD7285">
        <v>-1.094440295296</v>
      </c>
      <c r="AE7285">
        <v>2.0036999999999998</v>
      </c>
      <c r="AF7285">
        <v>4.2355844526904196</v>
      </c>
      <c r="AG7285">
        <v>-1.094440295296</v>
      </c>
      <c r="AH7285">
        <v>5.5598721144991003</v>
      </c>
      <c r="AI7285">
        <v>98.899378146790994</v>
      </c>
      <c r="AJ7285">
        <v>52.699367977536497</v>
      </c>
      <c r="AK7285">
        <v>7.0746132859277298</v>
      </c>
      <c r="AL7285">
        <v>86.674745888495593</v>
      </c>
      <c r="AM7285">
        <v>70.985323613799096</v>
      </c>
      <c r="AN7285">
        <v>1.00000003661964</v>
      </c>
    </row>
    <row r="7286" spans="1:40" x14ac:dyDescent="0.25">
      <c r="A7286" t="str">
        <f>"20190312151206381"</f>
        <v>20190312151206381</v>
      </c>
      <c r="B7286" t="str">
        <f>"1552374726368717"</f>
        <v>1552374726368717</v>
      </c>
      <c r="C7286" t="s">
        <v>40</v>
      </c>
      <c r="D7286">
        <v>5.1688729999999996</v>
      </c>
      <c r="E7286">
        <v>0.62175139999999995</v>
      </c>
      <c r="F7286" t="s">
        <v>79</v>
      </c>
      <c r="G7286">
        <v>-171.79179999999999</v>
      </c>
      <c r="H7286" s="1">
        <v>-3.267928E-6</v>
      </c>
      <c r="I7286">
        <v>136.6011</v>
      </c>
      <c r="J7286">
        <v>-178.68010000000001</v>
      </c>
      <c r="K7286">
        <v>1.094384</v>
      </c>
      <c r="L7286">
        <v>134.65479999999999</v>
      </c>
      <c r="M7286">
        <v>0.60089040000000005</v>
      </c>
      <c r="N7286">
        <v>0</v>
      </c>
      <c r="O7286">
        <v>0.79915019999999903</v>
      </c>
      <c r="P7286">
        <v>0.82594699999999999</v>
      </c>
      <c r="Q7286">
        <v>5.3849059999999997E-2</v>
      </c>
      <c r="R7286">
        <v>0.56117019999999995</v>
      </c>
      <c r="S7286">
        <v>3.0557859999999999</v>
      </c>
      <c r="T7286">
        <v>-0.47794690000000001</v>
      </c>
      <c r="U7286">
        <v>0.91021730000000001</v>
      </c>
      <c r="V7286">
        <v>0.32532670000000002</v>
      </c>
      <c r="W7286">
        <v>5.7590849999999999E-2</v>
      </c>
      <c r="X7286">
        <v>0.94384630000000003</v>
      </c>
      <c r="Y7286">
        <v>0.58199639999999997</v>
      </c>
      <c r="Z7286">
        <v>-0.14765880000000001</v>
      </c>
      <c r="AA7286">
        <v>0.79967310000000003</v>
      </c>
      <c r="AB7286">
        <v>34</v>
      </c>
      <c r="AC7286">
        <v>6.8883000000000099</v>
      </c>
      <c r="AD7286">
        <v>-1.094387267928</v>
      </c>
      <c r="AE7286">
        <v>1.9462999999999999</v>
      </c>
      <c r="AF7286">
        <v>4.2368627367457199</v>
      </c>
      <c r="AG7286">
        <v>-1.094387267928</v>
      </c>
      <c r="AH7286">
        <v>5.5652343778097597</v>
      </c>
      <c r="AI7286">
        <v>98.8926434591353</v>
      </c>
      <c r="AJ7286">
        <v>52.717657149847597</v>
      </c>
      <c r="AK7286">
        <v>7.07958494702783</v>
      </c>
      <c r="AL7286">
        <v>86.698460608709496</v>
      </c>
      <c r="AM7286">
        <v>70.9818563981718</v>
      </c>
      <c r="AN7286">
        <v>1.0000000028801499</v>
      </c>
    </row>
    <row r="7287" spans="1:40" x14ac:dyDescent="0.25">
      <c r="A7287" t="str">
        <f>"20190312151206393"</f>
        <v>20190312151206393</v>
      </c>
      <c r="B7287" t="str">
        <f>"1552374726388237"</f>
        <v>1552374726388237</v>
      </c>
      <c r="C7287" t="s">
        <v>40</v>
      </c>
      <c r="D7287">
        <v>5.17544</v>
      </c>
      <c r="E7287">
        <v>0.6218709</v>
      </c>
      <c r="F7287" t="s">
        <v>79</v>
      </c>
      <c r="G7287">
        <v>-171.6601</v>
      </c>
      <c r="H7287" s="1">
        <v>-3.2373080000000001E-6</v>
      </c>
      <c r="I7287">
        <v>136.67429999999999</v>
      </c>
      <c r="J7287">
        <v>-178.56549999999999</v>
      </c>
      <c r="K7287">
        <v>1.0943259999999999</v>
      </c>
      <c r="L7287">
        <v>134.79650000000001</v>
      </c>
      <c r="M7287">
        <v>0.6082398</v>
      </c>
      <c r="N7287">
        <v>0</v>
      </c>
      <c r="O7287">
        <v>0.79357029999999995</v>
      </c>
      <c r="P7287">
        <v>0.83093229999999996</v>
      </c>
      <c r="Q7287">
        <v>5.387687E-2</v>
      </c>
      <c r="R7287">
        <v>0.5537588</v>
      </c>
      <c r="S7287">
        <v>3.064362</v>
      </c>
      <c r="T7287">
        <v>-0.47772219999999999</v>
      </c>
      <c r="U7287">
        <v>0.88157649999999999</v>
      </c>
      <c r="V7287">
        <v>0.32506760000000001</v>
      </c>
      <c r="W7287">
        <v>5.7608939999999997E-2</v>
      </c>
      <c r="X7287">
        <v>0.94393439999999995</v>
      </c>
      <c r="Y7287">
        <v>0.58209569999999999</v>
      </c>
      <c r="Z7287">
        <v>-0.14712</v>
      </c>
      <c r="AA7287">
        <v>0.79970010000000002</v>
      </c>
      <c r="AB7287">
        <v>34</v>
      </c>
      <c r="AC7287">
        <v>6.9053999999999798</v>
      </c>
      <c r="AD7287">
        <v>-1.094329237308</v>
      </c>
      <c r="AE7287">
        <v>1.8777999999999799</v>
      </c>
      <c r="AF7287">
        <v>4.2392631756773698</v>
      </c>
      <c r="AG7287">
        <v>-1.094329237308</v>
      </c>
      <c r="AH7287">
        <v>5.56108675524339</v>
      </c>
      <c r="AI7287">
        <v>98.894487701647193</v>
      </c>
      <c r="AJ7287">
        <v>52.681421810467903</v>
      </c>
      <c r="AK7287">
        <v>7.0777535031692702</v>
      </c>
      <c r="AL7287">
        <v>86.697422206469795</v>
      </c>
      <c r="AM7287">
        <v>70.997562394164802</v>
      </c>
      <c r="AN7287">
        <v>0.99999994302051998</v>
      </c>
    </row>
    <row r="7288" spans="1:40" x14ac:dyDescent="0.25">
      <c r="A7288" t="str">
        <f>"20190312151206407"</f>
        <v>20190312151206407</v>
      </c>
      <c r="B7288" t="str">
        <f>"1552374726398975"</f>
        <v>1552374726398975</v>
      </c>
      <c r="C7288" t="s">
        <v>40</v>
      </c>
      <c r="D7288">
        <v>5.1670850000000002</v>
      </c>
      <c r="E7288">
        <v>0.62189869999999903</v>
      </c>
      <c r="F7288" t="s">
        <v>79</v>
      </c>
      <c r="G7288">
        <v>-171.50299999999999</v>
      </c>
      <c r="H7288" s="1">
        <v>-3.1983750000000001E-6</v>
      </c>
      <c r="I7288">
        <v>136.75530000000001</v>
      </c>
      <c r="J7288">
        <v>-178.43</v>
      </c>
      <c r="K7288">
        <v>1.09426</v>
      </c>
      <c r="L7288">
        <v>134.9606</v>
      </c>
      <c r="M7288">
        <v>0.61678869999999997</v>
      </c>
      <c r="N7288">
        <v>0</v>
      </c>
      <c r="O7288">
        <v>0.78694370000000002</v>
      </c>
      <c r="P7288">
        <v>0.83672119999999905</v>
      </c>
      <c r="Q7288">
        <v>5.3923310000000002E-2</v>
      </c>
      <c r="R7288">
        <v>0.5449678</v>
      </c>
      <c r="S7288">
        <v>3.073242</v>
      </c>
      <c r="T7288">
        <v>-0.47619889999999998</v>
      </c>
      <c r="U7288">
        <v>0.8523712</v>
      </c>
      <c r="V7288">
        <v>0.3248162</v>
      </c>
      <c r="W7288">
        <v>5.7643220000000002E-2</v>
      </c>
      <c r="X7288">
        <v>0.94401889999999999</v>
      </c>
      <c r="Y7288">
        <v>0.58115550000000005</v>
      </c>
      <c r="Z7288">
        <v>-0.14600739999999901</v>
      </c>
      <c r="AA7288">
        <v>0.80058739999999995</v>
      </c>
      <c r="AB7288">
        <v>34</v>
      </c>
      <c r="AC7288">
        <v>6.92700000000002</v>
      </c>
      <c r="AD7288">
        <v>-1.094263198375</v>
      </c>
      <c r="AE7288">
        <v>1.7947</v>
      </c>
      <c r="AF7288">
        <v>4.2455588420503698</v>
      </c>
      <c r="AG7288">
        <v>-1.094263198375</v>
      </c>
      <c r="AH7288">
        <v>5.5557306413190002</v>
      </c>
      <c r="AI7288">
        <v>98.8945077496914</v>
      </c>
      <c r="AJ7288">
        <v>52.613787190889603</v>
      </c>
      <c r="AK7288">
        <v>7.0773105617544303</v>
      </c>
      <c r="AL7288">
        <v>86.695455006636394</v>
      </c>
      <c r="AM7288">
        <v>71.012783334256099</v>
      </c>
      <c r="AN7288">
        <v>0.99999999407580897</v>
      </c>
    </row>
    <row r="7289" spans="1:40" x14ac:dyDescent="0.25">
      <c r="A7289" t="str">
        <f>"20190312151206423"</f>
        <v>20190312151206423</v>
      </c>
      <c r="B7289" t="str">
        <f>"1552374726418494"</f>
        <v>1552374726418494</v>
      </c>
      <c r="C7289" t="s">
        <v>40</v>
      </c>
      <c r="D7289">
        <v>5.2506300000000001</v>
      </c>
      <c r="E7289">
        <v>0.62189839999999996</v>
      </c>
      <c r="F7289" t="s">
        <v>79</v>
      </c>
      <c r="G7289">
        <v>-171.33599999999899</v>
      </c>
      <c r="H7289" s="1">
        <v>-3.1579709999999999E-6</v>
      </c>
      <c r="I7289">
        <v>136.84630000000001</v>
      </c>
      <c r="J7289">
        <v>-178.268</v>
      </c>
      <c r="K7289">
        <v>1.0941890000000001</v>
      </c>
      <c r="L7289">
        <v>135.1525</v>
      </c>
      <c r="M7289">
        <v>0.62682680000000002</v>
      </c>
      <c r="N7289">
        <v>0</v>
      </c>
      <c r="O7289">
        <v>0.77897109999999903</v>
      </c>
      <c r="P7289">
        <v>0.84350360000000002</v>
      </c>
      <c r="Q7289">
        <v>5.3900780000000002E-2</v>
      </c>
      <c r="R7289">
        <v>0.534412199999999</v>
      </c>
      <c r="S7289">
        <v>3.0823670000000001</v>
      </c>
      <c r="T7289">
        <v>-0.47546060000000001</v>
      </c>
      <c r="U7289">
        <v>0.81938169999999899</v>
      </c>
      <c r="V7289">
        <v>0.3245845</v>
      </c>
      <c r="W7289">
        <v>5.7604660000000002E-2</v>
      </c>
      <c r="X7289">
        <v>0.94410099999999997</v>
      </c>
      <c r="Y7289">
        <v>0.57949919999999899</v>
      </c>
      <c r="Z7289">
        <v>-0.14498150000000001</v>
      </c>
      <c r="AA7289">
        <v>0.80197319999999905</v>
      </c>
      <c r="AB7289">
        <v>34</v>
      </c>
      <c r="AC7289">
        <v>6.9320000000000102</v>
      </c>
      <c r="AD7289">
        <v>-1.0941921579709999</v>
      </c>
      <c r="AE7289">
        <v>1.69380000000001</v>
      </c>
      <c r="AF7289">
        <v>4.2390742090820899</v>
      </c>
      <c r="AG7289">
        <v>-1.0941921579709999</v>
      </c>
      <c r="AH7289">
        <v>5.5352684185946099</v>
      </c>
      <c r="AI7289">
        <v>98.919284263057506</v>
      </c>
      <c r="AJ7289">
        <v>52.5540268211643</v>
      </c>
      <c r="AK7289">
        <v>7.0573509969790402</v>
      </c>
      <c r="AL7289">
        <v>86.697668181930396</v>
      </c>
      <c r="AM7289">
        <v>71.026890365355598</v>
      </c>
      <c r="AN7289">
        <v>1.0000000463474801</v>
      </c>
    </row>
    <row r="7290" spans="1:40" x14ac:dyDescent="0.25">
      <c r="A7290" t="str">
        <f>"20190312151206438"</f>
        <v>20190312151206438</v>
      </c>
      <c r="B7290" t="str">
        <f>"1552374726428253"</f>
        <v>1552374726428253</v>
      </c>
      <c r="C7290" t="s">
        <v>40</v>
      </c>
      <c r="D7290">
        <v>5.113696</v>
      </c>
      <c r="E7290">
        <v>0.62187060000000005</v>
      </c>
      <c r="F7290" t="s">
        <v>79</v>
      </c>
      <c r="G7290">
        <v>-171.14609999999999</v>
      </c>
      <c r="H7290" s="1">
        <v>-3.095251E-6</v>
      </c>
      <c r="I7290">
        <v>136.94909999999999</v>
      </c>
      <c r="J7290">
        <v>-178.11590000000001</v>
      </c>
      <c r="K7290">
        <v>1.0941209999999999</v>
      </c>
      <c r="L7290">
        <v>135.32859999999999</v>
      </c>
      <c r="M7290">
        <v>0.63607499999999995</v>
      </c>
      <c r="N7290">
        <v>0</v>
      </c>
      <c r="O7290">
        <v>0.77143729999999999</v>
      </c>
      <c r="P7290">
        <v>0.84984649999999995</v>
      </c>
      <c r="Q7290">
        <v>5.350924E-2</v>
      </c>
      <c r="R7290">
        <v>0.52430699999999997</v>
      </c>
      <c r="S7290">
        <v>3.092651</v>
      </c>
      <c r="T7290">
        <v>-0.47514810000000002</v>
      </c>
      <c r="U7290">
        <v>0.78019709999999998</v>
      </c>
      <c r="V7290">
        <v>0.32460209999999901</v>
      </c>
      <c r="W7290">
        <v>5.7189549999999999E-2</v>
      </c>
      <c r="X7290">
        <v>0.94412010000000002</v>
      </c>
      <c r="Y7290">
        <v>0.58010050000000002</v>
      </c>
      <c r="Z7290">
        <v>-0.144256299999999</v>
      </c>
      <c r="AA7290">
        <v>0.80166919999999897</v>
      </c>
      <c r="AB7290">
        <v>34</v>
      </c>
      <c r="AC7290">
        <v>6.9698000000000198</v>
      </c>
      <c r="AD7290">
        <v>-1.0941240952510001</v>
      </c>
      <c r="AE7290">
        <v>1.6204999999999901</v>
      </c>
      <c r="AF7290">
        <v>4.2473420555904404</v>
      </c>
      <c r="AG7290">
        <v>-1.0941240952510001</v>
      </c>
      <c r="AH7290">
        <v>5.5544056175877499</v>
      </c>
      <c r="AI7290">
        <v>98.893357252814496</v>
      </c>
      <c r="AJ7290">
        <v>52.595584544039497</v>
      </c>
      <c r="AK7290">
        <v>7.0773189724419296</v>
      </c>
      <c r="AL7290">
        <v>86.721491241456903</v>
      </c>
      <c r="AM7290">
        <v>71.026291564632103</v>
      </c>
      <c r="AN7290">
        <v>0.99999996558880999</v>
      </c>
    </row>
    <row r="7291" spans="1:40" x14ac:dyDescent="0.25">
      <c r="A7291" t="str">
        <f>"20190312151206455"</f>
        <v>20190312151206455</v>
      </c>
      <c r="B7291" t="str">
        <f>"1552374726448750"</f>
        <v>1552374726448750</v>
      </c>
      <c r="C7291" t="s">
        <v>40</v>
      </c>
      <c r="D7291">
        <v>5.2339379999999904</v>
      </c>
      <c r="E7291">
        <v>0.62171299999999996</v>
      </c>
      <c r="F7291" t="s">
        <v>79</v>
      </c>
      <c r="G7291">
        <v>-170.99289999999999</v>
      </c>
      <c r="H7291" s="1">
        <v>-3.0464249999999998E-6</v>
      </c>
      <c r="I7291">
        <v>137.0361</v>
      </c>
      <c r="J7291">
        <v>-177.93029999999999</v>
      </c>
      <c r="K7291">
        <v>1.0940460000000001</v>
      </c>
      <c r="L7291">
        <v>135.53700000000001</v>
      </c>
      <c r="M7291">
        <v>0.64710889999999999</v>
      </c>
      <c r="N7291">
        <v>0</v>
      </c>
      <c r="O7291">
        <v>0.76220489999999996</v>
      </c>
      <c r="P7291">
        <v>0.85682669999999905</v>
      </c>
      <c r="Q7291">
        <v>5.2854089999999999E-2</v>
      </c>
      <c r="R7291">
        <v>0.51288829999999996</v>
      </c>
      <c r="S7291">
        <v>3.1013639999999998</v>
      </c>
      <c r="T7291">
        <v>-0.47638130000000001</v>
      </c>
      <c r="U7291">
        <v>0.74343870000000001</v>
      </c>
      <c r="V7291">
        <v>0.32366590000000001</v>
      </c>
      <c r="W7291">
        <v>5.6551619999999997E-2</v>
      </c>
      <c r="X7291">
        <v>0.94447990000000004</v>
      </c>
      <c r="Y7291">
        <v>0.57797929999999997</v>
      </c>
      <c r="Z7291">
        <v>-0.14366960000000001</v>
      </c>
      <c r="AA7291">
        <v>0.80330500000000005</v>
      </c>
      <c r="AB7291">
        <v>34</v>
      </c>
      <c r="AC7291">
        <v>6.9373999999999896</v>
      </c>
      <c r="AD7291">
        <v>-1.0940490464249999</v>
      </c>
      <c r="AE7291">
        <v>1.4990999999999901</v>
      </c>
      <c r="AF7291">
        <v>4.21804963223041</v>
      </c>
      <c r="AG7291">
        <v>-1.0940490464249999</v>
      </c>
      <c r="AH7291">
        <v>5.5019711055148504</v>
      </c>
      <c r="AI7291">
        <v>98.967767580270802</v>
      </c>
      <c r="AJ7291">
        <v>52.524661367876099</v>
      </c>
      <c r="AK7291">
        <v>7.0185876116112498</v>
      </c>
      <c r="AL7291">
        <v>86.758101273581303</v>
      </c>
      <c r="AM7291">
        <v>71.083812192462105</v>
      </c>
      <c r="AN7291">
        <v>0.99999999102572201</v>
      </c>
    </row>
    <row r="7292" spans="1:40" x14ac:dyDescent="0.25">
      <c r="A7292" t="str">
        <f>"20190312151206468"</f>
        <v>20190312151206468</v>
      </c>
      <c r="B7292" t="str">
        <f>"1552374726458510"</f>
        <v>1552374726458510</v>
      </c>
      <c r="C7292" t="s">
        <v>40</v>
      </c>
      <c r="D7292">
        <v>5.1716470000000001</v>
      </c>
      <c r="E7292">
        <v>0.6216663</v>
      </c>
      <c r="F7292" t="s">
        <v>79</v>
      </c>
      <c r="G7292">
        <v>-170.8091</v>
      </c>
      <c r="H7292" s="1">
        <v>-2.9898819999999999E-6</v>
      </c>
      <c r="I7292">
        <v>137.14510000000001</v>
      </c>
      <c r="J7292">
        <v>-177.80250000000001</v>
      </c>
      <c r="K7292">
        <v>1.0940019999999999</v>
      </c>
      <c r="L7292">
        <v>135.6765</v>
      </c>
      <c r="M7292">
        <v>0.65454749999999995</v>
      </c>
      <c r="N7292">
        <v>0</v>
      </c>
      <c r="O7292">
        <v>0.75582609999999995</v>
      </c>
      <c r="P7292">
        <v>0.86153979999999997</v>
      </c>
      <c r="Q7292">
        <v>5.2588299999999998E-2</v>
      </c>
      <c r="R7292">
        <v>0.50495909999999999</v>
      </c>
      <c r="S7292">
        <v>3.1103519999999998</v>
      </c>
      <c r="T7292">
        <v>-0.47785169999999999</v>
      </c>
      <c r="U7292">
        <v>0.70234680000000005</v>
      </c>
      <c r="V7292">
        <v>0.32313389999999997</v>
      </c>
      <c r="W7292">
        <v>5.6294530000000002E-2</v>
      </c>
      <c r="X7292">
        <v>0.9446774</v>
      </c>
      <c r="Y7292">
        <v>0.58057550000000002</v>
      </c>
      <c r="Z7292">
        <v>-0.1437203</v>
      </c>
      <c r="AA7292">
        <v>0.80142159999999996</v>
      </c>
      <c r="AB7292">
        <v>34</v>
      </c>
      <c r="AC7292">
        <v>6.9934000000000003</v>
      </c>
      <c r="AD7292">
        <v>-1.0940049898819999</v>
      </c>
      <c r="AE7292">
        <v>1.4685999999999999</v>
      </c>
      <c r="AF7292">
        <v>4.2261111703130201</v>
      </c>
      <c r="AG7292">
        <v>-1.0940049898819999</v>
      </c>
      <c r="AH7292">
        <v>5.5580860117407296</v>
      </c>
      <c r="AI7292">
        <v>98.904869529207602</v>
      </c>
      <c r="AJ7292">
        <v>52.752323029406099</v>
      </c>
      <c r="AK7292">
        <v>7.0674735695041102</v>
      </c>
      <c r="AL7292">
        <v>86.772854948183607</v>
      </c>
      <c r="AM7292">
        <v>71.116367440160701</v>
      </c>
      <c r="AN7292">
        <v>0.99999999075394497</v>
      </c>
    </row>
    <row r="7293" spans="1:40" x14ac:dyDescent="0.25">
      <c r="A7293" t="str">
        <f>"20190312151206479"</f>
        <v>20190312151206479</v>
      </c>
      <c r="B7293" t="str">
        <f>"1552374726468270"</f>
        <v>1552374726468270</v>
      </c>
      <c r="C7293" t="s">
        <v>40</v>
      </c>
      <c r="D7293">
        <v>5.1449030000000002</v>
      </c>
      <c r="E7293">
        <v>0.62188809999999894</v>
      </c>
      <c r="F7293" t="s">
        <v>79</v>
      </c>
      <c r="G7293">
        <v>-170.66460000000001</v>
      </c>
      <c r="H7293" s="1">
        <v>-2.9400810000000001E-6</v>
      </c>
      <c r="I7293">
        <v>137.21860000000001</v>
      </c>
      <c r="J7293">
        <v>-177.68020000000001</v>
      </c>
      <c r="K7293">
        <v>1.0939620000000001</v>
      </c>
      <c r="L7293">
        <v>135.80850000000001</v>
      </c>
      <c r="M7293">
        <v>0.66157390000000005</v>
      </c>
      <c r="N7293">
        <v>0</v>
      </c>
      <c r="O7293">
        <v>0.74968319999999999</v>
      </c>
      <c r="P7293">
        <v>0.86607420000000002</v>
      </c>
      <c r="Q7293">
        <v>5.1994730000000003E-2</v>
      </c>
      <c r="R7293">
        <v>0.49720429999999999</v>
      </c>
      <c r="S7293">
        <v>3.1166529999999999</v>
      </c>
      <c r="T7293">
        <v>-0.47768389999999999</v>
      </c>
      <c r="U7293">
        <v>0.67332460000000005</v>
      </c>
      <c r="V7293">
        <v>0.32280619999999999</v>
      </c>
      <c r="W7293">
        <v>5.570228E-2</v>
      </c>
      <c r="X7293">
        <v>0.94482460000000001</v>
      </c>
      <c r="Y7293">
        <v>0.58055179999999995</v>
      </c>
      <c r="Z7293">
        <v>-0.14310439999999999</v>
      </c>
      <c r="AA7293">
        <v>0.80154899999999996</v>
      </c>
      <c r="AB7293">
        <v>34</v>
      </c>
      <c r="AC7293">
        <v>7.0156000000000001</v>
      </c>
      <c r="AD7293">
        <v>-1.0939649400810001</v>
      </c>
      <c r="AE7293">
        <v>1.4100999999999999</v>
      </c>
      <c r="AF7293">
        <v>4.2284084506225996</v>
      </c>
      <c r="AG7293">
        <v>-1.0939649400810001</v>
      </c>
      <c r="AH7293">
        <v>5.5691504508871104</v>
      </c>
      <c r="AI7293">
        <v>98.891767648260696</v>
      </c>
      <c r="AJ7293">
        <v>52.792212484062297</v>
      </c>
      <c r="AK7293">
        <v>7.0775443523894097</v>
      </c>
      <c r="AL7293">
        <v>86.806841912247606</v>
      </c>
      <c r="AM7293">
        <v>71.136894200610399</v>
      </c>
      <c r="AN7293">
        <v>1.0000000557603901</v>
      </c>
    </row>
    <row r="7294" spans="1:40" x14ac:dyDescent="0.25">
      <c r="A7294" t="str">
        <f>"20190312151206491"</f>
        <v>20190312151206491</v>
      </c>
      <c r="B7294" t="str">
        <f>"1552374726488767"</f>
        <v>1552374726488767</v>
      </c>
      <c r="C7294" t="s">
        <v>40</v>
      </c>
      <c r="D7294">
        <v>5.0512899999999998</v>
      </c>
      <c r="E7294">
        <v>0.62258880000000005</v>
      </c>
      <c r="F7294" t="s">
        <v>79</v>
      </c>
      <c r="G7294">
        <v>-170.52690000000001</v>
      </c>
      <c r="H7294" s="1">
        <v>-2.8892849999999998E-6</v>
      </c>
      <c r="I7294">
        <v>137.28129999999999</v>
      </c>
      <c r="J7294">
        <v>-177.55770000000001</v>
      </c>
      <c r="K7294">
        <v>1.09392</v>
      </c>
      <c r="L7294">
        <v>135.9374</v>
      </c>
      <c r="M7294">
        <v>0.66849269999999905</v>
      </c>
      <c r="N7294">
        <v>0</v>
      </c>
      <c r="O7294">
        <v>0.74351999999999996</v>
      </c>
      <c r="P7294">
        <v>0.87045360000000005</v>
      </c>
      <c r="Q7294">
        <v>5.2082370000000003E-2</v>
      </c>
      <c r="R7294">
        <v>0.48948770000000003</v>
      </c>
      <c r="S7294">
        <v>3.1233979999999999</v>
      </c>
      <c r="T7294">
        <v>-0.47766219999999998</v>
      </c>
      <c r="U7294">
        <v>0.64305109999999999</v>
      </c>
      <c r="V7294">
        <v>0.32245200000000002</v>
      </c>
      <c r="W7294">
        <v>5.5792729999999999E-2</v>
      </c>
      <c r="X7294">
        <v>0.94494009999999995</v>
      </c>
      <c r="Y7294">
        <v>0.58090699999999995</v>
      </c>
      <c r="Z7294">
        <v>-0.1425295</v>
      </c>
      <c r="AA7294">
        <v>0.80139399999999905</v>
      </c>
      <c r="AB7294">
        <v>34</v>
      </c>
      <c r="AC7294">
        <v>7.0307999999999904</v>
      </c>
      <c r="AD7294">
        <v>-1.0939228892849999</v>
      </c>
      <c r="AE7294">
        <v>1.3438999999999901</v>
      </c>
      <c r="AF7294">
        <v>4.2309784931482204</v>
      </c>
      <c r="AG7294">
        <v>-1.0939228892849999</v>
      </c>
      <c r="AH7294">
        <v>5.5700098655322696</v>
      </c>
      <c r="AI7294">
        <v>98.888630929413907</v>
      </c>
      <c r="AJ7294">
        <v>52.779702672978203</v>
      </c>
      <c r="AK7294">
        <v>7.0797497271663001</v>
      </c>
      <c r="AL7294">
        <v>86.8016511207462</v>
      </c>
      <c r="AM7294">
        <v>71.158271285169903</v>
      </c>
      <c r="AN7294">
        <v>0.99999995680642995</v>
      </c>
    </row>
    <row r="7295" spans="1:40" x14ac:dyDescent="0.25">
      <c r="A7295" t="str">
        <f>"20190312151206504"</f>
        <v>20190312151206504</v>
      </c>
      <c r="B7295" t="str">
        <f>"1552374726498526"</f>
        <v>1552374726498526</v>
      </c>
      <c r="C7295" t="s">
        <v>40</v>
      </c>
      <c r="D7295">
        <v>5.1058750000000002</v>
      </c>
      <c r="E7295">
        <v>0.62287530000000002</v>
      </c>
      <c r="F7295" t="s">
        <v>79</v>
      </c>
      <c r="G7295">
        <v>-170.34119999999999</v>
      </c>
      <c r="H7295" s="1">
        <v>-2.810912E-6</v>
      </c>
      <c r="I7295">
        <v>137.3432</v>
      </c>
      <c r="J7295">
        <v>-177.43350000000001</v>
      </c>
      <c r="K7295">
        <v>1.093882</v>
      </c>
      <c r="L7295">
        <v>136.06620000000001</v>
      </c>
      <c r="M7295">
        <v>0.67541430000000002</v>
      </c>
      <c r="N7295">
        <v>0</v>
      </c>
      <c r="O7295">
        <v>0.73723760000000005</v>
      </c>
      <c r="P7295">
        <v>0.87482289999999996</v>
      </c>
      <c r="Q7295">
        <v>5.2007640000000001E-2</v>
      </c>
      <c r="R7295">
        <v>0.4816435</v>
      </c>
      <c r="S7295">
        <v>3.1318049999999999</v>
      </c>
      <c r="T7295">
        <v>-0.47473900000000002</v>
      </c>
      <c r="U7295">
        <v>0.61009219999999997</v>
      </c>
      <c r="V7295">
        <v>0.3221175</v>
      </c>
      <c r="W7295">
        <v>5.5720850000000002E-2</v>
      </c>
      <c r="X7295">
        <v>0.94505850000000002</v>
      </c>
      <c r="Y7295">
        <v>0.58209309999999903</v>
      </c>
      <c r="Z7295">
        <v>-0.14108129999999999</v>
      </c>
      <c r="AA7295">
        <v>0.80078939999999998</v>
      </c>
      <c r="AB7295">
        <v>34</v>
      </c>
      <c r="AC7295">
        <v>7.0923000000000203</v>
      </c>
      <c r="AD7295">
        <v>-1.0938848109119901</v>
      </c>
      <c r="AE7295">
        <v>1.2769999999999799</v>
      </c>
      <c r="AF7295">
        <v>4.2684999505792502</v>
      </c>
      <c r="AG7295">
        <v>-1.0938848109119901</v>
      </c>
      <c r="AH7295">
        <v>5.6034303986064602</v>
      </c>
      <c r="AI7295">
        <v>98.827081874896706</v>
      </c>
      <c r="AJ7295">
        <v>52.701100599002601</v>
      </c>
      <c r="AK7295">
        <v>7.1284716482333002</v>
      </c>
      <c r="AL7295">
        <v>86.805776200833506</v>
      </c>
      <c r="AM7295">
        <v>71.178632231904004</v>
      </c>
      <c r="AN7295">
        <v>1.0000000326766101</v>
      </c>
    </row>
    <row r="7296" spans="1:40" x14ac:dyDescent="0.25">
      <c r="A7296" t="str">
        <f>"20190312151206515"</f>
        <v>20190312151206515</v>
      </c>
      <c r="B7296" t="str">
        <f>"1552374726508286"</f>
        <v>1552374726508286</v>
      </c>
      <c r="C7296" t="s">
        <v>40</v>
      </c>
      <c r="D7296">
        <v>5.2146140000000001</v>
      </c>
      <c r="E7296">
        <v>0.62317230000000001</v>
      </c>
      <c r="F7296" t="s">
        <v>79</v>
      </c>
      <c r="G7296">
        <v>-170.19499999999999</v>
      </c>
      <c r="H7296" s="1">
        <v>-2.7542869999999999E-6</v>
      </c>
      <c r="I7296">
        <v>137.40360000000001</v>
      </c>
      <c r="J7296">
        <v>-177.30340000000001</v>
      </c>
      <c r="K7296">
        <v>1.093847</v>
      </c>
      <c r="L7296">
        <v>136.1986</v>
      </c>
      <c r="M7296">
        <v>0.68254780000000004</v>
      </c>
      <c r="N7296">
        <v>0</v>
      </c>
      <c r="O7296">
        <v>0.73063800000000001</v>
      </c>
      <c r="P7296">
        <v>0.87914009999999998</v>
      </c>
      <c r="Q7296">
        <v>5.1813449999999997E-2</v>
      </c>
      <c r="R7296">
        <v>0.47373850000000001</v>
      </c>
      <c r="S7296">
        <v>3.1382140000000001</v>
      </c>
      <c r="T7296">
        <v>-0.47425040000000002</v>
      </c>
      <c r="U7296">
        <v>0.57984919999999995</v>
      </c>
      <c r="V7296">
        <v>0.32145620000000003</v>
      </c>
      <c r="W7296">
        <v>5.5544690000000001E-2</v>
      </c>
      <c r="X7296">
        <v>0.94529399999999997</v>
      </c>
      <c r="Y7296">
        <v>0.58208749999999998</v>
      </c>
      <c r="Z7296">
        <v>-0.14028289999999999</v>
      </c>
      <c r="AA7296">
        <v>0.80093369999999997</v>
      </c>
      <c r="AB7296">
        <v>34</v>
      </c>
      <c r="AC7296">
        <v>7.1084000000000103</v>
      </c>
      <c r="AD7296">
        <v>-1.093849754287</v>
      </c>
      <c r="AE7296">
        <v>1.2050000000000101</v>
      </c>
      <c r="AF7296">
        <v>4.2734785549321304</v>
      </c>
      <c r="AG7296">
        <v>-1.093849754287</v>
      </c>
      <c r="AH7296">
        <v>5.6040967932158203</v>
      </c>
      <c r="AI7296">
        <v>98.822429765773705</v>
      </c>
      <c r="AJ7296">
        <v>52.672186100931199</v>
      </c>
      <c r="AK7296">
        <v>7.1319721755031003</v>
      </c>
      <c r="AL7296">
        <v>86.815885052288905</v>
      </c>
      <c r="AM7296">
        <v>71.218911260849097</v>
      </c>
      <c r="AN7296">
        <v>1.00000002377081</v>
      </c>
    </row>
    <row r="7297" spans="1:40" x14ac:dyDescent="0.25">
      <c r="A7297" t="str">
        <f>"20190312151206526"</f>
        <v>20190312151206526</v>
      </c>
      <c r="B7297" t="str">
        <f>"1552374726519022"</f>
        <v>1552374726519022</v>
      </c>
      <c r="C7297" t="s">
        <v>40</v>
      </c>
      <c r="D7297">
        <v>5.202083</v>
      </c>
      <c r="E7297">
        <v>0.62339899999999904</v>
      </c>
      <c r="F7297" t="s">
        <v>79</v>
      </c>
      <c r="G7297">
        <v>-170.03129999999999</v>
      </c>
      <c r="H7297" s="1">
        <v>-2.6897930000000001E-6</v>
      </c>
      <c r="I7297">
        <v>137.46879999999999</v>
      </c>
      <c r="J7297">
        <v>-177.1815</v>
      </c>
      <c r="K7297">
        <v>1.0938159999999999</v>
      </c>
      <c r="L7297">
        <v>136.31960000000001</v>
      </c>
      <c r="M7297">
        <v>0.68911899999999904</v>
      </c>
      <c r="N7297">
        <v>0</v>
      </c>
      <c r="O7297">
        <v>0.72444319999999995</v>
      </c>
      <c r="P7297">
        <v>0.88314859999999995</v>
      </c>
      <c r="Q7297">
        <v>5.1326179999999999E-2</v>
      </c>
      <c r="R7297">
        <v>0.4662772</v>
      </c>
      <c r="S7297">
        <v>3.1443479999999999</v>
      </c>
      <c r="T7297">
        <v>-0.47296139999999998</v>
      </c>
      <c r="U7297">
        <v>0.54919430000000002</v>
      </c>
      <c r="V7297">
        <v>0.32092859999999901</v>
      </c>
      <c r="W7297">
        <v>5.5071920000000003E-2</v>
      </c>
      <c r="X7297">
        <v>0.94550089999999998</v>
      </c>
      <c r="Y7297">
        <v>0.58275600000000005</v>
      </c>
      <c r="Z7297">
        <v>-0.13933429999999999</v>
      </c>
      <c r="AA7297">
        <v>0.80061309999999997</v>
      </c>
      <c r="AB7297">
        <v>34</v>
      </c>
      <c r="AC7297">
        <v>7.1502000000000097</v>
      </c>
      <c r="AD7297">
        <v>-1.093818689793</v>
      </c>
      <c r="AE7297">
        <v>1.14919999999997</v>
      </c>
      <c r="AF7297">
        <v>4.2907462582920202</v>
      </c>
      <c r="AG7297">
        <v>-1.093818689793</v>
      </c>
      <c r="AH7297">
        <v>5.6322375121739796</v>
      </c>
      <c r="AI7297">
        <v>98.781893718145696</v>
      </c>
      <c r="AJ7297">
        <v>52.699156302008298</v>
      </c>
      <c r="AK7297">
        <v>7.1644289495204898</v>
      </c>
      <c r="AL7297">
        <v>86.843014283172593</v>
      </c>
      <c r="AM7297">
        <v>71.251396870064795</v>
      </c>
      <c r="AN7297">
        <v>1.00000001728562</v>
      </c>
    </row>
    <row r="7298" spans="1:40" x14ac:dyDescent="0.25">
      <c r="A7298" t="str">
        <f>"20190312151206538"</f>
        <v>20190312151206538</v>
      </c>
      <c r="B7298" t="str">
        <f>"1552374726528782"</f>
        <v>1552374726528782</v>
      </c>
      <c r="C7298" t="s">
        <v>40</v>
      </c>
      <c r="D7298">
        <v>5.2470829999999999</v>
      </c>
      <c r="E7298">
        <v>0.62357209999999996</v>
      </c>
      <c r="F7298" t="s">
        <v>42</v>
      </c>
      <c r="G7298">
        <v>-169.89230000000001</v>
      </c>
      <c r="H7298" s="1">
        <v>-5.8236469999999998E-7</v>
      </c>
      <c r="I7298">
        <v>137.52359999999999</v>
      </c>
      <c r="J7298">
        <v>-177.0479</v>
      </c>
      <c r="K7298">
        <v>1.0937779999999999</v>
      </c>
      <c r="L7298">
        <v>136.45099999999999</v>
      </c>
      <c r="M7298">
        <v>0.69623239999999997</v>
      </c>
      <c r="N7298">
        <v>0</v>
      </c>
      <c r="O7298">
        <v>0.717609099999999</v>
      </c>
      <c r="P7298">
        <v>0.88724499999999995</v>
      </c>
      <c r="Q7298">
        <v>5.1187900000000001E-2</v>
      </c>
      <c r="R7298">
        <v>0.45844970000000002</v>
      </c>
      <c r="S7298">
        <v>3.149734</v>
      </c>
      <c r="T7298">
        <v>-0.47265170000000001</v>
      </c>
      <c r="U7298">
        <v>0.5202637</v>
      </c>
      <c r="V7298">
        <v>0.31996599999999997</v>
      </c>
      <c r="W7298">
        <v>5.4966699999999903E-2</v>
      </c>
      <c r="X7298">
        <v>0.94583320000000004</v>
      </c>
      <c r="Y7298">
        <v>0.58225669999999996</v>
      </c>
      <c r="Z7298">
        <v>-0.13852990000000001</v>
      </c>
      <c r="AA7298">
        <v>0.80111580000000004</v>
      </c>
      <c r="AB7298">
        <v>34</v>
      </c>
      <c r="AC7298">
        <v>7.15559999999999</v>
      </c>
      <c r="AD7298">
        <v>-1.0937785823646999</v>
      </c>
      <c r="AE7298">
        <v>1.07259999999999</v>
      </c>
      <c r="AF7298">
        <v>4.2907475223062503</v>
      </c>
      <c r="AG7298">
        <v>-1.0937785823646999</v>
      </c>
      <c r="AH7298">
        <v>5.62400665344434</v>
      </c>
      <c r="AI7298">
        <v>98.789574709148198</v>
      </c>
      <c r="AJ7298">
        <v>52.658748096857202</v>
      </c>
      <c r="AK7298">
        <v>7.1579547864877702</v>
      </c>
      <c r="AL7298">
        <v>86.849052069880301</v>
      </c>
      <c r="AM7298">
        <v>71.309831183615898</v>
      </c>
      <c r="AN7298">
        <v>1.00000001074356</v>
      </c>
    </row>
    <row r="7299" spans="1:40" x14ac:dyDescent="0.25">
      <c r="A7299" t="str">
        <f>"20190312151206550"</f>
        <v>20190312151206550</v>
      </c>
      <c r="B7299" t="str">
        <f>"1552374726538542"</f>
        <v>1552374726538542</v>
      </c>
      <c r="C7299" t="s">
        <v>40</v>
      </c>
      <c r="D7299">
        <v>5.2175500000000001</v>
      </c>
      <c r="E7299">
        <v>0.6237762</v>
      </c>
      <c r="F7299" t="s">
        <v>42</v>
      </c>
      <c r="G7299">
        <v>-169.73670000000001</v>
      </c>
      <c r="H7299" s="1">
        <v>-6.2502550000000001E-7</v>
      </c>
      <c r="I7299">
        <v>137.58799999999999</v>
      </c>
      <c r="J7299">
        <v>-176.91329999999999</v>
      </c>
      <c r="K7299">
        <v>1.09375</v>
      </c>
      <c r="L7299">
        <v>136.57939999999999</v>
      </c>
      <c r="M7299">
        <v>0.70325590000000004</v>
      </c>
      <c r="N7299">
        <v>0</v>
      </c>
      <c r="O7299">
        <v>0.71072709999999995</v>
      </c>
      <c r="P7299">
        <v>0.89128819999999997</v>
      </c>
      <c r="Q7299">
        <v>5.0640490000000003E-2</v>
      </c>
      <c r="R7299">
        <v>0.45060070000000002</v>
      </c>
      <c r="S7299">
        <v>3.1549839999999998</v>
      </c>
      <c r="T7299">
        <v>-0.47199439999999998</v>
      </c>
      <c r="U7299">
        <v>0.49063109999999999</v>
      </c>
      <c r="V7299">
        <v>0.319017</v>
      </c>
      <c r="W7299">
        <v>5.44539E-2</v>
      </c>
      <c r="X7299">
        <v>0.94618340000000001</v>
      </c>
      <c r="Y7299">
        <v>0.58196680000000001</v>
      </c>
      <c r="Z7299">
        <v>-0.137628</v>
      </c>
      <c r="AA7299">
        <v>0.80148189999999997</v>
      </c>
      <c r="AB7299">
        <v>34</v>
      </c>
      <c r="AC7299">
        <v>7.1765999999999703</v>
      </c>
      <c r="AD7299">
        <v>-1.0937506250255</v>
      </c>
      <c r="AE7299">
        <v>1.0085999999999999</v>
      </c>
      <c r="AF7299">
        <v>4.2941453276928696</v>
      </c>
      <c r="AG7299">
        <v>-1.0937506250255</v>
      </c>
      <c r="AH7299">
        <v>5.6363044672407598</v>
      </c>
      <c r="AI7299">
        <v>98.774895885658495</v>
      </c>
      <c r="AJ7299">
        <v>52.697221594959601</v>
      </c>
      <c r="AK7299">
        <v>7.16965149589074</v>
      </c>
      <c r="AL7299">
        <v>86.878477539433206</v>
      </c>
      <c r="AM7299">
        <v>71.367853424706595</v>
      </c>
      <c r="AN7299">
        <v>1.00000004997488</v>
      </c>
    </row>
    <row r="7300" spans="1:40" x14ac:dyDescent="0.25">
      <c r="A7300" t="str">
        <f>"20190312151206561"</f>
        <v>20190312151206561</v>
      </c>
      <c r="B7300" t="str">
        <f>"1552374726559038"</f>
        <v>1552374726559038</v>
      </c>
      <c r="C7300" t="s">
        <v>40</v>
      </c>
      <c r="D7300">
        <v>5.1720119999999996</v>
      </c>
      <c r="E7300">
        <v>0.62405669999999902</v>
      </c>
      <c r="F7300" t="s">
        <v>42</v>
      </c>
      <c r="G7300">
        <v>-169.60939999999999</v>
      </c>
      <c r="H7300" s="1">
        <v>-6.5871449999999896E-7</v>
      </c>
      <c r="I7300">
        <v>137.64500000000001</v>
      </c>
      <c r="J7300">
        <v>-176.79480000000001</v>
      </c>
      <c r="K7300">
        <v>1.0937239999999999</v>
      </c>
      <c r="L7300">
        <v>136.69110000000001</v>
      </c>
      <c r="M7300">
        <v>0.70935959999999998</v>
      </c>
      <c r="N7300">
        <v>0</v>
      </c>
      <c r="O7300">
        <v>0.70463500000000001</v>
      </c>
      <c r="P7300">
        <v>0.89454599999999995</v>
      </c>
      <c r="Q7300">
        <v>5.035253E-2</v>
      </c>
      <c r="R7300">
        <v>0.44413069999999999</v>
      </c>
      <c r="S7300">
        <v>3.1597439999999999</v>
      </c>
      <c r="T7300">
        <v>-0.47316910000000001</v>
      </c>
      <c r="U7300">
        <v>0.46098329999999998</v>
      </c>
      <c r="V7300">
        <v>0.31771509999999997</v>
      </c>
      <c r="W7300">
        <v>5.4217750000000002E-2</v>
      </c>
      <c r="X7300">
        <v>0.9466348</v>
      </c>
      <c r="Y7300">
        <v>0.58252579999999998</v>
      </c>
      <c r="Z7300">
        <v>-0.1373944</v>
      </c>
      <c r="AA7300">
        <v>0.80111580000000004</v>
      </c>
      <c r="AB7300">
        <v>34</v>
      </c>
      <c r="AC7300">
        <v>7.1854000000000102</v>
      </c>
      <c r="AD7300">
        <v>-1.0937246587145</v>
      </c>
      <c r="AE7300">
        <v>0.95390000000000397</v>
      </c>
      <c r="AF7300">
        <v>4.2894190522846696</v>
      </c>
      <c r="AG7300">
        <v>-1.0937246587145</v>
      </c>
      <c r="AH7300">
        <v>5.6415965359553804</v>
      </c>
      <c r="AI7300">
        <v>98.773046905533107</v>
      </c>
      <c r="AJ7300">
        <v>52.753543540593597</v>
      </c>
      <c r="AK7300">
        <v>7.1709804705972102</v>
      </c>
      <c r="AL7300">
        <v>86.892027634165601</v>
      </c>
      <c r="AM7300">
        <v>71.446916726766801</v>
      </c>
      <c r="AN7300">
        <v>0.99999994687705396</v>
      </c>
    </row>
    <row r="7301" spans="1:40" x14ac:dyDescent="0.25">
      <c r="A7301" t="str">
        <f>"20190312151206573"</f>
        <v>20190312151206573</v>
      </c>
      <c r="B7301" t="str">
        <f>"1552374726568799"</f>
        <v>1552374726568799</v>
      </c>
      <c r="C7301" t="s">
        <v>40</v>
      </c>
      <c r="D7301">
        <v>5.2319750000000003</v>
      </c>
      <c r="E7301">
        <v>0.6241525</v>
      </c>
      <c r="F7301" t="s">
        <v>42</v>
      </c>
      <c r="G7301">
        <v>-169.47730000000001</v>
      </c>
      <c r="H7301" s="1">
        <v>-6.9505659999999897E-7</v>
      </c>
      <c r="I7301">
        <v>137.69909999999999</v>
      </c>
      <c r="J7301">
        <v>-176.66130000000001</v>
      </c>
      <c r="K7301">
        <v>1.093701</v>
      </c>
      <c r="L7301">
        <v>136.81450000000001</v>
      </c>
      <c r="M7301">
        <v>0.71612810000000005</v>
      </c>
      <c r="N7301">
        <v>0</v>
      </c>
      <c r="O7301">
        <v>0.69775469999999995</v>
      </c>
      <c r="P7301">
        <v>0.89842250000000001</v>
      </c>
      <c r="Q7301">
        <v>5.000251E-2</v>
      </c>
      <c r="R7301">
        <v>0.43627640000000001</v>
      </c>
      <c r="S7301">
        <v>3.16391</v>
      </c>
      <c r="T7301">
        <v>-0.4729006</v>
      </c>
      <c r="U7301">
        <v>0.43580629999999998</v>
      </c>
      <c r="V7301">
        <v>0.3168744</v>
      </c>
      <c r="W7301">
        <v>5.3899219999999998E-2</v>
      </c>
      <c r="X7301">
        <v>0.94693479999999997</v>
      </c>
      <c r="Y7301">
        <v>0.5812254</v>
      </c>
      <c r="Z7301">
        <v>-0.13651479999999999</v>
      </c>
      <c r="AA7301">
        <v>0.80220990000000003</v>
      </c>
      <c r="AB7301">
        <v>33</v>
      </c>
      <c r="AC7301">
        <v>7.1839999999999904</v>
      </c>
      <c r="AD7301">
        <v>-1.0937016950565901</v>
      </c>
      <c r="AE7301">
        <v>0.88459999999997696</v>
      </c>
      <c r="AF7301">
        <v>4.2820724447933802</v>
      </c>
      <c r="AG7301">
        <v>-1.0937016950565901</v>
      </c>
      <c r="AH7301">
        <v>5.6341253262482898</v>
      </c>
      <c r="AI7301">
        <v>98.785549672927203</v>
      </c>
      <c r="AJ7301">
        <v>52.764281639753698</v>
      </c>
      <c r="AK7301">
        <v>7.1607049940701204</v>
      </c>
      <c r="AL7301">
        <v>86.910304990890793</v>
      </c>
      <c r="AM7301">
        <v>71.498125542639201</v>
      </c>
      <c r="AN7301">
        <v>1.0000000133714999</v>
      </c>
    </row>
    <row r="7302" spans="1:40" x14ac:dyDescent="0.25">
      <c r="A7302" t="str">
        <f>"20190312151206585"</f>
        <v>20190312151206585</v>
      </c>
      <c r="B7302" t="str">
        <f>"1552374726578558"</f>
        <v>1552374726578558</v>
      </c>
      <c r="C7302" t="s">
        <v>40</v>
      </c>
      <c r="D7302">
        <v>5.2205180000000002</v>
      </c>
      <c r="E7302">
        <v>0.62422</v>
      </c>
      <c r="F7302" t="s">
        <v>42</v>
      </c>
      <c r="G7302">
        <v>-169.3355</v>
      </c>
      <c r="H7302" s="1">
        <v>-7.3439250000000002E-7</v>
      </c>
      <c r="I7302">
        <v>137.7559</v>
      </c>
      <c r="J7302">
        <v>-176.52670000000001</v>
      </c>
      <c r="K7302">
        <v>1.093675</v>
      </c>
      <c r="L7302">
        <v>136.93610000000001</v>
      </c>
      <c r="M7302">
        <v>0.72283350000000002</v>
      </c>
      <c r="N7302">
        <v>0</v>
      </c>
      <c r="O7302">
        <v>0.69080559999999902</v>
      </c>
      <c r="P7302">
        <v>0.90204079999999998</v>
      </c>
      <c r="Q7302">
        <v>4.9930919999999997E-2</v>
      </c>
      <c r="R7302">
        <v>0.42875340000000001</v>
      </c>
      <c r="S7302">
        <v>3.1678160000000002</v>
      </c>
      <c r="T7302">
        <v>-0.47293879999999999</v>
      </c>
      <c r="U7302">
        <v>0.40710449999999998</v>
      </c>
      <c r="V7302">
        <v>0.31564500000000001</v>
      </c>
      <c r="W7302">
        <v>5.3877769999999998E-2</v>
      </c>
      <c r="X7302">
        <v>0.94734649999999998</v>
      </c>
      <c r="Y7302">
        <v>0.58076070000000002</v>
      </c>
      <c r="Z7302">
        <v>-0.13579089999999999</v>
      </c>
      <c r="AA7302">
        <v>0.80266930000000003</v>
      </c>
      <c r="AB7302">
        <v>33</v>
      </c>
      <c r="AC7302">
        <v>7.1912000000000003</v>
      </c>
      <c r="AD7302">
        <v>-1.0936757343925001</v>
      </c>
      <c r="AE7302">
        <v>0.81979999999998598</v>
      </c>
      <c r="AF7302">
        <v>4.2781143240431199</v>
      </c>
      <c r="AG7302">
        <v>-1.0936757343925001</v>
      </c>
      <c r="AH7302">
        <v>5.6365258027209899</v>
      </c>
      <c r="AI7302">
        <v>98.785933956170297</v>
      </c>
      <c r="AJ7302">
        <v>52.801558336738303</v>
      </c>
      <c r="AK7302">
        <v>7.1602242916211303</v>
      </c>
      <c r="AL7302">
        <v>86.911535687848399</v>
      </c>
      <c r="AM7302">
        <v>71.5725177916609</v>
      </c>
      <c r="AN7302">
        <v>0.99999998559371095</v>
      </c>
    </row>
    <row r="7303" spans="1:40" x14ac:dyDescent="0.25">
      <c r="A7303" t="str">
        <f>"20190312151206597"</f>
        <v>20190312151206597</v>
      </c>
      <c r="B7303" t="str">
        <f>"1552374726588318"</f>
        <v>1552374726588318</v>
      </c>
      <c r="C7303" t="s">
        <v>40</v>
      </c>
      <c r="D7303">
        <v>5.1469860000000001</v>
      </c>
      <c r="E7303">
        <v>0.62436099999999894</v>
      </c>
      <c r="F7303" t="s">
        <v>42</v>
      </c>
      <c r="G7303">
        <v>-169.1909</v>
      </c>
      <c r="H7303" s="1">
        <v>-7.742323E-7</v>
      </c>
      <c r="I7303">
        <v>137.81489999999999</v>
      </c>
      <c r="J7303">
        <v>-176.39510000000001</v>
      </c>
      <c r="K7303">
        <v>1.0936539999999999</v>
      </c>
      <c r="L7303">
        <v>137.05369999999999</v>
      </c>
      <c r="M7303">
        <v>0.72930669999999898</v>
      </c>
      <c r="N7303">
        <v>0</v>
      </c>
      <c r="O7303">
        <v>0.68396780000000001</v>
      </c>
      <c r="P7303">
        <v>0.90548949999999995</v>
      </c>
      <c r="Q7303">
        <v>4.980271E-2</v>
      </c>
      <c r="R7303">
        <v>0.42143639999999999</v>
      </c>
      <c r="S7303">
        <v>3.1713710000000002</v>
      </c>
      <c r="T7303">
        <v>-0.47280729999999999</v>
      </c>
      <c r="U7303">
        <v>0.3799438</v>
      </c>
      <c r="V7303">
        <v>0.31439590000000001</v>
      </c>
      <c r="W7303">
        <v>5.3801120000000001E-2</v>
      </c>
      <c r="X7303">
        <v>0.94776609999999994</v>
      </c>
      <c r="Y7303">
        <v>0.58010640000000002</v>
      </c>
      <c r="Z7303">
        <v>-0.13500529999999999</v>
      </c>
      <c r="AA7303">
        <v>0.80327459999999995</v>
      </c>
      <c r="AB7303">
        <v>33</v>
      </c>
      <c r="AC7303">
        <v>7.2042000000000099</v>
      </c>
      <c r="AD7303">
        <v>-1.0936547742323</v>
      </c>
      <c r="AE7303">
        <v>0.76120000000000199</v>
      </c>
      <c r="AF7303">
        <v>4.2755041889793199</v>
      </c>
      <c r="AG7303">
        <v>-1.0936547742323</v>
      </c>
      <c r="AH7303">
        <v>5.6468743212596904</v>
      </c>
      <c r="AI7303">
        <v>98.777623540654403</v>
      </c>
      <c r="AJ7303">
        <v>52.868987638562501</v>
      </c>
      <c r="AK7303">
        <v>7.1668128505830904</v>
      </c>
      <c r="AL7303">
        <v>86.915933713644506</v>
      </c>
      <c r="AM7303">
        <v>71.648125343378993</v>
      </c>
      <c r="AN7303">
        <v>0.99999996137963598</v>
      </c>
    </row>
    <row r="7304" spans="1:40" x14ac:dyDescent="0.25">
      <c r="A7304" t="str">
        <f>"20190312151206608"</f>
        <v>20190312151206608</v>
      </c>
      <c r="B7304" t="str">
        <f>"1552374726599057"</f>
        <v>1552374726599057</v>
      </c>
      <c r="C7304" t="s">
        <v>40</v>
      </c>
      <c r="D7304">
        <v>5.0493459999999999</v>
      </c>
      <c r="E7304">
        <v>0.62457839999999998</v>
      </c>
      <c r="F7304" t="s">
        <v>42</v>
      </c>
      <c r="G7304">
        <v>-169.0421</v>
      </c>
      <c r="H7304" s="1">
        <v>-8.162056E-7</v>
      </c>
      <c r="I7304">
        <v>137.87190000000001</v>
      </c>
      <c r="J7304">
        <v>-176.26519999999999</v>
      </c>
      <c r="K7304">
        <v>1.093637</v>
      </c>
      <c r="L7304">
        <v>137.1662</v>
      </c>
      <c r="M7304">
        <v>0.73556339999999998</v>
      </c>
      <c r="N7304">
        <v>0</v>
      </c>
      <c r="O7304">
        <v>0.67723429999999996</v>
      </c>
      <c r="P7304">
        <v>0.90859199999999996</v>
      </c>
      <c r="Q7304">
        <v>4.9891169999999999E-2</v>
      </c>
      <c r="R7304">
        <v>0.41469440000000002</v>
      </c>
      <c r="S7304">
        <v>3.1746979999999998</v>
      </c>
      <c r="T7304">
        <v>-0.4721957</v>
      </c>
      <c r="U7304">
        <v>0.35324100000000003</v>
      </c>
      <c r="V7304">
        <v>0.31273030000000002</v>
      </c>
      <c r="W7304">
        <v>5.3962059999999999E-2</v>
      </c>
      <c r="X7304">
        <v>0.94830789999999998</v>
      </c>
      <c r="Y7304">
        <v>0.5795363</v>
      </c>
      <c r="Z7304">
        <v>-0.1340933</v>
      </c>
      <c r="AA7304">
        <v>0.80383870000000002</v>
      </c>
      <c r="AB7304">
        <v>33</v>
      </c>
      <c r="AC7304">
        <v>7.2230999999999801</v>
      </c>
      <c r="AD7304">
        <v>-1.0936378162056</v>
      </c>
      <c r="AE7304">
        <v>0.70570000000000699</v>
      </c>
      <c r="AF7304">
        <v>4.2761976449611501</v>
      </c>
      <c r="AG7304">
        <v>-1.0936378162056</v>
      </c>
      <c r="AH7304">
        <v>5.6632421854653696</v>
      </c>
      <c r="AI7304">
        <v>98.7610821936061</v>
      </c>
      <c r="AJ7304">
        <v>52.944297121939201</v>
      </c>
      <c r="AK7304">
        <v>7.1801268807062799</v>
      </c>
      <c r="AL7304">
        <v>86.906699262638597</v>
      </c>
      <c r="AM7304">
        <v>71.748623987103201</v>
      </c>
      <c r="AN7304">
        <v>1.0000000088299701</v>
      </c>
    </row>
    <row r="7305" spans="1:40" x14ac:dyDescent="0.25">
      <c r="A7305" t="str">
        <f>"20190312151206621"</f>
        <v>20190312151206621</v>
      </c>
      <c r="B7305" t="str">
        <f>"1552374726618573"</f>
        <v>1552374726618573</v>
      </c>
      <c r="C7305" t="s">
        <v>40</v>
      </c>
      <c r="D7305">
        <v>5.0663839999999896</v>
      </c>
      <c r="E7305">
        <v>0.6249789</v>
      </c>
      <c r="F7305" t="s">
        <v>42</v>
      </c>
      <c r="G7305">
        <v>-168.8717</v>
      </c>
      <c r="H7305" s="1">
        <v>-8.6629009999999995E-7</v>
      </c>
      <c r="I7305">
        <v>137.92959999999999</v>
      </c>
      <c r="J7305">
        <v>-176.11150000000001</v>
      </c>
      <c r="K7305">
        <v>1.0936189999999999</v>
      </c>
      <c r="L7305">
        <v>137.2978</v>
      </c>
      <c r="M7305">
        <v>0.74286419999999997</v>
      </c>
      <c r="N7305">
        <v>0</v>
      </c>
      <c r="O7305">
        <v>0.66921759999999997</v>
      </c>
      <c r="P7305">
        <v>0.91258989999999995</v>
      </c>
      <c r="Q7305">
        <v>5.0132099999999999E-2</v>
      </c>
      <c r="R7305">
        <v>0.40579120000000002</v>
      </c>
      <c r="S7305">
        <v>3.1778559999999998</v>
      </c>
      <c r="T7305">
        <v>-0.47006130000000002</v>
      </c>
      <c r="U7305">
        <v>0.3281403</v>
      </c>
      <c r="V7305">
        <v>0.31172159999999999</v>
      </c>
      <c r="W7305">
        <v>5.4245359999999999E-2</v>
      </c>
      <c r="X7305">
        <v>0.94862380000000002</v>
      </c>
      <c r="Y7305">
        <v>0.5773298</v>
      </c>
      <c r="Z7305">
        <v>-0.1324882</v>
      </c>
      <c r="AA7305">
        <v>0.80569049999999998</v>
      </c>
      <c r="AB7305">
        <v>33</v>
      </c>
      <c r="AC7305">
        <v>7.2397999999999998</v>
      </c>
      <c r="AD7305">
        <v>-1.0936198662901</v>
      </c>
      <c r="AE7305">
        <v>0.63179999999999803</v>
      </c>
      <c r="AF7305">
        <v>4.2794077932143697</v>
      </c>
      <c r="AG7305">
        <v>-1.0936198662901</v>
      </c>
      <c r="AH7305">
        <v>5.6733942682012204</v>
      </c>
      <c r="AI7305">
        <v>98.748758122446503</v>
      </c>
      <c r="AJ7305">
        <v>52.972965193878302</v>
      </c>
      <c r="AK7305">
        <v>7.1900443666939102</v>
      </c>
      <c r="AL7305">
        <v>86.890443576529606</v>
      </c>
      <c r="AM7305">
        <v>71.809268600413901</v>
      </c>
      <c r="AN7305">
        <v>1.0000000144572601</v>
      </c>
    </row>
    <row r="7306" spans="1:40" x14ac:dyDescent="0.25">
      <c r="A7306" t="str">
        <f>"20190312151206635"</f>
        <v>20190312151206635</v>
      </c>
      <c r="B7306" t="str">
        <f>"1552374726628334"</f>
        <v>1552374726628334</v>
      </c>
      <c r="C7306" t="s">
        <v>40</v>
      </c>
      <c r="D7306">
        <v>5.0908360000000004</v>
      </c>
      <c r="E7306">
        <v>0.62514250000000005</v>
      </c>
      <c r="F7306" t="s">
        <v>42</v>
      </c>
      <c r="G7306">
        <v>-168.65379999999999</v>
      </c>
      <c r="H7306" s="1">
        <v>-9.3441169999999999E-7</v>
      </c>
      <c r="I7306">
        <v>137.9881</v>
      </c>
      <c r="J7306">
        <v>-175.94799999999901</v>
      </c>
      <c r="K7306">
        <v>1.093601</v>
      </c>
      <c r="L7306">
        <v>137.43440000000001</v>
      </c>
      <c r="M7306">
        <v>0.75047659999999905</v>
      </c>
      <c r="N7306">
        <v>0</v>
      </c>
      <c r="O7306">
        <v>0.66066930000000001</v>
      </c>
      <c r="P7306">
        <v>0.91639800000000005</v>
      </c>
      <c r="Q7306">
        <v>5.0390079999999997E-2</v>
      </c>
      <c r="R7306">
        <v>0.3970841</v>
      </c>
      <c r="S7306">
        <v>3.1820219999999999</v>
      </c>
      <c r="T7306">
        <v>-0.46662160000000003</v>
      </c>
      <c r="U7306">
        <v>0.29450989999999999</v>
      </c>
      <c r="V7306">
        <v>0.30989660000000002</v>
      </c>
      <c r="W7306">
        <v>5.458437E-2</v>
      </c>
      <c r="X7306">
        <v>0.94920210000000005</v>
      </c>
      <c r="Y7306">
        <v>0.57685090000000006</v>
      </c>
      <c r="Z7306">
        <v>-0.130578</v>
      </c>
      <c r="AA7306">
        <v>0.80634510000000004</v>
      </c>
      <c r="AB7306">
        <v>33</v>
      </c>
      <c r="AC7306">
        <v>7.2941999999999796</v>
      </c>
      <c r="AD7306">
        <v>-1.0936019344116901</v>
      </c>
      <c r="AE7306">
        <v>0.55369999999999198</v>
      </c>
      <c r="AF7306">
        <v>4.3078984915128498</v>
      </c>
      <c r="AG7306">
        <v>-1.0936019344116901</v>
      </c>
      <c r="AH7306">
        <v>5.7131323009888302</v>
      </c>
      <c r="AI7306">
        <v>98.689765277229</v>
      </c>
      <c r="AJ7306">
        <v>52.982448683267798</v>
      </c>
      <c r="AK7306">
        <v>7.2383586048723503</v>
      </c>
      <c r="AL7306">
        <v>86.8709908414625</v>
      </c>
      <c r="AM7306">
        <v>71.919115209067698</v>
      </c>
      <c r="AN7306">
        <v>0.99999999139213303</v>
      </c>
    </row>
    <row r="7307" spans="1:40" x14ac:dyDescent="0.25">
      <c r="A7307" t="str">
        <f>"20190312151206651"</f>
        <v>20190312151206651</v>
      </c>
      <c r="B7307" t="str">
        <f>"1552374726648830"</f>
        <v>1552374726648830</v>
      </c>
      <c r="C7307" t="s">
        <v>40</v>
      </c>
      <c r="D7307">
        <v>5.1278290000000002</v>
      </c>
      <c r="E7307">
        <v>0.62537339999999997</v>
      </c>
      <c r="F7307" t="s">
        <v>42</v>
      </c>
      <c r="G7307">
        <v>-168.464</v>
      </c>
      <c r="H7307" s="1">
        <v>-9.897788E-7</v>
      </c>
      <c r="I7307">
        <v>138.0539</v>
      </c>
      <c r="J7307">
        <v>-175.76669999999999</v>
      </c>
      <c r="K7307">
        <v>1.0935820000000001</v>
      </c>
      <c r="L7307">
        <v>137.58170000000001</v>
      </c>
      <c r="M7307">
        <v>0.75873250000000003</v>
      </c>
      <c r="N7307">
        <v>0</v>
      </c>
      <c r="O7307">
        <v>0.6511709</v>
      </c>
      <c r="P7307">
        <v>0.92084449999999995</v>
      </c>
      <c r="Q7307">
        <v>5.0544800000000001E-2</v>
      </c>
      <c r="R7307">
        <v>0.38664029999999999</v>
      </c>
      <c r="S7307">
        <v>3.1850429999999998</v>
      </c>
      <c r="T7307">
        <v>-0.4654143</v>
      </c>
      <c r="U7307">
        <v>0.26364140000000003</v>
      </c>
      <c r="V7307">
        <v>0.3087434</v>
      </c>
      <c r="W7307">
        <v>5.4790529999999997E-2</v>
      </c>
      <c r="X7307">
        <v>0.94956589999999996</v>
      </c>
      <c r="Y7307">
        <v>0.57463180000000003</v>
      </c>
      <c r="Z7307">
        <v>-0.129079</v>
      </c>
      <c r="AA7307">
        <v>0.80816889999999997</v>
      </c>
      <c r="AB7307">
        <v>33</v>
      </c>
      <c r="AC7307">
        <v>7.3026999999999598</v>
      </c>
      <c r="AD7307">
        <v>-1.0935829897788001</v>
      </c>
      <c r="AE7307">
        <v>0.47219999999998602</v>
      </c>
      <c r="AF7307">
        <v>4.3016317802183002</v>
      </c>
      <c r="AG7307">
        <v>-1.0935829897788001</v>
      </c>
      <c r="AH7307">
        <v>5.7213912086916796</v>
      </c>
      <c r="AI7307">
        <v>98.686235923548594</v>
      </c>
      <c r="AJ7307">
        <v>53.062300058378803</v>
      </c>
      <c r="AK7307">
        <v>7.2411516412109496</v>
      </c>
      <c r="AL7307">
        <v>86.859160890865695</v>
      </c>
      <c r="AM7307">
        <v>71.988499386041099</v>
      </c>
      <c r="AN7307">
        <v>0.99999994383202295</v>
      </c>
    </row>
    <row r="7308" spans="1:40" x14ac:dyDescent="0.25">
      <c r="A7308" t="str">
        <f>"20190312151206668"</f>
        <v>20190312151206668</v>
      </c>
      <c r="B7308" t="str">
        <f>"1552374726658590"</f>
        <v>1552374726658590</v>
      </c>
      <c r="C7308" t="s">
        <v>40</v>
      </c>
      <c r="D7308">
        <v>5.0732140000000001</v>
      </c>
      <c r="E7308">
        <v>0.62546950000000001</v>
      </c>
      <c r="F7308" t="s">
        <v>42</v>
      </c>
      <c r="G7308">
        <v>-168.23869999999999</v>
      </c>
      <c r="H7308" s="1">
        <v>-1.079299E-6</v>
      </c>
      <c r="I7308">
        <v>138.11529999999999</v>
      </c>
      <c r="J7308">
        <v>-175.55670000000001</v>
      </c>
      <c r="K7308">
        <v>1.093567</v>
      </c>
      <c r="L7308">
        <v>137.74789999999999</v>
      </c>
      <c r="M7308">
        <v>0.76806890000000005</v>
      </c>
      <c r="N7308">
        <v>0</v>
      </c>
      <c r="O7308">
        <v>0.64013149999999996</v>
      </c>
      <c r="P7308">
        <v>0.92584230000000001</v>
      </c>
      <c r="Q7308">
        <v>5.0329859999999997E-2</v>
      </c>
      <c r="R7308">
        <v>0.37454359999999998</v>
      </c>
      <c r="S7308">
        <v>3.188431</v>
      </c>
      <c r="T7308">
        <v>-0.46318160000000003</v>
      </c>
      <c r="U7308">
        <v>0.2259979</v>
      </c>
      <c r="V7308">
        <v>0.30745359999999899</v>
      </c>
      <c r="W7308">
        <v>5.4634839999999997E-2</v>
      </c>
      <c r="X7308">
        <v>0.94999330000000004</v>
      </c>
      <c r="Y7308">
        <v>0.57266359999999905</v>
      </c>
      <c r="Z7308">
        <v>-0.1271438</v>
      </c>
      <c r="AA7308">
        <v>0.80987089999999995</v>
      </c>
      <c r="AB7308">
        <v>33</v>
      </c>
      <c r="AC7308">
        <v>7.3180000000000103</v>
      </c>
      <c r="AD7308">
        <v>-1.0935680792989999</v>
      </c>
      <c r="AE7308">
        <v>0.367400000000003</v>
      </c>
      <c r="AF7308">
        <v>4.3070203591418403</v>
      </c>
      <c r="AG7308">
        <v>-1.0935680792989999</v>
      </c>
      <c r="AH7308">
        <v>5.7291801926571004</v>
      </c>
      <c r="AI7308">
        <v>98.674824895186404</v>
      </c>
      <c r="AJ7308">
        <v>53.065287541832703</v>
      </c>
      <c r="AK7308">
        <v>7.2505048926304703</v>
      </c>
      <c r="AL7308">
        <v>86.868094753573999</v>
      </c>
      <c r="AM7308">
        <v>72.066466395962195</v>
      </c>
      <c r="AN7308">
        <v>0.99999997596983703</v>
      </c>
    </row>
    <row r="7309" spans="1:40" x14ac:dyDescent="0.25">
      <c r="A7309" t="str">
        <f>"20190312151206682"</f>
        <v>20190312151206682</v>
      </c>
      <c r="B7309" t="str">
        <f>"1552374726678110"</f>
        <v>1552374726678110</v>
      </c>
      <c r="C7309" t="s">
        <v>40</v>
      </c>
      <c r="D7309">
        <v>5.0791870000000001</v>
      </c>
      <c r="E7309">
        <v>0.62563550000000001</v>
      </c>
      <c r="F7309" t="s">
        <v>42</v>
      </c>
      <c r="G7309">
        <v>-168.02950000000001</v>
      </c>
      <c r="H7309" s="1">
        <v>-1.166541E-6</v>
      </c>
      <c r="I7309">
        <v>138.18109999999999</v>
      </c>
      <c r="J7309">
        <v>-175.39570000000001</v>
      </c>
      <c r="K7309">
        <v>1.093556</v>
      </c>
      <c r="L7309">
        <v>137.87219999999999</v>
      </c>
      <c r="M7309">
        <v>0.77507159999999997</v>
      </c>
      <c r="N7309">
        <v>0</v>
      </c>
      <c r="O7309">
        <v>0.63163419999999904</v>
      </c>
      <c r="P7309">
        <v>0.92963759999999995</v>
      </c>
      <c r="Q7309">
        <v>5.0493759999999999E-2</v>
      </c>
      <c r="R7309">
        <v>0.36499959999999998</v>
      </c>
      <c r="S7309">
        <v>3.1911930000000002</v>
      </c>
      <c r="T7309">
        <v>-0.463619</v>
      </c>
      <c r="U7309">
        <v>0.18367</v>
      </c>
      <c r="V7309">
        <v>0.3067667</v>
      </c>
      <c r="W7309">
        <v>5.4830999999999998E-2</v>
      </c>
      <c r="X7309">
        <v>0.9502041</v>
      </c>
      <c r="Y7309">
        <v>0.57447399999999904</v>
      </c>
      <c r="Z7309">
        <v>-0.12649969999999999</v>
      </c>
      <c r="AA7309">
        <v>0.80868869999999904</v>
      </c>
      <c r="AB7309">
        <v>33</v>
      </c>
      <c r="AC7309">
        <v>7.3661999999999903</v>
      </c>
      <c r="AD7309">
        <v>-1.093557166541</v>
      </c>
      <c r="AE7309">
        <v>0.30889999999999401</v>
      </c>
      <c r="AF7309">
        <v>4.3189717279439801</v>
      </c>
      <c r="AG7309">
        <v>-1.093557166541</v>
      </c>
      <c r="AH7309">
        <v>5.77821305743133</v>
      </c>
      <c r="AI7309">
        <v>98.619782226852706</v>
      </c>
      <c r="AJ7309">
        <v>53.223428533636998</v>
      </c>
      <c r="AK7309">
        <v>7.2963778822332399</v>
      </c>
      <c r="AL7309">
        <v>86.856838939768906</v>
      </c>
      <c r="AM7309">
        <v>72.107691690607297</v>
      </c>
      <c r="AN7309">
        <v>1.0000000392233399</v>
      </c>
    </row>
    <row r="7310" spans="1:40" x14ac:dyDescent="0.25">
      <c r="A7310" t="str">
        <f>"20190312151206693"</f>
        <v>20190312151206693</v>
      </c>
      <c r="B7310" t="str">
        <f>"1552374726688952"</f>
        <v>1552374726688952</v>
      </c>
      <c r="C7310" t="s">
        <v>40</v>
      </c>
      <c r="D7310">
        <v>5.0686220000000004</v>
      </c>
      <c r="E7310">
        <v>0.62567039999999996</v>
      </c>
      <c r="F7310" t="s">
        <v>42</v>
      </c>
      <c r="G7310">
        <v>-167.8271</v>
      </c>
      <c r="H7310" s="1">
        <v>-1.2540589999999999E-6</v>
      </c>
      <c r="I7310">
        <v>138.227</v>
      </c>
      <c r="J7310">
        <v>-175.2441</v>
      </c>
      <c r="K7310">
        <v>1.0935490000000001</v>
      </c>
      <c r="L7310">
        <v>137.98660000000001</v>
      </c>
      <c r="M7310">
        <v>0.78153399999999995</v>
      </c>
      <c r="N7310">
        <v>0</v>
      </c>
      <c r="O7310">
        <v>0.62362030000000002</v>
      </c>
      <c r="P7310">
        <v>0.93332890000000002</v>
      </c>
      <c r="Q7310">
        <v>5.0402330000000002E-2</v>
      </c>
      <c r="R7310">
        <v>0.35546739999999999</v>
      </c>
      <c r="S7310">
        <v>3.1933590000000001</v>
      </c>
      <c r="T7310">
        <v>-0.46139479999999999</v>
      </c>
      <c r="U7310">
        <v>0.14968870000000001</v>
      </c>
      <c r="V7310">
        <v>0.30670740000000002</v>
      </c>
      <c r="W7310">
        <v>5.4744349999999997E-2</v>
      </c>
      <c r="X7310">
        <v>0.95022819999999997</v>
      </c>
      <c r="Y7310">
        <v>0.5748953</v>
      </c>
      <c r="Z7310">
        <v>-0.12506619999999999</v>
      </c>
      <c r="AA7310">
        <v>0.80861229999999995</v>
      </c>
      <c r="AB7310">
        <v>33</v>
      </c>
      <c r="AC7310">
        <v>7.4169999999999998</v>
      </c>
      <c r="AD7310">
        <v>-1.0935502540590001</v>
      </c>
      <c r="AE7310">
        <v>0.24039999999999301</v>
      </c>
      <c r="AF7310">
        <v>4.3438540388837801</v>
      </c>
      <c r="AG7310">
        <v>-1.0935502540590001</v>
      </c>
      <c r="AH7310">
        <v>5.8210495341557502</v>
      </c>
      <c r="AI7310">
        <v>98.562195773973897</v>
      </c>
      <c r="AJ7310">
        <v>53.268518543755199</v>
      </c>
      <c r="AK7310">
        <v>7.3450349045034704</v>
      </c>
      <c r="AL7310">
        <v>86.861810971769401</v>
      </c>
      <c r="AM7310">
        <v>72.111354729100896</v>
      </c>
      <c r="AN7310">
        <v>1.0000000025734599</v>
      </c>
    </row>
    <row r="7311" spans="1:40" x14ac:dyDescent="0.25">
      <c r="A7311" t="str">
        <f>"20190312151206705"</f>
        <v>20190312151206705</v>
      </c>
      <c r="B7311" t="str">
        <f>"1552374726698711"</f>
        <v>1552374726698711</v>
      </c>
      <c r="C7311" t="s">
        <v>40</v>
      </c>
      <c r="D7311">
        <v>4.986586</v>
      </c>
      <c r="E7311">
        <v>0.62566569999999899</v>
      </c>
      <c r="F7311" t="s">
        <v>42</v>
      </c>
      <c r="G7311">
        <v>-167.6671</v>
      </c>
      <c r="H7311" s="1">
        <v>-1.3231629999999999E-6</v>
      </c>
      <c r="I7311">
        <v>138.2637</v>
      </c>
      <c r="J7311">
        <v>-175.1164</v>
      </c>
      <c r="K7311">
        <v>1.093539</v>
      </c>
      <c r="L7311">
        <v>138.08070000000001</v>
      </c>
      <c r="M7311">
        <v>0.78687969999999996</v>
      </c>
      <c r="N7311">
        <v>0</v>
      </c>
      <c r="O7311">
        <v>0.616861199999999</v>
      </c>
      <c r="P7311">
        <v>0.93630250000000004</v>
      </c>
      <c r="Q7311">
        <v>5.0270629999999997E-2</v>
      </c>
      <c r="R7311">
        <v>0.34757850000000001</v>
      </c>
      <c r="S7311">
        <v>3.1947169999999998</v>
      </c>
      <c r="T7311">
        <v>-0.46107789999999998</v>
      </c>
      <c r="U7311">
        <v>0.1168213</v>
      </c>
      <c r="V7311">
        <v>0.30653629999999998</v>
      </c>
      <c r="W7311">
        <v>5.4622459999999998E-2</v>
      </c>
      <c r="X7311">
        <v>0.95029039999999998</v>
      </c>
      <c r="Y7311">
        <v>0.57626909999999998</v>
      </c>
      <c r="Z7311">
        <v>-0.1243667</v>
      </c>
      <c r="AA7311">
        <v>0.80774179999999995</v>
      </c>
      <c r="AB7311">
        <v>33</v>
      </c>
      <c r="AC7311">
        <v>7.4492999999999903</v>
      </c>
      <c r="AD7311">
        <v>-1.0935403231630001</v>
      </c>
      <c r="AE7311">
        <v>0.182999999999992</v>
      </c>
      <c r="AF7311">
        <v>4.3580023154658702</v>
      </c>
      <c r="AG7311">
        <v>-1.0935403231630001</v>
      </c>
      <c r="AH7311">
        <v>5.8495141945780098</v>
      </c>
      <c r="AI7311">
        <v>98.525947684700697</v>
      </c>
      <c r="AJ7311">
        <v>53.313169724436001</v>
      </c>
      <c r="AK7311">
        <v>7.37596305119264</v>
      </c>
      <c r="AL7311">
        <v>86.868805149834401</v>
      </c>
      <c r="AM7311">
        <v>72.121794369425899</v>
      </c>
      <c r="AN7311">
        <v>0.99999998034314996</v>
      </c>
    </row>
    <row r="7312" spans="1:40" x14ac:dyDescent="0.25">
      <c r="A7312" t="str">
        <f>"20190312151206717"</f>
        <v>20190312151206717</v>
      </c>
      <c r="B7312" t="str">
        <f>"1552374726708471"</f>
        <v>1552374726708471</v>
      </c>
      <c r="C7312" t="s">
        <v>40</v>
      </c>
      <c r="D7312">
        <v>4.9822150000000001</v>
      </c>
      <c r="E7312">
        <v>0.62563150000000001</v>
      </c>
      <c r="F7312" t="s">
        <v>42</v>
      </c>
      <c r="G7312">
        <v>-167.52330000000001</v>
      </c>
      <c r="H7312" s="1">
        <v>-1.3857750000000001E-6</v>
      </c>
      <c r="I7312">
        <v>138.29419999999999</v>
      </c>
      <c r="J7312">
        <v>-174.96360000000001</v>
      </c>
      <c r="K7312">
        <v>1.0935349999999999</v>
      </c>
      <c r="L7312">
        <v>138.19210000000001</v>
      </c>
      <c r="M7312">
        <v>0.79317899999999997</v>
      </c>
      <c r="N7312">
        <v>0</v>
      </c>
      <c r="O7312">
        <v>0.6087399</v>
      </c>
      <c r="P7312">
        <v>0.93976999999999999</v>
      </c>
      <c r="Q7312">
        <v>5.025512E-2</v>
      </c>
      <c r="R7312">
        <v>0.33809299999999998</v>
      </c>
      <c r="S7312">
        <v>3.195465</v>
      </c>
      <c r="T7312">
        <v>-0.46019910000000003</v>
      </c>
      <c r="U7312">
        <v>8.9813229999999994E-2</v>
      </c>
      <c r="V7312">
        <v>0.30637789999999998</v>
      </c>
      <c r="W7312">
        <v>5.4617220000000001E-2</v>
      </c>
      <c r="X7312">
        <v>0.95034180000000001</v>
      </c>
      <c r="Y7312">
        <v>0.57487880000000002</v>
      </c>
      <c r="Z7312">
        <v>-0.1231593</v>
      </c>
      <c r="AA7312">
        <v>0.80891659999999999</v>
      </c>
      <c r="AB7312">
        <v>33</v>
      </c>
      <c r="AC7312">
        <v>7.4402999999999997</v>
      </c>
      <c r="AD7312">
        <v>-1.093536385775</v>
      </c>
      <c r="AE7312">
        <v>0.102099999999978</v>
      </c>
      <c r="AF7312">
        <v>4.3548437262887703</v>
      </c>
      <c r="AG7312">
        <v>-1.093536385775</v>
      </c>
      <c r="AH7312">
        <v>5.8384491814376602</v>
      </c>
      <c r="AI7312">
        <v>98.538326004078698</v>
      </c>
      <c r="AJ7312">
        <v>53.2810926593028</v>
      </c>
      <c r="AK7312">
        <v>7.36532243365086</v>
      </c>
      <c r="AL7312">
        <v>86.869105882585998</v>
      </c>
      <c r="AM7312">
        <v>72.131350132460099</v>
      </c>
      <c r="AN7312">
        <v>0.99999999757808899</v>
      </c>
    </row>
    <row r="7313" spans="1:40" x14ac:dyDescent="0.25">
      <c r="A7313" t="str">
        <f>"20190312151206733"</f>
        <v>20190312151206733</v>
      </c>
      <c r="B7313" t="str">
        <f>"1552374726728967"</f>
        <v>1552374726728967</v>
      </c>
      <c r="C7313" t="s">
        <v>40</v>
      </c>
      <c r="D7313">
        <v>5.1020110000000001</v>
      </c>
      <c r="E7313">
        <v>0.6256195</v>
      </c>
      <c r="F7313" t="s">
        <v>42</v>
      </c>
      <c r="G7313">
        <v>-167.3553</v>
      </c>
      <c r="H7313" s="1">
        <v>-1.4589149999999999E-6</v>
      </c>
      <c r="I7313">
        <v>138.3295</v>
      </c>
      <c r="J7313">
        <v>-174.7688</v>
      </c>
      <c r="K7313">
        <v>1.093534</v>
      </c>
      <c r="L7313">
        <v>138.32919999999999</v>
      </c>
      <c r="M7313">
        <v>0.80101449999999996</v>
      </c>
      <c r="N7313">
        <v>0</v>
      </c>
      <c r="O7313">
        <v>0.59839169999999997</v>
      </c>
      <c r="P7313">
        <v>0.94394860000000003</v>
      </c>
      <c r="Q7313">
        <v>4.989818E-2</v>
      </c>
      <c r="R7313">
        <v>0.32629950000000002</v>
      </c>
      <c r="S7313">
        <v>3.1960600000000001</v>
      </c>
      <c r="T7313">
        <v>-0.45936450000000001</v>
      </c>
      <c r="U7313">
        <v>5.7708740000000001E-2</v>
      </c>
      <c r="V7313">
        <v>0.30593740000000003</v>
      </c>
      <c r="W7313">
        <v>5.4285359999999998E-2</v>
      </c>
      <c r="X7313">
        <v>0.95050270000000003</v>
      </c>
      <c r="Y7313">
        <v>0.57260540000000004</v>
      </c>
      <c r="Z7313">
        <v>-0.12164999999999999</v>
      </c>
      <c r="AA7313">
        <v>0.81075549999999996</v>
      </c>
      <c r="AB7313">
        <v>33</v>
      </c>
      <c r="AC7313">
        <v>7.4134999999999902</v>
      </c>
      <c r="AD7313">
        <v>-1.0935354589149999</v>
      </c>
      <c r="AE7313">
        <v>3.0000000000995799E-4</v>
      </c>
      <c r="AF7313">
        <v>4.3421329128903796</v>
      </c>
      <c r="AG7313">
        <v>-1.0935354589149999</v>
      </c>
      <c r="AH7313">
        <v>5.8129231926879203</v>
      </c>
      <c r="AI7313">
        <v>98.570848789682501</v>
      </c>
      <c r="AJ7313">
        <v>53.241032437700099</v>
      </c>
      <c r="AK7313">
        <v>7.3375754903918704</v>
      </c>
      <c r="AL7313">
        <v>86.888148280677399</v>
      </c>
      <c r="AM7313">
        <v>72.158239803313293</v>
      </c>
      <c r="AN7313">
        <v>0.999999987868189</v>
      </c>
    </row>
    <row r="7314" spans="1:40" x14ac:dyDescent="0.25">
      <c r="A7314" t="str">
        <f>"20190312151206746"</f>
        <v>20190312151206746</v>
      </c>
      <c r="B7314" t="str">
        <f>"1552374726738726"</f>
        <v>1552374726738726</v>
      </c>
      <c r="C7314" t="s">
        <v>40</v>
      </c>
      <c r="D7314">
        <v>5.0168759999999999</v>
      </c>
      <c r="E7314">
        <v>0.625561699999999</v>
      </c>
      <c r="F7314" t="s">
        <v>42</v>
      </c>
      <c r="G7314">
        <v>-167.1515</v>
      </c>
      <c r="H7314" s="1">
        <v>-1.5478569999999999E-6</v>
      </c>
      <c r="I7314">
        <v>138.37100000000001</v>
      </c>
      <c r="J7314">
        <v>-174.6071</v>
      </c>
      <c r="K7314">
        <v>1.0935440000000001</v>
      </c>
      <c r="L7314">
        <v>138.44040000000001</v>
      </c>
      <c r="M7314">
        <v>0.80738120000000002</v>
      </c>
      <c r="N7314">
        <v>0</v>
      </c>
      <c r="O7314">
        <v>0.5897732</v>
      </c>
      <c r="P7314">
        <v>0.94707200000000002</v>
      </c>
      <c r="Q7314">
        <v>5.0293270000000001E-2</v>
      </c>
      <c r="R7314">
        <v>0.31705729999999999</v>
      </c>
      <c r="S7314">
        <v>3.1963349999999999</v>
      </c>
      <c r="T7314">
        <v>-0.45886450000000001</v>
      </c>
      <c r="U7314">
        <v>1.7532349999999999E-2</v>
      </c>
      <c r="V7314">
        <v>0.30504550000000002</v>
      </c>
      <c r="W7314">
        <v>5.4725299999999998E-2</v>
      </c>
      <c r="X7314">
        <v>0.9507641</v>
      </c>
      <c r="Y7314">
        <v>0.57414779999999999</v>
      </c>
      <c r="Z7314">
        <v>-0.1207096</v>
      </c>
      <c r="AA7314">
        <v>0.80980459999999999</v>
      </c>
      <c r="AB7314">
        <v>33</v>
      </c>
      <c r="AC7314">
        <v>7.4555999999999996</v>
      </c>
      <c r="AD7314">
        <v>-1.093545547857</v>
      </c>
      <c r="AE7314">
        <v>-6.9400000000001599E-2</v>
      </c>
      <c r="AF7314">
        <v>4.3600296814466102</v>
      </c>
      <c r="AG7314">
        <v>-1.093545547857</v>
      </c>
      <c r="AH7314">
        <v>5.8535683821620799</v>
      </c>
      <c r="AI7314">
        <v>98.520851776638693</v>
      </c>
      <c r="AJ7314">
        <v>53.319421123991098</v>
      </c>
      <c r="AK7314">
        <v>7.38037692079347</v>
      </c>
      <c r="AL7314">
        <v>86.8629040702819</v>
      </c>
      <c r="AM7314">
        <v>72.211552948504306</v>
      </c>
      <c r="AN7314">
        <v>0.99999999468957401</v>
      </c>
    </row>
    <row r="7315" spans="1:40" x14ac:dyDescent="0.25">
      <c r="A7315" t="str">
        <f>"20190312151206769"</f>
        <v>20190312151206769</v>
      </c>
      <c r="B7315" t="str">
        <f>"1552374726758247"</f>
        <v>1552374726758247</v>
      </c>
      <c r="C7315" t="s">
        <v>40</v>
      </c>
      <c r="D7315">
        <v>5.0607819999999997</v>
      </c>
      <c r="E7315">
        <v>0.62546000000000002</v>
      </c>
      <c r="F7315" t="s">
        <v>42</v>
      </c>
      <c r="G7315">
        <v>-166.93899999999999</v>
      </c>
      <c r="H7315" s="1">
        <v>-1.6417760000000001E-6</v>
      </c>
      <c r="I7315">
        <v>138.40780000000001</v>
      </c>
      <c r="J7315">
        <v>-174.32259999999999</v>
      </c>
      <c r="K7315">
        <v>1.0935509999999999</v>
      </c>
      <c r="L7315">
        <v>138.6302</v>
      </c>
      <c r="M7315">
        <v>0.81826840000000001</v>
      </c>
      <c r="N7315">
        <v>0</v>
      </c>
      <c r="O7315">
        <v>0.57457239999999998</v>
      </c>
      <c r="P7315">
        <v>0.95223060000000004</v>
      </c>
      <c r="Q7315">
        <v>5.0896780000000003E-2</v>
      </c>
      <c r="R7315">
        <v>0.30110870000000001</v>
      </c>
      <c r="S7315">
        <v>3.1964419999999998</v>
      </c>
      <c r="T7315">
        <v>-0.45584750000000002</v>
      </c>
      <c r="U7315">
        <v>-1.3595579999999999E-2</v>
      </c>
      <c r="V7315">
        <v>0.30323739999999999</v>
      </c>
      <c r="W7315">
        <v>5.542043E-2</v>
      </c>
      <c r="X7315">
        <v>0.95130210000000004</v>
      </c>
      <c r="Y7315">
        <v>0.56715909999999903</v>
      </c>
      <c r="Z7315">
        <v>-0.11771189999999999</v>
      </c>
      <c r="AA7315">
        <v>0.81515309999999996</v>
      </c>
      <c r="AB7315">
        <v>33</v>
      </c>
      <c r="AC7315">
        <v>7.3835999999999702</v>
      </c>
      <c r="AD7315">
        <v>-1.093552641776</v>
      </c>
      <c r="AE7315">
        <v>-0.22239999999999299</v>
      </c>
      <c r="AF7315">
        <v>4.3301695998919199</v>
      </c>
      <c r="AG7315">
        <v>-1.093552641776</v>
      </c>
      <c r="AH7315">
        <v>5.7880319761966401</v>
      </c>
      <c r="AI7315">
        <v>98.602633710311594</v>
      </c>
      <c r="AJ7315">
        <v>53.198930757395601</v>
      </c>
      <c r="AK7315">
        <v>7.3107824684939304</v>
      </c>
      <c r="AL7315">
        <v>86.8230155817526</v>
      </c>
      <c r="AM7315">
        <v>72.319780179242301</v>
      </c>
      <c r="AN7315">
        <v>1.0000000151422701</v>
      </c>
    </row>
    <row r="7316" spans="1:40" x14ac:dyDescent="0.25">
      <c r="A7316" t="str">
        <f>"20190312151206787"</f>
        <v>20190312151206787</v>
      </c>
      <c r="B7316" t="str">
        <f>"1552374726778743"</f>
        <v>1552374726778743</v>
      </c>
      <c r="C7316" t="s">
        <v>40</v>
      </c>
      <c r="D7316">
        <v>5.1233879999999896</v>
      </c>
      <c r="E7316">
        <v>0.62526879999999996</v>
      </c>
      <c r="F7316" t="s">
        <v>42</v>
      </c>
      <c r="G7316">
        <v>-166.62029999999999</v>
      </c>
      <c r="H7316" s="1">
        <v>-1.7812979999999999E-6</v>
      </c>
      <c r="I7316">
        <v>138.47059999999999</v>
      </c>
      <c r="J7316">
        <v>-174.0994</v>
      </c>
      <c r="K7316">
        <v>1.0935549999999901</v>
      </c>
      <c r="L7316">
        <v>138.77369999999999</v>
      </c>
      <c r="M7316">
        <v>0.82653519999999903</v>
      </c>
      <c r="N7316">
        <v>0</v>
      </c>
      <c r="O7316">
        <v>0.56261530000000004</v>
      </c>
      <c r="P7316">
        <v>0.9561788</v>
      </c>
      <c r="Q7316">
        <v>5.1413500000000001E-2</v>
      </c>
      <c r="R7316">
        <v>0.28823409999999999</v>
      </c>
      <c r="S7316">
        <v>3.195694</v>
      </c>
      <c r="T7316">
        <v>-0.45371990000000001</v>
      </c>
      <c r="U7316">
        <v>-6.6238399999999906E-2</v>
      </c>
      <c r="V7316">
        <v>0.30224590000000001</v>
      </c>
      <c r="W7316">
        <v>5.5989839999999999E-2</v>
      </c>
      <c r="X7316">
        <v>0.95158419999999999</v>
      </c>
      <c r="Y7316">
        <v>0.56887200000000004</v>
      </c>
      <c r="Z7316">
        <v>-0.1159886</v>
      </c>
      <c r="AA7316">
        <v>0.81420590000000004</v>
      </c>
      <c r="AB7316">
        <v>33</v>
      </c>
      <c r="AC7316">
        <v>7.4791000000000096</v>
      </c>
      <c r="AD7316">
        <v>-1.0935567812979901</v>
      </c>
      <c r="AE7316">
        <v>-0.30309999999999998</v>
      </c>
      <c r="AF7316">
        <v>4.3658716204050103</v>
      </c>
      <c r="AG7316">
        <v>-1.0935567812979901</v>
      </c>
      <c r="AH7316">
        <v>5.8864835866924397</v>
      </c>
      <c r="AI7316">
        <v>98.486679055089496</v>
      </c>
      <c r="AJ7316">
        <v>53.436508783054698</v>
      </c>
      <c r="AK7316">
        <v>7.4099521223946097</v>
      </c>
      <c r="AL7316">
        <v>86.790339903940094</v>
      </c>
      <c r="AM7316">
        <v>72.378907236633196</v>
      </c>
      <c r="AN7316">
        <v>0.99999996796983703</v>
      </c>
    </row>
    <row r="7317" spans="1:40" x14ac:dyDescent="0.25">
      <c r="A7317" t="str">
        <f>"20190312151206803"</f>
        <v>20190312151206803</v>
      </c>
      <c r="B7317" t="str">
        <f>"1552374726798262"</f>
        <v>1552374726798262</v>
      </c>
      <c r="C7317" t="s">
        <v>40</v>
      </c>
      <c r="D7317">
        <v>5.0209320000000002</v>
      </c>
      <c r="E7317">
        <v>0.62498169999999897</v>
      </c>
      <c r="F7317" t="s">
        <v>42</v>
      </c>
      <c r="G7317">
        <v>-166.3621</v>
      </c>
      <c r="H7317" s="1">
        <v>-1.895925E-6</v>
      </c>
      <c r="I7317">
        <v>138.51259999999999</v>
      </c>
      <c r="J7317">
        <v>-173.90199999999999</v>
      </c>
      <c r="K7317">
        <v>1.093561</v>
      </c>
      <c r="L7317">
        <v>138.89699999999999</v>
      </c>
      <c r="M7317">
        <v>0.833655699999999</v>
      </c>
      <c r="N7317">
        <v>0</v>
      </c>
      <c r="O7317">
        <v>0.55200930000000004</v>
      </c>
      <c r="P7317">
        <v>0.95903110000000003</v>
      </c>
      <c r="Q7317">
        <v>5.1583549999999999E-2</v>
      </c>
      <c r="R7317">
        <v>0.27856530000000002</v>
      </c>
      <c r="S7317">
        <v>3.1942439999999999</v>
      </c>
      <c r="T7317">
        <v>-0.45145800000000003</v>
      </c>
      <c r="U7317">
        <v>-0.1078033</v>
      </c>
      <c r="V7317">
        <v>0.2996953</v>
      </c>
      <c r="W7317">
        <v>5.6282640000000002E-2</v>
      </c>
      <c r="X7317">
        <v>0.95237329999999998</v>
      </c>
      <c r="Y7317">
        <v>0.569218</v>
      </c>
      <c r="Z7317">
        <v>-0.1142828</v>
      </c>
      <c r="AA7317">
        <v>0.81420530000000002</v>
      </c>
      <c r="AB7317">
        <v>33</v>
      </c>
      <c r="AC7317">
        <v>7.53990000000001</v>
      </c>
      <c r="AD7317">
        <v>-1.0935628959249999</v>
      </c>
      <c r="AE7317">
        <v>-0.384400000000027</v>
      </c>
      <c r="AF7317">
        <v>4.39110312999565</v>
      </c>
      <c r="AG7317">
        <v>-1.0935628959249999</v>
      </c>
      <c r="AH7317">
        <v>5.9495823328990101</v>
      </c>
      <c r="AI7317">
        <v>98.412369670798697</v>
      </c>
      <c r="AJ7317">
        <v>53.570733199638902</v>
      </c>
      <c r="AK7317">
        <v>7.4749713338276802</v>
      </c>
      <c r="AL7317">
        <v>86.773537162882604</v>
      </c>
      <c r="AM7317">
        <v>72.532118614236097</v>
      </c>
      <c r="AN7317">
        <v>0.99999995548017295</v>
      </c>
    </row>
    <row r="7318" spans="1:40" x14ac:dyDescent="0.25">
      <c r="A7318" t="str">
        <f>"20190312151206816"</f>
        <v>20190312151206816</v>
      </c>
      <c r="B7318" t="str">
        <f>"1552374726808998"</f>
        <v>1552374726808998</v>
      </c>
      <c r="C7318" t="s">
        <v>40</v>
      </c>
      <c r="D7318">
        <v>5.0859949999999996</v>
      </c>
      <c r="E7318">
        <v>0.62484340000000005</v>
      </c>
      <c r="F7318" t="s">
        <v>42</v>
      </c>
      <c r="G7318">
        <v>-166.1454</v>
      </c>
      <c r="H7318" s="1">
        <v>-1.989602E-6</v>
      </c>
      <c r="I7318">
        <v>138.56190000000001</v>
      </c>
      <c r="J7318">
        <v>-173.7116</v>
      </c>
      <c r="K7318">
        <v>1.093566</v>
      </c>
      <c r="L7318">
        <v>139.0129</v>
      </c>
      <c r="M7318">
        <v>0.84035339999999903</v>
      </c>
      <c r="N7318">
        <v>0</v>
      </c>
      <c r="O7318">
        <v>0.54175850000000003</v>
      </c>
      <c r="P7318">
        <v>0.96195019999999998</v>
      </c>
      <c r="Q7318">
        <v>5.1526429999999998E-2</v>
      </c>
      <c r="R7318">
        <v>0.26832230000000001</v>
      </c>
      <c r="S7318">
        <v>3.1924290000000002</v>
      </c>
      <c r="T7318">
        <v>-0.45008530000000002</v>
      </c>
      <c r="U7318">
        <v>-0.1379242</v>
      </c>
      <c r="V7318">
        <v>0.29818630000000002</v>
      </c>
      <c r="W7318">
        <v>5.6302150000000002E-2</v>
      </c>
      <c r="X7318">
        <v>0.95284579999999997</v>
      </c>
      <c r="Y7318">
        <v>0.56706859999999903</v>
      </c>
      <c r="Z7318">
        <v>-0.112653</v>
      </c>
      <c r="AA7318">
        <v>0.8159305</v>
      </c>
      <c r="AB7318">
        <v>33</v>
      </c>
      <c r="AC7318">
        <v>7.5662000000000003</v>
      </c>
      <c r="AD7318">
        <v>-1.0935679896020001</v>
      </c>
      <c r="AE7318">
        <v>-0.45099999999999302</v>
      </c>
      <c r="AF7318">
        <v>4.3874052414221802</v>
      </c>
      <c r="AG7318">
        <v>-1.0935679896020001</v>
      </c>
      <c r="AH7318">
        <v>5.99018675765089</v>
      </c>
      <c r="AI7318">
        <v>98.378317920654496</v>
      </c>
      <c r="AJ7318">
        <v>53.779754493287598</v>
      </c>
      <c r="AK7318">
        <v>7.5051684252838102</v>
      </c>
      <c r="AL7318">
        <v>86.772417884822602</v>
      </c>
      <c r="AM7318">
        <v>72.622861185248098</v>
      </c>
      <c r="AN7318">
        <v>1.0000000600899701</v>
      </c>
    </row>
    <row r="7319" spans="1:40" x14ac:dyDescent="0.25">
      <c r="A7319" t="str">
        <f>"20190312151206833"</f>
        <v>20190312151206833</v>
      </c>
      <c r="B7319" t="str">
        <f>"1552374726828520"</f>
        <v>1552374726828520</v>
      </c>
      <c r="C7319" t="s">
        <v>40</v>
      </c>
      <c r="D7319">
        <v>5.0730380000000004</v>
      </c>
      <c r="E7319">
        <v>0.62449500000000002</v>
      </c>
      <c r="F7319" t="s">
        <v>42</v>
      </c>
      <c r="G7319">
        <v>-165.95910000000001</v>
      </c>
      <c r="H7319" s="1">
        <v>-2.0713130000000001E-6</v>
      </c>
      <c r="I7319">
        <v>138.5977</v>
      </c>
      <c r="J7319">
        <v>-173.50389999999999</v>
      </c>
      <c r="K7319">
        <v>1.093575</v>
      </c>
      <c r="L7319">
        <v>139.13470000000001</v>
      </c>
      <c r="M7319">
        <v>0.84746060000000001</v>
      </c>
      <c r="N7319">
        <v>0</v>
      </c>
      <c r="O7319">
        <v>0.53057189999999999</v>
      </c>
      <c r="P7319">
        <v>0.96503720000000004</v>
      </c>
      <c r="Q7319">
        <v>5.1255439999999999E-2</v>
      </c>
      <c r="R7319">
        <v>0.25705349999999999</v>
      </c>
      <c r="S7319">
        <v>3.1903990000000002</v>
      </c>
      <c r="T7319">
        <v>-0.45003650000000001</v>
      </c>
      <c r="U7319">
        <v>-0.1708374</v>
      </c>
      <c r="V7319">
        <v>0.29669489999999998</v>
      </c>
      <c r="W7319">
        <v>5.6107440000000001E-2</v>
      </c>
      <c r="X7319">
        <v>0.95332260000000002</v>
      </c>
      <c r="Y7319">
        <v>0.56475739999999996</v>
      </c>
      <c r="Z7319">
        <v>-0.1112194</v>
      </c>
      <c r="AA7319">
        <v>0.81772819999999902</v>
      </c>
      <c r="AB7319">
        <v>33</v>
      </c>
      <c r="AC7319">
        <v>7.54479999999998</v>
      </c>
      <c r="AD7319">
        <v>-1.093577071313</v>
      </c>
      <c r="AE7319">
        <v>-0.53700000000000603</v>
      </c>
      <c r="AF7319">
        <v>4.3675284970227199</v>
      </c>
      <c r="AG7319">
        <v>-1.093577071313</v>
      </c>
      <c r="AH7319">
        <v>5.9848313911018902</v>
      </c>
      <c r="AI7319">
        <v>98.396282727172704</v>
      </c>
      <c r="AJ7319">
        <v>53.879290443632001</v>
      </c>
      <c r="AK7319">
        <v>7.4892871999360304</v>
      </c>
      <c r="AL7319">
        <v>86.783591234639999</v>
      </c>
      <c r="AM7319">
        <v>72.712712657391094</v>
      </c>
      <c r="AN7319">
        <v>0.99999994409005999</v>
      </c>
    </row>
    <row r="7320" spans="1:40" x14ac:dyDescent="0.25">
      <c r="A7320" t="str">
        <f>"20190312151206848"</f>
        <v>20190312151206848</v>
      </c>
      <c r="B7320" t="str">
        <f>"1552374726838279"</f>
        <v>1552374726838279</v>
      </c>
      <c r="C7320" t="s">
        <v>40</v>
      </c>
      <c r="D7320">
        <v>4.9960500000000003</v>
      </c>
      <c r="E7320">
        <v>0.62427670000000002</v>
      </c>
      <c r="F7320" t="s">
        <v>42</v>
      </c>
      <c r="G7320">
        <v>-165.78129999999999</v>
      </c>
      <c r="H7320" s="1">
        <v>-2.1482750000000002E-6</v>
      </c>
      <c r="I7320">
        <v>138.63759999999999</v>
      </c>
      <c r="J7320">
        <v>-173.3229</v>
      </c>
      <c r="K7320">
        <v>1.0935839999999999</v>
      </c>
      <c r="L7320">
        <v>139.238</v>
      </c>
      <c r="M7320">
        <v>0.85350029999999999</v>
      </c>
      <c r="N7320">
        <v>0</v>
      </c>
      <c r="O7320">
        <v>0.52080079999999995</v>
      </c>
      <c r="P7320">
        <v>0.96726920000000005</v>
      </c>
      <c r="Q7320">
        <v>5.0411730000000002E-2</v>
      </c>
      <c r="R7320">
        <v>0.24869520000000001</v>
      </c>
      <c r="S7320">
        <v>3.1873320000000001</v>
      </c>
      <c r="T7320">
        <v>-0.45134940000000001</v>
      </c>
      <c r="U7320">
        <v>-0.20513919999999999</v>
      </c>
      <c r="V7320">
        <v>0.29397630000000002</v>
      </c>
      <c r="W7320">
        <v>5.5395189999999997E-2</v>
      </c>
      <c r="X7320">
        <v>0.95420609999999995</v>
      </c>
      <c r="Y7320">
        <v>0.56416949999999999</v>
      </c>
      <c r="Z7320">
        <v>-0.11042399999999999</v>
      </c>
      <c r="AA7320">
        <v>0.81824160000000001</v>
      </c>
      <c r="AB7320">
        <v>33</v>
      </c>
      <c r="AC7320">
        <v>7.5416000000000096</v>
      </c>
      <c r="AD7320">
        <v>-1.093586148275</v>
      </c>
      <c r="AE7320">
        <v>-0.60040000000000704</v>
      </c>
      <c r="AF7320">
        <v>4.3498978235431798</v>
      </c>
      <c r="AG7320">
        <v>-1.093586148275</v>
      </c>
      <c r="AH7320">
        <v>5.9996390461863101</v>
      </c>
      <c r="AI7320">
        <v>98.394560183496097</v>
      </c>
      <c r="AJ7320">
        <v>54.056889633577299</v>
      </c>
      <c r="AK7320">
        <v>7.4908751440327697</v>
      </c>
      <c r="AL7320">
        <v>86.824463861632907</v>
      </c>
      <c r="AM7320">
        <v>72.8767353025452</v>
      </c>
      <c r="AN7320">
        <v>0.99999998665701795</v>
      </c>
    </row>
    <row r="7321" spans="1:40" x14ac:dyDescent="0.25">
      <c r="A7321" t="str">
        <f>"20190312151206869"</f>
        <v>20190312151206869</v>
      </c>
      <c r="B7321" t="str">
        <f>"1552374726858775"</f>
        <v>1552374726858775</v>
      </c>
      <c r="C7321" t="s">
        <v>40</v>
      </c>
      <c r="D7321">
        <v>5.3244129999999998</v>
      </c>
      <c r="E7321">
        <v>0.60455309999999995</v>
      </c>
      <c r="F7321" t="s">
        <v>42</v>
      </c>
      <c r="G7321">
        <v>-165.65610000000001</v>
      </c>
      <c r="H7321" s="1">
        <v>-2.1994090000000001E-6</v>
      </c>
      <c r="I7321">
        <v>138.6832</v>
      </c>
      <c r="J7321">
        <v>-173.03809999999999</v>
      </c>
      <c r="K7321">
        <v>1.093596</v>
      </c>
      <c r="L7321">
        <v>139.39519999999999</v>
      </c>
      <c r="M7321">
        <v>0.8627087</v>
      </c>
      <c r="N7321">
        <v>0</v>
      </c>
      <c r="O7321">
        <v>0.50540050000000003</v>
      </c>
      <c r="P7321">
        <v>0.97107759999999999</v>
      </c>
      <c r="Q7321">
        <v>4.9595689999999998E-2</v>
      </c>
      <c r="R7321">
        <v>0.23355680000000001</v>
      </c>
      <c r="S7321">
        <v>3.1844480000000002</v>
      </c>
      <c r="T7321">
        <v>-0.45422649999999998</v>
      </c>
      <c r="U7321">
        <v>-0.23043820000000001</v>
      </c>
      <c r="V7321">
        <v>0.2917419</v>
      </c>
      <c r="W7321">
        <v>5.469483E-2</v>
      </c>
      <c r="X7321">
        <v>0.954932</v>
      </c>
      <c r="Y7321">
        <v>0.55602289999999999</v>
      </c>
      <c r="Z7321">
        <v>-0.108727</v>
      </c>
      <c r="AA7321">
        <v>0.82402489999999995</v>
      </c>
      <c r="AB7321">
        <v>33</v>
      </c>
      <c r="AC7321">
        <v>7.3819999999999704</v>
      </c>
      <c r="AD7321">
        <v>-1.093598199409</v>
      </c>
      <c r="AE7321">
        <v>-0.71199999999998898</v>
      </c>
      <c r="AF7321">
        <v>4.2532908076965601</v>
      </c>
      <c r="AG7321">
        <v>-1.093598199409</v>
      </c>
      <c r="AH7321">
        <v>5.8816906717483697</v>
      </c>
      <c r="AI7321">
        <v>98.568081121791906</v>
      </c>
      <c r="AJ7321">
        <v>54.127771248677199</v>
      </c>
      <c r="AK7321">
        <v>7.3403490976055403</v>
      </c>
      <c r="AL7321">
        <v>86.864652484882399</v>
      </c>
      <c r="AM7321">
        <v>73.011529714126397</v>
      </c>
      <c r="AN7321">
        <v>0.99999999263416905</v>
      </c>
    </row>
    <row r="7322" spans="1:40" x14ac:dyDescent="0.25">
      <c r="A7322" t="str">
        <f>"20190312151206885"</f>
        <v>20190312151206885</v>
      </c>
      <c r="B7322" t="str">
        <f>"1552374726878295"</f>
        <v>1552374726878295</v>
      </c>
      <c r="C7322" t="s">
        <v>40</v>
      </c>
      <c r="D7322">
        <v>4.9747820000000003</v>
      </c>
      <c r="E7322">
        <v>0.60134480000000001</v>
      </c>
      <c r="F7322" t="s">
        <v>42</v>
      </c>
      <c r="G7322">
        <v>-164.79069999999999</v>
      </c>
      <c r="H7322" s="1">
        <v>-2.5406380000000001E-6</v>
      </c>
      <c r="I7322">
        <v>139.06559999999999</v>
      </c>
      <c r="J7322">
        <v>-172.83240000000001</v>
      </c>
      <c r="K7322">
        <v>1.0936129999999999</v>
      </c>
      <c r="L7322">
        <v>139.50470000000001</v>
      </c>
      <c r="M7322">
        <v>0.86914099999999905</v>
      </c>
      <c r="N7322">
        <v>0</v>
      </c>
      <c r="O7322">
        <v>0.4942568</v>
      </c>
      <c r="P7322">
        <v>0.97370210000000001</v>
      </c>
      <c r="Q7322">
        <v>4.9194479999999999E-2</v>
      </c>
      <c r="R7322">
        <v>0.2224508</v>
      </c>
      <c r="S7322">
        <v>3.1408079999999998</v>
      </c>
      <c r="T7322">
        <v>-0.41646650000000002</v>
      </c>
      <c r="U7322">
        <v>-0.12553410000000001</v>
      </c>
      <c r="V7322">
        <v>0.29035070000000002</v>
      </c>
      <c r="W7322">
        <v>5.436821E-2</v>
      </c>
      <c r="X7322">
        <v>0.95537450000000002</v>
      </c>
      <c r="Y7322">
        <v>0.52004810000000001</v>
      </c>
      <c r="Z7322">
        <v>-9.7421289999999994E-2</v>
      </c>
      <c r="AA7322">
        <v>0.84856299999999996</v>
      </c>
      <c r="AB7322">
        <v>33</v>
      </c>
      <c r="AC7322">
        <v>8.0417000000000094</v>
      </c>
      <c r="AD7322">
        <v>-1.0936155406379999</v>
      </c>
      <c r="AE7322">
        <v>-0.43910000000002403</v>
      </c>
      <c r="AF7322">
        <v>4.2780831502014998</v>
      </c>
      <c r="AG7322">
        <v>-1.0936155406379999</v>
      </c>
      <c r="AH7322">
        <v>6.6507391946535401</v>
      </c>
      <c r="AI7322">
        <v>97.873757908940306</v>
      </c>
      <c r="AJ7322">
        <v>57.248879061586898</v>
      </c>
      <c r="AK7322">
        <v>7.9831273462261496</v>
      </c>
      <c r="AL7322">
        <v>86.883394134267704</v>
      </c>
      <c r="AM7322">
        <v>73.095293005281803</v>
      </c>
      <c r="AN7322">
        <v>0.99999993324966896</v>
      </c>
    </row>
    <row r="7323" spans="1:40" x14ac:dyDescent="0.25">
      <c r="A7323" t="str">
        <f>"20190312151206896"</f>
        <v>20190312151206896</v>
      </c>
      <c r="B7323" t="str">
        <f>"1552374726889031"</f>
        <v>1552374726889031</v>
      </c>
      <c r="C7323" t="s">
        <v>40</v>
      </c>
      <c r="D7323">
        <v>4.9706679999999999</v>
      </c>
      <c r="E7323">
        <v>0.60039940000000003</v>
      </c>
      <c r="F7323" t="s">
        <v>42</v>
      </c>
      <c r="G7323">
        <v>-164.1832</v>
      </c>
      <c r="H7323" s="1">
        <v>-2.8164619999999999E-6</v>
      </c>
      <c r="I7323">
        <v>139.12960000000001</v>
      </c>
      <c r="J7323">
        <v>-172.67160000000001</v>
      </c>
      <c r="K7323">
        <v>1.0936269999999999</v>
      </c>
      <c r="L7323">
        <v>139.58840000000001</v>
      </c>
      <c r="M7323">
        <v>0.87404720000000002</v>
      </c>
      <c r="N7323">
        <v>0</v>
      </c>
      <c r="O7323">
        <v>0.48552830000000002</v>
      </c>
      <c r="P7323">
        <v>0.97551089999999996</v>
      </c>
      <c r="Q7323">
        <v>4.8824909999999999E-2</v>
      </c>
      <c r="R7323">
        <v>0.2144643</v>
      </c>
      <c r="S7323">
        <v>3.1320649999999999</v>
      </c>
      <c r="T7323">
        <v>-0.3960205</v>
      </c>
      <c r="U7323">
        <v>-0.135849</v>
      </c>
      <c r="V7323">
        <v>0.28860400000000003</v>
      </c>
      <c r="W7323">
        <v>5.4086809999999999E-2</v>
      </c>
      <c r="X7323">
        <v>0.95591959999999998</v>
      </c>
      <c r="Y7323">
        <v>0.51529040000000004</v>
      </c>
      <c r="Z7323">
        <v>-9.1661450000000005E-2</v>
      </c>
      <c r="AA7323">
        <v>0.85209979999999996</v>
      </c>
      <c r="AB7323">
        <v>33</v>
      </c>
      <c r="AC7323">
        <v>8.4884000000000093</v>
      </c>
      <c r="AD7323">
        <v>-1.093629816462</v>
      </c>
      <c r="AE7323">
        <v>-0.45879999999999599</v>
      </c>
      <c r="AF7323">
        <v>4.4494163682350303</v>
      </c>
      <c r="AG7323">
        <v>-1.093629816462</v>
      </c>
      <c r="AH7323">
        <v>7.0804078757871798</v>
      </c>
      <c r="AI7323">
        <v>97.450836293365199</v>
      </c>
      <c r="AJ7323">
        <v>57.854234989026402</v>
      </c>
      <c r="AK7323">
        <v>8.4335940073542606</v>
      </c>
      <c r="AL7323">
        <v>86.899541030009104</v>
      </c>
      <c r="AM7323">
        <v>73.200282506821594</v>
      </c>
      <c r="AN7323">
        <v>0.99999996674806702</v>
      </c>
    </row>
    <row r="7324" spans="1:40" x14ac:dyDescent="0.25">
      <c r="A7324" t="str">
        <f>"20190312151206909"</f>
        <v>20190312151206909</v>
      </c>
      <c r="B7324" t="str">
        <f>"1552374726898791"</f>
        <v>1552374726898791</v>
      </c>
      <c r="C7324" t="s">
        <v>40</v>
      </c>
      <c r="D7324">
        <v>4.943327</v>
      </c>
      <c r="E7324">
        <v>0.59920680000000004</v>
      </c>
      <c r="F7324" t="s">
        <v>42</v>
      </c>
      <c r="G7324">
        <v>-163.8614</v>
      </c>
      <c r="H7324" s="1">
        <v>-2.9642220000000001E-6</v>
      </c>
      <c r="I7324">
        <v>139.1541</v>
      </c>
      <c r="J7324">
        <v>-172.50319999999999</v>
      </c>
      <c r="K7324">
        <v>1.0936399999999999</v>
      </c>
      <c r="L7324">
        <v>139.6728</v>
      </c>
      <c r="M7324">
        <v>0.87905540000000004</v>
      </c>
      <c r="N7324">
        <v>0</v>
      </c>
      <c r="O7324">
        <v>0.47640080000000001</v>
      </c>
      <c r="P7324">
        <v>0.97724440000000001</v>
      </c>
      <c r="Q7324">
        <v>4.8488580000000003E-2</v>
      </c>
      <c r="R7324">
        <v>0.20650060000000001</v>
      </c>
      <c r="S7324">
        <v>3.1286619999999998</v>
      </c>
      <c r="T7324">
        <v>-0.38836690000000001</v>
      </c>
      <c r="U7324">
        <v>-0.15423580000000001</v>
      </c>
      <c r="V7324">
        <v>0.28643800000000003</v>
      </c>
      <c r="W7324">
        <v>5.3859219999999999E-2</v>
      </c>
      <c r="X7324">
        <v>0.95658370000000004</v>
      </c>
      <c r="Y7324">
        <v>0.5118085</v>
      </c>
      <c r="Z7324">
        <v>-8.8782379999999994E-2</v>
      </c>
      <c r="AA7324">
        <v>0.85449979999999903</v>
      </c>
      <c r="AB7324">
        <v>33</v>
      </c>
      <c r="AC7324">
        <v>8.6417999999999893</v>
      </c>
      <c r="AD7324">
        <v>-1.093642964222</v>
      </c>
      <c r="AE7324">
        <v>-0.51869999999999505</v>
      </c>
      <c r="AF7324">
        <v>4.5017816076208197</v>
      </c>
      <c r="AG7324">
        <v>-1.093642964222</v>
      </c>
      <c r="AH7324">
        <v>7.2351693255975</v>
      </c>
      <c r="AI7324">
        <v>97.313432101306105</v>
      </c>
      <c r="AJ7324">
        <v>58.109787809792401</v>
      </c>
      <c r="AK7324">
        <v>8.5912611266316592</v>
      </c>
      <c r="AL7324">
        <v>86.9125999886476</v>
      </c>
      <c r="AM7324">
        <v>73.330274890872204</v>
      </c>
      <c r="AN7324">
        <v>0.99999995926434804</v>
      </c>
    </row>
    <row r="7325" spans="1:40" x14ac:dyDescent="0.25">
      <c r="A7325" t="str">
        <f>"20190312151206926"</f>
        <v>20190312151206926</v>
      </c>
      <c r="B7325" t="str">
        <f>"1552374726918314"</f>
        <v>1552374726918314</v>
      </c>
      <c r="C7325" t="s">
        <v>40</v>
      </c>
      <c r="D7325">
        <v>4.9432</v>
      </c>
      <c r="E7325">
        <v>0.59754879999999999</v>
      </c>
      <c r="F7325" t="s">
        <v>42</v>
      </c>
      <c r="G7325">
        <v>-163.63040000000001</v>
      </c>
      <c r="H7325" s="1">
        <v>-3.0673670000000002E-6</v>
      </c>
      <c r="I7325">
        <v>139.1883</v>
      </c>
      <c r="J7325">
        <v>-172.29419999999999</v>
      </c>
      <c r="K7325">
        <v>1.0936629999999901</v>
      </c>
      <c r="L7325">
        <v>139.77510000000001</v>
      </c>
      <c r="M7325">
        <v>0.88511059999999997</v>
      </c>
      <c r="N7325">
        <v>0</v>
      </c>
      <c r="O7325">
        <v>0.46505419999999997</v>
      </c>
      <c r="P7325">
        <v>0.97903050000000003</v>
      </c>
      <c r="Q7325">
        <v>4.7008929999999997E-2</v>
      </c>
      <c r="R7325">
        <v>0.1982159</v>
      </c>
      <c r="S7325">
        <v>3.1250309999999999</v>
      </c>
      <c r="T7325">
        <v>-0.38518380000000002</v>
      </c>
      <c r="U7325">
        <v>-0.17063900000000001</v>
      </c>
      <c r="V7325">
        <v>0.28220400000000001</v>
      </c>
      <c r="W7325">
        <v>5.2585010000000001E-2</v>
      </c>
      <c r="X7325">
        <v>0.95791210000000004</v>
      </c>
      <c r="Y7325">
        <v>0.5055423</v>
      </c>
      <c r="Z7325">
        <v>-8.6525379999999999E-2</v>
      </c>
      <c r="AA7325">
        <v>0.85845229999999995</v>
      </c>
      <c r="AB7325">
        <v>32</v>
      </c>
      <c r="AC7325">
        <v>8.6637999999999806</v>
      </c>
      <c r="AD7325">
        <v>-1.09366606736699</v>
      </c>
      <c r="AE7325">
        <v>-0.58680000000000998</v>
      </c>
      <c r="AF7325">
        <v>4.4781766145669497</v>
      </c>
      <c r="AG7325">
        <v>-1.09366606736699</v>
      </c>
      <c r="AH7325">
        <v>7.2811555644528898</v>
      </c>
      <c r="AI7325">
        <v>97.290995656358206</v>
      </c>
      <c r="AJ7325">
        <v>58.406965911001201</v>
      </c>
      <c r="AK7325">
        <v>8.6177373835553599</v>
      </c>
      <c r="AL7325">
        <v>86.985710401548999</v>
      </c>
      <c r="AM7325">
        <v>73.584856225071505</v>
      </c>
      <c r="AN7325">
        <v>0.99999993610955296</v>
      </c>
    </row>
    <row r="7326" spans="1:40" x14ac:dyDescent="0.25">
      <c r="A7326" t="str">
        <f>"20190312151206947"</f>
        <v>20190312151206947</v>
      </c>
      <c r="B7326" t="str">
        <f>"1552374726938768"</f>
        <v>1552374726938768</v>
      </c>
      <c r="C7326" t="s">
        <v>40</v>
      </c>
      <c r="D7326">
        <v>4.9391910000000001</v>
      </c>
      <c r="E7326">
        <v>0.59671479999999999</v>
      </c>
      <c r="F7326" t="s">
        <v>42</v>
      </c>
      <c r="G7326">
        <v>-163.2808</v>
      </c>
      <c r="H7326" s="1">
        <v>-3.2231090000000001E-6</v>
      </c>
      <c r="I7326">
        <v>139.24180000000001</v>
      </c>
      <c r="J7326">
        <v>-171.99959999999999</v>
      </c>
      <c r="K7326">
        <v>1.0937110000000001</v>
      </c>
      <c r="L7326">
        <v>139.91370000000001</v>
      </c>
      <c r="M7326">
        <v>0.89332769999999995</v>
      </c>
      <c r="N7326">
        <v>0</v>
      </c>
      <c r="O7326">
        <v>0.44906829999999998</v>
      </c>
      <c r="P7326">
        <v>0.98155309999999996</v>
      </c>
      <c r="Q7326">
        <v>4.6316339999999998E-2</v>
      </c>
      <c r="R7326">
        <v>0.18549579999999999</v>
      </c>
      <c r="S7326">
        <v>3.119812</v>
      </c>
      <c r="T7326">
        <v>-0.378554</v>
      </c>
      <c r="U7326">
        <v>-0.18461610000000001</v>
      </c>
      <c r="V7326">
        <v>0.27739069999999999</v>
      </c>
      <c r="W7326">
        <v>5.2132159999999997E-2</v>
      </c>
      <c r="X7326">
        <v>0.95934180000000002</v>
      </c>
      <c r="Y7326">
        <v>0.49437340000000002</v>
      </c>
      <c r="Z7326">
        <v>-8.2757960000000005E-2</v>
      </c>
      <c r="AA7326">
        <v>0.86530110000000005</v>
      </c>
      <c r="AB7326">
        <v>32</v>
      </c>
      <c r="AC7326">
        <v>8.7187999999999803</v>
      </c>
      <c r="AD7326">
        <v>-1.093714223109</v>
      </c>
      <c r="AE7326">
        <v>-0.67189999999999295</v>
      </c>
      <c r="AF7326">
        <v>4.4466884961250797</v>
      </c>
      <c r="AG7326">
        <v>-1.093714223109</v>
      </c>
      <c r="AH7326">
        <v>7.3728184421953999</v>
      </c>
      <c r="AI7326">
        <v>97.239445895802305</v>
      </c>
      <c r="AJ7326">
        <v>58.905013956145901</v>
      </c>
      <c r="AK7326">
        <v>8.6791532516126608</v>
      </c>
      <c r="AL7326">
        <v>87.011692704016895</v>
      </c>
      <c r="AM7326">
        <v>73.872938876696907</v>
      </c>
      <c r="AN7326">
        <v>1.0000000258899899</v>
      </c>
    </row>
    <row r="7327" spans="1:40" x14ac:dyDescent="0.25">
      <c r="A7327" t="str">
        <f>"20190312151206969"</f>
        <v>20190312151206969</v>
      </c>
      <c r="B7327" t="str">
        <f>"1552374726958283"</f>
        <v>1552374726958283</v>
      </c>
      <c r="C7327" t="s">
        <v>40</v>
      </c>
      <c r="D7327">
        <v>4.8013669999999999</v>
      </c>
      <c r="E7327">
        <v>0.59535099999999996</v>
      </c>
      <c r="F7327" t="s">
        <v>42</v>
      </c>
      <c r="G7327">
        <v>-163.13480000000001</v>
      </c>
      <c r="H7327" s="1">
        <v>-3.2837949999999999E-6</v>
      </c>
      <c r="I7327">
        <v>139.28870000000001</v>
      </c>
      <c r="J7327">
        <v>-171.7003</v>
      </c>
      <c r="K7327">
        <v>1.0937709999999901</v>
      </c>
      <c r="L7327">
        <v>140.0478</v>
      </c>
      <c r="M7327">
        <v>0.90130379999999999</v>
      </c>
      <c r="N7327">
        <v>0</v>
      </c>
      <c r="O7327">
        <v>0.43283749999999999</v>
      </c>
      <c r="P7327">
        <v>0.98404069999999999</v>
      </c>
      <c r="Q7327">
        <v>4.5803009999999998E-2</v>
      </c>
      <c r="R7327">
        <v>0.1719473</v>
      </c>
      <c r="S7327">
        <v>3.1160580000000002</v>
      </c>
      <c r="T7327">
        <v>-0.38445279999999998</v>
      </c>
      <c r="U7327">
        <v>-0.21968080000000001</v>
      </c>
      <c r="V7327">
        <v>0.27324320000000002</v>
      </c>
      <c r="W7327">
        <v>5.1830729999999998E-2</v>
      </c>
      <c r="X7327">
        <v>0.96054759999999995</v>
      </c>
      <c r="Y7327">
        <v>0.48839009999999999</v>
      </c>
      <c r="Z7327">
        <v>-8.1941899999999998E-2</v>
      </c>
      <c r="AA7327">
        <v>0.86876960000000003</v>
      </c>
      <c r="AB7327">
        <v>32</v>
      </c>
      <c r="AC7327">
        <v>8.5654999999999806</v>
      </c>
      <c r="AD7327">
        <v>-1.09377428379499</v>
      </c>
      <c r="AE7327">
        <v>-0.75909999999998901</v>
      </c>
      <c r="AF7327">
        <v>4.3223832103584998</v>
      </c>
      <c r="AG7327">
        <v>-1.09377428379499</v>
      </c>
      <c r="AH7327">
        <v>7.2749695018292</v>
      </c>
      <c r="AI7327">
        <v>97.3649161555674</v>
      </c>
      <c r="AJ7327">
        <v>59.2835681319958</v>
      </c>
      <c r="AK7327">
        <v>8.5325564781972201</v>
      </c>
      <c r="AL7327">
        <v>87.028986618804097</v>
      </c>
      <c r="AM7327">
        <v>74.120745868785704</v>
      </c>
      <c r="AN7327">
        <v>0.99999998139216595</v>
      </c>
    </row>
    <row r="7328" spans="1:40" x14ac:dyDescent="0.25">
      <c r="A7328" t="str">
        <f>"20190312151206985"</f>
        <v>20190312151206985</v>
      </c>
      <c r="B7328" t="str">
        <f>"1552374726978780"</f>
        <v>1552374726978780</v>
      </c>
      <c r="C7328" t="s">
        <v>40</v>
      </c>
      <c r="D7328">
        <v>4.8700400000000004</v>
      </c>
      <c r="E7328">
        <v>0.59401729999999997</v>
      </c>
      <c r="F7328" t="s">
        <v>42</v>
      </c>
      <c r="G7328">
        <v>-162.72370000000001</v>
      </c>
      <c r="H7328" s="1">
        <v>-3.4721580000000001E-6</v>
      </c>
      <c r="I7328">
        <v>139.32249999999999</v>
      </c>
      <c r="J7328">
        <v>-171.4948</v>
      </c>
      <c r="K7328">
        <v>1.0938190000000001</v>
      </c>
      <c r="L7328">
        <v>140.13630000000001</v>
      </c>
      <c r="M7328">
        <v>0.90656789999999998</v>
      </c>
      <c r="N7328">
        <v>0</v>
      </c>
      <c r="O7328">
        <v>0.4217014</v>
      </c>
      <c r="P7328">
        <v>0.98572059999999995</v>
      </c>
      <c r="Q7328">
        <v>4.600046E-2</v>
      </c>
      <c r="R7328">
        <v>0.16198560000000001</v>
      </c>
      <c r="S7328">
        <v>3.110214</v>
      </c>
      <c r="T7328">
        <v>-0.37897029999999998</v>
      </c>
      <c r="U7328">
        <v>-0.25132749999999998</v>
      </c>
      <c r="V7328">
        <v>0.27112190000000003</v>
      </c>
      <c r="W7328">
        <v>5.2142149999999998E-2</v>
      </c>
      <c r="X7328">
        <v>0.96113170000000003</v>
      </c>
      <c r="Y7328">
        <v>0.48684280000000002</v>
      </c>
      <c r="Z7328">
        <v>-7.9585359999999994E-2</v>
      </c>
      <c r="AA7328">
        <v>0.86985650000000003</v>
      </c>
      <c r="AB7328">
        <v>32</v>
      </c>
      <c r="AC7328">
        <v>8.7710999999999899</v>
      </c>
      <c r="AD7328">
        <v>-1.0938224721580001</v>
      </c>
      <c r="AE7328">
        <v>-0.81380000000001396</v>
      </c>
      <c r="AF7328">
        <v>4.3698418119605504</v>
      </c>
      <c r="AG7328">
        <v>-1.0938224721580001</v>
      </c>
      <c r="AH7328">
        <v>7.4940163876049501</v>
      </c>
      <c r="AI7328">
        <v>97.186437628708504</v>
      </c>
      <c r="AJ7328">
        <v>59.7530773268685</v>
      </c>
      <c r="AK7328">
        <v>8.7436975405058508</v>
      </c>
      <c r="AL7328">
        <v>87.011119511877595</v>
      </c>
      <c r="AM7328">
        <v>74.246978043447896</v>
      </c>
      <c r="AN7328">
        <v>1.00000001660556</v>
      </c>
    </row>
    <row r="7329" spans="1:40" x14ac:dyDescent="0.25">
      <c r="A7329" t="str">
        <f>"20190312151207004"</f>
        <v>20190312151207004</v>
      </c>
      <c r="B7329" t="str">
        <f>"1552374726998299"</f>
        <v>1552374726998299</v>
      </c>
      <c r="C7329" t="s">
        <v>40</v>
      </c>
      <c r="D7329">
        <v>4.8146649999999998</v>
      </c>
      <c r="E7329">
        <v>0.59327469999999904</v>
      </c>
      <c r="F7329" t="s">
        <v>42</v>
      </c>
      <c r="G7329">
        <v>-162.32599999999999</v>
      </c>
      <c r="H7329" s="1">
        <v>-3.6581740000000001E-6</v>
      </c>
      <c r="I7329">
        <v>139.33359999999999</v>
      </c>
      <c r="J7329">
        <v>-171.23480000000001</v>
      </c>
      <c r="K7329">
        <v>1.093893</v>
      </c>
      <c r="L7329">
        <v>140.24379999999999</v>
      </c>
      <c r="M7329">
        <v>0.91297329999999999</v>
      </c>
      <c r="N7329">
        <v>0</v>
      </c>
      <c r="O7329">
        <v>0.40764879999999998</v>
      </c>
      <c r="P7329">
        <v>0.98747379999999996</v>
      </c>
      <c r="Q7329">
        <v>4.6517990000000002E-2</v>
      </c>
      <c r="R7329">
        <v>0.1507696</v>
      </c>
      <c r="S7329">
        <v>3.105423</v>
      </c>
      <c r="T7329">
        <v>-0.37047390000000002</v>
      </c>
      <c r="U7329">
        <v>-0.27186579999999999</v>
      </c>
      <c r="V7329">
        <v>0.26720110000000002</v>
      </c>
      <c r="W7329">
        <v>5.2861669999999999E-2</v>
      </c>
      <c r="X7329">
        <v>0.96218979999999998</v>
      </c>
      <c r="Y7329">
        <v>0.47962070000000001</v>
      </c>
      <c r="Z7329">
        <v>-7.5944159999999997E-2</v>
      </c>
      <c r="AA7329">
        <v>0.8741833</v>
      </c>
      <c r="AB7329">
        <v>32</v>
      </c>
      <c r="AC7329">
        <v>8.90880000000001</v>
      </c>
      <c r="AD7329">
        <v>-1.0938966581739999</v>
      </c>
      <c r="AE7329">
        <v>-0.91020000000000301</v>
      </c>
      <c r="AF7329">
        <v>4.39770528181114</v>
      </c>
      <c r="AG7329">
        <v>-1.0938966581739999</v>
      </c>
      <c r="AH7329">
        <v>7.6494881157888397</v>
      </c>
      <c r="AI7329">
        <v>97.067190432754302</v>
      </c>
      <c r="AJ7329">
        <v>60.105322288689003</v>
      </c>
      <c r="AK7329">
        <v>8.8910679942304292</v>
      </c>
      <c r="AL7329">
        <v>86.969837059074194</v>
      </c>
      <c r="AM7329">
        <v>74.479971331182796</v>
      </c>
      <c r="AN7329">
        <v>0.99999999761021896</v>
      </c>
    </row>
    <row r="7330" spans="1:40" x14ac:dyDescent="0.25">
      <c r="A7330" t="str">
        <f>"20190312151207019"</f>
        <v>20190312151207019</v>
      </c>
      <c r="B7330" t="str">
        <f>"1552374727009035"</f>
        <v>1552374727009035</v>
      </c>
      <c r="C7330" t="s">
        <v>40</v>
      </c>
      <c r="D7330">
        <v>4.8222189999999996</v>
      </c>
      <c r="E7330">
        <v>0.580067</v>
      </c>
      <c r="F7330" t="s">
        <v>42</v>
      </c>
      <c r="G7330">
        <v>-162.02549999999999</v>
      </c>
      <c r="H7330" s="1">
        <v>-3.7973410000000001E-6</v>
      </c>
      <c r="I7330">
        <v>139.34989999999999</v>
      </c>
      <c r="J7330">
        <v>-171.0222</v>
      </c>
      <c r="K7330">
        <v>1.0939559999999999</v>
      </c>
      <c r="L7330">
        <v>140.32859999999999</v>
      </c>
      <c r="M7330">
        <v>0.9180121</v>
      </c>
      <c r="N7330">
        <v>0</v>
      </c>
      <c r="O7330">
        <v>0.39617210000000003</v>
      </c>
      <c r="P7330">
        <v>0.98903289999999999</v>
      </c>
      <c r="Q7330">
        <v>4.7132E-2</v>
      </c>
      <c r="R7330">
        <v>0.13997470000000001</v>
      </c>
      <c r="S7330">
        <v>3.1013639999999998</v>
      </c>
      <c r="T7330">
        <v>-0.36838349999999997</v>
      </c>
      <c r="U7330">
        <v>-0.30104059999999999</v>
      </c>
      <c r="V7330">
        <v>0.2656522</v>
      </c>
      <c r="W7330">
        <v>5.356876E-2</v>
      </c>
      <c r="X7330">
        <v>0.96257950000000003</v>
      </c>
      <c r="Y7330">
        <v>0.47706009999999999</v>
      </c>
      <c r="Z7330">
        <v>-7.4183079999999998E-2</v>
      </c>
      <c r="AA7330">
        <v>0.87573429999999997</v>
      </c>
      <c r="AB7330">
        <v>32</v>
      </c>
      <c r="AC7330">
        <v>8.9967000000000006</v>
      </c>
      <c r="AD7330">
        <v>-1.093959797341</v>
      </c>
      <c r="AE7330">
        <v>-0.97870000000000301</v>
      </c>
      <c r="AF7330">
        <v>4.3990906961135696</v>
      </c>
      <c r="AG7330">
        <v>-1.093959797341</v>
      </c>
      <c r="AH7330">
        <v>7.7591512732805201</v>
      </c>
      <c r="AI7330">
        <v>96.992343610026296</v>
      </c>
      <c r="AJ7330">
        <v>60.4487083784921</v>
      </c>
      <c r="AK7330">
        <v>8.9862770640839909</v>
      </c>
      <c r="AL7330">
        <v>86.929266302415996</v>
      </c>
      <c r="AM7330">
        <v>74.571586884958805</v>
      </c>
      <c r="AN7330">
        <v>0.99999999861651301</v>
      </c>
    </row>
    <row r="7331" spans="1:40" x14ac:dyDescent="0.25">
      <c r="A7331" t="str">
        <f>"20190312151207036"</f>
        <v>20190312151207036</v>
      </c>
      <c r="B7331" t="str">
        <f>"1552374727029061"</f>
        <v>1552374727029061</v>
      </c>
      <c r="C7331" t="s">
        <v>40</v>
      </c>
      <c r="D7331">
        <v>5.0550110000000004</v>
      </c>
      <c r="E7331">
        <v>0.59160709999999905</v>
      </c>
      <c r="F7331" t="s">
        <v>42</v>
      </c>
      <c r="G7331">
        <v>-162.95609999999999</v>
      </c>
      <c r="H7331" s="1">
        <v>-3.3384990000000001E-6</v>
      </c>
      <c r="I7331">
        <v>139.7227</v>
      </c>
      <c r="J7331">
        <v>-170.7792</v>
      </c>
      <c r="K7331">
        <v>1.0940350000000001</v>
      </c>
      <c r="L7331">
        <v>140.42140000000001</v>
      </c>
      <c r="M7331">
        <v>0.92353790000000002</v>
      </c>
      <c r="N7331">
        <v>0</v>
      </c>
      <c r="O7331">
        <v>0.38311469999999997</v>
      </c>
      <c r="P7331">
        <v>0.9905948</v>
      </c>
      <c r="Q7331">
        <v>4.6395190000000003E-2</v>
      </c>
      <c r="R7331">
        <v>0.12872339999999999</v>
      </c>
      <c r="S7331">
        <v>3.086014</v>
      </c>
      <c r="T7331">
        <v>-0.41853829999999997</v>
      </c>
      <c r="U7331">
        <v>-0.2318115</v>
      </c>
      <c r="V7331">
        <v>0.26291589999999998</v>
      </c>
      <c r="W7331">
        <v>5.2983089999999997E-2</v>
      </c>
      <c r="X7331">
        <v>0.96336290000000002</v>
      </c>
      <c r="Y7331">
        <v>0.4438394</v>
      </c>
      <c r="Z7331">
        <v>-8.0734340000000002E-2</v>
      </c>
      <c r="AA7331">
        <v>0.89246209999999904</v>
      </c>
      <c r="AB7331">
        <v>32</v>
      </c>
      <c r="AC7331">
        <v>7.8231000000000099</v>
      </c>
      <c r="AD7331">
        <v>-1.094038338499</v>
      </c>
      <c r="AE7331">
        <v>-0.69870000000000199</v>
      </c>
      <c r="AF7331">
        <v>3.5736313747623698</v>
      </c>
      <c r="AG7331">
        <v>-1.094038338499</v>
      </c>
      <c r="AH7331">
        <v>6.8258555704623403</v>
      </c>
      <c r="AI7331">
        <v>98.081706357087896</v>
      </c>
      <c r="AJ7331">
        <v>62.3659925361003</v>
      </c>
      <c r="AK7331">
        <v>7.7820347826004603</v>
      </c>
      <c r="AL7331">
        <v>86.962870534155002</v>
      </c>
      <c r="AM7331">
        <v>74.734886261036493</v>
      </c>
      <c r="AN7331">
        <v>1.00000002769758</v>
      </c>
    </row>
    <row r="7332" spans="1:40" x14ac:dyDescent="0.25">
      <c r="A7332" t="str">
        <f>"20190312151207060"</f>
        <v>20190312151207060</v>
      </c>
      <c r="B7332" t="str">
        <f>"1552374727048582"</f>
        <v>1552374727048582</v>
      </c>
      <c r="C7332" t="s">
        <v>40</v>
      </c>
      <c r="D7332">
        <v>4.9910500000000004</v>
      </c>
      <c r="E7332">
        <v>0.60334149999999998</v>
      </c>
      <c r="F7332" t="s">
        <v>42</v>
      </c>
      <c r="G7332">
        <v>-158.8425</v>
      </c>
      <c r="H7332" s="1">
        <v>-5.7796900000000001E-7</v>
      </c>
      <c r="I7332">
        <v>139.0574</v>
      </c>
      <c r="J7332">
        <v>-170.46879999999999</v>
      </c>
      <c r="K7332">
        <v>1.0941529999999999</v>
      </c>
      <c r="L7332">
        <v>140.5341</v>
      </c>
      <c r="M7332">
        <v>0.93024770000000001</v>
      </c>
      <c r="N7332">
        <v>0</v>
      </c>
      <c r="O7332">
        <v>0.36652380000000001</v>
      </c>
      <c r="P7332">
        <v>0.99247739999999995</v>
      </c>
      <c r="Q7332">
        <v>4.4709310000000002E-2</v>
      </c>
      <c r="R7332">
        <v>0.1139734</v>
      </c>
      <c r="S7332">
        <v>3.0876009999999998</v>
      </c>
      <c r="T7332">
        <v>-0.28298800000000002</v>
      </c>
      <c r="U7332">
        <v>-0.35281370000000001</v>
      </c>
      <c r="V7332">
        <v>0.25994919999999999</v>
      </c>
      <c r="W7332">
        <v>5.147024E-2</v>
      </c>
      <c r="X7332">
        <v>0.96424960000000004</v>
      </c>
      <c r="Y7332">
        <v>0.46640619999999999</v>
      </c>
      <c r="Z7332">
        <v>-5.4251939999999998E-2</v>
      </c>
      <c r="AA7332">
        <v>0.88290550000000001</v>
      </c>
      <c r="AB7332">
        <v>32</v>
      </c>
      <c r="AC7332">
        <v>11.626299999999899</v>
      </c>
      <c r="AD7332">
        <v>-1.0941535779689999</v>
      </c>
      <c r="AE7332">
        <v>-1.4766999999999899</v>
      </c>
      <c r="AF7332">
        <v>5.5871581866201296</v>
      </c>
      <c r="AG7332">
        <v>-1.0941535779689999</v>
      </c>
      <c r="AH7332">
        <v>10.186842399883499</v>
      </c>
      <c r="AI7332">
        <v>95.3799001065927</v>
      </c>
      <c r="AJ7332">
        <v>61.256636327905198</v>
      </c>
      <c r="AK7332">
        <v>11.6698443320621</v>
      </c>
      <c r="AL7332">
        <v>87.049668929324298</v>
      </c>
      <c r="AM7332">
        <v>74.912480106274302</v>
      </c>
      <c r="AN7332">
        <v>1.00000003164322</v>
      </c>
    </row>
    <row r="7333" spans="1:40" x14ac:dyDescent="0.25">
      <c r="A7333" t="str">
        <f>"20190312151207081"</f>
        <v>20190312151207081</v>
      </c>
      <c r="B7333" t="str">
        <f>"1552374727068101"</f>
        <v>1552374727068101</v>
      </c>
      <c r="C7333" t="s">
        <v>40</v>
      </c>
      <c r="D7333">
        <v>5.0137090000000004</v>
      </c>
      <c r="E7333">
        <v>0.60680119999999904</v>
      </c>
      <c r="F7333" t="s">
        <v>42</v>
      </c>
      <c r="G7333">
        <v>-159.0112</v>
      </c>
      <c r="H7333" s="1">
        <v>-5.673494E-7</v>
      </c>
      <c r="I7333">
        <v>138.70949999999999</v>
      </c>
      <c r="J7333">
        <v>-170.16319999999999</v>
      </c>
      <c r="K7333">
        <v>1.0942909999999999</v>
      </c>
      <c r="L7333">
        <v>140.63890000000001</v>
      </c>
      <c r="M7333">
        <v>0.936469</v>
      </c>
      <c r="N7333">
        <v>0</v>
      </c>
      <c r="O7333">
        <v>0.35032489999999999</v>
      </c>
      <c r="P7333">
        <v>0.99407840000000003</v>
      </c>
      <c r="Q7333">
        <v>4.2602630000000002E-2</v>
      </c>
      <c r="R7333">
        <v>9.9966100000000002E-2</v>
      </c>
      <c r="S7333">
        <v>3.092606</v>
      </c>
      <c r="T7333">
        <v>-0.295330599999999</v>
      </c>
      <c r="U7333">
        <v>-0.49249270000000001</v>
      </c>
      <c r="V7333">
        <v>0.25674409999999998</v>
      </c>
      <c r="W7333">
        <v>4.9551999999999999E-2</v>
      </c>
      <c r="X7333">
        <v>0.96520830000000002</v>
      </c>
      <c r="Y7333">
        <v>0.4895851</v>
      </c>
      <c r="Z7333">
        <v>-5.6042830000000002E-2</v>
      </c>
      <c r="AA7333">
        <v>0.8701527</v>
      </c>
      <c r="AB7333">
        <v>32</v>
      </c>
      <c r="AC7333">
        <v>11.1519999999999</v>
      </c>
      <c r="AD7333">
        <v>-1.09429156734939</v>
      </c>
      <c r="AE7333">
        <v>-1.92940000000001</v>
      </c>
      <c r="AF7333">
        <v>5.6615704765066699</v>
      </c>
      <c r="AG7333">
        <v>-1.09429156734939</v>
      </c>
      <c r="AH7333">
        <v>9.6785603666331497</v>
      </c>
      <c r="AI7333">
        <v>95.573996667174001</v>
      </c>
      <c r="AJ7333">
        <v>59.674074259759003</v>
      </c>
      <c r="AK7333">
        <v>11.2661166807993</v>
      </c>
      <c r="AL7333">
        <v>87.159716379128298</v>
      </c>
      <c r="AM7333">
        <v>75.104322513104606</v>
      </c>
      <c r="AN7333">
        <v>0.99999999798884998</v>
      </c>
    </row>
    <row r="7334" spans="1:40" x14ac:dyDescent="0.25">
      <c r="A7334" t="str">
        <f>"20190312151207098"</f>
        <v>20190312151207098</v>
      </c>
      <c r="B7334" t="str">
        <f>"1552374727088597"</f>
        <v>1552374727088597</v>
      </c>
      <c r="C7334" t="s">
        <v>40</v>
      </c>
      <c r="D7334">
        <v>5.0275160000000003</v>
      </c>
      <c r="E7334">
        <v>0.60880669999999903</v>
      </c>
      <c r="F7334" t="s">
        <v>42</v>
      </c>
      <c r="G7334">
        <v>-158.80889999999999</v>
      </c>
      <c r="H7334" s="1">
        <v>-6.7963229999999998E-7</v>
      </c>
      <c r="I7334">
        <v>138.56559999999999</v>
      </c>
      <c r="J7334">
        <v>-169.94059999999999</v>
      </c>
      <c r="K7334">
        <v>1.094401</v>
      </c>
      <c r="L7334">
        <v>140.71199999999999</v>
      </c>
      <c r="M7334">
        <v>0.94077750000000004</v>
      </c>
      <c r="N7334">
        <v>0</v>
      </c>
      <c r="O7334">
        <v>0.3385862</v>
      </c>
      <c r="P7334">
        <v>0.99512670000000003</v>
      </c>
      <c r="Q7334">
        <v>4.2068399999999999E-2</v>
      </c>
      <c r="R7334">
        <v>8.91821E-2</v>
      </c>
      <c r="S7334">
        <v>3.0873110000000001</v>
      </c>
      <c r="T7334">
        <v>-0.29754530000000001</v>
      </c>
      <c r="U7334">
        <v>-0.56373600000000001</v>
      </c>
      <c r="V7334">
        <v>0.25511070000000002</v>
      </c>
      <c r="W7334">
        <v>4.9124790000000002E-2</v>
      </c>
      <c r="X7334">
        <v>0.9656631</v>
      </c>
      <c r="Y7334">
        <v>0.49837629999999999</v>
      </c>
      <c r="Z7334">
        <v>-5.5819510000000003E-2</v>
      </c>
      <c r="AA7334">
        <v>0.86516199999999999</v>
      </c>
      <c r="AB7334">
        <v>32</v>
      </c>
      <c r="AC7334">
        <v>11.131699999999899</v>
      </c>
      <c r="AD7334">
        <v>-1.0944016796323</v>
      </c>
      <c r="AE7334">
        <v>-2.1464000000000198</v>
      </c>
      <c r="AF7334">
        <v>5.7357326088299398</v>
      </c>
      <c r="AG7334">
        <v>-1.0944016796323</v>
      </c>
      <c r="AH7334">
        <v>9.6571627838960996</v>
      </c>
      <c r="AI7334">
        <v>95.565072307111905</v>
      </c>
      <c r="AJ7334">
        <v>59.292416485654897</v>
      </c>
      <c r="AK7334">
        <v>11.2852619212424</v>
      </c>
      <c r="AL7334">
        <v>87.184223472964405</v>
      </c>
      <c r="AM7334">
        <v>75.201580466935695</v>
      </c>
      <c r="AN7334">
        <v>0.99999996847432104</v>
      </c>
    </row>
    <row r="7335" spans="1:40" x14ac:dyDescent="0.25">
      <c r="A7335" t="str">
        <f>"20190312151207111"</f>
        <v>20190312151207111</v>
      </c>
      <c r="B7335" t="str">
        <f>"1552374727108117"</f>
        <v>1552374727108117</v>
      </c>
      <c r="C7335" t="s">
        <v>40</v>
      </c>
      <c r="D7335">
        <v>5.0259349999999996</v>
      </c>
      <c r="E7335">
        <v>0.60891359999999894</v>
      </c>
      <c r="F7335" t="s">
        <v>42</v>
      </c>
      <c r="G7335">
        <v>-158.9503</v>
      </c>
      <c r="H7335" s="1">
        <v>-6.3378369999999897E-7</v>
      </c>
      <c r="I7335">
        <v>138.52440000000001</v>
      </c>
      <c r="J7335">
        <v>-169.75479999999999</v>
      </c>
      <c r="K7335">
        <v>1.0945049999999901</v>
      </c>
      <c r="L7335">
        <v>140.77000000000001</v>
      </c>
      <c r="M7335">
        <v>0.944214</v>
      </c>
      <c r="N7335">
        <v>0</v>
      </c>
      <c r="O7335">
        <v>0.32888269999999997</v>
      </c>
      <c r="P7335">
        <v>0.99586549999999996</v>
      </c>
      <c r="Q7335">
        <v>4.1652689999999999E-2</v>
      </c>
      <c r="R7335">
        <v>8.0729590000000004E-2</v>
      </c>
      <c r="S7335">
        <v>3.0826419999999999</v>
      </c>
      <c r="T7335">
        <v>-0.30696400000000001</v>
      </c>
      <c r="U7335">
        <v>-0.61360170000000003</v>
      </c>
      <c r="V7335">
        <v>0.25334449999999997</v>
      </c>
      <c r="W7335">
        <v>4.8815690000000002E-2</v>
      </c>
      <c r="X7335">
        <v>0.96614370000000005</v>
      </c>
      <c r="Y7335">
        <v>0.50297990000000004</v>
      </c>
      <c r="Z7335">
        <v>-5.690042E-2</v>
      </c>
      <c r="AA7335">
        <v>0.8624231</v>
      </c>
      <c r="AB7335">
        <v>32</v>
      </c>
      <c r="AC7335">
        <v>10.8044999999999</v>
      </c>
      <c r="AD7335">
        <v>-1.09450563378369</v>
      </c>
      <c r="AE7335">
        <v>-2.2455999999999898</v>
      </c>
      <c r="AF7335">
        <v>5.61930347136534</v>
      </c>
      <c r="AG7335">
        <v>-1.09450563378369</v>
      </c>
      <c r="AH7335">
        <v>9.3724264299686109</v>
      </c>
      <c r="AI7335">
        <v>95.719500313962399</v>
      </c>
      <c r="AJ7335">
        <v>59.054912179528102</v>
      </c>
      <c r="AK7335">
        <v>10.982572160967401</v>
      </c>
      <c r="AL7335">
        <v>87.2019550396369</v>
      </c>
      <c r="AM7335">
        <v>75.306578195304994</v>
      </c>
      <c r="AN7335">
        <v>1.0000000281600501</v>
      </c>
    </row>
    <row r="7336" spans="1:40" x14ac:dyDescent="0.25">
      <c r="A7336" t="str">
        <f>"20190312151207124"</f>
        <v>20190312151207124</v>
      </c>
      <c r="B7336" t="str">
        <f>"1552374727118853"</f>
        <v>1552374727118853</v>
      </c>
      <c r="C7336" t="s">
        <v>40</v>
      </c>
      <c r="D7336">
        <v>5.0393869999999996</v>
      </c>
      <c r="E7336">
        <v>0.60850919999999997</v>
      </c>
      <c r="F7336" t="s">
        <v>42</v>
      </c>
      <c r="G7336">
        <v>-158.95240000000001</v>
      </c>
      <c r="H7336" s="1">
        <v>-6.3399949999999997E-7</v>
      </c>
      <c r="I7336">
        <v>138.52080000000001</v>
      </c>
      <c r="J7336">
        <v>-169.57</v>
      </c>
      <c r="K7336">
        <v>1.0946089999999999</v>
      </c>
      <c r="L7336">
        <v>140.82599999999999</v>
      </c>
      <c r="M7336">
        <v>0.94750809999999996</v>
      </c>
      <c r="N7336">
        <v>0</v>
      </c>
      <c r="O7336">
        <v>0.319270099999999</v>
      </c>
      <c r="P7336">
        <v>0.99652090000000004</v>
      </c>
      <c r="Q7336">
        <v>4.1252129999999998E-2</v>
      </c>
      <c r="R7336">
        <v>7.241773E-2</v>
      </c>
      <c r="S7336">
        <v>3.0774379999999999</v>
      </c>
      <c r="T7336">
        <v>-0.311807</v>
      </c>
      <c r="U7336">
        <v>-0.64074709999999901</v>
      </c>
      <c r="V7336">
        <v>0.25156329999999999</v>
      </c>
      <c r="W7336">
        <v>4.8523259999999999E-2</v>
      </c>
      <c r="X7336">
        <v>0.96662369999999997</v>
      </c>
      <c r="Y7336">
        <v>0.501722</v>
      </c>
      <c r="Z7336">
        <v>-5.6852310000000003E-2</v>
      </c>
      <c r="AA7336">
        <v>0.863158599999999</v>
      </c>
      <c r="AB7336">
        <v>32</v>
      </c>
      <c r="AC7336">
        <v>10.6175999999999</v>
      </c>
      <c r="AD7336">
        <v>-1.0946096339995</v>
      </c>
      <c r="AE7336">
        <v>-2.3051999999999802</v>
      </c>
      <c r="AF7336">
        <v>5.5188840778630697</v>
      </c>
      <c r="AG7336">
        <v>-1.0946096339995</v>
      </c>
      <c r="AH7336">
        <v>9.2319527315610905</v>
      </c>
      <c r="AI7336">
        <v>95.810947013881602</v>
      </c>
      <c r="AJ7336">
        <v>59.128913831499197</v>
      </c>
      <c r="AK7336">
        <v>10.8113460287567</v>
      </c>
      <c r="AL7336">
        <v>87.218729814385597</v>
      </c>
      <c r="AM7336">
        <v>75.412396412724902</v>
      </c>
      <c r="AN7336">
        <v>0.99999998903480303</v>
      </c>
    </row>
    <row r="7337" spans="1:40" x14ac:dyDescent="0.25">
      <c r="A7337" t="str">
        <f>"20190312151207136"</f>
        <v>20190312151207136</v>
      </c>
      <c r="B7337" t="str">
        <f>"1552374727128165"</f>
        <v>1552374727128165</v>
      </c>
      <c r="C7337" t="s">
        <v>40</v>
      </c>
      <c r="D7337">
        <v>5.0466100000000003</v>
      </c>
      <c r="E7337">
        <v>0.60806439999999995</v>
      </c>
      <c r="F7337" t="s">
        <v>42</v>
      </c>
      <c r="G7337">
        <v>-158.73099999999999</v>
      </c>
      <c r="H7337" s="1">
        <v>-7.2688059999999896E-7</v>
      </c>
      <c r="I7337">
        <v>138.48769999999999</v>
      </c>
      <c r="J7337">
        <v>-169.3837</v>
      </c>
      <c r="K7337">
        <v>1.0947100000000001</v>
      </c>
      <c r="L7337">
        <v>140.881</v>
      </c>
      <c r="M7337">
        <v>0.95070600000000005</v>
      </c>
      <c r="N7337">
        <v>0</v>
      </c>
      <c r="O7337">
        <v>0.30961909999999998</v>
      </c>
      <c r="P7337">
        <v>0.99686370000000002</v>
      </c>
      <c r="Q7337">
        <v>3.936394E-2</v>
      </c>
      <c r="R7337">
        <v>6.8652229999999995E-2</v>
      </c>
      <c r="S7337">
        <v>3.0714869999999999</v>
      </c>
      <c r="T7337">
        <v>-0.31018250000000003</v>
      </c>
      <c r="U7337">
        <v>-0.66261289999999995</v>
      </c>
      <c r="V7337">
        <v>0.24532039999999999</v>
      </c>
      <c r="W7337">
        <v>4.6930060000000003E-2</v>
      </c>
      <c r="X7337">
        <v>0.96830550000000004</v>
      </c>
      <c r="Y7337">
        <v>0.49925249999999999</v>
      </c>
      <c r="Z7337">
        <v>-5.5570950000000001E-2</v>
      </c>
      <c r="AA7337">
        <v>0.86467269999999896</v>
      </c>
      <c r="AB7337">
        <v>32</v>
      </c>
      <c r="AC7337">
        <v>10.652699999999999</v>
      </c>
      <c r="AD7337">
        <v>-1.0947107268806</v>
      </c>
      <c r="AE7337">
        <v>-2.3933</v>
      </c>
      <c r="AF7337">
        <v>5.5189422030896003</v>
      </c>
      <c r="AG7337">
        <v>-1.0947107268806</v>
      </c>
      <c r="AH7337">
        <v>9.2945177219034196</v>
      </c>
      <c r="AI7337">
        <v>95.782763915054801</v>
      </c>
      <c r="AJ7337">
        <v>59.298808498069803</v>
      </c>
      <c r="AK7337">
        <v>10.864859607899501</v>
      </c>
      <c r="AL7337">
        <v>87.310117727929395</v>
      </c>
      <c r="AM7337">
        <v>75.783237981508606</v>
      </c>
      <c r="AN7337">
        <v>1.0000000352589999</v>
      </c>
    </row>
    <row r="7338" spans="1:40" x14ac:dyDescent="0.25">
      <c r="A7338" t="str">
        <f>"20190312151207160"</f>
        <v>20190312151207160</v>
      </c>
      <c r="B7338" t="str">
        <f>"1552374727148640"</f>
        <v>1552374727148640</v>
      </c>
      <c r="C7338" t="s">
        <v>40</v>
      </c>
      <c r="D7338">
        <v>5.081188</v>
      </c>
      <c r="E7338">
        <v>0.60710730000000002</v>
      </c>
      <c r="F7338" t="s">
        <v>42</v>
      </c>
      <c r="G7338">
        <v>-158.7124</v>
      </c>
      <c r="H7338" s="1">
        <v>-7.2384940000000001E-7</v>
      </c>
      <c r="I7338">
        <v>138.54990000000001</v>
      </c>
      <c r="J7338">
        <v>-169.07810000000001</v>
      </c>
      <c r="K7338">
        <v>1.0949150000000001</v>
      </c>
      <c r="L7338">
        <v>140.9658</v>
      </c>
      <c r="M7338">
        <v>0.95564910000000003</v>
      </c>
      <c r="N7338">
        <v>0</v>
      </c>
      <c r="O7338">
        <v>0.29401149999999998</v>
      </c>
      <c r="P7338">
        <v>0.99757709999999999</v>
      </c>
      <c r="Q7338">
        <v>3.8316700000000002E-2</v>
      </c>
      <c r="R7338">
        <v>5.8070419999999998E-2</v>
      </c>
      <c r="S7338">
        <v>3.0680239999999999</v>
      </c>
      <c r="T7338">
        <v>-0.3147296</v>
      </c>
      <c r="U7338">
        <v>-0.67018129999999998</v>
      </c>
      <c r="V7338">
        <v>0.23968439999999999</v>
      </c>
      <c r="W7338">
        <v>4.6177000000000003E-2</v>
      </c>
      <c r="X7338">
        <v>0.96975210000000001</v>
      </c>
      <c r="Y7338">
        <v>0.48730790000000002</v>
      </c>
      <c r="Z7338">
        <v>-5.4281759999999998E-2</v>
      </c>
      <c r="AA7338">
        <v>0.87154149999999997</v>
      </c>
      <c r="AB7338">
        <v>32</v>
      </c>
      <c r="AC7338">
        <v>10.3657</v>
      </c>
      <c r="AD7338">
        <v>-1.0949157238493901</v>
      </c>
      <c r="AE7338">
        <v>-2.4158999999999899</v>
      </c>
      <c r="AF7338">
        <v>5.3010709496962702</v>
      </c>
      <c r="AG7338">
        <v>-1.0949157238493901</v>
      </c>
      <c r="AH7338">
        <v>9.1007035804552405</v>
      </c>
      <c r="AI7338">
        <v>95.935167095779093</v>
      </c>
      <c r="AJ7338">
        <v>59.779617909016601</v>
      </c>
      <c r="AK7338">
        <v>10.588814821091001</v>
      </c>
      <c r="AL7338">
        <v>87.353311707453202</v>
      </c>
      <c r="AM7338">
        <v>76.116980598458397</v>
      </c>
      <c r="AN7338">
        <v>1.0000000311933801</v>
      </c>
    </row>
    <row r="7339" spans="1:40" x14ac:dyDescent="0.25">
      <c r="A7339" t="str">
        <f>"20190312151207181"</f>
        <v>20190312151207181</v>
      </c>
      <c r="B7339" t="str">
        <f>"1552374727178897"</f>
        <v>1552374727178897</v>
      </c>
      <c r="C7339" t="s">
        <v>40</v>
      </c>
      <c r="D7339">
        <v>5.0780120000000002</v>
      </c>
      <c r="E7339">
        <v>0.60528269999999995</v>
      </c>
      <c r="F7339" t="s">
        <v>42</v>
      </c>
      <c r="G7339">
        <v>-158.4958</v>
      </c>
      <c r="H7339" s="1">
        <v>-8.1473340000000004E-7</v>
      </c>
      <c r="I7339">
        <v>138.56110000000001</v>
      </c>
      <c r="J7339">
        <v>-168.7647</v>
      </c>
      <c r="K7339">
        <v>1.0951599999999999</v>
      </c>
      <c r="L7339">
        <v>141.04730000000001</v>
      </c>
      <c r="M7339">
        <v>0.96035720000000002</v>
      </c>
      <c r="N7339">
        <v>0</v>
      </c>
      <c r="O7339">
        <v>0.27825240000000001</v>
      </c>
      <c r="P7339">
        <v>0.99811559999999999</v>
      </c>
      <c r="Q7339">
        <v>3.9173949999999999E-2</v>
      </c>
      <c r="R7339">
        <v>4.7233289999999997E-2</v>
      </c>
      <c r="S7339">
        <v>3.0599370000000001</v>
      </c>
      <c r="T7339">
        <v>-0.3166022</v>
      </c>
      <c r="U7339">
        <v>-0.6953125</v>
      </c>
      <c r="V7339">
        <v>0.23425280000000001</v>
      </c>
      <c r="W7339">
        <v>4.7323009999999999E-2</v>
      </c>
      <c r="X7339">
        <v>0.97102330000000003</v>
      </c>
      <c r="Y7339">
        <v>0.48031800000000002</v>
      </c>
      <c r="Z7339">
        <v>-5.2769450000000002E-2</v>
      </c>
      <c r="AA7339">
        <v>0.87550559999999999</v>
      </c>
      <c r="AB7339">
        <v>32</v>
      </c>
      <c r="AC7339">
        <v>10.2689</v>
      </c>
      <c r="AD7339">
        <v>-1.0951608147334</v>
      </c>
      <c r="AE7339">
        <v>-2.48619999999999</v>
      </c>
      <c r="AF7339">
        <v>5.1899843298214599</v>
      </c>
      <c r="AG7339">
        <v>-1.0951608147334</v>
      </c>
      <c r="AH7339">
        <v>9.0738590480925403</v>
      </c>
      <c r="AI7339">
        <v>95.980904925908604</v>
      </c>
      <c r="AJ7339">
        <v>60.231695034663403</v>
      </c>
      <c r="AK7339">
        <v>10.510482033597199</v>
      </c>
      <c r="AL7339">
        <v>87.287578336520298</v>
      </c>
      <c r="AM7339">
        <v>76.436933258567905</v>
      </c>
      <c r="AN7339">
        <v>1.00000004536309</v>
      </c>
    </row>
    <row r="7340" spans="1:40" x14ac:dyDescent="0.25">
      <c r="A7340" t="str">
        <f>"20190312151207205"</f>
        <v>20190312151207205</v>
      </c>
      <c r="B7340" t="str">
        <f>"1552374727198416"</f>
        <v>1552374727198416</v>
      </c>
      <c r="C7340" t="s">
        <v>40</v>
      </c>
      <c r="D7340">
        <v>5.1037489999999996</v>
      </c>
      <c r="E7340">
        <v>0.60400469999999995</v>
      </c>
      <c r="F7340" t="s">
        <v>42</v>
      </c>
      <c r="G7340">
        <v>-157.80179999999999</v>
      </c>
      <c r="H7340" s="1">
        <v>-1.1262839999999999E-6</v>
      </c>
      <c r="I7340">
        <v>138.48330000000001</v>
      </c>
      <c r="J7340">
        <v>-168.44159999999999</v>
      </c>
      <c r="K7340">
        <v>1.0954170000000001</v>
      </c>
      <c r="L7340">
        <v>141.1258</v>
      </c>
      <c r="M7340">
        <v>0.9648523</v>
      </c>
      <c r="N7340">
        <v>0</v>
      </c>
      <c r="O7340">
        <v>0.26224589999999998</v>
      </c>
      <c r="P7340">
        <v>0.99858950000000002</v>
      </c>
      <c r="Q7340">
        <v>3.906308E-2</v>
      </c>
      <c r="R7340">
        <v>3.5961510000000002E-2</v>
      </c>
      <c r="S7340">
        <v>3.0514220000000001</v>
      </c>
      <c r="T7340">
        <v>-0.30482710000000002</v>
      </c>
      <c r="U7340">
        <v>-0.7136536</v>
      </c>
      <c r="V7340">
        <v>0.22903209999999999</v>
      </c>
      <c r="W7340">
        <v>4.7485909999999999E-2</v>
      </c>
      <c r="X7340">
        <v>0.97225989999999995</v>
      </c>
      <c r="Y7340">
        <v>0.47165299999999999</v>
      </c>
      <c r="Z7340">
        <v>-4.8947320000000002E-2</v>
      </c>
      <c r="AA7340">
        <v>0.88042469999999995</v>
      </c>
      <c r="AB7340">
        <v>32</v>
      </c>
      <c r="AC7340">
        <v>10.639799999999999</v>
      </c>
      <c r="AD7340">
        <v>-1.0954181262839999</v>
      </c>
      <c r="AE7340">
        <v>-2.6424999999999801</v>
      </c>
      <c r="AF7340">
        <v>5.2878398867165703</v>
      </c>
      <c r="AG7340">
        <v>-1.0954181262839999</v>
      </c>
      <c r="AH7340">
        <v>9.4795825569085697</v>
      </c>
      <c r="AI7340">
        <v>95.762597841285199</v>
      </c>
      <c r="AJ7340">
        <v>60.846628424458203</v>
      </c>
      <c r="AK7340">
        <v>10.9097972938174</v>
      </c>
      <c r="AL7340">
        <v>87.278234127597301</v>
      </c>
      <c r="AM7340">
        <v>76.744680015154202</v>
      </c>
      <c r="AN7340">
        <v>0.999999963813473</v>
      </c>
    </row>
    <row r="7341" spans="1:40" x14ac:dyDescent="0.25">
      <c r="A7341" t="str">
        <f>"20190312151207226"</f>
        <v>20190312151207226</v>
      </c>
      <c r="B7341" t="str">
        <f>"1552374727218912"</f>
        <v>1552374727218912</v>
      </c>
      <c r="C7341" t="s">
        <v>40</v>
      </c>
      <c r="D7341">
        <v>5.0876869999999998</v>
      </c>
      <c r="E7341">
        <v>0.60290239999999995</v>
      </c>
      <c r="F7341" t="s">
        <v>42</v>
      </c>
      <c r="G7341">
        <v>-157.40350000000001</v>
      </c>
      <c r="H7341" s="1">
        <v>-1.3031620000000001E-6</v>
      </c>
      <c r="I7341">
        <v>138.4495</v>
      </c>
      <c r="J7341">
        <v>-168.1337</v>
      </c>
      <c r="K7341">
        <v>1.0956649999999999</v>
      </c>
      <c r="L7341">
        <v>141.19550000000001</v>
      </c>
      <c r="M7341">
        <v>0.96881059999999997</v>
      </c>
      <c r="N7341">
        <v>0</v>
      </c>
      <c r="O7341">
        <v>0.247227</v>
      </c>
      <c r="P7341">
        <v>0.99889459999999997</v>
      </c>
      <c r="Q7341">
        <v>3.8695689999999998E-2</v>
      </c>
      <c r="R7341">
        <v>2.6689290000000001E-2</v>
      </c>
      <c r="S7341">
        <v>3.0426030000000002</v>
      </c>
      <c r="T7341">
        <v>-0.30194520000000002</v>
      </c>
      <c r="U7341">
        <v>-0.73768619999999996</v>
      </c>
      <c r="V7341">
        <v>0.22291059999999999</v>
      </c>
      <c r="W7341">
        <v>4.7419700000000002E-2</v>
      </c>
      <c r="X7341">
        <v>0.97368480000000002</v>
      </c>
      <c r="Y7341">
        <v>0.46527030000000003</v>
      </c>
      <c r="Z7341">
        <v>-4.6824089999999999E-2</v>
      </c>
      <c r="AA7341">
        <v>0.88392929999999903</v>
      </c>
      <c r="AB7341">
        <v>32</v>
      </c>
      <c r="AC7341">
        <v>10.7301999999999</v>
      </c>
      <c r="AD7341">
        <v>-1.095666303162</v>
      </c>
      <c r="AE7341">
        <v>-2.746</v>
      </c>
      <c r="AF7341">
        <v>5.2624096509795901</v>
      </c>
      <c r="AG7341">
        <v>-1.095666303162</v>
      </c>
      <c r="AH7341">
        <v>9.6238543115093407</v>
      </c>
      <c r="AI7341">
        <v>95.704387805503799</v>
      </c>
      <c r="AJ7341">
        <v>61.329766828735202</v>
      </c>
      <c r="AK7341">
        <v>11.0232486949975</v>
      </c>
      <c r="AL7341">
        <v>87.282031858530004</v>
      </c>
      <c r="AM7341">
        <v>77.105199247824501</v>
      </c>
      <c r="AN7341">
        <v>0.999999926645742</v>
      </c>
    </row>
    <row r="7342" spans="1:40" x14ac:dyDescent="0.25">
      <c r="A7342" t="str">
        <f>"20190312151207250"</f>
        <v>20190312151207250</v>
      </c>
      <c r="B7342" t="str">
        <f>"1552374727238755"</f>
        <v>1552374727238755</v>
      </c>
      <c r="C7342" t="s">
        <v>40</v>
      </c>
      <c r="D7342">
        <v>5.161626</v>
      </c>
      <c r="E7342">
        <v>0.60167680000000001</v>
      </c>
      <c r="F7342" t="s">
        <v>42</v>
      </c>
      <c r="G7342">
        <v>-156.9973</v>
      </c>
      <c r="H7342" s="1">
        <v>-1.4831579999999999E-6</v>
      </c>
      <c r="I7342">
        <v>138.4171</v>
      </c>
      <c r="J7342">
        <v>-167.81139999999999</v>
      </c>
      <c r="K7342">
        <v>1.0959319999999999</v>
      </c>
      <c r="L7342">
        <v>141.26320000000001</v>
      </c>
      <c r="M7342">
        <v>0.97262320000000002</v>
      </c>
      <c r="N7342">
        <v>0</v>
      </c>
      <c r="O7342">
        <v>0.23177990000000001</v>
      </c>
      <c r="P7342">
        <v>0.9990928</v>
      </c>
      <c r="Q7342">
        <v>3.9014029999999998E-2</v>
      </c>
      <c r="R7342">
        <v>1.7083870000000001E-2</v>
      </c>
      <c r="S7342">
        <v>3.035126</v>
      </c>
      <c r="T7342">
        <v>-0.29861490000000002</v>
      </c>
      <c r="U7342">
        <v>-0.75723269999999998</v>
      </c>
      <c r="V7342">
        <v>0.21674879999999999</v>
      </c>
      <c r="W7342">
        <v>4.8038900000000002E-2</v>
      </c>
      <c r="X7342">
        <v>0.97504469999999999</v>
      </c>
      <c r="Y7342">
        <v>0.45722960000000001</v>
      </c>
      <c r="Z7342">
        <v>-4.4519660000000003E-2</v>
      </c>
      <c r="AA7342">
        <v>0.88823369999999902</v>
      </c>
      <c r="AB7342">
        <v>32</v>
      </c>
      <c r="AC7342">
        <v>10.8140999999999</v>
      </c>
      <c r="AD7342">
        <v>-1.0959334831580001</v>
      </c>
      <c r="AE7342">
        <v>-2.8460999999999999</v>
      </c>
      <c r="AF7342">
        <v>5.2252294373074903</v>
      </c>
      <c r="AG7342">
        <v>-1.0959334831580001</v>
      </c>
      <c r="AH7342">
        <v>9.7659639655188695</v>
      </c>
      <c r="AI7342">
        <v>95.650849997133804</v>
      </c>
      <c r="AJ7342">
        <v>61.851217700198397</v>
      </c>
      <c r="AK7342">
        <v>11.130055931927</v>
      </c>
      <c r="AL7342">
        <v>87.246513955693302</v>
      </c>
      <c r="AM7342">
        <v>77.467149376073607</v>
      </c>
      <c r="AN7342">
        <v>0.99999997260636897</v>
      </c>
    </row>
    <row r="7343" spans="1:40" x14ac:dyDescent="0.25">
      <c r="A7343" t="str">
        <f>"20190312151207270"</f>
        <v>20190312151207270</v>
      </c>
      <c r="B7343" t="str">
        <f>"1552374727269011"</f>
        <v>1552374727269011</v>
      </c>
      <c r="C7343" t="s">
        <v>40</v>
      </c>
      <c r="D7343">
        <v>5.0556570000000001</v>
      </c>
      <c r="E7343">
        <v>0.58456370000000002</v>
      </c>
      <c r="F7343" t="s">
        <v>42</v>
      </c>
      <c r="G7343">
        <v>-156.56739999999999</v>
      </c>
      <c r="H7343" s="1">
        <v>-1.674439E-6</v>
      </c>
      <c r="I7343">
        <v>138.3783</v>
      </c>
      <c r="J7343">
        <v>-167.50479999999999</v>
      </c>
      <c r="K7343">
        <v>1.096195</v>
      </c>
      <c r="L7343">
        <v>141.3229</v>
      </c>
      <c r="M7343">
        <v>0.97595010000000004</v>
      </c>
      <c r="N7343">
        <v>0</v>
      </c>
      <c r="O7343">
        <v>0.2173514</v>
      </c>
      <c r="P7343">
        <v>0.9992316</v>
      </c>
      <c r="Q7343">
        <v>3.8240709999999997E-2</v>
      </c>
      <c r="R7343">
        <v>8.591998E-3</v>
      </c>
      <c r="S7343">
        <v>3.027542</v>
      </c>
      <c r="T7343">
        <v>-0.2950895</v>
      </c>
      <c r="U7343">
        <v>-0.776779199999999</v>
      </c>
      <c r="V7343">
        <v>0.21053910000000001</v>
      </c>
      <c r="W7343">
        <v>4.7560690000000003E-2</v>
      </c>
      <c r="X7343">
        <v>0.97642779999999996</v>
      </c>
      <c r="Y7343">
        <v>0.45014100000000001</v>
      </c>
      <c r="Z7343">
        <v>-4.2360380000000003E-2</v>
      </c>
      <c r="AA7343">
        <v>0.89195219999999897</v>
      </c>
      <c r="AB7343">
        <v>32</v>
      </c>
      <c r="AC7343">
        <v>10.937399999999901</v>
      </c>
      <c r="AD7343">
        <v>-1.0961966744389999</v>
      </c>
      <c r="AE7343">
        <v>-2.9445999999999999</v>
      </c>
      <c r="AF7343">
        <v>5.2030442931383396</v>
      </c>
      <c r="AG7343">
        <v>-1.0961966744389999</v>
      </c>
      <c r="AH7343">
        <v>9.9426239596951902</v>
      </c>
      <c r="AI7343">
        <v>95.579242030368604</v>
      </c>
      <c r="AJ7343">
        <v>62.376624615730101</v>
      </c>
      <c r="AK7343">
        <v>11.275153580741801</v>
      </c>
      <c r="AL7343">
        <v>87.273944774642501</v>
      </c>
      <c r="AM7343">
        <v>77.832072853027597</v>
      </c>
      <c r="AN7343">
        <v>0.999999990237463</v>
      </c>
    </row>
    <row r="7344" spans="1:40" x14ac:dyDescent="0.25">
      <c r="A7344" t="str">
        <f>"20190312151207294"</f>
        <v>20190312151207294</v>
      </c>
      <c r="B7344" t="str">
        <f>"1552374727288534"</f>
        <v>1552374727288534</v>
      </c>
      <c r="C7344" t="s">
        <v>40</v>
      </c>
      <c r="D7344">
        <v>5.0865859999999996</v>
      </c>
      <c r="E7344">
        <v>0.58358509999999997</v>
      </c>
      <c r="F7344" t="s">
        <v>42</v>
      </c>
      <c r="G7344">
        <v>-154.81219999999999</v>
      </c>
      <c r="H7344" s="1">
        <v>-2.4005370000000001E-6</v>
      </c>
      <c r="I7344">
        <v>138.5299</v>
      </c>
      <c r="J7344">
        <v>-167.18170000000001</v>
      </c>
      <c r="K7344">
        <v>1.0964929999999999</v>
      </c>
      <c r="L7344">
        <v>141.3809</v>
      </c>
      <c r="M7344">
        <v>0.97915229999999998</v>
      </c>
      <c r="N7344">
        <v>0</v>
      </c>
      <c r="O7344">
        <v>0.2024437</v>
      </c>
      <c r="P7344">
        <v>0.99929000000000001</v>
      </c>
      <c r="Q7344">
        <v>3.7671860000000001E-2</v>
      </c>
      <c r="R7344">
        <v>-5.6967400000000005E-4</v>
      </c>
      <c r="S7344">
        <v>3.018005</v>
      </c>
      <c r="T7344">
        <v>-0.2606504</v>
      </c>
      <c r="U7344">
        <v>-0.66410829999999998</v>
      </c>
      <c r="V7344">
        <v>0.20454629999999999</v>
      </c>
      <c r="W7344">
        <v>4.727729E-2</v>
      </c>
      <c r="X7344">
        <v>0.97771450000000004</v>
      </c>
      <c r="Y7344">
        <v>0.40601920000000002</v>
      </c>
      <c r="Z7344">
        <v>-3.4548830000000003E-2</v>
      </c>
      <c r="AA7344">
        <v>0.91321129999999995</v>
      </c>
      <c r="AB7344">
        <v>32</v>
      </c>
      <c r="AC7344">
        <v>12.3695</v>
      </c>
      <c r="AD7344">
        <v>-1.096495400537</v>
      </c>
      <c r="AE7344">
        <v>-2.8509999999999902</v>
      </c>
      <c r="AF7344">
        <v>5.2571980929899702</v>
      </c>
      <c r="AG7344">
        <v>-1.096495400537</v>
      </c>
      <c r="AH7344">
        <v>11.4506175824768</v>
      </c>
      <c r="AI7344">
        <v>94.973627758653095</v>
      </c>
      <c r="AJ7344">
        <v>65.339237362652995</v>
      </c>
      <c r="AK7344">
        <v>12.647413845228</v>
      </c>
      <c r="AL7344">
        <v>87.290200677159206</v>
      </c>
      <c r="AM7344">
        <v>78.183655434957103</v>
      </c>
      <c r="AN7344">
        <v>0.99999998725184203</v>
      </c>
    </row>
    <row r="7345" spans="1:40" x14ac:dyDescent="0.25">
      <c r="A7345" t="str">
        <f>"20190312151207315"</f>
        <v>20190312151207315</v>
      </c>
      <c r="B7345" t="str">
        <f>"1552374727309027"</f>
        <v>1552374727309027</v>
      </c>
      <c r="C7345" t="s">
        <v>40</v>
      </c>
      <c r="D7345">
        <v>5.1109260000000001</v>
      </c>
      <c r="E7345">
        <v>0.58284749999999996</v>
      </c>
      <c r="F7345" t="s">
        <v>42</v>
      </c>
      <c r="G7345">
        <v>-154.5034</v>
      </c>
      <c r="H7345" s="1">
        <v>-2.5378410000000002E-6</v>
      </c>
      <c r="I7345">
        <v>138.50280000000001</v>
      </c>
      <c r="J7345">
        <v>-166.87039999999999</v>
      </c>
      <c r="K7345">
        <v>1.0967910000000001</v>
      </c>
      <c r="L7345">
        <v>141.43219999999999</v>
      </c>
      <c r="M7345">
        <v>0.98195670000000002</v>
      </c>
      <c r="N7345">
        <v>0</v>
      </c>
      <c r="O7345">
        <v>0.18837860000000001</v>
      </c>
      <c r="P7345">
        <v>0.9992356</v>
      </c>
      <c r="Q7345">
        <v>3.7900999999999997E-2</v>
      </c>
      <c r="R7345">
        <v>-9.5997889999999992E-3</v>
      </c>
      <c r="S7345">
        <v>3.0115810000000001</v>
      </c>
      <c r="T7345">
        <v>-0.26045750000000001</v>
      </c>
      <c r="U7345">
        <v>-0.68363949999999996</v>
      </c>
      <c r="V7345">
        <v>0.19932349999999999</v>
      </c>
      <c r="W7345">
        <v>4.7758830000000002E-2</v>
      </c>
      <c r="X7345">
        <v>0.97876920000000001</v>
      </c>
      <c r="Y7345">
        <v>0.39903480000000002</v>
      </c>
      <c r="Z7345">
        <v>-3.3081529999999998E-2</v>
      </c>
      <c r="AA7345">
        <v>0.91633889999999996</v>
      </c>
      <c r="AB7345">
        <v>32</v>
      </c>
      <c r="AC7345">
        <v>12.3669999999999</v>
      </c>
      <c r="AD7345">
        <v>-1.0967935378409901</v>
      </c>
      <c r="AE7345">
        <v>-2.9293999999999798</v>
      </c>
      <c r="AF7345">
        <v>5.1684447455530096</v>
      </c>
      <c r="AG7345">
        <v>-1.0967935378409901</v>
      </c>
      <c r="AH7345">
        <v>11.507908275761</v>
      </c>
      <c r="AI7345">
        <v>94.968904300790498</v>
      </c>
      <c r="AJ7345">
        <v>65.814144258139095</v>
      </c>
      <c r="AK7345">
        <v>12.6628484171537</v>
      </c>
      <c r="AL7345">
        <v>87.262579177287293</v>
      </c>
      <c r="AM7345">
        <v>78.489283304022194</v>
      </c>
      <c r="AN7345">
        <v>0.99999995518192797</v>
      </c>
    </row>
    <row r="7346" spans="1:40" x14ac:dyDescent="0.25">
      <c r="A7346" t="str">
        <f>"20190312151207339"</f>
        <v>20190312151207339</v>
      </c>
      <c r="B7346" t="str">
        <f>"1552374727328547"</f>
        <v>1552374727328547</v>
      </c>
      <c r="C7346" t="s">
        <v>40</v>
      </c>
      <c r="D7346">
        <v>5.1118129999999997</v>
      </c>
      <c r="E7346">
        <v>0.58179399999999903</v>
      </c>
      <c r="F7346" t="s">
        <v>42</v>
      </c>
      <c r="G7346">
        <v>-154.5573</v>
      </c>
      <c r="H7346" s="1">
        <v>-2.507409E-6</v>
      </c>
      <c r="I7346">
        <v>138.54399999999899</v>
      </c>
      <c r="J7346">
        <v>-166.5538</v>
      </c>
      <c r="K7346">
        <v>1.0971150000000001</v>
      </c>
      <c r="L7346">
        <v>141.47970000000001</v>
      </c>
      <c r="M7346">
        <v>0.98453550000000001</v>
      </c>
      <c r="N7346">
        <v>0</v>
      </c>
      <c r="O7346">
        <v>0.17440749999999999</v>
      </c>
      <c r="P7346">
        <v>0.99912060000000003</v>
      </c>
      <c r="Q7346">
        <v>3.7667619999999999E-2</v>
      </c>
      <c r="R7346">
        <v>-1.8428179999999999E-2</v>
      </c>
      <c r="S7346">
        <v>3.0056919999999998</v>
      </c>
      <c r="T7346">
        <v>-0.26773200000000003</v>
      </c>
      <c r="U7346">
        <v>-0.70500180000000001</v>
      </c>
      <c r="V7346">
        <v>0.19401550000000001</v>
      </c>
      <c r="W7346">
        <v>4.7780259999999998E-2</v>
      </c>
      <c r="X7346">
        <v>0.97983419999999999</v>
      </c>
      <c r="Y7346">
        <v>0.3925342</v>
      </c>
      <c r="Z7346">
        <v>-3.2534670000000002E-2</v>
      </c>
      <c r="AA7346">
        <v>0.91916180000000003</v>
      </c>
      <c r="AB7346">
        <v>31</v>
      </c>
      <c r="AC7346">
        <v>11.9964999999999</v>
      </c>
      <c r="AD7346">
        <v>-1.097117507409</v>
      </c>
      <c r="AE7346">
        <v>-2.9357000000000202</v>
      </c>
      <c r="AF7346">
        <v>4.9442422853572898</v>
      </c>
      <c r="AG7346">
        <v>-1.097117507409</v>
      </c>
      <c r="AH7346">
        <v>11.2120327894943</v>
      </c>
      <c r="AI7346">
        <v>95.116219022605605</v>
      </c>
      <c r="AJ7346">
        <v>66.203650908032003</v>
      </c>
      <c r="AK7346">
        <v>12.302799594973299</v>
      </c>
      <c r="AL7346">
        <v>87.261350085144002</v>
      </c>
      <c r="AM7346">
        <v>78.799825346191795</v>
      </c>
      <c r="AN7346">
        <v>1.00000001348777</v>
      </c>
    </row>
    <row r="7347" spans="1:40" x14ac:dyDescent="0.25">
      <c r="A7347" t="str">
        <f>"20190312151207360"</f>
        <v>20190312151207360</v>
      </c>
      <c r="B7347" t="str">
        <f>"1552374727349043"</f>
        <v>1552374727349043</v>
      </c>
      <c r="C7347" t="s">
        <v>40</v>
      </c>
      <c r="D7347">
        <v>5.0440459999999998</v>
      </c>
      <c r="E7347">
        <v>0.5806673</v>
      </c>
      <c r="F7347" t="s">
        <v>42</v>
      </c>
      <c r="G7347">
        <v>-154.40780000000001</v>
      </c>
      <c r="H7347" s="1">
        <v>-2.5701409999999998E-6</v>
      </c>
      <c r="I7347">
        <v>138.55179999999999</v>
      </c>
      <c r="J7347">
        <v>-166.2415</v>
      </c>
      <c r="K7347">
        <v>1.0974459999999999</v>
      </c>
      <c r="L7347">
        <v>141.52209999999999</v>
      </c>
      <c r="M7347">
        <v>0.98682329999999996</v>
      </c>
      <c r="N7347">
        <v>0</v>
      </c>
      <c r="O7347">
        <v>0.16096740000000001</v>
      </c>
      <c r="P7347">
        <v>0.99900219999999995</v>
      </c>
      <c r="Q7347">
        <v>3.6649540000000001E-2</v>
      </c>
      <c r="R7347">
        <v>-2.552459E-2</v>
      </c>
      <c r="S7347">
        <v>2.9995569999999998</v>
      </c>
      <c r="T7347">
        <v>-0.27094170000000001</v>
      </c>
      <c r="U7347">
        <v>-0.72306819999999905</v>
      </c>
      <c r="V7347">
        <v>0.18754480000000001</v>
      </c>
      <c r="W7347">
        <v>4.7051519999999999E-2</v>
      </c>
      <c r="X7347">
        <v>0.98112849999999996</v>
      </c>
      <c r="Y7347">
        <v>0.38567459999999998</v>
      </c>
      <c r="Z7347">
        <v>-3.1469419999999998E-2</v>
      </c>
      <c r="AA7347">
        <v>0.92209799999999997</v>
      </c>
      <c r="AB7347">
        <v>31</v>
      </c>
      <c r="AC7347">
        <v>11.833699999999901</v>
      </c>
      <c r="AD7347">
        <v>-1.0974485701409999</v>
      </c>
      <c r="AE7347">
        <v>-2.9702999999999999</v>
      </c>
      <c r="AF7347">
        <v>4.7978339584862804</v>
      </c>
      <c r="AG7347">
        <v>-1.0974485701409999</v>
      </c>
      <c r="AH7347">
        <v>11.111258333913</v>
      </c>
      <c r="AI7347">
        <v>95.181227302113399</v>
      </c>
      <c r="AJ7347">
        <v>66.645345285139001</v>
      </c>
      <c r="AK7347">
        <v>12.152516851264201</v>
      </c>
      <c r="AL7347">
        <v>87.303150833425704</v>
      </c>
      <c r="AM7347">
        <v>79.178334364381499</v>
      </c>
      <c r="AN7347">
        <v>1.0000000155268001</v>
      </c>
    </row>
    <row r="7348" spans="1:40" x14ac:dyDescent="0.25">
      <c r="A7348" t="str">
        <f>"20190312151207383"</f>
        <v>20190312151207383</v>
      </c>
      <c r="B7348" t="str">
        <f>"1552374727378323"</f>
        <v>1552374727378323</v>
      </c>
      <c r="C7348" t="s">
        <v>40</v>
      </c>
      <c r="D7348">
        <v>5.2089679999999996</v>
      </c>
      <c r="E7348">
        <v>0.57917019999999997</v>
      </c>
      <c r="F7348" t="s">
        <v>42</v>
      </c>
      <c r="G7348">
        <v>-154.5206</v>
      </c>
      <c r="H7348" s="1">
        <v>-2.5057079999999998E-6</v>
      </c>
      <c r="I7348">
        <v>138.64230000000001</v>
      </c>
      <c r="J7348">
        <v>-165.9196</v>
      </c>
      <c r="K7348">
        <v>1.0977749999999999</v>
      </c>
      <c r="L7348">
        <v>141.56139999999999</v>
      </c>
      <c r="M7348">
        <v>0.98893940000000002</v>
      </c>
      <c r="N7348">
        <v>0</v>
      </c>
      <c r="O7348">
        <v>0.14741969999999999</v>
      </c>
      <c r="P7348">
        <v>0.99881240000000004</v>
      </c>
      <c r="Q7348">
        <v>3.5980659999999998E-2</v>
      </c>
      <c r="R7348">
        <v>-3.2855080000000002E-2</v>
      </c>
      <c r="S7348">
        <v>2.9944920000000002</v>
      </c>
      <c r="T7348">
        <v>-0.2803795</v>
      </c>
      <c r="U7348">
        <v>-0.73573299999999997</v>
      </c>
      <c r="V7348">
        <v>0.1812288</v>
      </c>
      <c r="W7348">
        <v>4.6653319999999998E-2</v>
      </c>
      <c r="X7348">
        <v>0.98233369999999998</v>
      </c>
      <c r="Y7348">
        <v>0.37699270000000001</v>
      </c>
      <c r="Z7348">
        <v>-3.0952250000000001E-2</v>
      </c>
      <c r="AA7348">
        <v>0.92569889999999999</v>
      </c>
      <c r="AB7348">
        <v>31</v>
      </c>
      <c r="AC7348">
        <v>11.398999999999999</v>
      </c>
      <c r="AD7348">
        <v>-1.0977775057079999</v>
      </c>
      <c r="AE7348">
        <v>-2.9190999999999798</v>
      </c>
      <c r="AF7348">
        <v>4.5284436789210298</v>
      </c>
      <c r="AG7348">
        <v>-1.0977775057079999</v>
      </c>
      <c r="AH7348">
        <v>10.750461329646599</v>
      </c>
      <c r="AI7348">
        <v>95.376057574513894</v>
      </c>
      <c r="AJ7348">
        <v>67.1575927058811</v>
      </c>
      <c r="AK7348">
        <v>11.716839864290399</v>
      </c>
      <c r="AL7348">
        <v>87.325990931144602</v>
      </c>
      <c r="AM7348">
        <v>79.547147962130595</v>
      </c>
      <c r="AN7348">
        <v>0.99999995418607501</v>
      </c>
    </row>
    <row r="7349" spans="1:40" x14ac:dyDescent="0.25">
      <c r="A7349" t="str">
        <f>"20190312151207405"</f>
        <v>20190312151207405</v>
      </c>
      <c r="B7349" t="str">
        <f>"1552374727398818"</f>
        <v>1552374727398818</v>
      </c>
      <c r="C7349" t="s">
        <v>40</v>
      </c>
      <c r="D7349">
        <v>5.0971929999999999</v>
      </c>
      <c r="E7349">
        <v>0.57164879999999996</v>
      </c>
      <c r="F7349" t="s">
        <v>42</v>
      </c>
      <c r="G7349">
        <v>-154.7775</v>
      </c>
      <c r="H7349" s="1">
        <v>-2.3709800000000001E-6</v>
      </c>
      <c r="I7349">
        <v>138.78049999999999</v>
      </c>
      <c r="J7349">
        <v>-165.60640000000001</v>
      </c>
      <c r="K7349">
        <v>1.098096</v>
      </c>
      <c r="L7349">
        <v>141.59559999999999</v>
      </c>
      <c r="M7349">
        <v>0.99077599999999999</v>
      </c>
      <c r="N7349">
        <v>0</v>
      </c>
      <c r="O7349">
        <v>0.1345326</v>
      </c>
      <c r="P7349">
        <v>0.99859719999999996</v>
      </c>
      <c r="Q7349">
        <v>3.5393620000000001E-2</v>
      </c>
      <c r="R7349">
        <v>-3.9384349999999999E-2</v>
      </c>
      <c r="S7349">
        <v>2.9896389999999999</v>
      </c>
      <c r="T7349">
        <v>-0.2945526</v>
      </c>
      <c r="U7349">
        <v>-0.74613949999999996</v>
      </c>
      <c r="V7349">
        <v>0.17480519999999999</v>
      </c>
      <c r="W7349">
        <v>4.6330860000000001E-2</v>
      </c>
      <c r="X7349">
        <v>0.98351239999999995</v>
      </c>
      <c r="Y7349">
        <v>0.36818329999999999</v>
      </c>
      <c r="Z7349">
        <v>-3.0872799999999999E-2</v>
      </c>
      <c r="AA7349">
        <v>0.92924050000000002</v>
      </c>
      <c r="AB7349">
        <v>31</v>
      </c>
      <c r="AC7349">
        <v>10.828900000000001</v>
      </c>
      <c r="AD7349">
        <v>-1.0980983709799901</v>
      </c>
      <c r="AE7349">
        <v>-2.8151000000000002</v>
      </c>
      <c r="AF7349">
        <v>4.20602184218935</v>
      </c>
      <c r="AG7349">
        <v>-1.0980983709799901</v>
      </c>
      <c r="AH7349">
        <v>10.252902242405399</v>
      </c>
      <c r="AI7349">
        <v>95.658834992929897</v>
      </c>
      <c r="AJ7349">
        <v>67.695215693581702</v>
      </c>
      <c r="AK7349">
        <v>11.136356862172001</v>
      </c>
      <c r="AL7349">
        <v>87.3444867140458</v>
      </c>
      <c r="AM7349">
        <v>79.9217427106895</v>
      </c>
      <c r="AN7349">
        <v>1.0000000237445601</v>
      </c>
    </row>
    <row r="7350" spans="1:40" x14ac:dyDescent="0.25">
      <c r="A7350" t="str">
        <f>"20190312151207428"</f>
        <v>20190312151207428</v>
      </c>
      <c r="B7350" t="str">
        <f>"1552374727418339"</f>
        <v>1552374727418339</v>
      </c>
      <c r="C7350" t="s">
        <v>40</v>
      </c>
      <c r="D7350">
        <v>5.1033999999999997</v>
      </c>
      <c r="E7350">
        <v>0.57090509999999905</v>
      </c>
      <c r="F7350" t="s">
        <v>42</v>
      </c>
      <c r="G7350">
        <v>-156.74010000000001</v>
      </c>
      <c r="H7350" s="1">
        <v>-1.4023399999999999E-6</v>
      </c>
      <c r="I7350">
        <v>139.49469999999999</v>
      </c>
      <c r="J7350">
        <v>-165.2876</v>
      </c>
      <c r="K7350">
        <v>1.09842</v>
      </c>
      <c r="L7350">
        <v>141.62639999999999</v>
      </c>
      <c r="M7350">
        <v>0.99242980000000003</v>
      </c>
      <c r="N7350">
        <v>0</v>
      </c>
      <c r="O7350">
        <v>0.121744</v>
      </c>
      <c r="P7350">
        <v>0.99833269999999996</v>
      </c>
      <c r="Q7350">
        <v>3.5505099999999998E-2</v>
      </c>
      <c r="R7350">
        <v>-4.551177E-2</v>
      </c>
      <c r="S7350">
        <v>2.9894099999999999</v>
      </c>
      <c r="T7350">
        <v>-0.37024020000000002</v>
      </c>
      <c r="U7350">
        <v>-0.70834350000000001</v>
      </c>
      <c r="V7350">
        <v>0.1681155</v>
      </c>
      <c r="W7350">
        <v>4.6708109999999997E-2</v>
      </c>
      <c r="X7350">
        <v>0.98466010000000004</v>
      </c>
      <c r="Y7350">
        <v>0.34393940000000001</v>
      </c>
      <c r="Z7350">
        <v>-3.5775830000000002E-2</v>
      </c>
      <c r="AA7350">
        <v>0.93831010000000004</v>
      </c>
      <c r="AB7350">
        <v>31</v>
      </c>
      <c r="AC7350">
        <v>8.5474999999999799</v>
      </c>
      <c r="AD7350">
        <v>-1.0984214023400001</v>
      </c>
      <c r="AE7350">
        <v>-2.1316999999999902</v>
      </c>
      <c r="AF7350">
        <v>3.10825723441098</v>
      </c>
      <c r="AG7350">
        <v>-1.0984214023400001</v>
      </c>
      <c r="AH7350">
        <v>8.0984387017618609</v>
      </c>
      <c r="AI7350">
        <v>97.216801052507506</v>
      </c>
      <c r="AJ7350">
        <v>69.002726314672302</v>
      </c>
      <c r="AK7350">
        <v>8.7437121417954398</v>
      </c>
      <c r="AL7350">
        <v>87.322848367143607</v>
      </c>
      <c r="AM7350">
        <v>80.311055126942804</v>
      </c>
      <c r="AN7350">
        <v>0.99999999070601597</v>
      </c>
    </row>
    <row r="7351" spans="1:40" x14ac:dyDescent="0.25">
      <c r="A7351" t="str">
        <f>"20190312151207451"</f>
        <v>20190312151207451</v>
      </c>
      <c r="B7351" t="str">
        <f>"1552374727438835"</f>
        <v>1552374727438835</v>
      </c>
      <c r="C7351" t="s">
        <v>40</v>
      </c>
      <c r="D7351">
        <v>5.1425609999999997</v>
      </c>
      <c r="E7351">
        <v>0.57023359999999901</v>
      </c>
      <c r="F7351" t="s">
        <v>42</v>
      </c>
      <c r="G7351">
        <v>-155.5652</v>
      </c>
      <c r="H7351" s="1">
        <v>-1.9438610000000001E-6</v>
      </c>
      <c r="I7351">
        <v>139.2833</v>
      </c>
      <c r="J7351">
        <v>-164.9649</v>
      </c>
      <c r="K7351">
        <v>1.09877</v>
      </c>
      <c r="L7351">
        <v>141.65369999999999</v>
      </c>
      <c r="M7351">
        <v>0.99389550000000004</v>
      </c>
      <c r="N7351">
        <v>0</v>
      </c>
      <c r="O7351">
        <v>0.1091463</v>
      </c>
      <c r="P7351">
        <v>0.998054</v>
      </c>
      <c r="Q7351">
        <v>3.5223030000000002E-2</v>
      </c>
      <c r="R7351">
        <v>-5.145682E-2</v>
      </c>
      <c r="S7351">
        <v>2.9842219999999999</v>
      </c>
      <c r="T7351">
        <v>-0.33715250000000002</v>
      </c>
      <c r="U7351">
        <v>-0.71919250000000001</v>
      </c>
      <c r="V7351">
        <v>0.16143740000000001</v>
      </c>
      <c r="W7351">
        <v>4.6685240000000003E-2</v>
      </c>
      <c r="X7351">
        <v>0.98577809999999999</v>
      </c>
      <c r="Y7351">
        <v>0.3363177</v>
      </c>
      <c r="Z7351">
        <v>-3.081621E-2</v>
      </c>
      <c r="AA7351">
        <v>0.94124419999999998</v>
      </c>
      <c r="AB7351">
        <v>31</v>
      </c>
      <c r="AC7351">
        <v>9.3996999999999904</v>
      </c>
      <c r="AD7351">
        <v>-1.098771943861</v>
      </c>
      <c r="AE7351">
        <v>-2.3703999999999801</v>
      </c>
      <c r="AF7351">
        <v>3.3394077841540302</v>
      </c>
      <c r="AG7351">
        <v>-1.098771943861</v>
      </c>
      <c r="AH7351">
        <v>8.9695406478485999</v>
      </c>
      <c r="AI7351">
        <v>96.549002174507905</v>
      </c>
      <c r="AJ7351">
        <v>69.579433026255103</v>
      </c>
      <c r="AK7351">
        <v>9.6338779090713391</v>
      </c>
      <c r="AL7351">
        <v>87.324160188495895</v>
      </c>
      <c r="AM7351">
        <v>80.699431389087707</v>
      </c>
      <c r="AN7351">
        <v>1.0000000040961099</v>
      </c>
    </row>
    <row r="7352" spans="1:40" x14ac:dyDescent="0.25">
      <c r="A7352" t="str">
        <f>"20190312151207472"</f>
        <v>20190312151207472</v>
      </c>
      <c r="B7352" t="str">
        <f>"1552374727469091"</f>
        <v>1552374727469091</v>
      </c>
      <c r="C7352" t="s">
        <v>40</v>
      </c>
      <c r="D7352">
        <v>5.0060750000000001</v>
      </c>
      <c r="E7352">
        <v>0.5381321</v>
      </c>
      <c r="F7352" t="s">
        <v>42</v>
      </c>
      <c r="G7352">
        <v>-155.06659999999999</v>
      </c>
      <c r="H7352" s="1">
        <v>-2.1678269999999999E-6</v>
      </c>
      <c r="I7352">
        <v>139.22669999999999</v>
      </c>
      <c r="J7352">
        <v>-164.65350000000001</v>
      </c>
      <c r="K7352">
        <v>1.099126</v>
      </c>
      <c r="L7352">
        <v>141.6763</v>
      </c>
      <c r="M7352">
        <v>0.99512219999999996</v>
      </c>
      <c r="N7352">
        <v>0</v>
      </c>
      <c r="O7352">
        <v>9.734102E-2</v>
      </c>
      <c r="P7352">
        <v>0.99777530000000003</v>
      </c>
      <c r="Q7352">
        <v>3.4794890000000002E-2</v>
      </c>
      <c r="R7352">
        <v>-5.6866E-2</v>
      </c>
      <c r="S7352">
        <v>2.9798580000000001</v>
      </c>
      <c r="T7352">
        <v>-0.33078089999999999</v>
      </c>
      <c r="U7352">
        <v>-0.73063659999999997</v>
      </c>
      <c r="V7352">
        <v>0.15502279999999999</v>
      </c>
      <c r="W7352">
        <v>4.6499470000000001E-2</v>
      </c>
      <c r="X7352">
        <v>0.98681589999999997</v>
      </c>
      <c r="Y7352">
        <v>0.3290747</v>
      </c>
      <c r="Z7352">
        <v>-2.858173E-2</v>
      </c>
      <c r="AA7352">
        <v>0.94387129999999997</v>
      </c>
      <c r="AB7352">
        <v>31</v>
      </c>
      <c r="AC7352">
        <v>9.5869000000000106</v>
      </c>
      <c r="AD7352">
        <v>-1.099128167827</v>
      </c>
      <c r="AE7352">
        <v>-2.4496000000000002</v>
      </c>
      <c r="AF7352">
        <v>3.3301918181009</v>
      </c>
      <c r="AG7352">
        <v>-1.099128167827</v>
      </c>
      <c r="AH7352">
        <v>9.1894963489041004</v>
      </c>
      <c r="AI7352">
        <v>96.416002137625895</v>
      </c>
      <c r="AJ7352">
        <v>70.079933657611505</v>
      </c>
      <c r="AK7352">
        <v>9.8359088762136597</v>
      </c>
      <c r="AL7352">
        <v>87.334815439360199</v>
      </c>
      <c r="AM7352">
        <v>81.072144997688099</v>
      </c>
      <c r="AN7352">
        <v>0.99999994486146304</v>
      </c>
    </row>
    <row r="7353" spans="1:40" x14ac:dyDescent="0.25">
      <c r="A7353" t="str">
        <f>"20190312151207494"</f>
        <v>20190312151207494</v>
      </c>
      <c r="B7353" t="str">
        <f>"1552374727488615"</f>
        <v>1552374727488615</v>
      </c>
      <c r="C7353" t="s">
        <v>40</v>
      </c>
      <c r="D7353">
        <v>5.008877</v>
      </c>
      <c r="E7353">
        <v>0.53525780000000001</v>
      </c>
      <c r="F7353" t="s">
        <v>42</v>
      </c>
      <c r="G7353">
        <v>-152.65459999999999</v>
      </c>
      <c r="H7353" s="1">
        <v>-3.160199E-6</v>
      </c>
      <c r="I7353">
        <v>139.7166</v>
      </c>
      <c r="J7353">
        <v>-164.3433</v>
      </c>
      <c r="K7353">
        <v>1.099507</v>
      </c>
      <c r="L7353">
        <v>141.69550000000001</v>
      </c>
      <c r="M7353">
        <v>0.99617250000000002</v>
      </c>
      <c r="N7353">
        <v>0</v>
      </c>
      <c r="O7353">
        <v>8.5945199999999999E-2</v>
      </c>
      <c r="P7353">
        <v>0.99750130000000004</v>
      </c>
      <c r="Q7353">
        <v>3.421656E-2</v>
      </c>
      <c r="R7353">
        <v>-6.1810900000000002E-2</v>
      </c>
      <c r="S7353">
        <v>2.9884339999999998</v>
      </c>
      <c r="T7353">
        <v>-0.27374730000000003</v>
      </c>
      <c r="U7353">
        <v>-0.48808289999999999</v>
      </c>
      <c r="V7353">
        <v>0.1485581</v>
      </c>
      <c r="W7353">
        <v>4.6159859999999997E-2</v>
      </c>
      <c r="X7353">
        <v>0.98782579999999998</v>
      </c>
      <c r="Y7353">
        <v>0.24407380000000001</v>
      </c>
      <c r="Z7353">
        <v>-1.8894850000000001E-2</v>
      </c>
      <c r="AA7353">
        <v>0.96957249999999995</v>
      </c>
      <c r="AB7353">
        <v>31</v>
      </c>
      <c r="AC7353">
        <v>11.688700000000001</v>
      </c>
      <c r="AD7353">
        <v>-1.0995101601989901</v>
      </c>
      <c r="AE7353">
        <v>-1.9789000000000101</v>
      </c>
      <c r="AF7353">
        <v>2.9509077546981599</v>
      </c>
      <c r="AG7353">
        <v>-1.0995101601989901</v>
      </c>
      <c r="AH7353">
        <v>11.3774731002054</v>
      </c>
      <c r="AI7353">
        <v>95.344129595629298</v>
      </c>
      <c r="AJ7353">
        <v>75.459917951519998</v>
      </c>
      <c r="AK7353">
        <v>11.805239231587599</v>
      </c>
      <c r="AL7353">
        <v>87.354294792827403</v>
      </c>
      <c r="AM7353">
        <v>81.447439964820106</v>
      </c>
      <c r="AN7353">
        <v>1.0000000264482301</v>
      </c>
    </row>
    <row r="7354" spans="1:40" x14ac:dyDescent="0.25">
      <c r="A7354" t="str">
        <f>"20190312151207517"</f>
        <v>20190312151207517</v>
      </c>
      <c r="B7354" t="str">
        <f>"1552374727509107"</f>
        <v>1552374727509107</v>
      </c>
      <c r="C7354" t="s">
        <v>40</v>
      </c>
      <c r="D7354">
        <v>4.9853449999999997</v>
      </c>
      <c r="E7354">
        <v>0.53363439999999995</v>
      </c>
      <c r="F7354" t="s">
        <v>42</v>
      </c>
      <c r="G7354">
        <v>-152.0386</v>
      </c>
      <c r="H7354" s="1">
        <v>-3.4255410000000001E-6</v>
      </c>
      <c r="I7354">
        <v>139.72069999999999</v>
      </c>
      <c r="J7354">
        <v>-164.02160000000001</v>
      </c>
      <c r="K7354">
        <v>1.0999190000000001</v>
      </c>
      <c r="L7354">
        <v>141.71199999999999</v>
      </c>
      <c r="M7354">
        <v>0.99709380000000003</v>
      </c>
      <c r="N7354">
        <v>0</v>
      </c>
      <c r="O7354">
        <v>7.4517440000000004E-2</v>
      </c>
      <c r="P7354">
        <v>0.99709409999999998</v>
      </c>
      <c r="Q7354">
        <v>3.5083250000000003E-2</v>
      </c>
      <c r="R7354">
        <v>-6.7621849999999997E-2</v>
      </c>
      <c r="S7354">
        <v>2.9869379999999999</v>
      </c>
      <c r="T7354">
        <v>-0.26690259999999999</v>
      </c>
      <c r="U7354">
        <v>-0.47938540000000002</v>
      </c>
      <c r="V7354">
        <v>0.14295559999999999</v>
      </c>
      <c r="W7354">
        <v>4.7235850000000003E-2</v>
      </c>
      <c r="X7354">
        <v>0.98860130000000002</v>
      </c>
      <c r="Y7354">
        <v>0.23042260000000001</v>
      </c>
      <c r="Z7354">
        <v>-1.6818900000000001E-2</v>
      </c>
      <c r="AA7354">
        <v>0.97294530000000001</v>
      </c>
      <c r="AB7354">
        <v>31</v>
      </c>
      <c r="AC7354">
        <v>11.983000000000001</v>
      </c>
      <c r="AD7354">
        <v>-1.0999224255410001</v>
      </c>
      <c r="AE7354">
        <v>-1.9913000000000201</v>
      </c>
      <c r="AF7354">
        <v>2.8554052709577999</v>
      </c>
      <c r="AG7354">
        <v>-1.0999224255410001</v>
      </c>
      <c r="AH7354">
        <v>11.705298074758501</v>
      </c>
      <c r="AI7354">
        <v>95.216126152799504</v>
      </c>
      <c r="AJ7354">
        <v>76.290939118053302</v>
      </c>
      <c r="AK7354">
        <v>12.0986433794276</v>
      </c>
      <c r="AL7354">
        <v>87.292577784996197</v>
      </c>
      <c r="AM7354">
        <v>81.771841745065103</v>
      </c>
      <c r="AN7354">
        <v>1.00000002972913</v>
      </c>
    </row>
    <row r="7355" spans="1:40" x14ac:dyDescent="0.25">
      <c r="A7355" t="str">
        <f>"20190312151207539"</f>
        <v>20190312151207539</v>
      </c>
      <c r="B7355" t="str">
        <f>"1552374727528627"</f>
        <v>1552374727528627</v>
      </c>
      <c r="C7355" t="s">
        <v>40</v>
      </c>
      <c r="D7355">
        <v>5.0286390000000001</v>
      </c>
      <c r="E7355">
        <v>0.53221859999999999</v>
      </c>
      <c r="F7355" t="s">
        <v>42</v>
      </c>
      <c r="G7355">
        <v>-151.26949999999999</v>
      </c>
      <c r="H7355" s="1">
        <v>-3.7361670000000001E-6</v>
      </c>
      <c r="I7355">
        <v>139.6481</v>
      </c>
      <c r="J7355">
        <v>-163.7148</v>
      </c>
      <c r="K7355">
        <v>1.1003270000000001</v>
      </c>
      <c r="L7355">
        <v>141.72450000000001</v>
      </c>
      <c r="M7355">
        <v>0.99782219999999999</v>
      </c>
      <c r="N7355">
        <v>0</v>
      </c>
      <c r="O7355">
        <v>6.4050339999999997E-2</v>
      </c>
      <c r="P7355">
        <v>0.99670300000000001</v>
      </c>
      <c r="Q7355">
        <v>3.6477059999999999E-2</v>
      </c>
      <c r="R7355">
        <v>-7.2476799999999994E-2</v>
      </c>
      <c r="S7355">
        <v>2.9850159999999999</v>
      </c>
      <c r="T7355">
        <v>-0.25746910000000001</v>
      </c>
      <c r="U7355">
        <v>-0.48312379999999999</v>
      </c>
      <c r="V7355">
        <v>0.13737489999999999</v>
      </c>
      <c r="W7355">
        <v>4.882761E-2</v>
      </c>
      <c r="X7355">
        <v>0.9893149</v>
      </c>
      <c r="Y7355">
        <v>0.22164159999999999</v>
      </c>
      <c r="Z7355">
        <v>-1.4963479999999999E-2</v>
      </c>
      <c r="AA7355">
        <v>0.97501340000000003</v>
      </c>
      <c r="AB7355">
        <v>31</v>
      </c>
      <c r="AC7355">
        <v>12.4453</v>
      </c>
      <c r="AD7355">
        <v>-1.1003307361669901</v>
      </c>
      <c r="AE7355">
        <v>-2.0764</v>
      </c>
      <c r="AF7355">
        <v>2.8477027183727399</v>
      </c>
      <c r="AG7355">
        <v>-1.1003307361669901</v>
      </c>
      <c r="AH7355">
        <v>12.193990688092899</v>
      </c>
      <c r="AI7355">
        <v>95.0217476730122</v>
      </c>
      <c r="AJ7355">
        <v>76.855113248806305</v>
      </c>
      <c r="AK7355">
        <v>12.570343965161699</v>
      </c>
      <c r="AL7355">
        <v>87.201271137688806</v>
      </c>
      <c r="AM7355">
        <v>82.094538862272501</v>
      </c>
      <c r="AN7355">
        <v>0.99999998500516496</v>
      </c>
    </row>
    <row r="7356" spans="1:40" x14ac:dyDescent="0.25">
      <c r="A7356" t="str">
        <f>"20190312151207561"</f>
        <v>20190312151207561</v>
      </c>
      <c r="B7356" t="str">
        <f>"1552374727558883"</f>
        <v>1552374727558883</v>
      </c>
      <c r="C7356" t="s">
        <v>40</v>
      </c>
      <c r="D7356">
        <v>5.0170909999999997</v>
      </c>
      <c r="E7356">
        <v>0.53111790000000003</v>
      </c>
      <c r="F7356" t="s">
        <v>42</v>
      </c>
      <c r="G7356">
        <v>-150.61080000000001</v>
      </c>
      <c r="H7356" s="1">
        <v>-4.0146429999999998E-6</v>
      </c>
      <c r="I7356">
        <v>139.59129999999999</v>
      </c>
      <c r="J7356">
        <v>-163.405</v>
      </c>
      <c r="K7356">
        <v>1.1007309999999999</v>
      </c>
      <c r="L7356">
        <v>141.73410000000001</v>
      </c>
      <c r="M7356">
        <v>0.99842359999999997</v>
      </c>
      <c r="N7356">
        <v>0</v>
      </c>
      <c r="O7356">
        <v>5.3890720000000003E-2</v>
      </c>
      <c r="P7356">
        <v>0.99639759999999999</v>
      </c>
      <c r="Q7356">
        <v>3.6074879999999997E-2</v>
      </c>
      <c r="R7356">
        <v>-7.675129E-2</v>
      </c>
      <c r="S7356">
        <v>2.9837799999999999</v>
      </c>
      <c r="T7356">
        <v>-0.25054569999999998</v>
      </c>
      <c r="U7356">
        <v>-0.48570249999999998</v>
      </c>
      <c r="V7356">
        <v>0.1314864</v>
      </c>
      <c r="W7356">
        <v>4.8622810000000002E-2</v>
      </c>
      <c r="X7356">
        <v>0.99012480000000003</v>
      </c>
      <c r="Y7356">
        <v>0.21271390000000001</v>
      </c>
      <c r="Z7356">
        <v>-1.334868E-2</v>
      </c>
      <c r="AA7356">
        <v>0.97702339999999999</v>
      </c>
      <c r="AB7356">
        <v>31</v>
      </c>
      <c r="AC7356">
        <v>12.794199999999901</v>
      </c>
      <c r="AD7356">
        <v>-1.1007350146429999</v>
      </c>
      <c r="AE7356">
        <v>-2.1428000000000198</v>
      </c>
      <c r="AF7356">
        <v>2.80903421452367</v>
      </c>
      <c r="AG7356">
        <v>-1.1007350146429999</v>
      </c>
      <c r="AH7356">
        <v>12.569612508365701</v>
      </c>
      <c r="AI7356">
        <v>94.884799550290694</v>
      </c>
      <c r="AJ7356">
        <v>77.402635499808994</v>
      </c>
      <c r="AK7356">
        <v>12.926617863977</v>
      </c>
      <c r="AL7356">
        <v>87.213019268545395</v>
      </c>
      <c r="AM7356">
        <v>82.435506307167898</v>
      </c>
      <c r="AN7356">
        <v>0.99999998530614798</v>
      </c>
    </row>
    <row r="7357" spans="1:40" x14ac:dyDescent="0.25">
      <c r="A7357" t="str">
        <f>"20190312151207584"</f>
        <v>20190312151207584</v>
      </c>
      <c r="B7357" t="str">
        <f>"1552374727578407"</f>
        <v>1552374727578407</v>
      </c>
      <c r="C7357" t="s">
        <v>40</v>
      </c>
      <c r="D7357">
        <v>5.0624710000000004</v>
      </c>
      <c r="E7357">
        <v>0.52974180000000004</v>
      </c>
      <c r="F7357" t="s">
        <v>42</v>
      </c>
      <c r="G7357">
        <v>-150.28190000000001</v>
      </c>
      <c r="H7357" s="1">
        <v>-4.1574539999999996E-6</v>
      </c>
      <c r="I7357">
        <v>139.58160000000001</v>
      </c>
      <c r="J7357">
        <v>-163.0873</v>
      </c>
      <c r="K7357">
        <v>1.101121</v>
      </c>
      <c r="L7357">
        <v>141.74100000000001</v>
      </c>
      <c r="M7357">
        <v>0.99891719999999895</v>
      </c>
      <c r="N7357">
        <v>0</v>
      </c>
      <c r="O7357">
        <v>4.3827350000000001E-2</v>
      </c>
      <c r="P7357">
        <v>0.99618490000000004</v>
      </c>
      <c r="Q7357">
        <v>3.410088E-2</v>
      </c>
      <c r="R7357">
        <v>-8.0328640000000007E-2</v>
      </c>
      <c r="S7357">
        <v>2.982208</v>
      </c>
      <c r="T7357">
        <v>-0.25013970000000002</v>
      </c>
      <c r="U7357">
        <v>-0.48912050000000001</v>
      </c>
      <c r="V7357">
        <v>0.1249729</v>
      </c>
      <c r="W7357">
        <v>4.6844799999999999E-2</v>
      </c>
      <c r="X7357">
        <v>0.99105359999999998</v>
      </c>
      <c r="Y7357">
        <v>0.20410030000000001</v>
      </c>
      <c r="Z7357">
        <v>-1.2136559999999999E-2</v>
      </c>
      <c r="AA7357">
        <v>0.97887469999999999</v>
      </c>
      <c r="AB7357">
        <v>31</v>
      </c>
      <c r="AC7357">
        <v>12.805399999999899</v>
      </c>
      <c r="AD7357">
        <v>-1.101125157454</v>
      </c>
      <c r="AE7357">
        <v>-2.1594000000000002</v>
      </c>
      <c r="AF7357">
        <v>2.6992132091935002</v>
      </c>
      <c r="AG7357">
        <v>-1.101125157454</v>
      </c>
      <c r="AH7357">
        <v>12.6077942493348</v>
      </c>
      <c r="AI7357">
        <v>94.881307104697001</v>
      </c>
      <c r="AJ7357">
        <v>77.915918858455697</v>
      </c>
      <c r="AK7357">
        <v>12.9404290653217</v>
      </c>
      <c r="AL7357">
        <v>87.315007914195107</v>
      </c>
      <c r="AM7357">
        <v>82.812877095437202</v>
      </c>
      <c r="AN7357">
        <v>0.99999994954720295</v>
      </c>
    </row>
    <row r="7358" spans="1:40" x14ac:dyDescent="0.25">
      <c r="A7358" t="str">
        <f>"20190312151207606"</f>
        <v>20190312151207606</v>
      </c>
      <c r="B7358" t="str">
        <f>"1552374727598899"</f>
        <v>1552374727598899</v>
      </c>
      <c r="C7358" t="s">
        <v>40</v>
      </c>
      <c r="D7358">
        <v>5.0663029999999996</v>
      </c>
      <c r="E7358">
        <v>0.52841969999999905</v>
      </c>
      <c r="F7358" t="s">
        <v>42</v>
      </c>
      <c r="G7358">
        <v>-150.19980000000001</v>
      </c>
      <c r="H7358" s="1">
        <v>-4.1895599999999901E-6</v>
      </c>
      <c r="I7358">
        <v>139.62739999999999</v>
      </c>
      <c r="J7358">
        <v>-162.76920000000001</v>
      </c>
      <c r="K7358">
        <v>1.1014930000000001</v>
      </c>
      <c r="L7358">
        <v>141.745</v>
      </c>
      <c r="M7358">
        <v>0.99929679999999999</v>
      </c>
      <c r="N7358">
        <v>0</v>
      </c>
      <c r="O7358">
        <v>3.4130290000000001E-2</v>
      </c>
      <c r="P7358">
        <v>0.99596759999999995</v>
      </c>
      <c r="Q7358">
        <v>3.3369139999999999E-2</v>
      </c>
      <c r="R7358">
        <v>-8.327698E-2</v>
      </c>
      <c r="S7358">
        <v>2.9807890000000001</v>
      </c>
      <c r="T7358">
        <v>-0.25468109999999999</v>
      </c>
      <c r="U7358">
        <v>-0.4888458</v>
      </c>
      <c r="V7358">
        <v>0.11822530000000001</v>
      </c>
      <c r="W7358">
        <v>4.6299890000000003E-2</v>
      </c>
      <c r="X7358">
        <v>0.99190679999999998</v>
      </c>
      <c r="Y7358">
        <v>0.19461419999999999</v>
      </c>
      <c r="Z7358">
        <v>-1.1137660000000001E-2</v>
      </c>
      <c r="AA7358">
        <v>0.98081660000000004</v>
      </c>
      <c r="AB7358">
        <v>31</v>
      </c>
      <c r="AC7358">
        <v>12.5694</v>
      </c>
      <c r="AD7358">
        <v>-1.1014971895600001</v>
      </c>
      <c r="AE7358">
        <v>-2.1176000000000101</v>
      </c>
      <c r="AF7358">
        <v>2.5265476256579298</v>
      </c>
      <c r="AG7358">
        <v>-1.1014971895600001</v>
      </c>
      <c r="AH7358">
        <v>12.397214376615899</v>
      </c>
      <c r="AI7358">
        <v>94.975668750920505</v>
      </c>
      <c r="AJ7358">
        <v>78.480892063946001</v>
      </c>
      <c r="AK7358">
        <v>12.699908002151</v>
      </c>
      <c r="AL7358">
        <v>87.346263009178102</v>
      </c>
      <c r="AM7358">
        <v>83.202985803990401</v>
      </c>
      <c r="AN7358">
        <v>1.0000000006301699</v>
      </c>
    </row>
    <row r="7359" spans="1:40" x14ac:dyDescent="0.25">
      <c r="A7359" t="str">
        <f>"20190312151207629"</f>
        <v>20190312151207629</v>
      </c>
      <c r="B7359" t="str">
        <f>"1552374727618419"</f>
        <v>1552374727618419</v>
      </c>
      <c r="C7359" t="s">
        <v>40</v>
      </c>
      <c r="D7359">
        <v>5.0734360000000001</v>
      </c>
      <c r="E7359">
        <v>0.52731980000000001</v>
      </c>
      <c r="F7359" t="s">
        <v>42</v>
      </c>
      <c r="G7359">
        <v>-150.04050000000001</v>
      </c>
      <c r="H7359" s="1">
        <v>-4.2676499999999997E-6</v>
      </c>
      <c r="I7359">
        <v>139.66409999999999</v>
      </c>
      <c r="J7359">
        <v>-162.46270000000001</v>
      </c>
      <c r="K7359">
        <v>1.101853</v>
      </c>
      <c r="L7359">
        <v>141.74639999999999</v>
      </c>
      <c r="M7359">
        <v>0.9995638</v>
      </c>
      <c r="N7359">
        <v>0</v>
      </c>
      <c r="O7359">
        <v>2.5166750000000002E-2</v>
      </c>
      <c r="P7359">
        <v>0.99570890000000001</v>
      </c>
      <c r="Q7359">
        <v>3.5094680000000003E-2</v>
      </c>
      <c r="R7359">
        <v>-8.562765E-2</v>
      </c>
      <c r="S7359">
        <v>2.980057</v>
      </c>
      <c r="T7359">
        <v>-0.25788250000000001</v>
      </c>
      <c r="U7359">
        <v>-0.48718260000000002</v>
      </c>
      <c r="V7359">
        <v>0.1116586</v>
      </c>
      <c r="W7359">
        <v>4.8196540000000003E-2</v>
      </c>
      <c r="X7359">
        <v>0.99257720000000005</v>
      </c>
      <c r="Y7359">
        <v>0.185361</v>
      </c>
      <c r="Z7359">
        <v>-1.0113459999999999E-2</v>
      </c>
      <c r="AA7359">
        <v>0.98261849999999995</v>
      </c>
      <c r="AB7359">
        <v>31</v>
      </c>
      <c r="AC7359">
        <v>12.4222</v>
      </c>
      <c r="AD7359">
        <v>-1.10185726765</v>
      </c>
      <c r="AE7359">
        <v>-2.0823</v>
      </c>
      <c r="AF7359">
        <v>2.3761201482284302</v>
      </c>
      <c r="AG7359">
        <v>-1.10185726765</v>
      </c>
      <c r="AH7359">
        <v>12.2719392121009</v>
      </c>
      <c r="AI7359">
        <v>95.037578250606899</v>
      </c>
      <c r="AJ7359">
        <v>79.041859694324003</v>
      </c>
      <c r="AK7359">
        <v>12.5483277141852</v>
      </c>
      <c r="AL7359">
        <v>87.237471515707099</v>
      </c>
      <c r="AM7359">
        <v>83.581574382839193</v>
      </c>
      <c r="AN7359">
        <v>1.0000000236908799</v>
      </c>
    </row>
    <row r="7360" spans="1:40" x14ac:dyDescent="0.25">
      <c r="A7360" t="str">
        <f>"20190312151207651"</f>
        <v>20190312151207651</v>
      </c>
      <c r="B7360" t="str">
        <f>"1552374727648676"</f>
        <v>1552374727648676</v>
      </c>
      <c r="C7360" t="s">
        <v>40</v>
      </c>
      <c r="D7360">
        <v>5.0817740000000002</v>
      </c>
      <c r="E7360">
        <v>0.5260087</v>
      </c>
      <c r="F7360" t="s">
        <v>42</v>
      </c>
      <c r="G7360">
        <v>-149.14439999999999</v>
      </c>
      <c r="H7360" s="1">
        <v>-3.5599050000000001E-7</v>
      </c>
      <c r="I7360">
        <v>139.5789</v>
      </c>
      <c r="J7360">
        <v>-162.14510000000001</v>
      </c>
      <c r="K7360">
        <v>1.1022419999999999</v>
      </c>
      <c r="L7360">
        <v>141.74520000000001</v>
      </c>
      <c r="M7360">
        <v>0.99974909999999995</v>
      </c>
      <c r="N7360">
        <v>0</v>
      </c>
      <c r="O7360">
        <v>1.6287119999999999E-2</v>
      </c>
      <c r="P7360">
        <v>0.99548340000000002</v>
      </c>
      <c r="Q7360">
        <v>3.6022930000000002E-2</v>
      </c>
      <c r="R7360">
        <v>-8.7837479999999996E-2</v>
      </c>
      <c r="S7360">
        <v>2.9799349999999998</v>
      </c>
      <c r="T7360">
        <v>-0.24653549999999999</v>
      </c>
      <c r="U7360">
        <v>-0.48495480000000002</v>
      </c>
      <c r="V7360">
        <v>0.1050117</v>
      </c>
      <c r="W7360">
        <v>4.928863E-2</v>
      </c>
      <c r="X7360">
        <v>0.99324880000000004</v>
      </c>
      <c r="Y7360">
        <v>0.17604259999999999</v>
      </c>
      <c r="Z7360">
        <v>-8.5594529999999999E-3</v>
      </c>
      <c r="AA7360">
        <v>0.98434529999999998</v>
      </c>
      <c r="AB7360">
        <v>31</v>
      </c>
      <c r="AC7360">
        <v>13.0007</v>
      </c>
      <c r="AD7360">
        <v>-1.1022423559904999</v>
      </c>
      <c r="AE7360">
        <v>-2.1663000000000001</v>
      </c>
      <c r="AF7360">
        <v>2.3612668438701601</v>
      </c>
      <c r="AG7360">
        <v>-1.1022423559904999</v>
      </c>
      <c r="AH7360">
        <v>12.873649633555999</v>
      </c>
      <c r="AI7360">
        <v>94.813814268903897</v>
      </c>
      <c r="AJ7360">
        <v>79.606415480243598</v>
      </c>
      <c r="AK7360">
        <v>13.1347392135077</v>
      </c>
      <c r="AL7360">
        <v>87.174824842720895</v>
      </c>
      <c r="AM7360">
        <v>83.964796841674001</v>
      </c>
      <c r="AN7360">
        <v>1.0000000024428</v>
      </c>
    </row>
    <row r="7361" spans="1:40" x14ac:dyDescent="0.25">
      <c r="A7361" t="str">
        <f>"20190312151207675"</f>
        <v>20190312151207675</v>
      </c>
      <c r="B7361" t="str">
        <f>"1552374727668195"</f>
        <v>1552374727668195</v>
      </c>
      <c r="C7361" t="s">
        <v>40</v>
      </c>
      <c r="D7361">
        <v>5.1187110000000002</v>
      </c>
      <c r="E7361">
        <v>0.52522999999999997</v>
      </c>
      <c r="F7361" t="s">
        <v>42</v>
      </c>
      <c r="G7361">
        <v>-148.8304</v>
      </c>
      <c r="H7361" s="1">
        <v>-4.8739890000000002E-7</v>
      </c>
      <c r="I7361">
        <v>139.59729999999999</v>
      </c>
      <c r="J7361">
        <v>-161.82050000000001</v>
      </c>
      <c r="K7361">
        <v>1.1026579999999999</v>
      </c>
      <c r="L7361">
        <v>141.74160000000001</v>
      </c>
      <c r="M7361">
        <v>0.99985369999999996</v>
      </c>
      <c r="N7361">
        <v>0</v>
      </c>
      <c r="O7361">
        <v>7.64226199999999E-3</v>
      </c>
      <c r="P7361">
        <v>0.9953166</v>
      </c>
      <c r="Q7361">
        <v>3.5639400000000002E-2</v>
      </c>
      <c r="R7361">
        <v>-8.9859419999999995E-2</v>
      </c>
      <c r="S7361">
        <v>2.9801329999999999</v>
      </c>
      <c r="T7361">
        <v>-0.24670729999999999</v>
      </c>
      <c r="U7361">
        <v>-0.48074339999999999</v>
      </c>
      <c r="V7361">
        <v>9.8379649999999999E-2</v>
      </c>
      <c r="W7361">
        <v>4.9061929999999997E-2</v>
      </c>
      <c r="X7361">
        <v>0.99393880000000001</v>
      </c>
      <c r="Y7361">
        <v>0.16621839999999999</v>
      </c>
      <c r="Z7361">
        <v>-7.4521780000000003E-3</v>
      </c>
      <c r="AA7361">
        <v>0.98606079999999996</v>
      </c>
      <c r="AB7361">
        <v>31</v>
      </c>
      <c r="AC7361">
        <v>12.9901</v>
      </c>
      <c r="AD7361">
        <v>-1.1026584873988901</v>
      </c>
      <c r="AE7361">
        <v>-2.1443000000000101</v>
      </c>
      <c r="AF7361">
        <v>2.2278957146106602</v>
      </c>
      <c r="AG7361">
        <v>-1.1026584873988901</v>
      </c>
      <c r="AH7361">
        <v>12.882966951257901</v>
      </c>
      <c r="AI7361">
        <v>94.820836740989094</v>
      </c>
      <c r="AJ7361">
        <v>80.188681761858007</v>
      </c>
      <c r="AK7361">
        <v>13.1206025975264</v>
      </c>
      <c r="AL7361">
        <v>87.187829475671293</v>
      </c>
      <c r="AM7361">
        <v>84.347299295066904</v>
      </c>
      <c r="AN7361">
        <v>0.999999983327443</v>
      </c>
    </row>
    <row r="7362" spans="1:40" x14ac:dyDescent="0.25">
      <c r="A7362" t="str">
        <f>"20190312151207698"</f>
        <v>20190312151207698</v>
      </c>
      <c r="B7362" t="str">
        <f>"1552374727688691"</f>
        <v>1552374727688691</v>
      </c>
      <c r="C7362" t="s">
        <v>40</v>
      </c>
      <c r="D7362">
        <v>5.0760569999999996</v>
      </c>
      <c r="E7362">
        <v>0.52452349999999903</v>
      </c>
      <c r="F7362" t="s">
        <v>41</v>
      </c>
      <c r="G7362">
        <v>-161.04300000000001</v>
      </c>
      <c r="H7362">
        <v>1.0373920000000001</v>
      </c>
      <c r="I7362">
        <v>141.61619999999999</v>
      </c>
      <c r="J7362">
        <v>-161.50129999999999</v>
      </c>
      <c r="K7362">
        <v>1.1030799999999901</v>
      </c>
      <c r="L7362">
        <v>141.73570000000001</v>
      </c>
      <c r="M7362">
        <v>0.99988390000000005</v>
      </c>
      <c r="N7362">
        <v>0</v>
      </c>
      <c r="O7362">
        <v>-4.236612E-4</v>
      </c>
      <c r="P7362">
        <v>0.99517219999999995</v>
      </c>
      <c r="Q7362">
        <v>3.5760590000000002E-2</v>
      </c>
      <c r="R7362">
        <v>-9.1397889999999996E-2</v>
      </c>
      <c r="S7362">
        <v>2.9797210000000001</v>
      </c>
      <c r="T7362">
        <v>-0.25001240000000002</v>
      </c>
      <c r="U7362">
        <v>-0.48028559999999998</v>
      </c>
      <c r="V7362">
        <v>9.1844750000000003E-2</v>
      </c>
      <c r="W7362">
        <v>4.9329110000000002E-2</v>
      </c>
      <c r="X7362">
        <v>0.99455079999999996</v>
      </c>
      <c r="Y7362">
        <v>0.15817220000000001</v>
      </c>
      <c r="Z7362">
        <v>-6.5465369999999998E-3</v>
      </c>
      <c r="AA7362">
        <v>0.98738990000000004</v>
      </c>
      <c r="AB7362">
        <v>31</v>
      </c>
      <c r="AC7362">
        <v>0.45829999999998</v>
      </c>
      <c r="AD7362">
        <v>-6.5687999999999705E-2</v>
      </c>
      <c r="AE7362">
        <v>-0.119500000000016</v>
      </c>
      <c r="AF7362">
        <v>0.11705419509298801</v>
      </c>
      <c r="AG7362">
        <v>-6.5687999999999705E-2</v>
      </c>
      <c r="AH7362">
        <v>0.449700336269929</v>
      </c>
      <c r="AI7362">
        <v>98.0460372722617</v>
      </c>
      <c r="AJ7362">
        <v>75.410019026715702</v>
      </c>
      <c r="AK7362">
        <v>0.46930479474873799</v>
      </c>
      <c r="AL7362">
        <v>87.172502837785103</v>
      </c>
      <c r="AM7362">
        <v>84.723815660647006</v>
      </c>
      <c r="AN7362">
        <v>1.00000005648829</v>
      </c>
    </row>
    <row r="7363" spans="1:40" x14ac:dyDescent="0.25">
      <c r="A7363" t="str">
        <f>"20190312151207719"</f>
        <v>20190312151207719</v>
      </c>
      <c r="B7363" t="str">
        <f>"1552374727708211"</f>
        <v>1552374727708211</v>
      </c>
      <c r="C7363" t="s">
        <v>40</v>
      </c>
      <c r="D7363">
        <v>5.0707370000000003</v>
      </c>
      <c r="E7363">
        <v>0.52389739999999996</v>
      </c>
      <c r="F7363" t="s">
        <v>41</v>
      </c>
      <c r="G7363">
        <v>-160.50239999999999</v>
      </c>
      <c r="H7363">
        <v>1.0184500000000001</v>
      </c>
      <c r="I7363">
        <v>141.57480000000001</v>
      </c>
      <c r="J7363">
        <v>-161.19909999999999</v>
      </c>
      <c r="K7363">
        <v>1.103488</v>
      </c>
      <c r="L7363">
        <v>141.72799999999901</v>
      </c>
      <c r="M7363">
        <v>0.99985630000000003</v>
      </c>
      <c r="N7363">
        <v>0</v>
      </c>
      <c r="O7363">
        <v>-7.6043869999999998E-3</v>
      </c>
      <c r="P7363">
        <v>0.9950234</v>
      </c>
      <c r="Q7363">
        <v>3.6021780000000003E-2</v>
      </c>
      <c r="R7363">
        <v>-9.2903630000000001E-2</v>
      </c>
      <c r="S7363">
        <v>2.979568</v>
      </c>
      <c r="T7363">
        <v>-0.2524054</v>
      </c>
      <c r="U7363">
        <v>-0.47962949999999999</v>
      </c>
      <c r="V7363">
        <v>8.6158719999999994E-2</v>
      </c>
      <c r="W7363">
        <v>4.9709639999999999E-2</v>
      </c>
      <c r="X7363">
        <v>0.99504049999999999</v>
      </c>
      <c r="Y7363">
        <v>0.15091350000000001</v>
      </c>
      <c r="Z7363">
        <v>-5.7011659999999997E-3</v>
      </c>
      <c r="AA7363">
        <v>0.98853049999999998</v>
      </c>
      <c r="AB7363">
        <v>31</v>
      </c>
      <c r="AC7363">
        <v>0.69669999999999199</v>
      </c>
      <c r="AD7363">
        <v>-8.5037999999999905E-2</v>
      </c>
      <c r="AE7363">
        <v>-0.153199999999969</v>
      </c>
      <c r="AF7363">
        <v>0.14582466024173399</v>
      </c>
      <c r="AG7363">
        <v>-8.5037999999999905E-2</v>
      </c>
      <c r="AH7363">
        <v>0.688066810949019</v>
      </c>
      <c r="AI7363">
        <v>96.893844972930097</v>
      </c>
      <c r="AJ7363">
        <v>78.034139823541906</v>
      </c>
      <c r="AK7363">
        <v>0.70847175618239699</v>
      </c>
      <c r="AL7363">
        <v>87.150673090733207</v>
      </c>
      <c r="AM7363">
        <v>85.051207463192995</v>
      </c>
      <c r="AN7363">
        <v>0.99999998499060805</v>
      </c>
    </row>
    <row r="7364" spans="1:40" x14ac:dyDescent="0.25">
      <c r="A7364" t="str">
        <f>"20190312151207747"</f>
        <v>20190312151207747</v>
      </c>
      <c r="B7364" t="str">
        <f>"1552374727738468"</f>
        <v>1552374727738468</v>
      </c>
      <c r="C7364" t="s">
        <v>40</v>
      </c>
      <c r="D7364">
        <v>5.0948589999999996</v>
      </c>
      <c r="E7364">
        <v>0.5230321</v>
      </c>
      <c r="F7364" t="s">
        <v>41</v>
      </c>
      <c r="G7364">
        <v>-160.22579999999999</v>
      </c>
      <c r="H7364">
        <v>1.0202719999999901</v>
      </c>
      <c r="I7364">
        <v>141.57140000000001</v>
      </c>
      <c r="J7364">
        <v>-160.82380000000001</v>
      </c>
      <c r="K7364">
        <v>1.1039509999999999</v>
      </c>
      <c r="L7364">
        <v>141.7159</v>
      </c>
      <c r="M7364">
        <v>0.99975780000000003</v>
      </c>
      <c r="N7364">
        <v>0</v>
      </c>
      <c r="O7364">
        <v>-1.60345E-2</v>
      </c>
      <c r="P7364">
        <v>0.99470199999999998</v>
      </c>
      <c r="Q7364">
        <v>3.7075169999999998E-2</v>
      </c>
      <c r="R7364">
        <v>-9.588315E-2</v>
      </c>
      <c r="S7364">
        <v>2.9794770000000002</v>
      </c>
      <c r="T7364">
        <v>-0.25476290000000001</v>
      </c>
      <c r="U7364">
        <v>-0.4792786</v>
      </c>
      <c r="V7364">
        <v>8.0706410000000006E-2</v>
      </c>
      <c r="W7364">
        <v>5.0866410000000001E-2</v>
      </c>
      <c r="X7364">
        <v>0.99543910000000002</v>
      </c>
      <c r="Y7364">
        <v>0.14251549999999999</v>
      </c>
      <c r="Z7364">
        <v>-4.6836959999999898E-3</v>
      </c>
      <c r="AA7364">
        <v>0.98978149999999998</v>
      </c>
      <c r="AB7364">
        <v>31</v>
      </c>
      <c r="AC7364">
        <v>0.59800000000001297</v>
      </c>
      <c r="AD7364">
        <v>-8.3679000000000198E-2</v>
      </c>
      <c r="AE7364">
        <v>-0.144499999999993</v>
      </c>
      <c r="AF7364">
        <v>0.13244145545035099</v>
      </c>
      <c r="AG7364">
        <v>-8.3679000000000198E-2</v>
      </c>
      <c r="AH7364">
        <v>0.58933727510717104</v>
      </c>
      <c r="AI7364">
        <v>97.887167705800294</v>
      </c>
      <c r="AJ7364">
        <v>77.334370520292694</v>
      </c>
      <c r="AK7364">
        <v>0.60980434402646999</v>
      </c>
      <c r="AL7364">
        <v>87.084311007345605</v>
      </c>
      <c r="AM7364">
        <v>85.364814958631101</v>
      </c>
      <c r="AN7364">
        <v>0.99999995904509198</v>
      </c>
    </row>
    <row r="7365" spans="1:40" x14ac:dyDescent="0.25">
      <c r="A7365" t="str">
        <f>"20190312151207768"</f>
        <v>20190312151207768</v>
      </c>
      <c r="B7365" t="str">
        <f>"1552374727758963"</f>
        <v>1552374727758963</v>
      </c>
      <c r="C7365" t="s">
        <v>40</v>
      </c>
      <c r="D7365">
        <v>5.2615089999999904</v>
      </c>
      <c r="E7365">
        <v>0.52251669999999995</v>
      </c>
      <c r="F7365" t="s">
        <v>41</v>
      </c>
      <c r="G7365">
        <v>-159.9451</v>
      </c>
      <c r="H7365">
        <v>1.0308660000000001</v>
      </c>
      <c r="I7365">
        <v>141.57390000000001</v>
      </c>
      <c r="J7365">
        <v>-160.52869999999999</v>
      </c>
      <c r="K7365">
        <v>1.1042829999999999</v>
      </c>
      <c r="L7365">
        <v>141.7046</v>
      </c>
      <c r="M7365">
        <v>0.99963860000000004</v>
      </c>
      <c r="N7365">
        <v>0</v>
      </c>
      <c r="O7365">
        <v>-2.2297890000000001E-2</v>
      </c>
      <c r="P7365">
        <v>0.99461630000000001</v>
      </c>
      <c r="Q7365">
        <v>3.8119769999999997E-2</v>
      </c>
      <c r="R7365">
        <v>-9.6361799999999997E-2</v>
      </c>
      <c r="S7365">
        <v>2.978882</v>
      </c>
      <c r="T7365">
        <v>-0.24768480000000001</v>
      </c>
      <c r="U7365">
        <v>-0.48074339999999999</v>
      </c>
      <c r="V7365">
        <v>7.4919589999999994E-2</v>
      </c>
      <c r="W7365">
        <v>5.2005490000000001E-2</v>
      </c>
      <c r="X7365">
        <v>0.99583259999999996</v>
      </c>
      <c r="Y7365">
        <v>0.13688220000000001</v>
      </c>
      <c r="Z7365">
        <v>-3.8062930000000001E-3</v>
      </c>
      <c r="AA7365">
        <v>0.99058000000000002</v>
      </c>
      <c r="AB7365">
        <v>31</v>
      </c>
      <c r="AC7365">
        <v>0.58359999999998902</v>
      </c>
      <c r="AD7365">
        <v>-7.3416999999999802E-2</v>
      </c>
      <c r="AE7365">
        <v>-0.13069999999998999</v>
      </c>
      <c r="AF7365">
        <v>0.115906290313434</v>
      </c>
      <c r="AG7365">
        <v>-7.3416999999999802E-2</v>
      </c>
      <c r="AH7365">
        <v>0.577664215944662</v>
      </c>
      <c r="AI7365">
        <v>97.102973726811399</v>
      </c>
      <c r="AJ7365">
        <v>78.654456137901406</v>
      </c>
      <c r="AK7365">
        <v>0.59373417486799895</v>
      </c>
      <c r="AL7365">
        <v>87.018960265460095</v>
      </c>
      <c r="AM7365">
        <v>85.697565021917796</v>
      </c>
      <c r="AN7365">
        <v>1.00000004158933</v>
      </c>
    </row>
    <row r="7366" spans="1:40" x14ac:dyDescent="0.25">
      <c r="A7366" t="str">
        <f>"20190312151207788"</f>
        <v>20190312151207788</v>
      </c>
      <c r="B7366" t="str">
        <f>"1552374727778483"</f>
        <v>1552374727778483</v>
      </c>
      <c r="C7366" t="s">
        <v>40</v>
      </c>
      <c r="D7366">
        <v>5.2109379999999996</v>
      </c>
      <c r="E7366">
        <v>0.522231</v>
      </c>
      <c r="F7366" t="s">
        <v>41</v>
      </c>
      <c r="G7366">
        <v>-159.6688</v>
      </c>
      <c r="H7366">
        <v>1.033377</v>
      </c>
      <c r="I7366">
        <v>141.5668</v>
      </c>
      <c r="J7366">
        <v>-160.25149999999999</v>
      </c>
      <c r="K7366">
        <v>1.1045959999999999</v>
      </c>
      <c r="L7366">
        <v>141.6925</v>
      </c>
      <c r="M7366">
        <v>0.9994999</v>
      </c>
      <c r="N7366">
        <v>0</v>
      </c>
      <c r="O7366">
        <v>-2.7856519999999999E-2</v>
      </c>
      <c r="P7366">
        <v>0.99462099999999998</v>
      </c>
      <c r="Q7366">
        <v>3.8082030000000003E-2</v>
      </c>
      <c r="R7366">
        <v>-9.6327889999999999E-2</v>
      </c>
      <c r="S7366">
        <v>2.9794010000000002</v>
      </c>
      <c r="T7366">
        <v>-0.24561949999999999</v>
      </c>
      <c r="U7366">
        <v>-0.47731020000000002</v>
      </c>
      <c r="V7366">
        <v>6.9304229999999994E-2</v>
      </c>
      <c r="W7366">
        <v>5.205311E-2</v>
      </c>
      <c r="X7366">
        <v>0.99623660000000003</v>
      </c>
      <c r="Y7366">
        <v>0.1302777</v>
      </c>
      <c r="Z7366">
        <v>-3.0502049999999998E-3</v>
      </c>
      <c r="AA7366">
        <v>0.99147280000000004</v>
      </c>
      <c r="AB7366">
        <v>31</v>
      </c>
      <c r="AC7366">
        <v>0.58269999999998801</v>
      </c>
      <c r="AD7366">
        <v>-7.1218999999999894E-2</v>
      </c>
      <c r="AE7366">
        <v>-0.12569999999999401</v>
      </c>
      <c r="AF7366">
        <v>0.10787754475231701</v>
      </c>
      <c r="AG7366">
        <v>-7.1218999999999894E-2</v>
      </c>
      <c r="AH7366">
        <v>0.57772922956535999</v>
      </c>
      <c r="AI7366">
        <v>96.909387082493097</v>
      </c>
      <c r="AJ7366">
        <v>79.423145856905606</v>
      </c>
      <c r="AK7366">
        <v>0.59201416648334704</v>
      </c>
      <c r="AL7366">
        <v>87.016227964680297</v>
      </c>
      <c r="AM7366">
        <v>86.020570937930003</v>
      </c>
      <c r="AN7366">
        <v>0.99999998286806202</v>
      </c>
    </row>
    <row r="7367" spans="1:40" x14ac:dyDescent="0.25">
      <c r="A7367" t="str">
        <f>"20190312151207810"</f>
        <v>20190312151207810</v>
      </c>
      <c r="B7367" t="str">
        <f>"1552374727798980"</f>
        <v>1552374727798980</v>
      </c>
      <c r="C7367" t="s">
        <v>40</v>
      </c>
      <c r="D7367">
        <v>5.0981230000000002</v>
      </c>
      <c r="E7367">
        <v>0.51293659999999996</v>
      </c>
      <c r="F7367" t="s">
        <v>41</v>
      </c>
      <c r="G7367">
        <v>-159.3938</v>
      </c>
      <c r="H7367">
        <v>1.0339069999999999</v>
      </c>
      <c r="I7367">
        <v>141.5558</v>
      </c>
      <c r="J7367">
        <v>-159.94730000000001</v>
      </c>
      <c r="K7367">
        <v>1.1049530000000001</v>
      </c>
      <c r="L7367">
        <v>141.67789999999999</v>
      </c>
      <c r="M7367">
        <v>0.99932489999999996</v>
      </c>
      <c r="N7367">
        <v>0</v>
      </c>
      <c r="O7367">
        <v>-3.3581340000000001E-2</v>
      </c>
      <c r="P7367">
        <v>0.99461999999999995</v>
      </c>
      <c r="Q7367">
        <v>3.7997919999999998E-2</v>
      </c>
      <c r="R7367">
        <v>-9.6373360000000005E-2</v>
      </c>
      <c r="S7367">
        <v>2.97966</v>
      </c>
      <c r="T7367">
        <v>-0.2455561</v>
      </c>
      <c r="U7367">
        <v>-0.47453309999999999</v>
      </c>
      <c r="V7367">
        <v>6.3593339999999998E-2</v>
      </c>
      <c r="W7367">
        <v>5.204835E-2</v>
      </c>
      <c r="X7367">
        <v>0.99661770000000005</v>
      </c>
      <c r="Y7367">
        <v>0.123722</v>
      </c>
      <c r="Z7367">
        <v>-2.3140109999999999E-3</v>
      </c>
      <c r="AA7367">
        <v>0.99231420000000004</v>
      </c>
      <c r="AB7367">
        <v>31</v>
      </c>
      <c r="AC7367">
        <v>0.55350000000001298</v>
      </c>
      <c r="AD7367">
        <v>-7.1046000000000095E-2</v>
      </c>
      <c r="AE7367">
        <v>-0.122099999999989</v>
      </c>
      <c r="AF7367">
        <v>0.101841731690141</v>
      </c>
      <c r="AG7367">
        <v>-7.1046000000000095E-2</v>
      </c>
      <c r="AH7367">
        <v>0.54866827281466601</v>
      </c>
      <c r="AI7367">
        <v>97.255491230097505</v>
      </c>
      <c r="AJ7367">
        <v>79.484647118160098</v>
      </c>
      <c r="AK7367">
        <v>0.56254435027211402</v>
      </c>
      <c r="AL7367">
        <v>87.016501089443494</v>
      </c>
      <c r="AM7367">
        <v>86.348954180483304</v>
      </c>
      <c r="AN7367">
        <v>0.99999999179168397</v>
      </c>
    </row>
    <row r="7368" spans="1:40" x14ac:dyDescent="0.25">
      <c r="A7368" t="str">
        <f>"20190312151207832"</f>
        <v>20190312151207832</v>
      </c>
      <c r="B7368" t="str">
        <f>"1552374727828260"</f>
        <v>1552374727828260</v>
      </c>
      <c r="C7368" t="s">
        <v>40</v>
      </c>
      <c r="D7368">
        <v>5.0749769999999996</v>
      </c>
      <c r="E7368">
        <v>0.51314320000000002</v>
      </c>
      <c r="F7368" t="s">
        <v>41</v>
      </c>
      <c r="G7368">
        <v>-159.12119999999999</v>
      </c>
      <c r="H7368">
        <v>1.029236</v>
      </c>
      <c r="I7368">
        <v>141.56700000000001</v>
      </c>
      <c r="J7368">
        <v>-159.65219999999999</v>
      </c>
      <c r="K7368">
        <v>1.1053189999999999</v>
      </c>
      <c r="L7368">
        <v>141.66239999999999</v>
      </c>
      <c r="M7368">
        <v>0.99913779999999996</v>
      </c>
      <c r="N7368">
        <v>0</v>
      </c>
      <c r="O7368">
        <v>-3.8768169999999998E-2</v>
      </c>
      <c r="P7368">
        <v>0.99471949999999998</v>
      </c>
      <c r="Q7368">
        <v>3.7932769999999998E-2</v>
      </c>
      <c r="R7368">
        <v>-9.5365190000000002E-2</v>
      </c>
      <c r="S7368">
        <v>2.9877929999999999</v>
      </c>
      <c r="T7368">
        <v>-0.27385540000000003</v>
      </c>
      <c r="U7368">
        <v>-0.40136719999999998</v>
      </c>
      <c r="V7368">
        <v>5.735958E-2</v>
      </c>
      <c r="W7368">
        <v>5.2062629999999999E-2</v>
      </c>
      <c r="X7368">
        <v>0.99699519999999997</v>
      </c>
      <c r="Y7368">
        <v>9.4383599999999998E-2</v>
      </c>
      <c r="Z7368">
        <v>-7.6961209999999996E-4</v>
      </c>
      <c r="AA7368">
        <v>0.99553559999999996</v>
      </c>
      <c r="AB7368">
        <v>31</v>
      </c>
      <c r="AC7368">
        <v>0.53100000000000502</v>
      </c>
      <c r="AD7368">
        <v>-7.6082999999999901E-2</v>
      </c>
      <c r="AE7368">
        <v>-9.5399999999983706E-2</v>
      </c>
      <c r="AF7368">
        <v>7.3282655263960494E-2</v>
      </c>
      <c r="AG7368">
        <v>-7.6082999999999901E-2</v>
      </c>
      <c r="AH7368">
        <v>0.52388071338640296</v>
      </c>
      <c r="AI7368">
        <v>98.184678401225398</v>
      </c>
      <c r="AJ7368">
        <v>82.0368947884796</v>
      </c>
      <c r="AK7368">
        <v>0.53442489866190002</v>
      </c>
      <c r="AL7368">
        <v>87.015681920504903</v>
      </c>
      <c r="AM7368">
        <v>86.707262995410304</v>
      </c>
      <c r="AN7368">
        <v>1.0000000338416599</v>
      </c>
    </row>
    <row r="7369" spans="1:40" x14ac:dyDescent="0.25">
      <c r="A7369" t="str">
        <f>"20190312151207853"</f>
        <v>20190312151207853</v>
      </c>
      <c r="B7369" t="str">
        <f>"1552374727848755"</f>
        <v>1552374727848755</v>
      </c>
      <c r="C7369" t="s">
        <v>40</v>
      </c>
      <c r="D7369">
        <v>5.0483849999999997</v>
      </c>
      <c r="E7369">
        <v>0.51322259999999997</v>
      </c>
      <c r="F7369" t="s">
        <v>41</v>
      </c>
      <c r="G7369">
        <v>-158.84819999999999</v>
      </c>
      <c r="H7369">
        <v>1.0272349999999999</v>
      </c>
      <c r="I7369">
        <v>141.55459999999999</v>
      </c>
      <c r="J7369">
        <v>-159.3536</v>
      </c>
      <c r="K7369">
        <v>1.1056919999999999</v>
      </c>
      <c r="L7369">
        <v>141.6455</v>
      </c>
      <c r="M7369">
        <v>0.99893699999999996</v>
      </c>
      <c r="N7369">
        <v>0</v>
      </c>
      <c r="O7369">
        <v>-4.3658759999999998E-2</v>
      </c>
      <c r="P7369">
        <v>0.99473730000000005</v>
      </c>
      <c r="Q7369">
        <v>3.909145E-2</v>
      </c>
      <c r="R7369">
        <v>-9.4709100000000004E-2</v>
      </c>
      <c r="S7369">
        <v>2.988632</v>
      </c>
      <c r="T7369">
        <v>-0.2902074</v>
      </c>
      <c r="U7369">
        <v>-0.40023799999999998</v>
      </c>
      <c r="V7369">
        <v>5.178659E-2</v>
      </c>
      <c r="W7369">
        <v>5.3284980000000003E-2</v>
      </c>
      <c r="X7369">
        <v>0.9972356</v>
      </c>
      <c r="Y7369">
        <v>8.9121539999999999E-2</v>
      </c>
      <c r="Z7369" s="1">
        <v>-9.0596270000000003E-5</v>
      </c>
      <c r="AA7369">
        <v>0.99602069999999998</v>
      </c>
      <c r="AB7369">
        <v>31</v>
      </c>
      <c r="AC7369">
        <v>0.50540000000000795</v>
      </c>
      <c r="AD7369">
        <v>-7.8456999999999694E-2</v>
      </c>
      <c r="AE7369">
        <v>-9.0900000000004796E-2</v>
      </c>
      <c r="AF7369">
        <v>6.7177594548579606E-2</v>
      </c>
      <c r="AG7369">
        <v>-7.8456999999999694E-2</v>
      </c>
      <c r="AH7369">
        <v>0.49727877111857299</v>
      </c>
      <c r="AI7369">
        <v>98.8863891536285</v>
      </c>
      <c r="AJ7369">
        <v>82.306464730641295</v>
      </c>
      <c r="AK7369">
        <v>0.50789221914056804</v>
      </c>
      <c r="AL7369">
        <v>86.945548930827698</v>
      </c>
      <c r="AM7369">
        <v>87.027292110024703</v>
      </c>
      <c r="AN7369">
        <v>0.999999990952394</v>
      </c>
    </row>
    <row r="7370" spans="1:40" x14ac:dyDescent="0.25">
      <c r="A7370" t="str">
        <f>"20190312151207883"</f>
        <v>20190312151207883</v>
      </c>
      <c r="B7370" t="str">
        <f>"1552374727879011"</f>
        <v>1552374727879011</v>
      </c>
      <c r="C7370" t="s">
        <v>40</v>
      </c>
      <c r="D7370">
        <v>5.0849699999999904</v>
      </c>
      <c r="E7370">
        <v>0.51282570000000005</v>
      </c>
      <c r="F7370" t="s">
        <v>41</v>
      </c>
      <c r="G7370">
        <v>-158.57329999999999</v>
      </c>
      <c r="H7370">
        <v>1.0300020000000001</v>
      </c>
      <c r="I7370">
        <v>141.54130000000001</v>
      </c>
      <c r="J7370">
        <v>-158.9614</v>
      </c>
      <c r="K7370">
        <v>1.106174</v>
      </c>
      <c r="L7370">
        <v>141.6217</v>
      </c>
      <c r="M7370">
        <v>0.99866460000000001</v>
      </c>
      <c r="N7370">
        <v>0</v>
      </c>
      <c r="O7370">
        <v>-4.9515240000000002E-2</v>
      </c>
      <c r="P7370">
        <v>0.99453440000000004</v>
      </c>
      <c r="Q7370">
        <v>4.0799769999999999E-2</v>
      </c>
      <c r="R7370">
        <v>-9.6108899999999997E-2</v>
      </c>
      <c r="S7370">
        <v>2.9892880000000002</v>
      </c>
      <c r="T7370">
        <v>-0.28993459999999899</v>
      </c>
      <c r="U7370">
        <v>-0.39877319999999999</v>
      </c>
      <c r="V7370">
        <v>4.7299830000000001E-2</v>
      </c>
      <c r="W7370">
        <v>5.5034310000000003E-2</v>
      </c>
      <c r="X7370">
        <v>0.99736349999999996</v>
      </c>
      <c r="Y7370">
        <v>8.2827869999999998E-2</v>
      </c>
      <c r="Z7370">
        <v>7.7562780000000003E-4</v>
      </c>
      <c r="AA7370">
        <v>0.99656359999999999</v>
      </c>
      <c r="AB7370">
        <v>31</v>
      </c>
      <c r="AC7370">
        <v>0.38810000000000799</v>
      </c>
      <c r="AD7370">
        <v>-7.6171999999999906E-2</v>
      </c>
      <c r="AE7370">
        <v>-8.0399999999997293E-2</v>
      </c>
      <c r="AF7370">
        <v>5.8906610219656402E-2</v>
      </c>
      <c r="AG7370">
        <v>-7.6171999999999906E-2</v>
      </c>
      <c r="AH7370">
        <v>0.377656065254938</v>
      </c>
      <c r="AI7370">
        <v>101.270647995847</v>
      </c>
      <c r="AJ7370">
        <v>81.134469730768501</v>
      </c>
      <c r="AK7370">
        <v>0.38973871495581802</v>
      </c>
      <c r="AL7370">
        <v>86.845172396349099</v>
      </c>
      <c r="AM7370">
        <v>87.284789743667801</v>
      </c>
      <c r="AN7370">
        <v>1.0000000001637199</v>
      </c>
    </row>
    <row r="7371" spans="1:40" x14ac:dyDescent="0.25">
      <c r="A7371" t="str">
        <f>"20190312151207904"</f>
        <v>20190312151207904</v>
      </c>
      <c r="B7371" t="str">
        <f>"1552374727898532"</f>
        <v>1552374727898532</v>
      </c>
      <c r="C7371" t="s">
        <v>40</v>
      </c>
      <c r="D7371">
        <v>5.0348050000000004</v>
      </c>
      <c r="E7371">
        <v>0.512799</v>
      </c>
      <c r="F7371" t="s">
        <v>41</v>
      </c>
      <c r="G7371">
        <v>-158.03469999999999</v>
      </c>
      <c r="H7371">
        <v>1.017218</v>
      </c>
      <c r="I7371">
        <v>141.49789999999999</v>
      </c>
      <c r="J7371">
        <v>-158.66380000000001</v>
      </c>
      <c r="K7371">
        <v>1.1065119999999999</v>
      </c>
      <c r="L7371">
        <v>141.60239999999999</v>
      </c>
      <c r="M7371">
        <v>0.99845700000000004</v>
      </c>
      <c r="N7371">
        <v>0</v>
      </c>
      <c r="O7371">
        <v>-5.3553139999999999E-2</v>
      </c>
      <c r="P7371">
        <v>0.99453780000000003</v>
      </c>
      <c r="Q7371">
        <v>4.1433270000000001E-2</v>
      </c>
      <c r="R7371">
        <v>-9.5802479999999995E-2</v>
      </c>
      <c r="S7371">
        <v>2.9897</v>
      </c>
      <c r="T7371">
        <v>-0.286935099999999</v>
      </c>
      <c r="U7371">
        <v>-0.39894099999999999</v>
      </c>
      <c r="V7371">
        <v>4.2920170000000001E-2</v>
      </c>
      <c r="W7371">
        <v>5.5702750000000002E-2</v>
      </c>
      <c r="X7371">
        <v>0.99752439999999998</v>
      </c>
      <c r="Y7371">
        <v>7.8873659999999998E-2</v>
      </c>
      <c r="Z7371">
        <v>1.3399670000000001E-3</v>
      </c>
      <c r="AA7371">
        <v>0.99688370000000004</v>
      </c>
      <c r="AB7371">
        <v>30</v>
      </c>
      <c r="AC7371">
        <v>0.62910000000002197</v>
      </c>
      <c r="AD7371">
        <v>-8.9294000000000207E-2</v>
      </c>
      <c r="AE7371">
        <v>-0.10450000000000099</v>
      </c>
      <c r="AF7371">
        <v>6.9297465008984593E-2</v>
      </c>
      <c r="AG7371">
        <v>-8.9294000000000207E-2</v>
      </c>
      <c r="AH7371">
        <v>0.62160686438290602</v>
      </c>
      <c r="AI7371">
        <v>98.124977235972295</v>
      </c>
      <c r="AJ7371">
        <v>83.638864455487706</v>
      </c>
      <c r="AK7371">
        <v>0.63179953382431397</v>
      </c>
      <c r="AL7371">
        <v>86.806814548868203</v>
      </c>
      <c r="AM7371">
        <v>87.536272049357606</v>
      </c>
      <c r="AN7371">
        <v>0.99999993297287304</v>
      </c>
    </row>
    <row r="7372" spans="1:40" x14ac:dyDescent="0.25">
      <c r="A7372" t="str">
        <f>"20190312151207924"</f>
        <v>20190312151207924</v>
      </c>
      <c r="B7372" t="str">
        <f>"1552374727919028"</f>
        <v>1552374727919028</v>
      </c>
      <c r="C7372" t="s">
        <v>40</v>
      </c>
      <c r="D7372">
        <v>5.0943490000000002</v>
      </c>
      <c r="E7372">
        <v>0.51271149999999999</v>
      </c>
      <c r="F7372" t="s">
        <v>41</v>
      </c>
      <c r="G7372">
        <v>-157.7611</v>
      </c>
      <c r="H7372">
        <v>1.019957</v>
      </c>
      <c r="I7372">
        <v>141.48240000000001</v>
      </c>
      <c r="J7372">
        <v>-158.3929</v>
      </c>
      <c r="K7372">
        <v>1.106792</v>
      </c>
      <c r="L7372">
        <v>141.58420000000001</v>
      </c>
      <c r="M7372">
        <v>0.99826789999999999</v>
      </c>
      <c r="N7372">
        <v>0</v>
      </c>
      <c r="O7372">
        <v>-5.6976100000000002E-2</v>
      </c>
      <c r="P7372">
        <v>0.99469319999999894</v>
      </c>
      <c r="Q7372">
        <v>4.1514799999999998E-2</v>
      </c>
      <c r="R7372">
        <v>-9.4137239999999997E-2</v>
      </c>
      <c r="S7372">
        <v>2.990173</v>
      </c>
      <c r="T7372">
        <v>-0.28668300000000002</v>
      </c>
      <c r="U7372">
        <v>-0.39706419999999998</v>
      </c>
      <c r="V7372">
        <v>3.7791180000000001E-2</v>
      </c>
      <c r="W7372">
        <v>5.5820830000000002E-2</v>
      </c>
      <c r="X7372">
        <v>0.99772539999999998</v>
      </c>
      <c r="Y7372">
        <v>7.4853359999999994E-2</v>
      </c>
      <c r="Z7372">
        <v>1.855179E-3</v>
      </c>
      <c r="AA7372">
        <v>0.99719279999999999</v>
      </c>
      <c r="AB7372">
        <v>30</v>
      </c>
      <c r="AC7372">
        <v>0.63179999999999803</v>
      </c>
      <c r="AD7372">
        <v>-8.6834999999999996E-2</v>
      </c>
      <c r="AE7372">
        <v>-0.101799999999997</v>
      </c>
      <c r="AF7372">
        <v>6.4446639148083601E-2</v>
      </c>
      <c r="AG7372">
        <v>-8.6834999999999996E-2</v>
      </c>
      <c r="AH7372">
        <v>0.625065578207884</v>
      </c>
      <c r="AI7372">
        <v>97.867809554710703</v>
      </c>
      <c r="AJ7372">
        <v>84.113387354264503</v>
      </c>
      <c r="AK7372">
        <v>0.63435058412745204</v>
      </c>
      <c r="AL7372">
        <v>86.800038914284301</v>
      </c>
      <c r="AM7372">
        <v>87.830825489747895</v>
      </c>
      <c r="AN7372">
        <v>1.00000005607641</v>
      </c>
    </row>
    <row r="7373" spans="1:40" x14ac:dyDescent="0.25">
      <c r="A7373" t="str">
        <f>"20190312151207945"</f>
        <v>20190312151207945</v>
      </c>
      <c r="B7373" t="str">
        <f>"1552374727938548"</f>
        <v>1552374727938548</v>
      </c>
      <c r="C7373" t="s">
        <v>40</v>
      </c>
      <c r="D7373">
        <v>5.396706</v>
      </c>
      <c r="E7373">
        <v>0.51255010000000001</v>
      </c>
      <c r="F7373" t="s">
        <v>41</v>
      </c>
      <c r="G7373">
        <v>-157.4898</v>
      </c>
      <c r="H7373">
        <v>1.0189319999999999</v>
      </c>
      <c r="I7373">
        <v>141.46600000000001</v>
      </c>
      <c r="J7373">
        <v>-158.11609999999999</v>
      </c>
      <c r="K7373">
        <v>1.1070690000000001</v>
      </c>
      <c r="L7373">
        <v>141.56479999999999</v>
      </c>
      <c r="M7373">
        <v>0.99807939999999995</v>
      </c>
      <c r="N7373">
        <v>0</v>
      </c>
      <c r="O7373">
        <v>-6.0199450000000002E-2</v>
      </c>
      <c r="P7373">
        <v>0.99475749999999996</v>
      </c>
      <c r="Q7373">
        <v>4.269415E-2</v>
      </c>
      <c r="R7373">
        <v>-9.2926079999999994E-2</v>
      </c>
      <c r="S7373">
        <v>2.9911189999999999</v>
      </c>
      <c r="T7373">
        <v>-0.29094720000000002</v>
      </c>
      <c r="U7373">
        <v>-0.39129639999999999</v>
      </c>
      <c r="V7373">
        <v>3.3328700000000003E-2</v>
      </c>
      <c r="W7373">
        <v>5.7024829999999999E-2</v>
      </c>
      <c r="X7373">
        <v>0.99781629999999999</v>
      </c>
      <c r="Y7373">
        <v>6.9737240000000006E-2</v>
      </c>
      <c r="Z7373">
        <v>2.440078E-3</v>
      </c>
      <c r="AA7373">
        <v>0.99756239999999996</v>
      </c>
      <c r="AB7373">
        <v>30</v>
      </c>
      <c r="AC7373">
        <v>0.62629999999998598</v>
      </c>
      <c r="AD7373">
        <v>-8.8137000000000104E-2</v>
      </c>
      <c r="AE7373">
        <v>-9.8799999999982901E-2</v>
      </c>
      <c r="AF7373">
        <v>5.9759103453717002E-2</v>
      </c>
      <c r="AG7373">
        <v>-8.8137000000000104E-2</v>
      </c>
      <c r="AH7373">
        <v>0.61914836878227397</v>
      </c>
      <c r="AI7373">
        <v>98.064754699991795</v>
      </c>
      <c r="AJ7373">
        <v>84.486989873580299</v>
      </c>
      <c r="AK7373">
        <v>0.62823879518885395</v>
      </c>
      <c r="AL7373">
        <v>86.730944545628404</v>
      </c>
      <c r="AM7373">
        <v>88.086938284006706</v>
      </c>
      <c r="AN7373">
        <v>1.0000000010129499</v>
      </c>
    </row>
    <row r="7374" spans="1:40" x14ac:dyDescent="0.25">
      <c r="A7374" t="str">
        <f>"20190312151207967"</f>
        <v>20190312151207967</v>
      </c>
      <c r="B7374" t="str">
        <f>"1552374727959044"</f>
        <v>1552374727959044</v>
      </c>
      <c r="C7374" t="s">
        <v>40</v>
      </c>
      <c r="D7374">
        <v>5.1149050000000003</v>
      </c>
      <c r="E7374">
        <v>0.51238379999999994</v>
      </c>
      <c r="F7374" t="s">
        <v>41</v>
      </c>
      <c r="G7374">
        <v>-157.2175</v>
      </c>
      <c r="H7374">
        <v>1.0209809999999999</v>
      </c>
      <c r="I7374">
        <v>141.4487</v>
      </c>
      <c r="J7374">
        <v>-157.81809999999999</v>
      </c>
      <c r="K7374">
        <v>1.1073660000000001</v>
      </c>
      <c r="L7374">
        <v>141.54320000000001</v>
      </c>
      <c r="M7374">
        <v>0.99788529999999998</v>
      </c>
      <c r="N7374">
        <v>0</v>
      </c>
      <c r="O7374">
        <v>-6.3341919999999996E-2</v>
      </c>
      <c r="P7374">
        <v>0.99472090000000002</v>
      </c>
      <c r="Q7374">
        <v>4.4190510000000002E-2</v>
      </c>
      <c r="R7374">
        <v>-9.2615870000000003E-2</v>
      </c>
      <c r="S7374">
        <v>2.9920810000000002</v>
      </c>
      <c r="T7374">
        <v>-0.28667029999999999</v>
      </c>
      <c r="U7374">
        <v>-0.3859863</v>
      </c>
      <c r="V7374">
        <v>2.9848590000000001E-2</v>
      </c>
      <c r="W7374">
        <v>5.8531970000000003E-2</v>
      </c>
      <c r="X7374">
        <v>0.99783920000000004</v>
      </c>
      <c r="Y7374">
        <v>6.4850409999999997E-2</v>
      </c>
      <c r="Z7374">
        <v>2.9347380000000001E-3</v>
      </c>
      <c r="AA7374">
        <v>0.99789070000000002</v>
      </c>
      <c r="AB7374">
        <v>30</v>
      </c>
      <c r="AC7374">
        <v>0.60059999999998503</v>
      </c>
      <c r="AD7374">
        <v>-8.6385000000000101E-2</v>
      </c>
      <c r="AE7374">
        <v>-9.4500000000010603E-2</v>
      </c>
      <c r="AF7374">
        <v>5.5149647946227197E-2</v>
      </c>
      <c r="AG7374">
        <v>-8.6385000000000101E-2</v>
      </c>
      <c r="AH7374">
        <v>0.59340076442763601</v>
      </c>
      <c r="AI7374">
        <v>98.247664868194406</v>
      </c>
      <c r="AJ7374">
        <v>84.690281205544906</v>
      </c>
      <c r="AK7374">
        <v>0.60218628273723995</v>
      </c>
      <c r="AL7374">
        <v>86.644447271541097</v>
      </c>
      <c r="AM7374">
        <v>88.2866092960289</v>
      </c>
      <c r="AN7374">
        <v>0.99999999944685403</v>
      </c>
    </row>
    <row r="7375" spans="1:40" x14ac:dyDescent="0.25">
      <c r="A7375" t="str">
        <f>"20190312151207990"</f>
        <v>20190312151207990</v>
      </c>
      <c r="B7375" t="str">
        <f>"1552374727978565"</f>
        <v>1552374727978565</v>
      </c>
      <c r="C7375" t="s">
        <v>40</v>
      </c>
      <c r="D7375">
        <v>5.0794090000000001</v>
      </c>
      <c r="E7375">
        <v>0.51221969999999994</v>
      </c>
      <c r="F7375" t="s">
        <v>41</v>
      </c>
      <c r="G7375">
        <v>-156.9444</v>
      </c>
      <c r="H7375">
        <v>1.0251539999999999</v>
      </c>
      <c r="I7375">
        <v>141.4314</v>
      </c>
      <c r="J7375">
        <v>-157.5061</v>
      </c>
      <c r="K7375">
        <v>1.107685</v>
      </c>
      <c r="L7375">
        <v>141.52000000000001</v>
      </c>
      <c r="M7375">
        <v>0.9976952</v>
      </c>
      <c r="N7375">
        <v>0</v>
      </c>
      <c r="O7375">
        <v>-6.6277329999999995E-2</v>
      </c>
      <c r="P7375">
        <v>0.99459310000000001</v>
      </c>
      <c r="Q7375">
        <v>4.5949480000000001E-2</v>
      </c>
      <c r="R7375">
        <v>-9.3131770000000003E-2</v>
      </c>
      <c r="S7375">
        <v>2.9927830000000002</v>
      </c>
      <c r="T7375">
        <v>-0.28158650000000002</v>
      </c>
      <c r="U7375">
        <v>-0.3828278</v>
      </c>
      <c r="V7375">
        <v>2.7400560000000001E-2</v>
      </c>
      <c r="W7375">
        <v>6.0292680000000001E-2</v>
      </c>
      <c r="X7375">
        <v>0.99780460000000004</v>
      </c>
      <c r="Y7375">
        <v>6.087861E-2</v>
      </c>
      <c r="Z7375">
        <v>3.3416779999999998E-3</v>
      </c>
      <c r="AA7375">
        <v>0.99813960000000002</v>
      </c>
      <c r="AB7375">
        <v>30</v>
      </c>
      <c r="AC7375">
        <v>0.56170000000000098</v>
      </c>
      <c r="AD7375">
        <v>-8.2530999999999896E-2</v>
      </c>
      <c r="AE7375">
        <v>-8.8600000000013696E-2</v>
      </c>
      <c r="AF7375">
        <v>5.0117529836929797E-2</v>
      </c>
      <c r="AG7375">
        <v>-8.2530999999999896E-2</v>
      </c>
      <c r="AH7375">
        <v>0.55465395298291897</v>
      </c>
      <c r="AI7375">
        <v>98.429513905718807</v>
      </c>
      <c r="AJ7375">
        <v>84.836877954259293</v>
      </c>
      <c r="AK7375">
        <v>0.56299568410204803</v>
      </c>
      <c r="AL7375">
        <v>86.543387519599406</v>
      </c>
      <c r="AM7375">
        <v>88.427004651982401</v>
      </c>
      <c r="AN7375">
        <v>1.0000000088655201</v>
      </c>
    </row>
    <row r="7376" spans="1:40" x14ac:dyDescent="0.25">
      <c r="A7376" t="str">
        <f>"20190312151208014"</f>
        <v>20190312151208014</v>
      </c>
      <c r="B7376" t="str">
        <f>"1552374728008819"</f>
        <v>1552374728008819</v>
      </c>
      <c r="C7376" t="s">
        <v>40</v>
      </c>
      <c r="D7376">
        <v>5.123049</v>
      </c>
      <c r="E7376">
        <v>0.51202599999999998</v>
      </c>
      <c r="F7376" t="s">
        <v>41</v>
      </c>
      <c r="G7376">
        <v>-156.67160000000001</v>
      </c>
      <c r="H7376">
        <v>1.029814</v>
      </c>
      <c r="I7376">
        <v>141.4135</v>
      </c>
      <c r="J7376">
        <v>-157.1661</v>
      </c>
      <c r="K7376">
        <v>1.1080490000000001</v>
      </c>
      <c r="L7376">
        <v>141.4941</v>
      </c>
      <c r="M7376">
        <v>0.99750680000000003</v>
      </c>
      <c r="N7376">
        <v>0</v>
      </c>
      <c r="O7376">
        <v>-6.9062230000000002E-2</v>
      </c>
      <c r="P7376">
        <v>0.99456409999999995</v>
      </c>
      <c r="Q7376">
        <v>4.5759420000000002E-2</v>
      </c>
      <c r="R7376">
        <v>-9.353351E-2</v>
      </c>
      <c r="S7376">
        <v>2.9934690000000002</v>
      </c>
      <c r="T7376">
        <v>-0.27935720000000003</v>
      </c>
      <c r="U7376">
        <v>-0.38165280000000001</v>
      </c>
      <c r="V7376">
        <v>2.49611E-2</v>
      </c>
      <c r="W7376">
        <v>6.0103709999999998E-2</v>
      </c>
      <c r="X7376">
        <v>0.99787999999999999</v>
      </c>
      <c r="Y7376">
        <v>5.7702610000000001E-2</v>
      </c>
      <c r="Z7376">
        <v>3.7192850000000001E-3</v>
      </c>
      <c r="AA7376">
        <v>0.99832690000000002</v>
      </c>
      <c r="AB7376">
        <v>30</v>
      </c>
      <c r="AC7376">
        <v>0.494499999999988</v>
      </c>
      <c r="AD7376">
        <v>-7.8234999999999999E-2</v>
      </c>
      <c r="AE7376">
        <v>-8.0600000000004002E-2</v>
      </c>
      <c r="AF7376">
        <v>4.5151723338189897E-2</v>
      </c>
      <c r="AG7376">
        <v>-7.8234999999999999E-2</v>
      </c>
      <c r="AH7376">
        <v>0.48701139233852198</v>
      </c>
      <c r="AI7376">
        <v>99.087878923397099</v>
      </c>
      <c r="AJ7376">
        <v>84.703144451427406</v>
      </c>
      <c r="AK7376">
        <v>0.49531756440985802</v>
      </c>
      <c r="AL7376">
        <v>86.554234355614</v>
      </c>
      <c r="AM7376">
        <v>88.567094734981495</v>
      </c>
      <c r="AN7376">
        <v>1.00000000343448</v>
      </c>
    </row>
    <row r="7377" spans="1:40" x14ac:dyDescent="0.25">
      <c r="A7377" t="str">
        <f>"20190312151208033"</f>
        <v>20190312151208033</v>
      </c>
      <c r="B7377" t="str">
        <f>"1552374728028339"</f>
        <v>1552374728028339</v>
      </c>
      <c r="C7377" t="s">
        <v>40</v>
      </c>
      <c r="D7377">
        <v>5.044365</v>
      </c>
      <c r="E7377">
        <v>0.5119051</v>
      </c>
      <c r="F7377" t="s">
        <v>41</v>
      </c>
      <c r="G7377">
        <v>-156.399</v>
      </c>
      <c r="H7377">
        <v>1.034659</v>
      </c>
      <c r="I7377">
        <v>141.39670000000001</v>
      </c>
      <c r="J7377">
        <v>-156.92169999999999</v>
      </c>
      <c r="K7377">
        <v>1.108317</v>
      </c>
      <c r="L7377">
        <v>141.4752</v>
      </c>
      <c r="M7377">
        <v>0.99738899999999997</v>
      </c>
      <c r="N7377">
        <v>0</v>
      </c>
      <c r="O7377">
        <v>-7.0750389999999996E-2</v>
      </c>
      <c r="P7377">
        <v>0.99465610000000004</v>
      </c>
      <c r="Q7377">
        <v>4.6078639999999997E-2</v>
      </c>
      <c r="R7377">
        <v>-9.2391249999999994E-2</v>
      </c>
      <c r="S7377">
        <v>2.9938199999999999</v>
      </c>
      <c r="T7377">
        <v>-0.28641949999999999</v>
      </c>
      <c r="U7377">
        <v>-0.38020320000000002</v>
      </c>
      <c r="V7377">
        <v>2.2086700000000001E-2</v>
      </c>
      <c r="W7377">
        <v>6.0429749999999997E-2</v>
      </c>
      <c r="X7377">
        <v>0.99792809999999998</v>
      </c>
      <c r="Y7377">
        <v>5.5542189999999998E-2</v>
      </c>
      <c r="Z7377">
        <v>4.0751570000000003E-3</v>
      </c>
      <c r="AA7377">
        <v>0.998448</v>
      </c>
      <c r="AB7377">
        <v>30</v>
      </c>
      <c r="AC7377">
        <v>0.52269999999998595</v>
      </c>
      <c r="AD7377">
        <v>-7.3658000000000001E-2</v>
      </c>
      <c r="AE7377">
        <v>-7.8499999999991105E-2</v>
      </c>
      <c r="AF7377">
        <v>4.0531026335923002E-2</v>
      </c>
      <c r="AG7377">
        <v>-7.3658000000000001E-2</v>
      </c>
      <c r="AH7377">
        <v>0.51690605780890198</v>
      </c>
      <c r="AI7377">
        <v>98.085438961866402</v>
      </c>
      <c r="AJ7377">
        <v>85.516564534545296</v>
      </c>
      <c r="AK7377">
        <v>0.523698517908332</v>
      </c>
      <c r="AL7377">
        <v>86.535519731127593</v>
      </c>
      <c r="AM7377">
        <v>88.732104925062202</v>
      </c>
      <c r="AN7377">
        <v>1.00000003488578</v>
      </c>
    </row>
    <row r="7378" spans="1:40" x14ac:dyDescent="0.25">
      <c r="A7378" t="str">
        <f>"20190312151208059"</f>
        <v>20190312151208059</v>
      </c>
      <c r="B7378" t="str">
        <f>"1552374728048836"</f>
        <v>1552374728048836</v>
      </c>
      <c r="C7378" t="s">
        <v>40</v>
      </c>
      <c r="D7378">
        <v>5.1097960000000002</v>
      </c>
      <c r="E7378">
        <v>0.51191009999999904</v>
      </c>
      <c r="F7378" t="s">
        <v>41</v>
      </c>
      <c r="G7378">
        <v>-156.13079999999999</v>
      </c>
      <c r="H7378">
        <v>1.0321469999999999</v>
      </c>
      <c r="I7378">
        <v>141.3759</v>
      </c>
      <c r="J7378">
        <v>-156.5806</v>
      </c>
      <c r="K7378">
        <v>1.1087070000000001</v>
      </c>
      <c r="L7378">
        <v>141.4486</v>
      </c>
      <c r="M7378">
        <v>0.99724849999999998</v>
      </c>
      <c r="N7378">
        <v>0</v>
      </c>
      <c r="O7378">
        <v>-7.2709830000000003E-2</v>
      </c>
      <c r="P7378">
        <v>0.99465820000000005</v>
      </c>
      <c r="Q7378">
        <v>4.6311539999999998E-2</v>
      </c>
      <c r="R7378">
        <v>-9.2253600000000005E-2</v>
      </c>
      <c r="S7378">
        <v>2.9945979999999999</v>
      </c>
      <c r="T7378">
        <v>-0.28847289999999998</v>
      </c>
      <c r="U7378">
        <v>-0.375473</v>
      </c>
      <c r="V7378">
        <v>1.993174E-2</v>
      </c>
      <c r="W7378">
        <v>6.0660600000000002E-2</v>
      </c>
      <c r="X7378">
        <v>0.99795940000000005</v>
      </c>
      <c r="Y7378">
        <v>5.2021150000000002E-2</v>
      </c>
      <c r="Z7378">
        <v>4.4590530000000001E-3</v>
      </c>
      <c r="AA7378">
        <v>0.99863599999999997</v>
      </c>
      <c r="AB7378">
        <v>30</v>
      </c>
      <c r="AC7378">
        <v>0.44980000000001003</v>
      </c>
      <c r="AD7378">
        <v>-7.6559999999999906E-2</v>
      </c>
      <c r="AE7378">
        <v>-7.2699999999997503E-2</v>
      </c>
      <c r="AF7378">
        <v>3.8706418621792103E-2</v>
      </c>
      <c r="AG7378">
        <v>-7.6559999999999906E-2</v>
      </c>
      <c r="AH7378">
        <v>0.44143254481343502</v>
      </c>
      <c r="AI7378">
        <v>99.802361016703102</v>
      </c>
      <c r="AJ7378">
        <v>84.9889129088928</v>
      </c>
      <c r="AK7378">
        <v>0.44969135199933602</v>
      </c>
      <c r="AL7378">
        <v>86.5222684770049</v>
      </c>
      <c r="AM7378">
        <v>88.855812402871507</v>
      </c>
      <c r="AN7378">
        <v>0.99999997335007296</v>
      </c>
    </row>
    <row r="7379" spans="1:40" x14ac:dyDescent="0.25">
      <c r="A7379" t="str">
        <f>"20190312151208082"</f>
        <v>20190312151208082</v>
      </c>
      <c r="B7379" t="str">
        <f>"1552374728068355"</f>
        <v>1552374728068355</v>
      </c>
      <c r="C7379" t="s">
        <v>40</v>
      </c>
      <c r="D7379">
        <v>5.0913830000000004</v>
      </c>
      <c r="E7379">
        <v>0.51181540000000003</v>
      </c>
      <c r="F7379" t="s">
        <v>41</v>
      </c>
      <c r="G7379">
        <v>-155.60299999999901</v>
      </c>
      <c r="H7379">
        <v>1.0140169999999999</v>
      </c>
      <c r="I7379">
        <v>141.3261</v>
      </c>
      <c r="J7379">
        <v>-156.27070000000001</v>
      </c>
      <c r="K7379">
        <v>1.109051</v>
      </c>
      <c r="L7379">
        <v>141.42429999999999</v>
      </c>
      <c r="M7379">
        <v>0.99715209999999999</v>
      </c>
      <c r="N7379">
        <v>0</v>
      </c>
      <c r="O7379">
        <v>-7.4024950000000006E-2</v>
      </c>
      <c r="P7379">
        <v>0.99466509999999997</v>
      </c>
      <c r="Q7379">
        <v>4.6504410000000003E-2</v>
      </c>
      <c r="R7379">
        <v>-9.2081410000000002E-2</v>
      </c>
      <c r="S7379">
        <v>2.9948429999999999</v>
      </c>
      <c r="T7379">
        <v>-0.29012840000000001</v>
      </c>
      <c r="U7379">
        <v>-0.37496950000000001</v>
      </c>
      <c r="V7379">
        <v>1.839389E-2</v>
      </c>
      <c r="W7379">
        <v>6.0849069999999998E-2</v>
      </c>
      <c r="X7379">
        <v>0.99797749999999996</v>
      </c>
      <c r="Y7379">
        <v>5.0542620000000003E-2</v>
      </c>
      <c r="Z7379">
        <v>4.6814760000000004E-3</v>
      </c>
      <c r="AA7379">
        <v>0.99871089999999996</v>
      </c>
      <c r="AB7379">
        <v>30</v>
      </c>
      <c r="AC7379">
        <v>0.66770000000002405</v>
      </c>
      <c r="AD7379">
        <v>-9.5033999999999993E-2</v>
      </c>
      <c r="AE7379">
        <v>-9.8199999999991405E-2</v>
      </c>
      <c r="AF7379">
        <v>4.75559329682574E-2</v>
      </c>
      <c r="AG7379">
        <v>-9.5033999999999993E-2</v>
      </c>
      <c r="AH7379">
        <v>0.66004957079958904</v>
      </c>
      <c r="AI7379">
        <v>98.172249399863404</v>
      </c>
      <c r="AJ7379">
        <v>85.879015439963794</v>
      </c>
      <c r="AK7379">
        <v>0.66854952234610399</v>
      </c>
      <c r="AL7379">
        <v>86.511450110521693</v>
      </c>
      <c r="AM7379">
        <v>88.944091473374598</v>
      </c>
      <c r="AN7379">
        <v>1.0000000175077199</v>
      </c>
    </row>
    <row r="7380" spans="1:40" x14ac:dyDescent="0.25">
      <c r="A7380" t="str">
        <f>"20190312151208108"</f>
        <v>20190312151208108</v>
      </c>
      <c r="B7380" t="str">
        <f>"1552374728098612"</f>
        <v>1552374728098612</v>
      </c>
      <c r="C7380" t="s">
        <v>40</v>
      </c>
      <c r="D7380">
        <v>5.1142659999999998</v>
      </c>
      <c r="E7380">
        <v>0.4991158</v>
      </c>
      <c r="F7380" t="s">
        <v>41</v>
      </c>
      <c r="G7380">
        <v>-155.33269999999999</v>
      </c>
      <c r="H7380">
        <v>1.0179640000000001</v>
      </c>
      <c r="I7380">
        <v>141.3073</v>
      </c>
      <c r="J7380">
        <v>-155.91419999999999</v>
      </c>
      <c r="K7380">
        <v>1.1093820000000001</v>
      </c>
      <c r="L7380">
        <v>141.3964</v>
      </c>
      <c r="M7380">
        <v>0.99706830000000002</v>
      </c>
      <c r="N7380">
        <v>0</v>
      </c>
      <c r="O7380">
        <v>-7.514825E-2</v>
      </c>
      <c r="P7380">
        <v>0.99467470000000002</v>
      </c>
      <c r="Q7380">
        <v>4.7675580000000002E-2</v>
      </c>
      <c r="R7380">
        <v>-9.1376289999999999E-2</v>
      </c>
      <c r="S7380">
        <v>2.9951319999999999</v>
      </c>
      <c r="T7380">
        <v>-0.29092849999999998</v>
      </c>
      <c r="U7380">
        <v>-0.37333680000000002</v>
      </c>
      <c r="V7380">
        <v>1.6519760000000001E-2</v>
      </c>
      <c r="W7380">
        <v>6.201226E-2</v>
      </c>
      <c r="X7380">
        <v>0.99793869999999896</v>
      </c>
      <c r="Y7380">
        <v>4.88829E-2</v>
      </c>
      <c r="Z7380">
        <v>4.8821519999999998E-3</v>
      </c>
      <c r="AA7380">
        <v>0.99879260000000003</v>
      </c>
      <c r="AB7380">
        <v>30</v>
      </c>
      <c r="AC7380">
        <v>0.58150000000000501</v>
      </c>
      <c r="AD7380">
        <v>-9.1417999999999999E-2</v>
      </c>
      <c r="AE7380">
        <v>-8.91000000000019E-2</v>
      </c>
      <c r="AF7380">
        <v>4.4080301220980299E-2</v>
      </c>
      <c r="AG7380">
        <v>-9.1417999999999999E-2</v>
      </c>
      <c r="AH7380">
        <v>0.57272157508768695</v>
      </c>
      <c r="AI7380">
        <v>99.042764019169098</v>
      </c>
      <c r="AJ7380">
        <v>85.598828677548795</v>
      </c>
      <c r="AK7380">
        <v>0.58164450160785797</v>
      </c>
      <c r="AL7380">
        <v>86.444678186911005</v>
      </c>
      <c r="AM7380">
        <v>89.051619019436203</v>
      </c>
      <c r="AN7380">
        <v>1.00000003590922</v>
      </c>
    </row>
    <row r="7381" spans="1:40" x14ac:dyDescent="0.25">
      <c r="A7381" t="str">
        <f>"20190312151208126"</f>
        <v>20190312151208126</v>
      </c>
      <c r="B7381" t="str">
        <f>"1552374728119107"</f>
        <v>1552374728119107</v>
      </c>
      <c r="C7381" t="s">
        <v>40</v>
      </c>
      <c r="D7381">
        <v>5.1322190000000001</v>
      </c>
      <c r="E7381">
        <v>0.49382779999999998</v>
      </c>
      <c r="F7381" t="s">
        <v>41</v>
      </c>
      <c r="G7381">
        <v>-155.05779999999999</v>
      </c>
      <c r="H7381">
        <v>1.0263310000000001</v>
      </c>
      <c r="I7381">
        <v>141.3192</v>
      </c>
      <c r="J7381">
        <v>-155.661</v>
      </c>
      <c r="K7381">
        <v>1.1095919999999999</v>
      </c>
      <c r="L7381">
        <v>141.37649999999999</v>
      </c>
      <c r="M7381">
        <v>0.99702619999999997</v>
      </c>
      <c r="N7381">
        <v>0</v>
      </c>
      <c r="O7381">
        <v>-7.5711319999999999E-2</v>
      </c>
      <c r="P7381">
        <v>0.99468970000000001</v>
      </c>
      <c r="Q7381">
        <v>4.9042339999999997E-2</v>
      </c>
      <c r="R7381">
        <v>-9.0484289999999995E-2</v>
      </c>
      <c r="S7381">
        <v>3.0052029999999998</v>
      </c>
      <c r="T7381">
        <v>-0.29154340000000001</v>
      </c>
      <c r="U7381">
        <v>-0.2702484</v>
      </c>
      <c r="V7381">
        <v>1.503813E-2</v>
      </c>
      <c r="W7381">
        <v>6.3371919999999998E-2</v>
      </c>
      <c r="X7381">
        <v>0.9978766</v>
      </c>
      <c r="Y7381">
        <v>1.417906E-2</v>
      </c>
      <c r="Z7381">
        <v>6.6176259999999997E-3</v>
      </c>
      <c r="AA7381">
        <v>0.99987760000000003</v>
      </c>
      <c r="AB7381">
        <v>30</v>
      </c>
      <c r="AC7381">
        <v>0.60320000000001495</v>
      </c>
      <c r="AD7381">
        <v>-8.3261000000000002E-2</v>
      </c>
      <c r="AE7381">
        <v>-5.7299999999997901E-2</v>
      </c>
      <c r="AF7381">
        <v>1.1249302020891999E-2</v>
      </c>
      <c r="AG7381">
        <v>-8.3261000000000002E-2</v>
      </c>
      <c r="AH7381">
        <v>0.59457988424034203</v>
      </c>
      <c r="AI7381">
        <v>97.970075225740501</v>
      </c>
      <c r="AJ7381">
        <v>88.916107563828305</v>
      </c>
      <c r="AK7381">
        <v>0.60048661905176204</v>
      </c>
      <c r="AL7381">
        <v>86.366621465252706</v>
      </c>
      <c r="AM7381">
        <v>89.136610516385005</v>
      </c>
      <c r="AN7381">
        <v>0.99999992721296904</v>
      </c>
    </row>
    <row r="7382" spans="1:40" x14ac:dyDescent="0.25">
      <c r="A7382" t="str">
        <f>"20190312151208145"</f>
        <v>20190312151208145</v>
      </c>
      <c r="B7382" t="str">
        <f>"1552374728138627"</f>
        <v>1552374728138627</v>
      </c>
      <c r="C7382" t="s">
        <v>40</v>
      </c>
      <c r="D7382">
        <v>5.1460109999999997</v>
      </c>
      <c r="E7382">
        <v>0.49211100000000002</v>
      </c>
      <c r="F7382" t="s">
        <v>41</v>
      </c>
      <c r="G7382">
        <v>-154.7824</v>
      </c>
      <c r="H7382">
        <v>1.0355909999999999</v>
      </c>
      <c r="I7382">
        <v>141.3107</v>
      </c>
      <c r="J7382">
        <v>-155.41069999999999</v>
      </c>
      <c r="K7382">
        <v>1.1097760000000001</v>
      </c>
      <c r="L7382">
        <v>141.3569</v>
      </c>
      <c r="M7382">
        <v>0.9969981</v>
      </c>
      <c r="N7382">
        <v>0</v>
      </c>
      <c r="O7382">
        <v>-7.6082499999999997E-2</v>
      </c>
      <c r="P7382">
        <v>0.99477119999999997</v>
      </c>
      <c r="Q7382">
        <v>4.9209709999999997E-2</v>
      </c>
      <c r="R7382">
        <v>-8.9492329999999995E-2</v>
      </c>
      <c r="S7382">
        <v>3.0080260000000001</v>
      </c>
      <c r="T7382">
        <v>-0.25344050000000001</v>
      </c>
      <c r="U7382">
        <v>-0.22506709999999999</v>
      </c>
      <c r="V7382">
        <v>1.3643290000000001E-2</v>
      </c>
      <c r="W7382">
        <v>6.3532290000000005E-2</v>
      </c>
      <c r="X7382">
        <v>0.99788650000000001</v>
      </c>
      <c r="Y7382">
        <v>-1.2093430000000001E-3</v>
      </c>
      <c r="Z7382">
        <v>6.4323640000000003E-3</v>
      </c>
      <c r="AA7382">
        <v>0.99997860000000005</v>
      </c>
      <c r="AB7382">
        <v>30</v>
      </c>
      <c r="AC7382">
        <v>0.62829999999999497</v>
      </c>
      <c r="AD7382">
        <v>-7.4185000000000098E-2</v>
      </c>
      <c r="AE7382">
        <v>-4.6199999999998902E-2</v>
      </c>
      <c r="AF7382">
        <v>-1.7176844369579201E-3</v>
      </c>
      <c r="AG7382">
        <v>-7.4185000000000098E-2</v>
      </c>
      <c r="AH7382">
        <v>0.62137776301216596</v>
      </c>
      <c r="AI7382">
        <v>96.808173500009005</v>
      </c>
      <c r="AJ7382">
        <v>90.158383231509305</v>
      </c>
      <c r="AK7382">
        <v>0.62579284833787296</v>
      </c>
      <c r="AL7382">
        <v>86.357414576194401</v>
      </c>
      <c r="AM7382">
        <v>89.216690241254199</v>
      </c>
      <c r="AN7382">
        <v>0.99999997905845806</v>
      </c>
    </row>
    <row r="7383" spans="1:40" x14ac:dyDescent="0.25">
      <c r="A7383" t="str">
        <f>"20190312151208166"</f>
        <v>20190312151208166</v>
      </c>
      <c r="B7383" t="str">
        <f>"1552374728159124"</f>
        <v>1552374728159124</v>
      </c>
      <c r="C7383" t="s">
        <v>40</v>
      </c>
      <c r="D7383">
        <v>5.1070080000000004</v>
      </c>
      <c r="E7383">
        <v>0.49091839999999998</v>
      </c>
      <c r="F7383" t="s">
        <v>41</v>
      </c>
      <c r="G7383">
        <v>-154.51300000000001</v>
      </c>
      <c r="H7383">
        <v>1.0368900000000001</v>
      </c>
      <c r="I7383">
        <v>141.29470000000001</v>
      </c>
      <c r="J7383">
        <v>-155.1276</v>
      </c>
      <c r="K7383">
        <v>1.109969</v>
      </c>
      <c r="L7383">
        <v>141.3349</v>
      </c>
      <c r="M7383">
        <v>0.99698050000000005</v>
      </c>
      <c r="N7383">
        <v>0</v>
      </c>
      <c r="O7383">
        <v>-7.6315480000000005E-2</v>
      </c>
      <c r="P7383">
        <v>0.99487840000000005</v>
      </c>
      <c r="Q7383">
        <v>4.9273989999999997E-2</v>
      </c>
      <c r="R7383">
        <v>-8.8256769999999998E-2</v>
      </c>
      <c r="S7383">
        <v>3.009109</v>
      </c>
      <c r="T7383">
        <v>-0.2444026</v>
      </c>
      <c r="U7383">
        <v>-0.20834349999999999</v>
      </c>
      <c r="V7383">
        <v>1.2140629999999999E-2</v>
      </c>
      <c r="W7383">
        <v>6.3587959999999999E-2</v>
      </c>
      <c r="X7383">
        <v>0.99790239999999997</v>
      </c>
      <c r="Y7383">
        <v>-6.9979519999999896E-3</v>
      </c>
      <c r="Z7383">
        <v>6.4562949999999999E-3</v>
      </c>
      <c r="AA7383">
        <v>0.99995469999999997</v>
      </c>
      <c r="AB7383">
        <v>30</v>
      </c>
      <c r="AC7383">
        <v>0.61459999999999504</v>
      </c>
      <c r="AD7383">
        <v>-7.3079000000000102E-2</v>
      </c>
      <c r="AE7383">
        <v>-4.0199999999998598E-2</v>
      </c>
      <c r="AF7383">
        <v>-6.73082277253739E-3</v>
      </c>
      <c r="AG7383">
        <v>-7.3079000000000102E-2</v>
      </c>
      <c r="AH7383">
        <v>0.60732545636368596</v>
      </c>
      <c r="AI7383">
        <v>96.860950653386197</v>
      </c>
      <c r="AJ7383">
        <v>90.634967537322495</v>
      </c>
      <c r="AK7383">
        <v>0.61174345453266099</v>
      </c>
      <c r="AL7383">
        <v>86.3542185768747</v>
      </c>
      <c r="AM7383">
        <v>89.302965357585705</v>
      </c>
      <c r="AN7383">
        <v>1.0000000117397501</v>
      </c>
    </row>
    <row r="7384" spans="1:40" x14ac:dyDescent="0.25">
      <c r="A7384" t="str">
        <f>"20190312151208188"</f>
        <v>20190312151208188</v>
      </c>
      <c r="B7384" t="str">
        <f>"1552374728178643"</f>
        <v>1552374728178643</v>
      </c>
      <c r="C7384" t="s">
        <v>40</v>
      </c>
      <c r="D7384">
        <v>5.1308089999999904</v>
      </c>
      <c r="E7384">
        <v>0.49026029999999998</v>
      </c>
      <c r="F7384" t="s">
        <v>42</v>
      </c>
      <c r="G7384">
        <v>-141.14349999999999</v>
      </c>
      <c r="H7384" s="1">
        <v>-3.9977830000000002E-6</v>
      </c>
      <c r="I7384">
        <v>140.42830000000001</v>
      </c>
      <c r="J7384">
        <v>-154.84450000000001</v>
      </c>
      <c r="K7384">
        <v>1.1101379999999901</v>
      </c>
      <c r="L7384">
        <v>141.31290000000001</v>
      </c>
      <c r="M7384">
        <v>0.99697360000000002</v>
      </c>
      <c r="N7384">
        <v>0</v>
      </c>
      <c r="O7384">
        <v>-7.6409119999999997E-2</v>
      </c>
      <c r="P7384">
        <v>0.99496949999999995</v>
      </c>
      <c r="Q7384">
        <v>5.0329829999999999E-2</v>
      </c>
      <c r="R7384">
        <v>-8.6617050000000001E-2</v>
      </c>
      <c r="S7384">
        <v>3.009979</v>
      </c>
      <c r="T7384">
        <v>-0.23891270000000001</v>
      </c>
      <c r="U7384">
        <v>-0.19512940000000001</v>
      </c>
      <c r="V7384">
        <v>1.0380769999999999E-2</v>
      </c>
      <c r="W7384">
        <v>6.4634839999999999E-2</v>
      </c>
      <c r="X7384">
        <v>0.99785500000000005</v>
      </c>
      <c r="Y7384">
        <v>-1.147976E-2</v>
      </c>
      <c r="Z7384">
        <v>6.4958790000000004E-3</v>
      </c>
      <c r="AA7384">
        <v>0.99991300000000005</v>
      </c>
      <c r="AB7384">
        <v>30</v>
      </c>
      <c r="AC7384">
        <v>13.701000000000001</v>
      </c>
      <c r="AD7384">
        <v>-1.1101419977829901</v>
      </c>
      <c r="AE7384">
        <v>-0.88460000000000505</v>
      </c>
      <c r="AF7384">
        <v>-0.16390383540714201</v>
      </c>
      <c r="AG7384">
        <v>-1.1101419977829901</v>
      </c>
      <c r="AH7384">
        <v>13.6393616719044</v>
      </c>
      <c r="AI7384">
        <v>94.652856023902402</v>
      </c>
      <c r="AJ7384">
        <v>90.688488672414906</v>
      </c>
      <c r="AK7384">
        <v>13.6854472539087</v>
      </c>
      <c r="AL7384">
        <v>86.294113117944306</v>
      </c>
      <c r="AM7384">
        <v>89.403968658602096</v>
      </c>
      <c r="AN7384">
        <v>1.0000000119763</v>
      </c>
    </row>
    <row r="7385" spans="1:40" x14ac:dyDescent="0.25">
      <c r="A7385" t="str">
        <f>"20190312151208209"</f>
        <v>20190312151208209</v>
      </c>
      <c r="B7385" t="str">
        <f>"1552374728199140"</f>
        <v>1552374728199140</v>
      </c>
      <c r="C7385" t="s">
        <v>40</v>
      </c>
      <c r="D7385">
        <v>5.1331249999999997</v>
      </c>
      <c r="E7385">
        <v>0.48991610000000002</v>
      </c>
      <c r="F7385" t="s">
        <v>42</v>
      </c>
      <c r="G7385">
        <v>-140.55619999999999</v>
      </c>
      <c r="H7385" s="1">
        <v>-4.2321819999999998E-6</v>
      </c>
      <c r="I7385">
        <v>140.43610000000001</v>
      </c>
      <c r="J7385">
        <v>-154.5523</v>
      </c>
      <c r="K7385">
        <v>1.110284</v>
      </c>
      <c r="L7385">
        <v>141.29040000000001</v>
      </c>
      <c r="M7385">
        <v>0.9969751</v>
      </c>
      <c r="N7385">
        <v>0</v>
      </c>
      <c r="O7385">
        <v>-7.6391609999999999E-2</v>
      </c>
      <c r="P7385">
        <v>0.99509939999999997</v>
      </c>
      <c r="Q7385">
        <v>5.1095719999999997E-2</v>
      </c>
      <c r="R7385">
        <v>-8.4655880000000003E-2</v>
      </c>
      <c r="S7385">
        <v>3.0108950000000001</v>
      </c>
      <c r="T7385">
        <v>-0.23393320000000001</v>
      </c>
      <c r="U7385">
        <v>-0.18475340000000001</v>
      </c>
      <c r="V7385">
        <v>8.4110929999999997E-3</v>
      </c>
      <c r="W7385">
        <v>6.5390450000000003E-2</v>
      </c>
      <c r="X7385">
        <v>0.9978243</v>
      </c>
      <c r="Y7385">
        <v>-1.4915070000000001E-2</v>
      </c>
      <c r="Z7385">
        <v>6.4916319999999998E-3</v>
      </c>
      <c r="AA7385">
        <v>0.99986770000000003</v>
      </c>
      <c r="AB7385">
        <v>30</v>
      </c>
      <c r="AC7385">
        <v>13.9961</v>
      </c>
      <c r="AD7385">
        <v>-1.110288232182</v>
      </c>
      <c r="AE7385">
        <v>-0.85429999999999495</v>
      </c>
      <c r="AF7385">
        <v>-0.21613598167975601</v>
      </c>
      <c r="AG7385">
        <v>-1.110288232182</v>
      </c>
      <c r="AH7385">
        <v>13.9331060138945</v>
      </c>
      <c r="AI7385">
        <v>94.555558833863401</v>
      </c>
      <c r="AJ7385">
        <v>90.888724048166296</v>
      </c>
      <c r="AK7385">
        <v>13.978944806941699</v>
      </c>
      <c r="AL7385">
        <v>86.250728008134502</v>
      </c>
      <c r="AM7385">
        <v>89.517040508889295</v>
      </c>
      <c r="AN7385">
        <v>0.999999995553573</v>
      </c>
    </row>
    <row r="7386" spans="1:40" x14ac:dyDescent="0.25">
      <c r="A7386" t="str">
        <f>"20190312151208232"</f>
        <v>20190312151208232</v>
      </c>
      <c r="B7386" t="str">
        <f>"1552374728228420"</f>
        <v>1552374728228420</v>
      </c>
      <c r="C7386" t="s">
        <v>40</v>
      </c>
      <c r="D7386">
        <v>5.1414540000000004</v>
      </c>
      <c r="E7386">
        <v>0.48953409999999897</v>
      </c>
      <c r="F7386" t="s">
        <v>42</v>
      </c>
      <c r="G7386">
        <v>-140.0752</v>
      </c>
      <c r="H7386" s="1">
        <v>-4.397568E-6</v>
      </c>
      <c r="I7386">
        <v>140.44579999999999</v>
      </c>
      <c r="J7386">
        <v>-154.2561</v>
      </c>
      <c r="K7386">
        <v>1.1104050000000001</v>
      </c>
      <c r="L7386">
        <v>141.26769999999999</v>
      </c>
      <c r="M7386">
        <v>0.99698419999999999</v>
      </c>
      <c r="N7386">
        <v>0</v>
      </c>
      <c r="O7386">
        <v>-7.6275419999999997E-2</v>
      </c>
      <c r="P7386">
        <v>0.9952493</v>
      </c>
      <c r="Q7386">
        <v>5.1011599999999997E-2</v>
      </c>
      <c r="R7386">
        <v>-8.2928020000000005E-2</v>
      </c>
      <c r="S7386">
        <v>3.0116879999999999</v>
      </c>
      <c r="T7386">
        <v>-0.2309755</v>
      </c>
      <c r="U7386">
        <v>-0.1756897</v>
      </c>
      <c r="V7386">
        <v>6.7749809999999898E-3</v>
      </c>
      <c r="W7386">
        <v>6.5296229999999997E-2</v>
      </c>
      <c r="X7386">
        <v>0.99784289999999998</v>
      </c>
      <c r="Y7386">
        <v>-1.7811750000000001E-2</v>
      </c>
      <c r="Z7386">
        <v>6.5108140000000002E-3</v>
      </c>
      <c r="AA7386">
        <v>0.99982020000000005</v>
      </c>
      <c r="AB7386">
        <v>30</v>
      </c>
      <c r="AC7386">
        <v>14.180899999999999</v>
      </c>
      <c r="AD7386">
        <v>-1.1104093975679901</v>
      </c>
      <c r="AE7386">
        <v>-0.82189999999999896</v>
      </c>
      <c r="AF7386">
        <v>-0.26066671796282398</v>
      </c>
      <c r="AG7386">
        <v>-1.1104093975679901</v>
      </c>
      <c r="AH7386">
        <v>14.116015750755301</v>
      </c>
      <c r="AI7386">
        <v>94.497037431624605</v>
      </c>
      <c r="AJ7386">
        <v>91.057905135244795</v>
      </c>
      <c r="AK7386">
        <v>14.1620216368862</v>
      </c>
      <c r="AL7386">
        <v>86.256137903480194</v>
      </c>
      <c r="AM7386">
        <v>89.610989011524495</v>
      </c>
      <c r="AN7386">
        <v>0.99999997555008602</v>
      </c>
    </row>
    <row r="7387" spans="1:40" x14ac:dyDescent="0.25">
      <c r="A7387" t="str">
        <f>"20190312151208254"</f>
        <v>20190312151208254</v>
      </c>
      <c r="B7387" t="str">
        <f>"1552374728248915"</f>
        <v>1552374728248915</v>
      </c>
      <c r="C7387" t="s">
        <v>40</v>
      </c>
      <c r="D7387">
        <v>5.1634529999999996</v>
      </c>
      <c r="E7387">
        <v>0.48930469999999998</v>
      </c>
      <c r="F7387" t="s">
        <v>42</v>
      </c>
      <c r="G7387">
        <v>-139.7636</v>
      </c>
      <c r="H7387" s="1">
        <v>-3.096916E-7</v>
      </c>
      <c r="I7387">
        <v>140.46549999999999</v>
      </c>
      <c r="J7387">
        <v>-153.958</v>
      </c>
      <c r="K7387">
        <v>1.1104989999999999</v>
      </c>
      <c r="L7387">
        <v>141.245</v>
      </c>
      <c r="M7387">
        <v>0.99699950000000004</v>
      </c>
      <c r="N7387">
        <v>0</v>
      </c>
      <c r="O7387">
        <v>-7.6077409999999998E-2</v>
      </c>
      <c r="P7387">
        <v>0.99544100000000002</v>
      </c>
      <c r="Q7387">
        <v>5.1357699999999999E-2</v>
      </c>
      <c r="R7387">
        <v>-8.0372760000000001E-2</v>
      </c>
      <c r="S7387">
        <v>3.0122529999999998</v>
      </c>
      <c r="T7387">
        <v>-0.23079669999999999</v>
      </c>
      <c r="U7387">
        <v>-0.16671749999999999</v>
      </c>
      <c r="V7387">
        <v>4.3964590000000001E-3</v>
      </c>
      <c r="W7387">
        <v>6.5631690000000006E-2</v>
      </c>
      <c r="X7387">
        <v>0.9978342</v>
      </c>
      <c r="Y7387">
        <v>-2.0585369999999999E-2</v>
      </c>
      <c r="Z7387">
        <v>6.5962169999999997E-3</v>
      </c>
      <c r="AA7387">
        <v>0.9997663</v>
      </c>
      <c r="AB7387">
        <v>30</v>
      </c>
      <c r="AC7387">
        <v>14.1944</v>
      </c>
      <c r="AD7387">
        <v>-1.1104993096915901</v>
      </c>
      <c r="AE7387">
        <v>-0.77950000000001296</v>
      </c>
      <c r="AF7387">
        <v>-0.30090676523955201</v>
      </c>
      <c r="AG7387">
        <v>-1.1104993096915901</v>
      </c>
      <c r="AH7387">
        <v>14.126359873877799</v>
      </c>
      <c r="AI7387">
        <v>94.4938681231949</v>
      </c>
      <c r="AJ7387">
        <v>91.2202776203045</v>
      </c>
      <c r="AK7387">
        <v>14.173136451911301</v>
      </c>
      <c r="AL7387">
        <v>86.236876118810997</v>
      </c>
      <c r="AM7387">
        <v>89.747556342027096</v>
      </c>
      <c r="AN7387">
        <v>0.99999996913681699</v>
      </c>
    </row>
    <row r="7388" spans="1:40" x14ac:dyDescent="0.25">
      <c r="A7388" t="str">
        <f>"20190312151208279"</f>
        <v>20190312151208279</v>
      </c>
      <c r="B7388" t="str">
        <f>"1552374728268436"</f>
        <v>1552374728268436</v>
      </c>
      <c r="C7388" t="s">
        <v>40</v>
      </c>
      <c r="D7388">
        <v>5.171036</v>
      </c>
      <c r="E7388">
        <v>0.48888680000000001</v>
      </c>
      <c r="F7388" t="s">
        <v>42</v>
      </c>
      <c r="G7388">
        <v>-139.41030000000001</v>
      </c>
      <c r="H7388" s="1">
        <v>-4.6724980000000002E-7</v>
      </c>
      <c r="I7388">
        <v>140.4879</v>
      </c>
      <c r="J7388">
        <v>-153.6437</v>
      </c>
      <c r="K7388">
        <v>1.110576</v>
      </c>
      <c r="L7388">
        <v>141.22120000000001</v>
      </c>
      <c r="M7388">
        <v>0.99702049999999998</v>
      </c>
      <c r="N7388">
        <v>0</v>
      </c>
      <c r="O7388">
        <v>-7.5801590000000002E-2</v>
      </c>
      <c r="P7388">
        <v>0.99566379999999999</v>
      </c>
      <c r="Q7388">
        <v>5.1177199999999999E-2</v>
      </c>
      <c r="R7388">
        <v>-7.7680579999999999E-2</v>
      </c>
      <c r="S7388">
        <v>3.0129389999999998</v>
      </c>
      <c r="T7388">
        <v>-0.229991</v>
      </c>
      <c r="U7388">
        <v>-0.15678410000000001</v>
      </c>
      <c r="V7388">
        <v>1.9589310000000001E-3</v>
      </c>
      <c r="W7388">
        <v>6.5440890000000002E-2</v>
      </c>
      <c r="X7388">
        <v>0.99785449999999998</v>
      </c>
      <c r="Y7388">
        <v>-2.360201E-2</v>
      </c>
      <c r="Z7388">
        <v>6.6664690000000004E-3</v>
      </c>
      <c r="AA7388">
        <v>0.99969920000000001</v>
      </c>
      <c r="AB7388">
        <v>30</v>
      </c>
      <c r="AC7388">
        <v>14.2333999999999</v>
      </c>
      <c r="AD7388">
        <v>-1.1105764672498</v>
      </c>
      <c r="AE7388">
        <v>-0.73330000000001405</v>
      </c>
      <c r="AF7388">
        <v>-0.345735451943113</v>
      </c>
      <c r="AG7388">
        <v>-1.1105764672498</v>
      </c>
      <c r="AH7388">
        <v>14.1620407365966</v>
      </c>
      <c r="AI7388">
        <v>94.482584963736599</v>
      </c>
      <c r="AJ7388">
        <v>91.398474179448797</v>
      </c>
      <c r="AK7388">
        <v>14.2097259268911</v>
      </c>
      <c r="AL7388">
        <v>86.247831729648198</v>
      </c>
      <c r="AM7388">
        <v>89.887520340419101</v>
      </c>
      <c r="AN7388">
        <v>0.999999975332452</v>
      </c>
    </row>
    <row r="7389" spans="1:40" x14ac:dyDescent="0.25">
      <c r="A7389" t="str">
        <f>"20190312151208302"</f>
        <v>20190312151208302</v>
      </c>
      <c r="B7389" t="str">
        <f>"1552374728298691"</f>
        <v>1552374728298691</v>
      </c>
      <c r="C7389" t="s">
        <v>40</v>
      </c>
      <c r="D7389">
        <v>5.165368</v>
      </c>
      <c r="E7389">
        <v>0.48850719999999997</v>
      </c>
      <c r="F7389" t="s">
        <v>42</v>
      </c>
      <c r="G7389">
        <v>-138.96690000000001</v>
      </c>
      <c r="H7389" s="1">
        <v>-6.6427499999999998E-7</v>
      </c>
      <c r="I7389">
        <v>140.5136</v>
      </c>
      <c r="J7389">
        <v>-153.3237</v>
      </c>
      <c r="K7389">
        <v>1.110638</v>
      </c>
      <c r="L7389">
        <v>141.19720000000001</v>
      </c>
      <c r="M7389">
        <v>0.99704630000000005</v>
      </c>
      <c r="N7389">
        <v>0</v>
      </c>
      <c r="O7389">
        <v>-7.5465299999999999E-2</v>
      </c>
      <c r="P7389">
        <v>0.99583379999999999</v>
      </c>
      <c r="Q7389">
        <v>5.1100350000000003E-2</v>
      </c>
      <c r="R7389">
        <v>-7.5525510000000004E-2</v>
      </c>
      <c r="S7389">
        <v>3.0134430000000001</v>
      </c>
      <c r="T7389">
        <v>-0.2280238</v>
      </c>
      <c r="U7389">
        <v>-0.14527889999999999</v>
      </c>
      <c r="V7389">
        <v>1.2422520000000001E-4</v>
      </c>
      <c r="W7389">
        <v>6.5353820000000007E-2</v>
      </c>
      <c r="X7389">
        <v>0.99786220000000003</v>
      </c>
      <c r="Y7389">
        <v>-2.7076510000000002E-2</v>
      </c>
      <c r="Z7389">
        <v>6.7152180000000002E-3</v>
      </c>
      <c r="AA7389">
        <v>0.99961080000000002</v>
      </c>
      <c r="AB7389">
        <v>30</v>
      </c>
      <c r="AC7389">
        <v>14.3567999999999</v>
      </c>
      <c r="AD7389">
        <v>-1.1106386642749999</v>
      </c>
      <c r="AE7389">
        <v>-0.68360000000001198</v>
      </c>
      <c r="AF7389">
        <v>-0.39951479564877301</v>
      </c>
      <c r="AG7389">
        <v>-1.1106386642749999</v>
      </c>
      <c r="AH7389">
        <v>14.282166783423101</v>
      </c>
      <c r="AI7389">
        <v>94.444869454295898</v>
      </c>
      <c r="AJ7389">
        <v>91.602315970501394</v>
      </c>
      <c r="AK7389">
        <v>14.3308554644877</v>
      </c>
      <c r="AL7389">
        <v>86.252831469694499</v>
      </c>
      <c r="AM7389">
        <v>89.992867171807404</v>
      </c>
      <c r="AN7389">
        <v>1.0000000537046601</v>
      </c>
    </row>
    <row r="7390" spans="1:40" x14ac:dyDescent="0.25">
      <c r="A7390" t="str">
        <f>"20190312151208321"</f>
        <v>20190312151208321</v>
      </c>
      <c r="B7390" t="str">
        <f>"1552374728308452"</f>
        <v>1552374728308452</v>
      </c>
      <c r="C7390" t="s">
        <v>40</v>
      </c>
      <c r="D7390">
        <v>5.1986970000000001</v>
      </c>
      <c r="E7390">
        <v>0.48845509999999898</v>
      </c>
      <c r="F7390" t="s">
        <v>42</v>
      </c>
      <c r="G7390">
        <v>-138.40620000000001</v>
      </c>
      <c r="H7390" s="1">
        <v>-9.0781189999999998E-7</v>
      </c>
      <c r="I7390">
        <v>140.5249</v>
      </c>
      <c r="J7390">
        <v>-153.0744</v>
      </c>
      <c r="K7390">
        <v>1.110676</v>
      </c>
      <c r="L7390">
        <v>141.17859999999999</v>
      </c>
      <c r="M7390">
        <v>0.99706790000000001</v>
      </c>
      <c r="N7390">
        <v>0</v>
      </c>
      <c r="O7390">
        <v>-7.5181189999999995E-2</v>
      </c>
      <c r="P7390">
        <v>0.99597570000000002</v>
      </c>
      <c r="Q7390">
        <v>5.0750789999999997E-2</v>
      </c>
      <c r="R7390">
        <v>-7.3868649999999994E-2</v>
      </c>
      <c r="S7390">
        <v>3.013763</v>
      </c>
      <c r="T7390">
        <v>-0.22438060000000001</v>
      </c>
      <c r="U7390">
        <v>-0.13581849999999901</v>
      </c>
      <c r="V7390">
        <v>-1.2593439999999999E-3</v>
      </c>
      <c r="W7390">
        <v>6.4995990000000003E-2</v>
      </c>
      <c r="X7390">
        <v>0.99788480000000002</v>
      </c>
      <c r="Y7390">
        <v>-2.9929850000000001E-2</v>
      </c>
      <c r="Z7390">
        <v>6.6931389999999999E-3</v>
      </c>
      <c r="AA7390">
        <v>0.99952960000000002</v>
      </c>
      <c r="AB7390">
        <v>30</v>
      </c>
      <c r="AC7390">
        <v>14.668199999999899</v>
      </c>
      <c r="AD7390">
        <v>-1.1106769078118901</v>
      </c>
      <c r="AE7390">
        <v>-0.65369999999998596</v>
      </c>
      <c r="AF7390">
        <v>-0.44846910283267699</v>
      </c>
      <c r="AG7390">
        <v>-1.1106769078118901</v>
      </c>
      <c r="AH7390">
        <v>14.5923301846464</v>
      </c>
      <c r="AI7390">
        <v>94.350557777270595</v>
      </c>
      <c r="AJ7390">
        <v>91.760328958409005</v>
      </c>
      <c r="AK7390">
        <v>14.641407990609499</v>
      </c>
      <c r="AL7390">
        <v>86.273377359337204</v>
      </c>
      <c r="AM7390">
        <v>90.072308003738002</v>
      </c>
      <c r="AN7390">
        <v>1.00000006936721</v>
      </c>
    </row>
    <row r="7391" spans="1:40" x14ac:dyDescent="0.25">
      <c r="A7391" t="str">
        <f>"20190312151208343"</f>
        <v>20190312151208343</v>
      </c>
      <c r="B7391" t="str">
        <f>"1552374728338709"</f>
        <v>1552374728338709</v>
      </c>
      <c r="C7391" t="s">
        <v>40</v>
      </c>
      <c r="D7391">
        <v>5.1904570000000003</v>
      </c>
      <c r="E7391">
        <v>0.48844579999999999</v>
      </c>
      <c r="F7391" t="s">
        <v>42</v>
      </c>
      <c r="G7391">
        <v>-138.1617</v>
      </c>
      <c r="H7391" s="1">
        <v>-1.015085E-6</v>
      </c>
      <c r="I7391">
        <v>140.53389999999999</v>
      </c>
      <c r="J7391">
        <v>-152.77879999999999</v>
      </c>
      <c r="K7391">
        <v>1.1107049999999901</v>
      </c>
      <c r="L7391">
        <v>141.1567</v>
      </c>
      <c r="M7391">
        <v>0.99709530000000002</v>
      </c>
      <c r="N7391">
        <v>0</v>
      </c>
      <c r="O7391">
        <v>-7.4816659999999993E-2</v>
      </c>
      <c r="P7391">
        <v>0.99610529999999997</v>
      </c>
      <c r="Q7391">
        <v>5.056795E-2</v>
      </c>
      <c r="R7391">
        <v>-7.2231589999999998E-2</v>
      </c>
      <c r="S7391">
        <v>3.0139010000000002</v>
      </c>
      <c r="T7391">
        <v>-0.2244707</v>
      </c>
      <c r="U7391">
        <v>-0.13029479999999999</v>
      </c>
      <c r="V7391">
        <v>-2.541733E-3</v>
      </c>
      <c r="W7391">
        <v>6.4804719999999996E-2</v>
      </c>
      <c r="X7391">
        <v>0.99789470000000002</v>
      </c>
      <c r="Y7391">
        <v>-3.1391460000000003E-2</v>
      </c>
      <c r="Z7391">
        <v>6.7231859999999999E-3</v>
      </c>
      <c r="AA7391">
        <v>0.9994845</v>
      </c>
      <c r="AB7391">
        <v>30</v>
      </c>
      <c r="AC7391">
        <v>14.617099999999899</v>
      </c>
      <c r="AD7391">
        <v>-1.1107060150850001</v>
      </c>
      <c r="AE7391">
        <v>-0.62280000000001201</v>
      </c>
      <c r="AF7391">
        <v>-0.469951152369467</v>
      </c>
      <c r="AG7391">
        <v>-1.1107060150850001</v>
      </c>
      <c r="AH7391">
        <v>14.5389294838062</v>
      </c>
      <c r="AI7391">
        <v>94.366371553764395</v>
      </c>
      <c r="AJ7391">
        <v>91.851363668027702</v>
      </c>
      <c r="AK7391">
        <v>14.5888653593297</v>
      </c>
      <c r="AL7391">
        <v>86.284359113897395</v>
      </c>
      <c r="AM7391">
        <v>90.145937500835203</v>
      </c>
      <c r="AN7391">
        <v>0.99999997221450498</v>
      </c>
    </row>
    <row r="7392" spans="1:40" x14ac:dyDescent="0.25">
      <c r="A7392" t="str">
        <f>"20190312151208366"</f>
        <v>20190312151208366</v>
      </c>
      <c r="B7392" t="str">
        <f>"1552374728358228"</f>
        <v>1552374728358228</v>
      </c>
      <c r="C7392" t="s">
        <v>40</v>
      </c>
      <c r="D7392">
        <v>5.1734030000000004</v>
      </c>
      <c r="E7392">
        <v>0.48852909999999999</v>
      </c>
      <c r="F7392" t="s">
        <v>42</v>
      </c>
      <c r="G7392">
        <v>-137.8597</v>
      </c>
      <c r="H7392" s="1">
        <v>-1.1448700000000001E-6</v>
      </c>
      <c r="I7392">
        <v>140.53469999999999</v>
      </c>
      <c r="J7392">
        <v>-152.48500000000001</v>
      </c>
      <c r="K7392">
        <v>1.1107260000000001</v>
      </c>
      <c r="L7392">
        <v>141.13499999999999</v>
      </c>
      <c r="M7392">
        <v>0.99712509999999999</v>
      </c>
      <c r="N7392">
        <v>0</v>
      </c>
      <c r="O7392">
        <v>-7.4421319999999999E-2</v>
      </c>
      <c r="P7392">
        <v>0.99624080000000004</v>
      </c>
      <c r="Q7392">
        <v>5.0369169999999998E-2</v>
      </c>
      <c r="R7392">
        <v>-7.047921E-2</v>
      </c>
      <c r="S7392">
        <v>3.014008</v>
      </c>
      <c r="T7392">
        <v>-0.2243879</v>
      </c>
      <c r="U7392">
        <v>-0.1256409</v>
      </c>
      <c r="V7392">
        <v>-3.9078999999999997E-3</v>
      </c>
      <c r="W7392">
        <v>6.4597719999999997E-2</v>
      </c>
      <c r="X7392">
        <v>0.99790380000000001</v>
      </c>
      <c r="Y7392">
        <v>-3.2535340000000003E-2</v>
      </c>
      <c r="Z7392">
        <v>6.7339779999999998E-3</v>
      </c>
      <c r="AA7392">
        <v>0.99944789999999994</v>
      </c>
      <c r="AB7392">
        <v>30</v>
      </c>
      <c r="AC7392">
        <v>14.625299999999999</v>
      </c>
      <c r="AD7392">
        <v>-1.11072714487</v>
      </c>
      <c r="AE7392">
        <v>-0.60030000000000405</v>
      </c>
      <c r="AF7392">
        <v>-0.48710489661388801</v>
      </c>
      <c r="AG7392">
        <v>-1.11072714487</v>
      </c>
      <c r="AH7392">
        <v>14.5456594310926</v>
      </c>
      <c r="AI7392">
        <v>94.364275456471205</v>
      </c>
      <c r="AJ7392">
        <v>91.918003723029003</v>
      </c>
      <c r="AK7392">
        <v>14.596136278344</v>
      </c>
      <c r="AL7392">
        <v>86.296244590045504</v>
      </c>
      <c r="AM7392">
        <v>90.224375367814105</v>
      </c>
      <c r="AN7392">
        <v>1.0000000655830199</v>
      </c>
    </row>
    <row r="7393" spans="1:40" x14ac:dyDescent="0.25">
      <c r="A7393" t="str">
        <f>"20190312151208388"</f>
        <v>20190312151208388</v>
      </c>
      <c r="B7393" t="str">
        <f>"1552374728378723"</f>
        <v>1552374728378723</v>
      </c>
      <c r="C7393" t="s">
        <v>40</v>
      </c>
      <c r="D7393">
        <v>5.1751370000000003</v>
      </c>
      <c r="E7393">
        <v>0.4886586</v>
      </c>
      <c r="F7393" t="s">
        <v>42</v>
      </c>
      <c r="G7393">
        <v>-137.82509999999999</v>
      </c>
      <c r="H7393" s="1">
        <v>-1.1623859999999999E-6</v>
      </c>
      <c r="I7393">
        <v>140.54480000000001</v>
      </c>
      <c r="J7393">
        <v>-152.18440000000001</v>
      </c>
      <c r="K7393">
        <v>1.110768</v>
      </c>
      <c r="L7393">
        <v>141.113</v>
      </c>
      <c r="M7393">
        <v>0.99715849999999995</v>
      </c>
      <c r="N7393">
        <v>0</v>
      </c>
      <c r="O7393">
        <v>-7.3973689999999995E-2</v>
      </c>
      <c r="P7393">
        <v>0.99632379999999998</v>
      </c>
      <c r="Q7393">
        <v>5.0816790000000001E-2</v>
      </c>
      <c r="R7393">
        <v>-6.8970660000000003E-2</v>
      </c>
      <c r="S7393">
        <v>3.014297</v>
      </c>
      <c r="T7393">
        <v>-0.2283819</v>
      </c>
      <c r="U7393">
        <v>-0.12135310000000001</v>
      </c>
      <c r="V7393">
        <v>-4.9760109999999998E-3</v>
      </c>
      <c r="W7393">
        <v>6.5036919999999998E-2</v>
      </c>
      <c r="X7393">
        <v>0.99787040000000005</v>
      </c>
      <c r="Y7393">
        <v>-3.349792E-2</v>
      </c>
      <c r="Z7393">
        <v>6.855753E-3</v>
      </c>
      <c r="AA7393">
        <v>0.99941530000000001</v>
      </c>
      <c r="AB7393">
        <v>30</v>
      </c>
      <c r="AC7393">
        <v>14.359299999999999</v>
      </c>
      <c r="AD7393">
        <v>-1.1107691623860001</v>
      </c>
      <c r="AE7393">
        <v>-0.56819999999999005</v>
      </c>
      <c r="AF7393">
        <v>-0.492731391893307</v>
      </c>
      <c r="AG7393">
        <v>-1.1107691623860001</v>
      </c>
      <c r="AH7393">
        <v>14.2766903219221</v>
      </c>
      <c r="AI7393">
        <v>94.446183970342105</v>
      </c>
      <c r="AJ7393">
        <v>91.9766645697093</v>
      </c>
      <c r="AK7393">
        <v>14.3283103995108</v>
      </c>
      <c r="AL7393">
        <v>86.271026819271</v>
      </c>
      <c r="AM7393">
        <v>90.285710515077199</v>
      </c>
      <c r="AN7393">
        <v>0.99999994842235795</v>
      </c>
    </row>
    <row r="7394" spans="1:40" x14ac:dyDescent="0.25">
      <c r="A7394" t="str">
        <f>"20190312151208409"</f>
        <v>20190312151208409</v>
      </c>
      <c r="B7394" t="str">
        <f>"1552374728398244"</f>
        <v>1552374728398244</v>
      </c>
      <c r="C7394" t="s">
        <v>40</v>
      </c>
      <c r="D7394">
        <v>5.2491490000000001</v>
      </c>
      <c r="E7394">
        <v>0.4886875</v>
      </c>
      <c r="F7394" t="s">
        <v>42</v>
      </c>
      <c r="G7394">
        <v>-137.6301</v>
      </c>
      <c r="H7394" s="1">
        <v>-1.2461339999999999E-6</v>
      </c>
      <c r="I7394">
        <v>140.54509999999999</v>
      </c>
      <c r="J7394">
        <v>-151.90199999999999</v>
      </c>
      <c r="K7394">
        <v>1.1108199999999999</v>
      </c>
      <c r="L7394">
        <v>141.0926</v>
      </c>
      <c r="M7394">
        <v>0.99719369999999996</v>
      </c>
      <c r="N7394">
        <v>0</v>
      </c>
      <c r="O7394">
        <v>-7.3497450000000006E-2</v>
      </c>
      <c r="P7394">
        <v>0.9963497</v>
      </c>
      <c r="Q7394">
        <v>5.1470389999999998E-2</v>
      </c>
      <c r="R7394">
        <v>-6.8104129999999999E-2</v>
      </c>
      <c r="S7394">
        <v>3.0146639999999998</v>
      </c>
      <c r="T7394">
        <v>-0.2300751</v>
      </c>
      <c r="U7394">
        <v>-0.11763</v>
      </c>
      <c r="V7394">
        <v>-5.3721410000000004E-3</v>
      </c>
      <c r="W7394">
        <v>6.5684030000000004E-2</v>
      </c>
      <c r="X7394">
        <v>0.99782599999999999</v>
      </c>
      <c r="Y7394">
        <v>-3.425251E-2</v>
      </c>
      <c r="Z7394">
        <v>6.8983909999999898E-3</v>
      </c>
      <c r="AA7394">
        <v>0.99938939999999998</v>
      </c>
      <c r="AB7394">
        <v>30</v>
      </c>
      <c r="AC7394">
        <v>14.2719</v>
      </c>
      <c r="AD7394">
        <v>-1.1108212461339999</v>
      </c>
      <c r="AE7394">
        <v>-0.54750000000001298</v>
      </c>
      <c r="AF7394">
        <v>-0.50001114379195899</v>
      </c>
      <c r="AG7394">
        <v>-1.1108212461339999</v>
      </c>
      <c r="AH7394">
        <v>14.1877144013737</v>
      </c>
      <c r="AI7394">
        <v>94.474050316460904</v>
      </c>
      <c r="AJ7394">
        <v>92.018413637805395</v>
      </c>
      <c r="AK7394">
        <v>14.2399148494549</v>
      </c>
      <c r="AL7394">
        <v>86.233870847528394</v>
      </c>
      <c r="AM7394">
        <v>90.308468643179197</v>
      </c>
      <c r="AN7394">
        <v>0.99999998898598197</v>
      </c>
    </row>
    <row r="7395" spans="1:40" x14ac:dyDescent="0.25">
      <c r="A7395" t="str">
        <f>"20190312151208439"</f>
        <v>20190312151208439</v>
      </c>
      <c r="B7395" t="str">
        <f>"1552374728428500"</f>
        <v>1552374728428500</v>
      </c>
      <c r="C7395" t="s">
        <v>40</v>
      </c>
      <c r="D7395">
        <v>5.1605249999999998</v>
      </c>
      <c r="E7395">
        <v>0.48888680000000001</v>
      </c>
      <c r="F7395" t="s">
        <v>42</v>
      </c>
      <c r="G7395">
        <v>-137.4359</v>
      </c>
      <c r="H7395" s="1">
        <v>-1.3285299999999901E-6</v>
      </c>
      <c r="I7395">
        <v>140.54169999999999</v>
      </c>
      <c r="J7395">
        <v>-151.52680000000001</v>
      </c>
      <c r="K7395">
        <v>1.1109009999999999</v>
      </c>
      <c r="L7395">
        <v>141.06569999999999</v>
      </c>
      <c r="M7395">
        <v>0.99724840000000003</v>
      </c>
      <c r="N7395">
        <v>0</v>
      </c>
      <c r="O7395">
        <v>-7.2755189999999997E-2</v>
      </c>
      <c r="P7395">
        <v>0.99643360000000003</v>
      </c>
      <c r="Q7395">
        <v>5.2132589999999999E-2</v>
      </c>
      <c r="R7395">
        <v>-6.6354060000000006E-2</v>
      </c>
      <c r="S7395">
        <v>3.0151059999999998</v>
      </c>
      <c r="T7395">
        <v>-0.23152410000000001</v>
      </c>
      <c r="U7395">
        <v>-0.1148071</v>
      </c>
      <c r="V7395">
        <v>-6.3938809999999997E-3</v>
      </c>
      <c r="W7395">
        <v>6.6336350000000002E-2</v>
      </c>
      <c r="X7395">
        <v>0.99777680000000002</v>
      </c>
      <c r="Y7395">
        <v>-3.4446339999999999E-2</v>
      </c>
      <c r="Z7395">
        <v>6.8915519999999996E-3</v>
      </c>
      <c r="AA7395">
        <v>0.99938280000000002</v>
      </c>
      <c r="AB7395">
        <v>30</v>
      </c>
      <c r="AC7395">
        <v>14.0909</v>
      </c>
      <c r="AD7395">
        <v>-1.1109023285299999</v>
      </c>
      <c r="AE7395">
        <v>-0.52400000000000002</v>
      </c>
      <c r="AF7395">
        <v>-0.49957797041861302</v>
      </c>
      <c r="AG7395">
        <v>-1.1109023285299999</v>
      </c>
      <c r="AH7395">
        <v>14.004750759232</v>
      </c>
      <c r="AI7395">
        <v>94.532519923887506</v>
      </c>
      <c r="AJ7395">
        <v>92.042990827077205</v>
      </c>
      <c r="AK7395">
        <v>14.0576216324196</v>
      </c>
      <c r="AL7395">
        <v>86.196413887601594</v>
      </c>
      <c r="AM7395">
        <v>90.367153637592693</v>
      </c>
      <c r="AN7395">
        <v>0.99999996783190104</v>
      </c>
    </row>
    <row r="7396" spans="1:40" x14ac:dyDescent="0.25">
      <c r="A7396" t="str">
        <f>"20190312151208454"</f>
        <v>20190312151208454</v>
      </c>
      <c r="B7396" t="str">
        <f>"1552374728448351"</f>
        <v>1552374728448351</v>
      </c>
      <c r="C7396" t="s">
        <v>40</v>
      </c>
      <c r="D7396">
        <v>5.2304760000000003</v>
      </c>
      <c r="E7396">
        <v>0.4890523</v>
      </c>
      <c r="F7396" t="s">
        <v>42</v>
      </c>
      <c r="G7396">
        <v>-137.06469999999999</v>
      </c>
      <c r="H7396" s="1">
        <v>-1.4856049999999999E-6</v>
      </c>
      <c r="I7396">
        <v>140.5335</v>
      </c>
      <c r="J7396">
        <v>-151.31280000000001</v>
      </c>
      <c r="K7396">
        <v>1.1109599999999999</v>
      </c>
      <c r="L7396">
        <v>141.0506</v>
      </c>
      <c r="M7396">
        <v>0.99728510000000004</v>
      </c>
      <c r="N7396">
        <v>0</v>
      </c>
      <c r="O7396">
        <v>-7.2249899999999895E-2</v>
      </c>
      <c r="P7396">
        <v>0.99644410000000005</v>
      </c>
      <c r="Q7396">
        <v>5.250403E-2</v>
      </c>
      <c r="R7396">
        <v>-6.5901230000000005E-2</v>
      </c>
      <c r="S7396">
        <v>3.0154570000000001</v>
      </c>
      <c r="T7396">
        <v>-0.23163030000000001</v>
      </c>
      <c r="U7396">
        <v>-0.1109619</v>
      </c>
      <c r="V7396">
        <v>-6.3504310000000001E-3</v>
      </c>
      <c r="W7396">
        <v>6.6703650000000003E-2</v>
      </c>
      <c r="X7396">
        <v>0.99775259999999999</v>
      </c>
      <c r="Y7396">
        <v>-3.5215950000000003E-2</v>
      </c>
      <c r="Z7396">
        <v>6.8849940000000002E-3</v>
      </c>
      <c r="AA7396">
        <v>0.99935600000000002</v>
      </c>
      <c r="AB7396">
        <v>29</v>
      </c>
      <c r="AC7396">
        <v>14.248100000000001</v>
      </c>
      <c r="AD7396">
        <v>-1.1109614856050001</v>
      </c>
      <c r="AE7396">
        <v>-0.517099999999999</v>
      </c>
      <c r="AF7396">
        <v>-0.51067896258098799</v>
      </c>
      <c r="AG7396">
        <v>-1.1109614856050001</v>
      </c>
      <c r="AH7396">
        <v>14.1622308755024</v>
      </c>
      <c r="AI7396">
        <v>94.482501885445998</v>
      </c>
      <c r="AJ7396">
        <v>92.065146201429897</v>
      </c>
      <c r="AK7396">
        <v>14.2149151174516</v>
      </c>
      <c r="AL7396">
        <v>86.175322469729196</v>
      </c>
      <c r="AM7396">
        <v>90.364667535117704</v>
      </c>
      <c r="AN7396">
        <v>0.99999997785198302</v>
      </c>
    </row>
    <row r="7397" spans="1:40" x14ac:dyDescent="0.25">
      <c r="A7397" t="str">
        <f>"20190312151208486"</f>
        <v>20190312151208486</v>
      </c>
      <c r="B7397" t="str">
        <f>"1552374728478606"</f>
        <v>1552374728478606</v>
      </c>
      <c r="C7397" t="s">
        <v>40</v>
      </c>
      <c r="D7397">
        <v>5.3143310000000001</v>
      </c>
      <c r="E7397">
        <v>0.4892801</v>
      </c>
      <c r="F7397" t="s">
        <v>42</v>
      </c>
      <c r="G7397">
        <v>-136.8604</v>
      </c>
      <c r="H7397" s="1">
        <v>-1.5695859999999901E-6</v>
      </c>
      <c r="I7397">
        <v>140.5197</v>
      </c>
      <c r="J7397">
        <v>-150.91999999999999</v>
      </c>
      <c r="K7397">
        <v>1.111062</v>
      </c>
      <c r="L7397">
        <v>141.02330000000001</v>
      </c>
      <c r="M7397">
        <v>0.99736179999999997</v>
      </c>
      <c r="N7397">
        <v>0</v>
      </c>
      <c r="O7397">
        <v>-7.118273E-2</v>
      </c>
      <c r="P7397">
        <v>0.99655260000000001</v>
      </c>
      <c r="Q7397">
        <v>5.2393299999999997E-2</v>
      </c>
      <c r="R7397">
        <v>-6.4326700000000001E-2</v>
      </c>
      <c r="S7397">
        <v>3.0155940000000001</v>
      </c>
      <c r="T7397">
        <v>-0.2318096</v>
      </c>
      <c r="U7397">
        <v>-0.1107635</v>
      </c>
      <c r="V7397">
        <v>-6.8776319999999998E-3</v>
      </c>
      <c r="W7397">
        <v>6.6585199999999997E-2</v>
      </c>
      <c r="X7397">
        <v>0.99775700000000001</v>
      </c>
      <c r="Y7397">
        <v>-3.4219520000000003E-2</v>
      </c>
      <c r="Z7397">
        <v>6.7700969999999897E-3</v>
      </c>
      <c r="AA7397">
        <v>0.99939140000000004</v>
      </c>
      <c r="AB7397">
        <v>29</v>
      </c>
      <c r="AC7397">
        <v>14.0595999999999</v>
      </c>
      <c r="AD7397">
        <v>-1.1110635695860001</v>
      </c>
      <c r="AE7397">
        <v>-0.50360000000000504</v>
      </c>
      <c r="AF7397">
        <v>-0.49548941919878697</v>
      </c>
      <c r="AG7397">
        <v>-1.1110635695860001</v>
      </c>
      <c r="AH7397">
        <v>13.9726317576197</v>
      </c>
      <c r="AI7397">
        <v>94.543585765614694</v>
      </c>
      <c r="AJ7397">
        <v>92.030938905783998</v>
      </c>
      <c r="AK7397">
        <v>14.025491444303899</v>
      </c>
      <c r="AL7397">
        <v>86.182124211869606</v>
      </c>
      <c r="AM7397">
        <v>90.394938893552805</v>
      </c>
      <c r="AN7397">
        <v>0.999999960864983</v>
      </c>
    </row>
    <row r="7398" spans="1:40" x14ac:dyDescent="0.25">
      <c r="A7398" t="str">
        <f>"20190312151208504"</f>
        <v>20190312151208504</v>
      </c>
      <c r="B7398" t="str">
        <f>"1552374728499102"</f>
        <v>1552374728499102</v>
      </c>
      <c r="C7398" t="s">
        <v>40</v>
      </c>
      <c r="D7398">
        <v>5.1755309999999897</v>
      </c>
      <c r="E7398">
        <v>0.48950510000000003</v>
      </c>
      <c r="F7398" t="s">
        <v>42</v>
      </c>
      <c r="G7398">
        <v>-136.55760000000001</v>
      </c>
      <c r="H7398" s="1">
        <v>-1.697185E-6</v>
      </c>
      <c r="I7398">
        <v>140.5111</v>
      </c>
      <c r="J7398">
        <v>-150.6636</v>
      </c>
      <c r="K7398">
        <v>1.111137</v>
      </c>
      <c r="L7398">
        <v>141.0059</v>
      </c>
      <c r="M7398">
        <v>0.99741950000000001</v>
      </c>
      <c r="N7398">
        <v>0</v>
      </c>
      <c r="O7398">
        <v>-7.0370600000000005E-2</v>
      </c>
      <c r="P7398">
        <v>0.99667410000000001</v>
      </c>
      <c r="Q7398">
        <v>5.2015749999999999E-2</v>
      </c>
      <c r="R7398">
        <v>-6.273157E-2</v>
      </c>
      <c r="S7398">
        <v>3.015701</v>
      </c>
      <c r="T7398">
        <v>-0.2332929</v>
      </c>
      <c r="U7398">
        <v>-0.107543899999999</v>
      </c>
      <c r="V7398">
        <v>-7.6752119999999998E-3</v>
      </c>
      <c r="W7398">
        <v>6.6202639999999993E-2</v>
      </c>
      <c r="X7398">
        <v>0.99777669999999996</v>
      </c>
      <c r="Y7398">
        <v>-3.4470290000000001E-2</v>
      </c>
      <c r="Z7398">
        <v>6.7603519999999999E-3</v>
      </c>
      <c r="AA7398">
        <v>0.99938289999999996</v>
      </c>
      <c r="AB7398">
        <v>29</v>
      </c>
      <c r="AC7398">
        <v>14.1059999999999</v>
      </c>
      <c r="AD7398">
        <v>-1.1111386971849999</v>
      </c>
      <c r="AE7398">
        <v>-0.49479999999999702</v>
      </c>
      <c r="AF7398">
        <v>-0.496100584849822</v>
      </c>
      <c r="AG7398">
        <v>-1.1111386971849999</v>
      </c>
      <c r="AH7398">
        <v>14.0189676626708</v>
      </c>
      <c r="AI7398">
        <v>94.528947430652494</v>
      </c>
      <c r="AJ7398">
        <v>92.026726505279598</v>
      </c>
      <c r="AK7398">
        <v>14.0716807568137</v>
      </c>
      <c r="AL7398">
        <v>86.204091985524897</v>
      </c>
      <c r="AM7398">
        <v>90.440728452616696</v>
      </c>
      <c r="AN7398">
        <v>1.0000000207425499</v>
      </c>
    </row>
    <row r="7399" spans="1:40" x14ac:dyDescent="0.25">
      <c r="A7399" t="str">
        <f>"20190312151208525"</f>
        <v>20190312151208525</v>
      </c>
      <c r="B7399" t="str">
        <f>"1552374728518623"</f>
        <v>1552374728518623</v>
      </c>
      <c r="C7399" t="s">
        <v>40</v>
      </c>
      <c r="D7399">
        <v>5.1359209999999997</v>
      </c>
      <c r="E7399">
        <v>0.48967569999999999</v>
      </c>
      <c r="F7399" t="s">
        <v>42</v>
      </c>
      <c r="G7399">
        <v>-136.4143</v>
      </c>
      <c r="H7399" s="1">
        <v>-1.758931E-6</v>
      </c>
      <c r="I7399">
        <v>140.512</v>
      </c>
      <c r="J7399">
        <v>-150.39340000000001</v>
      </c>
      <c r="K7399">
        <v>1.111218</v>
      </c>
      <c r="L7399">
        <v>140.98779999999999</v>
      </c>
      <c r="M7399">
        <v>0.9974864</v>
      </c>
      <c r="N7399">
        <v>0</v>
      </c>
      <c r="O7399">
        <v>-6.941659E-2</v>
      </c>
      <c r="P7399">
        <v>0.99678339999999999</v>
      </c>
      <c r="Q7399">
        <v>5.2053759999999998E-2</v>
      </c>
      <c r="R7399">
        <v>-6.0936129999999998E-2</v>
      </c>
      <c r="S7399">
        <v>3.0156860000000001</v>
      </c>
      <c r="T7399">
        <v>-0.23515749999999999</v>
      </c>
      <c r="U7399">
        <v>-0.1045074</v>
      </c>
      <c r="V7399">
        <v>-8.5320650000000001E-3</v>
      </c>
      <c r="W7399">
        <v>6.623453E-2</v>
      </c>
      <c r="X7399">
        <v>0.99776759999999998</v>
      </c>
      <c r="Y7399">
        <v>-3.4516980000000003E-2</v>
      </c>
      <c r="Z7399">
        <v>6.742156E-3</v>
      </c>
      <c r="AA7399">
        <v>0.99938139999999998</v>
      </c>
      <c r="AB7399">
        <v>29</v>
      </c>
      <c r="AC7399">
        <v>13.979100000000001</v>
      </c>
      <c r="AD7399">
        <v>-1.111219758931</v>
      </c>
      <c r="AE7399">
        <v>-0.47579999999999201</v>
      </c>
      <c r="AF7399">
        <v>-0.49271772813148101</v>
      </c>
      <c r="AG7399">
        <v>-1.111219758931</v>
      </c>
      <c r="AH7399">
        <v>13.8907313914694</v>
      </c>
      <c r="AI7399">
        <v>94.570899999388104</v>
      </c>
      <c r="AJ7399">
        <v>92.031485212056594</v>
      </c>
      <c r="AK7399">
        <v>13.9438157870149</v>
      </c>
      <c r="AL7399">
        <v>86.202260711209902</v>
      </c>
      <c r="AM7399">
        <v>90.4899331269648</v>
      </c>
      <c r="AN7399">
        <v>0.99999999635362202</v>
      </c>
    </row>
    <row r="7400" spans="1:40" x14ac:dyDescent="0.25">
      <c r="A7400" t="str">
        <f>"20190312151208544"</f>
        <v>20190312151208544</v>
      </c>
      <c r="B7400" t="str">
        <f>"1552374728539118"</f>
        <v>1552374728539118</v>
      </c>
      <c r="C7400" t="s">
        <v>40</v>
      </c>
      <c r="D7400">
        <v>5.1694599999999999</v>
      </c>
      <c r="E7400">
        <v>0.48987829999999899</v>
      </c>
      <c r="F7400" t="s">
        <v>42</v>
      </c>
      <c r="G7400">
        <v>-136.19329999999999</v>
      </c>
      <c r="H7400" s="1">
        <v>-1.8544889999999999E-6</v>
      </c>
      <c r="I7400">
        <v>140.51480000000001</v>
      </c>
      <c r="J7400">
        <v>-150.13759999999999</v>
      </c>
      <c r="K7400">
        <v>1.1113010000000001</v>
      </c>
      <c r="L7400">
        <v>140.971</v>
      </c>
      <c r="M7400">
        <v>0.99755479999999996</v>
      </c>
      <c r="N7400">
        <v>0</v>
      </c>
      <c r="O7400">
        <v>-6.8426940000000006E-2</v>
      </c>
      <c r="P7400">
        <v>0.99694729999999998</v>
      </c>
      <c r="Q7400">
        <v>5.1809470000000003E-2</v>
      </c>
      <c r="R7400">
        <v>-5.8411699999999997E-2</v>
      </c>
      <c r="S7400">
        <v>3.0158689999999999</v>
      </c>
      <c r="T7400">
        <v>-0.2360042</v>
      </c>
      <c r="U7400">
        <v>-0.1004486</v>
      </c>
      <c r="V7400">
        <v>-1.0082290000000001E-2</v>
      </c>
      <c r="W7400">
        <v>6.5982830000000006E-2</v>
      </c>
      <c r="X7400">
        <v>0.99776980000000004</v>
      </c>
      <c r="Y7400">
        <v>-3.4870699999999998E-2</v>
      </c>
      <c r="Z7400">
        <v>6.7028529999999999E-3</v>
      </c>
      <c r="AA7400">
        <v>0.99936939999999996</v>
      </c>
      <c r="AB7400">
        <v>29</v>
      </c>
      <c r="AC7400">
        <v>13.944299999999901</v>
      </c>
      <c r="AD7400">
        <v>-1.111302854489</v>
      </c>
      <c r="AE7400">
        <v>-0.456199999999995</v>
      </c>
      <c r="AF7400">
        <v>-0.49598489367116799</v>
      </c>
      <c r="AG7400">
        <v>-1.111302854489</v>
      </c>
      <c r="AH7400">
        <v>13.8549248040274</v>
      </c>
      <c r="AI7400">
        <v>94.582950794285694</v>
      </c>
      <c r="AJ7400">
        <v>92.050224840966095</v>
      </c>
      <c r="AK7400">
        <v>13.9082686332411</v>
      </c>
      <c r="AL7400">
        <v>86.216713614352201</v>
      </c>
      <c r="AM7400">
        <v>90.578944165738505</v>
      </c>
      <c r="AN7400">
        <v>0.99999998010924596</v>
      </c>
    </row>
    <row r="7401" spans="1:40" x14ac:dyDescent="0.25">
      <c r="A7401" t="str">
        <f>"20190312151208567"</f>
        <v>20190312151208567</v>
      </c>
      <c r="B7401" t="str">
        <f>"1552374728558639"</f>
        <v>1552374728558639</v>
      </c>
      <c r="C7401" t="s">
        <v>40</v>
      </c>
      <c r="D7401">
        <v>5.1940419999999996</v>
      </c>
      <c r="E7401">
        <v>0.49004150000000002</v>
      </c>
      <c r="F7401" t="s">
        <v>42</v>
      </c>
      <c r="G7401">
        <v>-136.06059999999999</v>
      </c>
      <c r="H7401" s="1">
        <v>-1.9155900000000001E-6</v>
      </c>
      <c r="I7401">
        <v>140.53059999999999</v>
      </c>
      <c r="J7401">
        <v>-149.8519</v>
      </c>
      <c r="K7401">
        <v>1.111381</v>
      </c>
      <c r="L7401">
        <v>140.95269999999999</v>
      </c>
      <c r="M7401">
        <v>0.99763599999999997</v>
      </c>
      <c r="N7401">
        <v>0</v>
      </c>
      <c r="O7401">
        <v>-6.7234909999999995E-2</v>
      </c>
      <c r="P7401">
        <v>0.99710350000000003</v>
      </c>
      <c r="Q7401">
        <v>5.1675840000000001E-2</v>
      </c>
      <c r="R7401">
        <v>-5.5808240000000002E-2</v>
      </c>
      <c r="S7401">
        <v>3.0160369999999999</v>
      </c>
      <c r="T7401">
        <v>-0.23809920000000001</v>
      </c>
      <c r="U7401">
        <v>-9.4360349999999996E-2</v>
      </c>
      <c r="V7401">
        <v>-1.1508279999999999E-2</v>
      </c>
      <c r="W7401">
        <v>6.5841520000000001E-2</v>
      </c>
      <c r="X7401">
        <v>0.99776379999999998</v>
      </c>
      <c r="Y7401">
        <v>-3.5689159999999998E-2</v>
      </c>
      <c r="Z7401">
        <v>6.7006230000000002E-3</v>
      </c>
      <c r="AA7401">
        <v>0.99934049999999996</v>
      </c>
      <c r="AB7401">
        <v>29</v>
      </c>
      <c r="AC7401">
        <v>13.7913</v>
      </c>
      <c r="AD7401">
        <v>-1.1113829155899999</v>
      </c>
      <c r="AE7401">
        <v>-0.42209999999999998</v>
      </c>
      <c r="AF7401">
        <v>-0.50294266861982195</v>
      </c>
      <c r="AG7401">
        <v>-1.1113829155899999</v>
      </c>
      <c r="AH7401">
        <v>13.699586266180001</v>
      </c>
      <c r="AI7401">
        <v>94.634871141223101</v>
      </c>
      <c r="AJ7401">
        <v>92.102512875948605</v>
      </c>
      <c r="AK7401">
        <v>13.7537917381895</v>
      </c>
      <c r="AL7401">
        <v>86.224828078644705</v>
      </c>
      <c r="AM7401">
        <v>90.660824371262194</v>
      </c>
      <c r="AN7401">
        <v>1.0000000734274499</v>
      </c>
    </row>
    <row r="7402" spans="1:40" x14ac:dyDescent="0.25">
      <c r="A7402" t="str">
        <f>"20190312151208589"</f>
        <v>20190312151208589</v>
      </c>
      <c r="B7402" t="str">
        <f>"1552374728579134"</f>
        <v>1552374728579134</v>
      </c>
      <c r="C7402" t="s">
        <v>40</v>
      </c>
      <c r="D7402">
        <v>5.1880559999999996</v>
      </c>
      <c r="E7402">
        <v>0.49024980000000001</v>
      </c>
      <c r="F7402" t="s">
        <v>42</v>
      </c>
      <c r="G7402">
        <v>-135.89879999999999</v>
      </c>
      <c r="H7402" s="1">
        <v>-1.9891309999999999E-6</v>
      </c>
      <c r="I7402">
        <v>140.5461</v>
      </c>
      <c r="J7402">
        <v>-149.5607</v>
      </c>
      <c r="K7402">
        <v>1.111456</v>
      </c>
      <c r="L7402">
        <v>140.93450000000001</v>
      </c>
      <c r="M7402">
        <v>0.99772169999999905</v>
      </c>
      <c r="N7402">
        <v>0</v>
      </c>
      <c r="O7402">
        <v>-6.5952609999999995E-2</v>
      </c>
      <c r="P7402">
        <v>0.99729409999999996</v>
      </c>
      <c r="Q7402">
        <v>5.2040389999999999E-2</v>
      </c>
      <c r="R7402">
        <v>-5.1929870000000003E-2</v>
      </c>
      <c r="S7402">
        <v>3.016235</v>
      </c>
      <c r="T7402">
        <v>-0.2402465</v>
      </c>
      <c r="U7402">
        <v>-8.7905880000000006E-2</v>
      </c>
      <c r="V7402">
        <v>-1.411799E-2</v>
      </c>
      <c r="W7402">
        <v>6.619456E-2</v>
      </c>
      <c r="X7402">
        <v>0.9977068</v>
      </c>
      <c r="Y7402">
        <v>-3.6538880000000003E-2</v>
      </c>
      <c r="Z7402">
        <v>6.6927690000000003E-3</v>
      </c>
      <c r="AA7402">
        <v>0.99930980000000003</v>
      </c>
      <c r="AB7402">
        <v>29</v>
      </c>
      <c r="AC7402">
        <v>13.661899999999999</v>
      </c>
      <c r="AD7402">
        <v>-1.1114579891309999</v>
      </c>
      <c r="AE7402">
        <v>-0.38840000000001801</v>
      </c>
      <c r="AF7402">
        <v>-0.51020057219077197</v>
      </c>
      <c r="AG7402">
        <v>-1.1114579891309999</v>
      </c>
      <c r="AH7402">
        <v>13.5680388484503</v>
      </c>
      <c r="AI7402">
        <v>94.679770085423598</v>
      </c>
      <c r="AJ7402">
        <v>92.153485361662803</v>
      </c>
      <c r="AK7402">
        <v>13.6230437743745</v>
      </c>
      <c r="AL7402">
        <v>86.204555676992101</v>
      </c>
      <c r="AM7402">
        <v>90.8107063704431</v>
      </c>
      <c r="AN7402">
        <v>0.999999948090735</v>
      </c>
    </row>
    <row r="7403" spans="1:40" x14ac:dyDescent="0.25">
      <c r="A7403" t="str">
        <f>"20190312151208634"</f>
        <v>20190312151208634</v>
      </c>
      <c r="B7403" t="str">
        <f>"1552374728628910"</f>
        <v>1552374728628910</v>
      </c>
      <c r="C7403" t="s">
        <v>40</v>
      </c>
      <c r="D7403">
        <v>5.0464609999999999</v>
      </c>
      <c r="E7403">
        <v>0.49033389999999999</v>
      </c>
      <c r="F7403" t="s">
        <v>42</v>
      </c>
      <c r="G7403">
        <v>-135.61869999999999</v>
      </c>
      <c r="H7403" s="1">
        <v>-2.116645E-6</v>
      </c>
      <c r="I7403">
        <v>140.57380000000001</v>
      </c>
      <c r="J7403">
        <v>-148.98089999999999</v>
      </c>
      <c r="K7403">
        <v>1.1115469999999901</v>
      </c>
      <c r="L7403">
        <v>140.89940000000001</v>
      </c>
      <c r="M7403">
        <v>0.99789459999999996</v>
      </c>
      <c r="N7403">
        <v>0</v>
      </c>
      <c r="O7403">
        <v>-6.3283690000000004E-2</v>
      </c>
      <c r="P7403">
        <v>0.99762759999999995</v>
      </c>
      <c r="Q7403">
        <v>5.4115299999999998E-2</v>
      </c>
      <c r="R7403">
        <v>-4.2555389999999998E-2</v>
      </c>
      <c r="S7403">
        <v>3.0166170000000001</v>
      </c>
      <c r="T7403">
        <v>-0.24048549999999999</v>
      </c>
      <c r="U7403">
        <v>-7.8033450000000004E-2</v>
      </c>
      <c r="V7403">
        <v>-2.083842E-2</v>
      </c>
      <c r="W7403">
        <v>6.8241280000000001E-2</v>
      </c>
      <c r="X7403">
        <v>0.99745119999999998</v>
      </c>
      <c r="Y7403">
        <v>-3.714344E-2</v>
      </c>
      <c r="Z7403">
        <v>6.5110639999999996E-3</v>
      </c>
      <c r="AA7403">
        <v>0.99928870000000003</v>
      </c>
      <c r="AB7403">
        <v>29</v>
      </c>
      <c r="AC7403">
        <v>13.3622</v>
      </c>
      <c r="AD7403">
        <v>-1.11154911664499</v>
      </c>
      <c r="AE7403">
        <v>-0.32560000000000799</v>
      </c>
      <c r="AF7403">
        <v>-0.51717066115612897</v>
      </c>
      <c r="AG7403">
        <v>-1.11154911664499</v>
      </c>
      <c r="AH7403">
        <v>13.2642849720944</v>
      </c>
      <c r="AI7403">
        <v>94.786583049490005</v>
      </c>
      <c r="AJ7403">
        <v>92.232815004351295</v>
      </c>
      <c r="AK7403">
        <v>13.320820648608899</v>
      </c>
      <c r="AL7403">
        <v>86.087021626996005</v>
      </c>
      <c r="AM7403">
        <v>91.1968303393231</v>
      </c>
      <c r="AN7403">
        <v>1.0000000042127799</v>
      </c>
    </row>
    <row r="7404" spans="1:40" x14ac:dyDescent="0.25">
      <c r="A7404" t="str">
        <f>"20190312151208656"</f>
        <v>20190312151208656</v>
      </c>
      <c r="B7404" t="str">
        <f>"1552374728648431"</f>
        <v>1552374728648431</v>
      </c>
      <c r="C7404" t="s">
        <v>40</v>
      </c>
      <c r="D7404">
        <v>5.1518940000000004</v>
      </c>
      <c r="E7404">
        <v>0.42238160000000002</v>
      </c>
      <c r="F7404" t="s">
        <v>42</v>
      </c>
      <c r="G7404">
        <v>-134.756</v>
      </c>
      <c r="H7404" s="1">
        <v>-2.5103989999999999E-6</v>
      </c>
      <c r="I7404">
        <v>140.6626</v>
      </c>
      <c r="J7404">
        <v>-148.69479999999999</v>
      </c>
      <c r="K7404">
        <v>1.111569</v>
      </c>
      <c r="L7404">
        <v>140.8827</v>
      </c>
      <c r="M7404">
        <v>0.9979787</v>
      </c>
      <c r="N7404">
        <v>0</v>
      </c>
      <c r="O7404">
        <v>-6.1944039999999999E-2</v>
      </c>
      <c r="P7404">
        <v>0.9978091</v>
      </c>
      <c r="Q7404">
        <v>5.4680439999999997E-2</v>
      </c>
      <c r="R7404">
        <v>-3.7245710000000001E-2</v>
      </c>
      <c r="S7404">
        <v>3.017776</v>
      </c>
      <c r="T7404">
        <v>-0.23581179999999999</v>
      </c>
      <c r="U7404">
        <v>-5.0231930000000001E-2</v>
      </c>
      <c r="V7404">
        <v>-2.4812549999999999E-2</v>
      </c>
      <c r="W7404">
        <v>6.8790729999999994E-2</v>
      </c>
      <c r="X7404">
        <v>0.9973225</v>
      </c>
      <c r="Y7404">
        <v>-4.5004950000000002E-2</v>
      </c>
      <c r="Z7404">
        <v>6.5857700000000003E-3</v>
      </c>
      <c r="AA7404">
        <v>0.99896510000000005</v>
      </c>
      <c r="AB7404">
        <v>29</v>
      </c>
      <c r="AC7404">
        <v>13.938799999999899</v>
      </c>
      <c r="AD7404">
        <v>-1.111571510399</v>
      </c>
      <c r="AE7404">
        <v>-0.22010000000000199</v>
      </c>
      <c r="AF7404">
        <v>-0.63976772786765901</v>
      </c>
      <c r="AG7404">
        <v>-1.111571510399</v>
      </c>
      <c r="AH7404">
        <v>13.8376830956998</v>
      </c>
      <c r="AI7404">
        <v>94.587788991333397</v>
      </c>
      <c r="AJ7404">
        <v>92.647112653690897</v>
      </c>
      <c r="AK7404">
        <v>13.8969913083865</v>
      </c>
      <c r="AL7404">
        <v>86.055466282020603</v>
      </c>
      <c r="AM7404">
        <v>91.425177092709802</v>
      </c>
      <c r="AN7404">
        <v>0.99999999808884199</v>
      </c>
    </row>
    <row r="7405" spans="1:40" x14ac:dyDescent="0.25">
      <c r="A7405" t="str">
        <f>"20190312151208679"</f>
        <v>20190312151208679</v>
      </c>
      <c r="B7405" t="str">
        <f>"1552374728668928"</f>
        <v>1552374728668928</v>
      </c>
      <c r="C7405" t="s">
        <v>40</v>
      </c>
      <c r="D7405">
        <v>5.1104500000000002</v>
      </c>
      <c r="E7405">
        <v>0.41932659999999999</v>
      </c>
      <c r="F7405" t="s">
        <v>42</v>
      </c>
      <c r="G7405">
        <v>-135.84710000000001</v>
      </c>
      <c r="H7405" s="1">
        <v>-2.6717260000000001E-6</v>
      </c>
      <c r="I7405">
        <v>143.02809999999999</v>
      </c>
      <c r="J7405">
        <v>-148.39830000000001</v>
      </c>
      <c r="K7405">
        <v>1.1115930000000001</v>
      </c>
      <c r="L7405">
        <v>140.86590000000001</v>
      </c>
      <c r="M7405">
        <v>0.9980637</v>
      </c>
      <c r="N7405">
        <v>0</v>
      </c>
      <c r="O7405">
        <v>-6.055692E-2</v>
      </c>
      <c r="P7405">
        <v>0.99787969999999904</v>
      </c>
      <c r="Q7405">
        <v>5.6516099999999903E-2</v>
      </c>
      <c r="R7405">
        <v>-3.2280700000000002E-2</v>
      </c>
      <c r="S7405">
        <v>3.0399479999999999</v>
      </c>
      <c r="T7405">
        <v>-0.26301229999999998</v>
      </c>
      <c r="U7405">
        <v>0.50762940000000001</v>
      </c>
      <c r="V7405">
        <v>-2.8390220000000001E-2</v>
      </c>
      <c r="W7405">
        <v>7.0610679999999995E-2</v>
      </c>
      <c r="X7405">
        <v>0.99709990000000004</v>
      </c>
      <c r="Y7405">
        <v>-0.22310579999999999</v>
      </c>
      <c r="Z7405">
        <v>1.476598E-2</v>
      </c>
      <c r="AA7405">
        <v>0.97468239999999995</v>
      </c>
      <c r="AB7405">
        <v>29</v>
      </c>
      <c r="AC7405">
        <v>12.5511999999999</v>
      </c>
      <c r="AD7405">
        <v>-1.111595671726</v>
      </c>
      <c r="AE7405">
        <v>2.1621999999999799</v>
      </c>
      <c r="AF7405">
        <v>-2.89630658635236</v>
      </c>
      <c r="AG7405">
        <v>-1.111595671726</v>
      </c>
      <c r="AH7405">
        <v>12.3034874187159</v>
      </c>
      <c r="AI7405">
        <v>95.025896949111896</v>
      </c>
      <c r="AJ7405">
        <v>103.24655780577</v>
      </c>
      <c r="AK7405">
        <v>12.688579094683799</v>
      </c>
      <c r="AL7405">
        <v>85.950936768303805</v>
      </c>
      <c r="AM7405">
        <v>91.630930287779705</v>
      </c>
      <c r="AN7405">
        <v>1.0000000416508501</v>
      </c>
    </row>
    <row r="7406" spans="1:40" x14ac:dyDescent="0.25">
      <c r="A7406" t="str">
        <f>"20190312151208704"</f>
        <v>20190312151208704</v>
      </c>
      <c r="B7406" t="str">
        <f>"1552374728699182"</f>
        <v>1552374728699182</v>
      </c>
      <c r="C7406" t="s">
        <v>40</v>
      </c>
      <c r="D7406">
        <v>5.10046</v>
      </c>
      <c r="E7406">
        <v>0.41834300000000002</v>
      </c>
      <c r="F7406" t="s">
        <v>42</v>
      </c>
      <c r="G7406">
        <v>-137.3459</v>
      </c>
      <c r="H7406" s="1">
        <v>-1.984099E-6</v>
      </c>
      <c r="I7406">
        <v>142.8603</v>
      </c>
      <c r="J7406">
        <v>-148.08760000000001</v>
      </c>
      <c r="K7406">
        <v>1.1116250000000001</v>
      </c>
      <c r="L7406">
        <v>140.8486</v>
      </c>
      <c r="M7406">
        <v>0.99815039999999999</v>
      </c>
      <c r="N7406">
        <v>0</v>
      </c>
      <c r="O7406">
        <v>-5.911334E-2</v>
      </c>
      <c r="P7406">
        <v>0.9978918</v>
      </c>
      <c r="Q7406">
        <v>5.9346629999999997E-2</v>
      </c>
      <c r="R7406">
        <v>-2.6271900000000001E-2</v>
      </c>
      <c r="S7406">
        <v>3.041458</v>
      </c>
      <c r="T7406">
        <v>-0.30589290000000002</v>
      </c>
      <c r="U7406">
        <v>0.54884339999999998</v>
      </c>
      <c r="V7406">
        <v>-3.2953250000000003E-2</v>
      </c>
      <c r="W7406">
        <v>7.3422409999999994E-2</v>
      </c>
      <c r="X7406">
        <v>0.99675639999999999</v>
      </c>
      <c r="Y7406">
        <v>-0.2340189</v>
      </c>
      <c r="Z7406">
        <v>1.753418E-2</v>
      </c>
      <c r="AA7406">
        <v>0.97207390000000005</v>
      </c>
      <c r="AB7406">
        <v>29</v>
      </c>
      <c r="AC7406">
        <v>10.7417</v>
      </c>
      <c r="AD7406">
        <v>-1.1116269840989901</v>
      </c>
      <c r="AE7406">
        <v>2.0116999999999901</v>
      </c>
      <c r="AF7406">
        <v>-2.6161545929509602</v>
      </c>
      <c r="AG7406">
        <v>-1.1116269840989901</v>
      </c>
      <c r="AH7406">
        <v>10.495389275695899</v>
      </c>
      <c r="AI7406">
        <v>95.867748039303507</v>
      </c>
      <c r="AJ7406">
        <v>103.996711335491</v>
      </c>
      <c r="AK7406">
        <v>10.873507964515801</v>
      </c>
      <c r="AL7406">
        <v>85.789417072471295</v>
      </c>
      <c r="AM7406">
        <v>91.893536583730693</v>
      </c>
      <c r="AN7406">
        <v>1.0000000439583601</v>
      </c>
    </row>
    <row r="7407" spans="1:40" x14ac:dyDescent="0.25">
      <c r="A7407" t="str">
        <f>"20190312151208726"</f>
        <v>20190312151208726</v>
      </c>
      <c r="B7407" t="str">
        <f>"1552374728718703"</f>
        <v>1552374728718703</v>
      </c>
      <c r="C7407" t="s">
        <v>40</v>
      </c>
      <c r="D7407">
        <v>5.0863259999999997</v>
      </c>
      <c r="E7407">
        <v>0.41844480000000001</v>
      </c>
      <c r="F7407" t="s">
        <v>42</v>
      </c>
      <c r="G7407">
        <v>-137.7859</v>
      </c>
      <c r="H7407" s="1">
        <v>-1.779528E-6</v>
      </c>
      <c r="I7407">
        <v>142.80099999999999</v>
      </c>
      <c r="J7407">
        <v>-147.79409999999999</v>
      </c>
      <c r="K7407">
        <v>1.111661</v>
      </c>
      <c r="L7407">
        <v>140.83279999999999</v>
      </c>
      <c r="M7407">
        <v>0.9982299</v>
      </c>
      <c r="N7407">
        <v>0</v>
      </c>
      <c r="O7407">
        <v>-5.7758829999999997E-2</v>
      </c>
      <c r="P7407">
        <v>0.99781390000000003</v>
      </c>
      <c r="Q7407">
        <v>6.3151079999999998E-2</v>
      </c>
      <c r="R7407">
        <v>-1.948803E-2</v>
      </c>
      <c r="S7407">
        <v>3.0410309999999998</v>
      </c>
      <c r="T7407">
        <v>-0.32815029999999901</v>
      </c>
      <c r="U7407">
        <v>0.57633970000000001</v>
      </c>
      <c r="V7407">
        <v>-3.8376220000000003E-2</v>
      </c>
      <c r="W7407">
        <v>7.7203450000000007E-2</v>
      </c>
      <c r="X7407">
        <v>0.99627650000000001</v>
      </c>
      <c r="Y7407">
        <v>-0.2409714</v>
      </c>
      <c r="Z7407">
        <v>1.9016910000000001E-2</v>
      </c>
      <c r="AA7407">
        <v>0.97034589999999998</v>
      </c>
      <c r="AB7407">
        <v>29</v>
      </c>
      <c r="AC7407">
        <v>10.008199999999899</v>
      </c>
      <c r="AD7407">
        <v>-1.1116627795280001</v>
      </c>
      <c r="AE7407">
        <v>1.9682000000000199</v>
      </c>
      <c r="AF7407">
        <v>-2.5131812344470799</v>
      </c>
      <c r="AG7407">
        <v>-1.1116627795280001</v>
      </c>
      <c r="AH7407">
        <v>9.7618420641098602</v>
      </c>
      <c r="AI7407">
        <v>96.293276245624497</v>
      </c>
      <c r="AJ7407">
        <v>104.437250891216</v>
      </c>
      <c r="AK7407">
        <v>10.1412738123565</v>
      </c>
      <c r="AL7407">
        <v>85.572162042640301</v>
      </c>
      <c r="AM7407">
        <v>92.205922662520095</v>
      </c>
      <c r="AN7407">
        <v>0.99999998570282</v>
      </c>
    </row>
    <row r="7408" spans="1:40" x14ac:dyDescent="0.25">
      <c r="A7408" t="str">
        <f>"20190312151208748"</f>
        <v>20190312151208748</v>
      </c>
      <c r="B7408" t="str">
        <f>"1552374728738224"</f>
        <v>1552374728738224</v>
      </c>
      <c r="C7408" t="s">
        <v>40</v>
      </c>
      <c r="D7408">
        <v>5.0637549999999996</v>
      </c>
      <c r="E7408">
        <v>0.41864889999999999</v>
      </c>
      <c r="F7408" t="s">
        <v>42</v>
      </c>
      <c r="G7408">
        <v>-137.48330000000001</v>
      </c>
      <c r="H7408" s="1">
        <v>-1.9240070000000001E-6</v>
      </c>
      <c r="I7408">
        <v>142.85599999999999</v>
      </c>
      <c r="J7408">
        <v>-147.50579999999999</v>
      </c>
      <c r="K7408">
        <v>1.111707</v>
      </c>
      <c r="L7408">
        <v>140.8176</v>
      </c>
      <c r="M7408">
        <v>0.99830549999999996</v>
      </c>
      <c r="N7408">
        <v>0</v>
      </c>
      <c r="O7408">
        <v>-5.6434850000000002E-2</v>
      </c>
      <c r="P7408">
        <v>0.99749339999999997</v>
      </c>
      <c r="Q7408">
        <v>6.9657490000000002E-2</v>
      </c>
      <c r="R7408">
        <v>-1.2435440000000001E-2</v>
      </c>
      <c r="S7408">
        <v>3.0389400000000002</v>
      </c>
      <c r="T7408">
        <v>-0.32764349999999998</v>
      </c>
      <c r="U7408">
        <v>0.59631350000000005</v>
      </c>
      <c r="V7408">
        <v>-4.4092579999999999E-2</v>
      </c>
      <c r="W7408">
        <v>8.3682619999999999E-2</v>
      </c>
      <c r="X7408">
        <v>0.99551650000000003</v>
      </c>
      <c r="Y7408">
        <v>-0.2459375</v>
      </c>
      <c r="Z7408">
        <v>1.9112339999999998E-2</v>
      </c>
      <c r="AA7408">
        <v>0.96909730000000005</v>
      </c>
      <c r="AB7408">
        <v>29</v>
      </c>
      <c r="AC7408">
        <v>10.0224999999999</v>
      </c>
      <c r="AD7408">
        <v>-1.1117089240069999</v>
      </c>
      <c r="AE7408">
        <v>2.03839999999999</v>
      </c>
      <c r="AF7408">
        <v>-2.5704564235993401</v>
      </c>
      <c r="AG7408">
        <v>-1.1117089240069999</v>
      </c>
      <c r="AH7408">
        <v>9.7759739570202502</v>
      </c>
      <c r="AI7408">
        <v>96.276180431263199</v>
      </c>
      <c r="AJ7408">
        <v>104.731677103961</v>
      </c>
      <c r="AK7408">
        <v>10.1692089055972</v>
      </c>
      <c r="AL7408">
        <v>85.199725445900498</v>
      </c>
      <c r="AM7408">
        <v>92.536039049048696</v>
      </c>
      <c r="AN7408">
        <v>1.00000001913668</v>
      </c>
    </row>
    <row r="7409" spans="1:40" x14ac:dyDescent="0.25">
      <c r="A7409" t="str">
        <f>"20190312151208771"</f>
        <v>20190312151208771</v>
      </c>
      <c r="B7409" t="str">
        <f>"1552374728768479"</f>
        <v>1552374728768479</v>
      </c>
      <c r="C7409" t="s">
        <v>40</v>
      </c>
      <c r="D7409">
        <v>5.0773699999999904</v>
      </c>
      <c r="E7409">
        <v>0.41976059999999998</v>
      </c>
      <c r="F7409" t="s">
        <v>42</v>
      </c>
      <c r="G7409">
        <v>-136.7645</v>
      </c>
      <c r="H7409" s="1">
        <v>-2.2700100000000001E-6</v>
      </c>
      <c r="I7409">
        <v>142.9975</v>
      </c>
      <c r="J7409">
        <v>-147.2088</v>
      </c>
      <c r="K7409">
        <v>1.11172</v>
      </c>
      <c r="L7409">
        <v>140.80240000000001</v>
      </c>
      <c r="M7409">
        <v>0.99838139999999997</v>
      </c>
      <c r="N7409">
        <v>0</v>
      </c>
      <c r="O7409">
        <v>-5.5074289999999998E-2</v>
      </c>
      <c r="P7409">
        <v>0.99751330000000005</v>
      </c>
      <c r="Q7409">
        <v>7.0226709999999998E-2</v>
      </c>
      <c r="R7409">
        <v>-5.9617219999999896E-3</v>
      </c>
      <c r="S7409">
        <v>3.0371860000000002</v>
      </c>
      <c r="T7409">
        <v>-0.31434129999999999</v>
      </c>
      <c r="U7409">
        <v>0.61636349999999995</v>
      </c>
      <c r="V7409">
        <v>-4.9200300000000002E-2</v>
      </c>
      <c r="W7409">
        <v>8.4232370000000001E-2</v>
      </c>
      <c r="X7409">
        <v>0.99523070000000002</v>
      </c>
      <c r="Y7409">
        <v>-0.25098789999999999</v>
      </c>
      <c r="Z7409">
        <v>1.8458220000000001E-2</v>
      </c>
      <c r="AA7409">
        <v>0.96781419999999996</v>
      </c>
      <c r="AB7409">
        <v>29</v>
      </c>
      <c r="AC7409">
        <v>10.444299999999901</v>
      </c>
      <c r="AD7409">
        <v>-1.11172227001</v>
      </c>
      <c r="AE7409">
        <v>2.1950999999999898</v>
      </c>
      <c r="AF7409">
        <v>-2.7373357927055899</v>
      </c>
      <c r="AG7409">
        <v>-1.11172227001</v>
      </c>
      <c r="AH7409">
        <v>10.1968948479748</v>
      </c>
      <c r="AI7409">
        <v>96.0109504533945</v>
      </c>
      <c r="AJ7409">
        <v>105.026660539697</v>
      </c>
      <c r="AK7409">
        <v>10.6162892852597</v>
      </c>
      <c r="AL7409">
        <v>85.168115171464706</v>
      </c>
      <c r="AM7409">
        <v>92.830174402531199</v>
      </c>
      <c r="AN7409">
        <v>0.99999995394919705</v>
      </c>
    </row>
    <row r="7410" spans="1:40" x14ac:dyDescent="0.25">
      <c r="A7410" t="str">
        <f>"20190312151208791"</f>
        <v>20190312151208791</v>
      </c>
      <c r="B7410" t="str">
        <f>"1552374728788975"</f>
        <v>1552374728788975</v>
      </c>
      <c r="C7410" t="s">
        <v>40</v>
      </c>
      <c r="D7410">
        <v>5.0839780000000001</v>
      </c>
      <c r="E7410">
        <v>0.42084890000000003</v>
      </c>
      <c r="F7410" t="s">
        <v>42</v>
      </c>
      <c r="G7410">
        <v>-136.62360000000001</v>
      </c>
      <c r="H7410" s="1">
        <v>-2.3282800000000001E-6</v>
      </c>
      <c r="I7410">
        <v>142.98939999999999</v>
      </c>
      <c r="J7410">
        <v>-146.9503</v>
      </c>
      <c r="K7410">
        <v>1.111728</v>
      </c>
      <c r="L7410">
        <v>140.7895</v>
      </c>
      <c r="M7410">
        <v>0.99844599999999994</v>
      </c>
      <c r="N7410">
        <v>0</v>
      </c>
      <c r="O7410">
        <v>-5.3891460000000002E-2</v>
      </c>
      <c r="P7410">
        <v>0.99749569999999999</v>
      </c>
      <c r="Q7410">
        <v>7.0725120000000002E-2</v>
      </c>
      <c r="R7410">
        <v>-8.6892419999999896E-4</v>
      </c>
      <c r="S7410">
        <v>3.0336609999999999</v>
      </c>
      <c r="T7410">
        <v>-0.31861270000000003</v>
      </c>
      <c r="U7410">
        <v>0.62678529999999999</v>
      </c>
      <c r="V7410">
        <v>-5.3104819999999997E-2</v>
      </c>
      <c r="W7410">
        <v>8.4714639999999994E-2</v>
      </c>
      <c r="X7410">
        <v>0.99498909999999996</v>
      </c>
      <c r="Y7410">
        <v>-0.25320029999999999</v>
      </c>
      <c r="Z7410">
        <v>1.8714540000000002E-2</v>
      </c>
      <c r="AA7410">
        <v>0.96723289999999995</v>
      </c>
      <c r="AB7410">
        <v>29</v>
      </c>
      <c r="AC7410">
        <v>10.326699999999899</v>
      </c>
      <c r="AD7410">
        <v>-1.11173032828</v>
      </c>
      <c r="AE7410">
        <v>2.19989999999998</v>
      </c>
      <c r="AF7410">
        <v>-2.7230894486670598</v>
      </c>
      <c r="AG7410">
        <v>-1.11173032828</v>
      </c>
      <c r="AH7410">
        <v>10.081353889750799</v>
      </c>
      <c r="AI7410">
        <v>96.076852234452303</v>
      </c>
      <c r="AJ7410">
        <v>105.115528444812</v>
      </c>
      <c r="AK7410">
        <v>10.501659712571801</v>
      </c>
      <c r="AL7410">
        <v>85.140384242953004</v>
      </c>
      <c r="AM7410">
        <v>93.055106693403104</v>
      </c>
      <c r="AN7410">
        <v>1.00000000062818</v>
      </c>
    </row>
    <row r="7411" spans="1:40" x14ac:dyDescent="0.25">
      <c r="A7411" t="str">
        <f>"20190312151208812"</f>
        <v>20190312151208812</v>
      </c>
      <c r="B7411" t="str">
        <f>"1552374728808494"</f>
        <v>1552374728808494</v>
      </c>
      <c r="C7411" t="s">
        <v>40</v>
      </c>
      <c r="D7411">
        <v>5.0826570000000002</v>
      </c>
      <c r="E7411">
        <v>0.42108709999999999</v>
      </c>
      <c r="F7411" t="s">
        <v>42</v>
      </c>
      <c r="G7411">
        <v>-136.36510000000001</v>
      </c>
      <c r="H7411" s="1">
        <v>-2.4423829999999999E-6</v>
      </c>
      <c r="I7411">
        <v>143.00139999999999</v>
      </c>
      <c r="J7411">
        <v>-146.6798</v>
      </c>
      <c r="K7411">
        <v>1.111737</v>
      </c>
      <c r="L7411">
        <v>140.77629999999999</v>
      </c>
      <c r="M7411">
        <v>0.99851210000000001</v>
      </c>
      <c r="N7411">
        <v>0</v>
      </c>
      <c r="O7411">
        <v>-5.2654399999999997E-2</v>
      </c>
      <c r="P7411">
        <v>0.9974037</v>
      </c>
      <c r="Q7411">
        <v>7.1903499999999995E-2</v>
      </c>
      <c r="R7411">
        <v>3.9744200000000002E-3</v>
      </c>
      <c r="S7411">
        <v>3.03064</v>
      </c>
      <c r="T7411">
        <v>-0.31829849999999998</v>
      </c>
      <c r="U7411">
        <v>0.6333008</v>
      </c>
      <c r="V7411">
        <v>-5.6704129999999998E-2</v>
      </c>
      <c r="W7411">
        <v>8.587815E-2</v>
      </c>
      <c r="X7411">
        <v>0.99469070000000004</v>
      </c>
      <c r="Y7411">
        <v>-0.25418869999999999</v>
      </c>
      <c r="Z7411">
        <v>1.8633190000000001E-2</v>
      </c>
      <c r="AA7411">
        <v>0.96697520000000003</v>
      </c>
      <c r="AB7411">
        <v>29</v>
      </c>
      <c r="AC7411">
        <v>10.314699999999901</v>
      </c>
      <c r="AD7411">
        <v>-1.111739442383</v>
      </c>
      <c r="AE7411">
        <v>2.2250999999999901</v>
      </c>
      <c r="AF7411">
        <v>-2.7348240147248601</v>
      </c>
      <c r="AG7411">
        <v>-1.111739442383</v>
      </c>
      <c r="AH7411">
        <v>10.0714186099564</v>
      </c>
      <c r="AI7411">
        <v>96.080671124676996</v>
      </c>
      <c r="AJ7411">
        <v>105.191947672018</v>
      </c>
      <c r="AK7411">
        <v>10.4951750722054</v>
      </c>
      <c r="AL7411">
        <v>85.073476194411896</v>
      </c>
      <c r="AM7411">
        <v>93.262717516814803</v>
      </c>
      <c r="AN7411">
        <v>1.0000000018364801</v>
      </c>
    </row>
    <row r="7412" spans="1:40" x14ac:dyDescent="0.25">
      <c r="A7412" t="str">
        <f>"20190312151208835"</f>
        <v>20190312151208835</v>
      </c>
      <c r="B7412" t="str">
        <f>"1552374728828991"</f>
        <v>1552374728828991</v>
      </c>
      <c r="C7412" t="s">
        <v>40</v>
      </c>
      <c r="D7412">
        <v>5.0933380000000001</v>
      </c>
      <c r="E7412">
        <v>0.42153980000000002</v>
      </c>
      <c r="F7412" t="s">
        <v>42</v>
      </c>
      <c r="G7412">
        <v>-136.24850000000001</v>
      </c>
      <c r="H7412" s="1">
        <v>-2.4923039999999999E-6</v>
      </c>
      <c r="I7412">
        <v>143.001</v>
      </c>
      <c r="J7412">
        <v>-146.38980000000001</v>
      </c>
      <c r="K7412">
        <v>1.1117300000000001</v>
      </c>
      <c r="L7412">
        <v>140.76249999999999</v>
      </c>
      <c r="M7412">
        <v>0.99858119999999995</v>
      </c>
      <c r="N7412">
        <v>0</v>
      </c>
      <c r="O7412">
        <v>-5.1327339999999999E-2</v>
      </c>
      <c r="P7412">
        <v>0.99743499999999996</v>
      </c>
      <c r="Q7412">
        <v>7.1055779999999999E-2</v>
      </c>
      <c r="R7412">
        <v>8.6326619999999993E-3</v>
      </c>
      <c r="S7412">
        <v>3.0284879999999998</v>
      </c>
      <c r="T7412">
        <v>-0.32276500000000002</v>
      </c>
      <c r="U7412">
        <v>0.6458893</v>
      </c>
      <c r="V7412">
        <v>-6.00317E-2</v>
      </c>
      <c r="W7412">
        <v>8.5017759999999998E-2</v>
      </c>
      <c r="X7412">
        <v>0.99456940000000005</v>
      </c>
      <c r="Y7412">
        <v>-0.25683489999999998</v>
      </c>
      <c r="Z7412">
        <v>1.8897839999999999E-2</v>
      </c>
      <c r="AA7412">
        <v>0.96627050000000003</v>
      </c>
      <c r="AB7412">
        <v>29</v>
      </c>
      <c r="AC7412">
        <v>10.141299999999999</v>
      </c>
      <c r="AD7412">
        <v>-1.111732492304</v>
      </c>
      <c r="AE7412">
        <v>2.2385000000000099</v>
      </c>
      <c r="AF7412">
        <v>-2.7249020051442199</v>
      </c>
      <c r="AG7412">
        <v>-1.111732492304</v>
      </c>
      <c r="AH7412">
        <v>9.8995811805256899</v>
      </c>
      <c r="AI7412">
        <v>96.179578618064895</v>
      </c>
      <c r="AJ7412">
        <v>105.389794752879</v>
      </c>
      <c r="AK7412">
        <v>10.327765858204801</v>
      </c>
      <c r="AL7412">
        <v>85.122954143942806</v>
      </c>
      <c r="AM7412">
        <v>93.454153195462098</v>
      </c>
      <c r="AN7412">
        <v>1.0000000579683299</v>
      </c>
    </row>
    <row r="7413" spans="1:40" x14ac:dyDescent="0.25">
      <c r="A7413" t="str">
        <f>"20190312151208858"</f>
        <v>20190312151208858</v>
      </c>
      <c r="B7413" t="str">
        <f>"1552374728848511"</f>
        <v>1552374728848511</v>
      </c>
      <c r="C7413" t="s">
        <v>40</v>
      </c>
      <c r="D7413">
        <v>5.0816019999999904</v>
      </c>
      <c r="E7413">
        <v>0.42941249999999997</v>
      </c>
      <c r="F7413" t="s">
        <v>42</v>
      </c>
      <c r="G7413">
        <v>-136.28030000000001</v>
      </c>
      <c r="H7413" s="1">
        <v>-2.4655080000000002E-6</v>
      </c>
      <c r="I7413">
        <v>142.95160000000001</v>
      </c>
      <c r="J7413">
        <v>-146.1011</v>
      </c>
      <c r="K7413">
        <v>1.1117090000000001</v>
      </c>
      <c r="L7413">
        <v>140.7491</v>
      </c>
      <c r="M7413">
        <v>0.99864839999999999</v>
      </c>
      <c r="N7413">
        <v>0</v>
      </c>
      <c r="O7413">
        <v>-5.000599E-2</v>
      </c>
      <c r="P7413">
        <v>0.99746599999999996</v>
      </c>
      <c r="Q7413">
        <v>6.9978399999999996E-2</v>
      </c>
      <c r="R7413">
        <v>1.2837299999999999E-2</v>
      </c>
      <c r="S7413">
        <v>3.0257420000000002</v>
      </c>
      <c r="T7413">
        <v>-0.33273819999999998</v>
      </c>
      <c r="U7413">
        <v>0.65521240000000003</v>
      </c>
      <c r="V7413">
        <v>-6.2911679999999998E-2</v>
      </c>
      <c r="W7413">
        <v>8.3929229999999994E-2</v>
      </c>
      <c r="X7413">
        <v>0.99448380000000003</v>
      </c>
      <c r="Y7413">
        <v>-0.2584728</v>
      </c>
      <c r="Z7413">
        <v>1.943483E-2</v>
      </c>
      <c r="AA7413">
        <v>0.96582299999999999</v>
      </c>
      <c r="AB7413">
        <v>29</v>
      </c>
      <c r="AC7413">
        <v>9.8207999999999895</v>
      </c>
      <c r="AD7413">
        <v>-1.111711465508</v>
      </c>
      <c r="AE7413">
        <v>2.2025000000000099</v>
      </c>
      <c r="AF7413">
        <v>-2.6584574960935101</v>
      </c>
      <c r="AG7413">
        <v>-1.111711465508</v>
      </c>
      <c r="AH7413">
        <v>9.5814627812610507</v>
      </c>
      <c r="AI7413">
        <v>96.379381896665905</v>
      </c>
      <c r="AJ7413">
        <v>105.50712232161401</v>
      </c>
      <c r="AK7413">
        <v>10.0053849336129</v>
      </c>
      <c r="AL7413">
        <v>85.185545816066707</v>
      </c>
      <c r="AM7413">
        <v>93.619744099953195</v>
      </c>
      <c r="AN7413">
        <v>1.00000001179562</v>
      </c>
    </row>
    <row r="7414" spans="1:40" x14ac:dyDescent="0.25">
      <c r="A7414" t="str">
        <f>"20190312151208880"</f>
        <v>20190312151208880</v>
      </c>
      <c r="B7414" t="str">
        <f>"1552374728869007"</f>
        <v>1552374728869007</v>
      </c>
      <c r="C7414" t="s">
        <v>40</v>
      </c>
      <c r="D7414">
        <v>5.0867940000000003</v>
      </c>
      <c r="E7414">
        <v>0.4290525</v>
      </c>
      <c r="F7414" t="s">
        <v>42</v>
      </c>
      <c r="G7414">
        <v>-137.46860000000001</v>
      </c>
      <c r="H7414" s="1">
        <v>-1.828585E-6</v>
      </c>
      <c r="I7414">
        <v>142.47370000000001</v>
      </c>
      <c r="J7414">
        <v>-145.815</v>
      </c>
      <c r="K7414">
        <v>1.1116870000000001</v>
      </c>
      <c r="L7414">
        <v>140.7363</v>
      </c>
      <c r="M7414">
        <v>0.99871310000000002</v>
      </c>
      <c r="N7414">
        <v>0</v>
      </c>
      <c r="O7414">
        <v>-4.8695849999999999E-2</v>
      </c>
      <c r="P7414">
        <v>0.99749299999999996</v>
      </c>
      <c r="Q7414">
        <v>6.904863E-2</v>
      </c>
      <c r="R7414">
        <v>1.549528E-2</v>
      </c>
      <c r="S7414">
        <v>3.0271759999999999</v>
      </c>
      <c r="T7414">
        <v>-0.38984220000000003</v>
      </c>
      <c r="U7414">
        <v>0.60475159999999994</v>
      </c>
      <c r="V7414">
        <v>-6.4259150000000001E-2</v>
      </c>
      <c r="W7414">
        <v>8.2993600000000001E-2</v>
      </c>
      <c r="X7414">
        <v>0.99447609999999997</v>
      </c>
      <c r="Y7414">
        <v>-0.24112049999999999</v>
      </c>
      <c r="Z7414">
        <v>2.1503700000000001E-2</v>
      </c>
      <c r="AA7414">
        <v>0.97025689999999998</v>
      </c>
      <c r="AB7414">
        <v>29</v>
      </c>
      <c r="AC7414">
        <v>8.3463999999999796</v>
      </c>
      <c r="AD7414">
        <v>-1.111688828585</v>
      </c>
      <c r="AE7414">
        <v>1.7374000000000001</v>
      </c>
      <c r="AF7414">
        <v>-2.10600422797999</v>
      </c>
      <c r="AG7414">
        <v>-1.111688828585</v>
      </c>
      <c r="AH7414">
        <v>8.1139162445779895</v>
      </c>
      <c r="AI7414">
        <v>97.554250230842797</v>
      </c>
      <c r="AJ7414">
        <v>104.550309573867</v>
      </c>
      <c r="AK7414">
        <v>8.4561659565016107</v>
      </c>
      <c r="AL7414">
        <v>85.239340839075396</v>
      </c>
      <c r="AM7414">
        <v>93.6970891391192</v>
      </c>
      <c r="AN7414">
        <v>0.99999994473544396</v>
      </c>
    </row>
    <row r="7415" spans="1:40" x14ac:dyDescent="0.25">
      <c r="A7415" t="str">
        <f>"20190312151208905"</f>
        <v>20190312151208905</v>
      </c>
      <c r="B7415" t="str">
        <f>"1552374728898287"</f>
        <v>1552374728898287</v>
      </c>
      <c r="C7415" t="s">
        <v>40</v>
      </c>
      <c r="D7415">
        <v>4.9571389999999997</v>
      </c>
      <c r="E7415">
        <v>0.43050500000000003</v>
      </c>
      <c r="F7415" t="s">
        <v>42</v>
      </c>
      <c r="G7415">
        <v>-137.30539999999999</v>
      </c>
      <c r="H7415" s="1">
        <v>-1.8969119999999999E-6</v>
      </c>
      <c r="I7415">
        <v>142.46729999999999</v>
      </c>
      <c r="J7415">
        <v>-145.50540000000001</v>
      </c>
      <c r="K7415">
        <v>1.111658</v>
      </c>
      <c r="L7415">
        <v>140.72290000000001</v>
      </c>
      <c r="M7415">
        <v>0.99878140000000004</v>
      </c>
      <c r="N7415">
        <v>0</v>
      </c>
      <c r="O7415">
        <v>-4.7277350000000003E-2</v>
      </c>
      <c r="P7415">
        <v>0.99754129999999996</v>
      </c>
      <c r="Q7415">
        <v>6.7785780000000004E-2</v>
      </c>
      <c r="R7415">
        <v>1.7788970000000001E-2</v>
      </c>
      <c r="S7415">
        <v>3.0253450000000002</v>
      </c>
      <c r="T7415">
        <v>-0.39522390000000002</v>
      </c>
      <c r="U7415">
        <v>0.61541749999999995</v>
      </c>
      <c r="V7415">
        <v>-6.5134709999999998E-2</v>
      </c>
      <c r="W7415">
        <v>8.1726199999999999E-2</v>
      </c>
      <c r="X7415">
        <v>0.99452419999999997</v>
      </c>
      <c r="Y7415">
        <v>-0.24307329999999999</v>
      </c>
      <c r="Z7415">
        <v>2.1746439999999999E-2</v>
      </c>
      <c r="AA7415">
        <v>0.96976410000000002</v>
      </c>
      <c r="AB7415">
        <v>29</v>
      </c>
      <c r="AC7415">
        <v>8.2000000000000099</v>
      </c>
      <c r="AD7415">
        <v>-1.111659896912</v>
      </c>
      <c r="AE7415">
        <v>1.74439999999998</v>
      </c>
      <c r="AF7415">
        <v>-2.0933546329874702</v>
      </c>
      <c r="AG7415">
        <v>-1.111659896912</v>
      </c>
      <c r="AH7415">
        <v>7.9682440765283102</v>
      </c>
      <c r="AI7415">
        <v>97.684654725968301</v>
      </c>
      <c r="AJ7415">
        <v>104.719675696414</v>
      </c>
      <c r="AK7415">
        <v>8.3132926695131495</v>
      </c>
      <c r="AL7415">
        <v>85.312205527242497</v>
      </c>
      <c r="AM7415">
        <v>93.747140359315495</v>
      </c>
      <c r="AN7415">
        <v>1.00000004329943</v>
      </c>
    </row>
    <row r="7416" spans="1:40" x14ac:dyDescent="0.25">
      <c r="A7416" t="str">
        <f>"20190312151208926"</f>
        <v>20190312151208926</v>
      </c>
      <c r="B7416" t="str">
        <f>"1552374728918783"</f>
        <v>1552374728918783</v>
      </c>
      <c r="C7416" t="s">
        <v>40</v>
      </c>
      <c r="D7416">
        <v>5.036543</v>
      </c>
      <c r="E7416">
        <v>0.43064219999999998</v>
      </c>
      <c r="F7416" t="s">
        <v>42</v>
      </c>
      <c r="G7416">
        <v>-137.1302</v>
      </c>
      <c r="H7416" s="1">
        <v>-1.958081E-6</v>
      </c>
      <c r="I7416">
        <v>142.41480000000001</v>
      </c>
      <c r="J7416">
        <v>-145.22210000000001</v>
      </c>
      <c r="K7416">
        <v>1.1116280000000001</v>
      </c>
      <c r="L7416">
        <v>140.71090000000001</v>
      </c>
      <c r="M7416">
        <v>0.99884209999999995</v>
      </c>
      <c r="N7416">
        <v>0</v>
      </c>
      <c r="O7416">
        <v>-4.5979010000000001E-2</v>
      </c>
      <c r="P7416">
        <v>0.99764350000000002</v>
      </c>
      <c r="Q7416">
        <v>6.5589220000000004E-2</v>
      </c>
      <c r="R7416">
        <v>2.014728E-2</v>
      </c>
      <c r="S7416">
        <v>3.0237729999999998</v>
      </c>
      <c r="T7416">
        <v>-0.4013526</v>
      </c>
      <c r="U7416">
        <v>0.61087040000000004</v>
      </c>
      <c r="V7416">
        <v>-6.6195970000000007E-2</v>
      </c>
      <c r="W7416">
        <v>7.952563E-2</v>
      </c>
      <c r="X7416">
        <v>0.99463250000000003</v>
      </c>
      <c r="Y7416">
        <v>-0.24046590000000001</v>
      </c>
      <c r="Z7416">
        <v>2.1754430000000002E-2</v>
      </c>
      <c r="AA7416">
        <v>0.97041370000000005</v>
      </c>
      <c r="AB7416">
        <v>29</v>
      </c>
      <c r="AC7416">
        <v>8.0919000000000096</v>
      </c>
      <c r="AD7416">
        <v>-1.1116299580810001</v>
      </c>
      <c r="AE7416">
        <v>1.7039</v>
      </c>
      <c r="AF7416">
        <v>-2.03737539030588</v>
      </c>
      <c r="AG7416">
        <v>-1.1116299580810001</v>
      </c>
      <c r="AH7416">
        <v>7.8628997875637499</v>
      </c>
      <c r="AI7416">
        <v>97.792914634957199</v>
      </c>
      <c r="AJ7416">
        <v>104.526574132755</v>
      </c>
      <c r="AK7416">
        <v>8.1982810828854404</v>
      </c>
      <c r="AL7416">
        <v>85.438700634005798</v>
      </c>
      <c r="AM7416">
        <v>93.807602063815196</v>
      </c>
      <c r="AN7416">
        <v>1.0000000211636899</v>
      </c>
    </row>
    <row r="7417" spans="1:40" x14ac:dyDescent="0.25">
      <c r="A7417" t="str">
        <f>"20190312151208946"</f>
        <v>20190312151208946</v>
      </c>
      <c r="B7417" t="str">
        <f>"1552374728938724"</f>
        <v>1552374728938724</v>
      </c>
      <c r="C7417" t="s">
        <v>40</v>
      </c>
      <c r="D7417">
        <v>5.0525440000000001</v>
      </c>
      <c r="E7417">
        <v>0.43093110000000001</v>
      </c>
      <c r="F7417" t="s">
        <v>42</v>
      </c>
      <c r="G7417">
        <v>-137.00139999999999</v>
      </c>
      <c r="H7417" s="1">
        <v>-2.0066500000000001E-6</v>
      </c>
      <c r="I7417">
        <v>142.3897</v>
      </c>
      <c r="J7417">
        <v>-144.96559999999999</v>
      </c>
      <c r="K7417">
        <v>1.11159599999999</v>
      </c>
      <c r="L7417">
        <v>140.7004</v>
      </c>
      <c r="M7417">
        <v>0.99889550000000005</v>
      </c>
      <c r="N7417">
        <v>0</v>
      </c>
      <c r="O7417">
        <v>-4.4803559999999999E-2</v>
      </c>
      <c r="P7417">
        <v>0.99778730000000004</v>
      </c>
      <c r="Q7417">
        <v>6.2834879999999996E-2</v>
      </c>
      <c r="R7417">
        <v>2.1739459999999999E-2</v>
      </c>
      <c r="S7417">
        <v>3.0214840000000001</v>
      </c>
      <c r="T7417">
        <v>-0.4085763</v>
      </c>
      <c r="U7417">
        <v>0.61705019999999999</v>
      </c>
      <c r="V7417">
        <v>-6.6613530000000004E-2</v>
      </c>
      <c r="W7417">
        <v>7.6770350000000001E-2</v>
      </c>
      <c r="X7417">
        <v>0.99482110000000001</v>
      </c>
      <c r="Y7417">
        <v>-0.24128630000000001</v>
      </c>
      <c r="Z7417">
        <v>2.2052309999999999E-2</v>
      </c>
      <c r="AA7417">
        <v>0.97020340000000005</v>
      </c>
      <c r="AB7417">
        <v>29</v>
      </c>
      <c r="AC7417">
        <v>7.9641999999999999</v>
      </c>
      <c r="AD7417">
        <v>-1.11159800664999</v>
      </c>
      <c r="AE7417">
        <v>1.6893</v>
      </c>
      <c r="AF7417">
        <v>-2.0070476686980601</v>
      </c>
      <c r="AG7417">
        <v>-1.11159800664999</v>
      </c>
      <c r="AH7417">
        <v>7.7362848242907098</v>
      </c>
      <c r="AI7417">
        <v>97.918017659063494</v>
      </c>
      <c r="AJ7417">
        <v>104.543782946375</v>
      </c>
      <c r="AK7417">
        <v>8.0693242192494203</v>
      </c>
      <c r="AL7417">
        <v>85.597050929808503</v>
      </c>
      <c r="AM7417">
        <v>93.830824629226001</v>
      </c>
      <c r="AN7417">
        <v>1.00000003501169</v>
      </c>
    </row>
    <row r="7418" spans="1:40" x14ac:dyDescent="0.25">
      <c r="A7418" t="str">
        <f>"20190312151208968"</f>
        <v>20190312151208968</v>
      </c>
      <c r="B7418" t="str">
        <f>"1552374728958229"</f>
        <v>1552374728958229</v>
      </c>
      <c r="C7418" t="s">
        <v>40</v>
      </c>
      <c r="D7418">
        <v>5.0704500000000001</v>
      </c>
      <c r="E7418">
        <v>0.43141679999999999</v>
      </c>
      <c r="F7418" t="s">
        <v>42</v>
      </c>
      <c r="G7418">
        <v>-136.91749999999999</v>
      </c>
      <c r="H7418" s="1">
        <v>-2.0328229999999998E-6</v>
      </c>
      <c r="I7418">
        <v>142.3527</v>
      </c>
      <c r="J7418">
        <v>-144.67910000000001</v>
      </c>
      <c r="K7418">
        <v>1.1115520000000001</v>
      </c>
      <c r="L7418">
        <v>140.6891</v>
      </c>
      <c r="M7418">
        <v>0.99895350000000005</v>
      </c>
      <c r="N7418">
        <v>0</v>
      </c>
      <c r="O7418">
        <v>-4.3489590000000002E-2</v>
      </c>
      <c r="P7418">
        <v>0.99801709999999999</v>
      </c>
      <c r="Q7418">
        <v>5.9268410000000001E-2</v>
      </c>
      <c r="R7418">
        <v>2.119205E-2</v>
      </c>
      <c r="S7418">
        <v>3.019409</v>
      </c>
      <c r="T7418">
        <v>-0.4170334</v>
      </c>
      <c r="U7418">
        <v>0.61988829999999995</v>
      </c>
      <c r="V7418">
        <v>-6.4757519999999999E-2</v>
      </c>
      <c r="W7418">
        <v>7.3210800000000006E-2</v>
      </c>
      <c r="X7418">
        <v>0.99521179999999998</v>
      </c>
      <c r="Y7418">
        <v>-0.24092479999999999</v>
      </c>
      <c r="Z7418">
        <v>2.2313969999999999E-2</v>
      </c>
      <c r="AA7418">
        <v>0.97028729999999996</v>
      </c>
      <c r="AB7418">
        <v>29</v>
      </c>
      <c r="AC7418">
        <v>7.7616000000000103</v>
      </c>
      <c r="AD7418">
        <v>-1.111554032823</v>
      </c>
      <c r="AE7418">
        <v>1.6636</v>
      </c>
      <c r="AF7418">
        <v>-1.9611524701659999</v>
      </c>
      <c r="AG7418">
        <v>-1.111554032823</v>
      </c>
      <c r="AH7418">
        <v>7.5341624736114596</v>
      </c>
      <c r="AI7418">
        <v>98.125624001846504</v>
      </c>
      <c r="AJ7418">
        <v>104.590386439125</v>
      </c>
      <c r="AK7418">
        <v>7.8641767247372103</v>
      </c>
      <c r="AL7418">
        <v>85.801573722210094</v>
      </c>
      <c r="AM7418">
        <v>93.722935511878603</v>
      </c>
      <c r="AN7418">
        <v>0.99999994224621302</v>
      </c>
    </row>
    <row r="7419" spans="1:40" x14ac:dyDescent="0.25">
      <c r="A7419" t="str">
        <f>"20190312151208993"</f>
        <v>20190312151208993</v>
      </c>
      <c r="B7419" t="str">
        <f>"1552374728988486"</f>
        <v>1552374728988486</v>
      </c>
      <c r="C7419" t="s">
        <v>40</v>
      </c>
      <c r="D7419">
        <v>5.2549900000000003</v>
      </c>
      <c r="E7419">
        <v>0.4750625</v>
      </c>
      <c r="F7419" t="s">
        <v>42</v>
      </c>
      <c r="G7419">
        <v>-136.76300000000001</v>
      </c>
      <c r="H7419" s="1">
        <v>-2.0854649999999999E-6</v>
      </c>
      <c r="I7419">
        <v>142.3015</v>
      </c>
      <c r="J7419">
        <v>-144.3801</v>
      </c>
      <c r="K7419">
        <v>1.111526</v>
      </c>
      <c r="L7419">
        <v>140.67760000000001</v>
      </c>
      <c r="M7419">
        <v>0.99901249999999997</v>
      </c>
      <c r="N7419">
        <v>0</v>
      </c>
      <c r="O7419">
        <v>-4.2118170000000003E-2</v>
      </c>
      <c r="P7419">
        <v>0.99827469999999996</v>
      </c>
      <c r="Q7419">
        <v>5.56021999999999E-2</v>
      </c>
      <c r="R7419">
        <v>1.8882050000000001E-2</v>
      </c>
      <c r="S7419">
        <v>3.0180820000000002</v>
      </c>
      <c r="T7419">
        <v>-0.42378529999999998</v>
      </c>
      <c r="U7419">
        <v>0.61476140000000001</v>
      </c>
      <c r="V7419">
        <v>-6.1083899999999997E-2</v>
      </c>
      <c r="W7419">
        <v>6.9558019999999998E-2</v>
      </c>
      <c r="X7419">
        <v>0.99570599999999998</v>
      </c>
      <c r="Y7419">
        <v>-0.2380468</v>
      </c>
      <c r="Z7419">
        <v>2.2296199999999999E-2</v>
      </c>
      <c r="AA7419">
        <v>0.97099780000000002</v>
      </c>
      <c r="AB7419">
        <v>29</v>
      </c>
      <c r="AC7419">
        <v>7.61709999999999</v>
      </c>
      <c r="AD7419">
        <v>-1.111528085465</v>
      </c>
      <c r="AE7419">
        <v>1.6238999999999899</v>
      </c>
      <c r="AF7419">
        <v>-1.904517066016</v>
      </c>
      <c r="AG7419">
        <v>-1.111528085465</v>
      </c>
      <c r="AH7419">
        <v>7.3913858648492399</v>
      </c>
      <c r="AI7419">
        <v>98.285458804149499</v>
      </c>
      <c r="AJ7419">
        <v>104.448944299423</v>
      </c>
      <c r="AK7419">
        <v>7.7133173759814202</v>
      </c>
      <c r="AL7419">
        <v>86.011398247359395</v>
      </c>
      <c r="AM7419">
        <v>93.510543271933699</v>
      </c>
      <c r="AN7419">
        <v>0.99999999971076503</v>
      </c>
    </row>
    <row r="7420" spans="1:40" x14ac:dyDescent="0.25">
      <c r="A7420" t="str">
        <f>"20190312151209014"</f>
        <v>20190312151209014</v>
      </c>
      <c r="B7420" t="str">
        <f>"1552374729008981"</f>
        <v>1552374729008981</v>
      </c>
      <c r="C7420" t="s">
        <v>40</v>
      </c>
      <c r="D7420">
        <v>5.1793550000000002</v>
      </c>
      <c r="E7420">
        <v>0.5201443</v>
      </c>
      <c r="F7420" t="s">
        <v>42</v>
      </c>
      <c r="G7420">
        <v>-132.54140000000001</v>
      </c>
      <c r="H7420" s="1">
        <v>-3.7346519999999999E-6</v>
      </c>
      <c r="I7420">
        <v>141.69319999999999</v>
      </c>
      <c r="J7420">
        <v>-144.1061</v>
      </c>
      <c r="K7420">
        <v>1.1115010000000001</v>
      </c>
      <c r="L7420">
        <v>140.66739999999999</v>
      </c>
      <c r="M7420">
        <v>0.99906470000000003</v>
      </c>
      <c r="N7420">
        <v>0</v>
      </c>
      <c r="O7420">
        <v>-4.0860590000000002E-2</v>
      </c>
      <c r="P7420">
        <v>0.9984828</v>
      </c>
      <c r="Q7420">
        <v>5.3000270000000002E-2</v>
      </c>
      <c r="R7420">
        <v>1.4944270000000001E-2</v>
      </c>
      <c r="S7420">
        <v>3.0160680000000002</v>
      </c>
      <c r="T7420">
        <v>-0.28317629999999999</v>
      </c>
      <c r="U7420">
        <v>0.25874330000000001</v>
      </c>
      <c r="V7420">
        <v>-5.5896439999999999E-2</v>
      </c>
      <c r="W7420">
        <v>6.6971989999999995E-2</v>
      </c>
      <c r="X7420">
        <v>0.99618790000000002</v>
      </c>
      <c r="Y7420">
        <v>-0.12539169999999999</v>
      </c>
      <c r="Z7420">
        <v>9.6850849999999995E-3</v>
      </c>
      <c r="AA7420">
        <v>0.9920601</v>
      </c>
      <c r="AB7420">
        <v>29</v>
      </c>
      <c r="AC7420">
        <v>11.564699999999901</v>
      </c>
      <c r="AD7420">
        <v>-1.1115047346519999</v>
      </c>
      <c r="AE7420">
        <v>1.0258</v>
      </c>
      <c r="AF7420">
        <v>-1.4839301201084201</v>
      </c>
      <c r="AG7420">
        <v>-1.1115047346519999</v>
      </c>
      <c r="AH7420">
        <v>11.4085571851503</v>
      </c>
      <c r="AI7420">
        <v>95.518414256641407</v>
      </c>
      <c r="AJ7420">
        <v>97.410950406970798</v>
      </c>
      <c r="AK7420">
        <v>11.558229467499</v>
      </c>
      <c r="AL7420">
        <v>86.159913331549205</v>
      </c>
      <c r="AM7420">
        <v>93.211518042968393</v>
      </c>
      <c r="AN7420">
        <v>0.99999999577782095</v>
      </c>
    </row>
    <row r="7421" spans="1:40" x14ac:dyDescent="0.25">
      <c r="A7421" t="str">
        <f>"20190312151209036"</f>
        <v>20190312151209036</v>
      </c>
      <c r="B7421" t="str">
        <f>"1552374729028501"</f>
        <v>1552374729028501</v>
      </c>
      <c r="C7421" t="s">
        <v>40</v>
      </c>
      <c r="D7421">
        <v>5.3496920000000001</v>
      </c>
      <c r="E7421">
        <v>0.5231015</v>
      </c>
      <c r="F7421" t="s">
        <v>41</v>
      </c>
      <c r="G7421">
        <v>-143.34129999999999</v>
      </c>
      <c r="H7421">
        <v>1.0228060000000001</v>
      </c>
      <c r="I7421">
        <v>140.6388</v>
      </c>
      <c r="J7421">
        <v>-143.82849999999999</v>
      </c>
      <c r="K7421">
        <v>1.1114850000000001</v>
      </c>
      <c r="L7421">
        <v>140.6575</v>
      </c>
      <c r="M7421">
        <v>0.999116</v>
      </c>
      <c r="N7421">
        <v>0</v>
      </c>
      <c r="O7421">
        <v>-3.9586089999999997E-2</v>
      </c>
      <c r="P7421">
        <v>0.99859770000000003</v>
      </c>
      <c r="Q7421">
        <v>5.1627560000000003E-2</v>
      </c>
      <c r="R7421">
        <v>1.1711259999999999E-2</v>
      </c>
      <c r="S7421">
        <v>3.0248719999999998</v>
      </c>
      <c r="T7421">
        <v>-0.35089900000000002</v>
      </c>
      <c r="U7421">
        <v>-0.11282349999999999</v>
      </c>
      <c r="V7421">
        <v>-5.1394500000000003E-2</v>
      </c>
      <c r="W7421">
        <v>6.5612660000000003E-2</v>
      </c>
      <c r="X7421">
        <v>0.99652079999999998</v>
      </c>
      <c r="Y7421">
        <v>-2.0405010000000001E-3</v>
      </c>
      <c r="Z7421">
        <v>4.6918819999999997E-3</v>
      </c>
      <c r="AA7421">
        <v>0.99998690000000001</v>
      </c>
      <c r="AB7421">
        <v>28</v>
      </c>
      <c r="AC7421">
        <v>0.48720000000000102</v>
      </c>
      <c r="AD7421">
        <v>-8.8679000000000105E-2</v>
      </c>
      <c r="AE7421">
        <v>-1.8699999999995401E-2</v>
      </c>
      <c r="AF7421">
        <v>-5.8362683142833597E-4</v>
      </c>
      <c r="AG7421">
        <v>-8.8679000000000105E-2</v>
      </c>
      <c r="AH7421">
        <v>0.471945614390815</v>
      </c>
      <c r="AI7421">
        <v>100.641834813645</v>
      </c>
      <c r="AJ7421">
        <v>90.070854217489796</v>
      </c>
      <c r="AK7421">
        <v>0.48020513179682101</v>
      </c>
      <c r="AL7421">
        <v>86.237969156265805</v>
      </c>
      <c r="AM7421">
        <v>92.952353095959396</v>
      </c>
      <c r="AN7421">
        <v>1.00000006030758</v>
      </c>
    </row>
    <row r="7422" spans="1:40" x14ac:dyDescent="0.25">
      <c r="A7422" t="str">
        <f>"20190312151209058"</f>
        <v>20190312151209058</v>
      </c>
      <c r="B7422" t="str">
        <f>"1552374729048997"</f>
        <v>1552374729048997</v>
      </c>
      <c r="C7422" t="s">
        <v>40</v>
      </c>
      <c r="D7422">
        <v>5.7964180000000001</v>
      </c>
      <c r="E7422">
        <v>0.5238083</v>
      </c>
      <c r="F7422" t="s">
        <v>41</v>
      </c>
      <c r="G7422">
        <v>-143.08150000000001</v>
      </c>
      <c r="H7422">
        <v>1.035345</v>
      </c>
      <c r="I7422">
        <v>140.62100000000001</v>
      </c>
      <c r="J7422">
        <v>-143.54580000000001</v>
      </c>
      <c r="K7422">
        <v>1.1114820000000001</v>
      </c>
      <c r="L7422">
        <v>140.64769999999999</v>
      </c>
      <c r="M7422">
        <v>0.99916649999999996</v>
      </c>
      <c r="N7422">
        <v>0</v>
      </c>
      <c r="O7422">
        <v>-3.8288219999999998E-2</v>
      </c>
      <c r="P7422">
        <v>0.99864710000000001</v>
      </c>
      <c r="Q7422">
        <v>5.1181600000000001E-2</v>
      </c>
      <c r="R7422">
        <v>9.2090760000000001E-3</v>
      </c>
      <c r="S7422">
        <v>3.0218509999999998</v>
      </c>
      <c r="T7422">
        <v>-0.30809389999999998</v>
      </c>
      <c r="U7422">
        <v>-0.14709469999999999</v>
      </c>
      <c r="V7422">
        <v>-4.7599780000000001E-2</v>
      </c>
      <c r="W7422">
        <v>6.5175860000000002E-2</v>
      </c>
      <c r="X7422">
        <v>0.99673780000000001</v>
      </c>
      <c r="Y7422">
        <v>1.0480740000000001E-2</v>
      </c>
      <c r="Z7422">
        <v>3.3574920000000001E-3</v>
      </c>
      <c r="AA7422">
        <v>0.99993940000000003</v>
      </c>
      <c r="AB7422">
        <v>28</v>
      </c>
      <c r="AC7422">
        <v>0.46430000000000798</v>
      </c>
      <c r="AD7422">
        <v>-7.6136999999999899E-2</v>
      </c>
      <c r="AE7422">
        <v>-2.6699999999976801E-2</v>
      </c>
      <c r="AF7422">
        <v>8.6690718116688992E-3</v>
      </c>
      <c r="AG7422">
        <v>-7.6136999999999899E-2</v>
      </c>
      <c r="AH7422">
        <v>0.45284491802718202</v>
      </c>
      <c r="AI7422">
        <v>99.542186057933705</v>
      </c>
      <c r="AJ7422">
        <v>88.903287760953901</v>
      </c>
      <c r="AK7422">
        <v>0.459282609466243</v>
      </c>
      <c r="AL7422">
        <v>86.263049174146502</v>
      </c>
      <c r="AM7422">
        <v>92.734115300225895</v>
      </c>
      <c r="AN7422">
        <v>0.99999993686581201</v>
      </c>
    </row>
    <row r="7423" spans="1:40" x14ac:dyDescent="0.25">
      <c r="A7423" t="str">
        <f>"20190312151209080"</f>
        <v>20190312151209080</v>
      </c>
      <c r="B7423" t="str">
        <f>"1552374729068517"</f>
        <v>1552374729068517</v>
      </c>
      <c r="C7423" t="s">
        <v>40</v>
      </c>
      <c r="D7423">
        <v>5.2135660000000001</v>
      </c>
      <c r="E7423">
        <v>0.52399839999999998</v>
      </c>
      <c r="F7423" t="s">
        <v>41</v>
      </c>
      <c r="G7423">
        <v>-142.5812</v>
      </c>
      <c r="H7423">
        <v>1.0262070000000001</v>
      </c>
      <c r="I7423">
        <v>140.59620000000001</v>
      </c>
      <c r="J7423">
        <v>-143.26830000000001</v>
      </c>
      <c r="K7423">
        <v>1.111497</v>
      </c>
      <c r="L7423">
        <v>140.63849999999999</v>
      </c>
      <c r="M7423">
        <v>0.99921470000000001</v>
      </c>
      <c r="N7423">
        <v>0</v>
      </c>
      <c r="O7423">
        <v>-3.7014070000000003E-2</v>
      </c>
      <c r="P7423">
        <v>0.99854500000000002</v>
      </c>
      <c r="Q7423">
        <v>5.3301420000000002E-2</v>
      </c>
      <c r="R7423">
        <v>8.1829639999999992E-3</v>
      </c>
      <c r="S7423">
        <v>3.0192410000000001</v>
      </c>
      <c r="T7423">
        <v>-0.26706049999999998</v>
      </c>
      <c r="U7423">
        <v>-0.16085820000000001</v>
      </c>
      <c r="V7423">
        <v>-4.5302870000000002E-2</v>
      </c>
      <c r="W7423">
        <v>6.7298369999999996E-2</v>
      </c>
      <c r="X7423">
        <v>0.99670389999999998</v>
      </c>
      <c r="Y7423">
        <v>1.6281049999999998E-2</v>
      </c>
      <c r="Z7423">
        <v>2.5461390000000002E-3</v>
      </c>
      <c r="AA7423">
        <v>0.99986419999999998</v>
      </c>
      <c r="AB7423">
        <v>28</v>
      </c>
      <c r="AC7423">
        <v>0.68710000000001503</v>
      </c>
      <c r="AD7423">
        <v>-8.5290000000000005E-2</v>
      </c>
      <c r="AE7423">
        <v>-4.2299999999983101E-2</v>
      </c>
      <c r="AF7423">
        <v>1.6581567479379399E-2</v>
      </c>
      <c r="AG7423">
        <v>-8.5290000000000005E-2</v>
      </c>
      <c r="AH7423">
        <v>0.677790709368566</v>
      </c>
      <c r="AI7423">
        <v>97.170011645360304</v>
      </c>
      <c r="AJ7423">
        <v>88.598587506023506</v>
      </c>
      <c r="AK7423">
        <v>0.68333708971957396</v>
      </c>
      <c r="AL7423">
        <v>86.141171030136803</v>
      </c>
      <c r="AM7423">
        <v>92.602455917584905</v>
      </c>
      <c r="AN7423">
        <v>1.0000000424550499</v>
      </c>
    </row>
    <row r="7424" spans="1:40" x14ac:dyDescent="0.25">
      <c r="A7424" t="str">
        <f>"20190312151209104"</f>
        <v>20190312151209104</v>
      </c>
      <c r="B7424" t="str">
        <f>"1552374729098773"</f>
        <v>1552374729098773</v>
      </c>
      <c r="C7424" t="s">
        <v>40</v>
      </c>
      <c r="D7424">
        <v>5.1864249999999998</v>
      </c>
      <c r="E7424">
        <v>0.52362129999999996</v>
      </c>
      <c r="F7424" t="s">
        <v>41</v>
      </c>
      <c r="G7424">
        <v>-142.3235</v>
      </c>
      <c r="H7424">
        <v>1.036735</v>
      </c>
      <c r="I7424">
        <v>140.5866</v>
      </c>
      <c r="J7424">
        <v>-142.97479999999999</v>
      </c>
      <c r="K7424">
        <v>1.1114980000000001</v>
      </c>
      <c r="L7424">
        <v>140.6292</v>
      </c>
      <c r="M7424">
        <v>0.99926369999999998</v>
      </c>
      <c r="N7424">
        <v>0</v>
      </c>
      <c r="O7424">
        <v>-3.5666129999999997E-2</v>
      </c>
      <c r="P7424">
        <v>0.99835910000000005</v>
      </c>
      <c r="Q7424">
        <v>5.6696139999999999E-2</v>
      </c>
      <c r="R7424">
        <v>8.040274E-3</v>
      </c>
      <c r="S7424">
        <v>3.018478</v>
      </c>
      <c r="T7424">
        <v>-0.2388816</v>
      </c>
      <c r="U7424">
        <v>-0.165741</v>
      </c>
      <c r="V7424">
        <v>-4.3815390000000003E-2</v>
      </c>
      <c r="W7424">
        <v>7.0691530000000002E-2</v>
      </c>
      <c r="X7424">
        <v>0.99653550000000002</v>
      </c>
      <c r="Y7424">
        <v>1.9226460000000001E-2</v>
      </c>
      <c r="Z7424">
        <v>2.0562050000000002E-3</v>
      </c>
      <c r="AA7424">
        <v>0.99981299999999995</v>
      </c>
      <c r="AB7424">
        <v>28</v>
      </c>
      <c r="AC7424">
        <v>0.651299999999992</v>
      </c>
      <c r="AD7424">
        <v>-7.4762999999999899E-2</v>
      </c>
      <c r="AE7424">
        <v>-4.2599999999992998E-2</v>
      </c>
      <c r="AF7424">
        <v>1.9090733290693201E-2</v>
      </c>
      <c r="AG7424">
        <v>-7.4762999999999899E-2</v>
      </c>
      <c r="AH7424">
        <v>0.64395590652179502</v>
      </c>
      <c r="AI7424">
        <v>96.619484267085795</v>
      </c>
      <c r="AJ7424">
        <v>88.301905214899307</v>
      </c>
      <c r="AK7424">
        <v>0.64856238852625603</v>
      </c>
      <c r="AL7424">
        <v>85.946292800410703</v>
      </c>
      <c r="AM7424">
        <v>92.517543134541896</v>
      </c>
      <c r="AN7424">
        <v>1.00000004178742</v>
      </c>
    </row>
    <row r="7425" spans="1:40" x14ac:dyDescent="0.25">
      <c r="A7425" t="str">
        <f>"20190312151209129"</f>
        <v>20190312151209129</v>
      </c>
      <c r="B7425" t="str">
        <f>"1552374729118293"</f>
        <v>1552374729118293</v>
      </c>
      <c r="C7425" t="s">
        <v>40</v>
      </c>
      <c r="D7425">
        <v>5.2821749999999996</v>
      </c>
      <c r="E7425">
        <v>0.52346179999999998</v>
      </c>
      <c r="F7425" t="s">
        <v>41</v>
      </c>
      <c r="G7425">
        <v>-142.05350000000001</v>
      </c>
      <c r="H7425">
        <v>1.04756</v>
      </c>
      <c r="I7425">
        <v>140.57929999999999</v>
      </c>
      <c r="J7425">
        <v>-142.6686</v>
      </c>
      <c r="K7425">
        <v>1.111483</v>
      </c>
      <c r="L7425">
        <v>140.6198</v>
      </c>
      <c r="M7425">
        <v>0.99931309999999995</v>
      </c>
      <c r="N7425">
        <v>0</v>
      </c>
      <c r="O7425">
        <v>-3.4259779999999997E-2</v>
      </c>
      <c r="P7425">
        <v>0.99834970000000001</v>
      </c>
      <c r="Q7425">
        <v>5.6849400000000001E-2</v>
      </c>
      <c r="R7425">
        <v>8.1388169999999996E-3</v>
      </c>
      <c r="S7425">
        <v>3.0181269999999998</v>
      </c>
      <c r="T7425">
        <v>-0.20961260000000001</v>
      </c>
      <c r="U7425">
        <v>-0.16281129999999999</v>
      </c>
      <c r="V7425">
        <v>-4.2510029999999997E-2</v>
      </c>
      <c r="W7425">
        <v>7.0845630000000007E-2</v>
      </c>
      <c r="X7425">
        <v>0.9965811</v>
      </c>
      <c r="Y7425">
        <v>1.9656099999999999E-2</v>
      </c>
      <c r="Z7425">
        <v>1.692886E-3</v>
      </c>
      <c r="AA7425">
        <v>0.99980539999999996</v>
      </c>
      <c r="AB7425">
        <v>28</v>
      </c>
      <c r="AC7425">
        <v>0.61509999999998399</v>
      </c>
      <c r="AD7425">
        <v>-6.3922999999999897E-2</v>
      </c>
      <c r="AE7425">
        <v>-4.0500000000008599E-2</v>
      </c>
      <c r="AF7425">
        <v>1.9194520580611399E-2</v>
      </c>
      <c r="AG7425">
        <v>-6.3922999999999897E-2</v>
      </c>
      <c r="AH7425">
        <v>0.60957155864016099</v>
      </c>
      <c r="AI7425">
        <v>95.983524001653294</v>
      </c>
      <c r="AJ7425">
        <v>88.196435288341604</v>
      </c>
      <c r="AK7425">
        <v>0.61321453395391301</v>
      </c>
      <c r="AL7425">
        <v>85.9374413512692</v>
      </c>
      <c r="AM7425">
        <v>92.442520412155702</v>
      </c>
      <c r="AN7425">
        <v>1.0000000474089501</v>
      </c>
    </row>
    <row r="7426" spans="1:40" x14ac:dyDescent="0.25">
      <c r="A7426" t="str">
        <f>"20190312151209148"</f>
        <v>20190312151209148</v>
      </c>
      <c r="B7426" t="str">
        <f>"1552374729138789"</f>
        <v>1552374729138789</v>
      </c>
      <c r="C7426" t="s">
        <v>40</v>
      </c>
      <c r="D7426">
        <v>5.3222620000000003</v>
      </c>
      <c r="E7426">
        <v>0.52346179999999998</v>
      </c>
      <c r="F7426" t="s">
        <v>42</v>
      </c>
      <c r="G7426">
        <v>-125.9941</v>
      </c>
      <c r="H7426" s="1">
        <v>-1.731836E-6</v>
      </c>
      <c r="I7426">
        <v>139.7328</v>
      </c>
      <c r="J7426">
        <v>-142.41550000000001</v>
      </c>
      <c r="K7426">
        <v>1.1114520000000001</v>
      </c>
      <c r="L7426">
        <v>140.61240000000001</v>
      </c>
      <c r="M7426">
        <v>0.99935220000000002</v>
      </c>
      <c r="N7426">
        <v>0</v>
      </c>
      <c r="O7426">
        <v>-3.3096729999999998E-2</v>
      </c>
      <c r="P7426">
        <v>0.99842200000000003</v>
      </c>
      <c r="Q7426">
        <v>5.5503900000000002E-2</v>
      </c>
      <c r="R7426">
        <v>8.5326800000000008E-3</v>
      </c>
      <c r="S7426">
        <v>3.0177309999999999</v>
      </c>
      <c r="T7426">
        <v>-0.2011539</v>
      </c>
      <c r="U7426">
        <v>-0.16053770000000001</v>
      </c>
      <c r="V7426">
        <v>-4.174129E-2</v>
      </c>
      <c r="W7426">
        <v>6.9500939999999997E-2</v>
      </c>
      <c r="X7426">
        <v>0.99670820000000004</v>
      </c>
      <c r="Y7426">
        <v>2.0069440000000001E-2</v>
      </c>
      <c r="Z7426">
        <v>1.533902E-3</v>
      </c>
      <c r="AA7426">
        <v>0.99979739999999995</v>
      </c>
      <c r="AB7426">
        <v>28</v>
      </c>
      <c r="AC7426">
        <v>16.421399999999998</v>
      </c>
      <c r="AD7426">
        <v>-1.1114537318359901</v>
      </c>
      <c r="AE7426">
        <v>-0.87960000000001004</v>
      </c>
      <c r="AF7426">
        <v>0.33404319450044101</v>
      </c>
      <c r="AG7426">
        <v>-1.1114537318359901</v>
      </c>
      <c r="AH7426">
        <v>16.3667546139535</v>
      </c>
      <c r="AI7426">
        <v>93.884141238201295</v>
      </c>
      <c r="AJ7426">
        <v>88.830763412235598</v>
      </c>
      <c r="AK7426">
        <v>16.407850890569801</v>
      </c>
      <c r="AL7426">
        <v>86.0146765296154</v>
      </c>
      <c r="AM7426">
        <v>92.3980970944842</v>
      </c>
      <c r="AN7426">
        <v>0.99999997594949297</v>
      </c>
    </row>
    <row r="7427" spans="1:40" x14ac:dyDescent="0.25">
      <c r="A7427" t="str">
        <f>"20190312151209170"</f>
        <v>20190312151209170</v>
      </c>
      <c r="B7427" t="str">
        <f>"1552374729158310"</f>
        <v>1552374729158310</v>
      </c>
      <c r="C7427" t="s">
        <v>40</v>
      </c>
      <c r="D7427">
        <v>5.2689709999999996</v>
      </c>
      <c r="E7427">
        <v>0.5233989</v>
      </c>
      <c r="F7427" t="s">
        <v>42</v>
      </c>
      <c r="G7427">
        <v>-126.1067</v>
      </c>
      <c r="H7427" s="1">
        <v>-1.6895679999999901E-6</v>
      </c>
      <c r="I7427">
        <v>139.75559999999999</v>
      </c>
      <c r="J7427">
        <v>-142.1352</v>
      </c>
      <c r="K7427">
        <v>1.111434</v>
      </c>
      <c r="L7427">
        <v>140.6046</v>
      </c>
      <c r="M7427">
        <v>0.99939409999999895</v>
      </c>
      <c r="N7427">
        <v>0</v>
      </c>
      <c r="O7427">
        <v>-3.1808639999999999E-2</v>
      </c>
      <c r="P7427">
        <v>0.99842010000000003</v>
      </c>
      <c r="Q7427">
        <v>5.5425599999999998E-2</v>
      </c>
      <c r="R7427">
        <v>9.2588059999999996E-3</v>
      </c>
      <c r="S7427">
        <v>3.0175320000000001</v>
      </c>
      <c r="T7427">
        <v>-0.20564650000000001</v>
      </c>
      <c r="U7427">
        <v>-0.15853879999999901</v>
      </c>
      <c r="V7427">
        <v>-4.1180700000000001E-2</v>
      </c>
      <c r="W7427">
        <v>6.9421979999999994E-2</v>
      </c>
      <c r="X7427">
        <v>0.99673710000000004</v>
      </c>
      <c r="Y7427">
        <v>2.0697989999999999E-2</v>
      </c>
      <c r="Z7427">
        <v>1.4592800000000001E-3</v>
      </c>
      <c r="AA7427">
        <v>0.99978469999999997</v>
      </c>
      <c r="AB7427">
        <v>28</v>
      </c>
      <c r="AC7427">
        <v>16.028499999999902</v>
      </c>
      <c r="AD7427">
        <v>-1.111435689568</v>
      </c>
      <c r="AE7427">
        <v>-0.84900000000001696</v>
      </c>
      <c r="AF7427">
        <v>0.337058501470689</v>
      </c>
      <c r="AG7427">
        <v>-1.111435689568</v>
      </c>
      <c r="AH7427">
        <v>15.9708197044333</v>
      </c>
      <c r="AI7427">
        <v>93.9800062017339</v>
      </c>
      <c r="AJ7427">
        <v>88.790972318595806</v>
      </c>
      <c r="AK7427">
        <v>16.012994090955502</v>
      </c>
      <c r="AL7427">
        <v>86.019211869178307</v>
      </c>
      <c r="AM7427">
        <v>92.365858719454195</v>
      </c>
      <c r="AN7427">
        <v>1.0000000539380001</v>
      </c>
    </row>
    <row r="7428" spans="1:40" x14ac:dyDescent="0.25">
      <c r="A7428" t="str">
        <f>"20190312151209192"</f>
        <v>20190312151209192</v>
      </c>
      <c r="B7428" t="str">
        <f>"1552374729188565"</f>
        <v>1552374729188565</v>
      </c>
      <c r="C7428" t="s">
        <v>40</v>
      </c>
      <c r="D7428">
        <v>5.2401359999999997</v>
      </c>
      <c r="E7428">
        <v>0.52326170000000005</v>
      </c>
      <c r="F7428" t="s">
        <v>42</v>
      </c>
      <c r="G7428">
        <v>-126.8394</v>
      </c>
      <c r="H7428" s="1">
        <v>-1.3911539999999999E-6</v>
      </c>
      <c r="I7428">
        <v>139.8152</v>
      </c>
      <c r="J7428">
        <v>-141.85990000000001</v>
      </c>
      <c r="K7428">
        <v>1.1114219999999999</v>
      </c>
      <c r="L7428">
        <v>140.59719999999999</v>
      </c>
      <c r="M7428">
        <v>0.99943369999999998</v>
      </c>
      <c r="N7428">
        <v>0</v>
      </c>
      <c r="O7428">
        <v>-3.0543190000000001E-2</v>
      </c>
      <c r="P7428">
        <v>0.99832390000000004</v>
      </c>
      <c r="Q7428">
        <v>5.7007130000000003E-2</v>
      </c>
      <c r="R7428">
        <v>9.9842400000000001E-3</v>
      </c>
      <c r="S7428">
        <v>3.0183719999999998</v>
      </c>
      <c r="T7428">
        <v>-0.21932209999999999</v>
      </c>
      <c r="U7428">
        <v>-0.1557617</v>
      </c>
      <c r="V7428">
        <v>-4.0642409999999997E-2</v>
      </c>
      <c r="W7428">
        <v>7.10007E-2</v>
      </c>
      <c r="X7428">
        <v>0.99664799999999998</v>
      </c>
      <c r="Y7428">
        <v>2.1031279999999999E-2</v>
      </c>
      <c r="Z7428">
        <v>1.4518980000000001E-3</v>
      </c>
      <c r="AA7428">
        <v>0.99977769999999999</v>
      </c>
      <c r="AB7428">
        <v>28</v>
      </c>
      <c r="AC7428">
        <v>15.0205</v>
      </c>
      <c r="AD7428">
        <v>-1.1114233911539999</v>
      </c>
      <c r="AE7428">
        <v>-0.78199999999998204</v>
      </c>
      <c r="AF7428">
        <v>0.32106226400334897</v>
      </c>
      <c r="AG7428">
        <v>-1.1114233911539999</v>
      </c>
      <c r="AH7428">
        <v>14.9557155518348</v>
      </c>
      <c r="AI7428">
        <v>94.249107429390705</v>
      </c>
      <c r="AJ7428">
        <v>88.770190064206702</v>
      </c>
      <c r="AK7428">
        <v>15.0003923481742</v>
      </c>
      <c r="AL7428">
        <v>85.928534158416696</v>
      </c>
      <c r="AM7428">
        <v>92.335176568854806</v>
      </c>
      <c r="AN7428">
        <v>1.00000007039754</v>
      </c>
    </row>
    <row r="7429" spans="1:40" x14ac:dyDescent="0.25">
      <c r="A7429" t="str">
        <f>"20190312151209215"</f>
        <v>20190312151209215</v>
      </c>
      <c r="B7429" t="str">
        <f>"1552374729209061"</f>
        <v>1552374729209061</v>
      </c>
      <c r="C7429" t="s">
        <v>40</v>
      </c>
      <c r="D7429">
        <v>5.2514180000000001</v>
      </c>
      <c r="E7429">
        <v>0.52302099999999996</v>
      </c>
      <c r="F7429" t="s">
        <v>42</v>
      </c>
      <c r="G7429">
        <v>-127.1323</v>
      </c>
      <c r="H7429" s="1">
        <v>-1.275334E-6</v>
      </c>
      <c r="I7429">
        <v>139.85230000000001</v>
      </c>
      <c r="J7429">
        <v>-141.57830000000001</v>
      </c>
      <c r="K7429">
        <v>1.111415</v>
      </c>
      <c r="L7429">
        <v>140.59010000000001</v>
      </c>
      <c r="M7429">
        <v>0.99947240000000004</v>
      </c>
      <c r="N7429">
        <v>0</v>
      </c>
      <c r="O7429">
        <v>-2.9248059999999999E-2</v>
      </c>
      <c r="P7429">
        <v>0.99812380000000001</v>
      </c>
      <c r="Q7429">
        <v>5.9999179999999999E-2</v>
      </c>
      <c r="R7429">
        <v>1.2201139999999999E-2</v>
      </c>
      <c r="S7429">
        <v>3.019577</v>
      </c>
      <c r="T7429">
        <v>-0.22787370000000001</v>
      </c>
      <c r="U7429">
        <v>-0.15272520000000001</v>
      </c>
      <c r="V7429">
        <v>-4.1567199999999999E-2</v>
      </c>
      <c r="W7429">
        <v>7.3984980000000006E-2</v>
      </c>
      <c r="X7429">
        <v>0.99639270000000002</v>
      </c>
      <c r="Y7429">
        <v>2.1301049999999998E-2</v>
      </c>
      <c r="Z7429">
        <v>1.4001650000000001E-3</v>
      </c>
      <c r="AA7429">
        <v>0.99977210000000005</v>
      </c>
      <c r="AB7429">
        <v>28</v>
      </c>
      <c r="AC7429">
        <v>14.446</v>
      </c>
      <c r="AD7429">
        <v>-1.111416275334</v>
      </c>
      <c r="AE7429">
        <v>-0.73779999999999202</v>
      </c>
      <c r="AF7429">
        <v>0.313076352837174</v>
      </c>
      <c r="AG7429">
        <v>-1.111416275334</v>
      </c>
      <c r="AH7429">
        <v>14.376524702185201</v>
      </c>
      <c r="AI7429">
        <v>94.419569537720506</v>
      </c>
      <c r="AJ7429">
        <v>88.752471875847505</v>
      </c>
      <c r="AK7429">
        <v>14.4228196082571</v>
      </c>
      <c r="AL7429">
        <v>85.7570961400654</v>
      </c>
      <c r="AM7429">
        <v>92.388862277262902</v>
      </c>
      <c r="AN7429">
        <v>1.0000000109973599</v>
      </c>
    </row>
    <row r="7430" spans="1:40" x14ac:dyDescent="0.25">
      <c r="A7430" t="str">
        <f>"20190312151209237"</f>
        <v>20190312151209237</v>
      </c>
      <c r="B7430" t="str">
        <f>"1552374729228581"</f>
        <v>1552374729228581</v>
      </c>
      <c r="C7430" t="s">
        <v>40</v>
      </c>
      <c r="D7430">
        <v>5.4048920000000003</v>
      </c>
      <c r="E7430">
        <v>0.52259389999999994</v>
      </c>
      <c r="F7430" t="s">
        <v>42</v>
      </c>
      <c r="G7430">
        <v>-126.6407</v>
      </c>
      <c r="H7430" s="1">
        <v>-1.4915250000000001E-6</v>
      </c>
      <c r="I7430">
        <v>139.87209999999999</v>
      </c>
      <c r="J7430">
        <v>-141.30000000000001</v>
      </c>
      <c r="K7430">
        <v>1.111421</v>
      </c>
      <c r="L7430">
        <v>140.58340000000001</v>
      </c>
      <c r="M7430">
        <v>0.99950919999999999</v>
      </c>
      <c r="N7430">
        <v>0</v>
      </c>
      <c r="O7430">
        <v>-2.7968549999999998E-2</v>
      </c>
      <c r="P7430">
        <v>0.99793209999999999</v>
      </c>
      <c r="Q7430">
        <v>6.2620099999999998E-2</v>
      </c>
      <c r="R7430">
        <v>1.451558E-2</v>
      </c>
      <c r="S7430">
        <v>3.0209199999999998</v>
      </c>
      <c r="T7430">
        <v>-0.2247683</v>
      </c>
      <c r="U7430">
        <v>-0.14518739999999999</v>
      </c>
      <c r="V7430">
        <v>-4.2604000000000003E-2</v>
      </c>
      <c r="W7430">
        <v>7.6597280000000004E-2</v>
      </c>
      <c r="X7430">
        <v>0.99615140000000002</v>
      </c>
      <c r="Y7430">
        <v>2.0069150000000001E-2</v>
      </c>
      <c r="Z7430">
        <v>1.331406E-3</v>
      </c>
      <c r="AA7430">
        <v>0.99979770000000001</v>
      </c>
      <c r="AB7430">
        <v>28</v>
      </c>
      <c r="AC7430">
        <v>14.6593</v>
      </c>
      <c r="AD7430">
        <v>-1.1114224915249999</v>
      </c>
      <c r="AE7430">
        <v>-0.71130000000002203</v>
      </c>
      <c r="AF7430">
        <v>0.29926529975370297</v>
      </c>
      <c r="AG7430">
        <v>-1.1114224915249999</v>
      </c>
      <c r="AH7430">
        <v>14.589792141895099</v>
      </c>
      <c r="AI7430">
        <v>94.355356780619701</v>
      </c>
      <c r="AJ7430">
        <v>88.824915783042698</v>
      </c>
      <c r="AK7430">
        <v>14.6351239973568</v>
      </c>
      <c r="AL7430">
        <v>85.606995923465604</v>
      </c>
      <c r="AM7430">
        <v>92.448967780273705</v>
      </c>
      <c r="AN7430">
        <v>0.99999992792067605</v>
      </c>
    </row>
    <row r="7431" spans="1:40" x14ac:dyDescent="0.25">
      <c r="A7431" t="str">
        <f>"20190312151209259"</f>
        <v>20190312151209259</v>
      </c>
      <c r="B7431" t="str">
        <f>"1552374729249077"</f>
        <v>1552374729249077</v>
      </c>
      <c r="C7431" t="s">
        <v>40</v>
      </c>
      <c r="D7431">
        <v>5.2175409999999998</v>
      </c>
      <c r="E7431">
        <v>0.52244780000000002</v>
      </c>
      <c r="F7431" t="s">
        <v>42</v>
      </c>
      <c r="G7431">
        <v>-126.12949999999999</v>
      </c>
      <c r="H7431" s="1">
        <v>-1.7193269999999999E-6</v>
      </c>
      <c r="I7431">
        <v>139.9041</v>
      </c>
      <c r="J7431">
        <v>-141.01910000000001</v>
      </c>
      <c r="K7431">
        <v>1.1114360000000001</v>
      </c>
      <c r="L7431">
        <v>140.577</v>
      </c>
      <c r="M7431">
        <v>0.9995444</v>
      </c>
      <c r="N7431">
        <v>0</v>
      </c>
      <c r="O7431">
        <v>-2.667688E-2</v>
      </c>
      <c r="P7431">
        <v>0.99776940000000003</v>
      </c>
      <c r="Q7431">
        <v>6.4426880000000006E-2</v>
      </c>
      <c r="R7431">
        <v>1.7479310000000001E-2</v>
      </c>
      <c r="S7431">
        <v>3.0220639999999999</v>
      </c>
      <c r="T7431">
        <v>-0.2214026</v>
      </c>
      <c r="U7431">
        <v>-0.13531489999999999</v>
      </c>
      <c r="V7431">
        <v>-4.4277339999999998E-2</v>
      </c>
      <c r="W7431">
        <v>7.8394770000000003E-2</v>
      </c>
      <c r="X7431">
        <v>0.99593869999999896</v>
      </c>
      <c r="Y7431">
        <v>1.808506E-2</v>
      </c>
      <c r="Z7431">
        <v>1.2892859999999999E-3</v>
      </c>
      <c r="AA7431">
        <v>0.99983560000000005</v>
      </c>
      <c r="AB7431">
        <v>28</v>
      </c>
      <c r="AC7431">
        <v>14.8896</v>
      </c>
      <c r="AD7431">
        <v>-1.111437719327</v>
      </c>
      <c r="AE7431">
        <v>-0.67289999999999806</v>
      </c>
      <c r="AF7431">
        <v>0.27388982624127001</v>
      </c>
      <c r="AG7431">
        <v>-1.111437719327</v>
      </c>
      <c r="AH7431">
        <v>14.8198459626363</v>
      </c>
      <c r="AI7431">
        <v>94.288228759527499</v>
      </c>
      <c r="AJ7431">
        <v>88.941220789899006</v>
      </c>
      <c r="AK7431">
        <v>14.863988152482101</v>
      </c>
      <c r="AL7431">
        <v>85.503697243400893</v>
      </c>
      <c r="AM7431">
        <v>92.545573626289098</v>
      </c>
      <c r="AN7431">
        <v>1.0000000584792501</v>
      </c>
    </row>
    <row r="7432" spans="1:40" x14ac:dyDescent="0.25">
      <c r="A7432" t="str">
        <f>"20190312151209282"</f>
        <v>20190312151209282</v>
      </c>
      <c r="B7432" t="str">
        <f>"1552374729278357"</f>
        <v>1552374729278357</v>
      </c>
      <c r="C7432" t="s">
        <v>40</v>
      </c>
      <c r="D7432">
        <v>5.3383729999999998</v>
      </c>
      <c r="E7432">
        <v>0.52217729999999996</v>
      </c>
      <c r="F7432" t="s">
        <v>41</v>
      </c>
      <c r="G7432">
        <v>-140.06030000000001</v>
      </c>
      <c r="H7432">
        <v>1.0403230000000001</v>
      </c>
      <c r="I7432">
        <v>140.53720000000001</v>
      </c>
      <c r="J7432">
        <v>-140.7424</v>
      </c>
      <c r="K7432">
        <v>1.1114440000000001</v>
      </c>
      <c r="L7432">
        <v>140.571</v>
      </c>
      <c r="M7432">
        <v>0.99957750000000001</v>
      </c>
      <c r="N7432">
        <v>0</v>
      </c>
      <c r="O7432">
        <v>-2.5404039999999999E-2</v>
      </c>
      <c r="P7432">
        <v>0.99759160000000002</v>
      </c>
      <c r="Q7432">
        <v>6.6379919999999995E-2</v>
      </c>
      <c r="R7432">
        <v>2.011479E-2</v>
      </c>
      <c r="S7432">
        <v>3.0233919999999999</v>
      </c>
      <c r="T7432">
        <v>-0.2243522</v>
      </c>
      <c r="U7432">
        <v>-0.12510679999999999</v>
      </c>
      <c r="V7432">
        <v>-4.564174E-2</v>
      </c>
      <c r="W7432">
        <v>8.0339359999999999E-2</v>
      </c>
      <c r="X7432">
        <v>0.99572210000000005</v>
      </c>
      <c r="Y7432">
        <v>1.5971920000000001E-2</v>
      </c>
      <c r="Z7432">
        <v>1.2899820000000001E-3</v>
      </c>
      <c r="AA7432">
        <v>0.99987159999999997</v>
      </c>
      <c r="AB7432">
        <v>28</v>
      </c>
      <c r="AC7432">
        <v>0.68209999999999105</v>
      </c>
      <c r="AD7432">
        <v>-7.1121000000000198E-2</v>
      </c>
      <c r="AE7432">
        <v>-3.3799999999985099E-2</v>
      </c>
      <c r="AF7432">
        <v>1.6282677694363298E-2</v>
      </c>
      <c r="AG7432">
        <v>-7.1121000000000198E-2</v>
      </c>
      <c r="AH7432">
        <v>0.67541361665511401</v>
      </c>
      <c r="AI7432">
        <v>96.009355968214905</v>
      </c>
      <c r="AJ7432">
        <v>88.618997282085203</v>
      </c>
      <c r="AK7432">
        <v>0.67934297361276896</v>
      </c>
      <c r="AL7432">
        <v>85.391927769345401</v>
      </c>
      <c r="AM7432">
        <v>92.624477107735004</v>
      </c>
      <c r="AN7432">
        <v>1.0000000408119201</v>
      </c>
    </row>
    <row r="7433" spans="1:40" x14ac:dyDescent="0.25">
      <c r="A7433" t="str">
        <f>"20190312151209304"</f>
        <v>20190312151209304</v>
      </c>
      <c r="B7433" t="str">
        <f>"1552374729298852"</f>
        <v>1552374729298852</v>
      </c>
      <c r="C7433" t="s">
        <v>40</v>
      </c>
      <c r="D7433">
        <v>5.2282890000000002</v>
      </c>
      <c r="E7433">
        <v>0.51413330000000002</v>
      </c>
      <c r="F7433" t="s">
        <v>41</v>
      </c>
      <c r="G7433">
        <v>-139.80840000000001</v>
      </c>
      <c r="H7433">
        <v>1.0424089999999999</v>
      </c>
      <c r="I7433">
        <v>140.53540000000001</v>
      </c>
      <c r="J7433">
        <v>-140.45599999999999</v>
      </c>
      <c r="K7433">
        <v>1.1114470000000001</v>
      </c>
      <c r="L7433">
        <v>140.5652</v>
      </c>
      <c r="M7433">
        <v>0.99961029999999995</v>
      </c>
      <c r="N7433">
        <v>0</v>
      </c>
      <c r="O7433">
        <v>-2.40865E-2</v>
      </c>
      <c r="P7433">
        <v>0.9974961</v>
      </c>
      <c r="Q7433">
        <v>6.6664260000000003E-2</v>
      </c>
      <c r="R7433">
        <v>2.3617869999999999E-2</v>
      </c>
      <c r="S7433">
        <v>3.0244599999999999</v>
      </c>
      <c r="T7433">
        <v>-0.22355810000000001</v>
      </c>
      <c r="U7433">
        <v>-0.1151581</v>
      </c>
      <c r="V7433">
        <v>-4.7827950000000001E-2</v>
      </c>
      <c r="W7433">
        <v>8.0613610000000002E-2</v>
      </c>
      <c r="X7433">
        <v>0.99559730000000002</v>
      </c>
      <c r="Y7433">
        <v>1.399301E-2</v>
      </c>
      <c r="Z7433">
        <v>1.260904E-3</v>
      </c>
      <c r="AA7433">
        <v>0.99990129999999999</v>
      </c>
      <c r="AB7433">
        <v>28</v>
      </c>
      <c r="AC7433">
        <v>0.64760000000001094</v>
      </c>
      <c r="AD7433">
        <v>-6.9037999999999905E-2</v>
      </c>
      <c r="AE7433">
        <v>-2.97999999999944E-2</v>
      </c>
      <c r="AF7433">
        <v>1.40322452502899E-2</v>
      </c>
      <c r="AG7433">
        <v>-6.9037999999999905E-2</v>
      </c>
      <c r="AH7433">
        <v>0.64086203408498899</v>
      </c>
      <c r="AI7433">
        <v>96.147115734451106</v>
      </c>
      <c r="AJ7433">
        <v>88.745658287237205</v>
      </c>
      <c r="AK7433">
        <v>0.64472265051129796</v>
      </c>
      <c r="AL7433">
        <v>85.376163198693504</v>
      </c>
      <c r="AM7433">
        <v>92.750343487191799</v>
      </c>
      <c r="AN7433">
        <v>1.00000002534286</v>
      </c>
    </row>
    <row r="7434" spans="1:40" x14ac:dyDescent="0.25">
      <c r="A7434" t="str">
        <f>"20190312151209328"</f>
        <v>20190312151209328</v>
      </c>
      <c r="B7434" t="str">
        <f>"1552374729318373"</f>
        <v>1552374729318373</v>
      </c>
      <c r="C7434" t="s">
        <v>40</v>
      </c>
      <c r="D7434">
        <v>5.2323430000000002</v>
      </c>
      <c r="E7434">
        <v>0.51869790000000005</v>
      </c>
      <c r="F7434" t="s">
        <v>41</v>
      </c>
      <c r="G7434">
        <v>-139.5839</v>
      </c>
      <c r="H7434">
        <v>0.99450620000000001</v>
      </c>
      <c r="I7434">
        <v>140.55350000000001</v>
      </c>
      <c r="J7434">
        <v>-140.16849999999999</v>
      </c>
      <c r="K7434">
        <v>1.111448</v>
      </c>
      <c r="L7434">
        <v>140.5598</v>
      </c>
      <c r="M7434">
        <v>0.99964140000000001</v>
      </c>
      <c r="N7434">
        <v>0</v>
      </c>
      <c r="O7434">
        <v>-2.2763120000000001E-2</v>
      </c>
      <c r="P7434">
        <v>0.99742529999999996</v>
      </c>
      <c r="Q7434">
        <v>6.6611169999999997E-2</v>
      </c>
      <c r="R7434">
        <v>2.656909E-2</v>
      </c>
      <c r="S7434">
        <v>3.0357059999999998</v>
      </c>
      <c r="T7434">
        <v>-0.40713909999999998</v>
      </c>
      <c r="U7434">
        <v>-4.0451050000000002E-2</v>
      </c>
      <c r="V7434">
        <v>-4.945695E-2</v>
      </c>
      <c r="W7434">
        <v>8.0552789999999999E-2</v>
      </c>
      <c r="X7434">
        <v>0.99552260000000004</v>
      </c>
      <c r="Y7434">
        <v>-9.1571880000000001E-3</v>
      </c>
      <c r="Z7434">
        <v>3.6504699999999998E-3</v>
      </c>
      <c r="AA7434">
        <v>0.99995140000000005</v>
      </c>
      <c r="AB7434">
        <v>28</v>
      </c>
      <c r="AC7434">
        <v>0.58459999999999401</v>
      </c>
      <c r="AD7434">
        <v>-0.116941799999999</v>
      </c>
      <c r="AE7434">
        <v>-6.2999999999817603E-3</v>
      </c>
      <c r="AF7434">
        <v>-6.7405837957436104E-3</v>
      </c>
      <c r="AG7434">
        <v>-0.116941799999999</v>
      </c>
      <c r="AH7434">
        <v>0.56210205842124406</v>
      </c>
      <c r="AI7434">
        <v>101.751562904972</v>
      </c>
      <c r="AJ7434">
        <v>90.687043369306394</v>
      </c>
      <c r="AK7434">
        <v>0.57417727588136702</v>
      </c>
      <c r="AL7434">
        <v>85.379659154792705</v>
      </c>
      <c r="AM7434">
        <v>92.844080827611407</v>
      </c>
      <c r="AN7434">
        <v>0.99999999449542298</v>
      </c>
    </row>
    <row r="7435" spans="1:40" x14ac:dyDescent="0.25">
      <c r="A7435" t="str">
        <f>"20190312151209349"</f>
        <v>20190312151209349</v>
      </c>
      <c r="B7435" t="str">
        <f>"1552374729338869"</f>
        <v>1552374729338869</v>
      </c>
      <c r="C7435" t="s">
        <v>40</v>
      </c>
      <c r="D7435">
        <v>5.2589040000000002</v>
      </c>
      <c r="E7435">
        <v>0.52102729999999997</v>
      </c>
      <c r="F7435" t="s">
        <v>41</v>
      </c>
      <c r="G7435">
        <v>-139.32820000000001</v>
      </c>
      <c r="H7435">
        <v>1.0091139999999901</v>
      </c>
      <c r="I7435">
        <v>140.54089999999999</v>
      </c>
      <c r="J7435">
        <v>-139.90100000000001</v>
      </c>
      <c r="K7435">
        <v>1.1114379999999999</v>
      </c>
      <c r="L7435">
        <v>140.55500000000001</v>
      </c>
      <c r="M7435">
        <v>0.99966869999999997</v>
      </c>
      <c r="N7435">
        <v>0</v>
      </c>
      <c r="O7435">
        <v>-2.1531399999999999E-2</v>
      </c>
      <c r="P7435">
        <v>0.99734659999999997</v>
      </c>
      <c r="Q7435">
        <v>6.6710069999999996E-2</v>
      </c>
      <c r="R7435">
        <v>2.9150539999999999E-2</v>
      </c>
      <c r="S7435">
        <v>3.0342250000000002</v>
      </c>
      <c r="T7435">
        <v>-0.3695349</v>
      </c>
      <c r="U7435">
        <v>-6.8023680000000003E-2</v>
      </c>
      <c r="V7435">
        <v>-5.0807529999999997E-2</v>
      </c>
      <c r="W7435">
        <v>8.0644499999999994E-2</v>
      </c>
      <c r="X7435">
        <v>0.99544719999999998</v>
      </c>
      <c r="Y7435">
        <v>1.031208E-3</v>
      </c>
      <c r="Z7435">
        <v>2.549703E-3</v>
      </c>
      <c r="AA7435">
        <v>0.9999962</v>
      </c>
      <c r="AB7435">
        <v>28</v>
      </c>
      <c r="AC7435">
        <v>0.57279999999999998</v>
      </c>
      <c r="AD7435">
        <v>-0.102324</v>
      </c>
      <c r="AE7435">
        <v>-1.41000000000133E-2</v>
      </c>
      <c r="AF7435">
        <v>1.7078507141823399E-3</v>
      </c>
      <c r="AG7435">
        <v>-0.102324</v>
      </c>
      <c r="AH7435">
        <v>0.55526221337445003</v>
      </c>
      <c r="AI7435">
        <v>100.441304784449</v>
      </c>
      <c r="AJ7435">
        <v>89.8237727563031</v>
      </c>
      <c r="AK7435">
        <v>0.56461424294074902</v>
      </c>
      <c r="AL7435">
        <v>85.374387592143194</v>
      </c>
      <c r="AM7435">
        <v>92.921835676153606</v>
      </c>
      <c r="AN7435">
        <v>1.0000000342363899</v>
      </c>
    </row>
    <row r="7436" spans="1:40" x14ac:dyDescent="0.25">
      <c r="A7436" t="str">
        <f>"20190312151209371"</f>
        <v>20190312151209371</v>
      </c>
      <c r="B7436" t="str">
        <f>"1552374729358389"</f>
        <v>1552374729358389</v>
      </c>
      <c r="C7436" t="s">
        <v>40</v>
      </c>
      <c r="D7436">
        <v>5.2023910000000004</v>
      </c>
      <c r="E7436">
        <v>0.52182850000000003</v>
      </c>
      <c r="F7436" t="s">
        <v>41</v>
      </c>
      <c r="G7436">
        <v>-139.07589999999999</v>
      </c>
      <c r="H7436">
        <v>1.016637</v>
      </c>
      <c r="I7436">
        <v>140.53360000000001</v>
      </c>
      <c r="J7436">
        <v>-139.62979999999999</v>
      </c>
      <c r="K7436">
        <v>1.1114389999999901</v>
      </c>
      <c r="L7436">
        <v>140.5506</v>
      </c>
      <c r="M7436">
        <v>0.99969490000000005</v>
      </c>
      <c r="N7436">
        <v>0</v>
      </c>
      <c r="O7436">
        <v>-2.0282519999999998E-2</v>
      </c>
      <c r="P7436">
        <v>0.9973109</v>
      </c>
      <c r="Q7436">
        <v>6.6404290000000005E-2</v>
      </c>
      <c r="R7436">
        <v>3.1009700000000001E-2</v>
      </c>
      <c r="S7436">
        <v>3.0335999999999999</v>
      </c>
      <c r="T7436">
        <v>-0.3486302</v>
      </c>
      <c r="U7436">
        <v>-7.8521729999999998E-2</v>
      </c>
      <c r="V7436">
        <v>-5.141971E-2</v>
      </c>
      <c r="W7436">
        <v>8.0334610000000001E-2</v>
      </c>
      <c r="X7436">
        <v>0.99544080000000001</v>
      </c>
      <c r="Y7436">
        <v>5.6882520000000004E-3</v>
      </c>
      <c r="Z7436">
        <v>1.9971260000000001E-3</v>
      </c>
      <c r="AA7436">
        <v>0.99998180000000003</v>
      </c>
      <c r="AB7436">
        <v>28</v>
      </c>
      <c r="AC7436">
        <v>0.55389999999999795</v>
      </c>
      <c r="AD7436">
        <v>-9.4801999999999803E-2</v>
      </c>
      <c r="AE7436">
        <v>-1.69999999999959E-2</v>
      </c>
      <c r="AF7436">
        <v>5.5970933853880496E-3</v>
      </c>
      <c r="AG7436">
        <v>-9.4801999999999803E-2</v>
      </c>
      <c r="AH7436">
        <v>0.53837479405584998</v>
      </c>
      <c r="AI7436">
        <v>99.986259012796097</v>
      </c>
      <c r="AJ7436">
        <v>89.404358675122495</v>
      </c>
      <c r="AK7436">
        <v>0.54668653315500904</v>
      </c>
      <c r="AL7436">
        <v>85.3922006701724</v>
      </c>
      <c r="AM7436">
        <v>92.956997747593903</v>
      </c>
      <c r="AN7436">
        <v>1.0000000112224801</v>
      </c>
    </row>
    <row r="7437" spans="1:40" x14ac:dyDescent="0.25">
      <c r="A7437" t="str">
        <f>"20190312151209394"</f>
        <v>20190312151209394</v>
      </c>
      <c r="B7437" t="str">
        <f>"1552374729388645"</f>
        <v>1552374729388645</v>
      </c>
      <c r="C7437" t="s">
        <v>40</v>
      </c>
      <c r="D7437">
        <v>5.2560589999999996</v>
      </c>
      <c r="E7437">
        <v>0.52268059999999905</v>
      </c>
      <c r="F7437" t="s">
        <v>41</v>
      </c>
      <c r="G7437">
        <v>-138.82679999999999</v>
      </c>
      <c r="H7437">
        <v>1.018011</v>
      </c>
      <c r="I7437">
        <v>140.52969999999999</v>
      </c>
      <c r="J7437">
        <v>-139.3466</v>
      </c>
      <c r="K7437">
        <v>1.11144</v>
      </c>
      <c r="L7437">
        <v>140.5462</v>
      </c>
      <c r="M7437">
        <v>0.99972050000000001</v>
      </c>
      <c r="N7437">
        <v>0</v>
      </c>
      <c r="O7437">
        <v>-1.8978459999999999E-2</v>
      </c>
      <c r="P7437">
        <v>0.99725940000000002</v>
      </c>
      <c r="Q7437">
        <v>6.6849480000000003E-2</v>
      </c>
      <c r="R7437">
        <v>3.1702300000000003E-2</v>
      </c>
      <c r="S7437">
        <v>3.0340419999999999</v>
      </c>
      <c r="T7437">
        <v>-0.35303200000000001</v>
      </c>
      <c r="U7437">
        <v>-7.8842159999999994E-2</v>
      </c>
      <c r="V7437">
        <v>-5.0811719999999998E-2</v>
      </c>
      <c r="W7437">
        <v>8.0778530000000001E-2</v>
      </c>
      <c r="X7437">
        <v>0.99543610000000005</v>
      </c>
      <c r="Y7437">
        <v>7.0786869999999898E-3</v>
      </c>
      <c r="Z7437">
        <v>1.790093E-3</v>
      </c>
      <c r="AA7437">
        <v>0.99997340000000001</v>
      </c>
      <c r="AB7437">
        <v>28</v>
      </c>
      <c r="AC7437">
        <v>0.51980000000000304</v>
      </c>
      <c r="AD7437">
        <v>-9.3428999999999901E-2</v>
      </c>
      <c r="AE7437">
        <v>-1.6500000000007699E-2</v>
      </c>
      <c r="AF7437">
        <v>6.4237241077784498E-3</v>
      </c>
      <c r="AG7437">
        <v>-9.3428999999999901E-2</v>
      </c>
      <c r="AH7437">
        <v>0.50376112558563801</v>
      </c>
      <c r="AI7437">
        <v>100.50602553900301</v>
      </c>
      <c r="AJ7437">
        <v>89.269430857657497</v>
      </c>
      <c r="AK7437">
        <v>0.512391953414299</v>
      </c>
      <c r="AL7437">
        <v>85.366683016163194</v>
      </c>
      <c r="AM7437">
        <v>92.922108744062598</v>
      </c>
      <c r="AN7437">
        <v>1.00000001549076</v>
      </c>
    </row>
    <row r="7438" spans="1:40" x14ac:dyDescent="0.25">
      <c r="A7438" t="str">
        <f>"20190312151209415"</f>
        <v>20190312151209415</v>
      </c>
      <c r="B7438" t="str">
        <f>"1552374729409141"</f>
        <v>1552374729409141</v>
      </c>
      <c r="C7438" t="s">
        <v>40</v>
      </c>
      <c r="D7438">
        <v>5.2552640000000004</v>
      </c>
      <c r="E7438">
        <v>0.52325250000000001</v>
      </c>
      <c r="F7438" t="s">
        <v>41</v>
      </c>
      <c r="G7438">
        <v>-138.57660000000001</v>
      </c>
      <c r="H7438">
        <v>1.022402</v>
      </c>
      <c r="I7438">
        <v>140.52529999999999</v>
      </c>
      <c r="J7438">
        <v>-139.07490000000001</v>
      </c>
      <c r="K7438">
        <v>1.111451</v>
      </c>
      <c r="L7438">
        <v>140.54239999999999</v>
      </c>
      <c r="M7438">
        <v>0.99974289999999999</v>
      </c>
      <c r="N7438">
        <v>0</v>
      </c>
      <c r="O7438">
        <v>-1.7732609999999999E-2</v>
      </c>
      <c r="P7438">
        <v>0.99717990000000001</v>
      </c>
      <c r="Q7438">
        <v>6.8429889999999993E-2</v>
      </c>
      <c r="R7438">
        <v>3.081917E-2</v>
      </c>
      <c r="S7438">
        <v>3.0343930000000001</v>
      </c>
      <c r="T7438">
        <v>-0.35097289999999998</v>
      </c>
      <c r="U7438">
        <v>-8.2321169999999999E-2</v>
      </c>
      <c r="V7438">
        <v>-4.8689120000000002E-2</v>
      </c>
      <c r="W7438">
        <v>8.2391539999999999E-2</v>
      </c>
      <c r="X7438">
        <v>0.99541000000000002</v>
      </c>
      <c r="Y7438">
        <v>9.4424929999999997E-3</v>
      </c>
      <c r="Z7438">
        <v>1.499687E-3</v>
      </c>
      <c r="AA7438">
        <v>0.99995429999999996</v>
      </c>
      <c r="AB7438">
        <v>28</v>
      </c>
      <c r="AC7438">
        <v>0.49830000000000002</v>
      </c>
      <c r="AD7438">
        <v>-8.9048999999999906E-2</v>
      </c>
      <c r="AE7438">
        <v>-1.7099999999999199E-2</v>
      </c>
      <c r="AF7438">
        <v>8.0049266432008596E-3</v>
      </c>
      <c r="AG7438">
        <v>-8.9048999999999906E-2</v>
      </c>
      <c r="AH7438">
        <v>0.483114446153873</v>
      </c>
      <c r="AI7438">
        <v>100.44229424929</v>
      </c>
      <c r="AJ7438">
        <v>89.050728974876094</v>
      </c>
      <c r="AK7438">
        <v>0.49131799410781501</v>
      </c>
      <c r="AL7438">
        <v>85.273955302275596</v>
      </c>
      <c r="AM7438">
        <v>92.800312897571104</v>
      </c>
      <c r="AN7438">
        <v>1.00000003218497</v>
      </c>
    </row>
    <row r="7439" spans="1:40" x14ac:dyDescent="0.25">
      <c r="A7439" t="str">
        <f>"20190312151209439"</f>
        <v>20190312151209439</v>
      </c>
      <c r="B7439" t="str">
        <f>"1552374729428662"</f>
        <v>1552374729428662</v>
      </c>
      <c r="C7439" t="s">
        <v>40</v>
      </c>
      <c r="D7439">
        <v>5.2535759999999998</v>
      </c>
      <c r="E7439">
        <v>0.52371129999999999</v>
      </c>
      <c r="F7439" t="s">
        <v>41</v>
      </c>
      <c r="G7439">
        <v>-138.32689999999999</v>
      </c>
      <c r="H7439">
        <v>1.026553</v>
      </c>
      <c r="I7439">
        <v>140.52080000000001</v>
      </c>
      <c r="J7439">
        <v>-138.7961</v>
      </c>
      <c r="K7439">
        <v>1.111518</v>
      </c>
      <c r="L7439">
        <v>140.53890000000001</v>
      </c>
      <c r="M7439">
        <v>0.99976140000000002</v>
      </c>
      <c r="N7439">
        <v>0</v>
      </c>
      <c r="O7439">
        <v>-1.646543E-2</v>
      </c>
      <c r="P7439">
        <v>0.99706209999999995</v>
      </c>
      <c r="Q7439">
        <v>7.0799780000000007E-2</v>
      </c>
      <c r="R7439">
        <v>2.924239E-2</v>
      </c>
      <c r="S7439">
        <v>3.0348359999999999</v>
      </c>
      <c r="T7439">
        <v>-0.34449020000000002</v>
      </c>
      <c r="U7439">
        <v>-8.7677000000000005E-2</v>
      </c>
      <c r="V7439">
        <v>-4.5851379999999997E-2</v>
      </c>
      <c r="W7439">
        <v>8.4998279999999996E-2</v>
      </c>
      <c r="X7439">
        <v>0.99532560000000003</v>
      </c>
      <c r="Y7439">
        <v>1.2439800000000001E-2</v>
      </c>
      <c r="Z7439">
        <v>1.1590470000000001E-3</v>
      </c>
      <c r="AA7439">
        <v>0.99992199999999998</v>
      </c>
      <c r="AB7439">
        <v>28</v>
      </c>
      <c r="AC7439">
        <v>0.46920000000000001</v>
      </c>
      <c r="AD7439">
        <v>-8.4964999999999902E-2</v>
      </c>
      <c r="AE7439">
        <v>-1.8100000000003998E-2</v>
      </c>
      <c r="AF7439">
        <v>1.00423533819944E-2</v>
      </c>
      <c r="AG7439">
        <v>-8.4964999999999902E-2</v>
      </c>
      <c r="AH7439">
        <v>0.45455107465490702</v>
      </c>
      <c r="AI7439">
        <v>100.585062551847</v>
      </c>
      <c r="AJ7439">
        <v>88.734375716426598</v>
      </c>
      <c r="AK7439">
        <v>0.462532787547413</v>
      </c>
      <c r="AL7439">
        <v>85.124074297746503</v>
      </c>
      <c r="AM7439">
        <v>92.637563595542005</v>
      </c>
      <c r="AN7439">
        <v>1.0000000533331099</v>
      </c>
    </row>
    <row r="7440" spans="1:40" x14ac:dyDescent="0.25">
      <c r="A7440" t="str">
        <f>"20190312151209460"</f>
        <v>20190312151209460</v>
      </c>
      <c r="B7440" t="str">
        <f>"1552374729449158"</f>
        <v>1552374729449158</v>
      </c>
      <c r="C7440" t="s">
        <v>40</v>
      </c>
      <c r="D7440">
        <v>5.277393</v>
      </c>
      <c r="E7440">
        <v>0.52390769999999998</v>
      </c>
      <c r="F7440" t="s">
        <v>41</v>
      </c>
      <c r="G7440">
        <v>-137.84530000000001</v>
      </c>
      <c r="H7440">
        <v>1.0062899999999999</v>
      </c>
      <c r="I7440">
        <v>140.50909999999999</v>
      </c>
      <c r="J7440">
        <v>-138.52850000000001</v>
      </c>
      <c r="K7440">
        <v>1.1116629999999901</v>
      </c>
      <c r="L7440">
        <v>140.53579999999999</v>
      </c>
      <c r="M7440">
        <v>0.99977150000000004</v>
      </c>
      <c r="N7440">
        <v>0</v>
      </c>
      <c r="O7440">
        <v>-1.5264750000000001E-2</v>
      </c>
      <c r="P7440">
        <v>0.99695339999999999</v>
      </c>
      <c r="Q7440">
        <v>7.3090459999999996E-2</v>
      </c>
      <c r="R7440">
        <v>2.7239780000000002E-2</v>
      </c>
      <c r="S7440">
        <v>3.0354920000000001</v>
      </c>
      <c r="T7440">
        <v>-0.33599849999999998</v>
      </c>
      <c r="U7440">
        <v>-9.4955440000000002E-2</v>
      </c>
      <c r="V7440">
        <v>-4.2652379999999997E-2</v>
      </c>
      <c r="W7440">
        <v>8.7907979999999997E-2</v>
      </c>
      <c r="X7440">
        <v>0.99521510000000002</v>
      </c>
      <c r="Y7440">
        <v>1.5999329999999999E-2</v>
      </c>
      <c r="Z7440">
        <v>8.0156899999999905E-4</v>
      </c>
      <c r="AA7440">
        <v>0.99987170000000003</v>
      </c>
      <c r="AB7440">
        <v>28</v>
      </c>
      <c r="AC7440">
        <v>0.68319999999999903</v>
      </c>
      <c r="AD7440">
        <v>-0.105372999999999</v>
      </c>
      <c r="AE7440">
        <v>-2.6700000000005199E-2</v>
      </c>
      <c r="AF7440">
        <v>1.5889437399629499E-2</v>
      </c>
      <c r="AG7440">
        <v>-0.105372999999999</v>
      </c>
      <c r="AH7440">
        <v>0.66766950894778299</v>
      </c>
      <c r="AI7440">
        <v>98.966068281746203</v>
      </c>
      <c r="AJ7440">
        <v>88.636711911319793</v>
      </c>
      <c r="AK7440">
        <v>0.67612019384755195</v>
      </c>
      <c r="AL7440">
        <v>84.956734249963304</v>
      </c>
      <c r="AM7440">
        <v>92.454049160519304</v>
      </c>
      <c r="AN7440">
        <v>1.0000000668676701</v>
      </c>
    </row>
    <row r="7441" spans="1:40" x14ac:dyDescent="0.25">
      <c r="A7441" t="str">
        <f>"20190312151209484"</f>
        <v>20190312151209484</v>
      </c>
      <c r="B7441" t="str">
        <f>"1552374729478437"</f>
        <v>1552374729478437</v>
      </c>
      <c r="C7441" t="s">
        <v>40</v>
      </c>
      <c r="D7441">
        <v>5.1692269999999896</v>
      </c>
      <c r="E7441">
        <v>0.52406569999999997</v>
      </c>
      <c r="F7441" t="s">
        <v>41</v>
      </c>
      <c r="G7441">
        <v>-137.60069999999999</v>
      </c>
      <c r="H7441">
        <v>1.0105409999999999</v>
      </c>
      <c r="I7441">
        <v>140.50460000000001</v>
      </c>
      <c r="J7441">
        <v>-138.2423</v>
      </c>
      <c r="K7441">
        <v>1.111899</v>
      </c>
      <c r="L7441">
        <v>140.53290000000001</v>
      </c>
      <c r="M7441">
        <v>0.99977309999999997</v>
      </c>
      <c r="N7441">
        <v>0</v>
      </c>
      <c r="O7441">
        <v>-1.3998689999999999E-2</v>
      </c>
      <c r="P7441">
        <v>0.99690809999999996</v>
      </c>
      <c r="Q7441">
        <v>7.4280650000000004E-2</v>
      </c>
      <c r="R7441">
        <v>2.563474E-2</v>
      </c>
      <c r="S7441">
        <v>3.0362239999999998</v>
      </c>
      <c r="T7441">
        <v>-0.3310399</v>
      </c>
      <c r="U7441">
        <v>-0.10202029999999999</v>
      </c>
      <c r="V7441">
        <v>-3.9782980000000003E-2</v>
      </c>
      <c r="W7441">
        <v>9.0188660000000004E-2</v>
      </c>
      <c r="X7441">
        <v>0.99512979999999995</v>
      </c>
      <c r="Y7441">
        <v>1.9553319999999999E-2</v>
      </c>
      <c r="Z7441">
        <v>4.589099E-4</v>
      </c>
      <c r="AA7441">
        <v>0.99980869999999999</v>
      </c>
      <c r="AB7441">
        <v>27</v>
      </c>
      <c r="AC7441">
        <v>0.64160000000001005</v>
      </c>
      <c r="AD7441">
        <v>-0.101358</v>
      </c>
      <c r="AE7441">
        <v>-2.8300000000001501E-2</v>
      </c>
      <c r="AF7441">
        <v>1.8845110153413301E-2</v>
      </c>
      <c r="AG7441">
        <v>-0.101358</v>
      </c>
      <c r="AH7441">
        <v>0.62633248309414802</v>
      </c>
      <c r="AI7441">
        <v>99.188271076668698</v>
      </c>
      <c r="AJ7441">
        <v>88.276602834926095</v>
      </c>
      <c r="AK7441">
        <v>0.63476055463424597</v>
      </c>
      <c r="AL7441">
        <v>84.825539345237402</v>
      </c>
      <c r="AM7441">
        <v>92.289333202176493</v>
      </c>
      <c r="AN7441">
        <v>0.99999999936915795</v>
      </c>
    </row>
    <row r="7442" spans="1:40" x14ac:dyDescent="0.25">
      <c r="A7442" t="str">
        <f>"20190312151209506"</f>
        <v>20190312151209506</v>
      </c>
      <c r="B7442" t="str">
        <f>"1552374729498933"</f>
        <v>1552374729498933</v>
      </c>
      <c r="C7442" t="s">
        <v>40</v>
      </c>
      <c r="D7442">
        <v>5.2118640000000003</v>
      </c>
      <c r="E7442">
        <v>0.52424950000000003</v>
      </c>
      <c r="F7442" t="s">
        <v>41</v>
      </c>
      <c r="G7442">
        <v>-137.35810000000001</v>
      </c>
      <c r="H7442">
        <v>1.015754</v>
      </c>
      <c r="I7442">
        <v>140.50139999999999</v>
      </c>
      <c r="J7442">
        <v>-137.98240000000001</v>
      </c>
      <c r="K7442">
        <v>1.112136</v>
      </c>
      <c r="L7442">
        <v>140.53049999999999</v>
      </c>
      <c r="M7442">
        <v>0.9997682</v>
      </c>
      <c r="N7442">
        <v>0</v>
      </c>
      <c r="O7442">
        <v>-1.288065E-2</v>
      </c>
      <c r="P7442">
        <v>0.99693279999999995</v>
      </c>
      <c r="Q7442">
        <v>7.457308E-2</v>
      </c>
      <c r="R7442">
        <v>2.374882E-2</v>
      </c>
      <c r="S7442">
        <v>3.0366819999999999</v>
      </c>
      <c r="T7442">
        <v>-0.33019910000000002</v>
      </c>
      <c r="U7442">
        <v>-0.107910199999999</v>
      </c>
      <c r="V7442">
        <v>-3.6782629999999997E-2</v>
      </c>
      <c r="W7442">
        <v>9.168113E-2</v>
      </c>
      <c r="X7442">
        <v>0.99510880000000002</v>
      </c>
      <c r="Y7442">
        <v>2.2578669999999999E-2</v>
      </c>
      <c r="Z7442">
        <v>1.725714E-4</v>
      </c>
      <c r="AA7442">
        <v>0.99974510000000005</v>
      </c>
      <c r="AB7442">
        <v>27</v>
      </c>
      <c r="AC7442">
        <v>0.62430000000000496</v>
      </c>
      <c r="AD7442">
        <v>-9.6381999999999898E-2</v>
      </c>
      <c r="AE7442">
        <v>-2.9099999999999598E-2</v>
      </c>
      <c r="AF7442">
        <v>2.05658844911694E-2</v>
      </c>
      <c r="AG7442">
        <v>-9.6381999999999898E-2</v>
      </c>
      <c r="AH7442">
        <v>0.61011289480290598</v>
      </c>
      <c r="AI7442">
        <v>98.972047040852601</v>
      </c>
      <c r="AJ7442">
        <v>88.069386172311894</v>
      </c>
      <c r="AK7442">
        <v>0.618021188903492</v>
      </c>
      <c r="AL7442">
        <v>84.739671119945399</v>
      </c>
      <c r="AM7442">
        <v>92.116884532773199</v>
      </c>
      <c r="AN7442">
        <v>0.99999995765261596</v>
      </c>
    </row>
    <row r="7443" spans="1:40" x14ac:dyDescent="0.25">
      <c r="A7443" t="str">
        <f>"20190312151209529"</f>
        <v>20190312151209529</v>
      </c>
      <c r="B7443" t="str">
        <f>"1552374729518454"</f>
        <v>1552374729518454</v>
      </c>
      <c r="C7443" t="s">
        <v>40</v>
      </c>
      <c r="D7443">
        <v>5.1883679999999996</v>
      </c>
      <c r="E7443">
        <v>0.52391359999999998</v>
      </c>
      <c r="F7443" t="s">
        <v>41</v>
      </c>
      <c r="G7443">
        <v>-137.11949999999999</v>
      </c>
      <c r="H7443">
        <v>1.018302</v>
      </c>
      <c r="I7443">
        <v>140.49780000000001</v>
      </c>
      <c r="J7443">
        <v>-137.71209999999999</v>
      </c>
      <c r="K7443">
        <v>1.112379</v>
      </c>
      <c r="L7443">
        <v>140.5284</v>
      </c>
      <c r="M7443">
        <v>0.99975749999999997</v>
      </c>
      <c r="N7443">
        <v>0</v>
      </c>
      <c r="O7443">
        <v>-1.178772E-2</v>
      </c>
      <c r="P7443">
        <v>0.99696580000000001</v>
      </c>
      <c r="Q7443">
        <v>7.4703690000000003E-2</v>
      </c>
      <c r="R7443">
        <v>2.1880179999999999E-2</v>
      </c>
      <c r="S7443">
        <v>3.0366819999999999</v>
      </c>
      <c r="T7443">
        <v>-0.33031260000000001</v>
      </c>
      <c r="U7443">
        <v>-0.1149139</v>
      </c>
      <c r="V7443">
        <v>-3.3826839999999997E-2</v>
      </c>
      <c r="W7443">
        <v>9.3166299999999994E-2</v>
      </c>
      <c r="X7443">
        <v>0.99507579999999995</v>
      </c>
      <c r="Y7443">
        <v>2.5947540000000002E-2</v>
      </c>
      <c r="Z7443">
        <v>-1.2845869999999999E-4</v>
      </c>
      <c r="AA7443">
        <v>0.99966330000000003</v>
      </c>
      <c r="AB7443">
        <v>27</v>
      </c>
      <c r="AC7443">
        <v>0.59260000000000401</v>
      </c>
      <c r="AD7443">
        <v>-9.4076999999999897E-2</v>
      </c>
      <c r="AE7443">
        <v>-3.0599999999992598E-2</v>
      </c>
      <c r="AF7443">
        <v>2.30323328846361E-2</v>
      </c>
      <c r="AG7443">
        <v>-9.4076999999999897E-2</v>
      </c>
      <c r="AH7443">
        <v>0.57838167899654802</v>
      </c>
      <c r="AI7443">
        <v>99.231379534185393</v>
      </c>
      <c r="AJ7443">
        <v>87.719570639590799</v>
      </c>
      <c r="AK7443">
        <v>0.58643527936676398</v>
      </c>
      <c r="AL7443">
        <v>84.654211741790903</v>
      </c>
      <c r="AM7443">
        <v>91.946976409906696</v>
      </c>
      <c r="AN7443">
        <v>1.0000000311528501</v>
      </c>
    </row>
    <row r="7444" spans="1:40" x14ac:dyDescent="0.25">
      <c r="A7444" t="str">
        <f>"20190312151209551"</f>
        <v>20190312151209551</v>
      </c>
      <c r="B7444" t="str">
        <f>"1552374729548709"</f>
        <v>1552374729548709</v>
      </c>
      <c r="C7444" t="s">
        <v>40</v>
      </c>
      <c r="D7444">
        <v>5.116498</v>
      </c>
      <c r="E7444">
        <v>0.5070114</v>
      </c>
      <c r="F7444" t="s">
        <v>41</v>
      </c>
      <c r="G7444">
        <v>-136.88290000000001</v>
      </c>
      <c r="H7444">
        <v>1.022303</v>
      </c>
      <c r="I7444">
        <v>140.49639999999999</v>
      </c>
      <c r="J7444">
        <v>-137.4418</v>
      </c>
      <c r="K7444">
        <v>1.1125890000000001</v>
      </c>
      <c r="L7444">
        <v>140.5266</v>
      </c>
      <c r="M7444">
        <v>0.9997414</v>
      </c>
      <c r="N7444">
        <v>0</v>
      </c>
      <c r="O7444">
        <v>-1.076391E-2</v>
      </c>
      <c r="P7444">
        <v>0.99711240000000001</v>
      </c>
      <c r="Q7444">
        <v>7.3228689999999999E-2</v>
      </c>
      <c r="R7444">
        <v>2.0107300000000002E-2</v>
      </c>
      <c r="S7444">
        <v>3.0364070000000001</v>
      </c>
      <c r="T7444">
        <v>-0.32988630000000002</v>
      </c>
      <c r="U7444">
        <v>-0.1170349</v>
      </c>
      <c r="V7444">
        <v>-3.1029270000000001E-2</v>
      </c>
      <c r="W7444">
        <v>9.3116450000000003E-2</v>
      </c>
      <c r="X7444">
        <v>0.99517160000000005</v>
      </c>
      <c r="Y7444">
        <v>2.7655740000000002E-2</v>
      </c>
      <c r="Z7444">
        <v>-3.3162520000000001E-4</v>
      </c>
      <c r="AA7444">
        <v>0.99961750000000005</v>
      </c>
      <c r="AB7444">
        <v>27</v>
      </c>
      <c r="AC7444">
        <v>0.55889999999999396</v>
      </c>
      <c r="AD7444">
        <v>-9.0286000000000005E-2</v>
      </c>
      <c r="AE7444">
        <v>-3.02000000000077E-2</v>
      </c>
      <c r="AF7444">
        <v>2.35678586054484E-2</v>
      </c>
      <c r="AG7444">
        <v>-9.0286000000000005E-2</v>
      </c>
      <c r="AH7444">
        <v>0.54501157114402699</v>
      </c>
      <c r="AI7444">
        <v>99.397505622422798</v>
      </c>
      <c r="AJ7444">
        <v>87.523909292206199</v>
      </c>
      <c r="AK7444">
        <v>0.55294178575698805</v>
      </c>
      <c r="AL7444">
        <v>84.657080245943504</v>
      </c>
      <c r="AM7444">
        <v>91.785893426531004</v>
      </c>
      <c r="AN7444">
        <v>1.0000000011519401</v>
      </c>
    </row>
    <row r="7445" spans="1:40" x14ac:dyDescent="0.25">
      <c r="A7445" t="str">
        <f>"20190312151209573"</f>
        <v>20190312151209573</v>
      </c>
      <c r="B7445" t="str">
        <f>"1552374729569206"</f>
        <v>1552374729569206</v>
      </c>
      <c r="C7445" t="s">
        <v>40</v>
      </c>
      <c r="D7445">
        <v>5.1069089999999999</v>
      </c>
      <c r="E7445">
        <v>0.50640980000000002</v>
      </c>
      <c r="F7445" t="s">
        <v>41</v>
      </c>
      <c r="G7445">
        <v>-136.6516</v>
      </c>
      <c r="H7445">
        <v>1.0196719999999999</v>
      </c>
      <c r="I7445">
        <v>140.53</v>
      </c>
      <c r="J7445">
        <v>-137.2072</v>
      </c>
      <c r="K7445">
        <v>1.1127129999999901</v>
      </c>
      <c r="L7445">
        <v>140.52529999999999</v>
      </c>
      <c r="M7445">
        <v>0.9997239</v>
      </c>
      <c r="N7445">
        <v>0</v>
      </c>
      <c r="O7445">
        <v>-9.8929069999999994E-3</v>
      </c>
      <c r="P7445">
        <v>0.99726159999999997</v>
      </c>
      <c r="Q7445">
        <v>7.1414889999999995E-2</v>
      </c>
      <c r="R7445">
        <v>1.9220129999999998E-2</v>
      </c>
      <c r="S7445">
        <v>3.034637</v>
      </c>
      <c r="T7445">
        <v>-0.35684290000000002</v>
      </c>
      <c r="U7445">
        <v>1.304626E-2</v>
      </c>
      <c r="V7445">
        <v>-2.9261590000000001E-2</v>
      </c>
      <c r="W7445">
        <v>9.2592770000000005E-2</v>
      </c>
      <c r="X7445">
        <v>0.99527399999999999</v>
      </c>
      <c r="Y7445">
        <v>-1.4029099999999999E-2</v>
      </c>
      <c r="Z7445">
        <v>1.981568E-3</v>
      </c>
      <c r="AA7445">
        <v>0.9998996</v>
      </c>
      <c r="AB7445">
        <v>26</v>
      </c>
      <c r="AC7445">
        <v>0.55559999999999798</v>
      </c>
      <c r="AD7445">
        <v>-9.3040999999999902E-2</v>
      </c>
      <c r="AE7445">
        <v>4.7000000000139101E-3</v>
      </c>
      <c r="AF7445">
        <v>-9.9193690261570305E-3</v>
      </c>
      <c r="AG7445">
        <v>-9.3040999999999902E-2</v>
      </c>
      <c r="AH7445">
        <v>0.540373683904109</v>
      </c>
      <c r="AI7445">
        <v>99.767728339396299</v>
      </c>
      <c r="AJ7445">
        <v>91.051631814315002</v>
      </c>
      <c r="AK7445">
        <v>0.54841475164238096</v>
      </c>
      <c r="AL7445">
        <v>84.687215077603696</v>
      </c>
      <c r="AM7445">
        <v>91.684041569956506</v>
      </c>
      <c r="AN7445">
        <v>0.9999999983908</v>
      </c>
    </row>
    <row r="7446" spans="1:40" x14ac:dyDescent="0.25">
      <c r="A7446" t="str">
        <f>"20190312151209594"</f>
        <v>20190312151209594</v>
      </c>
      <c r="B7446" t="str">
        <f>"1552374729588730"</f>
        <v>1552374729588730</v>
      </c>
      <c r="C7446" t="s">
        <v>40</v>
      </c>
      <c r="D7446">
        <v>5.2230369999999997</v>
      </c>
      <c r="E7446">
        <v>0.50586620000000004</v>
      </c>
      <c r="F7446" t="s">
        <v>41</v>
      </c>
      <c r="G7446">
        <v>-136.42429999999999</v>
      </c>
      <c r="H7446">
        <v>1.0175989999999999</v>
      </c>
      <c r="I7446">
        <v>140.5292</v>
      </c>
      <c r="J7446">
        <v>-136.95580000000001</v>
      </c>
      <c r="K7446">
        <v>1.112811</v>
      </c>
      <c r="L7446">
        <v>140.524</v>
      </c>
      <c r="M7446">
        <v>0.99970159999999997</v>
      </c>
      <c r="N7446">
        <v>0</v>
      </c>
      <c r="O7446">
        <v>-8.9671790000000005E-3</v>
      </c>
      <c r="P7446">
        <v>0.99734120000000004</v>
      </c>
      <c r="Q7446">
        <v>7.0451609999999998E-2</v>
      </c>
      <c r="R7446">
        <v>1.8635599999999999E-2</v>
      </c>
      <c r="S7446">
        <v>3.034348</v>
      </c>
      <c r="T7446">
        <v>-0.36864839999999999</v>
      </c>
      <c r="U7446">
        <v>1.493835E-2</v>
      </c>
      <c r="V7446">
        <v>-2.7735530000000001E-2</v>
      </c>
      <c r="W7446">
        <v>9.3049969999999996E-2</v>
      </c>
      <c r="X7446">
        <v>0.99527509999999997</v>
      </c>
      <c r="Y7446">
        <v>-1.3725340000000001E-2</v>
      </c>
      <c r="Z7446">
        <v>1.9164169999999999E-3</v>
      </c>
      <c r="AA7446">
        <v>0.99990400000000002</v>
      </c>
      <c r="AB7446">
        <v>26</v>
      </c>
      <c r="AC7446">
        <v>0.53150000000002195</v>
      </c>
      <c r="AD7446">
        <v>-9.5212000000000005E-2</v>
      </c>
      <c r="AE7446">
        <v>5.2000000000020901E-3</v>
      </c>
      <c r="AF7446">
        <v>-9.6572022542908195E-3</v>
      </c>
      <c r="AG7446">
        <v>-9.5212000000000005E-2</v>
      </c>
      <c r="AH7446">
        <v>0.51490983216326702</v>
      </c>
      <c r="AI7446">
        <v>100.474433280062</v>
      </c>
      <c r="AJ7446">
        <v>91.074463979657693</v>
      </c>
      <c r="AK7446">
        <v>0.52372771719452005</v>
      </c>
      <c r="AL7446">
        <v>84.660906090272505</v>
      </c>
      <c r="AM7446">
        <v>91.596259808777305</v>
      </c>
      <c r="AN7446">
        <v>1.0000000406106899</v>
      </c>
    </row>
    <row r="7447" spans="1:40" x14ac:dyDescent="0.25">
      <c r="A7447" t="str">
        <f>"20190312151209617"</f>
        <v>20190312151209617</v>
      </c>
      <c r="B7447" t="str">
        <f>"1552374729609221"</f>
        <v>1552374729609221</v>
      </c>
      <c r="C7447" t="s">
        <v>40</v>
      </c>
      <c r="D7447">
        <v>5.2247209999999997</v>
      </c>
      <c r="E7447">
        <v>0.50572450000000002</v>
      </c>
      <c r="F7447" t="s">
        <v>41</v>
      </c>
      <c r="G7447">
        <v>-136.19890000000001</v>
      </c>
      <c r="H7447">
        <v>1.0186519999999999</v>
      </c>
      <c r="I7447">
        <v>140.5282</v>
      </c>
      <c r="J7447">
        <v>-136.70670000000001</v>
      </c>
      <c r="K7447">
        <v>1.1128910000000001</v>
      </c>
      <c r="L7447">
        <v>140.52289999999999</v>
      </c>
      <c r="M7447">
        <v>0.99967589999999995</v>
      </c>
      <c r="N7447">
        <v>0</v>
      </c>
      <c r="O7447">
        <v>-8.0954559999999991E-3</v>
      </c>
      <c r="P7447">
        <v>0.99741729999999995</v>
      </c>
      <c r="Q7447">
        <v>6.9355120000000006E-2</v>
      </c>
      <c r="R7447">
        <v>1.8679479999999998E-2</v>
      </c>
      <c r="S7447">
        <v>3.034348</v>
      </c>
      <c r="T7447">
        <v>-0.37760899999999997</v>
      </c>
      <c r="U7447">
        <v>1.7044070000000001E-2</v>
      </c>
      <c r="V7447">
        <v>-2.6890899999999999E-2</v>
      </c>
      <c r="W7447">
        <v>9.3369010000000002E-2</v>
      </c>
      <c r="X7447">
        <v>0.99526829999999999</v>
      </c>
      <c r="Y7447">
        <v>-1.3547500000000001E-2</v>
      </c>
      <c r="Z7447">
        <v>1.8435630000000001E-3</v>
      </c>
      <c r="AA7447">
        <v>0.99990650000000003</v>
      </c>
      <c r="AB7447">
        <v>25</v>
      </c>
      <c r="AC7447">
        <v>0.50780000000000303</v>
      </c>
      <c r="AD7447">
        <v>-9.4238999999999906E-2</v>
      </c>
      <c r="AE7447">
        <v>5.3000000000054098E-3</v>
      </c>
      <c r="AF7447">
        <v>-9.0985669655895395E-3</v>
      </c>
      <c r="AG7447">
        <v>-9.4238999999999906E-2</v>
      </c>
      <c r="AH7447">
        <v>0.49083733704115101</v>
      </c>
      <c r="AI7447">
        <v>100.866503891603</v>
      </c>
      <c r="AJ7447">
        <v>91.061960348115505</v>
      </c>
      <c r="AK7447">
        <v>0.49988505126226401</v>
      </c>
      <c r="AL7447">
        <v>84.642545980874701</v>
      </c>
      <c r="AM7447">
        <v>91.547683496789304</v>
      </c>
      <c r="AN7447">
        <v>0.999999940758038</v>
      </c>
    </row>
    <row r="7448" spans="1:40" x14ac:dyDescent="0.25">
      <c r="A7448" t="str">
        <f>"20190312151209640"</f>
        <v>20190312151209640</v>
      </c>
      <c r="B7448" t="str">
        <f>"1552374729628742"</f>
        <v>1552374729628742</v>
      </c>
      <c r="C7448" t="s">
        <v>40</v>
      </c>
      <c r="D7448">
        <v>5.1102169999999996</v>
      </c>
      <c r="E7448">
        <v>0.50303209999999998</v>
      </c>
      <c r="F7448" t="s">
        <v>41</v>
      </c>
      <c r="G7448">
        <v>-135.977</v>
      </c>
      <c r="H7448">
        <v>1.019765</v>
      </c>
      <c r="I7448">
        <v>140.52719999999999</v>
      </c>
      <c r="J7448">
        <v>-136.4624</v>
      </c>
      <c r="K7448">
        <v>1.1129690000000001</v>
      </c>
      <c r="L7448">
        <v>140.52189999999999</v>
      </c>
      <c r="M7448">
        <v>0.99964770000000003</v>
      </c>
      <c r="N7448">
        <v>0</v>
      </c>
      <c r="O7448">
        <v>-7.3355950000000003E-3</v>
      </c>
      <c r="P7448">
        <v>0.99747529999999995</v>
      </c>
      <c r="Q7448">
        <v>6.8180580000000005E-2</v>
      </c>
      <c r="R7448">
        <v>1.9872850000000001E-2</v>
      </c>
      <c r="S7448">
        <v>3.0343629999999999</v>
      </c>
      <c r="T7448">
        <v>-0.38726500000000003</v>
      </c>
      <c r="U7448">
        <v>1.8341059999999999E-2</v>
      </c>
      <c r="V7448">
        <v>-2.730993E-2</v>
      </c>
      <c r="W7448">
        <v>9.3564129999999995E-2</v>
      </c>
      <c r="X7448">
        <v>0.99523859999999997</v>
      </c>
      <c r="Y7448">
        <v>-1.3215319999999999E-2</v>
      </c>
      <c r="Z7448">
        <v>1.772626E-3</v>
      </c>
      <c r="AA7448">
        <v>0.99991110000000005</v>
      </c>
      <c r="AB7448">
        <v>25</v>
      </c>
      <c r="AC7448">
        <v>0.485399999999998</v>
      </c>
      <c r="AD7448">
        <v>-9.3203999999999995E-2</v>
      </c>
      <c r="AE7448">
        <v>5.3000000000054098E-3</v>
      </c>
      <c r="AF7448">
        <v>-8.5466396518702591E-3</v>
      </c>
      <c r="AG7448">
        <v>-9.3203999999999995E-2</v>
      </c>
      <c r="AH7448">
        <v>0.46809169871220502</v>
      </c>
      <c r="AI7448">
        <v>101.25932976651799</v>
      </c>
      <c r="AJ7448">
        <v>91.046017217176498</v>
      </c>
      <c r="AK7448">
        <v>0.47735717138073502</v>
      </c>
      <c r="AL7448">
        <v>84.631317456482506</v>
      </c>
      <c r="AM7448">
        <v>91.571835298493497</v>
      </c>
      <c r="AN7448">
        <v>0.99999997481461</v>
      </c>
    </row>
    <row r="7449" spans="1:40" x14ac:dyDescent="0.25">
      <c r="A7449" t="str">
        <f>"20190312151209661"</f>
        <v>20190312151209661</v>
      </c>
      <c r="B7449" t="str">
        <f>"1552374729658998"</f>
        <v>1552374729658998</v>
      </c>
      <c r="C7449" t="s">
        <v>40</v>
      </c>
      <c r="D7449">
        <v>5.0954119999999996</v>
      </c>
      <c r="E7449">
        <v>0.50427849999999996</v>
      </c>
      <c r="F7449" t="s">
        <v>41</v>
      </c>
      <c r="G7449">
        <v>-135.5333</v>
      </c>
      <c r="H7449">
        <v>1.0257000000000001</v>
      </c>
      <c r="I7449">
        <v>140.53469999999999</v>
      </c>
      <c r="J7449">
        <v>-136.23060000000001</v>
      </c>
      <c r="K7449">
        <v>1.1130310000000001</v>
      </c>
      <c r="L7449">
        <v>140.52099999999999</v>
      </c>
      <c r="M7449">
        <v>0.99961800000000001</v>
      </c>
      <c r="N7449">
        <v>0</v>
      </c>
      <c r="O7449">
        <v>-6.7026330000000004E-3</v>
      </c>
      <c r="P7449">
        <v>0.99753049999999999</v>
      </c>
      <c r="Q7449">
        <v>6.7092970000000002E-2</v>
      </c>
      <c r="R7449">
        <v>2.0773409999999999E-2</v>
      </c>
      <c r="S7449">
        <v>3.0261840000000002</v>
      </c>
      <c r="T7449">
        <v>-0.28435670000000002</v>
      </c>
      <c r="U7449">
        <v>4.196167E-2</v>
      </c>
      <c r="V7449">
        <v>-2.7564680000000001E-2</v>
      </c>
      <c r="W7449">
        <v>9.3779669999999996E-2</v>
      </c>
      <c r="X7449">
        <v>0.99521130000000002</v>
      </c>
      <c r="Y7449">
        <v>-2.044936E-2</v>
      </c>
      <c r="Z7449">
        <v>1.58724E-3</v>
      </c>
      <c r="AA7449">
        <v>0.9997897</v>
      </c>
      <c r="AB7449">
        <v>24</v>
      </c>
      <c r="AC7449">
        <v>0.69730000000001202</v>
      </c>
      <c r="AD7449">
        <v>-8.7330999999999798E-2</v>
      </c>
      <c r="AE7449">
        <v>1.3699999999971599E-2</v>
      </c>
      <c r="AF7449">
        <v>-1.80914554951517E-2</v>
      </c>
      <c r="AG7449">
        <v>-8.7330999999999798E-2</v>
      </c>
      <c r="AH7449">
        <v>0.68642964918490901</v>
      </c>
      <c r="AI7449">
        <v>97.248012484370406</v>
      </c>
      <c r="AJ7449">
        <v>91.509731020590806</v>
      </c>
      <c r="AK7449">
        <v>0.69219915313661795</v>
      </c>
      <c r="AL7449">
        <v>84.618913438887603</v>
      </c>
      <c r="AM7449">
        <v>91.586533587920599</v>
      </c>
      <c r="AN7449">
        <v>0.99999998486825004</v>
      </c>
    </row>
    <row r="7450" spans="1:40" x14ac:dyDescent="0.25">
      <c r="A7450" t="str">
        <f>"20190312151209684"</f>
        <v>20190312151209684</v>
      </c>
      <c r="B7450" t="str">
        <f>"1552374729678517"</f>
        <v>1552374729678517</v>
      </c>
      <c r="C7450" t="s">
        <v>40</v>
      </c>
      <c r="D7450">
        <v>5.0851139999999999</v>
      </c>
      <c r="E7450">
        <v>0.50389090000000003</v>
      </c>
      <c r="F7450" t="s">
        <v>41</v>
      </c>
      <c r="G7450">
        <v>-135.3484</v>
      </c>
      <c r="H7450">
        <v>0.99350539999999998</v>
      </c>
      <c r="I7450">
        <v>140.5317</v>
      </c>
      <c r="J7450">
        <v>-135.99449999999999</v>
      </c>
      <c r="K7450">
        <v>1.1130979999999999</v>
      </c>
      <c r="L7450">
        <v>140.52029999999999</v>
      </c>
      <c r="M7450">
        <v>0.99958460000000005</v>
      </c>
      <c r="N7450">
        <v>0</v>
      </c>
      <c r="O7450">
        <v>-6.1195169999999997E-3</v>
      </c>
      <c r="P7450">
        <v>0.99758959999999997</v>
      </c>
      <c r="Q7450">
        <v>6.5846089999999996E-2</v>
      </c>
      <c r="R7450">
        <v>2.1898239999999999E-2</v>
      </c>
      <c r="S7450">
        <v>3.0343170000000002</v>
      </c>
      <c r="T7450">
        <v>-0.41121590000000002</v>
      </c>
      <c r="U7450">
        <v>3.6987300000000001E-2</v>
      </c>
      <c r="V7450">
        <v>-2.8093030000000001E-2</v>
      </c>
      <c r="W7450">
        <v>9.3891230000000006E-2</v>
      </c>
      <c r="X7450">
        <v>0.99518600000000002</v>
      </c>
      <c r="Y7450">
        <v>-1.8088730000000001E-2</v>
      </c>
      <c r="Z7450">
        <v>2.0459419999999998E-3</v>
      </c>
      <c r="AA7450">
        <v>0.99983429999999995</v>
      </c>
      <c r="AB7450">
        <v>24</v>
      </c>
      <c r="AC7450">
        <v>0.64609999999998902</v>
      </c>
      <c r="AD7450">
        <v>-0.11959259999999899</v>
      </c>
      <c r="AE7450">
        <v>1.14000000000089E-2</v>
      </c>
      <c r="AF7450">
        <v>-1.4846661469099199E-2</v>
      </c>
      <c r="AG7450">
        <v>-0.11959259999999899</v>
      </c>
      <c r="AH7450">
        <v>0.62462406923095304</v>
      </c>
      <c r="AI7450">
        <v>100.835878299391</v>
      </c>
      <c r="AJ7450">
        <v>91.361604431682295</v>
      </c>
      <c r="AK7450">
        <v>0.63614309804805103</v>
      </c>
      <c r="AL7450">
        <v>84.612493156596898</v>
      </c>
      <c r="AM7450">
        <v>91.616968793136905</v>
      </c>
      <c r="AN7450">
        <v>0.99999997800074603</v>
      </c>
    </row>
    <row r="7451" spans="1:40" x14ac:dyDescent="0.25">
      <c r="A7451" t="str">
        <f>"20190312151209706"</f>
        <v>20190312151209706</v>
      </c>
      <c r="B7451" t="str">
        <f>"1552374729699014"</f>
        <v>1552374729699014</v>
      </c>
      <c r="C7451" t="s">
        <v>40</v>
      </c>
      <c r="D7451">
        <v>5.107793</v>
      </c>
      <c r="E7451">
        <v>0.5036754</v>
      </c>
      <c r="F7451" t="s">
        <v>41</v>
      </c>
      <c r="G7451">
        <v>-135.1413</v>
      </c>
      <c r="H7451">
        <v>0.99619869999999999</v>
      </c>
      <c r="I7451">
        <v>140.5326</v>
      </c>
      <c r="J7451">
        <v>-135.7647</v>
      </c>
      <c r="K7451">
        <v>1.1131679999999999</v>
      </c>
      <c r="L7451">
        <v>140.5196</v>
      </c>
      <c r="M7451">
        <v>0.99954920000000003</v>
      </c>
      <c r="N7451">
        <v>0</v>
      </c>
      <c r="O7451">
        <v>-5.5824949999999998E-3</v>
      </c>
      <c r="P7451">
        <v>0.9976391</v>
      </c>
      <c r="Q7451">
        <v>6.4860870000000001E-2</v>
      </c>
      <c r="R7451">
        <v>2.257721E-2</v>
      </c>
      <c r="S7451">
        <v>3.033722</v>
      </c>
      <c r="T7451">
        <v>-0.41568490000000002</v>
      </c>
      <c r="U7451">
        <v>4.3914790000000002E-2</v>
      </c>
      <c r="V7451">
        <v>-2.822355E-2</v>
      </c>
      <c r="W7451">
        <v>9.4239210000000004E-2</v>
      </c>
      <c r="X7451">
        <v>0.99514939999999996</v>
      </c>
      <c r="Y7451">
        <v>-1.9820810000000001E-2</v>
      </c>
      <c r="Z7451">
        <v>2.113214E-3</v>
      </c>
      <c r="AA7451">
        <v>0.9998013</v>
      </c>
      <c r="AB7451">
        <v>23</v>
      </c>
      <c r="AC7451">
        <v>0.62340000000000295</v>
      </c>
      <c r="AD7451">
        <v>-0.1169693</v>
      </c>
      <c r="AE7451">
        <v>1.30000000000052E-2</v>
      </c>
      <c r="AF7451">
        <v>-1.59211711624948E-2</v>
      </c>
      <c r="AG7451">
        <v>-0.1169693</v>
      </c>
      <c r="AH7451">
        <v>0.60212866335239001</v>
      </c>
      <c r="AI7451">
        <v>100.98959051459801</v>
      </c>
      <c r="AJ7451">
        <v>91.514632112244499</v>
      </c>
      <c r="AK7451">
        <v>0.61359125487918298</v>
      </c>
      <c r="AL7451">
        <v>84.592466491659707</v>
      </c>
      <c r="AM7451">
        <v>91.624536915265097</v>
      </c>
      <c r="AN7451">
        <v>0.99999996289819204</v>
      </c>
    </row>
    <row r="7452" spans="1:40" x14ac:dyDescent="0.25">
      <c r="A7452" t="str">
        <f>"20190312151209733"</f>
        <v>20190312151209733</v>
      </c>
      <c r="B7452" t="str">
        <f>"1552374729729269"</f>
        <v>1552374729729269</v>
      </c>
      <c r="C7452" t="s">
        <v>40</v>
      </c>
      <c r="D7452">
        <v>5.0917680000000001</v>
      </c>
      <c r="E7452">
        <v>0.50368119999999905</v>
      </c>
      <c r="F7452" t="s">
        <v>41</v>
      </c>
      <c r="G7452">
        <v>-134.9391</v>
      </c>
      <c r="H7452">
        <v>0.99796430000000003</v>
      </c>
      <c r="I7452">
        <v>140.53270000000001</v>
      </c>
      <c r="J7452">
        <v>-135.5248</v>
      </c>
      <c r="K7452">
        <v>1.113235</v>
      </c>
      <c r="L7452">
        <v>140.51900000000001</v>
      </c>
      <c r="M7452">
        <v>0.99951020000000002</v>
      </c>
      <c r="N7452">
        <v>0</v>
      </c>
      <c r="O7452">
        <v>-5.0401830000000002E-3</v>
      </c>
      <c r="P7452">
        <v>0.99768880000000004</v>
      </c>
      <c r="Q7452">
        <v>6.4113009999999998E-2</v>
      </c>
      <c r="R7452">
        <v>2.2517189999999999E-2</v>
      </c>
      <c r="S7452">
        <v>3.0335079999999999</v>
      </c>
      <c r="T7452">
        <v>-0.42328789999999999</v>
      </c>
      <c r="U7452">
        <v>4.8278809999999998E-2</v>
      </c>
      <c r="V7452">
        <v>-2.761305E-2</v>
      </c>
      <c r="W7452">
        <v>9.4878169999999998E-2</v>
      </c>
      <c r="X7452">
        <v>0.99510589999999999</v>
      </c>
      <c r="Y7452">
        <v>-2.0705500000000002E-2</v>
      </c>
      <c r="Z7452">
        <v>2.1377409999999999E-3</v>
      </c>
      <c r="AA7452">
        <v>0.99978330000000004</v>
      </c>
      <c r="AB7452">
        <v>23</v>
      </c>
      <c r="AC7452">
        <v>0.585700000000002</v>
      </c>
      <c r="AD7452">
        <v>-0.115270699999999</v>
      </c>
      <c r="AE7452">
        <v>1.37E-2</v>
      </c>
      <c r="AF7452">
        <v>-1.6032609605902599E-2</v>
      </c>
      <c r="AG7452">
        <v>-0.115270699999999</v>
      </c>
      <c r="AH7452">
        <v>0.56379752639501202</v>
      </c>
      <c r="AI7452">
        <v>101.55056143240201</v>
      </c>
      <c r="AJ7452">
        <v>91.628870884224497</v>
      </c>
      <c r="AK7452">
        <v>0.57568396678941702</v>
      </c>
      <c r="AL7452">
        <v>84.555692477831101</v>
      </c>
      <c r="AM7452">
        <v>91.589484433068407</v>
      </c>
      <c r="AN7452">
        <v>1.00000004994382</v>
      </c>
    </row>
    <row r="7453" spans="1:40" x14ac:dyDescent="0.25">
      <c r="A7453" t="str">
        <f>"20190312151209754"</f>
        <v>20190312151209754</v>
      </c>
      <c r="B7453" t="str">
        <f>"1552374729748790"</f>
        <v>1552374729748790</v>
      </c>
      <c r="C7453" t="s">
        <v>40</v>
      </c>
      <c r="D7453">
        <v>5.1039459999999996</v>
      </c>
      <c r="E7453">
        <v>0.50351069999999998</v>
      </c>
      <c r="F7453" t="s">
        <v>41</v>
      </c>
      <c r="G7453">
        <v>-134.7397</v>
      </c>
      <c r="H7453">
        <v>1.002872</v>
      </c>
      <c r="I7453">
        <v>140.53139999999999</v>
      </c>
      <c r="J7453">
        <v>-135.29859999999999</v>
      </c>
      <c r="K7453">
        <v>1.113321</v>
      </c>
      <c r="L7453">
        <v>140.51840000000001</v>
      </c>
      <c r="M7453">
        <v>0.99947240000000004</v>
      </c>
      <c r="N7453">
        <v>0</v>
      </c>
      <c r="O7453">
        <v>-4.5420369999999996E-3</v>
      </c>
      <c r="P7453">
        <v>0.99783200000000005</v>
      </c>
      <c r="Q7453">
        <v>6.181002E-2</v>
      </c>
      <c r="R7453">
        <v>2.260351E-2</v>
      </c>
      <c r="S7453">
        <v>3.0332789999999998</v>
      </c>
      <c r="T7453">
        <v>-0.42644910000000003</v>
      </c>
      <c r="U7453">
        <v>4.8324579999999999E-2</v>
      </c>
      <c r="V7453">
        <v>-2.719529E-2</v>
      </c>
      <c r="W7453">
        <v>9.3854199999999902E-2</v>
      </c>
      <c r="X7453">
        <v>0.9952145</v>
      </c>
      <c r="Y7453">
        <v>-2.0229509999999999E-2</v>
      </c>
      <c r="Z7453">
        <v>2.050722E-3</v>
      </c>
      <c r="AA7453">
        <v>0.99979320000000005</v>
      </c>
      <c r="AB7453">
        <v>22</v>
      </c>
      <c r="AC7453">
        <v>0.55889999999999396</v>
      </c>
      <c r="AD7453">
        <v>-0.11044900000000001</v>
      </c>
      <c r="AE7453">
        <v>1.2999999999976799E-2</v>
      </c>
      <c r="AF7453">
        <v>-1.4955963368207099E-2</v>
      </c>
      <c r="AG7453">
        <v>-0.11044900000000001</v>
      </c>
      <c r="AH7453">
        <v>0.53784211531912696</v>
      </c>
      <c r="AI7453">
        <v>101.60032625415199</v>
      </c>
      <c r="AJ7453">
        <v>91.592833265514898</v>
      </c>
      <c r="AK7453">
        <v>0.54926933598392802</v>
      </c>
      <c r="AL7453">
        <v>84.614624606921694</v>
      </c>
      <c r="AM7453">
        <v>91.565278315833993</v>
      </c>
      <c r="AN7453">
        <v>1.00000004783303</v>
      </c>
    </row>
    <row r="7454" spans="1:40" x14ac:dyDescent="0.25">
      <c r="A7454" t="str">
        <f>"20190312151209775"</f>
        <v>20190312151209775</v>
      </c>
      <c r="B7454" t="str">
        <f>"1552374729768310"</f>
        <v>1552374729768310</v>
      </c>
      <c r="C7454" t="s">
        <v>40</v>
      </c>
      <c r="D7454">
        <v>5.074306</v>
      </c>
      <c r="E7454">
        <v>0.50335180000000002</v>
      </c>
      <c r="F7454" t="s">
        <v>41</v>
      </c>
      <c r="G7454">
        <v>-134.54570000000001</v>
      </c>
      <c r="H7454">
        <v>1.0059009999999999</v>
      </c>
      <c r="I7454">
        <v>140.5308</v>
      </c>
      <c r="J7454">
        <v>-135.1061</v>
      </c>
      <c r="K7454">
        <v>1.11341</v>
      </c>
      <c r="L7454">
        <v>140.5181</v>
      </c>
      <c r="M7454">
        <v>0.99944040000000001</v>
      </c>
      <c r="N7454">
        <v>0</v>
      </c>
      <c r="O7454">
        <v>-4.1264170000000003E-3</v>
      </c>
      <c r="P7454">
        <v>0.99784640000000002</v>
      </c>
      <c r="Q7454">
        <v>6.1543599999999997E-2</v>
      </c>
      <c r="R7454">
        <v>2.2702460000000001E-2</v>
      </c>
      <c r="S7454">
        <v>3.0321959999999999</v>
      </c>
      <c r="T7454">
        <v>-0.43276290000000001</v>
      </c>
      <c r="U7454">
        <v>5.0064089999999999E-2</v>
      </c>
      <c r="V7454">
        <v>-2.6877760000000001E-2</v>
      </c>
      <c r="W7454">
        <v>9.4615640000000001E-2</v>
      </c>
      <c r="X7454">
        <v>0.99515100000000001</v>
      </c>
      <c r="Y7454">
        <v>-2.0388199999999999E-2</v>
      </c>
      <c r="Z7454">
        <v>2.0337480000000002E-3</v>
      </c>
      <c r="AA7454">
        <v>0.99979010000000001</v>
      </c>
      <c r="AB7454">
        <v>22</v>
      </c>
      <c r="AC7454">
        <v>0.56039999999998702</v>
      </c>
      <c r="AD7454">
        <v>-0.10750899999999999</v>
      </c>
      <c r="AE7454">
        <v>1.26999999999952E-2</v>
      </c>
      <c r="AF7454">
        <v>-1.44809303097659E-2</v>
      </c>
      <c r="AG7454">
        <v>-0.10750899999999999</v>
      </c>
      <c r="AH7454">
        <v>0.54046191416320999</v>
      </c>
      <c r="AI7454">
        <v>101.246519630097</v>
      </c>
      <c r="AJ7454">
        <v>91.534794049627493</v>
      </c>
      <c r="AK7454">
        <v>0.55124129297849001</v>
      </c>
      <c r="AL7454">
        <v>84.5708021649057</v>
      </c>
      <c r="AM7454">
        <v>91.547109852670303</v>
      </c>
      <c r="AN7454">
        <v>1.0000000230581101</v>
      </c>
    </row>
    <row r="7455" spans="1:40" x14ac:dyDescent="0.25">
      <c r="A7455" t="str">
        <f>"20190312151209796"</f>
        <v>20190312151209796</v>
      </c>
      <c r="B7455" t="str">
        <f>"1552374729788806"</f>
        <v>1552374729788806</v>
      </c>
      <c r="C7455" t="s">
        <v>40</v>
      </c>
      <c r="D7455">
        <v>5.0830880000000001</v>
      </c>
      <c r="E7455">
        <v>0.50340030000000002</v>
      </c>
      <c r="F7455" t="s">
        <v>41</v>
      </c>
      <c r="G7455">
        <v>-134.35769999999999</v>
      </c>
      <c r="H7455">
        <v>1.0059</v>
      </c>
      <c r="I7455">
        <v>140.5309</v>
      </c>
      <c r="J7455">
        <v>-134.904</v>
      </c>
      <c r="K7455">
        <v>1.113489</v>
      </c>
      <c r="L7455">
        <v>140.51779999999999</v>
      </c>
      <c r="M7455">
        <v>0.99940810000000002</v>
      </c>
      <c r="N7455">
        <v>0</v>
      </c>
      <c r="O7455">
        <v>-3.69126E-3</v>
      </c>
      <c r="P7455">
        <v>0.99778540000000004</v>
      </c>
      <c r="Q7455">
        <v>6.2590839999999995E-2</v>
      </c>
      <c r="R7455">
        <v>2.2513849999999998E-2</v>
      </c>
      <c r="S7455">
        <v>3.0321500000000001</v>
      </c>
      <c r="T7455">
        <v>-0.435562</v>
      </c>
      <c r="U7455">
        <v>5.1803589999999997E-2</v>
      </c>
      <c r="V7455">
        <v>-2.6255210000000001E-2</v>
      </c>
      <c r="W7455">
        <v>9.6662819999999997E-2</v>
      </c>
      <c r="X7455">
        <v>0.99497089999999999</v>
      </c>
      <c r="Y7455">
        <v>-2.05265E-2</v>
      </c>
      <c r="Z7455">
        <v>1.9944699999999999E-3</v>
      </c>
      <c r="AA7455">
        <v>0.99978730000000005</v>
      </c>
      <c r="AB7455">
        <v>21</v>
      </c>
      <c r="AC7455">
        <v>0.54630000000000201</v>
      </c>
      <c r="AD7455">
        <v>-0.107588999999999</v>
      </c>
      <c r="AE7455">
        <v>1.3100000000008501E-2</v>
      </c>
      <c r="AF7455">
        <v>-1.45534817168162E-2</v>
      </c>
      <c r="AG7455">
        <v>-0.107588999999999</v>
      </c>
      <c r="AH7455">
        <v>0.52586354548980097</v>
      </c>
      <c r="AI7455">
        <v>101.558543575678</v>
      </c>
      <c r="AJ7455">
        <v>91.585278717612596</v>
      </c>
      <c r="AK7455">
        <v>0.53695406249155597</v>
      </c>
      <c r="AL7455">
        <v>84.452967454177994</v>
      </c>
      <c r="AM7455">
        <v>91.511565521087505</v>
      </c>
      <c r="AN7455">
        <v>1.0000000643346501</v>
      </c>
    </row>
    <row r="7456" spans="1:40" x14ac:dyDescent="0.25">
      <c r="A7456" t="str">
        <f>"20190312151209820"</f>
        <v>20190312151209820</v>
      </c>
      <c r="B7456" t="str">
        <f>"1552374729809303"</f>
        <v>1552374729809303</v>
      </c>
      <c r="C7456" t="s">
        <v>40</v>
      </c>
      <c r="D7456">
        <v>5.0769710000000003</v>
      </c>
      <c r="E7456">
        <v>0.50351709999999905</v>
      </c>
      <c r="F7456" t="s">
        <v>41</v>
      </c>
      <c r="G7456">
        <v>-134.17250000000001</v>
      </c>
      <c r="H7456">
        <v>1.009287</v>
      </c>
      <c r="I7456">
        <v>140.5299</v>
      </c>
      <c r="J7456">
        <v>-134.70249999999999</v>
      </c>
      <c r="K7456">
        <v>1.1135600000000001</v>
      </c>
      <c r="L7456">
        <v>140.51759999999999</v>
      </c>
      <c r="M7456">
        <v>0.99937810000000005</v>
      </c>
      <c r="N7456">
        <v>0</v>
      </c>
      <c r="O7456">
        <v>-3.2477930000000001E-3</v>
      </c>
      <c r="P7456">
        <v>0.99769350000000001</v>
      </c>
      <c r="Q7456">
        <v>6.396963E-2</v>
      </c>
      <c r="R7456">
        <v>2.2711970000000001E-2</v>
      </c>
      <c r="S7456">
        <v>3.0326230000000001</v>
      </c>
      <c r="T7456">
        <v>-0.43206070000000002</v>
      </c>
      <c r="U7456">
        <v>5.0552369999999999E-2</v>
      </c>
      <c r="V7456">
        <v>-2.6010700000000001E-2</v>
      </c>
      <c r="W7456">
        <v>9.8946359999999997E-2</v>
      </c>
      <c r="X7456">
        <v>0.99475279999999999</v>
      </c>
      <c r="Y7456">
        <v>-1.968493E-2</v>
      </c>
      <c r="Z7456">
        <v>1.8557720000000001E-3</v>
      </c>
      <c r="AA7456">
        <v>0.99980449999999998</v>
      </c>
      <c r="AB7456">
        <v>21</v>
      </c>
      <c r="AC7456">
        <v>0.52999999999997205</v>
      </c>
      <c r="AD7456">
        <v>-0.104273</v>
      </c>
      <c r="AE7456">
        <v>1.23000000000104E-2</v>
      </c>
      <c r="AF7456">
        <v>-1.35000589220145E-2</v>
      </c>
      <c r="AG7456">
        <v>-0.104273</v>
      </c>
      <c r="AH7456">
        <v>0.51021871107077399</v>
      </c>
      <c r="AI7456">
        <v>101.546505913373</v>
      </c>
      <c r="AJ7456">
        <v>91.515655836934002</v>
      </c>
      <c r="AK7456">
        <v>0.52093976930794905</v>
      </c>
      <c r="AL7456">
        <v>84.321499763834495</v>
      </c>
      <c r="AM7456">
        <v>91.497823202844501</v>
      </c>
      <c r="AN7456">
        <v>1.00000003588978</v>
      </c>
    </row>
    <row r="7457" spans="1:40" x14ac:dyDescent="0.25">
      <c r="A7457" t="str">
        <f>"20190312151209841"</f>
        <v>20190312151209841</v>
      </c>
      <c r="B7457" t="str">
        <f>"1552374729828821"</f>
        <v>1552374729828821</v>
      </c>
      <c r="C7457" t="s">
        <v>40</v>
      </c>
      <c r="D7457">
        <v>5.0709390000000001</v>
      </c>
      <c r="E7457">
        <v>0.50355430000000001</v>
      </c>
      <c r="F7457" t="s">
        <v>41</v>
      </c>
      <c r="G7457">
        <v>-133.82830000000001</v>
      </c>
      <c r="H7457">
        <v>0.99056460000000002</v>
      </c>
      <c r="I7457">
        <v>140.53200000000001</v>
      </c>
      <c r="J7457">
        <v>-134.51240000000001</v>
      </c>
      <c r="K7457">
        <v>1.113621</v>
      </c>
      <c r="L7457">
        <v>140.51750000000001</v>
      </c>
      <c r="M7457">
        <v>0.99935169999999995</v>
      </c>
      <c r="N7457">
        <v>0</v>
      </c>
      <c r="O7457">
        <v>-2.8109699999999999E-3</v>
      </c>
      <c r="P7457">
        <v>0.99761999999999995</v>
      </c>
      <c r="Q7457">
        <v>6.5044519999999995E-2</v>
      </c>
      <c r="R7457">
        <v>2.2887089999999999E-2</v>
      </c>
      <c r="S7457">
        <v>3.0331730000000001</v>
      </c>
      <c r="T7457">
        <v>-0.42686499999999999</v>
      </c>
      <c r="U7457">
        <v>5.0323489999999999E-2</v>
      </c>
      <c r="V7457">
        <v>-2.5750220000000001E-2</v>
      </c>
      <c r="W7457">
        <v>0.10079630000000001</v>
      </c>
      <c r="X7457">
        <v>0.99457379999999995</v>
      </c>
      <c r="Y7457">
        <v>-1.9184380000000001E-2</v>
      </c>
      <c r="Z7457">
        <v>1.7371029999999901E-3</v>
      </c>
      <c r="AA7457">
        <v>0.99981450000000005</v>
      </c>
      <c r="AB7457">
        <v>20</v>
      </c>
      <c r="AC7457">
        <v>0.68410000000000004</v>
      </c>
      <c r="AD7457">
        <v>-0.123056399999999</v>
      </c>
      <c r="AE7457">
        <v>1.4499999999998099E-2</v>
      </c>
      <c r="AF7457">
        <v>-1.5909609844509402E-2</v>
      </c>
      <c r="AG7457">
        <v>-0.123056399999999</v>
      </c>
      <c r="AH7457">
        <v>0.66262551427706395</v>
      </c>
      <c r="AI7457">
        <v>100.517601498023</v>
      </c>
      <c r="AJ7457">
        <v>91.375404923592299</v>
      </c>
      <c r="AK7457">
        <v>0.67414283756286197</v>
      </c>
      <c r="AL7457">
        <v>84.214973229453093</v>
      </c>
      <c r="AM7457">
        <v>91.4830969779008</v>
      </c>
      <c r="AN7457">
        <v>1.00000000578508</v>
      </c>
    </row>
    <row r="7458" spans="1:40" x14ac:dyDescent="0.25">
      <c r="A7458" t="str">
        <f>"20190312151209862"</f>
        <v>20190312151209862</v>
      </c>
      <c r="B7458" t="str">
        <f>"1552374729859077"</f>
        <v>1552374729859077</v>
      </c>
      <c r="C7458" t="s">
        <v>40</v>
      </c>
      <c r="D7458">
        <v>5.0913550000000001</v>
      </c>
      <c r="E7458">
        <v>0.50357189999999996</v>
      </c>
      <c r="F7458" t="s">
        <v>41</v>
      </c>
      <c r="G7458">
        <v>-133.65639999999999</v>
      </c>
      <c r="H7458">
        <v>0.9939557</v>
      </c>
      <c r="I7458">
        <v>140.53200000000001</v>
      </c>
      <c r="J7458">
        <v>-134.3288</v>
      </c>
      <c r="K7458">
        <v>1.113658</v>
      </c>
      <c r="L7458">
        <v>140.51750000000001</v>
      </c>
      <c r="M7458">
        <v>0.99932779999999999</v>
      </c>
      <c r="N7458">
        <v>0</v>
      </c>
      <c r="O7458">
        <v>-2.3707009999999998E-3</v>
      </c>
      <c r="P7458">
        <v>0.99760700000000002</v>
      </c>
      <c r="Q7458">
        <v>6.5330879999999994E-2</v>
      </c>
      <c r="R7458">
        <v>2.262658E-2</v>
      </c>
      <c r="S7458">
        <v>3.0336460000000001</v>
      </c>
      <c r="T7458">
        <v>-0.42403950000000001</v>
      </c>
      <c r="U7458">
        <v>5.1101679999999997E-2</v>
      </c>
      <c r="V7458">
        <v>-2.5049160000000001E-2</v>
      </c>
      <c r="W7458">
        <v>0.10176640000000001</v>
      </c>
      <c r="X7458">
        <v>0.99449290000000001</v>
      </c>
      <c r="Y7458">
        <v>-1.900671E-2</v>
      </c>
      <c r="Z7458">
        <v>1.65182E-3</v>
      </c>
      <c r="AA7458">
        <v>0.99981799999999998</v>
      </c>
      <c r="AB7458">
        <v>19</v>
      </c>
      <c r="AC7458">
        <v>0.67240000000000999</v>
      </c>
      <c r="AD7458">
        <v>-0.1197023</v>
      </c>
      <c r="AE7458">
        <v>1.4499999999998099E-2</v>
      </c>
      <c r="AF7458">
        <v>-1.5600892708654701E-2</v>
      </c>
      <c r="AG7458">
        <v>-0.1197023</v>
      </c>
      <c r="AH7458">
        <v>0.65171903368629702</v>
      </c>
      <c r="AI7458">
        <v>100.404694046153</v>
      </c>
      <c r="AJ7458">
        <v>91.371288214441094</v>
      </c>
      <c r="AK7458">
        <v>0.66280444125518501</v>
      </c>
      <c r="AL7458">
        <v>84.159103231815706</v>
      </c>
      <c r="AM7458">
        <v>91.442853690242998</v>
      </c>
      <c r="AN7458">
        <v>0.99999999436803699</v>
      </c>
    </row>
    <row r="7459" spans="1:40" x14ac:dyDescent="0.25">
      <c r="A7459" t="str">
        <f>"20190312151209885"</f>
        <v>20190312151209885</v>
      </c>
      <c r="B7459" t="str">
        <f>"1552374729878597"</f>
        <v>1552374729878597</v>
      </c>
      <c r="C7459" t="s">
        <v>40</v>
      </c>
      <c r="D7459">
        <v>5.0885939999999996</v>
      </c>
      <c r="E7459">
        <v>0.5034286</v>
      </c>
      <c r="F7459" t="s">
        <v>41</v>
      </c>
      <c r="G7459">
        <v>-133.4896</v>
      </c>
      <c r="H7459">
        <v>0.99608890000000005</v>
      </c>
      <c r="I7459">
        <v>140.53139999999999</v>
      </c>
      <c r="J7459">
        <v>-134.14230000000001</v>
      </c>
      <c r="K7459">
        <v>1.113683</v>
      </c>
      <c r="L7459">
        <v>140.51769999999999</v>
      </c>
      <c r="M7459">
        <v>0.99930560000000002</v>
      </c>
      <c r="N7459">
        <v>0</v>
      </c>
      <c r="O7459">
        <v>-1.9087360000000001E-3</v>
      </c>
      <c r="P7459">
        <v>0.99760930000000003</v>
      </c>
      <c r="Q7459">
        <v>6.5477199999999999E-2</v>
      </c>
      <c r="R7459">
        <v>2.210958E-2</v>
      </c>
      <c r="S7459">
        <v>3.0339049999999999</v>
      </c>
      <c r="T7459">
        <v>-0.42512870000000003</v>
      </c>
      <c r="U7459">
        <v>5.0643920000000002E-2</v>
      </c>
      <c r="V7459">
        <v>-2.4070350000000001E-2</v>
      </c>
      <c r="W7459">
        <v>0.1025414</v>
      </c>
      <c r="X7459">
        <v>0.99443749999999997</v>
      </c>
      <c r="Y7459">
        <v>-1.84017E-2</v>
      </c>
      <c r="Z7459">
        <v>1.5492520000000001E-3</v>
      </c>
      <c r="AA7459">
        <v>0.99982950000000004</v>
      </c>
      <c r="AB7459">
        <v>19</v>
      </c>
      <c r="AC7459">
        <v>0.65270000000000905</v>
      </c>
      <c r="AD7459">
        <v>-0.11759409999999899</v>
      </c>
      <c r="AE7459">
        <v>1.37E-2</v>
      </c>
      <c r="AF7459">
        <v>-1.4476960296541001E-2</v>
      </c>
      <c r="AG7459">
        <v>-0.11759409999999899</v>
      </c>
      <c r="AH7459">
        <v>0.63216192285135397</v>
      </c>
      <c r="AI7459">
        <v>100.53495736986</v>
      </c>
      <c r="AJ7459">
        <v>91.311885037431907</v>
      </c>
      <c r="AK7459">
        <v>0.64316922457263004</v>
      </c>
      <c r="AL7459">
        <v>84.1144656996359</v>
      </c>
      <c r="AM7459">
        <v>91.386573038061798</v>
      </c>
      <c r="AN7459">
        <v>1.0000000309346599</v>
      </c>
    </row>
    <row r="7460" spans="1:40" x14ac:dyDescent="0.25">
      <c r="A7460" t="str">
        <f>"20190312151209907"</f>
        <v>20190312151209907</v>
      </c>
      <c r="B7460" t="str">
        <f>"1552374729899094"</f>
        <v>1552374729899094</v>
      </c>
      <c r="C7460" t="s">
        <v>40</v>
      </c>
      <c r="D7460">
        <v>5.0902289999999999</v>
      </c>
      <c r="E7460">
        <v>0.5033898</v>
      </c>
      <c r="F7460" t="s">
        <v>41</v>
      </c>
      <c r="G7460">
        <v>-133.327</v>
      </c>
      <c r="H7460">
        <v>0.99883120000000003</v>
      </c>
      <c r="I7460">
        <v>140.53129999999999</v>
      </c>
      <c r="J7460">
        <v>-133.9676</v>
      </c>
      <c r="K7460">
        <v>1.1136999999999999</v>
      </c>
      <c r="L7460">
        <v>140.51779999999999</v>
      </c>
      <c r="M7460">
        <v>0.99928649999999997</v>
      </c>
      <c r="N7460">
        <v>0</v>
      </c>
      <c r="O7460">
        <v>-1.4682530000000001E-3</v>
      </c>
      <c r="P7460">
        <v>0.99764090000000005</v>
      </c>
      <c r="Q7460">
        <v>6.5314549999999999E-2</v>
      </c>
      <c r="R7460">
        <v>2.1145150000000001E-2</v>
      </c>
      <c r="S7460">
        <v>3.034119</v>
      </c>
      <c r="T7460">
        <v>-0.42743019999999998</v>
      </c>
      <c r="U7460">
        <v>5.0979610000000002E-2</v>
      </c>
      <c r="V7460">
        <v>-2.266493E-2</v>
      </c>
      <c r="W7460">
        <v>0.10291</v>
      </c>
      <c r="X7460">
        <v>0.99443239999999999</v>
      </c>
      <c r="Y7460">
        <v>-1.8075879999999999E-2</v>
      </c>
      <c r="Z7460">
        <v>1.4728289999999999E-3</v>
      </c>
      <c r="AA7460">
        <v>0.99983560000000005</v>
      </c>
      <c r="AB7460">
        <v>18</v>
      </c>
      <c r="AC7460">
        <v>0.64060000000000605</v>
      </c>
      <c r="AD7460">
        <v>-0.11486879999999899</v>
      </c>
      <c r="AE7460">
        <v>1.3499999999993399E-2</v>
      </c>
      <c r="AF7460">
        <v>-1.39915394792681E-2</v>
      </c>
      <c r="AG7460">
        <v>-0.11486879999999899</v>
      </c>
      <c r="AH7460">
        <v>0.62063272332625596</v>
      </c>
      <c r="AI7460">
        <v>100.483232565287</v>
      </c>
      <c r="AJ7460">
        <v>91.291456868657903</v>
      </c>
      <c r="AK7460">
        <v>0.63132842614110496</v>
      </c>
      <c r="AL7460">
        <v>84.093233868907902</v>
      </c>
      <c r="AM7460">
        <v>91.305649374551194</v>
      </c>
      <c r="AN7460">
        <v>0.99999998266083201</v>
      </c>
    </row>
    <row r="7461" spans="1:40" x14ac:dyDescent="0.25">
      <c r="A7461" t="str">
        <f>"20190312151209930"</f>
        <v>20190312151209930</v>
      </c>
      <c r="B7461" t="str">
        <f>"1552374729918614"</f>
        <v>1552374729918614</v>
      </c>
      <c r="C7461" t="s">
        <v>40</v>
      </c>
      <c r="D7461">
        <v>5.1189179999999999</v>
      </c>
      <c r="E7461">
        <v>0.50328059999999997</v>
      </c>
      <c r="F7461" t="s">
        <v>41</v>
      </c>
      <c r="G7461">
        <v>-133.16929999999999</v>
      </c>
      <c r="H7461">
        <v>1.0005520000000001</v>
      </c>
      <c r="I7461">
        <v>140.53039999999999</v>
      </c>
      <c r="J7461">
        <v>-133.79150000000001</v>
      </c>
      <c r="K7461">
        <v>1.11371</v>
      </c>
      <c r="L7461">
        <v>140.5181</v>
      </c>
      <c r="M7461">
        <v>0.99926910000000002</v>
      </c>
      <c r="N7461">
        <v>0</v>
      </c>
      <c r="O7461">
        <v>-1.0235209999999999E-3</v>
      </c>
      <c r="P7461">
        <v>0.99770080000000005</v>
      </c>
      <c r="Q7461">
        <v>6.4672110000000005E-2</v>
      </c>
      <c r="R7461">
        <v>2.027903E-2</v>
      </c>
      <c r="S7461">
        <v>3.0342410000000002</v>
      </c>
      <c r="T7461">
        <v>-0.43019600000000002</v>
      </c>
      <c r="U7461">
        <v>4.8126219999999997E-2</v>
      </c>
      <c r="V7461">
        <v>-2.1352739999999999E-2</v>
      </c>
      <c r="W7461">
        <v>0.1027411</v>
      </c>
      <c r="X7461">
        <v>0.99447890000000005</v>
      </c>
      <c r="Y7461">
        <v>-1.6705910000000001E-2</v>
      </c>
      <c r="Z7461">
        <v>1.32281E-3</v>
      </c>
      <c r="AA7461">
        <v>0.99985959999999996</v>
      </c>
      <c r="AB7461">
        <v>18</v>
      </c>
      <c r="AC7461">
        <v>0.62220000000001996</v>
      </c>
      <c r="AD7461">
        <v>-0.113157999999999</v>
      </c>
      <c r="AE7461">
        <v>1.22999999999819E-2</v>
      </c>
      <c r="AF7461">
        <v>-1.25232392875919E-2</v>
      </c>
      <c r="AG7461">
        <v>-0.113157999999999</v>
      </c>
      <c r="AH7461">
        <v>0.60227415053429001</v>
      </c>
      <c r="AI7461">
        <v>100.638690767933</v>
      </c>
      <c r="AJ7461">
        <v>91.191194031971605</v>
      </c>
      <c r="AK7461">
        <v>0.61294022293210204</v>
      </c>
      <c r="AL7461">
        <v>84.102962666285805</v>
      </c>
      <c r="AM7461">
        <v>91.230025020445595</v>
      </c>
      <c r="AN7461">
        <v>0.99999997783996297</v>
      </c>
    </row>
    <row r="7462" spans="1:40" x14ac:dyDescent="0.25">
      <c r="A7462" t="str">
        <f>"20190312151209953"</f>
        <v>20190312151209953</v>
      </c>
      <c r="B7462" t="str">
        <f>"1552374729948870"</f>
        <v>1552374729948870</v>
      </c>
      <c r="C7462" t="s">
        <v>40</v>
      </c>
      <c r="D7462">
        <v>5.1505799999999997</v>
      </c>
      <c r="E7462">
        <v>0.5031928</v>
      </c>
      <c r="F7462" t="s">
        <v>41</v>
      </c>
      <c r="G7462">
        <v>-133.01589999999999</v>
      </c>
      <c r="H7462">
        <v>1.0026999999999999</v>
      </c>
      <c r="I7462">
        <v>140.53</v>
      </c>
      <c r="J7462">
        <v>-133.6216</v>
      </c>
      <c r="K7462">
        <v>1.1137010000000001</v>
      </c>
      <c r="L7462">
        <v>140.51849999999999</v>
      </c>
      <c r="M7462">
        <v>0.99925450000000005</v>
      </c>
      <c r="N7462">
        <v>0</v>
      </c>
      <c r="O7462">
        <v>-5.9530589999999995E-4</v>
      </c>
      <c r="P7462">
        <v>0.99776339999999997</v>
      </c>
      <c r="Q7462">
        <v>6.4052699999999907E-2</v>
      </c>
      <c r="R7462">
        <v>1.9123250000000001E-2</v>
      </c>
      <c r="S7462">
        <v>3.034119</v>
      </c>
      <c r="T7462">
        <v>-0.43427549999999998</v>
      </c>
      <c r="U7462">
        <v>4.6508790000000001E-2</v>
      </c>
      <c r="V7462">
        <v>-1.9766499999999999E-2</v>
      </c>
      <c r="W7462">
        <v>0.10251250000000001</v>
      </c>
      <c r="X7462">
        <v>0.99453530000000001</v>
      </c>
      <c r="Y7462">
        <v>-1.5755870000000002E-2</v>
      </c>
      <c r="Z7462">
        <v>1.2066259999999999E-3</v>
      </c>
      <c r="AA7462">
        <v>0.99987510000000002</v>
      </c>
      <c r="AB7462">
        <v>18</v>
      </c>
      <c r="AC7462">
        <v>0.60570000000001301</v>
      </c>
      <c r="AD7462">
        <v>-0.111001</v>
      </c>
      <c r="AE7462">
        <v>1.15000000000122E-2</v>
      </c>
      <c r="AF7462">
        <v>-1.1475581137221601E-2</v>
      </c>
      <c r="AG7462">
        <v>-0.111001</v>
      </c>
      <c r="AH7462">
        <v>0.58601899011113201</v>
      </c>
      <c r="AI7462">
        <v>100.723625352299</v>
      </c>
      <c r="AJ7462">
        <v>91.121837950557804</v>
      </c>
      <c r="AK7462">
        <v>0.59654938415382497</v>
      </c>
      <c r="AL7462">
        <v>84.1161301079689</v>
      </c>
      <c r="AM7462">
        <v>91.138610098739093</v>
      </c>
      <c r="AN7462">
        <v>0.99999999506229498</v>
      </c>
    </row>
    <row r="7463" spans="1:40" x14ac:dyDescent="0.25">
      <c r="A7463" t="str">
        <f>"20190312151209975"</f>
        <v>20190312151209975</v>
      </c>
      <c r="B7463" t="str">
        <f>"1552374729968390"</f>
        <v>1552374729968390</v>
      </c>
      <c r="C7463" t="s">
        <v>40</v>
      </c>
      <c r="D7463">
        <v>5.1487030000000003</v>
      </c>
      <c r="E7463">
        <v>0.50347189999999997</v>
      </c>
      <c r="F7463" t="s">
        <v>41</v>
      </c>
      <c r="G7463">
        <v>-132.86699999999999</v>
      </c>
      <c r="H7463">
        <v>1.004508</v>
      </c>
      <c r="I7463">
        <v>140.5292</v>
      </c>
      <c r="J7463">
        <v>-133.46279999999999</v>
      </c>
      <c r="K7463">
        <v>1.113688</v>
      </c>
      <c r="L7463">
        <v>140.5189</v>
      </c>
      <c r="M7463">
        <v>0.99924279999999999</v>
      </c>
      <c r="N7463">
        <v>0</v>
      </c>
      <c r="O7463">
        <v>-1.9470239999999999E-4</v>
      </c>
      <c r="P7463">
        <v>0.99786819999999998</v>
      </c>
      <c r="Q7463">
        <v>6.2695200000000006E-2</v>
      </c>
      <c r="R7463">
        <v>1.8124419999999999E-2</v>
      </c>
      <c r="S7463">
        <v>3.034103</v>
      </c>
      <c r="T7463">
        <v>-0.43913760000000002</v>
      </c>
      <c r="U7463">
        <v>4.3594359999999999E-2</v>
      </c>
      <c r="V7463">
        <v>-1.836426E-2</v>
      </c>
      <c r="W7463">
        <v>0.1014637</v>
      </c>
      <c r="X7463">
        <v>0.99466969999999999</v>
      </c>
      <c r="Y7463">
        <v>-1.440933E-2</v>
      </c>
      <c r="Z7463">
        <v>1.065355E-3</v>
      </c>
      <c r="AA7463">
        <v>0.9998956</v>
      </c>
      <c r="AB7463">
        <v>17</v>
      </c>
      <c r="AC7463">
        <v>0.59579999999996802</v>
      </c>
      <c r="AD7463">
        <v>-0.10918</v>
      </c>
      <c r="AE7463">
        <v>1.03000000000008E-2</v>
      </c>
      <c r="AF7463">
        <v>-1.0077777247633301E-2</v>
      </c>
      <c r="AG7463">
        <v>-0.10918</v>
      </c>
      <c r="AH7463">
        <v>0.57644649185732499</v>
      </c>
      <c r="AI7463">
        <v>100.723282411241</v>
      </c>
      <c r="AJ7463">
        <v>91.001576546958304</v>
      </c>
      <c r="AK7463">
        <v>0.58678138345457898</v>
      </c>
      <c r="AL7463">
        <v>84.176536763962304</v>
      </c>
      <c r="AM7463">
        <v>91.057712989934998</v>
      </c>
      <c r="AN7463">
        <v>0.99999997028056298</v>
      </c>
    </row>
    <row r="7464" spans="1:40" x14ac:dyDescent="0.25">
      <c r="A7464" t="str">
        <f>"20190312151209999"</f>
        <v>20190312151209999</v>
      </c>
      <c r="B7464" t="str">
        <f>"1552374729988885"</f>
        <v>1552374729988885</v>
      </c>
      <c r="C7464" t="s">
        <v>40</v>
      </c>
      <c r="D7464">
        <v>5.2533830000000004</v>
      </c>
      <c r="E7464">
        <v>0.50339860000000003</v>
      </c>
      <c r="F7464" t="s">
        <v>41</v>
      </c>
      <c r="G7464">
        <v>-132.72290000000001</v>
      </c>
      <c r="H7464">
        <v>1.005287</v>
      </c>
      <c r="I7464">
        <v>140.52799999999999</v>
      </c>
      <c r="J7464">
        <v>-133.2937</v>
      </c>
      <c r="K7464">
        <v>1.1136919999999999</v>
      </c>
      <c r="L7464">
        <v>140.51939999999999</v>
      </c>
      <c r="M7464">
        <v>0.99923240000000002</v>
      </c>
      <c r="N7464">
        <v>0</v>
      </c>
      <c r="O7464">
        <v>2.3432649999999999E-4</v>
      </c>
      <c r="P7464">
        <v>0.99792709999999996</v>
      </c>
      <c r="Q7464">
        <v>6.2066540000000003E-2</v>
      </c>
      <c r="R7464">
        <v>1.7012619999999999E-2</v>
      </c>
      <c r="S7464">
        <v>3.0336460000000001</v>
      </c>
      <c r="T7464">
        <v>-0.44451390000000002</v>
      </c>
      <c r="U7464">
        <v>3.771973E-2</v>
      </c>
      <c r="V7464">
        <v>-1.6819600000000001E-2</v>
      </c>
      <c r="W7464">
        <v>0.1011075</v>
      </c>
      <c r="X7464">
        <v>0.99473330000000004</v>
      </c>
      <c r="Y7464">
        <v>-1.207196E-2</v>
      </c>
      <c r="Z7464">
        <v>8.4553160000000005E-4</v>
      </c>
      <c r="AA7464">
        <v>0.99992669999999995</v>
      </c>
      <c r="AB7464">
        <v>17</v>
      </c>
      <c r="AC7464">
        <v>0.57079999999999098</v>
      </c>
      <c r="AD7464">
        <v>-0.108404999999999</v>
      </c>
      <c r="AE7464">
        <v>8.6000000000012698E-3</v>
      </c>
      <c r="AF7464">
        <v>-8.1714756956702897E-3</v>
      </c>
      <c r="AG7464">
        <v>-0.108404999999999</v>
      </c>
      <c r="AH7464">
        <v>0.55093499237938803</v>
      </c>
      <c r="AI7464">
        <v>101.130433187763</v>
      </c>
      <c r="AJ7464">
        <v>90.849749514047701</v>
      </c>
      <c r="AK7464">
        <v>0.56155835214884098</v>
      </c>
      <c r="AL7464">
        <v>84.197051085312097</v>
      </c>
      <c r="AM7464">
        <v>90.968702131694201</v>
      </c>
      <c r="AN7464">
        <v>0.999999981814649</v>
      </c>
    </row>
    <row r="7465" spans="1:40" x14ac:dyDescent="0.25">
      <c r="A7465" t="str">
        <f>"20190312151210019"</f>
        <v>20190312151210019</v>
      </c>
      <c r="B7465" t="str">
        <f>"1552374730008406"</f>
        <v>1552374730008406</v>
      </c>
      <c r="C7465" t="s">
        <v>40</v>
      </c>
      <c r="D7465">
        <v>5.145848</v>
      </c>
      <c r="E7465">
        <v>0.50341389999999997</v>
      </c>
      <c r="F7465" t="s">
        <v>41</v>
      </c>
      <c r="G7465">
        <v>-132.4563</v>
      </c>
      <c r="H7465">
        <v>0.99029769999999995</v>
      </c>
      <c r="I7465">
        <v>140.5291</v>
      </c>
      <c r="J7465">
        <v>-133.15889999999999</v>
      </c>
      <c r="K7465">
        <v>1.1136980000000001</v>
      </c>
      <c r="L7465">
        <v>140.5198</v>
      </c>
      <c r="M7465">
        <v>0.99922509999999998</v>
      </c>
      <c r="N7465">
        <v>0</v>
      </c>
      <c r="O7465">
        <v>5.768762E-4</v>
      </c>
      <c r="P7465">
        <v>0.99787009999999998</v>
      </c>
      <c r="Q7465">
        <v>6.3354499999999994E-2</v>
      </c>
      <c r="R7465">
        <v>1.5540160000000001E-2</v>
      </c>
      <c r="S7465">
        <v>3.0334319999999999</v>
      </c>
      <c r="T7465">
        <v>-0.44704470000000002</v>
      </c>
      <c r="U7465">
        <v>3.5202030000000002E-2</v>
      </c>
      <c r="V7465">
        <v>-1.500159E-2</v>
      </c>
      <c r="W7465">
        <v>0.1025746</v>
      </c>
      <c r="X7465">
        <v>0.99461219999999995</v>
      </c>
      <c r="Y7465">
        <v>-1.0914979999999999E-2</v>
      </c>
      <c r="Z7465">
        <v>7.1531600000000002E-4</v>
      </c>
      <c r="AA7465">
        <v>0.99994019999999995</v>
      </c>
      <c r="AB7465">
        <v>16</v>
      </c>
      <c r="AC7465">
        <v>0.70259999999998901</v>
      </c>
      <c r="AD7465">
        <v>-0.12340029999999901</v>
      </c>
      <c r="AE7465">
        <v>9.2999999999960892E-3</v>
      </c>
      <c r="AF7465">
        <v>-8.6282597107041892E-3</v>
      </c>
      <c r="AG7465">
        <v>-0.12340029999999901</v>
      </c>
      <c r="AH7465">
        <v>0.68158395944461803</v>
      </c>
      <c r="AI7465">
        <v>100.26139213290899</v>
      </c>
      <c r="AJ7465">
        <v>90.725275960285401</v>
      </c>
      <c r="AK7465">
        <v>0.69271839493255005</v>
      </c>
      <c r="AL7465">
        <v>84.112553286358605</v>
      </c>
      <c r="AM7465">
        <v>90.864118319865298</v>
      </c>
      <c r="AN7465">
        <v>1.00000001232826</v>
      </c>
    </row>
    <row r="7466" spans="1:40" x14ac:dyDescent="0.25">
      <c r="A7466" t="str">
        <f>"20190312151210041"</f>
        <v>20190312151210041</v>
      </c>
      <c r="B7466" t="str">
        <f>"1552374730028901"</f>
        <v>1552374730028901</v>
      </c>
      <c r="C7466" t="s">
        <v>40</v>
      </c>
      <c r="D7466">
        <v>5.1283279999999998</v>
      </c>
      <c r="E7466">
        <v>0.50326879999999996</v>
      </c>
      <c r="F7466" t="s">
        <v>41</v>
      </c>
      <c r="G7466">
        <v>-132.32499999999999</v>
      </c>
      <c r="H7466">
        <v>0.99166240000000005</v>
      </c>
      <c r="I7466">
        <v>140.5282</v>
      </c>
      <c r="J7466">
        <v>-133.01599999999999</v>
      </c>
      <c r="K7466">
        <v>1.1137189999999999</v>
      </c>
      <c r="L7466">
        <v>140.5204</v>
      </c>
      <c r="M7466">
        <v>0.99921550000000003</v>
      </c>
      <c r="N7466">
        <v>0</v>
      </c>
      <c r="O7466">
        <v>9.3426719999999998E-4</v>
      </c>
      <c r="P7466">
        <v>0.99784589999999995</v>
      </c>
      <c r="Q7466">
        <v>6.4042080000000001E-2</v>
      </c>
      <c r="R7466">
        <v>1.423113E-2</v>
      </c>
      <c r="S7466">
        <v>3.034119</v>
      </c>
      <c r="T7466">
        <v>-0.44415399999999999</v>
      </c>
      <c r="U7466">
        <v>3.074646E-2</v>
      </c>
      <c r="V7466">
        <v>-1.3331809999999999E-2</v>
      </c>
      <c r="W7466">
        <v>0.103496699999999</v>
      </c>
      <c r="X7466">
        <v>0.99454050000000005</v>
      </c>
      <c r="Y7466">
        <v>-9.1109680000000005E-3</v>
      </c>
      <c r="Z7466">
        <v>5.271675E-4</v>
      </c>
      <c r="AA7466">
        <v>0.99995829999999997</v>
      </c>
      <c r="AB7466">
        <v>15</v>
      </c>
      <c r="AC7466">
        <v>0.69100000000000195</v>
      </c>
      <c r="AD7466">
        <v>-0.1220566</v>
      </c>
      <c r="AE7466">
        <v>7.80000000000313E-3</v>
      </c>
      <c r="AF7466">
        <v>-6.9374835685031399E-3</v>
      </c>
      <c r="AG7466">
        <v>-0.1220566</v>
      </c>
      <c r="AH7466">
        <v>0.67010190487276799</v>
      </c>
      <c r="AI7466">
        <v>100.322503766108</v>
      </c>
      <c r="AJ7466">
        <v>90.593155049585903</v>
      </c>
      <c r="AK7466">
        <v>0.68116261288765401</v>
      </c>
      <c r="AL7466">
        <v>84.0594384051915</v>
      </c>
      <c r="AM7466">
        <v>90.768003613487707</v>
      </c>
      <c r="AN7466">
        <v>1.0000000551045001</v>
      </c>
    </row>
    <row r="7467" spans="1:40" x14ac:dyDescent="0.25">
      <c r="A7467" t="str">
        <f>"20190312151210065"</f>
        <v>20190312151210065</v>
      </c>
      <c r="B7467" t="str">
        <f>"1552374730059158"</f>
        <v>1552374730059158</v>
      </c>
      <c r="C7467" t="s">
        <v>40</v>
      </c>
      <c r="D7467">
        <v>5.1292960000000001</v>
      </c>
      <c r="E7467">
        <v>0.50297729999999996</v>
      </c>
      <c r="F7467" t="s">
        <v>41</v>
      </c>
      <c r="G7467">
        <v>-132.19880000000001</v>
      </c>
      <c r="H7467">
        <v>0.99436259999999999</v>
      </c>
      <c r="I7467">
        <v>140.52780000000001</v>
      </c>
      <c r="J7467">
        <v>-132.875</v>
      </c>
      <c r="K7467">
        <v>1.1138709999999901</v>
      </c>
      <c r="L7467">
        <v>140.52090000000001</v>
      </c>
      <c r="M7467">
        <v>0.99918620000000002</v>
      </c>
      <c r="N7467">
        <v>0</v>
      </c>
      <c r="O7467">
        <v>1.2635840000000001E-3</v>
      </c>
      <c r="P7467">
        <v>0.99784030000000001</v>
      </c>
      <c r="Q7467">
        <v>6.4371680000000001E-2</v>
      </c>
      <c r="R7467">
        <v>1.3082740000000001E-2</v>
      </c>
      <c r="S7467">
        <v>3.0345309999999999</v>
      </c>
      <c r="T7467">
        <v>-0.44329730000000001</v>
      </c>
      <c r="U7467">
        <v>2.7633669999999999E-2</v>
      </c>
      <c r="V7467">
        <v>-1.1849459999999999E-2</v>
      </c>
      <c r="W7467">
        <v>0.10454620000000001</v>
      </c>
      <c r="X7467">
        <v>0.99444940000000004</v>
      </c>
      <c r="Y7467">
        <v>-7.7723940000000002E-3</v>
      </c>
      <c r="Z7467">
        <v>3.8094319999999997E-4</v>
      </c>
      <c r="AA7467">
        <v>0.99996969999999996</v>
      </c>
      <c r="AB7467">
        <v>15</v>
      </c>
      <c r="AC7467">
        <v>0.67619999999999403</v>
      </c>
      <c r="AD7467">
        <v>-0.119508399999999</v>
      </c>
      <c r="AE7467">
        <v>6.90000000000168E-3</v>
      </c>
      <c r="AF7467">
        <v>-5.8617877645379297E-3</v>
      </c>
      <c r="AG7467">
        <v>-0.119508399999999</v>
      </c>
      <c r="AH7467">
        <v>0.65572840404930499</v>
      </c>
      <c r="AI7467">
        <v>100.328551027891</v>
      </c>
      <c r="AJ7467">
        <v>90.512173563567401</v>
      </c>
      <c r="AK7467">
        <v>0.66655559265781095</v>
      </c>
      <c r="AL7467">
        <v>83.998977940949999</v>
      </c>
      <c r="AM7467">
        <v>90.682681209014802</v>
      </c>
      <c r="AN7467">
        <v>0.99999996339854502</v>
      </c>
    </row>
    <row r="7468" spans="1:40" x14ac:dyDescent="0.25">
      <c r="A7468" t="str">
        <f>"20190312151210086"</f>
        <v>20190312151210086</v>
      </c>
      <c r="B7468" t="str">
        <f>"1552374730078678"</f>
        <v>1552374730078678</v>
      </c>
      <c r="C7468" t="s">
        <v>40</v>
      </c>
      <c r="D7468">
        <v>5.0958059999999996</v>
      </c>
      <c r="E7468">
        <v>0.52117879999999905</v>
      </c>
      <c r="F7468" t="s">
        <v>41</v>
      </c>
      <c r="G7468">
        <v>-132.07839999999999</v>
      </c>
      <c r="H7468">
        <v>0.99734619999999996</v>
      </c>
      <c r="I7468">
        <v>140.52770000000001</v>
      </c>
      <c r="J7468">
        <v>-132.74619999999999</v>
      </c>
      <c r="K7468">
        <v>1.11405</v>
      </c>
      <c r="L7468">
        <v>140.5215</v>
      </c>
      <c r="M7468">
        <v>0.9991487</v>
      </c>
      <c r="N7468">
        <v>0</v>
      </c>
      <c r="O7468">
        <v>1.5501079999999999E-3</v>
      </c>
      <c r="P7468">
        <v>0.9979053</v>
      </c>
      <c r="Q7468">
        <v>6.3641080000000003E-2</v>
      </c>
      <c r="R7468">
        <v>1.161645E-2</v>
      </c>
      <c r="S7468">
        <v>3.0347749999999998</v>
      </c>
      <c r="T7468">
        <v>-0.44405519999999998</v>
      </c>
      <c r="U7468">
        <v>2.6611329999999999E-2</v>
      </c>
      <c r="V7468">
        <v>-1.009143E-2</v>
      </c>
      <c r="W7468">
        <v>0.1047236</v>
      </c>
      <c r="X7468">
        <v>0.99445019999999995</v>
      </c>
      <c r="Y7468">
        <v>-7.1573950000000004E-3</v>
      </c>
      <c r="Z7468">
        <v>2.9505880000000001E-4</v>
      </c>
      <c r="AA7468">
        <v>0.99997440000000004</v>
      </c>
      <c r="AB7468">
        <v>14</v>
      </c>
      <c r="AC7468">
        <v>0.66779999999999895</v>
      </c>
      <c r="AD7468">
        <v>-0.1167038</v>
      </c>
      <c r="AE7468">
        <v>6.2000000000068597E-3</v>
      </c>
      <c r="AF7468">
        <v>-5.0109263133945999E-3</v>
      </c>
      <c r="AG7468">
        <v>-0.1167038</v>
      </c>
      <c r="AH7468">
        <v>0.64801963081107605</v>
      </c>
      <c r="AI7468">
        <v>100.208836182444</v>
      </c>
      <c r="AJ7468">
        <v>90.443040910107499</v>
      </c>
      <c r="AK7468">
        <v>0.65846361192816205</v>
      </c>
      <c r="AL7468">
        <v>83.988757997503797</v>
      </c>
      <c r="AM7468">
        <v>90.581403173877803</v>
      </c>
      <c r="AN7468">
        <v>1.0000000348182201</v>
      </c>
    </row>
    <row r="7469" spans="1:40" x14ac:dyDescent="0.25">
      <c r="A7469" t="str">
        <f>"20190312151210108"</f>
        <v>20190312151210108</v>
      </c>
      <c r="B7469" t="str">
        <f>"1552374730099174"</f>
        <v>1552374730099174</v>
      </c>
      <c r="C7469" t="s">
        <v>40</v>
      </c>
      <c r="D7469">
        <v>5.2421100000000003</v>
      </c>
      <c r="E7469">
        <v>0.52491460000000001</v>
      </c>
      <c r="F7469" t="s">
        <v>41</v>
      </c>
      <c r="G7469">
        <v>-131.9623</v>
      </c>
      <c r="H7469">
        <v>1.0044200000000001</v>
      </c>
      <c r="I7469">
        <v>140.4898</v>
      </c>
      <c r="J7469">
        <v>-132.6208</v>
      </c>
      <c r="K7469">
        <v>1.114198</v>
      </c>
      <c r="L7469">
        <v>140.52199999999999</v>
      </c>
      <c r="M7469">
        <v>0.99911220000000001</v>
      </c>
      <c r="N7469">
        <v>0</v>
      </c>
      <c r="O7469">
        <v>1.8272169999999999E-3</v>
      </c>
      <c r="P7469">
        <v>0.99797990000000003</v>
      </c>
      <c r="Q7469">
        <v>6.2679979999999996E-2</v>
      </c>
      <c r="R7469">
        <v>1.036229E-2</v>
      </c>
      <c r="S7469">
        <v>3.034805</v>
      </c>
      <c r="T7469">
        <v>-0.42449520000000002</v>
      </c>
      <c r="U7469">
        <v>-0.12271120000000001</v>
      </c>
      <c r="V7469">
        <v>-8.5546500000000004E-3</v>
      </c>
      <c r="W7469">
        <v>0.1046301</v>
      </c>
      <c r="X7469">
        <v>0.99447439999999998</v>
      </c>
      <c r="Y7469">
        <v>4.180478E-2</v>
      </c>
      <c r="Z7469">
        <v>-3.1628709999999998E-3</v>
      </c>
      <c r="AA7469">
        <v>0.99912080000000003</v>
      </c>
      <c r="AB7469">
        <v>13</v>
      </c>
      <c r="AC7469">
        <v>0.65850000000000297</v>
      </c>
      <c r="AD7469">
        <v>-0.109777999999999</v>
      </c>
      <c r="AE7469">
        <v>-3.2200000000017298E-2</v>
      </c>
      <c r="AF7469">
        <v>3.2503066787438202E-2</v>
      </c>
      <c r="AG7469">
        <v>-0.109777999999999</v>
      </c>
      <c r="AH7469">
        <v>0.64067682368976397</v>
      </c>
      <c r="AI7469">
        <v>99.7107833076156</v>
      </c>
      <c r="AJ7469">
        <v>87.095738072730001</v>
      </c>
      <c r="AK7469">
        <v>0.65082597600879</v>
      </c>
      <c r="AL7469">
        <v>83.994144452027598</v>
      </c>
      <c r="AM7469">
        <v>90.492856579212798</v>
      </c>
      <c r="AN7469">
        <v>0.99999998605899598</v>
      </c>
    </row>
    <row r="7470" spans="1:40" x14ac:dyDescent="0.25">
      <c r="A7470" t="str">
        <f>"20190312151210131"</f>
        <v>20190312151210131</v>
      </c>
      <c r="B7470" t="str">
        <f>"1552374730118694"</f>
        <v>1552374730118694</v>
      </c>
      <c r="C7470" t="s">
        <v>40</v>
      </c>
      <c r="D7470">
        <v>5.0739879999999999</v>
      </c>
      <c r="E7470">
        <v>0.52572319999999995</v>
      </c>
      <c r="F7470" t="s">
        <v>41</v>
      </c>
      <c r="G7470">
        <v>-131.84620000000001</v>
      </c>
      <c r="H7470">
        <v>1.019987</v>
      </c>
      <c r="I7470">
        <v>140.48179999999999</v>
      </c>
      <c r="J7470">
        <v>-132.5044</v>
      </c>
      <c r="K7470">
        <v>1.1142110000000001</v>
      </c>
      <c r="L7470">
        <v>140.52260000000001</v>
      </c>
      <c r="M7470">
        <v>0.99909579999999998</v>
      </c>
      <c r="N7470">
        <v>0</v>
      </c>
      <c r="O7470">
        <v>2.097603E-3</v>
      </c>
      <c r="P7470">
        <v>0.99799000000000004</v>
      </c>
      <c r="Q7470">
        <v>6.2624399999999997E-2</v>
      </c>
      <c r="R7470">
        <v>9.7197949999999998E-3</v>
      </c>
      <c r="S7470">
        <v>3.030869</v>
      </c>
      <c r="T7470">
        <v>-0.36873529999999999</v>
      </c>
      <c r="U7470">
        <v>-0.15708920000000001</v>
      </c>
      <c r="V7470">
        <v>-7.6401259999999997E-3</v>
      </c>
      <c r="W7470">
        <v>0.1049469</v>
      </c>
      <c r="X7470">
        <v>0.99444849999999996</v>
      </c>
      <c r="Y7470">
        <v>5.3448379999999997E-2</v>
      </c>
      <c r="Z7470">
        <v>-3.491493E-3</v>
      </c>
      <c r="AA7470">
        <v>0.99856449999999997</v>
      </c>
      <c r="AB7470">
        <v>13</v>
      </c>
      <c r="AC7470">
        <v>0.65819999999999301</v>
      </c>
      <c r="AD7470">
        <v>-9.4224000000000002E-2</v>
      </c>
      <c r="AE7470">
        <v>-4.0800000000018599E-2</v>
      </c>
      <c r="AF7470">
        <v>4.1337900384179699E-2</v>
      </c>
      <c r="AG7470">
        <v>-9.4224000000000002E-2</v>
      </c>
      <c r="AH7470">
        <v>0.64494653702993698</v>
      </c>
      <c r="AI7470">
        <v>98.295087382514495</v>
      </c>
      <c r="AJ7470">
        <v>86.332638953326096</v>
      </c>
      <c r="AK7470">
        <v>0.65310261047639395</v>
      </c>
      <c r="AL7470">
        <v>83.975892876842707</v>
      </c>
      <c r="AM7470">
        <v>90.440182032928206</v>
      </c>
      <c r="AN7470">
        <v>1.00000002124857</v>
      </c>
    </row>
    <row r="7471" spans="1:40" x14ac:dyDescent="0.25">
      <c r="A7471" t="str">
        <f>"20190312151210153"</f>
        <v>20190312151210153</v>
      </c>
      <c r="B7471" t="str">
        <f>"1552374730148950"</f>
        <v>1552374730148950</v>
      </c>
      <c r="C7471" t="s">
        <v>40</v>
      </c>
      <c r="D7471">
        <v>5.0633299999999997</v>
      </c>
      <c r="E7471">
        <v>0.52608290000000002</v>
      </c>
      <c r="F7471" t="s">
        <v>41</v>
      </c>
      <c r="G7471">
        <v>-131.7345</v>
      </c>
      <c r="H7471">
        <v>1.0299199999999999</v>
      </c>
      <c r="I7471">
        <v>140.4803</v>
      </c>
      <c r="J7471">
        <v>-132.3886</v>
      </c>
      <c r="K7471">
        <v>1.114047</v>
      </c>
      <c r="L7471">
        <v>140.5231</v>
      </c>
      <c r="M7471">
        <v>0.99911050000000001</v>
      </c>
      <c r="N7471">
        <v>0</v>
      </c>
      <c r="O7471">
        <v>2.3798959999999998E-3</v>
      </c>
      <c r="P7471">
        <v>0.99795509999999998</v>
      </c>
      <c r="Q7471">
        <v>6.331357E-2</v>
      </c>
      <c r="R7471">
        <v>8.7900159999999995E-3</v>
      </c>
      <c r="S7471">
        <v>3.0284879999999998</v>
      </c>
      <c r="T7471">
        <v>-0.33164270000000001</v>
      </c>
      <c r="U7471">
        <v>-0.16609189999999999</v>
      </c>
      <c r="V7471">
        <v>-6.4292890000000004E-3</v>
      </c>
      <c r="W7471">
        <v>0.10527359999999999</v>
      </c>
      <c r="X7471">
        <v>0.99442249999999999</v>
      </c>
      <c r="Y7471">
        <v>5.6786490000000002E-2</v>
      </c>
      <c r="Z7471">
        <v>-3.357587E-3</v>
      </c>
      <c r="AA7471">
        <v>0.99838070000000001</v>
      </c>
      <c r="AB7471">
        <v>12</v>
      </c>
      <c r="AC7471">
        <v>0.65409999999999902</v>
      </c>
      <c r="AD7471">
        <v>-8.4126999999999799E-2</v>
      </c>
      <c r="AE7471">
        <v>-4.2799999999999699E-2</v>
      </c>
      <c r="AF7471">
        <v>4.3639157782769E-2</v>
      </c>
      <c r="AG7471">
        <v>-8.4126999999999799E-2</v>
      </c>
      <c r="AH7471">
        <v>0.64339860365541601</v>
      </c>
      <c r="AI7471">
        <v>97.432511299544402</v>
      </c>
      <c r="AJ7471">
        <v>86.119798929058106</v>
      </c>
      <c r="AK7471">
        <v>0.65034105775871798</v>
      </c>
      <c r="AL7471">
        <v>83.957069874177193</v>
      </c>
      <c r="AM7471">
        <v>90.370432077280597</v>
      </c>
      <c r="AN7471">
        <v>0.99999998756012698</v>
      </c>
    </row>
    <row r="7472" spans="1:40" x14ac:dyDescent="0.25">
      <c r="A7472" t="str">
        <f>"20190312151210176"</f>
        <v>20190312151210176</v>
      </c>
      <c r="B7472" t="str">
        <f>"1552374730168470"</f>
        <v>1552374730168470</v>
      </c>
      <c r="C7472" t="s">
        <v>40</v>
      </c>
      <c r="D7472">
        <v>5.1129800000000003</v>
      </c>
      <c r="E7472">
        <v>0.52580689999999997</v>
      </c>
      <c r="F7472" t="s">
        <v>42</v>
      </c>
      <c r="G7472">
        <v>-121.3942</v>
      </c>
      <c r="H7472" s="1">
        <v>-3.7491900000000002E-6</v>
      </c>
      <c r="I7472">
        <v>139.8982</v>
      </c>
      <c r="J7472">
        <v>-132.2799</v>
      </c>
      <c r="K7472">
        <v>1.113861</v>
      </c>
      <c r="L7472">
        <v>140.52369999999999</v>
      </c>
      <c r="M7472">
        <v>0.99913640000000004</v>
      </c>
      <c r="N7472">
        <v>0</v>
      </c>
      <c r="O7472">
        <v>2.6479369999999999E-3</v>
      </c>
      <c r="P7472">
        <v>0.99790290000000004</v>
      </c>
      <c r="Q7472">
        <v>6.4267999999999895E-2</v>
      </c>
      <c r="R7472">
        <v>7.736751E-3</v>
      </c>
      <c r="S7472">
        <v>3.0271300000000001</v>
      </c>
      <c r="T7472">
        <v>-0.30673349999999999</v>
      </c>
      <c r="U7472">
        <v>-0.17205809999999999</v>
      </c>
      <c r="V7472">
        <v>-5.1094740000000001E-3</v>
      </c>
      <c r="W7472">
        <v>0.1055932</v>
      </c>
      <c r="X7472">
        <v>0.99439630000000001</v>
      </c>
      <c r="Y7472">
        <v>5.9077770000000002E-2</v>
      </c>
      <c r="Z7472">
        <v>-3.2507339999999999E-3</v>
      </c>
      <c r="AA7472">
        <v>0.99824809999999997</v>
      </c>
      <c r="AB7472">
        <v>12</v>
      </c>
      <c r="AC7472">
        <v>10.8857</v>
      </c>
      <c r="AD7472">
        <v>-1.11386474919</v>
      </c>
      <c r="AE7472">
        <v>-0.62549999999998795</v>
      </c>
      <c r="AF7472">
        <v>0.64758923216590103</v>
      </c>
      <c r="AG7472">
        <v>-1.11386474919</v>
      </c>
      <c r="AH7472">
        <v>10.771595171300801</v>
      </c>
      <c r="AI7472">
        <v>95.8932692421632</v>
      </c>
      <c r="AJ7472">
        <v>86.559513924704305</v>
      </c>
      <c r="AK7472">
        <v>10.848379096782001</v>
      </c>
      <c r="AL7472">
        <v>83.938655681027598</v>
      </c>
      <c r="AM7472">
        <v>90.294398439924194</v>
      </c>
      <c r="AN7472">
        <v>1.00000001603224</v>
      </c>
    </row>
    <row r="7473" spans="1:40" x14ac:dyDescent="0.25">
      <c r="A7473" t="str">
        <f>"20190312151210198"</f>
        <v>20190312151210198</v>
      </c>
      <c r="B7473" t="str">
        <f>"1552374730188966"</f>
        <v>1552374730188966</v>
      </c>
      <c r="C7473" t="s">
        <v>40</v>
      </c>
      <c r="D7473">
        <v>5.0682929999999997</v>
      </c>
      <c r="E7473">
        <v>0.53019850000000002</v>
      </c>
      <c r="F7473" t="s">
        <v>42</v>
      </c>
      <c r="G7473">
        <v>-120.8946</v>
      </c>
      <c r="H7473" s="1">
        <v>-3.956471E-6</v>
      </c>
      <c r="I7473">
        <v>139.87180000000001</v>
      </c>
      <c r="J7473">
        <v>-132.17410000000001</v>
      </c>
      <c r="K7473">
        <v>1.113769</v>
      </c>
      <c r="L7473">
        <v>140.52440000000001</v>
      </c>
      <c r="M7473">
        <v>0.99915290000000001</v>
      </c>
      <c r="N7473">
        <v>0</v>
      </c>
      <c r="O7473">
        <v>2.9115970000000001E-3</v>
      </c>
      <c r="P7473">
        <v>0.99781989999999998</v>
      </c>
      <c r="Q7473">
        <v>6.5596829999999995E-2</v>
      </c>
      <c r="R7473">
        <v>7.2462289999999999E-3</v>
      </c>
      <c r="S7473">
        <v>3.0267490000000001</v>
      </c>
      <c r="T7473">
        <v>-0.29611739999999998</v>
      </c>
      <c r="U7473">
        <v>-0.173309299999999</v>
      </c>
      <c r="V7473">
        <v>-4.3551270000000003E-3</v>
      </c>
      <c r="W7473">
        <v>0.10649930000000001</v>
      </c>
      <c r="X7473">
        <v>0.99430320000000005</v>
      </c>
      <c r="Y7473">
        <v>5.9776309999999999E-2</v>
      </c>
      <c r="Z7473">
        <v>-3.1989169999999999E-3</v>
      </c>
      <c r="AA7473">
        <v>0.9982067</v>
      </c>
      <c r="AB7473">
        <v>11</v>
      </c>
      <c r="AC7473">
        <v>11.279500000000001</v>
      </c>
      <c r="AD7473">
        <v>-1.1137729564709999</v>
      </c>
      <c r="AE7473">
        <v>-0.65260000000000595</v>
      </c>
      <c r="AF7473">
        <v>0.67886926185747598</v>
      </c>
      <c r="AG7473">
        <v>-1.1137729564709999</v>
      </c>
      <c r="AH7473">
        <v>11.1690135744182</v>
      </c>
      <c r="AI7473">
        <v>95.684281840037201</v>
      </c>
      <c r="AJ7473">
        <v>86.521756395799301</v>
      </c>
      <c r="AK7473">
        <v>11.244919648392299</v>
      </c>
      <c r="AL7473">
        <v>83.886445232677303</v>
      </c>
      <c r="AM7473">
        <v>90.250958460766199</v>
      </c>
      <c r="AN7473">
        <v>0.99999996078095699</v>
      </c>
    </row>
    <row r="7474" spans="1:40" x14ac:dyDescent="0.25">
      <c r="A7474" t="str">
        <f>"20190312151210220"</f>
        <v>20190312151210220</v>
      </c>
      <c r="B7474" t="str">
        <f>"1552374730208486"</f>
        <v>1552374730208486</v>
      </c>
      <c r="C7474" t="s">
        <v>40</v>
      </c>
      <c r="D7474">
        <v>5.0303440000000004</v>
      </c>
      <c r="E7474">
        <v>0.52982320000000005</v>
      </c>
      <c r="F7474" t="s">
        <v>41</v>
      </c>
      <c r="G7474">
        <v>-131.36940000000001</v>
      </c>
      <c r="H7474">
        <v>1.00271</v>
      </c>
      <c r="I7474">
        <v>140.4693</v>
      </c>
      <c r="J7474">
        <v>-132.07820000000001</v>
      </c>
      <c r="K7474">
        <v>1.1137729999999999</v>
      </c>
      <c r="L7474">
        <v>140.5249</v>
      </c>
      <c r="M7474">
        <v>0.99915770000000004</v>
      </c>
      <c r="N7474">
        <v>0</v>
      </c>
      <c r="O7474">
        <v>3.1581479999999999E-3</v>
      </c>
      <c r="P7474">
        <v>0.99774390000000002</v>
      </c>
      <c r="Q7474">
        <v>6.6796720000000004E-2</v>
      </c>
      <c r="R7474">
        <v>6.7288319999999997E-3</v>
      </c>
      <c r="S7474">
        <v>3.0356139999999998</v>
      </c>
      <c r="T7474">
        <v>-0.41900520000000002</v>
      </c>
      <c r="U7474">
        <v>-0.20756530000000001</v>
      </c>
      <c r="V7474">
        <v>-3.5880600000000001E-3</v>
      </c>
      <c r="W7474">
        <v>0.1075637</v>
      </c>
      <c r="X7474">
        <v>0.99419170000000001</v>
      </c>
      <c r="Y7474">
        <v>7.0673689999999997E-2</v>
      </c>
      <c r="Z7474">
        <v>-5.2826799999999997E-3</v>
      </c>
      <c r="AA7474">
        <v>0.99748550000000002</v>
      </c>
      <c r="AB7474">
        <v>10</v>
      </c>
      <c r="AC7474">
        <v>0.70879999999999599</v>
      </c>
      <c r="AD7474">
        <v>-0.111062999999999</v>
      </c>
      <c r="AE7474">
        <v>-5.5599999999998297E-2</v>
      </c>
      <c r="AF7474">
        <v>5.6462294691355802E-2</v>
      </c>
      <c r="AG7474">
        <v>-0.111062999999999</v>
      </c>
      <c r="AH7474">
        <v>0.69174078887559698</v>
      </c>
      <c r="AI7474">
        <v>99.091596512924696</v>
      </c>
      <c r="AJ7474">
        <v>85.333663378124697</v>
      </c>
      <c r="AK7474">
        <v>0.70287146740001205</v>
      </c>
      <c r="AL7474">
        <v>83.825107370866903</v>
      </c>
      <c r="AM7474">
        <v>90.206780847276207</v>
      </c>
      <c r="AN7474">
        <v>0.999999980040571</v>
      </c>
    </row>
    <row r="7475" spans="1:40" x14ac:dyDescent="0.25">
      <c r="A7475" t="str">
        <f>"20190312151210242"</f>
        <v>20190312151210242</v>
      </c>
      <c r="B7475" t="str">
        <f>"1552374730238741"</f>
        <v>1552374730238741</v>
      </c>
      <c r="C7475" t="s">
        <v>40</v>
      </c>
      <c r="D7475">
        <v>5.0780289999999999</v>
      </c>
      <c r="E7475">
        <v>0.53005069999999999</v>
      </c>
      <c r="F7475" t="s">
        <v>41</v>
      </c>
      <c r="G7475">
        <v>-131.2833</v>
      </c>
      <c r="H7475">
        <v>1.0059929999999999</v>
      </c>
      <c r="I7475">
        <v>140.4708</v>
      </c>
      <c r="J7475">
        <v>-131.9847</v>
      </c>
      <c r="K7475">
        <v>1.1137870000000001</v>
      </c>
      <c r="L7475">
        <v>140.52549999999999</v>
      </c>
      <c r="M7475">
        <v>0.99915960000000004</v>
      </c>
      <c r="N7475">
        <v>0</v>
      </c>
      <c r="O7475">
        <v>3.4068879999999998E-3</v>
      </c>
      <c r="P7475">
        <v>0.99767879999999998</v>
      </c>
      <c r="Q7475">
        <v>6.7804340000000005E-2</v>
      </c>
      <c r="R7475">
        <v>6.3098909999999998E-3</v>
      </c>
      <c r="S7475">
        <v>3.0357210000000001</v>
      </c>
      <c r="T7475">
        <v>-0.41171619999999998</v>
      </c>
      <c r="U7475">
        <v>-0.2062378</v>
      </c>
      <c r="V7475">
        <v>-2.9179010000000001E-3</v>
      </c>
      <c r="W7475">
        <v>0.10850319999999999</v>
      </c>
      <c r="X7475">
        <v>0.99409179999999997</v>
      </c>
      <c r="Y7475">
        <v>7.0508609999999999E-2</v>
      </c>
      <c r="Z7475">
        <v>-5.213957E-3</v>
      </c>
      <c r="AA7475">
        <v>0.99749759999999998</v>
      </c>
      <c r="AB7475">
        <v>10</v>
      </c>
      <c r="AC7475">
        <v>0.70140000000000602</v>
      </c>
      <c r="AD7475">
        <v>-0.107793999999999</v>
      </c>
      <c r="AE7475">
        <v>-5.46999999999968E-2</v>
      </c>
      <c r="AF7475">
        <v>5.57817366317453E-2</v>
      </c>
      <c r="AG7475">
        <v>-0.107793999999999</v>
      </c>
      <c r="AH7475">
        <v>0.68512539920319704</v>
      </c>
      <c r="AI7475">
        <v>98.912301704311503</v>
      </c>
      <c r="AJ7475">
        <v>85.345342784527801</v>
      </c>
      <c r="AK7475">
        <v>0.69579304481360904</v>
      </c>
      <c r="AL7475">
        <v>83.770961095239201</v>
      </c>
      <c r="AM7475">
        <v>90.168176552918098</v>
      </c>
      <c r="AN7475">
        <v>0.99999998269186197</v>
      </c>
    </row>
    <row r="7476" spans="1:40" x14ac:dyDescent="0.25">
      <c r="A7476" t="str">
        <f>"20190312151210265"</f>
        <v>20190312151210265</v>
      </c>
      <c r="B7476" t="str">
        <f>"1552374730259238"</f>
        <v>1552374730259238</v>
      </c>
      <c r="C7476" t="s">
        <v>40</v>
      </c>
      <c r="D7476">
        <v>5.0403739999999999</v>
      </c>
      <c r="E7476">
        <v>0.53000760000000002</v>
      </c>
      <c r="F7476" t="s">
        <v>41</v>
      </c>
      <c r="G7476">
        <v>-131.202</v>
      </c>
      <c r="H7476">
        <v>1.0080789999999999</v>
      </c>
      <c r="I7476">
        <v>140.47149999999999</v>
      </c>
      <c r="J7476">
        <v>-131.89490000000001</v>
      </c>
      <c r="K7476">
        <v>1.113799</v>
      </c>
      <c r="L7476">
        <v>140.52610000000001</v>
      </c>
      <c r="M7476">
        <v>0.99916470000000002</v>
      </c>
      <c r="N7476">
        <v>0</v>
      </c>
      <c r="O7476">
        <v>3.6453150000000001E-3</v>
      </c>
      <c r="P7476">
        <v>0.99764470000000005</v>
      </c>
      <c r="Q7476">
        <v>6.8353999999999998E-2</v>
      </c>
      <c r="R7476">
        <v>5.7774430000000002E-3</v>
      </c>
      <c r="S7476">
        <v>3.0361790000000002</v>
      </c>
      <c r="T7476">
        <v>-0.41009089999999998</v>
      </c>
      <c r="U7476">
        <v>-0.20904539999999999</v>
      </c>
      <c r="V7476">
        <v>-2.144679E-3</v>
      </c>
      <c r="W7476">
        <v>0.10890660000000001</v>
      </c>
      <c r="X7476">
        <v>0.99404970000000004</v>
      </c>
      <c r="Y7476">
        <v>7.1647569999999994E-2</v>
      </c>
      <c r="Z7476">
        <v>-5.3011519999999999E-3</v>
      </c>
      <c r="AA7476">
        <v>0.99741590000000002</v>
      </c>
      <c r="AB7476">
        <v>9</v>
      </c>
      <c r="AC7476">
        <v>0.69290000000000795</v>
      </c>
      <c r="AD7476">
        <v>-0.105719999999999</v>
      </c>
      <c r="AE7476">
        <v>-5.4600000000021902E-2</v>
      </c>
      <c r="AF7476">
        <v>5.5835764113486397E-2</v>
      </c>
      <c r="AG7476">
        <v>-0.105719999999999</v>
      </c>
      <c r="AH7476">
        <v>0.67703248922758297</v>
      </c>
      <c r="AI7476">
        <v>98.845626201663293</v>
      </c>
      <c r="AJ7476">
        <v>85.285410815984903</v>
      </c>
      <c r="AK7476">
        <v>0.68750806717000301</v>
      </c>
      <c r="AL7476">
        <v>83.747710469613097</v>
      </c>
      <c r="AM7476">
        <v>90.123616419224703</v>
      </c>
      <c r="AN7476">
        <v>1.00000002662083</v>
      </c>
    </row>
    <row r="7477" spans="1:40" x14ac:dyDescent="0.25">
      <c r="A7477" t="str">
        <f>"20190312151210287"</f>
        <v>20190312151210287</v>
      </c>
      <c r="B7477" t="str">
        <f>"1552374730278758"</f>
        <v>1552374730278758</v>
      </c>
      <c r="C7477" t="s">
        <v>40</v>
      </c>
      <c r="D7477">
        <v>5.0961759999999998</v>
      </c>
      <c r="E7477">
        <v>0.53086029999999995</v>
      </c>
      <c r="F7477" t="s">
        <v>41</v>
      </c>
      <c r="G7477">
        <v>-131.12450000000001</v>
      </c>
      <c r="H7477">
        <v>1.0102799999999901</v>
      </c>
      <c r="I7477">
        <v>140.4726</v>
      </c>
      <c r="J7477">
        <v>-131.81270000000001</v>
      </c>
      <c r="K7477">
        <v>1.113785</v>
      </c>
      <c r="L7477">
        <v>140.52670000000001</v>
      </c>
      <c r="M7477">
        <v>0.99917290000000003</v>
      </c>
      <c r="N7477">
        <v>0</v>
      </c>
      <c r="O7477">
        <v>3.855425E-3</v>
      </c>
      <c r="P7477">
        <v>0.99759100000000001</v>
      </c>
      <c r="Q7477">
        <v>6.9199899999999995E-2</v>
      </c>
      <c r="R7477">
        <v>4.9037999999999998E-3</v>
      </c>
      <c r="S7477">
        <v>3.03627</v>
      </c>
      <c r="T7477">
        <v>-0.4080935</v>
      </c>
      <c r="U7477">
        <v>-0.21047969999999999</v>
      </c>
      <c r="V7477">
        <v>-1.0605670000000001E-3</v>
      </c>
      <c r="W7477">
        <v>0.109529</v>
      </c>
      <c r="X7477">
        <v>0.99398299999999995</v>
      </c>
      <c r="Y7477">
        <v>7.2322869999999997E-2</v>
      </c>
      <c r="Z7477">
        <v>-5.348546E-3</v>
      </c>
      <c r="AA7477">
        <v>0.99736689999999995</v>
      </c>
      <c r="AB7477">
        <v>9</v>
      </c>
      <c r="AC7477">
        <v>0.68819999999999404</v>
      </c>
      <c r="AD7477">
        <v>-0.103505</v>
      </c>
      <c r="AE7477">
        <v>-5.4100000000005297E-2</v>
      </c>
      <c r="AF7477">
        <v>5.5507213468223598E-2</v>
      </c>
      <c r="AG7477">
        <v>-0.103505</v>
      </c>
      <c r="AH7477">
        <v>0.67285949759588104</v>
      </c>
      <c r="AI7477">
        <v>98.716026332702896</v>
      </c>
      <c r="AJ7477">
        <v>85.2840912849218</v>
      </c>
      <c r="AK7477">
        <v>0.68303311726225102</v>
      </c>
      <c r="AL7477">
        <v>83.711834577790896</v>
      </c>
      <c r="AM7477">
        <v>90.061133832199204</v>
      </c>
      <c r="AN7477">
        <v>0.99999996546617997</v>
      </c>
    </row>
    <row r="7478" spans="1:40" x14ac:dyDescent="0.25">
      <c r="A7478" t="str">
        <f>"20190312151210309"</f>
        <v>20190312151210309</v>
      </c>
      <c r="B7478" t="str">
        <f>"1552374730299254"</f>
        <v>1552374730299254</v>
      </c>
      <c r="C7478" t="s">
        <v>40</v>
      </c>
      <c r="D7478">
        <v>5.0674190000000001</v>
      </c>
      <c r="E7478">
        <v>0.53122080000000005</v>
      </c>
      <c r="F7478" t="s">
        <v>41</v>
      </c>
      <c r="G7478">
        <v>-131.05199999999999</v>
      </c>
      <c r="H7478">
        <v>1.010761</v>
      </c>
      <c r="I7478">
        <v>140.47139999999999</v>
      </c>
      <c r="J7478">
        <v>-131.7347</v>
      </c>
      <c r="K7478">
        <v>1.1137680000000001</v>
      </c>
      <c r="L7478">
        <v>140.52719999999999</v>
      </c>
      <c r="M7478">
        <v>0.99918130000000005</v>
      </c>
      <c r="N7478">
        <v>0</v>
      </c>
      <c r="O7478">
        <v>4.0471309999999998E-3</v>
      </c>
      <c r="P7478">
        <v>0.99754019999999999</v>
      </c>
      <c r="Q7478">
        <v>6.9955970000000006E-2</v>
      </c>
      <c r="R7478">
        <v>4.4564560000000001E-3</v>
      </c>
      <c r="S7478">
        <v>3.0368650000000001</v>
      </c>
      <c r="T7478">
        <v>-0.41133999999999998</v>
      </c>
      <c r="U7478">
        <v>-0.22015380000000001</v>
      </c>
      <c r="V7478">
        <v>-4.2021160000000002E-4</v>
      </c>
      <c r="W7478">
        <v>0.1100541</v>
      </c>
      <c r="X7478">
        <v>0.99392550000000002</v>
      </c>
      <c r="Y7478">
        <v>7.5619469999999994E-2</v>
      </c>
      <c r="Z7478">
        <v>-5.6368629999999998E-3</v>
      </c>
      <c r="AA7478">
        <v>0.99712080000000003</v>
      </c>
      <c r="AB7478">
        <v>9</v>
      </c>
      <c r="AC7478">
        <v>0.68269999999998199</v>
      </c>
      <c r="AD7478">
        <v>-0.103007</v>
      </c>
      <c r="AE7478">
        <v>-5.5800000000004901E-2</v>
      </c>
      <c r="AF7478">
        <v>5.7269650150429403E-2</v>
      </c>
      <c r="AG7478">
        <v>-0.103007</v>
      </c>
      <c r="AH7478">
        <v>0.66737618087551798</v>
      </c>
      <c r="AI7478">
        <v>98.742518769592806</v>
      </c>
      <c r="AJ7478">
        <v>85.095284585024302</v>
      </c>
      <c r="AK7478">
        <v>0.677702900744378</v>
      </c>
      <c r="AL7478">
        <v>83.681565734365805</v>
      </c>
      <c r="AM7478">
        <v>90.024223495370506</v>
      </c>
      <c r="AN7478">
        <v>0.99999999052742405</v>
      </c>
    </row>
    <row r="7479" spans="1:40" x14ac:dyDescent="0.25">
      <c r="A7479" t="str">
        <f>"20190312151210331"</f>
        <v>20190312151210331</v>
      </c>
      <c r="B7479" t="str">
        <f>"1552374730328534"</f>
        <v>1552374730328534</v>
      </c>
      <c r="C7479" t="s">
        <v>40</v>
      </c>
      <c r="D7479">
        <v>5.0374800000000004</v>
      </c>
      <c r="E7479">
        <v>0.53168139999999997</v>
      </c>
      <c r="F7479" t="s">
        <v>41</v>
      </c>
      <c r="G7479">
        <v>-130.98339999999999</v>
      </c>
      <c r="H7479">
        <v>1.011512</v>
      </c>
      <c r="I7479">
        <v>140.47139999999999</v>
      </c>
      <c r="J7479">
        <v>-131.66149999999999</v>
      </c>
      <c r="K7479">
        <v>1.1137680000000001</v>
      </c>
      <c r="L7479">
        <v>140.52780000000001</v>
      </c>
      <c r="M7479">
        <v>0.99918799999999997</v>
      </c>
      <c r="N7479">
        <v>0</v>
      </c>
      <c r="O7479">
        <v>4.2257780000000003E-3</v>
      </c>
      <c r="P7479">
        <v>0.99748879999999995</v>
      </c>
      <c r="Q7479">
        <v>7.0727680000000001E-2</v>
      </c>
      <c r="R7479">
        <v>3.7472989999999999E-3</v>
      </c>
      <c r="S7479">
        <v>3.0374150000000002</v>
      </c>
      <c r="T7479">
        <v>-0.41355380000000003</v>
      </c>
      <c r="U7479">
        <v>-0.2249603</v>
      </c>
      <c r="V7479">
        <v>4.6876250000000002E-4</v>
      </c>
      <c r="W7479">
        <v>0.1106404</v>
      </c>
      <c r="X7479">
        <v>0.99386039999999998</v>
      </c>
      <c r="Y7479">
        <v>7.7329320000000007E-2</v>
      </c>
      <c r="Z7479">
        <v>-5.8054949999999999E-3</v>
      </c>
      <c r="AA7479">
        <v>0.99698869999999895</v>
      </c>
      <c r="AB7479">
        <v>8</v>
      </c>
      <c r="AC7479">
        <v>0.67810000000000004</v>
      </c>
      <c r="AD7479">
        <v>-0.102255999999999</v>
      </c>
      <c r="AE7479">
        <v>-5.6400000000024798E-2</v>
      </c>
      <c r="AF7479">
        <v>5.7958381066565597E-2</v>
      </c>
      <c r="AG7479">
        <v>-0.102255999999999</v>
      </c>
      <c r="AH7479">
        <v>0.66288498104063898</v>
      </c>
      <c r="AI7479">
        <v>98.7364576403115</v>
      </c>
      <c r="AJ7479">
        <v>85.003134321052201</v>
      </c>
      <c r="AK7479">
        <v>0.673225045256863</v>
      </c>
      <c r="AL7479">
        <v>83.647766911607206</v>
      </c>
      <c r="AM7479">
        <v>89.972975972427903</v>
      </c>
      <c r="AN7479">
        <v>1.0000000062693</v>
      </c>
    </row>
    <row r="7480" spans="1:40" x14ac:dyDescent="0.25">
      <c r="A7480" t="str">
        <f>"20190312151210354"</f>
        <v>20190312151210354</v>
      </c>
      <c r="B7480" t="str">
        <f>"1552374730349030"</f>
        <v>1552374730349030</v>
      </c>
      <c r="C7480" t="s">
        <v>40</v>
      </c>
      <c r="D7480">
        <v>5.0700450000000004</v>
      </c>
      <c r="E7480">
        <v>0.53198120000000004</v>
      </c>
      <c r="F7480" t="s">
        <v>41</v>
      </c>
      <c r="G7480">
        <v>-130.91919999999999</v>
      </c>
      <c r="H7480">
        <v>1.0117659999999999</v>
      </c>
      <c r="I7480">
        <v>140.47130000000001</v>
      </c>
      <c r="J7480">
        <v>-131.5917</v>
      </c>
      <c r="K7480">
        <v>1.1137760000000001</v>
      </c>
      <c r="L7480">
        <v>140.5283</v>
      </c>
      <c r="M7480">
        <v>0.99919279999999999</v>
      </c>
      <c r="N7480">
        <v>0</v>
      </c>
      <c r="O7480">
        <v>4.3990510000000002E-3</v>
      </c>
      <c r="P7480">
        <v>0.99747850000000005</v>
      </c>
      <c r="Q7480">
        <v>7.0911989999999994E-2</v>
      </c>
      <c r="R7480">
        <v>2.8916110000000001E-3</v>
      </c>
      <c r="S7480">
        <v>3.0380099999999999</v>
      </c>
      <c r="T7480">
        <v>-0.4175333</v>
      </c>
      <c r="U7480">
        <v>-0.2310181</v>
      </c>
      <c r="V7480">
        <v>1.500056E-3</v>
      </c>
      <c r="W7480">
        <v>0.1106877</v>
      </c>
      <c r="X7480">
        <v>0.99385409999999996</v>
      </c>
      <c r="Y7480">
        <v>7.9429219999999995E-2</v>
      </c>
      <c r="Z7480">
        <v>-6.0263879999999997E-3</v>
      </c>
      <c r="AA7480">
        <v>0.99682230000000005</v>
      </c>
      <c r="AB7480">
        <v>8</v>
      </c>
      <c r="AC7480">
        <v>0.67250000000001298</v>
      </c>
      <c r="AD7480">
        <v>-0.10201</v>
      </c>
      <c r="AE7480">
        <v>-5.6999999999987901E-2</v>
      </c>
      <c r="AF7480">
        <v>5.8620971604231902E-2</v>
      </c>
      <c r="AG7480">
        <v>-0.10201</v>
      </c>
      <c r="AH7480">
        <v>0.65722812727620605</v>
      </c>
      <c r="AI7480">
        <v>98.788279545886098</v>
      </c>
      <c r="AJ7480">
        <v>84.903033712472293</v>
      </c>
      <c r="AK7480">
        <v>0.66767602150654903</v>
      </c>
      <c r="AL7480">
        <v>83.645039998149002</v>
      </c>
      <c r="AM7480">
        <v>89.913521700450104</v>
      </c>
      <c r="AN7480">
        <v>0.999999994593051</v>
      </c>
    </row>
    <row r="7481" spans="1:40" x14ac:dyDescent="0.25">
      <c r="A7481" t="str">
        <f>"20190312151210377"</f>
        <v>20190312151210377</v>
      </c>
      <c r="B7481" t="str">
        <f>"1552374730368550"</f>
        <v>1552374730368550</v>
      </c>
      <c r="C7481" t="s">
        <v>40</v>
      </c>
      <c r="D7481">
        <v>5.0768620000000002</v>
      </c>
      <c r="E7481">
        <v>0.53213920000000003</v>
      </c>
      <c r="F7481" t="s">
        <v>41</v>
      </c>
      <c r="G7481">
        <v>-130.85900000000001</v>
      </c>
      <c r="H7481">
        <v>1.012205</v>
      </c>
      <c r="I7481">
        <v>140.47130000000001</v>
      </c>
      <c r="J7481">
        <v>-131.523</v>
      </c>
      <c r="K7481">
        <v>1.113445</v>
      </c>
      <c r="L7481">
        <v>140.52879999999999</v>
      </c>
      <c r="M7481">
        <v>0.99924959999999996</v>
      </c>
      <c r="N7481">
        <v>0</v>
      </c>
      <c r="O7481">
        <v>4.5860390000000001E-3</v>
      </c>
      <c r="P7481">
        <v>0.99735240000000003</v>
      </c>
      <c r="Q7481">
        <v>7.2701979999999999E-2</v>
      </c>
      <c r="R7481">
        <v>1.6868160000000001E-3</v>
      </c>
      <c r="S7481">
        <v>3.0382229999999999</v>
      </c>
      <c r="T7481">
        <v>-0.42130719999999999</v>
      </c>
      <c r="U7481">
        <v>-0.23576349999999999</v>
      </c>
      <c r="V7481">
        <v>2.8899199999999998E-3</v>
      </c>
      <c r="W7481">
        <v>0.1110071</v>
      </c>
      <c r="X7481">
        <v>0.99381540000000002</v>
      </c>
      <c r="Y7481">
        <v>8.112606E-2</v>
      </c>
      <c r="Z7481">
        <v>-6.2222379999999997E-3</v>
      </c>
      <c r="AA7481">
        <v>0.99668440000000003</v>
      </c>
      <c r="AB7481">
        <v>7</v>
      </c>
      <c r="AC7481">
        <v>0.66399999999998705</v>
      </c>
      <c r="AD7481">
        <v>-0.10124</v>
      </c>
      <c r="AE7481">
        <v>-5.7499999999976098E-2</v>
      </c>
      <c r="AF7481">
        <v>5.9181229352678701E-2</v>
      </c>
      <c r="AG7481">
        <v>-0.10124</v>
      </c>
      <c r="AH7481">
        <v>0.64875961352678102</v>
      </c>
      <c r="AI7481">
        <v>98.833468720218605</v>
      </c>
      <c r="AJ7481">
        <v>84.7877831809529</v>
      </c>
      <c r="AK7481">
        <v>0.65927307820895598</v>
      </c>
      <c r="AL7481">
        <v>83.626626211667997</v>
      </c>
      <c r="AM7481">
        <v>89.833389830322105</v>
      </c>
      <c r="AN7481">
        <v>0.99999998858258798</v>
      </c>
    </row>
    <row r="7482" spans="1:40" x14ac:dyDescent="0.25">
      <c r="A7482" t="str">
        <f>"20190312151210399"</f>
        <v>20190312151210399</v>
      </c>
      <c r="B7482" t="str">
        <f>"1552374730389046"</f>
        <v>1552374730389046</v>
      </c>
      <c r="C7482" t="s">
        <v>40</v>
      </c>
      <c r="D7482">
        <v>5.0322290000000001</v>
      </c>
      <c r="E7482">
        <v>0.53224150000000003</v>
      </c>
      <c r="F7482" t="s">
        <v>41</v>
      </c>
      <c r="G7482">
        <v>-130.79759999999999</v>
      </c>
      <c r="H7482">
        <v>1.013652</v>
      </c>
      <c r="I7482">
        <v>140.47110000000001</v>
      </c>
      <c r="J7482">
        <v>-131.45580000000001</v>
      </c>
      <c r="K7482">
        <v>1.112975</v>
      </c>
      <c r="L7482">
        <v>140.52930000000001</v>
      </c>
      <c r="M7482">
        <v>0.99933360000000004</v>
      </c>
      <c r="N7482">
        <v>0</v>
      </c>
      <c r="O7482">
        <v>4.7799130000000002E-3</v>
      </c>
      <c r="P7482">
        <v>0.99717319999999998</v>
      </c>
      <c r="Q7482">
        <v>7.5134690000000004E-2</v>
      </c>
      <c r="R7482">
        <v>8.6806299999999997E-4</v>
      </c>
      <c r="S7482">
        <v>3.0388639999999998</v>
      </c>
      <c r="T7482">
        <v>-0.41808509999999999</v>
      </c>
      <c r="U7482">
        <v>-0.24121090000000001</v>
      </c>
      <c r="V7482">
        <v>3.898608E-3</v>
      </c>
      <c r="W7482">
        <v>0.11117489999999999</v>
      </c>
      <c r="X7482">
        <v>0.99379320000000004</v>
      </c>
      <c r="Y7482">
        <v>8.3071160000000005E-2</v>
      </c>
      <c r="Z7482">
        <v>-6.3328239999999999E-3</v>
      </c>
      <c r="AA7482">
        <v>0.99652350000000001</v>
      </c>
      <c r="AB7482">
        <v>7</v>
      </c>
      <c r="AC7482">
        <v>0.65820000000002199</v>
      </c>
      <c r="AD7482">
        <v>-9.9322999999999995E-2</v>
      </c>
      <c r="AE7482">
        <v>-5.8199999999999301E-2</v>
      </c>
      <c r="AF7482">
        <v>5.9992048415636302E-2</v>
      </c>
      <c r="AG7482">
        <v>-9.9322999999999995E-2</v>
      </c>
      <c r="AH7482">
        <v>0.64337734877458697</v>
      </c>
      <c r="AI7482">
        <v>98.738582337716295</v>
      </c>
      <c r="AJ7482">
        <v>84.672829662633504</v>
      </c>
      <c r="AK7482">
        <v>0.65375723102564698</v>
      </c>
      <c r="AL7482">
        <v>83.616952114468404</v>
      </c>
      <c r="AM7482">
        <v>89.775232273163596</v>
      </c>
      <c r="AN7482">
        <v>0.99999999095029302</v>
      </c>
    </row>
    <row r="7483" spans="1:40" x14ac:dyDescent="0.25">
      <c r="A7483" t="str">
        <f>"20190312151210421"</f>
        <v>20190312151210421</v>
      </c>
      <c r="B7483" t="str">
        <f>"1552374730418326"</f>
        <v>1552374730418326</v>
      </c>
      <c r="C7483" t="s">
        <v>40</v>
      </c>
      <c r="D7483">
        <v>5.0636260000000002</v>
      </c>
      <c r="E7483">
        <v>0.53222409999999998</v>
      </c>
      <c r="F7483" t="s">
        <v>41</v>
      </c>
      <c r="G7483">
        <v>-130.6808</v>
      </c>
      <c r="H7483">
        <v>1.007258</v>
      </c>
      <c r="I7483">
        <v>140.46680000000001</v>
      </c>
      <c r="J7483">
        <v>-131.3904</v>
      </c>
      <c r="K7483">
        <v>1.1127370000000001</v>
      </c>
      <c r="L7483">
        <v>140.5299</v>
      </c>
      <c r="M7483">
        <v>0.99939129999999998</v>
      </c>
      <c r="N7483">
        <v>0</v>
      </c>
      <c r="O7483">
        <v>4.9615869999999999E-3</v>
      </c>
      <c r="P7483">
        <v>0.99706479999999997</v>
      </c>
      <c r="Q7483">
        <v>7.6564170000000001E-2</v>
      </c>
      <c r="R7483">
        <v>1.452302E-4</v>
      </c>
      <c r="S7483">
        <v>3.0399780000000001</v>
      </c>
      <c r="T7483">
        <v>-0.41476940000000001</v>
      </c>
      <c r="U7483">
        <v>-0.24504090000000001</v>
      </c>
      <c r="V7483">
        <v>4.8013259999999999E-3</v>
      </c>
      <c r="W7483">
        <v>0.1109503</v>
      </c>
      <c r="X7483">
        <v>0.99381430000000004</v>
      </c>
      <c r="Y7483">
        <v>8.4469710000000003E-2</v>
      </c>
      <c r="Z7483">
        <v>-6.3999069999999998E-3</v>
      </c>
      <c r="AA7483">
        <v>0.99640550000000006</v>
      </c>
      <c r="AB7483">
        <v>7</v>
      </c>
      <c r="AC7483">
        <v>0.70959999999999401</v>
      </c>
      <c r="AD7483">
        <v>-0.105479</v>
      </c>
      <c r="AE7483">
        <v>-6.3099999999991496E-2</v>
      </c>
      <c r="AF7483">
        <v>6.5192893700821306E-2</v>
      </c>
      <c r="AG7483">
        <v>-0.105479</v>
      </c>
      <c r="AH7483">
        <v>0.69406261147229997</v>
      </c>
      <c r="AI7483">
        <v>98.604006885010605</v>
      </c>
      <c r="AJ7483">
        <v>84.633985078785102</v>
      </c>
      <c r="AK7483">
        <v>0.70505236789463799</v>
      </c>
      <c r="AL7483">
        <v>83.629900544295197</v>
      </c>
      <c r="AM7483">
        <v>89.723194186683301</v>
      </c>
      <c r="AN7483">
        <v>0.99999994234296696</v>
      </c>
    </row>
    <row r="7484" spans="1:40" x14ac:dyDescent="0.25">
      <c r="A7484" t="str">
        <f>"20190312151210443"</f>
        <v>20190312151210443</v>
      </c>
      <c r="B7484" t="str">
        <f>"1552374730438833"</f>
        <v>1552374730438833</v>
      </c>
      <c r="C7484" t="s">
        <v>40</v>
      </c>
      <c r="D7484">
        <v>5.0650130000000004</v>
      </c>
      <c r="E7484">
        <v>0.53235440000000001</v>
      </c>
      <c r="F7484" t="s">
        <v>41</v>
      </c>
      <c r="G7484">
        <v>-130.6266</v>
      </c>
      <c r="H7484">
        <v>1.0086200000000001</v>
      </c>
      <c r="I7484">
        <v>140.4675</v>
      </c>
      <c r="J7484">
        <v>-131.33260000000001</v>
      </c>
      <c r="K7484">
        <v>1.1129199999999999</v>
      </c>
      <c r="L7484">
        <v>140.53030000000001</v>
      </c>
      <c r="M7484">
        <v>0.99939509999999998</v>
      </c>
      <c r="N7484">
        <v>0</v>
      </c>
      <c r="O7484">
        <v>5.111834E-3</v>
      </c>
      <c r="P7484">
        <v>0.99709020000000004</v>
      </c>
      <c r="Q7484">
        <v>7.6226440000000006E-2</v>
      </c>
      <c r="R7484">
        <v>-7.7702149999999998E-4</v>
      </c>
      <c r="S7484">
        <v>3.0407099999999998</v>
      </c>
      <c r="T7484">
        <v>-0.41461300000000001</v>
      </c>
      <c r="U7484">
        <v>-0.2476807</v>
      </c>
      <c r="V7484">
        <v>5.8767539999999997E-3</v>
      </c>
      <c r="W7484">
        <v>0.1104811</v>
      </c>
      <c r="X7484">
        <v>0.99386079999999999</v>
      </c>
      <c r="Y7484">
        <v>8.5450280000000003E-2</v>
      </c>
      <c r="Z7484">
        <v>-6.4825789999999996E-3</v>
      </c>
      <c r="AA7484">
        <v>0.99632129999999997</v>
      </c>
      <c r="AB7484">
        <v>7</v>
      </c>
      <c r="AC7484">
        <v>0.70600000000001695</v>
      </c>
      <c r="AD7484">
        <v>-0.1043</v>
      </c>
      <c r="AE7484">
        <v>-6.2800000000009903E-2</v>
      </c>
      <c r="AF7484">
        <v>6.5002707403606197E-2</v>
      </c>
      <c r="AG7484">
        <v>-0.1043</v>
      </c>
      <c r="AH7484">
        <v>0.69071291331601103</v>
      </c>
      <c r="AI7484">
        <v>98.549767371783801</v>
      </c>
      <c r="AJ7484">
        <v>84.623752292264797</v>
      </c>
      <c r="AK7484">
        <v>0.70156123794811398</v>
      </c>
      <c r="AL7484">
        <v>83.656950069940393</v>
      </c>
      <c r="AM7484">
        <v>89.661210828303496</v>
      </c>
      <c r="AN7484">
        <v>0.99999994973571205</v>
      </c>
    </row>
    <row r="7485" spans="1:40" x14ac:dyDescent="0.25">
      <c r="A7485" t="str">
        <f>"20190312151210466"</f>
        <v>20190312151210466</v>
      </c>
      <c r="B7485" t="str">
        <f>"1552374730458538"</f>
        <v>1552374730458538</v>
      </c>
      <c r="C7485" t="s">
        <v>40</v>
      </c>
      <c r="D7485">
        <v>5.0803500000000001</v>
      </c>
      <c r="E7485">
        <v>0.53235589999999999</v>
      </c>
      <c r="F7485" t="s">
        <v>41</v>
      </c>
      <c r="G7485">
        <v>-130.57839999999999</v>
      </c>
      <c r="H7485">
        <v>1.009196</v>
      </c>
      <c r="I7485">
        <v>140.46770000000001</v>
      </c>
      <c r="J7485">
        <v>-131.2808</v>
      </c>
      <c r="K7485">
        <v>1.113264</v>
      </c>
      <c r="L7485">
        <v>140.5308</v>
      </c>
      <c r="M7485">
        <v>0.99937109999999996</v>
      </c>
      <c r="N7485">
        <v>0</v>
      </c>
      <c r="O7485">
        <v>5.2415370000000001E-3</v>
      </c>
      <c r="P7485">
        <v>0.99715540000000003</v>
      </c>
      <c r="Q7485">
        <v>7.5361189999999995E-2</v>
      </c>
      <c r="R7485">
        <v>-1.514495E-3</v>
      </c>
      <c r="S7485">
        <v>3.0405579999999999</v>
      </c>
      <c r="T7485">
        <v>-0.4182843</v>
      </c>
      <c r="U7485">
        <v>-0.2517395</v>
      </c>
      <c r="V7485">
        <v>6.7484719999999897E-3</v>
      </c>
      <c r="W7485">
        <v>0.1102877</v>
      </c>
      <c r="X7485">
        <v>0.9938768</v>
      </c>
      <c r="Y7485">
        <v>8.6875469999999996E-2</v>
      </c>
      <c r="Z7485">
        <v>-6.6545880000000003E-3</v>
      </c>
      <c r="AA7485">
        <v>0.99619690000000005</v>
      </c>
      <c r="AB7485">
        <v>6</v>
      </c>
      <c r="AC7485">
        <v>0.70240000000001102</v>
      </c>
      <c r="AD7485">
        <v>-0.10406799999999999</v>
      </c>
      <c r="AE7485">
        <v>-6.3099999999991496E-2</v>
      </c>
      <c r="AF7485">
        <v>6.5359790626503697E-2</v>
      </c>
      <c r="AG7485">
        <v>-0.10406799999999999</v>
      </c>
      <c r="AH7485">
        <v>0.68709728539777903</v>
      </c>
      <c r="AI7485">
        <v>98.574451926905795</v>
      </c>
      <c r="AJ7485">
        <v>84.566117657139699</v>
      </c>
      <c r="AK7485">
        <v>0.69800052324889905</v>
      </c>
      <c r="AL7485">
        <v>83.668099565422693</v>
      </c>
      <c r="AM7485">
        <v>89.6109648382442</v>
      </c>
      <c r="AN7485">
        <v>1.0000000061119301</v>
      </c>
    </row>
    <row r="7486" spans="1:40" x14ac:dyDescent="0.25">
      <c r="A7486" t="str">
        <f>"20190312151210488"</f>
        <v>20190312151210488</v>
      </c>
      <c r="B7486" t="str">
        <f>"1552374730479034"</f>
        <v>1552374730479034</v>
      </c>
      <c r="C7486" t="s">
        <v>40</v>
      </c>
      <c r="D7486">
        <v>5.0580769999999999</v>
      </c>
      <c r="E7486">
        <v>0.53230549999999999</v>
      </c>
      <c r="F7486" t="s">
        <v>41</v>
      </c>
      <c r="G7486">
        <v>-130.53550000000001</v>
      </c>
      <c r="H7486">
        <v>1.0097560000000001</v>
      </c>
      <c r="I7486">
        <v>140.4682</v>
      </c>
      <c r="J7486">
        <v>-131.2363</v>
      </c>
      <c r="K7486">
        <v>1.1135999999999999</v>
      </c>
      <c r="L7486">
        <v>140.53120000000001</v>
      </c>
      <c r="M7486">
        <v>0.999336</v>
      </c>
      <c r="N7486">
        <v>0</v>
      </c>
      <c r="O7486">
        <v>5.3468369999999897E-3</v>
      </c>
      <c r="P7486">
        <v>0.99720759999999997</v>
      </c>
      <c r="Q7486">
        <v>7.4649590000000002E-2</v>
      </c>
      <c r="R7486">
        <v>-2.1975470000000002E-3</v>
      </c>
      <c r="S7486">
        <v>3.0400849999999999</v>
      </c>
      <c r="T7486">
        <v>-0.42236259999999998</v>
      </c>
      <c r="U7486">
        <v>-0.25451659999999998</v>
      </c>
      <c r="V7486">
        <v>7.5413829999999996E-3</v>
      </c>
      <c r="W7486">
        <v>0.11054460000000001</v>
      </c>
      <c r="X7486">
        <v>0.99384249999999996</v>
      </c>
      <c r="Y7486">
        <v>8.7869569999999994E-2</v>
      </c>
      <c r="Z7486">
        <v>-6.8028189999999999E-3</v>
      </c>
      <c r="AA7486">
        <v>0.99610880000000002</v>
      </c>
      <c r="AB7486">
        <v>5</v>
      </c>
      <c r="AC7486">
        <v>0.70079999999998599</v>
      </c>
      <c r="AD7486">
        <v>-0.10384400000000001</v>
      </c>
      <c r="AE7486">
        <v>-6.3000000000016598E-2</v>
      </c>
      <c r="AF7486">
        <v>6.5325734059538204E-2</v>
      </c>
      <c r="AG7486">
        <v>-0.10384400000000001</v>
      </c>
      <c r="AH7486">
        <v>0.68552151557726504</v>
      </c>
      <c r="AI7486">
        <v>98.575510431318307</v>
      </c>
      <c r="AJ7486">
        <v>84.556522929347906</v>
      </c>
      <c r="AK7486">
        <v>0.69641279151503799</v>
      </c>
      <c r="AL7486">
        <v>83.653289353291498</v>
      </c>
      <c r="AM7486">
        <v>89.565241851969901</v>
      </c>
      <c r="AN7486">
        <v>0.99999994792647995</v>
      </c>
    </row>
    <row r="7487" spans="1:40" x14ac:dyDescent="0.25">
      <c r="A7487" t="str">
        <f>"20190312151210510"</f>
        <v>20190312151210510</v>
      </c>
      <c r="B7487" t="str">
        <f>"1552374730498554"</f>
        <v>1552374730498554</v>
      </c>
      <c r="C7487" t="s">
        <v>40</v>
      </c>
      <c r="D7487">
        <v>5.0516649999999998</v>
      </c>
      <c r="E7487">
        <v>0.53232349999999995</v>
      </c>
      <c r="F7487" t="s">
        <v>41</v>
      </c>
      <c r="G7487">
        <v>-130.49780000000001</v>
      </c>
      <c r="H7487">
        <v>1.010232</v>
      </c>
      <c r="I7487">
        <v>140.46879999999999</v>
      </c>
      <c r="J7487">
        <v>-131.19829999999999</v>
      </c>
      <c r="K7487">
        <v>1.113861</v>
      </c>
      <c r="L7487">
        <v>140.53149999999999</v>
      </c>
      <c r="M7487">
        <v>0.99930010000000002</v>
      </c>
      <c r="N7487">
        <v>0</v>
      </c>
      <c r="O7487">
        <v>5.4258459999999998E-3</v>
      </c>
      <c r="P7487">
        <v>0.99730669999999999</v>
      </c>
      <c r="Q7487">
        <v>7.3296879999999995E-2</v>
      </c>
      <c r="R7487">
        <v>-2.6781000000000001E-3</v>
      </c>
      <c r="S7487">
        <v>3.0396730000000001</v>
      </c>
      <c r="T7487">
        <v>-0.42558479999999999</v>
      </c>
      <c r="U7487">
        <v>-0.25634770000000001</v>
      </c>
      <c r="V7487">
        <v>8.1049290000000003E-3</v>
      </c>
      <c r="W7487">
        <v>0.1101607</v>
      </c>
      <c r="X7487">
        <v>0.99388069999999895</v>
      </c>
      <c r="Y7487">
        <v>8.8534619999999994E-2</v>
      </c>
      <c r="Z7487">
        <v>-6.9122430000000002E-3</v>
      </c>
      <c r="AA7487">
        <v>0.99604910000000002</v>
      </c>
      <c r="AB7487">
        <v>5</v>
      </c>
      <c r="AC7487">
        <v>0.70049999999997603</v>
      </c>
      <c r="AD7487">
        <v>-0.103628999999999</v>
      </c>
      <c r="AE7487">
        <v>-6.2700000000006598E-2</v>
      </c>
      <c r="AF7487">
        <v>6.5089329272704E-2</v>
      </c>
      <c r="AG7487">
        <v>-0.103628999999999</v>
      </c>
      <c r="AH7487">
        <v>0.68527128224718703</v>
      </c>
      <c r="AI7487">
        <v>98.561344157231204</v>
      </c>
      <c r="AJ7487">
        <v>84.574135660762096</v>
      </c>
      <c r="AK7487">
        <v>0.69611229029437105</v>
      </c>
      <c r="AL7487">
        <v>83.675420432111295</v>
      </c>
      <c r="AM7487">
        <v>89.532772966161204</v>
      </c>
      <c r="AN7487">
        <v>0.99999995776553596</v>
      </c>
    </row>
    <row r="7488" spans="1:40" x14ac:dyDescent="0.25">
      <c r="A7488" t="str">
        <f>"20190312151210532"</f>
        <v>20190312151210532</v>
      </c>
      <c r="B7488" t="str">
        <f>"1552374730528809"</f>
        <v>1552374730528809</v>
      </c>
      <c r="C7488" t="s">
        <v>40</v>
      </c>
      <c r="D7488">
        <v>5.0811390000000003</v>
      </c>
      <c r="E7488">
        <v>0.53230339999999998</v>
      </c>
      <c r="F7488" t="s">
        <v>41</v>
      </c>
      <c r="G7488">
        <v>-130.46559999999999</v>
      </c>
      <c r="H7488">
        <v>1.009666</v>
      </c>
      <c r="I7488">
        <v>140.4691</v>
      </c>
      <c r="J7488">
        <v>-131.16550000000001</v>
      </c>
      <c r="K7488">
        <v>1.1140429999999999</v>
      </c>
      <c r="L7488">
        <v>140.5317</v>
      </c>
      <c r="M7488">
        <v>0.99926649999999995</v>
      </c>
      <c r="N7488">
        <v>0</v>
      </c>
      <c r="O7488">
        <v>5.4803100000000004E-3</v>
      </c>
      <c r="P7488">
        <v>0.99739750000000005</v>
      </c>
      <c r="Q7488">
        <v>7.2028140000000004E-2</v>
      </c>
      <c r="R7488">
        <v>-3.1914109999999999E-3</v>
      </c>
      <c r="S7488">
        <v>3.0391689999999998</v>
      </c>
      <c r="T7488">
        <v>-0.43229679999999998</v>
      </c>
      <c r="U7488">
        <v>-0.25808720000000002</v>
      </c>
      <c r="V7488">
        <v>8.6754499999999995E-3</v>
      </c>
      <c r="W7488">
        <v>0.10977679999999999</v>
      </c>
      <c r="X7488">
        <v>0.99391839999999998</v>
      </c>
      <c r="Y7488">
        <v>8.9133340000000005E-2</v>
      </c>
      <c r="Z7488">
        <v>-7.0711840000000003E-3</v>
      </c>
      <c r="AA7488">
        <v>0.99599459999999995</v>
      </c>
      <c r="AB7488">
        <v>4</v>
      </c>
      <c r="AC7488">
        <v>0.69990000000001296</v>
      </c>
      <c r="AD7488">
        <v>-0.104377</v>
      </c>
      <c r="AE7488">
        <v>-6.2600000000003306E-2</v>
      </c>
      <c r="AF7488">
        <v>6.5003276321237494E-2</v>
      </c>
      <c r="AG7488">
        <v>-0.104377</v>
      </c>
      <c r="AH7488">
        <v>0.68444481487548103</v>
      </c>
      <c r="AI7488">
        <v>98.632478336402201</v>
      </c>
      <c r="AJ7488">
        <v>84.574762225963696</v>
      </c>
      <c r="AK7488">
        <v>0.69540253714767797</v>
      </c>
      <c r="AL7488">
        <v>83.697550752601302</v>
      </c>
      <c r="AM7488">
        <v>89.499904572080297</v>
      </c>
      <c r="AN7488">
        <v>0.999999997554751</v>
      </c>
    </row>
    <row r="7489" spans="1:40" x14ac:dyDescent="0.25">
      <c r="A7489" t="str">
        <f>"20190312151210555"</f>
        <v>20190312151210555</v>
      </c>
      <c r="B7489" t="str">
        <f>"1552374730548837"</f>
        <v>1552374730548837</v>
      </c>
      <c r="C7489" t="s">
        <v>40</v>
      </c>
      <c r="D7489">
        <v>5.0756170000000003</v>
      </c>
      <c r="E7489">
        <v>0.53229409999999999</v>
      </c>
      <c r="F7489" t="s">
        <v>41</v>
      </c>
      <c r="G7489">
        <v>-130.4384</v>
      </c>
      <c r="H7489">
        <v>1.0085999999999999</v>
      </c>
      <c r="I7489">
        <v>140.46960000000001</v>
      </c>
      <c r="J7489">
        <v>-131.13820000000001</v>
      </c>
      <c r="K7489">
        <v>1.1141589999999999</v>
      </c>
      <c r="L7489">
        <v>140.53190000000001</v>
      </c>
      <c r="M7489">
        <v>0.99923629999999997</v>
      </c>
      <c r="N7489">
        <v>0</v>
      </c>
      <c r="O7489">
        <v>5.5089600000000002E-3</v>
      </c>
      <c r="P7489">
        <v>0.99745790000000001</v>
      </c>
      <c r="Q7489">
        <v>7.1181079999999994E-2</v>
      </c>
      <c r="R7489">
        <v>-3.334928E-3</v>
      </c>
      <c r="S7489">
        <v>3.038834</v>
      </c>
      <c r="T7489">
        <v>-0.44075160000000002</v>
      </c>
      <c r="U7489">
        <v>-0.2593994</v>
      </c>
      <c r="V7489">
        <v>8.8500639999999995E-3</v>
      </c>
      <c r="W7489">
        <v>0.1097129</v>
      </c>
      <c r="X7489">
        <v>0.99392389999999997</v>
      </c>
      <c r="Y7489">
        <v>8.9556300000000005E-2</v>
      </c>
      <c r="Z7489">
        <v>-7.2433389999999997E-3</v>
      </c>
      <c r="AA7489">
        <v>0.99595540000000005</v>
      </c>
      <c r="AB7489">
        <v>4</v>
      </c>
      <c r="AC7489">
        <v>0.69980000000000997</v>
      </c>
      <c r="AD7489">
        <v>-0.105559</v>
      </c>
      <c r="AE7489">
        <v>-6.2299999999993298E-2</v>
      </c>
      <c r="AF7489">
        <v>6.4696630357489099E-2</v>
      </c>
      <c r="AG7489">
        <v>-0.105559</v>
      </c>
      <c r="AH7489">
        <v>0.68400496914662101</v>
      </c>
      <c r="AI7489">
        <v>98.7345773240596</v>
      </c>
      <c r="AJ7489">
        <v>84.596751805016495</v>
      </c>
      <c r="AK7489">
        <v>0.69511952517382503</v>
      </c>
      <c r="AL7489">
        <v>83.701234100346099</v>
      </c>
      <c r="AM7489">
        <v>89.489842315546994</v>
      </c>
      <c r="AN7489">
        <v>0.99999998152521097</v>
      </c>
    </row>
    <row r="7490" spans="1:40" x14ac:dyDescent="0.25">
      <c r="A7490" t="str">
        <f>"20190312151210579"</f>
        <v>20190312151210579</v>
      </c>
      <c r="B7490" t="str">
        <f>"1552374730568357"</f>
        <v>1552374730568357</v>
      </c>
      <c r="C7490" t="s">
        <v>40</v>
      </c>
      <c r="D7490">
        <v>5.0516249999999996</v>
      </c>
      <c r="E7490">
        <v>0.53227290000000005</v>
      </c>
      <c r="F7490" t="s">
        <v>41</v>
      </c>
      <c r="G7490">
        <v>-130.41560000000001</v>
      </c>
      <c r="H7490">
        <v>1.0081739999999999</v>
      </c>
      <c r="I7490">
        <v>140.47</v>
      </c>
      <c r="J7490">
        <v>-131.11709999999999</v>
      </c>
      <c r="K7490">
        <v>1.114225</v>
      </c>
      <c r="L7490">
        <v>140.53210000000001</v>
      </c>
      <c r="M7490">
        <v>0.99920889999999996</v>
      </c>
      <c r="N7490">
        <v>0</v>
      </c>
      <c r="O7490">
        <v>5.5198599999999997E-3</v>
      </c>
      <c r="P7490">
        <v>0.99755039999999995</v>
      </c>
      <c r="Q7490">
        <v>6.9834960000000001E-2</v>
      </c>
      <c r="R7490">
        <v>-4.0173439999999999E-3</v>
      </c>
      <c r="S7490">
        <v>3.0386199999999999</v>
      </c>
      <c r="T7490">
        <v>-0.44580150000000002</v>
      </c>
      <c r="U7490">
        <v>-0.25968930000000001</v>
      </c>
      <c r="V7490">
        <v>9.5462970000000005E-3</v>
      </c>
      <c r="W7490">
        <v>0.10906540000000001</v>
      </c>
      <c r="X7490">
        <v>0.99398880000000001</v>
      </c>
      <c r="Y7490">
        <v>8.9643749999999994E-2</v>
      </c>
      <c r="Z7490">
        <v>-7.3339210000000002E-3</v>
      </c>
      <c r="AA7490">
        <v>0.99594689999999997</v>
      </c>
      <c r="AB7490">
        <v>3</v>
      </c>
      <c r="AC7490">
        <v>0.70149999999998103</v>
      </c>
      <c r="AD7490">
        <v>-0.10605100000000001</v>
      </c>
      <c r="AE7490">
        <v>-6.2100000000015101E-2</v>
      </c>
      <c r="AF7490">
        <v>6.4511322761914194E-2</v>
      </c>
      <c r="AG7490">
        <v>-0.10605100000000001</v>
      </c>
      <c r="AH7490">
        <v>0.68559897416654902</v>
      </c>
      <c r="AI7490">
        <v>98.754966747341797</v>
      </c>
      <c r="AJ7490">
        <v>84.624590099080507</v>
      </c>
      <c r="AK7490">
        <v>0.69674563417628699</v>
      </c>
      <c r="AL7490">
        <v>83.738557612019093</v>
      </c>
      <c r="AM7490">
        <v>89.449746604574997</v>
      </c>
      <c r="AN7490">
        <v>1.0000000638944999</v>
      </c>
    </row>
    <row r="7491" spans="1:40" x14ac:dyDescent="0.25">
      <c r="A7491" t="str">
        <f>"20190312151210600"</f>
        <v>20190312151210600</v>
      </c>
      <c r="B7491" t="str">
        <f>"1552374730588852"</f>
        <v>1552374730588852</v>
      </c>
      <c r="C7491" t="s">
        <v>40</v>
      </c>
      <c r="D7491">
        <v>4.9938129999999896</v>
      </c>
      <c r="E7491">
        <v>0.53219399999999994</v>
      </c>
      <c r="F7491" t="s">
        <v>41</v>
      </c>
      <c r="G7491">
        <v>-130.3854</v>
      </c>
      <c r="H7491">
        <v>1.005428</v>
      </c>
      <c r="I7491">
        <v>140.46889999999999</v>
      </c>
      <c r="J7491">
        <v>-131.10329999999999</v>
      </c>
      <c r="K7491">
        <v>1.1142559999999999</v>
      </c>
      <c r="L7491">
        <v>140.53219999999999</v>
      </c>
      <c r="M7491">
        <v>0.99918720000000005</v>
      </c>
      <c r="N7491">
        <v>0</v>
      </c>
      <c r="O7491">
        <v>5.5157820000000003E-3</v>
      </c>
      <c r="P7491">
        <v>0.99761160000000004</v>
      </c>
      <c r="Q7491">
        <v>6.8925070000000005E-2</v>
      </c>
      <c r="R7491">
        <v>-4.550241E-3</v>
      </c>
      <c r="S7491">
        <v>3.0379489999999998</v>
      </c>
      <c r="T7491">
        <v>-0.45189230000000002</v>
      </c>
      <c r="U7491">
        <v>-0.261795</v>
      </c>
      <c r="V7491">
        <v>1.0076969999999999E-2</v>
      </c>
      <c r="W7491">
        <v>0.1087037</v>
      </c>
      <c r="X7491">
        <v>0.99402310000000005</v>
      </c>
      <c r="Y7491">
        <v>9.0308490000000005E-2</v>
      </c>
      <c r="Z7491">
        <v>-7.4829409999999999E-3</v>
      </c>
      <c r="AA7491">
        <v>0.99588569999999998</v>
      </c>
      <c r="AB7491">
        <v>2</v>
      </c>
      <c r="AC7491">
        <v>0.71789999999998599</v>
      </c>
      <c r="AD7491">
        <v>-0.10882799999999899</v>
      </c>
      <c r="AE7491">
        <v>-6.3299999999998094E-2</v>
      </c>
      <c r="AF7491">
        <v>6.5762403072202297E-2</v>
      </c>
      <c r="AG7491">
        <v>-0.10882799999999899</v>
      </c>
      <c r="AH7491">
        <v>0.70154243627756896</v>
      </c>
      <c r="AI7491">
        <v>98.779937583640901</v>
      </c>
      <c r="AJ7491">
        <v>84.644757893397795</v>
      </c>
      <c r="AK7491">
        <v>0.71297266226700295</v>
      </c>
      <c r="AL7491">
        <v>83.759404931015396</v>
      </c>
      <c r="AM7491">
        <v>89.419180425713293</v>
      </c>
      <c r="AN7491">
        <v>0.99999998152584002</v>
      </c>
    </row>
    <row r="7492" spans="1:40" x14ac:dyDescent="0.25">
      <c r="A7492" t="str">
        <f>"20190312151210623"</f>
        <v>20190312151210623</v>
      </c>
      <c r="B7492" t="str">
        <f>"1552374730619109"</f>
        <v>1552374730619109</v>
      </c>
      <c r="C7492" t="s">
        <v>40</v>
      </c>
      <c r="D7492">
        <v>5.0321490000000004</v>
      </c>
      <c r="E7492">
        <v>0.532099199999999</v>
      </c>
      <c r="F7492" t="s">
        <v>41</v>
      </c>
      <c r="G7492">
        <v>-130.3766</v>
      </c>
      <c r="H7492">
        <v>1.0049349999999999</v>
      </c>
      <c r="I7492">
        <v>140.4692</v>
      </c>
      <c r="J7492">
        <v>-131.09370000000001</v>
      </c>
      <c r="K7492">
        <v>1.1142030000000001</v>
      </c>
      <c r="L7492">
        <v>140.53219999999999</v>
      </c>
      <c r="M7492">
        <v>0.99917849999999997</v>
      </c>
      <c r="N7492">
        <v>0</v>
      </c>
      <c r="O7492">
        <v>5.5009430000000003E-3</v>
      </c>
      <c r="P7492">
        <v>0.99767039999999996</v>
      </c>
      <c r="Q7492">
        <v>6.8008830000000006E-2</v>
      </c>
      <c r="R7492">
        <v>-5.354518E-3</v>
      </c>
      <c r="S7492">
        <v>3.0375670000000001</v>
      </c>
      <c r="T7492">
        <v>-0.45707989999999998</v>
      </c>
      <c r="U7492">
        <v>-0.26254270000000002</v>
      </c>
      <c r="V7492">
        <v>1.086618E-2</v>
      </c>
      <c r="W7492">
        <v>0.108005</v>
      </c>
      <c r="X7492">
        <v>0.99409099999999995</v>
      </c>
      <c r="Y7492">
        <v>9.0521260000000006E-2</v>
      </c>
      <c r="Z7492">
        <v>-7.5824339999999999E-3</v>
      </c>
      <c r="AA7492">
        <v>0.99586560000000002</v>
      </c>
      <c r="AB7492">
        <v>1</v>
      </c>
      <c r="AC7492">
        <v>0.71710000000001595</v>
      </c>
      <c r="AD7492">
        <v>-0.109267999999999</v>
      </c>
      <c r="AE7492">
        <v>-6.2999999999988093E-2</v>
      </c>
      <c r="AF7492">
        <v>6.5439218225148393E-2</v>
      </c>
      <c r="AG7492">
        <v>-0.109267999999999</v>
      </c>
      <c r="AH7492">
        <v>0.70060028003017005</v>
      </c>
      <c r="AI7492">
        <v>98.826816874983095</v>
      </c>
      <c r="AJ7492">
        <v>84.663798859716493</v>
      </c>
      <c r="AK7492">
        <v>0.71208323915415395</v>
      </c>
      <c r="AL7492">
        <v>83.799674921406506</v>
      </c>
      <c r="AM7492">
        <v>89.373737958283002</v>
      </c>
      <c r="AN7492">
        <v>1.0000000350868901</v>
      </c>
    </row>
    <row r="7493" spans="1:40" x14ac:dyDescent="0.25">
      <c r="A7493" t="str">
        <f>"20190312151210645"</f>
        <v>20190312151210645</v>
      </c>
      <c r="B7493" t="str">
        <f>"1552374730638632"</f>
        <v>1552374730638632</v>
      </c>
      <c r="C7493" t="s">
        <v>40</v>
      </c>
      <c r="D7493">
        <v>5.2501550000000003</v>
      </c>
      <c r="E7493">
        <v>0.53202099999999997</v>
      </c>
      <c r="F7493" t="s">
        <v>41</v>
      </c>
      <c r="G7493">
        <v>-130.37010000000001</v>
      </c>
      <c r="H7493">
        <v>1.003979</v>
      </c>
      <c r="I7493">
        <v>140.4691</v>
      </c>
      <c r="J7493">
        <v>-131.08529999999999</v>
      </c>
      <c r="K7493">
        <v>1.1138680000000001</v>
      </c>
      <c r="L7493">
        <v>140.53219999999999</v>
      </c>
      <c r="M7493">
        <v>0.9992181</v>
      </c>
      <c r="N7493">
        <v>0</v>
      </c>
      <c r="O7493">
        <v>5.4961960000000001E-3</v>
      </c>
      <c r="P7493">
        <v>0.99761770000000005</v>
      </c>
      <c r="Q7493">
        <v>6.8706740000000002E-2</v>
      </c>
      <c r="R7493">
        <v>-6.2202059999999998E-3</v>
      </c>
      <c r="S7493">
        <v>3.0371250000000001</v>
      </c>
      <c r="T7493">
        <v>-0.46272839999999998</v>
      </c>
      <c r="U7493">
        <v>-0.26432800000000001</v>
      </c>
      <c r="V7493">
        <v>1.1721570000000001E-2</v>
      </c>
      <c r="W7493">
        <v>0.1077125</v>
      </c>
      <c r="X7493">
        <v>0.99411300000000002</v>
      </c>
      <c r="Y7493">
        <v>9.1076690000000002E-2</v>
      </c>
      <c r="Z7493">
        <v>-7.7172309999999997E-3</v>
      </c>
      <c r="AA7493">
        <v>0.99581399999999998</v>
      </c>
      <c r="AB7493">
        <v>1</v>
      </c>
      <c r="AC7493">
        <v>0.71519999999998096</v>
      </c>
      <c r="AD7493">
        <v>-0.109888999999999</v>
      </c>
      <c r="AE7493">
        <v>-6.3099999999991496E-2</v>
      </c>
      <c r="AF7493">
        <v>6.54986137734834E-2</v>
      </c>
      <c r="AG7493">
        <v>-0.109888999999999</v>
      </c>
      <c r="AH7493">
        <v>0.698479971631909</v>
      </c>
      <c r="AI7493">
        <v>98.902399575194494</v>
      </c>
      <c r="AJ7493">
        <v>84.642864459316897</v>
      </c>
      <c r="AK7493">
        <v>0.71009853647093302</v>
      </c>
      <c r="AL7493">
        <v>83.816532168023699</v>
      </c>
      <c r="AM7493">
        <v>89.324457713107805</v>
      </c>
      <c r="AN7493">
        <v>1.00000001731425</v>
      </c>
    </row>
    <row r="7494" spans="1:40" x14ac:dyDescent="0.25">
      <c r="A7494" t="str">
        <f>"20190312151210667"</f>
        <v>20190312151210667</v>
      </c>
      <c r="B7494" t="str">
        <f>"1552374730658435"</f>
        <v>1552374730658435</v>
      </c>
      <c r="C7494" t="s">
        <v>40</v>
      </c>
      <c r="D7494">
        <v>5.2044139999999999</v>
      </c>
      <c r="E7494">
        <v>0.54777399999999998</v>
      </c>
      <c r="F7494" t="s">
        <v>41</v>
      </c>
      <c r="G7494">
        <v>-130.36150000000001</v>
      </c>
      <c r="H7494">
        <v>1.0039549999999999</v>
      </c>
      <c r="I7494">
        <v>140.46860000000001</v>
      </c>
      <c r="J7494">
        <v>-131.07429999999999</v>
      </c>
      <c r="K7494">
        <v>1.1132</v>
      </c>
      <c r="L7494">
        <v>140.53229999999999</v>
      </c>
      <c r="M7494">
        <v>0.99931519999999996</v>
      </c>
      <c r="N7494">
        <v>0</v>
      </c>
      <c r="O7494">
        <v>5.5324390000000001E-3</v>
      </c>
      <c r="P7494">
        <v>0.9974809</v>
      </c>
      <c r="Q7494">
        <v>7.0522219999999997E-2</v>
      </c>
      <c r="R7494">
        <v>-7.6551600000000003E-3</v>
      </c>
      <c r="S7494">
        <v>3.0372919999999999</v>
      </c>
      <c r="T7494">
        <v>-0.4613352</v>
      </c>
      <c r="U7494">
        <v>-0.26669310000000002</v>
      </c>
      <c r="V7494">
        <v>1.3185199999999999E-2</v>
      </c>
      <c r="W7494">
        <v>0.1069649</v>
      </c>
      <c r="X7494">
        <v>0.99417540000000004</v>
      </c>
      <c r="Y7494">
        <v>9.1874360000000002E-2</v>
      </c>
      <c r="Z7494">
        <v>-7.7590899999999997E-3</v>
      </c>
      <c r="AA7494">
        <v>0.99574039999999997</v>
      </c>
      <c r="AB7494">
        <v>1</v>
      </c>
      <c r="AC7494">
        <v>0.712799999999987</v>
      </c>
      <c r="AD7494">
        <v>-0.10924499999999999</v>
      </c>
      <c r="AE7494">
        <v>-6.3699999999982895E-2</v>
      </c>
      <c r="AF7494">
        <v>6.6104744737613796E-2</v>
      </c>
      <c r="AG7494">
        <v>-0.10924499999999999</v>
      </c>
      <c r="AH7494">
        <v>0.69621253461917898</v>
      </c>
      <c r="AI7494">
        <v>98.878462491630302</v>
      </c>
      <c r="AJ7494">
        <v>84.576078506206798</v>
      </c>
      <c r="AK7494">
        <v>0.707824978834943</v>
      </c>
      <c r="AL7494">
        <v>83.859615500487394</v>
      </c>
      <c r="AM7494">
        <v>89.240162225230193</v>
      </c>
      <c r="AN7494">
        <v>1.0000000326481</v>
      </c>
    </row>
    <row r="7495" spans="1:40" x14ac:dyDescent="0.25">
      <c r="A7495" t="str">
        <f>"20190312151210689"</f>
        <v>20190312151210689</v>
      </c>
      <c r="B7495" t="str">
        <f>"1552374730678930"</f>
        <v>1552374730678930</v>
      </c>
      <c r="C7495" t="s">
        <v>40</v>
      </c>
      <c r="D7495">
        <v>5.1622320000000004</v>
      </c>
      <c r="E7495">
        <v>0.54930869999999998</v>
      </c>
      <c r="F7495" t="s">
        <v>41</v>
      </c>
      <c r="G7495">
        <v>-130.39070000000001</v>
      </c>
      <c r="H7495">
        <v>0.92662509999999998</v>
      </c>
      <c r="I7495">
        <v>140.4444</v>
      </c>
      <c r="J7495">
        <v>-131.0617</v>
      </c>
      <c r="K7495">
        <v>1.112533</v>
      </c>
      <c r="L7495">
        <v>140.5324</v>
      </c>
      <c r="M7495">
        <v>0.99942140000000002</v>
      </c>
      <c r="N7495">
        <v>0</v>
      </c>
      <c r="O7495">
        <v>5.5949119999999996E-3</v>
      </c>
      <c r="P7495">
        <v>0.99725819999999998</v>
      </c>
      <c r="Q7495">
        <v>7.3411309999999994E-2</v>
      </c>
      <c r="R7495">
        <v>-9.3305019999999992E-3</v>
      </c>
      <c r="S7495">
        <v>3.0636899999999998</v>
      </c>
      <c r="T7495">
        <v>-0.83630110000000002</v>
      </c>
      <c r="U7495">
        <v>-0.39292909999999998</v>
      </c>
      <c r="V7495">
        <v>1.491603E-2</v>
      </c>
      <c r="W7495">
        <v>0.106825</v>
      </c>
      <c r="X7495">
        <v>0.99416599999999999</v>
      </c>
      <c r="Y7495">
        <v>0.1279527</v>
      </c>
      <c r="Z7495">
        <v>-1.8578689999999998E-2</v>
      </c>
      <c r="AA7495">
        <v>0.99160619999999999</v>
      </c>
      <c r="AB7495">
        <v>1</v>
      </c>
      <c r="AC7495">
        <v>0.67099999999999205</v>
      </c>
      <c r="AD7495">
        <v>-0.18590789999999999</v>
      </c>
      <c r="AE7495">
        <v>-8.7999999999993805E-2</v>
      </c>
      <c r="AF7495">
        <v>8.5316526832234604E-2</v>
      </c>
      <c r="AG7495">
        <v>-0.18590789999999999</v>
      </c>
      <c r="AH7495">
        <v>0.623448443104479</v>
      </c>
      <c r="AI7495">
        <v>106.459216945737</v>
      </c>
      <c r="AJ7495">
        <v>82.207693743496307</v>
      </c>
      <c r="AK7495">
        <v>0.6561467962602</v>
      </c>
      <c r="AL7495">
        <v>83.867677491257496</v>
      </c>
      <c r="AM7495">
        <v>89.140423784963403</v>
      </c>
      <c r="AN7495">
        <v>1.00000005206597</v>
      </c>
    </row>
    <row r="7496" spans="1:40" x14ac:dyDescent="0.25">
      <c r="A7496" t="str">
        <f>"20190312151210711"</f>
        <v>20190312151210711</v>
      </c>
      <c r="B7496" t="str">
        <f>"1552374730709186"</f>
        <v>1552374730709186</v>
      </c>
      <c r="C7496" t="s">
        <v>40</v>
      </c>
      <c r="D7496">
        <v>5.3234139999999996</v>
      </c>
      <c r="E7496">
        <v>0.54786780000000002</v>
      </c>
      <c r="F7496" t="s">
        <v>41</v>
      </c>
      <c r="G7496">
        <v>-130.38030000000001</v>
      </c>
      <c r="H7496">
        <v>0.92396160000000005</v>
      </c>
      <c r="I7496">
        <v>140.441</v>
      </c>
      <c r="J7496">
        <v>-131.04929999999999</v>
      </c>
      <c r="K7496">
        <v>1.112093</v>
      </c>
      <c r="L7496">
        <v>140.5325</v>
      </c>
      <c r="M7496">
        <v>0.99950550000000005</v>
      </c>
      <c r="N7496">
        <v>0</v>
      </c>
      <c r="O7496">
        <v>5.6517779999999997E-3</v>
      </c>
      <c r="P7496">
        <v>0.99700639999999996</v>
      </c>
      <c r="Q7496">
        <v>7.6467919999999995E-2</v>
      </c>
      <c r="R7496">
        <v>-1.144418E-2</v>
      </c>
      <c r="S7496">
        <v>3.0668790000000001</v>
      </c>
      <c r="T7496">
        <v>-0.84870309999999904</v>
      </c>
      <c r="U7496">
        <v>-0.41110229999999998</v>
      </c>
      <c r="V7496">
        <v>1.708138E-2</v>
      </c>
      <c r="W7496">
        <v>0.1072702</v>
      </c>
      <c r="X7496">
        <v>0.99408319999999994</v>
      </c>
      <c r="Y7496">
        <v>0.1333259</v>
      </c>
      <c r="Z7496">
        <v>-1.9560749999999998E-2</v>
      </c>
      <c r="AA7496">
        <v>0.99087919999999996</v>
      </c>
      <c r="AB7496">
        <v>1</v>
      </c>
      <c r="AC7496">
        <v>0.66899999999998205</v>
      </c>
      <c r="AD7496">
        <v>-0.188131399999999</v>
      </c>
      <c r="AE7496">
        <v>-9.1499999999996307E-2</v>
      </c>
      <c r="AF7496">
        <v>8.8417655113019994E-2</v>
      </c>
      <c r="AG7496">
        <v>-0.188131399999999</v>
      </c>
      <c r="AH7496">
        <v>0.62031758335154297</v>
      </c>
      <c r="AI7496">
        <v>106.712265220574</v>
      </c>
      <c r="AJ7496">
        <v>81.887924423219999</v>
      </c>
      <c r="AK7496">
        <v>0.65422091805195504</v>
      </c>
      <c r="AL7496">
        <v>83.842021911032603</v>
      </c>
      <c r="AM7496">
        <v>89.015580710468697</v>
      </c>
      <c r="AN7496">
        <v>1.00000003893649</v>
      </c>
    </row>
    <row r="7497" spans="1:40" x14ac:dyDescent="0.25">
      <c r="A7497" t="str">
        <f>"20190312151210735"</f>
        <v>20190312151210735</v>
      </c>
      <c r="B7497" t="str">
        <f>"1552374730728706"</f>
        <v>1552374730728706</v>
      </c>
      <c r="C7497" t="s">
        <v>40</v>
      </c>
      <c r="D7497">
        <v>5.2419379999999904</v>
      </c>
      <c r="E7497">
        <v>0.54693789999999998</v>
      </c>
      <c r="F7497" t="s">
        <v>41</v>
      </c>
      <c r="G7497">
        <v>-130.3707</v>
      </c>
      <c r="H7497">
        <v>0.92212810000000001</v>
      </c>
      <c r="I7497">
        <v>140.4426</v>
      </c>
      <c r="J7497">
        <v>-131.03829999999999</v>
      </c>
      <c r="K7497">
        <v>1.11191</v>
      </c>
      <c r="L7497">
        <v>140.53270000000001</v>
      </c>
      <c r="M7497">
        <v>0.99956230000000001</v>
      </c>
      <c r="N7497">
        <v>0</v>
      </c>
      <c r="O7497">
        <v>5.687526E-3</v>
      </c>
      <c r="P7497">
        <v>0.99677709999999997</v>
      </c>
      <c r="Q7497">
        <v>7.9069760000000003E-2</v>
      </c>
      <c r="R7497">
        <v>-1.355018E-2</v>
      </c>
      <c r="S7497">
        <v>3.0702509999999998</v>
      </c>
      <c r="T7497">
        <v>-0.85947750000000001</v>
      </c>
      <c r="U7497">
        <v>-0.40675349999999999</v>
      </c>
      <c r="V7497">
        <v>1.9220770000000002E-2</v>
      </c>
      <c r="W7497">
        <v>0.10797519999999999</v>
      </c>
      <c r="X7497">
        <v>0.99396779999999996</v>
      </c>
      <c r="Y7497">
        <v>0.1317769</v>
      </c>
      <c r="Z7497">
        <v>-1.957886E-2</v>
      </c>
      <c r="AA7497">
        <v>0.99108600000000002</v>
      </c>
      <c r="AB7497">
        <v>1</v>
      </c>
      <c r="AC7497">
        <v>0.66759999999999298</v>
      </c>
      <c r="AD7497">
        <v>-0.1897819</v>
      </c>
      <c r="AE7497">
        <v>-9.0100000000006703E-2</v>
      </c>
      <c r="AF7497">
        <v>8.6992813168774094E-2</v>
      </c>
      <c r="AG7497">
        <v>-0.1897819</v>
      </c>
      <c r="AH7497">
        <v>0.618025928119878</v>
      </c>
      <c r="AI7497">
        <v>106.91346526034</v>
      </c>
      <c r="AJ7497">
        <v>81.987733299598105</v>
      </c>
      <c r="AK7497">
        <v>0.65233501127799598</v>
      </c>
      <c r="AL7497">
        <v>83.801392376451503</v>
      </c>
      <c r="AM7497">
        <v>88.892185679607906</v>
      </c>
      <c r="AN7497">
        <v>1.0000000346256299</v>
      </c>
    </row>
    <row r="7498" spans="1:40" x14ac:dyDescent="0.25">
      <c r="A7498" t="str">
        <f>"20190312151210758"</f>
        <v>20190312151210758</v>
      </c>
      <c r="B7498" t="str">
        <f>"1552374730749203"</f>
        <v>1552374730749203</v>
      </c>
      <c r="C7498" t="s">
        <v>40</v>
      </c>
      <c r="D7498">
        <v>5.2094139999999998</v>
      </c>
      <c r="E7498">
        <v>0.54659789999999997</v>
      </c>
      <c r="F7498" t="s">
        <v>41</v>
      </c>
      <c r="G7498">
        <v>-130.36150000000001</v>
      </c>
      <c r="H7498">
        <v>0.92316509999999996</v>
      </c>
      <c r="I7498">
        <v>140.44299999999899</v>
      </c>
      <c r="J7498">
        <v>-131.02969999999999</v>
      </c>
      <c r="K7498">
        <v>1.111893</v>
      </c>
      <c r="L7498">
        <v>140.53280000000001</v>
      </c>
      <c r="M7498">
        <v>0.9995984</v>
      </c>
      <c r="N7498">
        <v>0</v>
      </c>
      <c r="O7498">
        <v>5.709408E-3</v>
      </c>
      <c r="P7498">
        <v>0.99666169999999998</v>
      </c>
      <c r="Q7498">
        <v>8.017966E-2</v>
      </c>
      <c r="R7498">
        <v>-1.5389740000000001E-2</v>
      </c>
      <c r="S7498">
        <v>3.0721440000000002</v>
      </c>
      <c r="T7498">
        <v>-0.85677269999999905</v>
      </c>
      <c r="U7498">
        <v>-0.40666200000000002</v>
      </c>
      <c r="V7498">
        <v>2.108353E-2</v>
      </c>
      <c r="W7498">
        <v>0.107806399999999</v>
      </c>
      <c r="X7498">
        <v>0.99394830000000001</v>
      </c>
      <c r="Y7498">
        <v>0.13172909999999999</v>
      </c>
      <c r="Z7498">
        <v>-1.9507429999999999E-2</v>
      </c>
      <c r="AA7498">
        <v>0.99109380000000002</v>
      </c>
      <c r="AB7498">
        <v>1</v>
      </c>
      <c r="AC7498">
        <v>0.66819999999998403</v>
      </c>
      <c r="AD7498">
        <v>-0.1887279</v>
      </c>
      <c r="AE7498">
        <v>-8.9800000000025096E-2</v>
      </c>
      <c r="AF7498">
        <v>8.68125411238648E-2</v>
      </c>
      <c r="AG7498">
        <v>-0.1887279</v>
      </c>
      <c r="AH7498">
        <v>0.61915983037320299</v>
      </c>
      <c r="AI7498">
        <v>106.79697614597301</v>
      </c>
      <c r="AJ7498">
        <v>82.018576304266006</v>
      </c>
      <c r="AK7498">
        <v>0.65308003574031204</v>
      </c>
      <c r="AL7498">
        <v>83.8111203452859</v>
      </c>
      <c r="AM7498">
        <v>88.784829997857102</v>
      </c>
      <c r="AN7498">
        <v>0.99999997909555505</v>
      </c>
    </row>
    <row r="7499" spans="1:40" x14ac:dyDescent="0.25">
      <c r="A7499" t="str">
        <f>"20190312151210781"</f>
        <v>20190312151210781</v>
      </c>
      <c r="B7499" t="str">
        <f>"1552374730768723"</f>
        <v>1552374730768723</v>
      </c>
      <c r="C7499" t="s">
        <v>40</v>
      </c>
      <c r="D7499">
        <v>5.6804769999999998</v>
      </c>
      <c r="E7499">
        <v>0.54612510000000003</v>
      </c>
      <c r="F7499" t="s">
        <v>41</v>
      </c>
      <c r="G7499">
        <v>-130.34889999999999</v>
      </c>
      <c r="H7499">
        <v>0.92200910000000003</v>
      </c>
      <c r="I7499">
        <v>140.44149999999999</v>
      </c>
      <c r="J7499">
        <v>-131.02289999999999</v>
      </c>
      <c r="K7499">
        <v>1.1118859999999999</v>
      </c>
      <c r="L7499">
        <v>140.53280000000001</v>
      </c>
      <c r="M7499">
        <v>0.99962790000000001</v>
      </c>
      <c r="N7499">
        <v>0</v>
      </c>
      <c r="O7499">
        <v>5.7377160000000003E-3</v>
      </c>
      <c r="P7499">
        <v>0.99656860000000003</v>
      </c>
      <c r="Q7499">
        <v>8.0965899999999993E-2</v>
      </c>
      <c r="R7499">
        <v>-1.7199030000000001E-2</v>
      </c>
      <c r="S7499">
        <v>3.072632</v>
      </c>
      <c r="T7499">
        <v>-0.85707310000000003</v>
      </c>
      <c r="U7499">
        <v>-0.41130070000000002</v>
      </c>
      <c r="V7499">
        <v>2.292402E-2</v>
      </c>
      <c r="W7499">
        <v>0.107513</v>
      </c>
      <c r="X7499">
        <v>0.99393929999999997</v>
      </c>
      <c r="Y7499">
        <v>0.1331514</v>
      </c>
      <c r="Z7499">
        <v>-1.9710729999999999E-2</v>
      </c>
      <c r="AA7499">
        <v>0.99089970000000005</v>
      </c>
      <c r="AB7499">
        <v>1</v>
      </c>
      <c r="AC7499">
        <v>0.67400000000000604</v>
      </c>
      <c r="AD7499">
        <v>-0.18987689999999999</v>
      </c>
      <c r="AE7499">
        <v>-9.1300000000018103E-2</v>
      </c>
      <c r="AF7499">
        <v>8.8286556904223906E-2</v>
      </c>
      <c r="AG7499">
        <v>-0.18987689999999999</v>
      </c>
      <c r="AH7499">
        <v>0.62477366864464001</v>
      </c>
      <c r="AI7499">
        <v>106.74777369670301</v>
      </c>
      <c r="AJ7499">
        <v>81.956807161032799</v>
      </c>
      <c r="AK7499">
        <v>0.65893086914735999</v>
      </c>
      <c r="AL7499">
        <v>83.828028987409596</v>
      </c>
      <c r="AM7499">
        <v>88.678775677661505</v>
      </c>
      <c r="AN7499">
        <v>0.999999943973223</v>
      </c>
    </row>
    <row r="7500" spans="1:40" x14ac:dyDescent="0.25">
      <c r="A7500" t="str">
        <f>"20190312151210803"</f>
        <v>20190312151210803</v>
      </c>
      <c r="B7500" t="str">
        <f>"1552374730798979"</f>
        <v>1552374730798979</v>
      </c>
      <c r="C7500" t="s">
        <v>40</v>
      </c>
      <c r="D7500">
        <v>5.0519339999999904</v>
      </c>
      <c r="E7500">
        <v>0.54560889999999995</v>
      </c>
      <c r="F7500" t="s">
        <v>41</v>
      </c>
      <c r="G7500">
        <v>-130.34350000000001</v>
      </c>
      <c r="H7500">
        <v>0.92194319999999996</v>
      </c>
      <c r="I7500">
        <v>140.44130000000001</v>
      </c>
      <c r="J7500">
        <v>-131.01669999999999</v>
      </c>
      <c r="K7500">
        <v>1.111834</v>
      </c>
      <c r="L7500">
        <v>140.53290000000001</v>
      </c>
      <c r="M7500">
        <v>0.99965749999999998</v>
      </c>
      <c r="N7500">
        <v>0</v>
      </c>
      <c r="O7500">
        <v>5.7715190000000001E-3</v>
      </c>
      <c r="P7500">
        <v>0.99648139999999996</v>
      </c>
      <c r="Q7500">
        <v>8.1373039999999994E-2</v>
      </c>
      <c r="R7500">
        <v>-2.009348E-2</v>
      </c>
      <c r="S7500">
        <v>3.0729679999999999</v>
      </c>
      <c r="T7500">
        <v>-0.85920439999999998</v>
      </c>
      <c r="U7500">
        <v>-0.41375729999999999</v>
      </c>
      <c r="V7500">
        <v>2.585436E-2</v>
      </c>
      <c r="W7500">
        <v>0.1067828</v>
      </c>
      <c r="X7500">
        <v>0.99394610000000005</v>
      </c>
      <c r="Y7500">
        <v>0.1338955</v>
      </c>
      <c r="Z7500">
        <v>-1.9865750000000001E-2</v>
      </c>
      <c r="AA7500">
        <v>0.99079629999999996</v>
      </c>
      <c r="AB7500">
        <v>1</v>
      </c>
      <c r="AC7500">
        <v>0.67319999999998004</v>
      </c>
      <c r="AD7500">
        <v>-0.1898908</v>
      </c>
      <c r="AE7500">
        <v>-9.1599999999999598E-2</v>
      </c>
      <c r="AF7500">
        <v>8.8566467652148095E-2</v>
      </c>
      <c r="AG7500">
        <v>-0.1898908</v>
      </c>
      <c r="AH7500">
        <v>0.62392036110985205</v>
      </c>
      <c r="AI7500">
        <v>106.769141818004</v>
      </c>
      <c r="AJ7500">
        <v>81.920752517242903</v>
      </c>
      <c r="AK7500">
        <v>0.65816346915068702</v>
      </c>
      <c r="AL7500">
        <v>83.870108543842093</v>
      </c>
      <c r="AM7500">
        <v>88.509967748641202</v>
      </c>
      <c r="AN7500">
        <v>0.99999993200602699</v>
      </c>
    </row>
    <row r="7501" spans="1:40" x14ac:dyDescent="0.25">
      <c r="A7501" t="str">
        <f>"20190312151210823"</f>
        <v>20190312151210823</v>
      </c>
      <c r="B7501" t="str">
        <f>"1552374730818498"</f>
        <v>1552374730818498</v>
      </c>
      <c r="C7501" t="s">
        <v>40</v>
      </c>
      <c r="D7501">
        <v>5.0860139999999996</v>
      </c>
      <c r="E7501">
        <v>0.54542690000000005</v>
      </c>
      <c r="F7501" t="s">
        <v>41</v>
      </c>
      <c r="G7501">
        <v>-130.33879999999999</v>
      </c>
      <c r="H7501">
        <v>0.92145180000000004</v>
      </c>
      <c r="I7501">
        <v>140.4409</v>
      </c>
      <c r="J7501">
        <v>-131.01179999999999</v>
      </c>
      <c r="K7501">
        <v>1.1117779999999999</v>
      </c>
      <c r="L7501">
        <v>140.53290000000001</v>
      </c>
      <c r="M7501">
        <v>0.99968219999999997</v>
      </c>
      <c r="N7501">
        <v>0</v>
      </c>
      <c r="O7501">
        <v>5.7954180000000001E-3</v>
      </c>
      <c r="P7501">
        <v>0.99642679999999995</v>
      </c>
      <c r="Q7501">
        <v>8.1323179999999995E-2</v>
      </c>
      <c r="R7501">
        <v>-2.2799570000000002E-2</v>
      </c>
      <c r="S7501">
        <v>3.0726779999999998</v>
      </c>
      <c r="T7501">
        <v>-0.86302919999999905</v>
      </c>
      <c r="U7501">
        <v>-0.41685489999999997</v>
      </c>
      <c r="V7501">
        <v>2.8585260000000001E-2</v>
      </c>
      <c r="W7501">
        <v>0.1057379</v>
      </c>
      <c r="X7501">
        <v>0.99398310000000001</v>
      </c>
      <c r="Y7501">
        <v>0.13482959999999999</v>
      </c>
      <c r="Z7501">
        <v>-2.0086119999999999E-2</v>
      </c>
      <c r="AA7501">
        <v>0.99066520000000002</v>
      </c>
      <c r="AB7501">
        <v>1</v>
      </c>
      <c r="AC7501">
        <v>0.67300000000000104</v>
      </c>
      <c r="AD7501">
        <v>-0.1903262</v>
      </c>
      <c r="AE7501">
        <v>-9.2000000000012905E-2</v>
      </c>
      <c r="AF7501">
        <v>8.8918902788726606E-2</v>
      </c>
      <c r="AG7501">
        <v>-0.1903262</v>
      </c>
      <c r="AH7501">
        <v>0.62350392645786301</v>
      </c>
      <c r="AI7501">
        <v>106.81455676436001</v>
      </c>
      <c r="AJ7501">
        <v>81.883684396203194</v>
      </c>
      <c r="AK7501">
        <v>0.65794207950849504</v>
      </c>
      <c r="AL7501">
        <v>83.930318281381901</v>
      </c>
      <c r="AM7501">
        <v>88.352725045664499</v>
      </c>
      <c r="AN7501">
        <v>1.00000001183564</v>
      </c>
    </row>
    <row r="7502" spans="1:40" x14ac:dyDescent="0.25">
      <c r="A7502" t="str">
        <f>"20190312151210845"</f>
        <v>20190312151210845</v>
      </c>
      <c r="B7502" t="str">
        <f>"1552374730838994"</f>
        <v>1552374730838994</v>
      </c>
      <c r="C7502" t="s">
        <v>40</v>
      </c>
      <c r="D7502">
        <v>4.9072069999999997</v>
      </c>
      <c r="E7502">
        <v>0.55998579999999998</v>
      </c>
      <c r="F7502" t="s">
        <v>41</v>
      </c>
      <c r="G7502">
        <v>-130.33449999999999</v>
      </c>
      <c r="H7502">
        <v>0.92139110000000002</v>
      </c>
      <c r="I7502">
        <v>140.43960000000001</v>
      </c>
      <c r="J7502">
        <v>-131.00710000000001</v>
      </c>
      <c r="K7502">
        <v>1.111731</v>
      </c>
      <c r="L7502">
        <v>140.53299999999999</v>
      </c>
      <c r="M7502">
        <v>0.99970669999999995</v>
      </c>
      <c r="N7502">
        <v>0</v>
      </c>
      <c r="O7502">
        <v>5.8099240000000002E-3</v>
      </c>
      <c r="P7502">
        <v>0.99644049999999995</v>
      </c>
      <c r="Q7502">
        <v>8.0485020000000004E-2</v>
      </c>
      <c r="R7502">
        <v>-2.507301E-2</v>
      </c>
      <c r="S7502">
        <v>3.0715789999999998</v>
      </c>
      <c r="T7502">
        <v>-0.86351540000000004</v>
      </c>
      <c r="U7502">
        <v>-0.42240909999999898</v>
      </c>
      <c r="V7502">
        <v>3.087266E-2</v>
      </c>
      <c r="W7502">
        <v>0.10388799999999999</v>
      </c>
      <c r="X7502">
        <v>0.99410969999999999</v>
      </c>
      <c r="Y7502">
        <v>0.13657429999999901</v>
      </c>
      <c r="Z7502">
        <v>-2.034503E-2</v>
      </c>
      <c r="AA7502">
        <v>0.99042090000000005</v>
      </c>
      <c r="AB7502">
        <v>1</v>
      </c>
      <c r="AC7502">
        <v>0.67260000000001696</v>
      </c>
      <c r="AD7502">
        <v>-0.19033989999999901</v>
      </c>
      <c r="AE7502">
        <v>-9.3399999999974101E-2</v>
      </c>
      <c r="AF7502">
        <v>9.02188554798629E-2</v>
      </c>
      <c r="AG7502">
        <v>-0.19033989999999901</v>
      </c>
      <c r="AH7502">
        <v>0.62309028260218502</v>
      </c>
      <c r="AI7502">
        <v>106.82135716572699</v>
      </c>
      <c r="AJ7502">
        <v>81.761252152066504</v>
      </c>
      <c r="AK7502">
        <v>0.65773111503818704</v>
      </c>
      <c r="AL7502">
        <v>84.036896527469906</v>
      </c>
      <c r="AM7502">
        <v>88.221217652064595</v>
      </c>
      <c r="AN7502">
        <v>0.99999996665678204</v>
      </c>
    </row>
    <row r="7503" spans="1:40" x14ac:dyDescent="0.25">
      <c r="A7503" t="str">
        <f>"20190312151210867"</f>
        <v>20190312151210867</v>
      </c>
      <c r="B7503" t="str">
        <f>"1552374730859021"</f>
        <v>1552374730859021</v>
      </c>
      <c r="C7503" t="s">
        <v>40</v>
      </c>
      <c r="D7503">
        <v>4.8941400000000002</v>
      </c>
      <c r="E7503">
        <v>0.55936339999999996</v>
      </c>
      <c r="F7503" t="s">
        <v>41</v>
      </c>
      <c r="G7503">
        <v>-130.346</v>
      </c>
      <c r="H7503">
        <v>0.88563549999999902</v>
      </c>
      <c r="I7503">
        <v>140.4161</v>
      </c>
      <c r="J7503">
        <v>-131.00319999999999</v>
      </c>
      <c r="K7503">
        <v>1.111696</v>
      </c>
      <c r="L7503">
        <v>140.53299999999999</v>
      </c>
      <c r="M7503">
        <v>0.9997277</v>
      </c>
      <c r="N7503">
        <v>0</v>
      </c>
      <c r="O7503">
        <v>5.816285E-3</v>
      </c>
      <c r="P7503">
        <v>0.99651069999999997</v>
      </c>
      <c r="Q7503">
        <v>7.9000189999999998E-2</v>
      </c>
      <c r="R7503">
        <v>-2.6933390000000001E-2</v>
      </c>
      <c r="S7503">
        <v>3.0821529999999999</v>
      </c>
      <c r="T7503">
        <v>-1.054152</v>
      </c>
      <c r="U7503">
        <v>-0.5446472</v>
      </c>
      <c r="V7503">
        <v>3.2738539999999997E-2</v>
      </c>
      <c r="W7503">
        <v>0.1014974</v>
      </c>
      <c r="X7503">
        <v>0.99429699999999999</v>
      </c>
      <c r="Y7503">
        <v>0.1700316</v>
      </c>
      <c r="Z7503">
        <v>-2.9994050000000001E-2</v>
      </c>
      <c r="AA7503">
        <v>0.98498200000000002</v>
      </c>
      <c r="AB7503">
        <v>1</v>
      </c>
      <c r="AC7503">
        <v>0.65719999999998802</v>
      </c>
      <c r="AD7503">
        <v>-0.2260605</v>
      </c>
      <c r="AE7503">
        <v>-0.116899999999986</v>
      </c>
      <c r="AF7503">
        <v>0.108300463010143</v>
      </c>
      <c r="AG7503">
        <v>-0.2260605</v>
      </c>
      <c r="AH7503">
        <v>0.58896077429320803</v>
      </c>
      <c r="AI7503">
        <v>110.681534491127</v>
      </c>
      <c r="AJ7503">
        <v>79.580620269405401</v>
      </c>
      <c r="AK7503">
        <v>0.64008369265629295</v>
      </c>
      <c r="AL7503">
        <v>84.174596220814806</v>
      </c>
      <c r="AM7503">
        <v>88.114142214003806</v>
      </c>
      <c r="AN7503">
        <v>1.00000002920854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2020-05-20T14:50:37Z</dcterms:created>
  <dcterms:modified xsi:type="dcterms:W3CDTF">2020-05-20T14:50:37Z</dcterms:modified>
</cp:coreProperties>
</file>